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3.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4.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comments5.xml" ContentType="application/vnd.openxmlformats-officedocument.spreadsheetml.comments+xml"/>
  <Override PartName="/xl/drawings/drawing18.xml" ContentType="application/vnd.openxmlformats-officedocument.drawing+xml"/>
  <Override PartName="/xl/comments6.xml" ContentType="application/vnd.openxmlformats-officedocument.spreadsheetml.comments+xml"/>
  <Override PartName="/xl/drawings/drawing19.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7.xml" ContentType="application/vnd.openxmlformats-officedocument.spreadsheetml.comments+xml"/>
  <Override PartName="/xl/drawings/drawing20.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8.xml" ContentType="application/vnd.openxmlformats-officedocument.spreadsheetml.comments+xml"/>
  <Override PartName="/xl/drawings/drawing21.xml" ContentType="application/vnd.openxmlformats-officedocument.drawing+xml"/>
  <Override PartName="/xl/comments9.xml" ContentType="application/vnd.openxmlformats-officedocument.spreadsheetml.comments+xml"/>
  <Override PartName="/xl/drawings/drawing22.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10.xml" ContentType="application/vnd.openxmlformats-officedocument.spreadsheetml.comments+xml"/>
  <Override PartName="/xl/drawings/drawing23.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omments11.xml" ContentType="application/vnd.openxmlformats-officedocument.spreadsheetml.comments+xml"/>
  <Override PartName="/xl/drawings/drawing24.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2.xml" ContentType="application/vnd.openxmlformats-officedocument.spreadsheetml.comments+xml"/>
  <Override PartName="/xl/drawings/drawing25.xml" ContentType="application/vnd.openxmlformats-officedocument.drawing+xml"/>
  <Override PartName="/xl/comments13.xml" ContentType="application/vnd.openxmlformats-officedocument.spreadsheetml.comments+xml"/>
  <Override PartName="/xl/drawings/drawing26.xml" ContentType="application/vnd.openxmlformats-officedocument.drawing+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7.xml" ContentType="application/vnd.openxmlformats-officedocument.drawing+xml"/>
  <Override PartName="/xl/ctrlProps/ctrlProp28.xml" ContentType="application/vnd.ms-excel.controlproperties+xml"/>
  <Override PartName="/xl/ctrlProps/ctrlProp29.xml" ContentType="application/vnd.ms-excel.controlproperties+xml"/>
  <Override PartName="/xl/drawings/drawing28.xml" ContentType="application/vnd.openxmlformats-officedocument.drawing+xml"/>
  <Override PartName="/xl/drawings/drawing29.xml" ContentType="application/vnd.openxmlformats-officedocument.drawing+xml"/>
  <Override PartName="/xl/comments1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trlProps/ctrlProp63.xml" ContentType="application/vnd.ms-excel.controlproperties+xml"/>
  <Override PartName="/xl/ctrlProps/ctrlProp64.xml" ContentType="application/vnd.ms-excel.controlproperties+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xl/embeddings/oleObject41.bin" ContentType="application/vnd.openxmlformats-officedocument.oleObject"/>
  <Override PartName="/xl/embeddings/oleObject42.bin" ContentType="application/vnd.openxmlformats-officedocument.oleObject"/>
  <Override PartName="/xl/embeddings/oleObject43.bin" ContentType="application/vnd.openxmlformats-officedocument.oleObject"/>
  <Override PartName="/xl/embeddings/oleObject44.bin" ContentType="application/vnd.openxmlformats-officedocument.oleObject"/>
  <Override PartName="/xl/embeddings/oleObject45.bin" ContentType="application/vnd.openxmlformats-officedocument.oleObject"/>
  <Override PartName="/xl/embeddings/oleObject46.bin" ContentType="application/vnd.openxmlformats-officedocument.oleObject"/>
  <Override PartName="/xl/embeddings/oleObject47.bin" ContentType="application/vnd.openxmlformats-officedocument.oleObject"/>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embeddings/oleObject48.bin" ContentType="application/vnd.openxmlformats-officedocument.oleObject"/>
  <Override PartName="/xl/embeddings/oleObject49.bin" ContentType="application/vnd.openxmlformats-officedocument.oleObject"/>
  <Override PartName="/xl/embeddings/oleObject50.bin" ContentType="application/vnd.openxmlformats-officedocument.oleObject"/>
  <Override PartName="/xl/embeddings/oleObject51.bin" ContentType="application/vnd.openxmlformats-officedocument.oleObject"/>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mc:AlternateContent xmlns:mc="http://schemas.openxmlformats.org/markup-compatibility/2006">
    <mc:Choice Requires="x15">
      <x15ac:absPath xmlns:x15ac="http://schemas.microsoft.com/office/spreadsheetml/2010/11/ac" url="C:\Users\user\Downloads\"/>
    </mc:Choice>
  </mc:AlternateContent>
  <xr:revisionPtr revIDLastSave="0" documentId="13_ncr:1_{F36B1210-1E8D-4B1D-83C6-AF232DCB3963}" xr6:coauthVersionLast="47" xr6:coauthVersionMax="47" xr10:uidLastSave="{00000000-0000-0000-0000-000000000000}"/>
  <bookViews>
    <workbookView xWindow="-98" yWindow="-98" windowWidth="21795" windowHeight="12975" tabRatio="734" firstSheet="29" activeTab="29" xr2:uid="{00000000-000D-0000-FFFF-FFFF00000000}"/>
  </bookViews>
  <sheets>
    <sheet name="Home" sheetId="3" r:id="rId1"/>
    <sheet name="Documents Manager" sheetId="6" r:id="rId2"/>
    <sheet name="ASTM Table Series" sheetId="27" r:id="rId3"/>
    <sheet name="Expl &amp; use 6AB, 24AB, 54AB  " sheetId="80" r:id="rId4"/>
    <sheet name="Expl &amp; use Vol. XI" sheetId="29" r:id="rId5"/>
    <sheet name="Expl &amp; use Vol. XII" sheetId="30" r:id="rId6"/>
    <sheet name="ASTM Vol. XI - Tab.1" sheetId="10" r:id="rId7"/>
    <sheet name="ASTM Vol. XI-XII" sheetId="2" r:id="rId8"/>
    <sheet name="ASTM Tables" sheetId="78" r:id="rId9"/>
    <sheet name="ASTM Converter (Tab.1)" sheetId="31" r:id="rId10"/>
    <sheet name="ASTM Converter (Tab.2)" sheetId="36" r:id="rId11"/>
    <sheet name="ASTM Converter API-RD-SG-Dens." sheetId="40" r:id="rId12"/>
    <sheet name="ASTM Converter (API)" sheetId="1" r:id="rId13"/>
    <sheet name="ASTM Converter (R.Density)" sheetId="14" r:id="rId14"/>
    <sheet name="ASTM Converter (Density)" sheetId="13" r:id="rId15"/>
    <sheet name="ASTM Converter for Crude Oil" sheetId="48" r:id="rId16"/>
    <sheet name="ASTM Calculator V.W." sheetId="19" r:id="rId17"/>
    <sheet name="ASTM Calculator Volume T.E.(1)" sheetId="37" r:id="rId18"/>
    <sheet name="ASTM Calculator Volume T.E.(2)" sheetId="46" r:id="rId19"/>
    <sheet name="ASTM Calculator Volume T.E.(3)" sheetId="75" r:id="rId20"/>
    <sheet name="ASTM CP min CARGO Check" sheetId="70" r:id="rId21"/>
    <sheet name="ASTM Calculator Blended Cargo" sheetId="58" r:id="rId22"/>
    <sheet name="ASTM Blended Cargo Prediction" sheetId="59" r:id="rId23"/>
    <sheet name="ASTM Shore Line Displacement" sheetId="60" r:id="rId24"/>
    <sheet name="ASTM Calc BL Outturn Compare" sheetId="15" r:id="rId25"/>
    <sheet name="Initial&amp;Max. Loading Rate" sheetId="50" r:id="rId26"/>
    <sheet name="One Tank Filling Rate" sheetId="49" r:id="rId27"/>
    <sheet name="ETC Cargo operation" sheetId="45" r:id="rId28"/>
    <sheet name="Average Gravity-Temp" sheetId="41" r:id="rId29"/>
    <sheet name="Volume Interpolation" sheetId="47" r:id="rId30"/>
    <sheet name="Cargo Lines Volume" sheetId="57" r:id="rId31"/>
    <sheet name="Wedge Volume Calculator" sheetId="56" r:id="rId32"/>
    <sheet name="Blended API" sheetId="61" r:id="rId33"/>
    <sheet name="Commingle-LOADING" sheetId="62" r:id="rId34"/>
    <sheet name="Commingle-LOADING-DISCHARGING" sheetId="63" r:id="rId35"/>
    <sheet name="Pipelines Capacities" sheetId="51" r:id="rId36"/>
    <sheet name="IG Pressure Change" sheetId="71" r:id="rId37"/>
    <sheet name="IG Pressure Change (2)" sheetId="77" r:id="rId38"/>
    <sheet name="Converter Pressure " sheetId="76" r:id="rId39"/>
    <sheet name="Guidelines - Definitions" sheetId="42" r:id="rId40"/>
    <sheet name="Guidelines - Procedure of Calc" sheetId="43" r:id="rId41"/>
    <sheet name="Guidelines - Saybolt Manual" sheetId="74" r:id="rId42"/>
    <sheet name="ASTM Formulas" sheetId="81" r:id="rId43"/>
    <sheet name="Which tables to use When" sheetId="82" r:id="rId44"/>
    <sheet name="Conversion Charts Metric" sheetId="83" r:id="rId45"/>
    <sheet name="Conversion Charts Barrel" sheetId="84" r:id="rId46"/>
    <sheet name="Conversion Charts Mass &amp; Weight" sheetId="85" r:id="rId47"/>
    <sheet name="Outturn Charts" sheetId="86" r:id="rId48"/>
    <sheet name="Guidelines - Bottom Lines" sheetId="44" r:id="rId49"/>
    <sheet name="Guidelines - ISGOTT-6 " sheetId="52" r:id="rId50"/>
    <sheet name="Guidelines - Wedge Forla (0)" sheetId="67" r:id="rId51"/>
    <sheet name="Guidelines - Wedge Forla (1)" sheetId="54" r:id="rId52"/>
    <sheet name="Guidelines - Wedge Forla (2)" sheetId="53" r:id="rId53"/>
    <sheet name="Guidelines - Wedge Formulas" sheetId="55" r:id="rId54"/>
    <sheet name="Guidelines - Commingling Calc" sheetId="64" r:id="rId55"/>
    <sheet name="Guidelines - SOLAS" sheetId="65" r:id="rId56"/>
    <sheet name="Guidelines - SOLAS compliance" sheetId="66" r:id="rId57"/>
    <sheet name="Guidelines - IG Pressure" sheetId="72" r:id="rId58"/>
    <sheet name="Source - Links" sheetId="8" r:id="rId59"/>
    <sheet name="Help" sheetId="7" r:id="rId60"/>
    <sheet name="Disclaimer" sheetId="5" r:id="rId61"/>
    <sheet name="Calc ASTM Tables " sheetId="79" r:id="rId62"/>
    <sheet name="Calc ASTM" sheetId="12" r:id="rId63"/>
    <sheet name="Calc ASTM V.W. Calculator" sheetId="20" r:id="rId64"/>
    <sheet name="Calc ASTM Volume Calculator" sheetId="38" r:id="rId65"/>
    <sheet name="Calc BL-Outturn Compare" sheetId="18" r:id="rId66"/>
  </sheets>
  <externalReferences>
    <externalReference r:id="rId67"/>
    <externalReference r:id="rId68"/>
  </externalReferences>
  <definedNames>
    <definedName name="_Fill" localSheetId="24"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14" hidden="1">#REF!</definedName>
    <definedName name="_Fill" localSheetId="13" hidden="1">#REF!</definedName>
    <definedName name="_Fill" localSheetId="9" hidden="1">#REF!</definedName>
    <definedName name="_Fill" localSheetId="10" hidden="1">#REF!</definedName>
    <definedName name="_Fill" localSheetId="11" hidden="1">#REF!</definedName>
    <definedName name="_Fill" localSheetId="15" hidden="1">#REF!</definedName>
    <definedName name="_Fill" localSheetId="20" hidden="1">#REF!</definedName>
    <definedName name="_Fill" localSheetId="2" hidden="1">#REF!</definedName>
    <definedName name="_Fill" localSheetId="6" hidden="1">#REF!</definedName>
    <definedName name="_Fill" localSheetId="28" hidden="1">#REF!</definedName>
    <definedName name="_Fill" localSheetId="63" hidden="1">#REF!</definedName>
    <definedName name="_Fill" localSheetId="64" hidden="1">#REF!</definedName>
    <definedName name="_Fill" localSheetId="65" hidden="1">#REF!</definedName>
    <definedName name="_Fill" localSheetId="30" hidden="1">#REF!</definedName>
    <definedName name="_Fill" localSheetId="45" hidden="1">#REF!</definedName>
    <definedName name="_Fill" localSheetId="46" hidden="1">#REF!</definedName>
    <definedName name="_Fill" localSheetId="44" hidden="1">#REF!</definedName>
    <definedName name="_Fill" localSheetId="38" hidden="1">#REF!</definedName>
    <definedName name="_Fill" localSheetId="1" hidden="1">#REF!</definedName>
    <definedName name="_Fill" localSheetId="27" hidden="1">#REF!</definedName>
    <definedName name="_Fill" localSheetId="3" hidden="1">#REF!</definedName>
    <definedName name="_Fill" localSheetId="4" hidden="1">#REF!</definedName>
    <definedName name="_Fill" localSheetId="5" hidden="1">#REF!</definedName>
    <definedName name="_Fill" localSheetId="48" hidden="1">#REF!</definedName>
    <definedName name="_Fill" localSheetId="54" hidden="1">#REF!</definedName>
    <definedName name="_Fill" localSheetId="39" hidden="1">#REF!</definedName>
    <definedName name="_Fill" localSheetId="57" hidden="1">#REF!</definedName>
    <definedName name="_Fill" localSheetId="49" hidden="1">#REF!</definedName>
    <definedName name="_Fill" localSheetId="40" hidden="1">#REF!</definedName>
    <definedName name="_Fill" localSheetId="55" hidden="1">#REF!</definedName>
    <definedName name="_Fill" localSheetId="56" hidden="1">#REF!</definedName>
    <definedName name="_Fill" localSheetId="50" hidden="1">#REF!</definedName>
    <definedName name="_Fill" localSheetId="51" hidden="1">#REF!</definedName>
    <definedName name="_Fill" localSheetId="52" hidden="1">#REF!</definedName>
    <definedName name="_Fill" localSheetId="53" hidden="1">#REF!</definedName>
    <definedName name="_Fill" localSheetId="59" hidden="1">#REF!</definedName>
    <definedName name="_Fill" localSheetId="36" hidden="1">#REF!</definedName>
    <definedName name="_Fill" localSheetId="37" hidden="1">#REF!</definedName>
    <definedName name="_Fill" localSheetId="25" hidden="1">#REF!</definedName>
    <definedName name="_Fill" localSheetId="26" hidden="1">#REF!</definedName>
    <definedName name="_Fill" localSheetId="47" hidden="1">#REF!</definedName>
    <definedName name="_Fill" localSheetId="35" hidden="1">#REF!</definedName>
    <definedName name="_Fill" localSheetId="58" hidden="1">#REF!</definedName>
    <definedName name="_Fill" localSheetId="29" hidden="1">#REF!</definedName>
    <definedName name="_Fill" localSheetId="31" hidden="1">#REF!</definedName>
    <definedName name="_Fill" localSheetId="43" hidden="1">#REF!</definedName>
    <definedName name="_Fill" hidden="1">#REF!</definedName>
    <definedName name="_Order1" hidden="1">255</definedName>
    <definedName name="_Order2" hidden="1">255</definedName>
    <definedName name="a">#REF!</definedName>
    <definedName name="A_1">#REF!</definedName>
    <definedName name="Acceleration">#REF!</definedName>
    <definedName name="API">#REF!</definedName>
    <definedName name="Area">#REF!</definedName>
    <definedName name="b">#REF!</definedName>
    <definedName name="b_1">#REF!</definedName>
    <definedName name="CrewSlopChestSales">[1]Slch.Febr!#REF!</definedName>
    <definedName name="Data">#REF!</definedName>
    <definedName name="Days">'[2]Input list'!$D$2:$D$32</definedName>
    <definedName name="Dens60">#REF!</definedName>
    <definedName name="Density">#REF!</definedName>
    <definedName name="Dry_Volume">#REF!</definedName>
    <definedName name="dT">#REF!</definedName>
    <definedName name="Energy">#REF!</definedName>
    <definedName name="f" localSheetId="24" hidden="1">#REF!</definedName>
    <definedName name="f" localSheetId="14" hidden="1">#REF!</definedName>
    <definedName name="f" localSheetId="13" hidden="1">#REF!</definedName>
    <definedName name="f" localSheetId="11" hidden="1">#REF!</definedName>
    <definedName name="f" localSheetId="2" hidden="1">#REF!</definedName>
    <definedName name="f" localSheetId="63" hidden="1">#REF!</definedName>
    <definedName name="f" localSheetId="64" hidden="1">#REF!</definedName>
    <definedName name="f" localSheetId="65" hidden="1">#REF!</definedName>
    <definedName name="f" localSheetId="45" hidden="1">#REF!</definedName>
    <definedName name="f" localSheetId="46" hidden="1">#REF!</definedName>
    <definedName name="f" localSheetId="44" hidden="1">#REF!</definedName>
    <definedName name="f" localSheetId="3" hidden="1">#REF!</definedName>
    <definedName name="f" localSheetId="4" hidden="1">#REF!</definedName>
    <definedName name="f" localSheetId="5" hidden="1">#REF!</definedName>
    <definedName name="f" localSheetId="50" hidden="1">#REF!</definedName>
    <definedName name="f" localSheetId="51" hidden="1">#REF!</definedName>
    <definedName name="f" localSheetId="52" hidden="1">#REF!</definedName>
    <definedName name="f" localSheetId="53" hidden="1">#REF!</definedName>
    <definedName name="f" localSheetId="47" hidden="1">#REF!</definedName>
    <definedName name="f" localSheetId="43" hidden="1">#REF!</definedName>
    <definedName name="f" hidden="1">#REF!</definedName>
    <definedName name="FFF" localSheetId="24" hidden="1">#REF!</definedName>
    <definedName name="FFF" localSheetId="14" hidden="1">#REF!</definedName>
    <definedName name="FFF" localSheetId="13" hidden="1">#REF!</definedName>
    <definedName name="FFF" localSheetId="11" hidden="1">#REF!</definedName>
    <definedName name="FFF" localSheetId="2" hidden="1">#REF!</definedName>
    <definedName name="FFF" localSheetId="63" hidden="1">#REF!</definedName>
    <definedName name="FFF" localSheetId="64" hidden="1">#REF!</definedName>
    <definedName name="FFF" localSheetId="65" hidden="1">#REF!</definedName>
    <definedName name="FFF" localSheetId="45" hidden="1">#REF!</definedName>
    <definedName name="FFF" localSheetId="46" hidden="1">#REF!</definedName>
    <definedName name="FFF" localSheetId="44" hidden="1">#REF!</definedName>
    <definedName name="FFF" localSheetId="3" hidden="1">#REF!</definedName>
    <definedName name="FFF" localSheetId="4" hidden="1">#REF!</definedName>
    <definedName name="FFF" localSheetId="5" hidden="1">#REF!</definedName>
    <definedName name="FFF" localSheetId="50" hidden="1">#REF!</definedName>
    <definedName name="FFF" localSheetId="51" hidden="1">#REF!</definedName>
    <definedName name="FFF" localSheetId="52" hidden="1">#REF!</definedName>
    <definedName name="FFF" localSheetId="53" hidden="1">#REF!</definedName>
    <definedName name="FFF" localSheetId="47" hidden="1">#REF!</definedName>
    <definedName name="FFF" localSheetId="58" hidden="1">#REF!</definedName>
    <definedName name="FFF" localSheetId="43" hidden="1">#REF!</definedName>
    <definedName name="FFF" hidden="1">#REF!</definedName>
    <definedName name="Fields">#REF!</definedName>
    <definedName name="Force">#REF!</definedName>
    <definedName name="HORMDOND">#REF!</definedName>
    <definedName name="j">#REF!</definedName>
    <definedName name="Length">#REF!</definedName>
    <definedName name="Mass">#REF!</definedName>
    <definedName name="Novorossiysk">#REF!</definedName>
    <definedName name="Onsan">#REF!</definedName>
    <definedName name="Payroll">#REF!</definedName>
    <definedName name="Power">#REF!</definedName>
    <definedName name="ProvisionsData">#REF!</definedName>
    <definedName name="SG">#REF!</definedName>
    <definedName name="Slopchest">#REF!</definedName>
    <definedName name="SlopSales">[1]Slch.Febr!#REF!</definedName>
    <definedName name="T_C">#REF!</definedName>
    <definedName name="T_F">#REF!</definedName>
    <definedName name="TANUHORM">#REF!</definedName>
    <definedName name="Temp">#REF!</definedName>
    <definedName name="Temperature">#REF!</definedName>
    <definedName name="Time">#REF!</definedName>
    <definedName name="Tokio">#REF!</definedName>
    <definedName name="Updates">#REF!</definedName>
    <definedName name="Velocity">#REF!</definedName>
    <definedName name="Volume">#REF!</definedName>
    <definedName name="_xlnm.Print_Area" localSheetId="9">'ASTM Converter (Tab.1)'!$E$4:$I$50</definedName>
    <definedName name="_xlnm.Print_Area" localSheetId="10">'ASTM Converter (Tab.2)'!$E$4:$I$5</definedName>
    <definedName name="_xlnm.Print_Area" localSheetId="2">'ASTM Table Series'!$D$4:$G$50</definedName>
    <definedName name="_xlnm.Print_Area" localSheetId="6">'ASTM Vol. XI - Tab.1'!$D$4:$G$50</definedName>
    <definedName name="_xlnm.Print_Area" localSheetId="45">'Conversion Charts Barrel'!$D$4:$M$67</definedName>
    <definedName name="_xlnm.Print_Area" localSheetId="46">'Conversion Charts Mass &amp; Weight'!$D$4:$M$67</definedName>
    <definedName name="_xlnm.Print_Area" localSheetId="44">'Conversion Charts Metric'!$D$4:$M$50</definedName>
    <definedName name="_xlnm.Print_Area" localSheetId="50">'Guidelines - Wedge Forla (0)'!$D$4:$K$52</definedName>
    <definedName name="_xlnm.Print_Area" localSheetId="51">'Guidelines - Wedge Forla (1)'!$D$4:$K$52</definedName>
    <definedName name="_xlnm.Print_Area" localSheetId="52">'Guidelines - Wedge Forla (2)'!$D$4:$K$52</definedName>
    <definedName name="_xlnm.Print_Area" localSheetId="53">'Guidelines - Wedge Formulas'!$D$4:$K$52</definedName>
    <definedName name="_xlnm.Print_Area" localSheetId="47">'Outturn Charts'!$D$4:$M$67</definedName>
    <definedName name="_xlnm.Print_Area" localSheetId="43">'Which tables to use When'!$D$4:$M$51</definedName>
  </definedNames>
  <calcPr calcId="191029" iterate="1"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8" i="79" l="1"/>
  <c r="R58" i="79"/>
  <c r="W57" i="79"/>
  <c r="S57" i="79"/>
  <c r="W56" i="79"/>
  <c r="V56" i="79"/>
  <c r="S56" i="79"/>
  <c r="R56" i="79"/>
  <c r="W55" i="79"/>
  <c r="V55" i="79"/>
  <c r="S55" i="79"/>
  <c r="R55" i="79"/>
  <c r="V54" i="79"/>
  <c r="R54" i="79"/>
  <c r="AP35" i="79"/>
  <c r="AL35" i="79"/>
  <c r="AJ35" i="79"/>
  <c r="AI35" i="79"/>
  <c r="AH35" i="79"/>
  <c r="AF35" i="79"/>
  <c r="AE35" i="79"/>
  <c r="AD35" i="79"/>
  <c r="AB35" i="79"/>
  <c r="AA35" i="79"/>
  <c r="Z35" i="79"/>
  <c r="V35" i="79"/>
  <c r="R35" i="79"/>
  <c r="N35" i="79"/>
  <c r="L35" i="79"/>
  <c r="K35" i="79"/>
  <c r="J35" i="79"/>
  <c r="AR34" i="79"/>
  <c r="AQ34" i="79"/>
  <c r="AN34" i="79"/>
  <c r="AM34" i="79"/>
  <c r="AJ34" i="79"/>
  <c r="AI34" i="79"/>
  <c r="AF34" i="79"/>
  <c r="AE34" i="79"/>
  <c r="AB34" i="79"/>
  <c r="AA34" i="79"/>
  <c r="X34" i="79"/>
  <c r="W34" i="79"/>
  <c r="S34" i="79"/>
  <c r="O34" i="79"/>
  <c r="AR33" i="79"/>
  <c r="AQ33" i="79"/>
  <c r="AP33" i="79"/>
  <c r="AN33" i="79"/>
  <c r="AM33" i="79"/>
  <c r="AL33" i="79"/>
  <c r="AJ33" i="79"/>
  <c r="AI33" i="79"/>
  <c r="AH33" i="79"/>
  <c r="AF33" i="79"/>
  <c r="AE33" i="79"/>
  <c r="AD33" i="79"/>
  <c r="AB33" i="79"/>
  <c r="AA33" i="79"/>
  <c r="Z33" i="79"/>
  <c r="X33" i="79"/>
  <c r="W33" i="79"/>
  <c r="V33" i="79"/>
  <c r="S33" i="79"/>
  <c r="R33" i="79"/>
  <c r="O33" i="79"/>
  <c r="N33" i="79"/>
  <c r="K33" i="79"/>
  <c r="J33" i="79"/>
  <c r="AR32" i="79"/>
  <c r="AQ32" i="79"/>
  <c r="AP32" i="79"/>
  <c r="AN32" i="79"/>
  <c r="AM32" i="79"/>
  <c r="AL32" i="79"/>
  <c r="AJ32" i="79"/>
  <c r="AI32" i="79"/>
  <c r="AH32" i="79"/>
  <c r="AF32" i="79"/>
  <c r="AE32" i="79"/>
  <c r="AD32" i="79"/>
  <c r="AB32" i="79"/>
  <c r="AA32" i="79"/>
  <c r="Z32" i="79"/>
  <c r="X32" i="79"/>
  <c r="W32" i="79"/>
  <c r="V32" i="79"/>
  <c r="S32" i="79"/>
  <c r="R32" i="79"/>
  <c r="O32" i="79"/>
  <c r="N32" i="79"/>
  <c r="L32" i="79"/>
  <c r="K32" i="79"/>
  <c r="J32" i="79"/>
  <c r="AP31" i="79"/>
  <c r="AL31" i="79"/>
  <c r="AH31" i="79"/>
  <c r="AD31" i="79"/>
  <c r="Z31" i="79"/>
  <c r="V31" i="79"/>
  <c r="R31" i="79"/>
  <c r="N31" i="79"/>
  <c r="J31" i="79"/>
  <c r="AR10" i="79"/>
  <c r="AQ10" i="79"/>
  <c r="AP10" i="79"/>
  <c r="AJ10" i="79"/>
  <c r="AI10" i="79"/>
  <c r="AH10" i="79"/>
  <c r="AB10" i="79"/>
  <c r="AA10" i="79"/>
  <c r="Z10" i="79"/>
  <c r="X10" i="79"/>
  <c r="W10" i="79"/>
  <c r="V10" i="79"/>
  <c r="T10" i="79"/>
  <c r="S10" i="79"/>
  <c r="R10" i="79"/>
  <c r="AR9" i="79"/>
  <c r="AQ9" i="79"/>
  <c r="AJ9" i="79"/>
  <c r="AI9" i="79"/>
  <c r="AB9" i="79"/>
  <c r="AA9" i="79"/>
  <c r="X9" i="79"/>
  <c r="W9" i="79"/>
  <c r="T9" i="79"/>
  <c r="S9" i="79"/>
  <c r="AR8" i="79"/>
  <c r="AQ8" i="79"/>
  <c r="AP8" i="79"/>
  <c r="AJ8" i="79"/>
  <c r="AI8" i="79"/>
  <c r="AH8" i="79"/>
  <c r="AB8" i="79"/>
  <c r="AA8" i="79"/>
  <c r="Z8" i="79"/>
  <c r="X8" i="79"/>
  <c r="W8" i="79"/>
  <c r="V8" i="79"/>
  <c r="T8" i="79"/>
  <c r="S8" i="79"/>
  <c r="R8" i="79"/>
  <c r="AR7" i="79"/>
  <c r="AQ7" i="79"/>
  <c r="AP7" i="79"/>
  <c r="AJ7" i="79"/>
  <c r="AI7" i="79"/>
  <c r="AH7" i="79"/>
  <c r="AB7" i="79"/>
  <c r="AA7" i="79"/>
  <c r="Z7" i="79"/>
  <c r="X7" i="79"/>
  <c r="W7" i="79"/>
  <c r="V7" i="79"/>
  <c r="T7" i="79"/>
  <c r="S7" i="79"/>
  <c r="R7" i="79"/>
  <c r="AP6" i="79"/>
  <c r="AH6" i="79"/>
  <c r="Z6" i="79"/>
  <c r="V6" i="79"/>
  <c r="R6" i="79"/>
  <c r="E60" i="79" l="1"/>
  <c r="K70" i="79" s="1"/>
  <c r="N70" i="79" s="1"/>
  <c r="V70" i="79" s="1"/>
  <c r="E55" i="79"/>
  <c r="E56" i="79" s="1"/>
  <c r="E35" i="79"/>
  <c r="K43" i="79" s="1"/>
  <c r="N43" i="79" s="1"/>
  <c r="X43" i="79" s="1"/>
  <c r="E32" i="79"/>
  <c r="AP37" i="79" s="1"/>
  <c r="AP36" i="79" s="1"/>
  <c r="E10" i="79"/>
  <c r="K18" i="79" s="1"/>
  <c r="M18" i="79" s="1"/>
  <c r="E7" i="79"/>
  <c r="AL12" i="79" s="1"/>
  <c r="AL11" i="79" s="1"/>
  <c r="N11" i="78"/>
  <c r="J11" i="78"/>
  <c r="F11" i="78"/>
  <c r="N7" i="78"/>
  <c r="J7" i="78"/>
  <c r="F7" i="78"/>
  <c r="J6" i="78"/>
  <c r="F6" i="78"/>
  <c r="H22" i="77"/>
  <c r="H19" i="77"/>
  <c r="H22" i="71"/>
  <c r="AA115" i="77"/>
  <c r="Z115" i="77"/>
  <c r="AA114" i="77"/>
  <c r="Z114" i="77"/>
  <c r="AA113" i="77"/>
  <c r="Z113" i="77"/>
  <c r="AA112" i="77"/>
  <c r="Z112" i="77"/>
  <c r="AA111" i="77"/>
  <c r="Z111" i="77"/>
  <c r="AA110" i="77"/>
  <c r="Z110" i="77"/>
  <c r="AA109" i="77"/>
  <c r="X110" i="77" s="1"/>
  <c r="Z109" i="77"/>
  <c r="AA108" i="77"/>
  <c r="Z108" i="77"/>
  <c r="AA107" i="77"/>
  <c r="Z107" i="77"/>
  <c r="X107" i="77"/>
  <c r="AA106" i="77"/>
  <c r="Z106" i="77"/>
  <c r="AA105" i="77"/>
  <c r="Z105" i="77"/>
  <c r="AA104" i="77"/>
  <c r="Z104" i="77"/>
  <c r="AA103" i="77"/>
  <c r="Z103" i="77"/>
  <c r="F17" i="76"/>
  <c r="E19" i="76"/>
  <c r="F19" i="76" s="1"/>
  <c r="E18" i="76"/>
  <c r="F18" i="76" s="1"/>
  <c r="E15" i="76"/>
  <c r="F15" i="76" s="1"/>
  <c r="E14" i="76"/>
  <c r="F14" i="76" s="1"/>
  <c r="F13" i="76"/>
  <c r="E11" i="76"/>
  <c r="F11" i="76" s="1"/>
  <c r="E10" i="76"/>
  <c r="F10" i="76" s="1"/>
  <c r="F9" i="76"/>
  <c r="E7" i="76"/>
  <c r="F7" i="76" s="1"/>
  <c r="E6" i="76"/>
  <c r="F6" i="76" s="1"/>
  <c r="F5" i="76"/>
  <c r="AM11" i="79" l="1"/>
  <c r="AN11" i="79"/>
  <c r="AL13" i="79"/>
  <c r="AP38" i="79"/>
  <c r="AR36" i="79"/>
  <c r="AQ36" i="79"/>
  <c r="K22" i="79"/>
  <c r="M22" i="79" s="1"/>
  <c r="K47" i="79"/>
  <c r="N47" i="79" s="1"/>
  <c r="X47" i="79" s="1"/>
  <c r="AH60" i="79"/>
  <c r="AH59" i="79" s="1"/>
  <c r="J60" i="79"/>
  <c r="J59" i="79" s="1"/>
  <c r="J70" i="79"/>
  <c r="L70" i="79" s="1"/>
  <c r="AD60" i="79"/>
  <c r="AD59" i="79" s="1"/>
  <c r="J66" i="79"/>
  <c r="L66" i="79" s="1"/>
  <c r="N60" i="79"/>
  <c r="N59" i="79" s="1"/>
  <c r="Z60" i="79"/>
  <c r="Z59" i="79" s="1"/>
  <c r="R12" i="79"/>
  <c r="R11" i="79" s="1"/>
  <c r="V37" i="79"/>
  <c r="V36" i="79" s="1"/>
  <c r="AD12" i="79"/>
  <c r="AD11" i="79" s="1"/>
  <c r="J22" i="79"/>
  <c r="L22" i="79" s="1"/>
  <c r="J37" i="79"/>
  <c r="J36" i="79" s="1"/>
  <c r="AH37" i="79"/>
  <c r="AH36" i="79" s="1"/>
  <c r="J43" i="79"/>
  <c r="L43" i="79" s="1"/>
  <c r="O43" i="79" s="1"/>
  <c r="J12" i="79"/>
  <c r="J11" i="79" s="1"/>
  <c r="AP12" i="79"/>
  <c r="AP11" i="79" s="1"/>
  <c r="J47" i="79"/>
  <c r="L47" i="79" s="1"/>
  <c r="K66" i="79"/>
  <c r="N66" i="79" s="1"/>
  <c r="Z37" i="79"/>
  <c r="Z36" i="79" s="1"/>
  <c r="E57" i="79"/>
  <c r="V12" i="79"/>
  <c r="V11" i="79" s="1"/>
  <c r="AH12" i="79"/>
  <c r="AH11" i="79" s="1"/>
  <c r="N12" i="79"/>
  <c r="N11" i="79" s="1"/>
  <c r="Z12" i="79"/>
  <c r="Z11" i="79" s="1"/>
  <c r="J18" i="79"/>
  <c r="L18" i="79" s="1"/>
  <c r="O18" i="79" s="1"/>
  <c r="R37" i="79"/>
  <c r="R36" i="79" s="1"/>
  <c r="AD37" i="79"/>
  <c r="AD36" i="79" s="1"/>
  <c r="N37" i="79"/>
  <c r="N36" i="79" s="1"/>
  <c r="AL37" i="79"/>
  <c r="AL36" i="79" s="1"/>
  <c r="H15" i="46"/>
  <c r="AF115" i="46"/>
  <c r="AF117" i="46"/>
  <c r="AF116" i="46"/>
  <c r="AF114" i="46"/>
  <c r="H15" i="75"/>
  <c r="H17" i="75" s="1"/>
  <c r="AF116" i="75"/>
  <c r="H10" i="75" s="1"/>
  <c r="AF121" i="75"/>
  <c r="AF120" i="75"/>
  <c r="AF119" i="75"/>
  <c r="H13" i="75" s="1"/>
  <c r="AF118" i="75"/>
  <c r="H12" i="75" s="1"/>
  <c r="AF117" i="75"/>
  <c r="H11" i="75" s="1"/>
  <c r="AE116" i="75"/>
  <c r="AE120" i="75"/>
  <c r="AE119" i="75"/>
  <c r="AE118" i="75"/>
  <c r="AY129" i="75" s="1"/>
  <c r="AE117" i="75"/>
  <c r="AD117" i="75"/>
  <c r="F11" i="75" s="1"/>
  <c r="AH104" i="75"/>
  <c r="AD104" i="75"/>
  <c r="F7" i="13"/>
  <c r="N12" i="70"/>
  <c r="AJ134" i="70"/>
  <c r="N38" i="79" l="1"/>
  <c r="O38" i="79" s="1"/>
  <c r="O36" i="79"/>
  <c r="L36" i="79"/>
  <c r="K36" i="79"/>
  <c r="J38" i="79"/>
  <c r="AD61" i="79"/>
  <c r="AE59" i="79"/>
  <c r="AF59" i="79"/>
  <c r="R38" i="79"/>
  <c r="S38" i="79" s="1"/>
  <c r="S36" i="79"/>
  <c r="AD13" i="79"/>
  <c r="AE11" i="79"/>
  <c r="AF11" i="79"/>
  <c r="AH61" i="79"/>
  <c r="AI59" i="79"/>
  <c r="AJ59" i="79"/>
  <c r="AB11" i="79"/>
  <c r="Z13" i="79"/>
  <c r="AA11" i="79"/>
  <c r="R13" i="79"/>
  <c r="T11" i="79"/>
  <c r="S11" i="79"/>
  <c r="O11" i="79"/>
  <c r="N13" i="79"/>
  <c r="P11" i="79"/>
  <c r="Z61" i="79"/>
  <c r="AA59" i="79"/>
  <c r="AB59" i="79"/>
  <c r="AN13" i="79"/>
  <c r="AM13" i="79"/>
  <c r="AM12" i="79" s="1"/>
  <c r="E24" i="79" s="1"/>
  <c r="F26" i="78" s="1"/>
  <c r="K59" i="79"/>
  <c r="J61" i="79"/>
  <c r="L59" i="79"/>
  <c r="W36" i="79"/>
  <c r="V38" i="79"/>
  <c r="X36" i="79"/>
  <c r="AP13" i="79"/>
  <c r="AQ11" i="79"/>
  <c r="AR11" i="79"/>
  <c r="J13" i="79"/>
  <c r="L11" i="79"/>
  <c r="K11" i="79"/>
  <c r="AI11" i="79"/>
  <c r="AJ11" i="79"/>
  <c r="AH13" i="79"/>
  <c r="P59" i="79"/>
  <c r="O59" i="79"/>
  <c r="N61" i="79"/>
  <c r="AR38" i="79"/>
  <c r="AR37" i="79" s="1"/>
  <c r="E50" i="79" s="1"/>
  <c r="J27" i="78" s="1"/>
  <c r="AQ38" i="79"/>
  <c r="AQ37" i="79" s="1"/>
  <c r="E49" i="79" s="1"/>
  <c r="J26" i="78" s="1"/>
  <c r="AF36" i="79"/>
  <c r="AE36" i="79"/>
  <c r="AD38" i="79"/>
  <c r="AB36" i="79"/>
  <c r="AA36" i="79"/>
  <c r="Z38" i="79"/>
  <c r="AN36" i="79"/>
  <c r="AL38" i="79"/>
  <c r="AM36" i="79"/>
  <c r="X11" i="79"/>
  <c r="V13" i="79"/>
  <c r="W11" i="79"/>
  <c r="AH38" i="79"/>
  <c r="AJ36" i="79"/>
  <c r="AI36" i="79"/>
  <c r="O66" i="79"/>
  <c r="N6" i="78"/>
  <c r="P18" i="79"/>
  <c r="X18" i="79" s="1"/>
  <c r="F9" i="78" s="1"/>
  <c r="P47" i="79"/>
  <c r="T46" i="79"/>
  <c r="P46" i="79"/>
  <c r="O47" i="79"/>
  <c r="S46" i="79"/>
  <c r="Q46" i="79"/>
  <c r="Q47" i="79"/>
  <c r="V47" i="79" s="1"/>
  <c r="V46" i="79"/>
  <c r="S70" i="79"/>
  <c r="R70" i="79"/>
  <c r="P70" i="79"/>
  <c r="O70" i="79"/>
  <c r="T70" i="79" s="1"/>
  <c r="W70" i="79" s="1"/>
  <c r="N10" i="78" s="1"/>
  <c r="S43" i="79"/>
  <c r="T43" i="79" s="1"/>
  <c r="V43" i="79"/>
  <c r="V60" i="79"/>
  <c r="V59" i="79" s="1"/>
  <c r="R60" i="79"/>
  <c r="R59" i="79" s="1"/>
  <c r="P22" i="79"/>
  <c r="O22" i="79"/>
  <c r="Q22" i="79" s="1"/>
  <c r="T22" i="79"/>
  <c r="S22" i="79"/>
  <c r="AN12" i="79"/>
  <c r="E25" i="79" s="1"/>
  <c r="F27" i="78" s="1"/>
  <c r="AI118" i="75"/>
  <c r="I12" i="75" s="1"/>
  <c r="BE117" i="75"/>
  <c r="AY134" i="75"/>
  <c r="AE127" i="75"/>
  <c r="AM110" i="75" s="1"/>
  <c r="AO110" i="75" s="1"/>
  <c r="AY105" i="75"/>
  <c r="AY110" i="75"/>
  <c r="AE130" i="75"/>
  <c r="AM130" i="75" s="1"/>
  <c r="AO130" i="75" s="1"/>
  <c r="AE128" i="75"/>
  <c r="AM134" i="75" s="1"/>
  <c r="AO134" i="75" s="1"/>
  <c r="AU134" i="75" s="1"/>
  <c r="BE122" i="75"/>
  <c r="H14" i="75"/>
  <c r="AE129" i="75"/>
  <c r="J11" i="70"/>
  <c r="AN38" i="79" l="1"/>
  <c r="AM38" i="79"/>
  <c r="AM37" i="79" s="1"/>
  <c r="E47" i="79" s="1"/>
  <c r="J24" i="78" s="1"/>
  <c r="AA13" i="79"/>
  <c r="AA12" i="79" s="1"/>
  <c r="E18" i="79" s="1"/>
  <c r="F20" i="78" s="1"/>
  <c r="AB13" i="79"/>
  <c r="AB12" i="79" s="1"/>
  <c r="E19" i="79" s="1"/>
  <c r="F21" i="78" s="1"/>
  <c r="L61" i="79"/>
  <c r="L60" i="79" s="1"/>
  <c r="E59" i="79" s="1"/>
  <c r="N13" i="78" s="1"/>
  <c r="K61" i="79"/>
  <c r="K60" i="79" s="1"/>
  <c r="E58" i="79" s="1"/>
  <c r="N12" i="78" s="1"/>
  <c r="AB38" i="79"/>
  <c r="AA38" i="79"/>
  <c r="AA37" i="79" s="1"/>
  <c r="E41" i="79" s="1"/>
  <c r="J18" i="78" s="1"/>
  <c r="P61" i="79"/>
  <c r="O61" i="79"/>
  <c r="O60" i="79" s="1"/>
  <c r="E62" i="79" s="1"/>
  <c r="N14" i="78" s="1"/>
  <c r="L13" i="79"/>
  <c r="L12" i="79" s="1"/>
  <c r="E9" i="79" s="1"/>
  <c r="F13" i="78" s="1"/>
  <c r="K13" i="79"/>
  <c r="K12" i="79" s="1"/>
  <c r="E8" i="79" s="1"/>
  <c r="F12" i="78" s="1"/>
  <c r="O13" i="79"/>
  <c r="O12" i="79" s="1"/>
  <c r="E12" i="79" s="1"/>
  <c r="F14" i="78" s="1"/>
  <c r="P13" i="79"/>
  <c r="P12" i="79" s="1"/>
  <c r="E13" i="79" s="1"/>
  <c r="F15" i="78" s="1"/>
  <c r="S59" i="79"/>
  <c r="R61" i="79"/>
  <c r="S61" i="79" s="1"/>
  <c r="AJ38" i="79"/>
  <c r="AI38" i="79"/>
  <c r="AI37" i="79" s="1"/>
  <c r="E45" i="79" s="1"/>
  <c r="J22" i="78" s="1"/>
  <c r="V61" i="79"/>
  <c r="W61" i="79" s="1"/>
  <c r="W59" i="79"/>
  <c r="AJ61" i="79"/>
  <c r="AI61" i="79"/>
  <c r="AF61" i="79"/>
  <c r="AE61" i="79"/>
  <c r="AE60" i="79" s="1"/>
  <c r="E68" i="79" s="1"/>
  <c r="N20" i="78" s="1"/>
  <c r="AB61" i="79"/>
  <c r="AA61" i="79"/>
  <c r="X13" i="79"/>
  <c r="X12" i="79" s="1"/>
  <c r="E17" i="79" s="1"/>
  <c r="F19" i="78" s="1"/>
  <c r="W13" i="79"/>
  <c r="W12" i="79" s="1"/>
  <c r="E16" i="79" s="1"/>
  <c r="F18" i="78" s="1"/>
  <c r="AE38" i="79"/>
  <c r="AE37" i="79" s="1"/>
  <c r="E43" i="79" s="1"/>
  <c r="J20" i="78" s="1"/>
  <c r="AF38" i="79"/>
  <c r="AI13" i="79"/>
  <c r="AI12" i="79" s="1"/>
  <c r="E22" i="79" s="1"/>
  <c r="F24" i="78" s="1"/>
  <c r="AJ13" i="79"/>
  <c r="AJ12" i="79" s="1"/>
  <c r="E23" i="79" s="1"/>
  <c r="F25" i="78" s="1"/>
  <c r="AQ13" i="79"/>
  <c r="AQ12" i="79" s="1"/>
  <c r="E26" i="79" s="1"/>
  <c r="F28" i="78" s="1"/>
  <c r="AR13" i="79"/>
  <c r="AR12" i="79" s="1"/>
  <c r="E27" i="79" s="1"/>
  <c r="F29" i="78" s="1"/>
  <c r="L38" i="79"/>
  <c r="L37" i="79" s="1"/>
  <c r="E34" i="79" s="1"/>
  <c r="J13" i="78" s="1"/>
  <c r="K38" i="79"/>
  <c r="K37" i="79" s="1"/>
  <c r="E33" i="79" s="1"/>
  <c r="J12" i="78" s="1"/>
  <c r="T13" i="79"/>
  <c r="T12" i="79" s="1"/>
  <c r="E15" i="79" s="1"/>
  <c r="F17" i="78" s="1"/>
  <c r="S13" i="79"/>
  <c r="S12" i="79" s="1"/>
  <c r="E14" i="79" s="1"/>
  <c r="F16" i="78" s="1"/>
  <c r="W38" i="79"/>
  <c r="W37" i="79" s="1"/>
  <c r="E39" i="79" s="1"/>
  <c r="J16" i="78" s="1"/>
  <c r="X38" i="79"/>
  <c r="X37" i="79" s="1"/>
  <c r="E40" i="79" s="1"/>
  <c r="J17" i="78" s="1"/>
  <c r="AE13" i="79"/>
  <c r="AF13" i="79"/>
  <c r="AN37" i="79"/>
  <c r="E48" i="79" s="1"/>
  <c r="J25" i="78" s="1"/>
  <c r="AF60" i="79"/>
  <c r="E69" i="79" s="1"/>
  <c r="N21" i="78" s="1"/>
  <c r="AB37" i="79"/>
  <c r="E42" i="79" s="1"/>
  <c r="J19" i="78" s="1"/>
  <c r="U22" i="79"/>
  <c r="O37" i="79"/>
  <c r="E37" i="79" s="1"/>
  <c r="J14" i="78" s="1"/>
  <c r="AF12" i="79"/>
  <c r="E21" i="79" s="1"/>
  <c r="F23" i="78" s="1"/>
  <c r="AE12" i="79"/>
  <c r="E20" i="79" s="1"/>
  <c r="F22" i="78" s="1"/>
  <c r="S37" i="79"/>
  <c r="E38" i="79" s="1"/>
  <c r="J15" i="78" s="1"/>
  <c r="S47" i="79"/>
  <c r="T47" i="79" s="1"/>
  <c r="W47" i="79" s="1"/>
  <c r="P60" i="79"/>
  <c r="E63" i="79" s="1"/>
  <c r="N15" i="78" s="1"/>
  <c r="AB60" i="79"/>
  <c r="E67" i="79" s="1"/>
  <c r="N19" i="78" s="1"/>
  <c r="AA60" i="79"/>
  <c r="E66" i="79" s="1"/>
  <c r="N18" i="78" s="1"/>
  <c r="AJ37" i="79"/>
  <c r="E46" i="79" s="1"/>
  <c r="J23" i="78" s="1"/>
  <c r="AF37" i="79"/>
  <c r="E44" i="79" s="1"/>
  <c r="J21" i="78" s="1"/>
  <c r="W43" i="79"/>
  <c r="AJ60" i="79"/>
  <c r="E71" i="79" s="1"/>
  <c r="N23" i="78" s="1"/>
  <c r="AI60" i="79"/>
  <c r="E70" i="79" s="1"/>
  <c r="N22" i="78" s="1"/>
  <c r="P66" i="79"/>
  <c r="W66" i="79" s="1"/>
  <c r="N9" i="78" s="1"/>
  <c r="AM122" i="75"/>
  <c r="AO122" i="75" s="1"/>
  <c r="AW122" i="75" s="1"/>
  <c r="AM105" i="75"/>
  <c r="AO105" i="75" s="1"/>
  <c r="AM117" i="75"/>
  <c r="AO117" i="75" s="1"/>
  <c r="AW117" i="75" s="1"/>
  <c r="AM135" i="75"/>
  <c r="AO135" i="75" s="1"/>
  <c r="AU135" i="75" s="1"/>
  <c r="AM129" i="75"/>
  <c r="AO129" i="75" s="1"/>
  <c r="AM123" i="75"/>
  <c r="AO123" i="75" s="1"/>
  <c r="AW123" i="75" s="1"/>
  <c r="AM118" i="75"/>
  <c r="AO118" i="75" s="1"/>
  <c r="AW118" i="75" s="1"/>
  <c r="AM111" i="75"/>
  <c r="AO111" i="75" s="1"/>
  <c r="AM106" i="75"/>
  <c r="AO106" i="75" s="1"/>
  <c r="H20" i="71"/>
  <c r="H21" i="71"/>
  <c r="S60" i="79" l="1"/>
  <c r="E64" i="79" s="1"/>
  <c r="N16" i="78" s="1"/>
  <c r="Y47" i="79"/>
  <c r="AB47" i="79"/>
  <c r="AB43" i="79"/>
  <c r="Y43" i="79"/>
  <c r="W60" i="79"/>
  <c r="E65" i="79" s="1"/>
  <c r="N17" i="78" s="1"/>
  <c r="W22" i="79"/>
  <c r="X22" i="79" s="1"/>
  <c r="F10" i="78" s="1"/>
  <c r="AA115" i="71"/>
  <c r="Z115" i="71"/>
  <c r="AA114" i="71"/>
  <c r="Z114" i="71"/>
  <c r="AA113" i="71"/>
  <c r="Z113" i="71"/>
  <c r="AA112" i="71"/>
  <c r="Z112" i="71"/>
  <c r="AA111" i="71"/>
  <c r="Z111" i="71"/>
  <c r="AA110" i="71"/>
  <c r="X107" i="71" s="1"/>
  <c r="Z110" i="71"/>
  <c r="AA109" i="71"/>
  <c r="X110" i="71" s="1"/>
  <c r="Z109" i="71"/>
  <c r="AA108" i="71"/>
  <c r="Z108" i="71"/>
  <c r="AA107" i="71"/>
  <c r="Z107" i="71"/>
  <c r="AA106" i="71"/>
  <c r="Z106" i="71"/>
  <c r="AA105" i="71"/>
  <c r="Z105" i="71"/>
  <c r="AA104" i="71"/>
  <c r="Z104" i="71"/>
  <c r="AA103" i="71"/>
  <c r="Z103" i="71"/>
  <c r="AA47" i="79" l="1"/>
  <c r="AC47" i="79"/>
  <c r="AE47" i="79" s="1"/>
  <c r="AF47" i="79" s="1"/>
  <c r="J10" i="78" s="1"/>
  <c r="AA43" i="79"/>
  <c r="AC43" i="79"/>
  <c r="AE43" i="79" s="1"/>
  <c r="AF43" i="79" s="1"/>
  <c r="J9" i="78" s="1"/>
  <c r="AD102" i="70"/>
  <c r="AC102" i="70" s="1"/>
  <c r="AE110" i="70"/>
  <c r="AE112" i="70"/>
  <c r="AE111" i="70"/>
  <c r="AE109" i="70"/>
  <c r="AI130" i="70"/>
  <c r="AI128" i="70"/>
  <c r="AI129" i="70"/>
  <c r="AH128" i="70"/>
  <c r="H5" i="70"/>
  <c r="AV133" i="58"/>
  <c r="AU133" i="58"/>
  <c r="G7" i="36"/>
  <c r="G8" i="36"/>
  <c r="AE114" i="46"/>
  <c r="AE117" i="46"/>
  <c r="AE116" i="46"/>
  <c r="AE115" i="46"/>
  <c r="AD104" i="46"/>
  <c r="N7" i="59"/>
  <c r="AH165" i="59" s="1"/>
  <c r="L7" i="59"/>
  <c r="H7" i="59"/>
  <c r="G7" i="59"/>
  <c r="AG165" i="59" s="1"/>
  <c r="F7" i="59"/>
  <c r="AE124" i="46" l="1"/>
  <c r="AM134" i="46" s="1"/>
  <c r="AE126" i="46"/>
  <c r="AM135" i="46" s="1"/>
  <c r="K7" i="59"/>
  <c r="AM102" i="70"/>
  <c r="AI133" i="70" s="1"/>
  <c r="AL102" i="70"/>
  <c r="AK133" i="70" s="1"/>
  <c r="H10" i="70"/>
  <c r="H9" i="70"/>
  <c r="AL110" i="70"/>
  <c r="AK109" i="70" s="1"/>
  <c r="AG141" i="59"/>
  <c r="AI165" i="59"/>
  <c r="AI141" i="59"/>
  <c r="L11" i="70"/>
  <c r="L17" i="70" s="1"/>
  <c r="H11" i="70"/>
  <c r="K11" i="70"/>
  <c r="L16" i="70" s="1"/>
  <c r="AF112" i="70"/>
  <c r="AE124" i="70" s="1"/>
  <c r="AD109" i="70"/>
  <c r="AG102" i="70"/>
  <c r="AF132" i="70" s="1"/>
  <c r="AI102" i="70"/>
  <c r="AH133" i="70" s="1"/>
  <c r="AJ102" i="70"/>
  <c r="AD133" i="70" s="1"/>
  <c r="AK102" i="70"/>
  <c r="AG133" i="70" s="1"/>
  <c r="AL133" i="70"/>
  <c r="AD110" i="70"/>
  <c r="AF109" i="70"/>
  <c r="AF110" i="70"/>
  <c r="AF111" i="70"/>
  <c r="AE117" i="70" s="1"/>
  <c r="AR104" i="70" s="1"/>
  <c r="I11" i="70"/>
  <c r="AE123" i="46"/>
  <c r="AM110" i="46" s="1"/>
  <c r="AE125" i="46"/>
  <c r="AM111" i="46" s="1"/>
  <c r="AH130" i="70"/>
  <c r="AH129" i="70"/>
  <c r="AM129" i="46" l="1"/>
  <c r="AM130" i="46"/>
  <c r="AL109" i="70"/>
  <c r="AJ133" i="70" s="1"/>
  <c r="AE123" i="70"/>
  <c r="AR122" i="70"/>
  <c r="AT122" i="70" s="1"/>
  <c r="AE152" i="70"/>
  <c r="AE151" i="70"/>
  <c r="AE143" i="70"/>
  <c r="AG143" i="70" s="1"/>
  <c r="AE142" i="70"/>
  <c r="AG142" i="70" s="1"/>
  <c r="AF133" i="70"/>
  <c r="AE133" i="70"/>
  <c r="AR117" i="70"/>
  <c r="AT117" i="70" s="1"/>
  <c r="AG151" i="70" s="1"/>
  <c r="AT104" i="70"/>
  <c r="AE118" i="70"/>
  <c r="AR109" i="70"/>
  <c r="AT109" i="70" s="1"/>
  <c r="AM122" i="46"/>
  <c r="AM105" i="46"/>
  <c r="AM106" i="46"/>
  <c r="AM118" i="46"/>
  <c r="AM117" i="46"/>
  <c r="AM123" i="46"/>
  <c r="F19" i="63"/>
  <c r="F21" i="63" s="1"/>
  <c r="F11" i="63"/>
  <c r="F12" i="63" s="1"/>
  <c r="F14" i="63" s="1"/>
  <c r="F9" i="63"/>
  <c r="AB104" i="62"/>
  <c r="AD104" i="62" s="1"/>
  <c r="AF103" i="62"/>
  <c r="AB103" i="62"/>
  <c r="AD103" i="62" s="1"/>
  <c r="AA103" i="62"/>
  <c r="AC103" i="62" s="1"/>
  <c r="G11" i="62"/>
  <c r="AB103" i="61"/>
  <c r="AD103" i="61" s="1"/>
  <c r="AA103" i="61"/>
  <c r="AC103" i="61" s="1"/>
  <c r="F15" i="63" l="1"/>
  <c r="F16" i="63" s="1"/>
  <c r="AA104" i="62"/>
  <c r="AC104" i="62" s="1"/>
  <c r="AE104" i="62" s="1"/>
  <c r="F12" i="62" s="1"/>
  <c r="AE150" i="70"/>
  <c r="AE149" i="70"/>
  <c r="AZ122" i="70"/>
  <c r="AG152" i="70"/>
  <c r="AR116" i="70"/>
  <c r="AT116" i="70" s="1"/>
  <c r="AG144" i="70" s="1"/>
  <c r="AE145" i="70"/>
  <c r="AE144" i="70"/>
  <c r="AR110" i="70"/>
  <c r="AT110" i="70" s="1"/>
  <c r="AG150" i="70" s="1"/>
  <c r="AR105" i="70"/>
  <c r="AT105" i="70" s="1"/>
  <c r="AR121" i="70"/>
  <c r="AT121" i="70" s="1"/>
  <c r="AE103" i="62"/>
  <c r="AG103" i="62" s="1"/>
  <c r="F8" i="62" s="1"/>
  <c r="AE103" i="61"/>
  <c r="E9" i="61" s="1"/>
  <c r="AE104" i="61" s="1"/>
  <c r="E5" i="61" s="1"/>
  <c r="F23" i="63"/>
  <c r="K9" i="63"/>
  <c r="K10" i="63" s="1"/>
  <c r="F13" i="62" l="1"/>
  <c r="G13" i="62" s="1"/>
  <c r="AE135" i="70"/>
  <c r="AE134" i="70"/>
  <c r="AG149" i="70"/>
  <c r="AG135" i="70" s="1"/>
  <c r="AZ121" i="70"/>
  <c r="AG145" i="70"/>
  <c r="AG134" i="70" s="1"/>
  <c r="AF104" i="62"/>
  <c r="E13" i="61"/>
  <c r="K11" i="63"/>
  <c r="K14" i="63" s="1"/>
  <c r="K13" i="63"/>
  <c r="F14" i="62" l="1"/>
  <c r="G14" i="62" s="1"/>
  <c r="AF6" i="57"/>
  <c r="H13" i="47"/>
  <c r="F13" i="47"/>
  <c r="F7" i="47"/>
  <c r="AK227" i="60"/>
  <c r="AK220" i="60" s="1"/>
  <c r="AJ226" i="60"/>
  <c r="AJ227" i="60" s="1"/>
  <c r="AI225" i="60"/>
  <c r="AI223" i="60" s="1"/>
  <c r="AH224" i="60"/>
  <c r="AH225" i="60" s="1"/>
  <c r="AG223" i="60"/>
  <c r="AF222" i="60"/>
  <c r="AF225" i="60" s="1"/>
  <c r="AE221" i="60"/>
  <c r="AE224" i="60" s="1"/>
  <c r="AD220" i="60"/>
  <c r="AD223" i="60" s="1"/>
  <c r="AF213" i="60"/>
  <c r="AB212" i="60"/>
  <c r="AB211" i="60"/>
  <c r="AB210" i="60" s="1"/>
  <c r="AG214" i="60" s="1"/>
  <c r="BP206" i="60"/>
  <c r="BO206" i="60"/>
  <c r="BJ206" i="60"/>
  <c r="BI206" i="60"/>
  <c r="BH206" i="60"/>
  <c r="BG206" i="60"/>
  <c r="BB206" i="60"/>
  <c r="BA206" i="60"/>
  <c r="AY206" i="60"/>
  <c r="AX206" i="60"/>
  <c r="AV206" i="60"/>
  <c r="AU206" i="60"/>
  <c r="AH206" i="60"/>
  <c r="BT226" i="60" s="1"/>
  <c r="BV226" i="60" s="1"/>
  <c r="CB226" i="60" s="1"/>
  <c r="AE206" i="60"/>
  <c r="AE219" i="60" s="1"/>
  <c r="BP205" i="60"/>
  <c r="BO205" i="60"/>
  <c r="BJ205" i="60"/>
  <c r="BI205" i="60"/>
  <c r="BH205" i="60"/>
  <c r="BG205" i="60"/>
  <c r="BB205" i="60"/>
  <c r="BA205" i="60"/>
  <c r="AY205" i="60"/>
  <c r="AX205" i="60"/>
  <c r="AV205" i="60"/>
  <c r="AU205" i="60"/>
  <c r="AH205" i="60"/>
  <c r="BT225" i="60" s="1"/>
  <c r="BV225" i="60" s="1"/>
  <c r="CB225" i="60" s="1"/>
  <c r="AE205" i="60"/>
  <c r="AB220" i="60" s="1"/>
  <c r="BP204" i="60"/>
  <c r="BO204" i="60"/>
  <c r="BJ204" i="60"/>
  <c r="BI204" i="60"/>
  <c r="BH204" i="60"/>
  <c r="BG204" i="60"/>
  <c r="BB204" i="60"/>
  <c r="BA204" i="60"/>
  <c r="AY204" i="60"/>
  <c r="AX204" i="60"/>
  <c r="AV204" i="60"/>
  <c r="AU204" i="60"/>
  <c r="AB204" i="60"/>
  <c r="AE213" i="60" s="1"/>
  <c r="BP203" i="60"/>
  <c r="BO203" i="60"/>
  <c r="BJ203" i="60"/>
  <c r="BI203" i="60"/>
  <c r="BH203" i="60"/>
  <c r="BG203" i="60"/>
  <c r="BB203" i="60"/>
  <c r="BA203" i="60"/>
  <c r="AY203" i="60"/>
  <c r="AX203" i="60"/>
  <c r="AV203" i="60"/>
  <c r="AU203" i="60"/>
  <c r="K11" i="60"/>
  <c r="D11" i="60"/>
  <c r="J11" i="60" s="1"/>
  <c r="AN180" i="59"/>
  <c r="AN179" i="59"/>
  <c r="AN178" i="59"/>
  <c r="AN177" i="59"/>
  <c r="AS176" i="59"/>
  <c r="AH171" i="59"/>
  <c r="AN169" i="59"/>
  <c r="AG169" i="59"/>
  <c r="AN168" i="59"/>
  <c r="AN167" i="59"/>
  <c r="AN166" i="59"/>
  <c r="AS165" i="59"/>
  <c r="AI164" i="59"/>
  <c r="AO182" i="59" s="1"/>
  <c r="AH164" i="59"/>
  <c r="AG164" i="59"/>
  <c r="AI163" i="59"/>
  <c r="AI157" i="59"/>
  <c r="AI181" i="59" s="1"/>
  <c r="AM178" i="59" s="1"/>
  <c r="AH157" i="59"/>
  <c r="AH181" i="59" s="1"/>
  <c r="AM167" i="59" s="1"/>
  <c r="AI156" i="59"/>
  <c r="AI180" i="59" s="1"/>
  <c r="AH156" i="59"/>
  <c r="AH180" i="59" s="1"/>
  <c r="AM166" i="59" s="1"/>
  <c r="AN154" i="59"/>
  <c r="AN153" i="59"/>
  <c r="AS152" i="59"/>
  <c r="AN150" i="59"/>
  <c r="AH147" i="59"/>
  <c r="AH145" i="59" s="1"/>
  <c r="AN143" i="59"/>
  <c r="AN142" i="59"/>
  <c r="AS141" i="59"/>
  <c r="AI140" i="59"/>
  <c r="AG140" i="59"/>
  <c r="AN139" i="59"/>
  <c r="AI139" i="59"/>
  <c r="AH100" i="59"/>
  <c r="E17" i="59" s="1"/>
  <c r="AH99" i="59"/>
  <c r="AH98" i="59" s="1"/>
  <c r="AH93" i="59"/>
  <c r="E10" i="59" s="1"/>
  <c r="F20" i="59"/>
  <c r="E20" i="59"/>
  <c r="F19" i="59"/>
  <c r="E19" i="59"/>
  <c r="J18" i="59"/>
  <c r="I18" i="59"/>
  <c r="H18" i="59"/>
  <c r="F18" i="59"/>
  <c r="E18" i="59"/>
  <c r="J17" i="59"/>
  <c r="G14" i="59"/>
  <c r="J11" i="59"/>
  <c r="I11" i="59"/>
  <c r="H11" i="59"/>
  <c r="F11" i="59"/>
  <c r="E11" i="59"/>
  <c r="J10" i="59"/>
  <c r="G10" i="59"/>
  <c r="G17" i="59" s="1"/>
  <c r="AO171" i="59"/>
  <c r="K6" i="59"/>
  <c r="AT119" i="58"/>
  <c r="AV119" i="58" s="1"/>
  <c r="AT112" i="58"/>
  <c r="AV112" i="58" s="1"/>
  <c r="AG113" i="58"/>
  <c r="AG111" i="58" s="1"/>
  <c r="AM104" i="58" s="1"/>
  <c r="AG112" i="58"/>
  <c r="AL108" i="58"/>
  <c r="AD109" i="58" s="1"/>
  <c r="AT107" i="58"/>
  <c r="AV107" i="58" s="1"/>
  <c r="AL105" i="58"/>
  <c r="AD105" i="58" s="1"/>
  <c r="AN104" i="58"/>
  <c r="I17" i="58" s="1"/>
  <c r="AL104" i="58"/>
  <c r="AK104" i="58"/>
  <c r="AJ104" i="58"/>
  <c r="E9" i="58" s="1"/>
  <c r="AG104" i="58"/>
  <c r="E7" i="58" s="1"/>
  <c r="E18" i="58"/>
  <c r="F11" i="58"/>
  <c r="F9" i="58"/>
  <c r="H9" i="58" s="1"/>
  <c r="BC136" i="57"/>
  <c r="BD136" i="57" s="1"/>
  <c r="BC135" i="57"/>
  <c r="BD135" i="57" s="1"/>
  <c r="BC134" i="57"/>
  <c r="BD134" i="57" s="1"/>
  <c r="BC133" i="57"/>
  <c r="BD133" i="57" s="1"/>
  <c r="BC132" i="57"/>
  <c r="BD132" i="57" s="1"/>
  <c r="BC131" i="57"/>
  <c r="BD131" i="57" s="1"/>
  <c r="BC130" i="57"/>
  <c r="BD130" i="57" s="1"/>
  <c r="BC129" i="57"/>
  <c r="BD129" i="57" s="1"/>
  <c r="BC128" i="57"/>
  <c r="BD128" i="57" s="1"/>
  <c r="BC127" i="57"/>
  <c r="BD127" i="57" s="1"/>
  <c r="BC126" i="57"/>
  <c r="BD126" i="57" s="1"/>
  <c r="BC125" i="57"/>
  <c r="BD125" i="57" s="1"/>
  <c r="BC123" i="57"/>
  <c r="BD123" i="57" s="1"/>
  <c r="BC122" i="57"/>
  <c r="BD122" i="57" s="1"/>
  <c r="BC121" i="57"/>
  <c r="BD121" i="57" s="1"/>
  <c r="BC120" i="57"/>
  <c r="BD120" i="57" s="1"/>
  <c r="BC119" i="57"/>
  <c r="BD119" i="57" s="1"/>
  <c r="BC118" i="57"/>
  <c r="BD118" i="57" s="1"/>
  <c r="BC117" i="57"/>
  <c r="BD117" i="57" s="1"/>
  <c r="BC116" i="57"/>
  <c r="BD116" i="57" s="1"/>
  <c r="BC115" i="57"/>
  <c r="BD115" i="57" s="1"/>
  <c r="BC114" i="57"/>
  <c r="BD114" i="57" s="1"/>
  <c r="BC113" i="57"/>
  <c r="BD113" i="57" s="1"/>
  <c r="BC112" i="57"/>
  <c r="BD112" i="57" s="1"/>
  <c r="BC111" i="57"/>
  <c r="BD111" i="57" s="1"/>
  <c r="BC110" i="57"/>
  <c r="BD110" i="57" s="1"/>
  <c r="BC109" i="57"/>
  <c r="BD109" i="57" s="1"/>
  <c r="BC108" i="57"/>
  <c r="BD108" i="57" s="1"/>
  <c r="BC107" i="57"/>
  <c r="BD107" i="57" s="1"/>
  <c r="BC106" i="57"/>
  <c r="BD106" i="57" s="1"/>
  <c r="BC105" i="57"/>
  <c r="BD105" i="57" s="1"/>
  <c r="BC104" i="57"/>
  <c r="BD104" i="57" s="1"/>
  <c r="BC103" i="57"/>
  <c r="AF10" i="57"/>
  <c r="AF8" i="57"/>
  <c r="F15" i="62" l="1"/>
  <c r="L16" i="60"/>
  <c r="AO131" i="59"/>
  <c r="AM95" i="59"/>
  <c r="AO95" i="59" s="1"/>
  <c r="AM143" i="59"/>
  <c r="AV134" i="58"/>
  <c r="AV135" i="58" s="1"/>
  <c r="AU134" i="58"/>
  <c r="AD108" i="58" s="1"/>
  <c r="AT106" i="58" s="1"/>
  <c r="AV106" i="58" s="1"/>
  <c r="AM104" i="59"/>
  <c r="AO104" i="59" s="1"/>
  <c r="AM122" i="59"/>
  <c r="AO122" i="59" s="1"/>
  <c r="AU122" i="59" s="1"/>
  <c r="AM130" i="59"/>
  <c r="AO130" i="59"/>
  <c r="AM113" i="59"/>
  <c r="AO113" i="59" s="1"/>
  <c r="AM154" i="59"/>
  <c r="AJ223" i="60"/>
  <c r="AM121" i="59"/>
  <c r="AO121" i="59" s="1"/>
  <c r="AU121" i="59" s="1"/>
  <c r="AM112" i="59"/>
  <c r="AO112" i="59" s="1"/>
  <c r="AM131" i="59"/>
  <c r="AM153" i="59"/>
  <c r="L15" i="60"/>
  <c r="AB221" i="60"/>
  <c r="AF221" i="60"/>
  <c r="AF224" i="60" s="1"/>
  <c r="F12" i="60"/>
  <c r="L18" i="60"/>
  <c r="L19" i="60"/>
  <c r="BT205" i="60"/>
  <c r="BV205" i="60" s="1"/>
  <c r="AF215" i="60"/>
  <c r="AB223" i="60"/>
  <c r="BT218" i="60"/>
  <c r="BV218" i="60" s="1"/>
  <c r="BT219" i="60"/>
  <c r="BV219" i="60" s="1"/>
  <c r="AG219" i="60"/>
  <c r="AK221" i="60"/>
  <c r="AH219" i="60"/>
  <c r="AJ225" i="60"/>
  <c r="AD104" i="58"/>
  <c r="AT105" i="58" s="1"/>
  <c r="AV105" i="58" s="1"/>
  <c r="AK105" i="58"/>
  <c r="AJ103" i="58"/>
  <c r="AT126" i="58"/>
  <c r="AV126" i="58" s="1"/>
  <c r="BB126" i="58" s="1"/>
  <c r="AH221" i="60"/>
  <c r="AH220" i="60"/>
  <c r="AH226" i="60"/>
  <c r="AH223" i="60"/>
  <c r="AH227" i="60"/>
  <c r="AJ220" i="60"/>
  <c r="AH222" i="60"/>
  <c r="AK222" i="60"/>
  <c r="AF226" i="60"/>
  <c r="AJ224" i="60"/>
  <c r="AI224" i="60"/>
  <c r="AK223" i="60"/>
  <c r="BT204" i="60"/>
  <c r="BV204" i="60" s="1"/>
  <c r="AF216" i="60"/>
  <c r="AF220" i="60"/>
  <c r="AF223" i="60" s="1"/>
  <c r="AB224" i="60"/>
  <c r="AK224" i="60"/>
  <c r="AK225" i="60"/>
  <c r="AI226" i="60"/>
  <c r="AF227" i="60"/>
  <c r="AG220" i="60"/>
  <c r="BT212" i="60"/>
  <c r="BV212" i="60" s="1"/>
  <c r="AI220" i="60"/>
  <c r="AI222" i="60"/>
  <c r="AI227" i="60"/>
  <c r="AK226" i="60"/>
  <c r="AD219" i="60"/>
  <c r="AI221" i="60"/>
  <c r="L12" i="60"/>
  <c r="BT211" i="60"/>
  <c r="BV211" i="60" s="1"/>
  <c r="AJ221" i="60"/>
  <c r="AJ222" i="60"/>
  <c r="AM177" i="59"/>
  <c r="AM142" i="59"/>
  <c r="AH169" i="59"/>
  <c r="AE94" i="59"/>
  <c r="AM94" i="59"/>
  <c r="AO94" i="59" s="1"/>
  <c r="AM103" i="59"/>
  <c r="AO103" i="59" s="1"/>
  <c r="G9" i="58"/>
  <c r="I9" i="58"/>
  <c r="BC138" i="57"/>
  <c r="D17" i="57" s="1"/>
  <c r="BC137" i="57"/>
  <c r="BD138" i="57"/>
  <c r="D20" i="57" s="1"/>
  <c r="BD103" i="57"/>
  <c r="BD137" i="57" s="1"/>
  <c r="AB219" i="60" l="1"/>
  <c r="AT127" i="58"/>
  <c r="AV127" i="58" s="1"/>
  <c r="BB127" i="58" s="1"/>
  <c r="AT121" i="58"/>
  <c r="AV121" i="58" s="1"/>
  <c r="AT120" i="58"/>
  <c r="AV120" i="58" s="1"/>
  <c r="AT128" i="58"/>
  <c r="AV128" i="58" s="1"/>
  <c r="BB128" i="58" s="1"/>
  <c r="F13" i="60"/>
  <c r="AK106" i="58"/>
  <c r="AD116" i="58"/>
  <c r="AN174" i="59"/>
  <c r="AN163" i="59"/>
  <c r="G18" i="59"/>
  <c r="AU135" i="58"/>
  <c r="AK107" i="58" s="1"/>
  <c r="AT114" i="58"/>
  <c r="AV114" i="58" s="1"/>
  <c r="AT113" i="58"/>
  <c r="AV113" i="58" s="1"/>
  <c r="AD117" i="58"/>
  <c r="AD118" i="58" l="1"/>
  <c r="AD119" i="58" s="1"/>
  <c r="AK108" i="58"/>
  <c r="AU136" i="58" l="1"/>
  <c r="AK110" i="58" s="1"/>
  <c r="AV136" i="58"/>
  <c r="AT108" i="58"/>
  <c r="AV108" i="58" s="1"/>
  <c r="AT115" i="58"/>
  <c r="AV115" i="58" s="1"/>
  <c r="AG222" i="60"/>
  <c r="F18" i="58"/>
  <c r="H17" i="58" s="1"/>
  <c r="AG226" i="60" l="1"/>
  <c r="AG227" i="60"/>
  <c r="AG225" i="60"/>
  <c r="AG221" i="60"/>
  <c r="AT129" i="58"/>
  <c r="AV129" i="58" s="1"/>
  <c r="BB129" i="58" s="1"/>
  <c r="AT122" i="58"/>
  <c r="AV122" i="58" s="1"/>
  <c r="AG224" i="60" l="1"/>
  <c r="F7" i="56" l="1"/>
  <c r="F15" i="56" s="1"/>
  <c r="O23" i="56" s="1"/>
  <c r="AE115" i="51"/>
  <c r="AD115" i="51"/>
  <c r="AE114" i="51"/>
  <c r="AD114" i="51"/>
  <c r="AE113" i="51"/>
  <c r="AD113" i="51"/>
  <c r="AE112" i="51"/>
  <c r="AD112" i="51"/>
  <c r="AE111" i="51"/>
  <c r="AD111" i="51"/>
  <c r="AE110" i="51"/>
  <c r="AD110" i="51"/>
  <c r="AE109" i="51"/>
  <c r="AB110" i="51" s="1"/>
  <c r="AD109" i="51"/>
  <c r="AE108" i="51"/>
  <c r="AD108" i="51"/>
  <c r="AE107" i="51"/>
  <c r="AD107" i="51"/>
  <c r="AB107" i="51"/>
  <c r="H9" i="51" s="1"/>
  <c r="I9" i="51" s="1"/>
  <c r="AE106" i="51"/>
  <c r="AD106" i="51"/>
  <c r="AE105" i="51"/>
  <c r="AD105" i="51"/>
  <c r="AE104" i="51"/>
  <c r="AD104" i="51"/>
  <c r="AE103" i="51"/>
  <c r="AD103" i="51"/>
  <c r="AD115" i="50"/>
  <c r="AC115" i="50"/>
  <c r="AD114" i="50"/>
  <c r="AC114" i="50"/>
  <c r="AD113" i="50"/>
  <c r="AC113" i="50"/>
  <c r="AD112" i="50"/>
  <c r="AC112" i="50"/>
  <c r="AD111" i="50"/>
  <c r="AC111" i="50"/>
  <c r="AD110" i="50"/>
  <c r="AA114" i="50" s="1"/>
  <c r="H21" i="50" s="1"/>
  <c r="I21" i="50" s="1"/>
  <c r="AC110" i="50"/>
  <c r="AD109" i="50"/>
  <c r="AA111" i="50" s="1"/>
  <c r="H11" i="50" s="1"/>
  <c r="I11" i="50" s="1"/>
  <c r="AC109" i="50"/>
  <c r="AD108" i="50"/>
  <c r="AA109" i="50" s="1"/>
  <c r="H10" i="50" s="1"/>
  <c r="I10" i="50" s="1"/>
  <c r="AC108" i="50"/>
  <c r="AD107" i="50"/>
  <c r="AC107" i="50"/>
  <c r="AD106" i="50"/>
  <c r="AC106" i="50"/>
  <c r="AD105" i="50"/>
  <c r="AC105" i="50"/>
  <c r="AD104" i="50"/>
  <c r="AC104" i="50"/>
  <c r="AD103" i="50"/>
  <c r="AC103" i="50"/>
  <c r="G21" i="49"/>
  <c r="G20" i="49"/>
  <c r="H20" i="49"/>
  <c r="Q21" i="49"/>
  <c r="P21" i="49"/>
  <c r="O21" i="49"/>
  <c r="N21" i="49"/>
  <c r="M21" i="49"/>
  <c r="L21" i="49"/>
  <c r="K21" i="49"/>
  <c r="J21" i="49"/>
  <c r="I21" i="49"/>
  <c r="H21" i="49"/>
  <c r="Q20" i="49"/>
  <c r="P20" i="49"/>
  <c r="O20" i="49"/>
  <c r="N20" i="49"/>
  <c r="M20" i="49"/>
  <c r="L20" i="49"/>
  <c r="K20" i="49"/>
  <c r="J20" i="49"/>
  <c r="I20" i="49"/>
  <c r="Q7" i="49"/>
  <c r="Q16" i="49" s="1"/>
  <c r="P7" i="49"/>
  <c r="P18" i="49" s="1"/>
  <c r="O7" i="49"/>
  <c r="O18" i="49" s="1"/>
  <c r="N7" i="49"/>
  <c r="N19" i="49" s="1"/>
  <c r="M7" i="49"/>
  <c r="M19" i="49" s="1"/>
  <c r="L7" i="49"/>
  <c r="L16" i="49" s="1"/>
  <c r="K7" i="49"/>
  <c r="K19" i="49" s="1"/>
  <c r="J7" i="49"/>
  <c r="J17" i="49" s="1"/>
  <c r="I7" i="49"/>
  <c r="I9" i="49" s="1"/>
  <c r="H7" i="49"/>
  <c r="H18" i="49" s="1"/>
  <c r="M6" i="49"/>
  <c r="H6" i="49"/>
  <c r="G19" i="49"/>
  <c r="G18" i="49"/>
  <c r="G17" i="49"/>
  <c r="G16" i="49"/>
  <c r="G15" i="49"/>
  <c r="G14" i="49"/>
  <c r="G13" i="49"/>
  <c r="G12" i="49"/>
  <c r="G11" i="49"/>
  <c r="G10" i="49"/>
  <c r="G9" i="49"/>
  <c r="AA107" i="50" l="1"/>
  <c r="H9" i="50" s="1"/>
  <c r="I9" i="50" s="1"/>
  <c r="O22" i="56"/>
  <c r="O18" i="56"/>
  <c r="J22" i="56"/>
  <c r="J14" i="56"/>
  <c r="O14" i="56"/>
  <c r="O7" i="56"/>
  <c r="J11" i="56"/>
  <c r="J19" i="56"/>
  <c r="O11" i="56"/>
  <c r="O19" i="56"/>
  <c r="J12" i="56"/>
  <c r="J20" i="56"/>
  <c r="O12" i="56"/>
  <c r="O20" i="56"/>
  <c r="J7" i="56"/>
  <c r="J13" i="56"/>
  <c r="J21" i="56"/>
  <c r="O13" i="56"/>
  <c r="O21" i="56"/>
  <c r="J15" i="56"/>
  <c r="J23" i="56"/>
  <c r="P23" i="56" s="1"/>
  <c r="O15" i="56"/>
  <c r="J8" i="56"/>
  <c r="J16" i="56"/>
  <c r="O8" i="56"/>
  <c r="O16" i="56"/>
  <c r="J9" i="56"/>
  <c r="J17" i="56"/>
  <c r="O9" i="56"/>
  <c r="O17" i="56"/>
  <c r="J10" i="56"/>
  <c r="J18" i="56"/>
  <c r="O10" i="56"/>
  <c r="Q14" i="49"/>
  <c r="I13" i="49"/>
  <c r="Q17" i="49"/>
  <c r="J18" i="49"/>
  <c r="K12" i="49"/>
  <c r="P13" i="49"/>
  <c r="J16" i="49"/>
  <c r="K10" i="49"/>
  <c r="K16" i="49"/>
  <c r="J12" i="49"/>
  <c r="H17" i="49"/>
  <c r="K13" i="49"/>
  <c r="K18" i="49"/>
  <c r="O10" i="49"/>
  <c r="Q10" i="49"/>
  <c r="Q13" i="49"/>
  <c r="N16" i="49"/>
  <c r="N18" i="49"/>
  <c r="Q9" i="49"/>
  <c r="J14" i="49"/>
  <c r="I17" i="49"/>
  <c r="I10" i="49"/>
  <c r="N12" i="49"/>
  <c r="K14" i="49"/>
  <c r="K17" i="49"/>
  <c r="N10" i="49"/>
  <c r="I14" i="49"/>
  <c r="J10" i="49"/>
  <c r="H13" i="49"/>
  <c r="N14" i="49"/>
  <c r="P17" i="49"/>
  <c r="L15" i="49"/>
  <c r="O11" i="49"/>
  <c r="M12" i="49"/>
  <c r="O15" i="49"/>
  <c r="M16" i="49"/>
  <c r="I18" i="49"/>
  <c r="Q18" i="49"/>
  <c r="O19" i="49"/>
  <c r="P11" i="49"/>
  <c r="P15" i="49"/>
  <c r="O12" i="49"/>
  <c r="I15" i="49"/>
  <c r="I19" i="49"/>
  <c r="L11" i="49"/>
  <c r="H11" i="49"/>
  <c r="L13" i="49"/>
  <c r="H19" i="49"/>
  <c r="Q11" i="49"/>
  <c r="M13" i="49"/>
  <c r="O16" i="49"/>
  <c r="Q19" i="49"/>
  <c r="J9" i="49"/>
  <c r="L10" i="49"/>
  <c r="J11" i="49"/>
  <c r="H12" i="49"/>
  <c r="P12" i="49"/>
  <c r="N13" i="49"/>
  <c r="L14" i="49"/>
  <c r="J15" i="49"/>
  <c r="H16" i="49"/>
  <c r="P16" i="49"/>
  <c r="N17" i="49"/>
  <c r="L18" i="49"/>
  <c r="J19" i="49"/>
  <c r="L19" i="49"/>
  <c r="M11" i="49"/>
  <c r="H15" i="49"/>
  <c r="L17" i="49"/>
  <c r="P19" i="49"/>
  <c r="I11" i="49"/>
  <c r="Q15" i="49"/>
  <c r="M17" i="49"/>
  <c r="K9" i="49"/>
  <c r="M10" i="49"/>
  <c r="K11" i="49"/>
  <c r="I12" i="49"/>
  <c r="Q12" i="49"/>
  <c r="O13" i="49"/>
  <c r="M14" i="49"/>
  <c r="K15" i="49"/>
  <c r="I16" i="49"/>
  <c r="O17" i="49"/>
  <c r="M18" i="49"/>
  <c r="O14" i="49"/>
  <c r="M15" i="49"/>
  <c r="H10" i="49"/>
  <c r="P10" i="49"/>
  <c r="N11" i="49"/>
  <c r="L12" i="49"/>
  <c r="J13" i="49"/>
  <c r="H14" i="49"/>
  <c r="P14" i="49"/>
  <c r="N15" i="49"/>
  <c r="H9" i="49"/>
  <c r="N9" i="49"/>
  <c r="L9" i="49"/>
  <c r="O9" i="49"/>
  <c r="M9" i="49"/>
  <c r="P9" i="49"/>
  <c r="V8" i="48"/>
  <c r="U8" i="48"/>
  <c r="T8" i="48"/>
  <c r="Q8" i="48"/>
  <c r="P8" i="48"/>
  <c r="O8" i="48"/>
  <c r="L8" i="48"/>
  <c r="J8" i="48"/>
  <c r="G8" i="48"/>
  <c r="F8" i="48"/>
  <c r="E8" i="48"/>
  <c r="G12" i="47"/>
  <c r="P20" i="56" l="1"/>
  <c r="P22" i="56"/>
  <c r="P18" i="56"/>
  <c r="P9" i="56"/>
  <c r="P12" i="56"/>
  <c r="P14" i="56"/>
  <c r="P16" i="56"/>
  <c r="P13" i="56"/>
  <c r="P19" i="56"/>
  <c r="P11" i="56"/>
  <c r="P8" i="56"/>
  <c r="P10" i="56"/>
  <c r="P7" i="56"/>
  <c r="P21" i="56"/>
  <c r="P17" i="56"/>
  <c r="P15" i="56"/>
  <c r="G14" i="47"/>
  <c r="G13" i="47" s="1"/>
  <c r="P24" i="56" l="1"/>
  <c r="AH104" i="46"/>
  <c r="H11" i="46"/>
  <c r="AD114" i="46"/>
  <c r="F11" i="46" s="1"/>
  <c r="H17" i="46"/>
  <c r="H14" i="46"/>
  <c r="H13" i="46"/>
  <c r="H12" i="46"/>
  <c r="BE122" i="46"/>
  <c r="BE117" i="46"/>
  <c r="AY105" i="46"/>
  <c r="AY134" i="46"/>
  <c r="AY129" i="46"/>
  <c r="AY110" i="46"/>
  <c r="AO135" i="46"/>
  <c r="AU135" i="46" s="1"/>
  <c r="AO130" i="46"/>
  <c r="AO123" i="46"/>
  <c r="AW123" i="46" s="1"/>
  <c r="AO118" i="46"/>
  <c r="AW118" i="46" s="1"/>
  <c r="AO111" i="46"/>
  <c r="AO106" i="46"/>
  <c r="AO134" i="46"/>
  <c r="AU134" i="46" s="1"/>
  <c r="AO129" i="46"/>
  <c r="AO122" i="46"/>
  <c r="AW122" i="46" s="1"/>
  <c r="AO117" i="46"/>
  <c r="AW117" i="46" s="1"/>
  <c r="AO110" i="46"/>
  <c r="AO105" i="46"/>
  <c r="F8" i="45"/>
  <c r="F11" i="45" s="1"/>
  <c r="H6" i="45"/>
  <c r="I6" i="45"/>
  <c r="H7" i="45"/>
  <c r="I7" i="45"/>
  <c r="H21" i="41"/>
  <c r="H20" i="41"/>
  <c r="H18" i="41"/>
  <c r="H17" i="41"/>
  <c r="H16" i="41"/>
  <c r="H15" i="41"/>
  <c r="H14" i="41"/>
  <c r="H13" i="41"/>
  <c r="AE103" i="41"/>
  <c r="AD103" i="41" s="1"/>
  <c r="AE113" i="41"/>
  <c r="AD113" i="41" s="1"/>
  <c r="AF113" i="41" s="1"/>
  <c r="AE112" i="41"/>
  <c r="AD112" i="41" s="1"/>
  <c r="AF112" i="41" s="1"/>
  <c r="AE111" i="41"/>
  <c r="AD111" i="41" s="1"/>
  <c r="AF111" i="41" s="1"/>
  <c r="AE110" i="41"/>
  <c r="AD110" i="41" s="1"/>
  <c r="AF110" i="41" s="1"/>
  <c r="AE109" i="41"/>
  <c r="AD109" i="41" s="1"/>
  <c r="AF109" i="41" s="1"/>
  <c r="AE108" i="41"/>
  <c r="AD108" i="41" s="1"/>
  <c r="AF108" i="41" s="1"/>
  <c r="AE107" i="41"/>
  <c r="AD107" i="41" s="1"/>
  <c r="AF107" i="41" s="1"/>
  <c r="AE106" i="41"/>
  <c r="AD106" i="41" s="1"/>
  <c r="AF106" i="41" s="1"/>
  <c r="AE105" i="41"/>
  <c r="AD105" i="41" s="1"/>
  <c r="AF105" i="41" s="1"/>
  <c r="AE104" i="41"/>
  <c r="AD104" i="41" s="1"/>
  <c r="AF104" i="41" s="1"/>
  <c r="AE102" i="41"/>
  <c r="AD102" i="41"/>
  <c r="G6" i="41"/>
  <c r="AB102" i="41"/>
  <c r="AA102" i="41" s="1"/>
  <c r="H11" i="41" s="1"/>
  <c r="D7" i="12"/>
  <c r="C7" i="12" s="1"/>
  <c r="H19" i="12" s="1"/>
  <c r="N17" i="38"/>
  <c r="L102" i="38"/>
  <c r="L101" i="38"/>
  <c r="L69" i="38"/>
  <c r="O66" i="38" s="1"/>
  <c r="L68" i="38"/>
  <c r="L34" i="38"/>
  <c r="O31" i="38" s="1"/>
  <c r="L33" i="38"/>
  <c r="N31" i="38" s="1"/>
  <c r="U17" i="38"/>
  <c r="T17" i="38"/>
  <c r="S17" i="38"/>
  <c r="R17" i="38"/>
  <c r="Q17" i="38"/>
  <c r="P17" i="38"/>
  <c r="O17" i="38"/>
  <c r="M17" i="38"/>
  <c r="M18" i="38"/>
  <c r="M32" i="38" s="1"/>
  <c r="L35" i="38"/>
  <c r="P31" i="38" s="1"/>
  <c r="L36" i="38"/>
  <c r="Q31" i="38" s="1"/>
  <c r="L37" i="38"/>
  <c r="R31" i="38" s="1"/>
  <c r="L38" i="38"/>
  <c r="S31" i="38" s="1"/>
  <c r="L39" i="38"/>
  <c r="T31" i="38" s="1"/>
  <c r="L40" i="38"/>
  <c r="U31" i="38" s="1"/>
  <c r="L46" i="38"/>
  <c r="L47" i="38"/>
  <c r="L48" i="38"/>
  <c r="L49" i="38"/>
  <c r="L50" i="38"/>
  <c r="L51" i="38"/>
  <c r="L52" i="38"/>
  <c r="L53" i="38"/>
  <c r="L54" i="38"/>
  <c r="L55" i="38"/>
  <c r="L56" i="38"/>
  <c r="L57" i="38"/>
  <c r="L58" i="38"/>
  <c r="L59" i="38"/>
  <c r="L60" i="38"/>
  <c r="L61" i="38"/>
  <c r="N66" i="38"/>
  <c r="L70" i="38"/>
  <c r="P66" i="38" s="1"/>
  <c r="L71" i="38"/>
  <c r="Q66" i="38" s="1"/>
  <c r="L72" i="38"/>
  <c r="R66" i="38" s="1"/>
  <c r="L73" i="38"/>
  <c r="S66" i="38" s="1"/>
  <c r="L74" i="38"/>
  <c r="T66" i="38" s="1"/>
  <c r="L75" i="38"/>
  <c r="U66" i="38" s="1"/>
  <c r="M75" i="38"/>
  <c r="L81" i="38"/>
  <c r="L82" i="38"/>
  <c r="L83" i="38"/>
  <c r="L84" i="38"/>
  <c r="L85" i="38"/>
  <c r="L86" i="38"/>
  <c r="L87" i="38"/>
  <c r="L88" i="38"/>
  <c r="L89" i="38"/>
  <c r="L90" i="38"/>
  <c r="L91" i="38"/>
  <c r="L92" i="38"/>
  <c r="L93" i="38"/>
  <c r="L94" i="38"/>
  <c r="U99" i="38"/>
  <c r="N99" i="38"/>
  <c r="O99" i="38"/>
  <c r="L103" i="38"/>
  <c r="P99" i="38" s="1"/>
  <c r="L104" i="38"/>
  <c r="Q99" i="38" s="1"/>
  <c r="L105" i="38"/>
  <c r="R99" i="38" s="1"/>
  <c r="L106" i="38"/>
  <c r="S99" i="38" s="1"/>
  <c r="L107" i="38"/>
  <c r="T99" i="38" s="1"/>
  <c r="L108" i="38"/>
  <c r="L115" i="38"/>
  <c r="L116" i="38"/>
  <c r="L117" i="38"/>
  <c r="L118" i="38"/>
  <c r="L119" i="38"/>
  <c r="L120" i="38"/>
  <c r="L121" i="38"/>
  <c r="L122" i="38"/>
  <c r="L123" i="38"/>
  <c r="L124" i="38"/>
  <c r="G12" i="37"/>
  <c r="U7" i="38"/>
  <c r="C17" i="38"/>
  <c r="B17" i="38" s="1"/>
  <c r="W8" i="38" s="1"/>
  <c r="C8" i="38"/>
  <c r="B8" i="38" s="1"/>
  <c r="BE98" i="38"/>
  <c r="BA98" i="38"/>
  <c r="BY65" i="38"/>
  <c r="BU65" i="38"/>
  <c r="BQ65" i="38"/>
  <c r="BM65" i="38"/>
  <c r="BI65" i="38"/>
  <c r="BE65" i="38"/>
  <c r="BA65" i="38"/>
  <c r="AW65" i="38"/>
  <c r="AS65" i="38"/>
  <c r="BY30" i="38"/>
  <c r="BQ30" i="38"/>
  <c r="BI30" i="38"/>
  <c r="BE30" i="38"/>
  <c r="BA30" i="38"/>
  <c r="G312" i="36"/>
  <c r="F312" i="36"/>
  <c r="G311" i="36"/>
  <c r="F311" i="36"/>
  <c r="G310" i="36"/>
  <c r="F310" i="36"/>
  <c r="G309" i="36"/>
  <c r="F309" i="36"/>
  <c r="G308" i="36"/>
  <c r="F308" i="36"/>
  <c r="G307" i="36"/>
  <c r="F307" i="36"/>
  <c r="G306" i="36"/>
  <c r="F306" i="36"/>
  <c r="G305" i="36"/>
  <c r="F305" i="36"/>
  <c r="G304" i="36"/>
  <c r="F304" i="36"/>
  <c r="G303" i="36"/>
  <c r="F303" i="36"/>
  <c r="G302" i="36"/>
  <c r="F302" i="36"/>
  <c r="G301" i="36"/>
  <c r="F301" i="36"/>
  <c r="G300" i="36"/>
  <c r="F300" i="36"/>
  <c r="G299" i="36"/>
  <c r="F299" i="36"/>
  <c r="G298" i="36"/>
  <c r="F298" i="36"/>
  <c r="G297" i="36"/>
  <c r="F297" i="36"/>
  <c r="G296" i="36"/>
  <c r="F296" i="36"/>
  <c r="G295" i="36"/>
  <c r="F295" i="36"/>
  <c r="G294" i="36"/>
  <c r="F294" i="36"/>
  <c r="G293" i="36"/>
  <c r="F293" i="36"/>
  <c r="G292" i="36"/>
  <c r="F292" i="36"/>
  <c r="G291" i="36"/>
  <c r="F291" i="36"/>
  <c r="G290" i="36"/>
  <c r="F290" i="36"/>
  <c r="G289" i="36"/>
  <c r="F289" i="36"/>
  <c r="G288" i="36"/>
  <c r="F288" i="36"/>
  <c r="G287" i="36"/>
  <c r="F287" i="36"/>
  <c r="G286" i="36"/>
  <c r="F286" i="36"/>
  <c r="G285" i="36"/>
  <c r="F285" i="36"/>
  <c r="G284" i="36"/>
  <c r="F284" i="36"/>
  <c r="G283" i="36"/>
  <c r="F283" i="36"/>
  <c r="G282" i="36"/>
  <c r="F282" i="36"/>
  <c r="G281" i="36"/>
  <c r="F281" i="36"/>
  <c r="G280" i="36"/>
  <c r="F280" i="36"/>
  <c r="G279" i="36"/>
  <c r="F279" i="36"/>
  <c r="G278" i="36"/>
  <c r="F278" i="36"/>
  <c r="G277" i="36"/>
  <c r="F277" i="36"/>
  <c r="G276" i="36"/>
  <c r="F276" i="36"/>
  <c r="G275" i="36"/>
  <c r="F275" i="36"/>
  <c r="G274" i="36"/>
  <c r="F274" i="36"/>
  <c r="G273" i="36"/>
  <c r="F273" i="36"/>
  <c r="G272" i="36"/>
  <c r="F272" i="36"/>
  <c r="G271" i="36"/>
  <c r="F271" i="36"/>
  <c r="G270" i="36"/>
  <c r="F270" i="36"/>
  <c r="G269" i="36"/>
  <c r="F269" i="36"/>
  <c r="G268" i="36"/>
  <c r="F268" i="36"/>
  <c r="G267" i="36"/>
  <c r="F267" i="36"/>
  <c r="G266" i="36"/>
  <c r="F266" i="36"/>
  <c r="G265" i="36"/>
  <c r="F265" i="36"/>
  <c r="G264" i="36"/>
  <c r="F264" i="36"/>
  <c r="G263" i="36"/>
  <c r="F263" i="36"/>
  <c r="G262" i="36"/>
  <c r="F262" i="36"/>
  <c r="G261" i="36"/>
  <c r="F261" i="36"/>
  <c r="G260" i="36"/>
  <c r="F260" i="36"/>
  <c r="G259" i="36"/>
  <c r="F259" i="36"/>
  <c r="G258" i="36"/>
  <c r="F258" i="36"/>
  <c r="G257" i="36"/>
  <c r="F257" i="36"/>
  <c r="G256" i="36"/>
  <c r="F256" i="36"/>
  <c r="G255" i="36"/>
  <c r="F255" i="36"/>
  <c r="G254" i="36"/>
  <c r="F254" i="36"/>
  <c r="G253" i="36"/>
  <c r="F253" i="36"/>
  <c r="G252" i="36"/>
  <c r="F252" i="36"/>
  <c r="G251" i="36"/>
  <c r="F251" i="36"/>
  <c r="G250" i="36"/>
  <c r="F250" i="36"/>
  <c r="G249" i="36"/>
  <c r="F249" i="36"/>
  <c r="G248" i="36"/>
  <c r="F248" i="36"/>
  <c r="G247" i="36"/>
  <c r="F247" i="36"/>
  <c r="G246" i="36"/>
  <c r="F246" i="36"/>
  <c r="G245" i="36"/>
  <c r="F245" i="36"/>
  <c r="G244" i="36"/>
  <c r="F244" i="36"/>
  <c r="G243" i="36"/>
  <c r="F243" i="36"/>
  <c r="G242" i="36"/>
  <c r="F242" i="36"/>
  <c r="G241" i="36"/>
  <c r="F241" i="36"/>
  <c r="G240" i="36"/>
  <c r="F240" i="36"/>
  <c r="G239" i="36"/>
  <c r="F239" i="36"/>
  <c r="G238" i="36"/>
  <c r="F238" i="36"/>
  <c r="G237" i="36"/>
  <c r="F237" i="36"/>
  <c r="G236" i="36"/>
  <c r="F236" i="36"/>
  <c r="G235" i="36"/>
  <c r="F235" i="36"/>
  <c r="G234" i="36"/>
  <c r="F234" i="36"/>
  <c r="G233" i="36"/>
  <c r="F233" i="36"/>
  <c r="G232" i="36"/>
  <c r="F232" i="36"/>
  <c r="G231" i="36"/>
  <c r="F231" i="36"/>
  <c r="G230" i="36"/>
  <c r="F230" i="36"/>
  <c r="G229" i="36"/>
  <c r="F229" i="36"/>
  <c r="G228" i="36"/>
  <c r="F228" i="36"/>
  <c r="G227" i="36"/>
  <c r="F227" i="36"/>
  <c r="G226" i="36"/>
  <c r="F226" i="36"/>
  <c r="G225" i="36"/>
  <c r="F225" i="36"/>
  <c r="G224" i="36"/>
  <c r="F224" i="36"/>
  <c r="G223" i="36"/>
  <c r="F223" i="36"/>
  <c r="G222" i="36"/>
  <c r="F222" i="36"/>
  <c r="G221" i="36"/>
  <c r="F221" i="36"/>
  <c r="G220" i="36"/>
  <c r="F220" i="36"/>
  <c r="G219" i="36"/>
  <c r="F219" i="36"/>
  <c r="G218" i="36"/>
  <c r="F218" i="36"/>
  <c r="G217" i="36"/>
  <c r="F217" i="36"/>
  <c r="G216" i="36"/>
  <c r="F216" i="36"/>
  <c r="G215" i="36"/>
  <c r="F215" i="36"/>
  <c r="G214" i="36"/>
  <c r="F214" i="36"/>
  <c r="G213" i="36"/>
  <c r="F213" i="36"/>
  <c r="G212" i="36"/>
  <c r="F212" i="36"/>
  <c r="G211" i="36"/>
  <c r="F211" i="36"/>
  <c r="G210" i="36"/>
  <c r="F210" i="36"/>
  <c r="G209" i="36"/>
  <c r="F209" i="36"/>
  <c r="G208" i="36"/>
  <c r="F208" i="36"/>
  <c r="G207" i="36"/>
  <c r="F207" i="36"/>
  <c r="G206" i="36"/>
  <c r="F206" i="36"/>
  <c r="G205" i="36"/>
  <c r="F205" i="36"/>
  <c r="G204" i="36"/>
  <c r="F204" i="36"/>
  <c r="G203" i="36"/>
  <c r="F203" i="36"/>
  <c r="G202" i="36"/>
  <c r="F202" i="36"/>
  <c r="G201" i="36"/>
  <c r="F201" i="36"/>
  <c r="G200" i="36"/>
  <c r="F200" i="36"/>
  <c r="G199" i="36"/>
  <c r="F199" i="36"/>
  <c r="G198" i="36"/>
  <c r="F198" i="36"/>
  <c r="G197" i="36"/>
  <c r="F197" i="36"/>
  <c r="G196" i="36"/>
  <c r="F196" i="36"/>
  <c r="G195" i="36"/>
  <c r="F195" i="36"/>
  <c r="G194" i="36"/>
  <c r="F194" i="36"/>
  <c r="G193" i="36"/>
  <c r="F193" i="36"/>
  <c r="G192" i="36"/>
  <c r="F192" i="36"/>
  <c r="G191" i="36"/>
  <c r="F191" i="36"/>
  <c r="G190" i="36"/>
  <c r="F190" i="36"/>
  <c r="G189" i="36"/>
  <c r="F189" i="36"/>
  <c r="G188" i="36"/>
  <c r="F188" i="36"/>
  <c r="G187" i="36"/>
  <c r="F187" i="36"/>
  <c r="G186" i="36"/>
  <c r="F186" i="36"/>
  <c r="G185" i="36"/>
  <c r="F185" i="36"/>
  <c r="G184" i="36"/>
  <c r="F184" i="36"/>
  <c r="G183" i="36"/>
  <c r="F183" i="36"/>
  <c r="G182" i="36"/>
  <c r="F182" i="36"/>
  <c r="G181" i="36"/>
  <c r="F181" i="36"/>
  <c r="G180" i="36"/>
  <c r="F180" i="36"/>
  <c r="G179" i="36"/>
  <c r="F179" i="36"/>
  <c r="G178" i="36"/>
  <c r="F178" i="36"/>
  <c r="G177" i="36"/>
  <c r="F177" i="36"/>
  <c r="G176" i="36"/>
  <c r="F176" i="36"/>
  <c r="G175" i="36"/>
  <c r="F175" i="36"/>
  <c r="G174" i="36"/>
  <c r="F174" i="36"/>
  <c r="G173" i="36"/>
  <c r="F173" i="36"/>
  <c r="G172" i="36"/>
  <c r="F172" i="36"/>
  <c r="G171" i="36"/>
  <c r="F171" i="36"/>
  <c r="G170" i="36"/>
  <c r="F170" i="36"/>
  <c r="G169" i="36"/>
  <c r="F169" i="36"/>
  <c r="G168" i="36"/>
  <c r="F168" i="36"/>
  <c r="G167" i="36"/>
  <c r="F167" i="36"/>
  <c r="G166" i="36"/>
  <c r="F166" i="36"/>
  <c r="G165" i="36"/>
  <c r="F165" i="36"/>
  <c r="G164" i="36"/>
  <c r="F164" i="36"/>
  <c r="G163" i="36"/>
  <c r="F163" i="36"/>
  <c r="G162" i="36"/>
  <c r="F162" i="36"/>
  <c r="G161" i="36"/>
  <c r="F161" i="36"/>
  <c r="G160" i="36"/>
  <c r="F160" i="36"/>
  <c r="G159" i="36"/>
  <c r="F159" i="36"/>
  <c r="G158" i="36"/>
  <c r="F158" i="36"/>
  <c r="G157" i="36"/>
  <c r="F157" i="36"/>
  <c r="G156" i="36"/>
  <c r="F156" i="36"/>
  <c r="G155" i="36"/>
  <c r="F155" i="36"/>
  <c r="G154" i="36"/>
  <c r="F154" i="36"/>
  <c r="G153" i="36"/>
  <c r="F153" i="36"/>
  <c r="G152" i="36"/>
  <c r="F152" i="36"/>
  <c r="G151" i="36"/>
  <c r="F151" i="36"/>
  <c r="G150" i="36"/>
  <c r="F150" i="36"/>
  <c r="G149" i="36"/>
  <c r="F149" i="36"/>
  <c r="G148" i="36"/>
  <c r="F148" i="36"/>
  <c r="G147" i="36"/>
  <c r="F147" i="36"/>
  <c r="G146" i="36"/>
  <c r="F146" i="36"/>
  <c r="G145" i="36"/>
  <c r="F145" i="36"/>
  <c r="G144" i="36"/>
  <c r="F144" i="36"/>
  <c r="G143" i="36"/>
  <c r="F143" i="36"/>
  <c r="G142" i="36"/>
  <c r="F142" i="36"/>
  <c r="G141" i="36"/>
  <c r="F141" i="36"/>
  <c r="G140" i="36"/>
  <c r="F140" i="36"/>
  <c r="G139" i="36"/>
  <c r="F139" i="36"/>
  <c r="G138" i="36"/>
  <c r="F138" i="36"/>
  <c r="G137" i="36"/>
  <c r="F137" i="36"/>
  <c r="G136" i="36"/>
  <c r="F136" i="36"/>
  <c r="G135" i="36"/>
  <c r="F135" i="36"/>
  <c r="G134" i="36"/>
  <c r="F134" i="36"/>
  <c r="G133" i="36"/>
  <c r="F133" i="36"/>
  <c r="G132" i="36"/>
  <c r="F132" i="36"/>
  <c r="G131" i="36"/>
  <c r="F131" i="36"/>
  <c r="G130" i="36"/>
  <c r="F130" i="36"/>
  <c r="G129" i="36"/>
  <c r="F129" i="36"/>
  <c r="G128" i="36"/>
  <c r="F128" i="36"/>
  <c r="G127" i="36"/>
  <c r="F127" i="36"/>
  <c r="G126" i="36"/>
  <c r="F126" i="36"/>
  <c r="G125" i="36"/>
  <c r="F125" i="36"/>
  <c r="G124" i="36"/>
  <c r="F124" i="36"/>
  <c r="G123" i="36"/>
  <c r="F123" i="36"/>
  <c r="G122" i="36"/>
  <c r="F122" i="36"/>
  <c r="G121" i="36"/>
  <c r="F121" i="36"/>
  <c r="G120" i="36"/>
  <c r="F120" i="36"/>
  <c r="G119" i="36"/>
  <c r="F119" i="36"/>
  <c r="G118" i="36"/>
  <c r="F118" i="36"/>
  <c r="G117" i="36"/>
  <c r="F117" i="36"/>
  <c r="G116" i="36"/>
  <c r="F116" i="36"/>
  <c r="G115" i="36"/>
  <c r="F115" i="36"/>
  <c r="G114" i="36"/>
  <c r="F114" i="36"/>
  <c r="G113" i="36"/>
  <c r="F113" i="36"/>
  <c r="G112" i="36"/>
  <c r="F112" i="36"/>
  <c r="G111" i="36"/>
  <c r="F111" i="36"/>
  <c r="G110" i="36"/>
  <c r="F110" i="36"/>
  <c r="G109" i="36"/>
  <c r="F109" i="36"/>
  <c r="G108" i="36"/>
  <c r="F108" i="36"/>
  <c r="G107" i="36"/>
  <c r="F107" i="36"/>
  <c r="G106" i="36"/>
  <c r="F106" i="36"/>
  <c r="G105" i="36"/>
  <c r="F105" i="36"/>
  <c r="G104" i="36"/>
  <c r="F104" i="36"/>
  <c r="G103" i="36"/>
  <c r="F103" i="36"/>
  <c r="G102" i="36"/>
  <c r="F102" i="36"/>
  <c r="G101" i="36"/>
  <c r="F101" i="36"/>
  <c r="G100" i="36"/>
  <c r="F100" i="36"/>
  <c r="G99" i="36"/>
  <c r="F99" i="36"/>
  <c r="G98" i="36"/>
  <c r="F98" i="36"/>
  <c r="G97" i="36"/>
  <c r="F97" i="36"/>
  <c r="G96" i="36"/>
  <c r="F96" i="36"/>
  <c r="G95" i="36"/>
  <c r="F95" i="36"/>
  <c r="G94" i="36"/>
  <c r="F94" i="36"/>
  <c r="G93" i="36"/>
  <c r="F93" i="36"/>
  <c r="G92" i="36"/>
  <c r="F92" i="36"/>
  <c r="G91" i="36"/>
  <c r="F91" i="36"/>
  <c r="G90" i="36"/>
  <c r="F90" i="36"/>
  <c r="G89" i="36"/>
  <c r="F89" i="36"/>
  <c r="G88" i="36"/>
  <c r="F88" i="36"/>
  <c r="G87" i="36"/>
  <c r="F87" i="36"/>
  <c r="G86" i="36"/>
  <c r="F86" i="36"/>
  <c r="G85" i="36"/>
  <c r="F85" i="36"/>
  <c r="G84" i="36"/>
  <c r="F84" i="36"/>
  <c r="G83" i="36"/>
  <c r="F83" i="36"/>
  <c r="G82" i="36"/>
  <c r="F82" i="36"/>
  <c r="G81" i="36"/>
  <c r="F81" i="36"/>
  <c r="G80" i="36"/>
  <c r="F80" i="36"/>
  <c r="G79" i="36"/>
  <c r="F79" i="36"/>
  <c r="G78" i="36"/>
  <c r="F78" i="36"/>
  <c r="G77" i="36"/>
  <c r="F77" i="36"/>
  <c r="G76" i="36"/>
  <c r="F76" i="36"/>
  <c r="G75" i="36"/>
  <c r="F75" i="36"/>
  <c r="G74" i="36"/>
  <c r="F74" i="36"/>
  <c r="G73" i="36"/>
  <c r="F73" i="36"/>
  <c r="G72" i="36"/>
  <c r="F72" i="36"/>
  <c r="G71" i="36"/>
  <c r="F71" i="36"/>
  <c r="G70" i="36"/>
  <c r="F70" i="36"/>
  <c r="G69" i="36"/>
  <c r="F69" i="36"/>
  <c r="G68" i="36"/>
  <c r="F68" i="36"/>
  <c r="G67" i="36"/>
  <c r="F67" i="36"/>
  <c r="G66" i="36"/>
  <c r="F66" i="36"/>
  <c r="G65" i="36"/>
  <c r="F65" i="36"/>
  <c r="G64" i="36"/>
  <c r="F64" i="36"/>
  <c r="G63" i="36"/>
  <c r="F63" i="36"/>
  <c r="G62" i="36"/>
  <c r="F62" i="36"/>
  <c r="G61" i="36"/>
  <c r="F61" i="36"/>
  <c r="G60" i="36"/>
  <c r="F60" i="36"/>
  <c r="G59" i="36"/>
  <c r="F59" i="36"/>
  <c r="G58" i="36"/>
  <c r="F58" i="36"/>
  <c r="G57" i="36"/>
  <c r="F57" i="36"/>
  <c r="G56" i="36"/>
  <c r="F56" i="36"/>
  <c r="G55" i="36"/>
  <c r="F55" i="36"/>
  <c r="G54" i="36"/>
  <c r="F54" i="36"/>
  <c r="G53" i="36"/>
  <c r="F53" i="36"/>
  <c r="G52" i="36"/>
  <c r="F52" i="36"/>
  <c r="G51" i="36"/>
  <c r="F51" i="36"/>
  <c r="G50" i="36"/>
  <c r="F50" i="36"/>
  <c r="G49" i="36"/>
  <c r="F49" i="36"/>
  <c r="G48" i="36"/>
  <c r="F48" i="36"/>
  <c r="G47" i="36"/>
  <c r="F47" i="36"/>
  <c r="G46" i="36"/>
  <c r="F46" i="36"/>
  <c r="G45" i="36"/>
  <c r="F45" i="36"/>
  <c r="G44" i="36"/>
  <c r="F44" i="36"/>
  <c r="G43" i="36"/>
  <c r="F43" i="36"/>
  <c r="G42" i="36"/>
  <c r="F42" i="36"/>
  <c r="G41" i="36"/>
  <c r="F41" i="36"/>
  <c r="G40" i="36"/>
  <c r="F40" i="36"/>
  <c r="G39" i="36"/>
  <c r="F39" i="36"/>
  <c r="G38" i="36"/>
  <c r="F38" i="36"/>
  <c r="G37" i="36"/>
  <c r="F37" i="36"/>
  <c r="G36" i="36"/>
  <c r="F36" i="36"/>
  <c r="G35" i="36"/>
  <c r="F35" i="36"/>
  <c r="G34" i="36"/>
  <c r="F34" i="36"/>
  <c r="G33" i="36"/>
  <c r="F33" i="36"/>
  <c r="G32" i="36"/>
  <c r="F32" i="36"/>
  <c r="G31" i="36"/>
  <c r="F31" i="36"/>
  <c r="G30" i="36"/>
  <c r="F30" i="36"/>
  <c r="G29" i="36"/>
  <c r="F29" i="36"/>
  <c r="G28" i="36"/>
  <c r="F28" i="36"/>
  <c r="G27" i="36"/>
  <c r="F27" i="36"/>
  <c r="G26" i="36"/>
  <c r="F26" i="36"/>
  <c r="G25" i="36"/>
  <c r="F25" i="36"/>
  <c r="G24" i="36"/>
  <c r="F24" i="36"/>
  <c r="G23" i="36"/>
  <c r="F23" i="36"/>
  <c r="G22" i="36"/>
  <c r="F22" i="36"/>
  <c r="G21" i="36"/>
  <c r="F21" i="36"/>
  <c r="G20" i="36"/>
  <c r="F20" i="36"/>
  <c r="G19" i="36"/>
  <c r="F19" i="36"/>
  <c r="G18" i="36"/>
  <c r="F18" i="36"/>
  <c r="G17" i="36"/>
  <c r="F17" i="36"/>
  <c r="G16" i="36"/>
  <c r="F16" i="36"/>
  <c r="G15" i="36"/>
  <c r="F15" i="36"/>
  <c r="G14" i="36"/>
  <c r="F14" i="36"/>
  <c r="G13" i="36"/>
  <c r="F13" i="36"/>
  <c r="F12" i="36"/>
  <c r="G12" i="36"/>
  <c r="Q33" i="38" l="1"/>
  <c r="F14" i="45"/>
  <c r="F13" i="45"/>
  <c r="F12" i="45"/>
  <c r="H12" i="41"/>
  <c r="AF102" i="41"/>
  <c r="H10" i="41"/>
  <c r="AD114" i="41"/>
  <c r="F7" i="41" s="1"/>
  <c r="AF103" i="41"/>
  <c r="AF114" i="41" s="1"/>
  <c r="B21" i="38"/>
  <c r="S14" i="38"/>
  <c r="K19" i="12"/>
  <c r="J20" i="12"/>
  <c r="K12" i="12"/>
  <c r="K9" i="12"/>
  <c r="T12" i="12"/>
  <c r="T11" i="12" s="1"/>
  <c r="I20" i="12"/>
  <c r="H8" i="12"/>
  <c r="H12" i="12"/>
  <c r="H16" i="12"/>
  <c r="H20" i="12"/>
  <c r="X12" i="12"/>
  <c r="X11" i="12" s="1"/>
  <c r="Y11" i="12" s="1"/>
  <c r="I11" i="12"/>
  <c r="I15" i="12"/>
  <c r="I16" i="12"/>
  <c r="AB12" i="12"/>
  <c r="AB11" i="12" s="1"/>
  <c r="H9" i="12"/>
  <c r="H13" i="12"/>
  <c r="H17" i="12"/>
  <c r="H21" i="12"/>
  <c r="J21" i="12" s="1"/>
  <c r="I21" i="12" s="1"/>
  <c r="I13" i="12"/>
  <c r="I17" i="12"/>
  <c r="H10" i="12"/>
  <c r="H14" i="12"/>
  <c r="H18" i="12"/>
  <c r="I14" i="12"/>
  <c r="I18" i="12"/>
  <c r="H11" i="12"/>
  <c r="H15" i="12"/>
  <c r="M67" i="38"/>
  <c r="M100" i="38"/>
  <c r="M99" i="38"/>
  <c r="U100" i="38" s="1"/>
  <c r="O18" i="38"/>
  <c r="N18" i="38"/>
  <c r="R73" i="38"/>
  <c r="Q18" i="38"/>
  <c r="R69" i="38"/>
  <c r="M66" i="38"/>
  <c r="U67" i="38" s="1"/>
  <c r="U18" i="38"/>
  <c r="T18" i="38"/>
  <c r="S18" i="38"/>
  <c r="Q101" i="38"/>
  <c r="Q105" i="38"/>
  <c r="Q106" i="38"/>
  <c r="Q104" i="38"/>
  <c r="Q102" i="38"/>
  <c r="S68" i="38"/>
  <c r="S72" i="38"/>
  <c r="S38" i="38"/>
  <c r="S37" i="38"/>
  <c r="S34" i="38"/>
  <c r="T106" i="38"/>
  <c r="T105" i="38"/>
  <c r="R68" i="38"/>
  <c r="R39" i="38"/>
  <c r="R35" i="38"/>
  <c r="R38" i="38"/>
  <c r="Q70" i="38"/>
  <c r="Q74" i="38"/>
  <c r="Q69" i="38"/>
  <c r="Q36" i="38"/>
  <c r="Q39" i="38"/>
  <c r="R101" i="38"/>
  <c r="R104" i="38"/>
  <c r="R103" i="38"/>
  <c r="R105" i="38"/>
  <c r="R107" i="38"/>
  <c r="S107" i="38"/>
  <c r="S102" i="38"/>
  <c r="S103" i="38"/>
  <c r="S104" i="38"/>
  <c r="S106" i="38"/>
  <c r="T71" i="38"/>
  <c r="T74" i="38"/>
  <c r="T37" i="38"/>
  <c r="T33" i="38"/>
  <c r="T36" i="38"/>
  <c r="Q107" i="38"/>
  <c r="R106" i="38"/>
  <c r="S105" i="38"/>
  <c r="T104" i="38"/>
  <c r="S74" i="38"/>
  <c r="T73" i="38"/>
  <c r="Q68" i="38"/>
  <c r="Q38" i="38"/>
  <c r="R37" i="38"/>
  <c r="S36" i="38"/>
  <c r="T35" i="38"/>
  <c r="R18" i="38"/>
  <c r="T103" i="38"/>
  <c r="R74" i="38"/>
  <c r="S73" i="38"/>
  <c r="T72" i="38"/>
  <c r="Q37" i="38"/>
  <c r="R36" i="38"/>
  <c r="S35" i="38"/>
  <c r="T34" i="38"/>
  <c r="T102" i="38"/>
  <c r="P18" i="38"/>
  <c r="Q73" i="38"/>
  <c r="R72" i="38"/>
  <c r="S71" i="38"/>
  <c r="T70" i="38"/>
  <c r="Q35" i="38"/>
  <c r="R34" i="38"/>
  <c r="S33" i="38"/>
  <c r="T101" i="38"/>
  <c r="Q103" i="38"/>
  <c r="R102" i="38"/>
  <c r="S101" i="38"/>
  <c r="Q72" i="38"/>
  <c r="R71" i="38"/>
  <c r="S70" i="38"/>
  <c r="T69" i="38"/>
  <c r="T39" i="38"/>
  <c r="Q34" i="38"/>
  <c r="R33" i="38"/>
  <c r="M31" i="38"/>
  <c r="S32" i="38" s="1"/>
  <c r="T107" i="38"/>
  <c r="Q71" i="38"/>
  <c r="R70" i="38"/>
  <c r="S69" i="38"/>
  <c r="T68" i="38"/>
  <c r="S39" i="38"/>
  <c r="T38" i="38"/>
  <c r="K13" i="37"/>
  <c r="B22" i="38"/>
  <c r="Z14" i="38"/>
  <c r="Z12" i="38"/>
  <c r="S12" i="38"/>
  <c r="Z13" i="38"/>
  <c r="S13" i="38"/>
  <c r="AA8" i="38"/>
  <c r="AA9" i="38"/>
  <c r="K7" i="37"/>
  <c r="K12" i="37"/>
  <c r="K8" i="37"/>
  <c r="W9" i="38"/>
  <c r="E6" i="37"/>
  <c r="G6" i="37"/>
  <c r="AA67" i="38"/>
  <c r="AC67" i="38" s="1"/>
  <c r="AA71" i="38"/>
  <c r="AC71" i="38" s="1"/>
  <c r="AA32" i="38"/>
  <c r="AC32" i="38" s="1"/>
  <c r="AA36" i="38"/>
  <c r="AC36" i="38" s="1"/>
  <c r="F10" i="38" s="1"/>
  <c r="D8" i="38"/>
  <c r="K6" i="37" s="1"/>
  <c r="D17" i="38"/>
  <c r="D18" i="38"/>
  <c r="S100" i="38" l="1"/>
  <c r="P12" i="12"/>
  <c r="P11" i="12" s="1"/>
  <c r="R11" i="12" s="1"/>
  <c r="AE114" i="41"/>
  <c r="T13" i="12"/>
  <c r="U13" i="12" s="1"/>
  <c r="U11" i="12"/>
  <c r="X13" i="12"/>
  <c r="Y13" i="12" s="1"/>
  <c r="Y12" i="12" s="1"/>
  <c r="Z11" i="12"/>
  <c r="AB13" i="12"/>
  <c r="AD11" i="12"/>
  <c r="AC11" i="12"/>
  <c r="T67" i="38"/>
  <c r="N67" i="38"/>
  <c r="N68" i="38" s="1"/>
  <c r="N70" i="38" s="1"/>
  <c r="S67" i="38"/>
  <c r="O67" i="38"/>
  <c r="O69" i="38" s="1"/>
  <c r="O32" i="38"/>
  <c r="O34" i="38" s="1"/>
  <c r="P67" i="38"/>
  <c r="P70" i="38" s="1"/>
  <c r="P68" i="38" s="1"/>
  <c r="Q100" i="38"/>
  <c r="N100" i="38"/>
  <c r="N101" i="38" s="1"/>
  <c r="N103" i="38" s="1"/>
  <c r="O100" i="38"/>
  <c r="O102" i="38" s="1"/>
  <c r="O104" i="38" s="1"/>
  <c r="R100" i="38"/>
  <c r="Q67" i="38"/>
  <c r="P100" i="38"/>
  <c r="P103" i="38" s="1"/>
  <c r="P101" i="38" s="1"/>
  <c r="T100" i="38"/>
  <c r="R67" i="38"/>
  <c r="Q32" i="38"/>
  <c r="U32" i="38"/>
  <c r="R32" i="38"/>
  <c r="T32" i="38"/>
  <c r="N32" i="38"/>
  <c r="N33" i="38" s="1"/>
  <c r="P32" i="38"/>
  <c r="P35" i="38" s="1"/>
  <c r="P33" i="38" s="1"/>
  <c r="G10" i="37"/>
  <c r="G14" i="37" s="1"/>
  <c r="G9" i="37"/>
  <c r="G16" i="37" s="1"/>
  <c r="AA115" i="38"/>
  <c r="AC115" i="38" s="1"/>
  <c r="AA111" i="38"/>
  <c r="AC111" i="38" s="1"/>
  <c r="H13" i="38" s="1"/>
  <c r="AA47" i="38"/>
  <c r="AC47" i="38" s="1"/>
  <c r="H10" i="38" s="1"/>
  <c r="AA43" i="38"/>
  <c r="AC43" i="38" s="1"/>
  <c r="H9" i="38" s="1"/>
  <c r="AA82" i="38"/>
  <c r="AC82" i="38" s="1"/>
  <c r="AA86" i="38"/>
  <c r="AC86" i="38" s="1"/>
  <c r="M7" i="38"/>
  <c r="Q23" i="38" s="1"/>
  <c r="T7" i="38"/>
  <c r="AA104" i="38"/>
  <c r="AC104" i="38" s="1"/>
  <c r="AA100" i="38"/>
  <c r="AC100" i="38" s="1"/>
  <c r="F13" i="38" s="1"/>
  <c r="AK71" i="38"/>
  <c r="F12" i="38"/>
  <c r="F9" i="38"/>
  <c r="F11" i="38"/>
  <c r="AK67" i="38"/>
  <c r="I46" i="31"/>
  <c r="I45" i="31"/>
  <c r="I44" i="31"/>
  <c r="I43" i="31"/>
  <c r="I41" i="31"/>
  <c r="I40" i="31"/>
  <c r="I39" i="31"/>
  <c r="I38" i="31"/>
  <c r="I37" i="31"/>
  <c r="I35" i="31"/>
  <c r="I34" i="31"/>
  <c r="I33" i="31"/>
  <c r="I31" i="31"/>
  <c r="I30" i="31"/>
  <c r="I29" i="31"/>
  <c r="I28" i="31"/>
  <c r="I27" i="31"/>
  <c r="I25" i="31"/>
  <c r="I24" i="31"/>
  <c r="I23" i="31"/>
  <c r="I22" i="31"/>
  <c r="I21" i="31"/>
  <c r="I19" i="31"/>
  <c r="I18" i="31"/>
  <c r="I17" i="31"/>
  <c r="I16" i="31"/>
  <c r="I15" i="31"/>
  <c r="I13" i="31"/>
  <c r="I12" i="31"/>
  <c r="I11" i="31"/>
  <c r="I10" i="31"/>
  <c r="I9" i="31"/>
  <c r="F44" i="31"/>
  <c r="F41" i="31"/>
  <c r="F38" i="31"/>
  <c r="F37" i="31"/>
  <c r="F34" i="31"/>
  <c r="F33" i="31"/>
  <c r="F32" i="31"/>
  <c r="F29" i="31"/>
  <c r="F28" i="31"/>
  <c r="F27" i="31"/>
  <c r="F19" i="31"/>
  <c r="F17" i="31"/>
  <c r="F15" i="31"/>
  <c r="F11" i="31"/>
  <c r="F10" i="31"/>
  <c r="F9" i="31"/>
  <c r="O39" i="38" l="1"/>
  <c r="O25" i="38" s="1"/>
  <c r="O33" i="38"/>
  <c r="O35" i="38" s="1"/>
  <c r="O36" i="38"/>
  <c r="O38" i="38"/>
  <c r="O37" i="38" s="1"/>
  <c r="O23" i="38" s="1"/>
  <c r="O74" i="38"/>
  <c r="O73" i="38" s="1"/>
  <c r="O72" i="38" s="1"/>
  <c r="O71" i="38"/>
  <c r="O68" i="38"/>
  <c r="O70" i="38" s="1"/>
  <c r="M70" i="38" s="1"/>
  <c r="O103" i="38"/>
  <c r="O101" i="38" s="1"/>
  <c r="M101" i="38" s="1"/>
  <c r="O105" i="38"/>
  <c r="O106" i="38" s="1"/>
  <c r="O107" i="38" s="1"/>
  <c r="Q11" i="12"/>
  <c r="P13" i="12"/>
  <c r="R13" i="12" s="1"/>
  <c r="R12" i="12" s="1"/>
  <c r="I9" i="12" s="1"/>
  <c r="AE115" i="41"/>
  <c r="G7" i="41" s="1"/>
  <c r="U12" i="12"/>
  <c r="Z13" i="12"/>
  <c r="Z12" i="12" s="1"/>
  <c r="AD13" i="12"/>
  <c r="AD12" i="12" s="1"/>
  <c r="AC13" i="12"/>
  <c r="AC12" i="12" s="1"/>
  <c r="T21" i="38"/>
  <c r="S19" i="38"/>
  <c r="S25" i="38"/>
  <c r="S21" i="38"/>
  <c r="Q19" i="38"/>
  <c r="Q21" i="38"/>
  <c r="S23" i="38"/>
  <c r="R25" i="38"/>
  <c r="P19" i="38"/>
  <c r="T24" i="38"/>
  <c r="T22" i="38"/>
  <c r="O20" i="38"/>
  <c r="P21" i="38"/>
  <c r="O21" i="38"/>
  <c r="T25" i="38"/>
  <c r="Q24" i="38"/>
  <c r="R20" i="38"/>
  <c r="S22" i="38"/>
  <c r="T19" i="38"/>
  <c r="T20" i="38"/>
  <c r="Q22" i="38"/>
  <c r="T23" i="38"/>
  <c r="S24" i="38"/>
  <c r="Q20" i="38"/>
  <c r="R22" i="38"/>
  <c r="R21" i="38"/>
  <c r="R23" i="38"/>
  <c r="R19" i="38"/>
  <c r="O22" i="38"/>
  <c r="O24" i="38"/>
  <c r="U24" i="38"/>
  <c r="S26" i="38"/>
  <c r="R26" i="38"/>
  <c r="U25" i="38"/>
  <c r="T26" i="38"/>
  <c r="U22" i="38"/>
  <c r="M26" i="38"/>
  <c r="U26" i="38"/>
  <c r="U19" i="38"/>
  <c r="N26" i="38"/>
  <c r="U23" i="38"/>
  <c r="U20" i="38"/>
  <c r="O26" i="38"/>
  <c r="Q26" i="38"/>
  <c r="U21" i="38"/>
  <c r="P26" i="38"/>
  <c r="S20" i="38"/>
  <c r="Q25" i="38"/>
  <c r="R24" i="38"/>
  <c r="N19" i="38"/>
  <c r="M33" i="38"/>
  <c r="N35" i="38"/>
  <c r="M35" i="38" s="1"/>
  <c r="G13" i="37"/>
  <c r="AI115" i="38"/>
  <c r="H14" i="38"/>
  <c r="H8" i="38" s="1"/>
  <c r="M12" i="37" s="1"/>
  <c r="AK86" i="38"/>
  <c r="H12" i="38"/>
  <c r="AK82" i="38"/>
  <c r="H11" i="38"/>
  <c r="S11" i="38"/>
  <c r="S8" i="38"/>
  <c r="S9" i="38"/>
  <c r="S10" i="38"/>
  <c r="M8" i="38"/>
  <c r="M9" i="38"/>
  <c r="M12" i="38"/>
  <c r="AI104" i="38"/>
  <c r="F14" i="38"/>
  <c r="F8" i="38" s="1"/>
  <c r="M7" i="37" s="1"/>
  <c r="N171" i="20"/>
  <c r="N170" i="20"/>
  <c r="N169" i="20"/>
  <c r="N168" i="20"/>
  <c r="N167" i="20"/>
  <c r="N166" i="20"/>
  <c r="N165" i="20"/>
  <c r="N164" i="20"/>
  <c r="N163" i="20"/>
  <c r="N162" i="20"/>
  <c r="N160" i="20"/>
  <c r="N159" i="20"/>
  <c r="N158" i="20"/>
  <c r="N157" i="20"/>
  <c r="N156" i="20"/>
  <c r="N155" i="20"/>
  <c r="N154" i="20"/>
  <c r="N153" i="20"/>
  <c r="N152" i="20"/>
  <c r="N151" i="20"/>
  <c r="N150" i="20"/>
  <c r="N149" i="20"/>
  <c r="N148" i="20"/>
  <c r="N147" i="20"/>
  <c r="N145" i="20"/>
  <c r="N144" i="20"/>
  <c r="N143" i="20"/>
  <c r="N142" i="20"/>
  <c r="N141" i="20"/>
  <c r="N140" i="20"/>
  <c r="N139" i="20"/>
  <c r="N138" i="20"/>
  <c r="N137" i="20"/>
  <c r="N136" i="20"/>
  <c r="N135" i="20"/>
  <c r="N134" i="20"/>
  <c r="N133" i="20"/>
  <c r="N132" i="20"/>
  <c r="N131" i="20"/>
  <c r="N130" i="20"/>
  <c r="M103" i="38" l="1"/>
  <c r="O19" i="38"/>
  <c r="M68" i="38"/>
  <c r="N21" i="38"/>
  <c r="M21" i="38"/>
  <c r="M19" i="38"/>
  <c r="Q13" i="12"/>
  <c r="Q12" i="12" s="1"/>
  <c r="I10" i="12" s="1"/>
  <c r="I12" i="12"/>
  <c r="I19" i="12"/>
  <c r="K124" i="20"/>
  <c r="K171" i="20" s="1"/>
  <c r="K123" i="20"/>
  <c r="K170" i="20" s="1"/>
  <c r="K122" i="20"/>
  <c r="K169" i="20" s="1"/>
  <c r="K121" i="20"/>
  <c r="K168" i="20" s="1"/>
  <c r="K120" i="20"/>
  <c r="K167" i="20" s="1"/>
  <c r="K119" i="20"/>
  <c r="K166" i="20" s="1"/>
  <c r="K118" i="20"/>
  <c r="K165" i="20" s="1"/>
  <c r="K117" i="20"/>
  <c r="K164" i="20" s="1"/>
  <c r="K116" i="20"/>
  <c r="K163" i="20" s="1"/>
  <c r="K115" i="20"/>
  <c r="K162" i="20" s="1"/>
  <c r="K94" i="20"/>
  <c r="K160" i="20" s="1"/>
  <c r="K93" i="20"/>
  <c r="K159" i="20" s="1"/>
  <c r="K92" i="20"/>
  <c r="K158" i="20" s="1"/>
  <c r="K91" i="20"/>
  <c r="K157" i="20" s="1"/>
  <c r="K90" i="20"/>
  <c r="K156" i="20" s="1"/>
  <c r="K89" i="20"/>
  <c r="K155" i="20" s="1"/>
  <c r="K88" i="20"/>
  <c r="K154" i="20" s="1"/>
  <c r="K87" i="20"/>
  <c r="K153" i="20" s="1"/>
  <c r="K86" i="20"/>
  <c r="K152" i="20" s="1"/>
  <c r="K85" i="20"/>
  <c r="K151" i="20" s="1"/>
  <c r="K84" i="20"/>
  <c r="K150" i="20" s="1"/>
  <c r="K83" i="20"/>
  <c r="K149" i="20" s="1"/>
  <c r="K82" i="20"/>
  <c r="K148" i="20" s="1"/>
  <c r="K81" i="20"/>
  <c r="K147" i="20" s="1"/>
  <c r="K61" i="20"/>
  <c r="K145" i="20" s="1"/>
  <c r="K60" i="20"/>
  <c r="K144" i="20" s="1"/>
  <c r="K59" i="20"/>
  <c r="K143" i="20" s="1"/>
  <c r="K58" i="20"/>
  <c r="K142" i="20" s="1"/>
  <c r="K57" i="20"/>
  <c r="K141" i="20" s="1"/>
  <c r="K56" i="20"/>
  <c r="K140" i="20" s="1"/>
  <c r="K55" i="20"/>
  <c r="K139" i="20" s="1"/>
  <c r="K54" i="20"/>
  <c r="K138" i="20" s="1"/>
  <c r="K53" i="20"/>
  <c r="K137" i="20" s="1"/>
  <c r="K52" i="20"/>
  <c r="K136" i="20" s="1"/>
  <c r="K51" i="20"/>
  <c r="K135" i="20" s="1"/>
  <c r="K50" i="20"/>
  <c r="K134" i="20" s="1"/>
  <c r="K49" i="20"/>
  <c r="K133" i="20" s="1"/>
  <c r="K48" i="20"/>
  <c r="K132" i="20" s="1"/>
  <c r="K47" i="20"/>
  <c r="K131" i="20" s="1"/>
  <c r="K46" i="20"/>
  <c r="K130" i="20" s="1"/>
  <c r="I8" i="12" l="1"/>
  <c r="G8" i="40"/>
  <c r="K175" i="20"/>
  <c r="J175" i="20" s="1"/>
  <c r="K129" i="20"/>
  <c r="D77" i="12"/>
  <c r="M175" i="20" l="1"/>
  <c r="L175" i="20"/>
  <c r="N175" i="20"/>
  <c r="O175" i="20"/>
  <c r="P175" i="20"/>
  <c r="S175" i="20"/>
  <c r="J129" i="20"/>
  <c r="C16" i="20"/>
  <c r="H6" i="13"/>
  <c r="D86" i="12"/>
  <c r="D85" i="12"/>
  <c r="D84" i="12"/>
  <c r="D83" i="12"/>
  <c r="D82" i="12"/>
  <c r="D81" i="12"/>
  <c r="D80" i="12"/>
  <c r="D79" i="12"/>
  <c r="D78" i="12"/>
  <c r="E15" i="13" s="1"/>
  <c r="D66" i="12"/>
  <c r="D65" i="12"/>
  <c r="D64" i="12"/>
  <c r="D63" i="12"/>
  <c r="D62" i="12"/>
  <c r="D61" i="12"/>
  <c r="D60" i="12"/>
  <c r="D59" i="12"/>
  <c r="D58" i="12"/>
  <c r="D57" i="12"/>
  <c r="D56" i="12"/>
  <c r="D55" i="12"/>
  <c r="D54" i="12"/>
  <c r="D53" i="12"/>
  <c r="D44" i="12"/>
  <c r="D43" i="12"/>
  <c r="D42" i="12"/>
  <c r="D41" i="12"/>
  <c r="D40" i="12"/>
  <c r="D39" i="12"/>
  <c r="D38" i="12"/>
  <c r="D37" i="12"/>
  <c r="D36" i="12"/>
  <c r="D35" i="12"/>
  <c r="D34" i="12"/>
  <c r="D33" i="12"/>
  <c r="D32" i="12"/>
  <c r="D31" i="12"/>
  <c r="D30" i="12"/>
  <c r="D29" i="12"/>
  <c r="G15" i="14" l="1"/>
  <c r="E15" i="14"/>
  <c r="E14" i="1"/>
  <c r="E15" i="1"/>
  <c r="G15" i="1"/>
  <c r="G15" i="13"/>
  <c r="J22" i="19"/>
  <c r="L20" i="19"/>
  <c r="L21" i="19" s="1"/>
  <c r="K20" i="19"/>
  <c r="K19" i="19"/>
  <c r="K21" i="19"/>
  <c r="E14" i="13"/>
  <c r="M129" i="20"/>
  <c r="L129" i="20"/>
  <c r="N129" i="20"/>
  <c r="G21" i="19"/>
  <c r="G20" i="19"/>
  <c r="K13" i="19" l="1"/>
  <c r="K14" i="19"/>
  <c r="K12" i="19"/>
  <c r="G15" i="19"/>
  <c r="G14" i="19"/>
  <c r="G12" i="19"/>
  <c r="G11" i="19"/>
  <c r="G10" i="19"/>
  <c r="G9" i="19"/>
  <c r="E8" i="40" l="1"/>
  <c r="L17" i="20"/>
  <c r="L18" i="20"/>
  <c r="T7" i="20"/>
  <c r="B16" i="20" l="1"/>
  <c r="V10" i="20" l="1"/>
  <c r="V8" i="20"/>
  <c r="C7" i="20"/>
  <c r="K108" i="20"/>
  <c r="T99" i="20" s="1"/>
  <c r="K107" i="20"/>
  <c r="S99" i="20" s="1"/>
  <c r="K106" i="20"/>
  <c r="R99" i="20" s="1"/>
  <c r="K105" i="20"/>
  <c r="Q99" i="20" s="1"/>
  <c r="K104" i="20"/>
  <c r="P99" i="20" s="1"/>
  <c r="K103" i="20"/>
  <c r="O99" i="20" s="1"/>
  <c r="K102" i="20"/>
  <c r="N99" i="20" s="1"/>
  <c r="K101" i="20"/>
  <c r="M99" i="20" s="1"/>
  <c r="BD98" i="20"/>
  <c r="AZ98" i="20"/>
  <c r="K75" i="20"/>
  <c r="T66" i="20" s="1"/>
  <c r="K74" i="20"/>
  <c r="S66" i="20" s="1"/>
  <c r="K73" i="20"/>
  <c r="R66" i="20" s="1"/>
  <c r="K72" i="20"/>
  <c r="Q66" i="20" s="1"/>
  <c r="K71" i="20"/>
  <c r="P66" i="20" s="1"/>
  <c r="K70" i="20"/>
  <c r="O66" i="20" s="1"/>
  <c r="K69" i="20"/>
  <c r="N66" i="20" s="1"/>
  <c r="K68" i="20"/>
  <c r="M66" i="20" s="1"/>
  <c r="BX65" i="20"/>
  <c r="BT65" i="20"/>
  <c r="BP65" i="20"/>
  <c r="BL65" i="20"/>
  <c r="BH65" i="20"/>
  <c r="BD65" i="20"/>
  <c r="AZ65" i="20"/>
  <c r="AV65" i="20"/>
  <c r="AR65" i="20"/>
  <c r="K40" i="20"/>
  <c r="T31" i="20" s="1"/>
  <c r="K39" i="20"/>
  <c r="S31" i="20" s="1"/>
  <c r="K38" i="20"/>
  <c r="R31" i="20" s="1"/>
  <c r="K37" i="20"/>
  <c r="Q31" i="20" s="1"/>
  <c r="K36" i="20"/>
  <c r="P31" i="20" s="1"/>
  <c r="K35" i="20"/>
  <c r="O31" i="20" s="1"/>
  <c r="K34" i="20"/>
  <c r="N31" i="20" s="1"/>
  <c r="K33" i="20"/>
  <c r="M31" i="20" s="1"/>
  <c r="BX30" i="20"/>
  <c r="BP30" i="20"/>
  <c r="BH30" i="20"/>
  <c r="BD30" i="20"/>
  <c r="AZ30" i="20"/>
  <c r="T17" i="20"/>
  <c r="S17" i="20"/>
  <c r="R17" i="20"/>
  <c r="Q17" i="20"/>
  <c r="P17" i="20"/>
  <c r="O17" i="20"/>
  <c r="N17" i="20"/>
  <c r="M17" i="20"/>
  <c r="M18" i="20" s="1"/>
  <c r="B7" i="20" l="1"/>
  <c r="G6" i="19" s="1"/>
  <c r="K8" i="19"/>
  <c r="Z71" i="20"/>
  <c r="AB71" i="20" s="1"/>
  <c r="F11" i="20" s="1"/>
  <c r="Z67" i="20"/>
  <c r="Z104" i="20"/>
  <c r="AB104" i="20" s="1"/>
  <c r="Z100" i="20"/>
  <c r="AB100" i="20" s="1"/>
  <c r="F12" i="20" s="1"/>
  <c r="Z32" i="20"/>
  <c r="AB32" i="20" s="1"/>
  <c r="F8" i="20" s="1"/>
  <c r="Z36" i="20"/>
  <c r="AB36" i="20" s="1"/>
  <c r="F9" i="20" s="1"/>
  <c r="S18" i="20"/>
  <c r="R18" i="20"/>
  <c r="L31" i="20"/>
  <c r="N18" i="20"/>
  <c r="L32" i="20"/>
  <c r="O18" i="20"/>
  <c r="P18" i="20"/>
  <c r="T18" i="20"/>
  <c r="L99" i="20"/>
  <c r="Q100" i="20" s="1"/>
  <c r="Q105" i="20" s="1"/>
  <c r="L66" i="20"/>
  <c r="T67" i="20" s="1"/>
  <c r="L100" i="20"/>
  <c r="L67" i="20"/>
  <c r="Q18" i="20"/>
  <c r="AH104" i="20" l="1"/>
  <c r="F13" i="20"/>
  <c r="F7" i="20" s="1"/>
  <c r="K7" i="19"/>
  <c r="G13" i="19"/>
  <c r="D16" i="20"/>
  <c r="E6" i="19"/>
  <c r="L7" i="20" s="1"/>
  <c r="T25" i="20" s="1"/>
  <c r="R14" i="20"/>
  <c r="R13" i="20"/>
  <c r="R12" i="20"/>
  <c r="D7" i="20"/>
  <c r="D17" i="20"/>
  <c r="AJ71" i="20"/>
  <c r="AB67" i="20"/>
  <c r="S32" i="20"/>
  <c r="S39" i="20" s="1"/>
  <c r="S38" i="20" s="1"/>
  <c r="Q106" i="20"/>
  <c r="S67" i="20"/>
  <c r="S74" i="20" s="1"/>
  <c r="N32" i="20"/>
  <c r="Q32" i="20"/>
  <c r="Q37" i="20" s="1"/>
  <c r="Q38" i="20" s="1"/>
  <c r="Q39" i="20" s="1"/>
  <c r="Q34" i="20" s="1"/>
  <c r="M32" i="20"/>
  <c r="P32" i="20"/>
  <c r="T32" i="20"/>
  <c r="R32" i="20"/>
  <c r="R38" i="20" s="1"/>
  <c r="O32" i="20"/>
  <c r="O35" i="20" s="1"/>
  <c r="O33" i="20" s="1"/>
  <c r="N67" i="20"/>
  <c r="N69" i="20" s="1"/>
  <c r="M67" i="20"/>
  <c r="M68" i="20" s="1"/>
  <c r="R67" i="20"/>
  <c r="R73" i="20" s="1"/>
  <c r="R74" i="20" s="1"/>
  <c r="Q67" i="20"/>
  <c r="Q72" i="20" s="1"/>
  <c r="Q73" i="20" s="1"/>
  <c r="Q74" i="20" s="1"/>
  <c r="Q69" i="20" s="1"/>
  <c r="P100" i="20"/>
  <c r="P104" i="20" s="1"/>
  <c r="R100" i="20"/>
  <c r="R106" i="20" s="1"/>
  <c r="T100" i="20"/>
  <c r="M100" i="20"/>
  <c r="M101" i="20" s="1"/>
  <c r="M103" i="20" s="1"/>
  <c r="N100" i="20"/>
  <c r="N102" i="20" s="1"/>
  <c r="O100" i="20"/>
  <c r="O103" i="20" s="1"/>
  <c r="S100" i="20"/>
  <c r="S107" i="20" s="1"/>
  <c r="P67" i="20"/>
  <c r="P71" i="20" s="1"/>
  <c r="P69" i="20" s="1"/>
  <c r="O67" i="20"/>
  <c r="O70" i="20" s="1"/>
  <c r="O68" i="20" s="1"/>
  <c r="M7" i="19" l="1"/>
  <c r="K6" i="19"/>
  <c r="AJ67" i="20"/>
  <c r="F10" i="20"/>
  <c r="S7" i="20"/>
  <c r="R9" i="20" s="1"/>
  <c r="S73" i="20"/>
  <c r="S106" i="20"/>
  <c r="Q71" i="20"/>
  <c r="Q68" i="20"/>
  <c r="Q70" i="20" s="1"/>
  <c r="P74" i="20"/>
  <c r="P73" i="20" s="1"/>
  <c r="P68" i="20"/>
  <c r="P70" i="20" s="1"/>
  <c r="Q107" i="20"/>
  <c r="Q104" i="20"/>
  <c r="P105" i="20"/>
  <c r="P106" i="20" s="1"/>
  <c r="P103" i="20"/>
  <c r="P101" i="20" s="1"/>
  <c r="P72" i="20"/>
  <c r="M70" i="20"/>
  <c r="Q23" i="20"/>
  <c r="T21" i="20"/>
  <c r="L12" i="20"/>
  <c r="L9" i="20"/>
  <c r="L8" i="20"/>
  <c r="T26" i="20"/>
  <c r="T23" i="20"/>
  <c r="T19" i="20"/>
  <c r="T20" i="20"/>
  <c r="T24" i="20"/>
  <c r="S26" i="20"/>
  <c r="T22" i="20"/>
  <c r="O101" i="20"/>
  <c r="R107" i="20"/>
  <c r="N34" i="20"/>
  <c r="Q36" i="20"/>
  <c r="S25" i="20"/>
  <c r="R24" i="20"/>
  <c r="Q26" i="20"/>
  <c r="P36" i="20"/>
  <c r="P34" i="20" s="1"/>
  <c r="P38" i="20" s="1"/>
  <c r="M33" i="20"/>
  <c r="M35" i="20" s="1"/>
  <c r="R11" i="20" l="1"/>
  <c r="R10" i="20"/>
  <c r="R8" i="20"/>
  <c r="Q102" i="20"/>
  <c r="Q20" i="20" s="1"/>
  <c r="Q103" i="20"/>
  <c r="Q101" i="20" s="1"/>
  <c r="N20" i="20"/>
  <c r="P107" i="20"/>
  <c r="P102" i="20"/>
  <c r="P20" i="20" s="1"/>
  <c r="P37" i="20"/>
  <c r="P23" i="20" s="1"/>
  <c r="P39" i="20"/>
  <c r="P33" i="20"/>
  <c r="P35" i="20" s="1"/>
  <c r="P21" i="20" s="1"/>
  <c r="Q33" i="20"/>
  <c r="Q35" i="20" s="1"/>
  <c r="P22" i="20"/>
  <c r="R26" i="20"/>
  <c r="Q24" i="20"/>
  <c r="M19" i="20"/>
  <c r="O21" i="20"/>
  <c r="Q25" i="20" l="1"/>
  <c r="Q21" i="20"/>
  <c r="P26" i="20"/>
  <c r="N26" i="20"/>
  <c r="P25" i="20"/>
  <c r="P19" i="20"/>
  <c r="P24" i="20"/>
  <c r="D39" i="18" l="1"/>
  <c r="D38" i="18"/>
  <c r="D37" i="18"/>
  <c r="D36" i="18"/>
  <c r="D35" i="18"/>
  <c r="D34" i="18"/>
  <c r="D33" i="18"/>
  <c r="D32" i="18"/>
  <c r="D74" i="18"/>
  <c r="D73" i="18"/>
  <c r="D72" i="18"/>
  <c r="D71" i="18"/>
  <c r="D70" i="18"/>
  <c r="D69" i="18"/>
  <c r="D68" i="18"/>
  <c r="D67" i="18"/>
  <c r="D107" i="18"/>
  <c r="D106" i="18"/>
  <c r="D105" i="18"/>
  <c r="D104" i="18"/>
  <c r="D103" i="18"/>
  <c r="D102" i="18"/>
  <c r="D101" i="18"/>
  <c r="D100" i="18"/>
  <c r="E7" i="18" l="1"/>
  <c r="E8" i="18" s="1"/>
  <c r="BA208" i="60" l="1"/>
  <c r="BA207" i="60" s="1"/>
  <c r="AR208" i="60"/>
  <c r="AX208" i="60"/>
  <c r="AX207" i="60" s="1"/>
  <c r="AU208" i="60"/>
  <c r="AU207" i="60" s="1"/>
  <c r="E9" i="18"/>
  <c r="E10" i="18"/>
  <c r="E11" i="18"/>
  <c r="M7" i="18"/>
  <c r="AX209" i="60" l="1"/>
  <c r="AY209" i="60" s="1"/>
  <c r="AY207" i="60"/>
  <c r="AR207" i="60"/>
  <c r="AE204" i="60"/>
  <c r="AV207" i="60"/>
  <c r="AU209" i="60"/>
  <c r="AV209" i="60" s="1"/>
  <c r="BA209" i="60"/>
  <c r="BB209" i="60" s="1"/>
  <c r="BB207" i="60"/>
  <c r="M98" i="18"/>
  <c r="L98" i="18"/>
  <c r="K98" i="18"/>
  <c r="J98" i="18"/>
  <c r="I98" i="18"/>
  <c r="H98" i="18"/>
  <c r="G98" i="18"/>
  <c r="F98" i="18"/>
  <c r="M65" i="18"/>
  <c r="L65" i="18"/>
  <c r="K65" i="18"/>
  <c r="J65" i="18"/>
  <c r="I65" i="18"/>
  <c r="H65" i="18"/>
  <c r="G65" i="18"/>
  <c r="F65" i="18"/>
  <c r="M30" i="18"/>
  <c r="L30" i="18"/>
  <c r="K30" i="18"/>
  <c r="J30" i="18"/>
  <c r="I30" i="18"/>
  <c r="H30" i="18"/>
  <c r="G30" i="18"/>
  <c r="F30" i="18"/>
  <c r="M16" i="18"/>
  <c r="L16" i="18"/>
  <c r="K16" i="18"/>
  <c r="J16" i="18"/>
  <c r="I16" i="18"/>
  <c r="H16" i="18"/>
  <c r="G16" i="18"/>
  <c r="F16" i="18"/>
  <c r="BB208" i="60" l="1"/>
  <c r="AE209" i="60" s="1"/>
  <c r="AY208" i="60"/>
  <c r="AE208" i="60" s="1"/>
  <c r="AE216" i="60"/>
  <c r="AE215" i="60"/>
  <c r="AR209" i="60"/>
  <c r="AS209" i="60" s="1"/>
  <c r="AS207" i="60"/>
  <c r="BS205" i="60"/>
  <c r="BU205" i="60" s="1"/>
  <c r="CD205" i="60" s="1"/>
  <c r="BS211" i="60"/>
  <c r="BU211" i="60" s="1"/>
  <c r="BS204" i="60"/>
  <c r="BU204" i="60" s="1"/>
  <c r="CD204" i="60" s="1"/>
  <c r="BS212" i="60"/>
  <c r="BU212" i="60" s="1"/>
  <c r="AV208" i="60"/>
  <c r="AE207" i="60" s="1"/>
  <c r="E17" i="18"/>
  <c r="E16" i="18"/>
  <c r="AS208" i="60" l="1"/>
  <c r="AI216" i="60"/>
  <c r="AG216" i="60"/>
  <c r="AE222" i="60" s="1"/>
  <c r="AI215" i="60"/>
  <c r="AG215" i="60"/>
  <c r="AD222" i="60" s="1"/>
  <c r="CA212" i="60"/>
  <c r="BW212" i="60"/>
  <c r="BX212" i="60" s="1"/>
  <c r="BZ212" i="60"/>
  <c r="BY212" i="60"/>
  <c r="CA211" i="60"/>
  <c r="BY211" i="60"/>
  <c r="BZ211" i="60"/>
  <c r="BW211" i="60"/>
  <c r="BX211" i="60" s="1"/>
  <c r="CB211" i="60" s="1"/>
  <c r="CC211" i="60" s="1"/>
  <c r="CD211" i="60" s="1"/>
  <c r="AJ215" i="60" s="1"/>
  <c r="M17" i="18"/>
  <c r="I17" i="18"/>
  <c r="G17" i="18"/>
  <c r="H17" i="18"/>
  <c r="F17" i="18"/>
  <c r="L17" i="18"/>
  <c r="K17" i="18"/>
  <c r="J17" i="18"/>
  <c r="K102" i="18"/>
  <c r="K101" i="18" s="1"/>
  <c r="K100" i="18" s="1"/>
  <c r="E98" i="18"/>
  <c r="E66" i="18"/>
  <c r="L74" i="18" s="1"/>
  <c r="L68" i="18" s="1"/>
  <c r="E99" i="18"/>
  <c r="L107" i="18" s="1"/>
  <c r="L100" i="18" s="1"/>
  <c r="E30" i="18"/>
  <c r="E65" i="18"/>
  <c r="E31" i="18"/>
  <c r="L39" i="18" s="1"/>
  <c r="L11" i="18"/>
  <c r="L10" i="18"/>
  <c r="L9" i="18"/>
  <c r="L8" i="18"/>
  <c r="L7" i="18"/>
  <c r="E20" i="15"/>
  <c r="J20" i="15" s="1"/>
  <c r="E19" i="15"/>
  <c r="J19" i="15" s="1"/>
  <c r="E18" i="15"/>
  <c r="J18" i="15" s="1"/>
  <c r="E17" i="15"/>
  <c r="J17" i="15" s="1"/>
  <c r="E16" i="15"/>
  <c r="J16" i="15" s="1"/>
  <c r="E15" i="15"/>
  <c r="J15" i="15" s="1"/>
  <c r="E14" i="15"/>
  <c r="J14" i="15" s="1"/>
  <c r="E13" i="15"/>
  <c r="J13" i="15" s="1"/>
  <c r="CB212" i="60" l="1"/>
  <c r="CC212" i="60" s="1"/>
  <c r="CD212" i="60" s="1"/>
  <c r="AJ216" i="60" s="1"/>
  <c r="AE226" i="60"/>
  <c r="AE227" i="60"/>
  <c r="AE220" i="60"/>
  <c r="AE225" i="60"/>
  <c r="K17" i="60"/>
  <c r="AD225" i="60"/>
  <c r="K20" i="60" s="1"/>
  <c r="AD227" i="60"/>
  <c r="K22" i="60" s="1"/>
  <c r="AD226" i="60"/>
  <c r="K21" i="60" s="1"/>
  <c r="BD208" i="60"/>
  <c r="BL208" i="60"/>
  <c r="BL207" i="60" s="1"/>
  <c r="BG208" i="60"/>
  <c r="BG207" i="60" s="1"/>
  <c r="BO208" i="60"/>
  <c r="BO207" i="60" s="1"/>
  <c r="BI208" i="60"/>
  <c r="BI207" i="60" s="1"/>
  <c r="L69" i="18"/>
  <c r="L71" i="18" s="1"/>
  <c r="L72" i="18" s="1"/>
  <c r="L70" i="18"/>
  <c r="L67" i="18"/>
  <c r="G31" i="18"/>
  <c r="L25" i="18"/>
  <c r="K103" i="18"/>
  <c r="L101" i="18"/>
  <c r="M66" i="18"/>
  <c r="M74" i="18" s="1"/>
  <c r="I66" i="18"/>
  <c r="I70" i="18" s="1"/>
  <c r="I69" i="18" s="1"/>
  <c r="I68" i="18" s="1"/>
  <c r="L66" i="18"/>
  <c r="L73" i="18" s="1"/>
  <c r="H66" i="18"/>
  <c r="K66" i="18"/>
  <c r="K72" i="18" s="1"/>
  <c r="G66" i="18"/>
  <c r="J66" i="18"/>
  <c r="F66" i="18"/>
  <c r="F67" i="18" s="1"/>
  <c r="I31" i="18"/>
  <c r="I35" i="18" s="1"/>
  <c r="F31" i="18"/>
  <c r="H31" i="18"/>
  <c r="M31" i="18"/>
  <c r="M39" i="18" s="1"/>
  <c r="M36" i="18" s="1"/>
  <c r="J31" i="18"/>
  <c r="K31" i="18"/>
  <c r="K37" i="18" s="1"/>
  <c r="L31" i="18"/>
  <c r="L38" i="18" s="1"/>
  <c r="L99" i="18"/>
  <c r="L106" i="18" s="1"/>
  <c r="H99" i="18"/>
  <c r="K99" i="18"/>
  <c r="K105" i="18" s="1"/>
  <c r="G99" i="18"/>
  <c r="J99" i="18"/>
  <c r="F99" i="18"/>
  <c r="F100" i="18" s="1"/>
  <c r="M99" i="18"/>
  <c r="M107" i="18" s="1"/>
  <c r="I99" i="18"/>
  <c r="I103" i="18" s="1"/>
  <c r="K104" i="18"/>
  <c r="K11" i="18"/>
  <c r="K8" i="18"/>
  <c r="K10" i="18"/>
  <c r="K9" i="18"/>
  <c r="E16" i="13"/>
  <c r="AE223" i="60" l="1"/>
  <c r="K18" i="60" s="1"/>
  <c r="K15" i="60"/>
  <c r="E13" i="60" s="1"/>
  <c r="BD207" i="60"/>
  <c r="AH204" i="60"/>
  <c r="BM207" i="60"/>
  <c r="BL209" i="60"/>
  <c r="BM209" i="60" s="1"/>
  <c r="BP207" i="60"/>
  <c r="BO209" i="60"/>
  <c r="BP209" i="60" s="1"/>
  <c r="BH207" i="60"/>
  <c r="BG209" i="60"/>
  <c r="BH209" i="60" s="1"/>
  <c r="BJ207" i="60"/>
  <c r="BI209" i="60"/>
  <c r="BJ209" i="60" s="1"/>
  <c r="L24" i="18"/>
  <c r="E16" i="1"/>
  <c r="I67" i="18"/>
  <c r="I71" i="18"/>
  <c r="I72" i="18" s="1"/>
  <c r="I74" i="18"/>
  <c r="I73" i="18" s="1"/>
  <c r="J71" i="18"/>
  <c r="K73" i="18"/>
  <c r="K71" i="18"/>
  <c r="K23" i="18"/>
  <c r="K38" i="18"/>
  <c r="M71" i="18"/>
  <c r="M73" i="18"/>
  <c r="M67" i="18"/>
  <c r="M68" i="18"/>
  <c r="M25" i="18"/>
  <c r="G67" i="18"/>
  <c r="G68" i="18"/>
  <c r="F68" i="18"/>
  <c r="H69" i="18"/>
  <c r="H71" i="18"/>
  <c r="I33" i="18"/>
  <c r="I21" i="18"/>
  <c r="M34" i="18"/>
  <c r="M38" i="18"/>
  <c r="L36" i="18"/>
  <c r="L37" i="18"/>
  <c r="L34" i="18"/>
  <c r="L32" i="18"/>
  <c r="L18" i="18" s="1"/>
  <c r="L33" i="18"/>
  <c r="I36" i="18"/>
  <c r="J104" i="18"/>
  <c r="J105" i="18" s="1"/>
  <c r="J102" i="18"/>
  <c r="J101" i="18" s="1"/>
  <c r="J36" i="18"/>
  <c r="H34" i="18"/>
  <c r="M33" i="18"/>
  <c r="M32" i="18"/>
  <c r="M106" i="18"/>
  <c r="M100" i="18"/>
  <c r="M101" i="18"/>
  <c r="L103" i="18"/>
  <c r="L102" i="18"/>
  <c r="L104" i="18" s="1"/>
  <c r="L105" i="18" s="1"/>
  <c r="I32" i="18"/>
  <c r="F33" i="18"/>
  <c r="F32" i="18"/>
  <c r="F18" i="18" s="1"/>
  <c r="F101" i="18"/>
  <c r="G33" i="18"/>
  <c r="G32" i="18"/>
  <c r="G101" i="18"/>
  <c r="G100" i="18"/>
  <c r="H102" i="18"/>
  <c r="H104" i="18"/>
  <c r="H105" i="18" s="1"/>
  <c r="E16" i="14"/>
  <c r="E14" i="14"/>
  <c r="AD101" i="18"/>
  <c r="Z101" i="18"/>
  <c r="AE100" i="18"/>
  <c r="AA100" i="18"/>
  <c r="AE99" i="18"/>
  <c r="AD99" i="18"/>
  <c r="AA99" i="18"/>
  <c r="Z99" i="18"/>
  <c r="AE98" i="18"/>
  <c r="AD98" i="18"/>
  <c r="AA98" i="18"/>
  <c r="Z98" i="18"/>
  <c r="AD97" i="18"/>
  <c r="Z97" i="18"/>
  <c r="AX68" i="18"/>
  <c r="AT68" i="18"/>
  <c r="AR68" i="18"/>
  <c r="AQ68" i="18"/>
  <c r="AP68" i="18"/>
  <c r="AN68" i="18"/>
  <c r="AM68" i="18"/>
  <c r="AL68" i="18"/>
  <c r="AJ68" i="18"/>
  <c r="AI68" i="18"/>
  <c r="AH68" i="18"/>
  <c r="AD68" i="18"/>
  <c r="Z68" i="18"/>
  <c r="V68" i="18"/>
  <c r="T68" i="18"/>
  <c r="S68" i="18"/>
  <c r="R68" i="18"/>
  <c r="AZ67" i="18"/>
  <c r="AY67" i="18"/>
  <c r="AV67" i="18"/>
  <c r="AU67" i="18"/>
  <c r="AR67" i="18"/>
  <c r="AQ67" i="18"/>
  <c r="AN67" i="18"/>
  <c r="AM67" i="18"/>
  <c r="AJ67" i="18"/>
  <c r="AI67" i="18"/>
  <c r="AF67" i="18"/>
  <c r="AE67" i="18"/>
  <c r="AA67" i="18"/>
  <c r="W67" i="18"/>
  <c r="AZ66" i="18"/>
  <c r="AY66" i="18"/>
  <c r="AX66" i="18"/>
  <c r="AV66" i="18"/>
  <c r="AU66" i="18"/>
  <c r="AT66" i="18"/>
  <c r="AR66" i="18"/>
  <c r="AQ66" i="18"/>
  <c r="AP66" i="18"/>
  <c r="AN66" i="18"/>
  <c r="AM66" i="18"/>
  <c r="AL66" i="18"/>
  <c r="AJ66" i="18"/>
  <c r="AI66" i="18"/>
  <c r="AH66" i="18"/>
  <c r="AF66" i="18"/>
  <c r="AE66" i="18"/>
  <c r="AD66" i="18"/>
  <c r="AA66" i="18"/>
  <c r="Z66" i="18"/>
  <c r="W66" i="18"/>
  <c r="V66" i="18"/>
  <c r="S66" i="18"/>
  <c r="R66" i="18"/>
  <c r="AZ65" i="18"/>
  <c r="AY65" i="18"/>
  <c r="AX65" i="18"/>
  <c r="AV65" i="18"/>
  <c r="AU65" i="18"/>
  <c r="AT65" i="18"/>
  <c r="AR65" i="18"/>
  <c r="AQ65" i="18"/>
  <c r="AP65" i="18"/>
  <c r="AN65" i="18"/>
  <c r="AM65" i="18"/>
  <c r="AL65" i="18"/>
  <c r="AJ65" i="18"/>
  <c r="AI65" i="18"/>
  <c r="AH65" i="18"/>
  <c r="AF65" i="18"/>
  <c r="AE65" i="18"/>
  <c r="AD65" i="18"/>
  <c r="AA65" i="18"/>
  <c r="Z65" i="18"/>
  <c r="W65" i="18"/>
  <c r="V65" i="18"/>
  <c r="T65" i="18"/>
  <c r="S65" i="18"/>
  <c r="R65" i="18"/>
  <c r="AX64" i="18"/>
  <c r="AT64" i="18"/>
  <c r="AP64" i="18"/>
  <c r="AL64" i="18"/>
  <c r="AH64" i="18"/>
  <c r="AD64" i="18"/>
  <c r="Z64" i="18"/>
  <c r="V64" i="18"/>
  <c r="R64" i="18"/>
  <c r="AZ33" i="18"/>
  <c r="AY33" i="18"/>
  <c r="AX33" i="18"/>
  <c r="AR33" i="18"/>
  <c r="AQ33" i="18"/>
  <c r="AP33" i="18"/>
  <c r="AJ33" i="18"/>
  <c r="AI33" i="18"/>
  <c r="AH33" i="18"/>
  <c r="AF33" i="18"/>
  <c r="AE33" i="18"/>
  <c r="AD33" i="18"/>
  <c r="AB33" i="18"/>
  <c r="AA33" i="18"/>
  <c r="Z33" i="18"/>
  <c r="AZ32" i="18"/>
  <c r="AY32" i="18"/>
  <c r="AR32" i="18"/>
  <c r="AQ32" i="18"/>
  <c r="AJ32" i="18"/>
  <c r="AI32" i="18"/>
  <c r="AF32" i="18"/>
  <c r="AE32" i="18"/>
  <c r="AB32" i="18"/>
  <c r="AA32" i="18"/>
  <c r="AZ31" i="18"/>
  <c r="AY31" i="18"/>
  <c r="AX31" i="18"/>
  <c r="AR31" i="18"/>
  <c r="AQ31" i="18"/>
  <c r="AP31" i="18"/>
  <c r="AJ31" i="18"/>
  <c r="AI31" i="18"/>
  <c r="AH31" i="18"/>
  <c r="AF31" i="18"/>
  <c r="AE31" i="18"/>
  <c r="AD31" i="18"/>
  <c r="AB31" i="18"/>
  <c r="AA31" i="18"/>
  <c r="Z31" i="18"/>
  <c r="AZ30" i="18"/>
  <c r="AY30" i="18"/>
  <c r="AX30" i="18"/>
  <c r="AR30" i="18"/>
  <c r="AQ30" i="18"/>
  <c r="AP30" i="18"/>
  <c r="AJ30" i="18"/>
  <c r="AI30" i="18"/>
  <c r="AH30" i="18"/>
  <c r="AF30" i="18"/>
  <c r="AE30" i="18"/>
  <c r="AD30" i="18"/>
  <c r="AB30" i="18"/>
  <c r="AA30" i="18"/>
  <c r="Z30" i="18"/>
  <c r="AX29" i="18"/>
  <c r="AP29" i="18"/>
  <c r="AH29" i="18"/>
  <c r="AD29" i="18"/>
  <c r="Z29" i="18"/>
  <c r="BH208" i="60" l="1"/>
  <c r="AH207" i="60" s="1"/>
  <c r="BP208" i="60"/>
  <c r="AH210" i="60" s="1"/>
  <c r="BM208" i="60"/>
  <c r="AH209" i="60" s="1"/>
  <c r="BS218" i="60"/>
  <c r="BU218" i="60" s="1"/>
  <c r="CD218" i="60" s="1"/>
  <c r="AK215" i="60" s="1"/>
  <c r="BS225" i="60"/>
  <c r="BU225" i="60" s="1"/>
  <c r="BS219" i="60"/>
  <c r="BU219" i="60" s="1"/>
  <c r="CD219" i="60" s="1"/>
  <c r="AK216" i="60" s="1"/>
  <c r="BS226" i="60"/>
  <c r="BU226" i="60" s="1"/>
  <c r="BJ208" i="60"/>
  <c r="AH208" i="60" s="1"/>
  <c r="BE207" i="60"/>
  <c r="BD209" i="60"/>
  <c r="BE209" i="60" s="1"/>
  <c r="M24" i="18"/>
  <c r="L20" i="18"/>
  <c r="F74" i="18"/>
  <c r="F69" i="18"/>
  <c r="F71" i="18" s="1"/>
  <c r="F72" i="18" s="1"/>
  <c r="L23" i="18"/>
  <c r="G19" i="18"/>
  <c r="J22" i="18"/>
  <c r="J72" i="18"/>
  <c r="J69" i="18"/>
  <c r="J68" i="18" s="1"/>
  <c r="J67" i="18" s="1"/>
  <c r="J74" i="18"/>
  <c r="J73" i="18" s="1"/>
  <c r="J70" i="18"/>
  <c r="K69" i="18"/>
  <c r="K74" i="18"/>
  <c r="K32" i="18"/>
  <c r="K33" i="18" s="1"/>
  <c r="K35" i="18" s="1"/>
  <c r="K39" i="18"/>
  <c r="K34" i="18"/>
  <c r="K36" i="18"/>
  <c r="K22" i="18" s="1"/>
  <c r="G18" i="18"/>
  <c r="H20" i="18"/>
  <c r="M70" i="18"/>
  <c r="M69" i="18"/>
  <c r="M72" i="18" s="1"/>
  <c r="F19" i="18"/>
  <c r="F70" i="18"/>
  <c r="F73" i="18"/>
  <c r="H72" i="18"/>
  <c r="L22" i="18"/>
  <c r="M18" i="18"/>
  <c r="I38" i="18"/>
  <c r="M35" i="18"/>
  <c r="M19" i="18"/>
  <c r="L35" i="18"/>
  <c r="L21" i="18" s="1"/>
  <c r="L19" i="18"/>
  <c r="I39" i="18"/>
  <c r="I34" i="18"/>
  <c r="J39" i="18"/>
  <c r="J33" i="18"/>
  <c r="J32" i="18" s="1"/>
  <c r="J34" i="18"/>
  <c r="J38" i="18"/>
  <c r="J107" i="18"/>
  <c r="J106" i="18" s="1"/>
  <c r="J103" i="18"/>
  <c r="J100" i="18"/>
  <c r="M37" i="18"/>
  <c r="M102" i="18"/>
  <c r="M104" i="18" s="1"/>
  <c r="M105" i="18" s="1"/>
  <c r="M103" i="18"/>
  <c r="G86" i="12"/>
  <c r="G85" i="12"/>
  <c r="G84" i="12"/>
  <c r="G83" i="12"/>
  <c r="G82" i="12"/>
  <c r="G81" i="12"/>
  <c r="G80" i="12"/>
  <c r="G79" i="12"/>
  <c r="G78" i="12"/>
  <c r="G77" i="12"/>
  <c r="BY226" i="60" l="1"/>
  <c r="BW226" i="60"/>
  <c r="BZ226" i="60"/>
  <c r="BX226" i="60"/>
  <c r="BY225" i="60"/>
  <c r="BX225" i="60"/>
  <c r="BZ225" i="60"/>
  <c r="BW225" i="60"/>
  <c r="BE208" i="60"/>
  <c r="M22" i="18"/>
  <c r="J20" i="18"/>
  <c r="J18" i="18"/>
  <c r="K68" i="18"/>
  <c r="K20" i="18"/>
  <c r="M20" i="18"/>
  <c r="J25" i="18"/>
  <c r="M23" i="18"/>
  <c r="M21" i="18"/>
  <c r="J37" i="18"/>
  <c r="J23" i="18" s="1"/>
  <c r="J24" i="18"/>
  <c r="J35" i="18"/>
  <c r="J21" i="18" s="1"/>
  <c r="J19" i="18"/>
  <c r="I37" i="18"/>
  <c r="G66" i="12"/>
  <c r="G65" i="12"/>
  <c r="G64" i="12"/>
  <c r="G63" i="12"/>
  <c r="G62" i="12"/>
  <c r="G61" i="12"/>
  <c r="G60" i="12"/>
  <c r="G59" i="12"/>
  <c r="G58" i="12"/>
  <c r="G57" i="12"/>
  <c r="G56" i="12"/>
  <c r="G55" i="12"/>
  <c r="G54" i="12"/>
  <c r="G53" i="12"/>
  <c r="G44" i="12"/>
  <c r="G43" i="12"/>
  <c r="G42" i="12"/>
  <c r="G41" i="12"/>
  <c r="G40" i="12"/>
  <c r="G39" i="12"/>
  <c r="G38" i="12"/>
  <c r="G37" i="12"/>
  <c r="G36" i="12"/>
  <c r="G35" i="12"/>
  <c r="G34" i="12"/>
  <c r="G33" i="12"/>
  <c r="G32" i="12"/>
  <c r="G31" i="12"/>
  <c r="G30" i="12"/>
  <c r="G29" i="12"/>
  <c r="CA225" i="60" l="1"/>
  <c r="CD225" i="60" s="1"/>
  <c r="AL215" i="60" s="1"/>
  <c r="CA226" i="60"/>
  <c r="CD226" i="60" s="1"/>
  <c r="AL216" i="60" s="1"/>
  <c r="K67" i="18"/>
  <c r="K18" i="18" s="1"/>
  <c r="K19" i="18"/>
  <c r="K70" i="18"/>
  <c r="K21" i="18" s="1"/>
  <c r="X48" i="12"/>
  <c r="T48" i="12"/>
  <c r="AB74" i="12"/>
  <c r="AC73" i="12"/>
  <c r="AC72" i="12"/>
  <c r="AB72" i="12"/>
  <c r="AC71" i="12"/>
  <c r="AB71" i="12"/>
  <c r="AB70" i="12"/>
  <c r="X74" i="12"/>
  <c r="Y73" i="12"/>
  <c r="Y72" i="12"/>
  <c r="X72" i="12"/>
  <c r="Y71" i="12"/>
  <c r="X71" i="12"/>
  <c r="X70" i="12"/>
  <c r="AV52" i="12"/>
  <c r="AX51" i="12"/>
  <c r="AW51" i="12"/>
  <c r="AX50" i="12"/>
  <c r="AW50" i="12"/>
  <c r="AV50" i="12"/>
  <c r="AX49" i="12"/>
  <c r="AW49" i="12"/>
  <c r="AV49" i="12"/>
  <c r="AV48" i="12"/>
  <c r="AR52" i="12"/>
  <c r="AT51" i="12"/>
  <c r="AS51" i="12"/>
  <c r="AT50" i="12"/>
  <c r="AS50" i="12"/>
  <c r="AR50" i="12"/>
  <c r="AT49" i="12"/>
  <c r="AS49" i="12"/>
  <c r="AR49" i="12"/>
  <c r="AR48" i="12"/>
  <c r="AP52" i="12"/>
  <c r="AO52" i="12"/>
  <c r="AN52" i="12"/>
  <c r="AP51" i="12"/>
  <c r="AO51" i="12"/>
  <c r="AP50" i="12"/>
  <c r="AO50" i="12"/>
  <c r="AN50" i="12"/>
  <c r="AP49" i="12"/>
  <c r="AO49" i="12"/>
  <c r="AN49" i="12"/>
  <c r="AN48" i="12"/>
  <c r="AL52" i="12"/>
  <c r="AK52" i="12"/>
  <c r="AJ52" i="12"/>
  <c r="AL51" i="12"/>
  <c r="AK51" i="12"/>
  <c r="AL50" i="12"/>
  <c r="AK50" i="12"/>
  <c r="AJ50" i="12"/>
  <c r="AL49" i="12"/>
  <c r="AK49" i="12"/>
  <c r="AJ49" i="12"/>
  <c r="AJ48" i="12"/>
  <c r="AH52" i="12"/>
  <c r="AG52" i="12"/>
  <c r="AF52" i="12"/>
  <c r="AH51" i="12"/>
  <c r="AG51" i="12"/>
  <c r="AH50" i="12"/>
  <c r="AG50" i="12"/>
  <c r="AF50" i="12"/>
  <c r="AH49" i="12"/>
  <c r="AG49" i="12"/>
  <c r="AF49" i="12"/>
  <c r="AF48" i="12"/>
  <c r="AD50" i="12"/>
  <c r="AD51" i="12"/>
  <c r="AC51" i="12"/>
  <c r="AB52" i="12"/>
  <c r="AC50" i="12"/>
  <c r="AB50" i="12"/>
  <c r="AD49" i="12"/>
  <c r="AC49" i="12"/>
  <c r="AB49" i="12"/>
  <c r="AB48" i="12"/>
  <c r="Y51" i="12"/>
  <c r="Y50" i="12"/>
  <c r="Y49" i="12"/>
  <c r="X52" i="12"/>
  <c r="T52" i="12"/>
  <c r="U51" i="12"/>
  <c r="X50" i="12"/>
  <c r="U50" i="12"/>
  <c r="T50" i="12"/>
  <c r="X49" i="12"/>
  <c r="U49" i="12"/>
  <c r="T49" i="12"/>
  <c r="R52" i="12"/>
  <c r="Q52" i="12"/>
  <c r="P52" i="12"/>
  <c r="Q50" i="12"/>
  <c r="P50" i="12"/>
  <c r="R49" i="12"/>
  <c r="Q49" i="12"/>
  <c r="P49" i="12"/>
  <c r="P48" i="12"/>
  <c r="AX28" i="12"/>
  <c r="AW28" i="12"/>
  <c r="AV28" i="12"/>
  <c r="AX27" i="12"/>
  <c r="AW27" i="12"/>
  <c r="AX26" i="12"/>
  <c r="AW26" i="12"/>
  <c r="AV26" i="12"/>
  <c r="AX25" i="12"/>
  <c r="AW25" i="12"/>
  <c r="AV25" i="12"/>
  <c r="AV24" i="12"/>
  <c r="AP28" i="12"/>
  <c r="AO28" i="12"/>
  <c r="AN28" i="12"/>
  <c r="AP27" i="12"/>
  <c r="AO27" i="12"/>
  <c r="AP26" i="12"/>
  <c r="AO26" i="12"/>
  <c r="AN26" i="12"/>
  <c r="AP25" i="12"/>
  <c r="AO25" i="12"/>
  <c r="AN25" i="12"/>
  <c r="AN24" i="12"/>
  <c r="AH28" i="12"/>
  <c r="AG28" i="12"/>
  <c r="AF28" i="12"/>
  <c r="AH27" i="12"/>
  <c r="AG27" i="12"/>
  <c r="AH26" i="12"/>
  <c r="AG26" i="12"/>
  <c r="AF26" i="12"/>
  <c r="AH25" i="12"/>
  <c r="AG25" i="12"/>
  <c r="AF25" i="12"/>
  <c r="AF24" i="12"/>
  <c r="AD28" i="12"/>
  <c r="AC28" i="12"/>
  <c r="AB28" i="12"/>
  <c r="AD27" i="12"/>
  <c r="AC27" i="12"/>
  <c r="AD26" i="12"/>
  <c r="AC26" i="12"/>
  <c r="AB26" i="12"/>
  <c r="AD25" i="12"/>
  <c r="AC25" i="12"/>
  <c r="AB25" i="12"/>
  <c r="AB24" i="12"/>
  <c r="Z27" i="12"/>
  <c r="Y27" i="12"/>
  <c r="Z28" i="12"/>
  <c r="Y28" i="12"/>
  <c r="Z26" i="12"/>
  <c r="Y26" i="12"/>
  <c r="Z25" i="12"/>
  <c r="Y25" i="12"/>
  <c r="X28" i="12"/>
  <c r="X26" i="12"/>
  <c r="X25" i="12"/>
  <c r="X24" i="12"/>
  <c r="K71" i="12"/>
  <c r="K49" i="12"/>
  <c r="P54" i="12" s="1"/>
  <c r="P53" i="12" s="1"/>
  <c r="K25" i="12"/>
  <c r="AR30" i="12" s="1"/>
  <c r="AR29" i="12" s="1"/>
  <c r="K73" i="12" l="1"/>
  <c r="K72" i="12"/>
  <c r="AF76" i="12" s="1"/>
  <c r="AB76" i="12"/>
  <c r="AB75" i="12" s="1"/>
  <c r="AB77" i="12" s="1"/>
  <c r="AC77" i="12" s="1"/>
  <c r="X76" i="12"/>
  <c r="AN54" i="12"/>
  <c r="AN53" i="12" s="1"/>
  <c r="AP53" i="12" s="1"/>
  <c r="AJ54" i="12"/>
  <c r="AJ53" i="12" s="1"/>
  <c r="AJ55" i="12" s="1"/>
  <c r="AR54" i="12"/>
  <c r="AR53" i="12" s="1"/>
  <c r="AR55" i="12" s="1"/>
  <c r="AB54" i="12"/>
  <c r="AB53" i="12" s="1"/>
  <c r="AB55" i="12" s="1"/>
  <c r="AF54" i="12"/>
  <c r="AF53" i="12" s="1"/>
  <c r="AG53" i="12" s="1"/>
  <c r="AV54" i="12"/>
  <c r="AV53" i="12" s="1"/>
  <c r="AW53" i="12" s="1"/>
  <c r="T54" i="12"/>
  <c r="T53" i="12" s="1"/>
  <c r="T55" i="12" s="1"/>
  <c r="X54" i="12"/>
  <c r="X53" i="12" s="1"/>
  <c r="X55" i="12" s="1"/>
  <c r="Y55" i="12" s="1"/>
  <c r="P55" i="12"/>
  <c r="R53" i="12"/>
  <c r="Q53" i="12"/>
  <c r="AV30" i="12"/>
  <c r="AV29" i="12" s="1"/>
  <c r="AV31" i="12" s="1"/>
  <c r="AN30" i="12"/>
  <c r="AN29" i="12" s="1"/>
  <c r="AP29" i="12" s="1"/>
  <c r="X30" i="12"/>
  <c r="X29" i="12" s="1"/>
  <c r="X31" i="12" s="1"/>
  <c r="AF30" i="12"/>
  <c r="AF29" i="12" s="1"/>
  <c r="AH29" i="12" s="1"/>
  <c r="AB30" i="12"/>
  <c r="AB29" i="12" s="1"/>
  <c r="AC29" i="12" s="1"/>
  <c r="P30" i="12"/>
  <c r="T30" i="12"/>
  <c r="AJ30" i="12"/>
  <c r="F8" i="13" l="1"/>
  <c r="AJ76" i="12"/>
  <c r="AJ75" i="12" s="1"/>
  <c r="AN76" i="12"/>
  <c r="AN75" i="12" s="1"/>
  <c r="T76" i="12"/>
  <c r="T75" i="12" s="1"/>
  <c r="P76" i="12"/>
  <c r="P75" i="12" s="1"/>
  <c r="X75" i="12"/>
  <c r="X77" i="12" s="1"/>
  <c r="Y77" i="12" s="1"/>
  <c r="P29" i="12"/>
  <c r="P31" i="12" s="1"/>
  <c r="AN55" i="12"/>
  <c r="AP55" i="12" s="1"/>
  <c r="AP54" i="12" s="1"/>
  <c r="K62" i="12" s="1"/>
  <c r="H62" i="12" s="1"/>
  <c r="AO53" i="12"/>
  <c r="AV55" i="12"/>
  <c r="AW55" i="12" s="1"/>
  <c r="AW54" i="12" s="1"/>
  <c r="K65" i="12" s="1"/>
  <c r="H65" i="12" s="1"/>
  <c r="AC75" i="12"/>
  <c r="AC76" i="12" s="1"/>
  <c r="K80" i="12" s="1"/>
  <c r="H80" i="12" s="1"/>
  <c r="AK53" i="12"/>
  <c r="AL53" i="12"/>
  <c r="AC53" i="12"/>
  <c r="AH53" i="12"/>
  <c r="AS53" i="12"/>
  <c r="AF55" i="12"/>
  <c r="AH55" i="12" s="1"/>
  <c r="AT53" i="12"/>
  <c r="U53" i="12"/>
  <c r="Y53" i="12"/>
  <c r="Y54" i="12" s="1"/>
  <c r="K54" i="12" s="1"/>
  <c r="H54" i="12" s="1"/>
  <c r="AX53" i="12"/>
  <c r="AD53" i="12"/>
  <c r="AT55" i="12"/>
  <c r="AS55" i="12"/>
  <c r="AL55" i="12"/>
  <c r="AK55" i="12"/>
  <c r="AD55" i="12"/>
  <c r="AC55" i="12"/>
  <c r="AF31" i="12"/>
  <c r="AH31" i="12" s="1"/>
  <c r="AH30" i="12" s="1"/>
  <c r="K36" i="12" s="1"/>
  <c r="H36" i="12" s="1"/>
  <c r="AO29" i="12"/>
  <c r="AN31" i="12"/>
  <c r="AP31" i="12" s="1"/>
  <c r="AP30" i="12" s="1"/>
  <c r="K40" i="12" s="1"/>
  <c r="H40" i="12" s="1"/>
  <c r="AX29" i="12"/>
  <c r="U55" i="12"/>
  <c r="AW29" i="12"/>
  <c r="R55" i="12"/>
  <c r="R54" i="12" s="1"/>
  <c r="K51" i="12" s="1"/>
  <c r="Q55" i="12"/>
  <c r="Q54" i="12" s="1"/>
  <c r="K50" i="12" s="1"/>
  <c r="AD29" i="12"/>
  <c r="AX31" i="12"/>
  <c r="AW31" i="12"/>
  <c r="AB31" i="12"/>
  <c r="AD31" i="12" s="1"/>
  <c r="AG29" i="12"/>
  <c r="Y29" i="12"/>
  <c r="Z29" i="12"/>
  <c r="Z31" i="12"/>
  <c r="Y31" i="12"/>
  <c r="T29" i="12"/>
  <c r="V29" i="12" s="1"/>
  <c r="AJ29" i="12"/>
  <c r="AJ31" i="12" s="1"/>
  <c r="AT29" i="12"/>
  <c r="AS29" i="12"/>
  <c r="AR31" i="12"/>
  <c r="AF75" i="12"/>
  <c r="H8" i="13" l="1"/>
  <c r="Y75" i="12"/>
  <c r="Y76" i="12" s="1"/>
  <c r="K79" i="12" s="1"/>
  <c r="H79" i="12" s="1"/>
  <c r="F7" i="14"/>
  <c r="F8" i="14"/>
  <c r="R29" i="12"/>
  <c r="R31" i="12"/>
  <c r="Q31" i="12"/>
  <c r="Q29" i="12"/>
  <c r="AO55" i="12"/>
  <c r="AO54" i="12" s="1"/>
  <c r="K61" i="12" s="1"/>
  <c r="H61" i="12" s="1"/>
  <c r="AX55" i="12"/>
  <c r="AX54" i="12" s="1"/>
  <c r="K66" i="12" s="1"/>
  <c r="H66" i="12" s="1"/>
  <c r="AC54" i="12"/>
  <c r="K55" i="12" s="1"/>
  <c r="H55" i="12" s="1"/>
  <c r="AK54" i="12"/>
  <c r="K59" i="12" s="1"/>
  <c r="H59" i="12" s="1"/>
  <c r="AS54" i="12"/>
  <c r="K63" i="12" s="1"/>
  <c r="H63" i="12" s="1"/>
  <c r="AH54" i="12"/>
  <c r="K58" i="12" s="1"/>
  <c r="H58" i="12" s="1"/>
  <c r="AT54" i="12"/>
  <c r="K64" i="12" s="1"/>
  <c r="H64" i="12" s="1"/>
  <c r="AL54" i="12"/>
  <c r="K60" i="12" s="1"/>
  <c r="H60" i="12" s="1"/>
  <c r="AG55" i="12"/>
  <c r="AG54" i="12" s="1"/>
  <c r="K57" i="12" s="1"/>
  <c r="H57" i="12" s="1"/>
  <c r="AD54" i="12"/>
  <c r="K56" i="12" s="1"/>
  <c r="H56" i="12" s="1"/>
  <c r="U54" i="12"/>
  <c r="K53" i="12" s="1"/>
  <c r="U29" i="12"/>
  <c r="AO31" i="12"/>
  <c r="AO30" i="12" s="1"/>
  <c r="K39" i="12" s="1"/>
  <c r="H39" i="12" s="1"/>
  <c r="AG31" i="12"/>
  <c r="AG30" i="12" s="1"/>
  <c r="K35" i="12" s="1"/>
  <c r="H35" i="12" s="1"/>
  <c r="AX30" i="12"/>
  <c r="K44" i="12" s="1"/>
  <c r="H44" i="12" s="1"/>
  <c r="AW30" i="12"/>
  <c r="K43" i="12" s="1"/>
  <c r="H43" i="12" s="1"/>
  <c r="AD30" i="12"/>
  <c r="K34" i="12" s="1"/>
  <c r="AC31" i="12"/>
  <c r="AC30" i="12" s="1"/>
  <c r="K33" i="12" s="1"/>
  <c r="H33" i="12" s="1"/>
  <c r="Y30" i="12"/>
  <c r="K31" i="12" s="1"/>
  <c r="H31" i="12" s="1"/>
  <c r="Z30" i="12"/>
  <c r="K32" i="12" s="1"/>
  <c r="H32" i="12" s="1"/>
  <c r="T31" i="12"/>
  <c r="V31" i="12" s="1"/>
  <c r="V30" i="12" s="1"/>
  <c r="K30" i="12" s="1"/>
  <c r="AK29" i="12"/>
  <c r="AL29" i="12"/>
  <c r="AK31" i="12"/>
  <c r="AL31" i="12"/>
  <c r="AG75" i="12"/>
  <c r="AH75" i="12"/>
  <c r="AF77" i="12"/>
  <c r="AT31" i="12"/>
  <c r="AT30" i="12" s="1"/>
  <c r="K42" i="12" s="1"/>
  <c r="H42" i="12" s="1"/>
  <c r="AS31" i="12"/>
  <c r="AS30" i="12" s="1"/>
  <c r="K41" i="12" s="1"/>
  <c r="H41" i="12" s="1"/>
  <c r="AJ77" i="12"/>
  <c r="AK75" i="12"/>
  <c r="AL75" i="12"/>
  <c r="AN77" i="12"/>
  <c r="AO75" i="12"/>
  <c r="AP75" i="12"/>
  <c r="T77" i="12"/>
  <c r="U75" i="12"/>
  <c r="V75" i="12"/>
  <c r="P77" i="12"/>
  <c r="Q75" i="12"/>
  <c r="R75" i="12"/>
  <c r="F9" i="14" l="1"/>
  <c r="F10" i="14"/>
  <c r="Q30" i="12"/>
  <c r="K26" i="12" s="1"/>
  <c r="F7" i="1" s="1"/>
  <c r="H53" i="12"/>
  <c r="F15" i="14"/>
  <c r="H30" i="12"/>
  <c r="H34" i="12"/>
  <c r="R30" i="12"/>
  <c r="K27" i="12" s="1"/>
  <c r="AK30" i="12"/>
  <c r="K37" i="12" s="1"/>
  <c r="H37" i="12" s="1"/>
  <c r="AL30" i="12"/>
  <c r="K38" i="12" s="1"/>
  <c r="H38" i="12" s="1"/>
  <c r="U31" i="12"/>
  <c r="U30" i="12" s="1"/>
  <c r="K29" i="12" s="1"/>
  <c r="H29" i="12" s="1"/>
  <c r="AG77" i="12"/>
  <c r="AG76" i="12" s="1"/>
  <c r="K81" i="12" s="1"/>
  <c r="H81" i="12" s="1"/>
  <c r="AH77" i="12"/>
  <c r="AH76" i="12" s="1"/>
  <c r="K82" i="12" s="1"/>
  <c r="H82" i="12" s="1"/>
  <c r="U77" i="12"/>
  <c r="U76" i="12" s="1"/>
  <c r="K77" i="12" s="1"/>
  <c r="V77" i="12"/>
  <c r="V76" i="12" s="1"/>
  <c r="K78" i="12" s="1"/>
  <c r="AK77" i="12"/>
  <c r="AK76" i="12" s="1"/>
  <c r="K83" i="12" s="1"/>
  <c r="H83" i="12" s="1"/>
  <c r="AL77" i="12"/>
  <c r="AL76" i="12" s="1"/>
  <c r="K84" i="12" s="1"/>
  <c r="H84" i="12" s="1"/>
  <c r="AP77" i="12"/>
  <c r="AP76" i="12" s="1"/>
  <c r="K86" i="12" s="1"/>
  <c r="H86" i="12" s="1"/>
  <c r="AO77" i="12"/>
  <c r="AO76" i="12" s="1"/>
  <c r="K85" i="12" s="1"/>
  <c r="H85" i="12" s="1"/>
  <c r="Q77" i="12"/>
  <c r="Q76" i="12" s="1"/>
  <c r="K74" i="12" s="1"/>
  <c r="R77" i="12"/>
  <c r="R76" i="12" s="1"/>
  <c r="K75" i="12" s="1"/>
  <c r="H77" i="12" l="1"/>
  <c r="F15" i="1"/>
  <c r="F10" i="13"/>
  <c r="F9" i="13"/>
  <c r="F15" i="13"/>
  <c r="H78" i="12"/>
  <c r="F16" i="14"/>
  <c r="F8" i="1"/>
  <c r="F16" i="1"/>
  <c r="F10" i="1" l="1"/>
  <c r="F9" i="1"/>
  <c r="F16" i="13"/>
  <c r="I101" i="18" l="1"/>
  <c r="I100" i="18" l="1"/>
  <c r="I18" i="18" s="1"/>
  <c r="I19" i="18"/>
  <c r="I107" i="18"/>
  <c r="I106" i="18" l="1"/>
  <c r="I24" i="18" s="1"/>
  <c r="I25" i="18"/>
  <c r="I102" i="18"/>
  <c r="K107" i="18"/>
  <c r="K106" i="18" l="1"/>
  <c r="K24" i="18" s="1"/>
  <c r="K25" i="18"/>
  <c r="I104" i="18"/>
  <c r="I20" i="18"/>
  <c r="I105" i="18" l="1"/>
  <c r="I23" i="18" s="1"/>
  <c r="I22" i="18"/>
  <c r="F36" i="18" l="1"/>
  <c r="F34" i="18" l="1"/>
  <c r="F37" i="18"/>
  <c r="F38" i="18" l="1"/>
  <c r="F39" i="18" l="1"/>
  <c r="F35" i="18" l="1"/>
  <c r="F107" i="18"/>
  <c r="F103" i="18"/>
  <c r="F102" i="18"/>
  <c r="F20" i="18" s="1"/>
  <c r="F21" i="18" l="1"/>
  <c r="F106" i="18"/>
  <c r="F24" i="18" s="1"/>
  <c r="F25" i="18"/>
  <c r="F104" i="18"/>
  <c r="F22" i="18" s="1"/>
  <c r="F105" i="18" l="1"/>
  <c r="F23" i="18" l="1"/>
  <c r="Q22" i="20"/>
  <c r="Q19" i="20"/>
  <c r="S24" i="20" l="1"/>
  <c r="H68" i="18" l="1"/>
  <c r="H101" i="18"/>
  <c r="H107" i="18" l="1"/>
  <c r="H103" i="18"/>
  <c r="H100" i="18"/>
  <c r="E100" i="18" s="1"/>
  <c r="E101" i="18"/>
  <c r="E68" i="18"/>
  <c r="H70" i="18"/>
  <c r="H74" i="18"/>
  <c r="H67" i="18"/>
  <c r="H73" i="18" l="1"/>
  <c r="E67" i="18"/>
  <c r="H106" i="18"/>
  <c r="O26" i="20" l="1"/>
  <c r="O19" i="20" l="1"/>
  <c r="M21" i="20" l="1"/>
  <c r="M26" i="20" l="1"/>
  <c r="L75" i="20"/>
  <c r="L26" i="20" s="1"/>
  <c r="L11" i="20" l="1"/>
  <c r="T8" i="20" l="1"/>
  <c r="T42" i="20" s="1"/>
  <c r="L10" i="20"/>
  <c r="Y36" i="20" l="1"/>
  <c r="AA36" i="20" s="1"/>
  <c r="AC36" i="20" s="1"/>
  <c r="AG36" i="20" s="1"/>
  <c r="Y32" i="20"/>
  <c r="AA32" i="20" s="1"/>
  <c r="AC32" i="20" s="1"/>
  <c r="AD32" i="20" s="1"/>
  <c r="AJ32" i="20" s="1"/>
  <c r="AZ36" i="20"/>
  <c r="AZ35" i="20" s="1"/>
  <c r="BH36" i="20"/>
  <c r="BH35" i="20" s="1"/>
  <c r="BX36" i="20"/>
  <c r="BX35" i="20" s="1"/>
  <c r="BT36" i="20"/>
  <c r="BT35" i="20" s="1"/>
  <c r="AR36" i="20"/>
  <c r="AR35" i="20" s="1"/>
  <c r="BL36" i="20"/>
  <c r="BL35" i="20" s="1"/>
  <c r="BP36" i="20"/>
  <c r="BP35" i="20" s="1"/>
  <c r="AV36" i="20"/>
  <c r="AV35" i="20" s="1"/>
  <c r="BD36" i="20"/>
  <c r="BD35" i="20" s="1"/>
  <c r="AD36" i="20" l="1"/>
  <c r="AF36" i="20"/>
  <c r="E9" i="20"/>
  <c r="AE36" i="20"/>
  <c r="E8" i="20"/>
  <c r="E7" i="20" s="1"/>
  <c r="G8" i="20"/>
  <c r="AX35" i="20"/>
  <c r="AV37" i="20"/>
  <c r="AW35" i="20"/>
  <c r="BN35" i="20"/>
  <c r="BM35" i="20"/>
  <c r="BL37" i="20"/>
  <c r="AS35" i="20"/>
  <c r="AT35" i="20"/>
  <c r="AR37" i="20"/>
  <c r="BT37" i="20"/>
  <c r="BU35" i="20"/>
  <c r="BV35" i="20"/>
  <c r="BQ35" i="20"/>
  <c r="BR35" i="20"/>
  <c r="BP37" i="20"/>
  <c r="BZ35" i="20"/>
  <c r="BX37" i="20"/>
  <c r="BY35" i="20"/>
  <c r="BI35" i="20"/>
  <c r="BJ35" i="20"/>
  <c r="BH37" i="20"/>
  <c r="BF35" i="20"/>
  <c r="BE35" i="20"/>
  <c r="BD37" i="20"/>
  <c r="BA35" i="20"/>
  <c r="BB35" i="20"/>
  <c r="AZ37" i="20"/>
  <c r="M6" i="19" l="1"/>
  <c r="AH36" i="20"/>
  <c r="AI36" i="20" s="1"/>
  <c r="AJ36" i="20" s="1"/>
  <c r="BI37" i="20"/>
  <c r="BI36" i="20" s="1"/>
  <c r="T52" i="20" s="1"/>
  <c r="O136" i="20" s="1"/>
  <c r="BJ37" i="20"/>
  <c r="BJ36" i="20" s="1"/>
  <c r="T53" i="20" s="1"/>
  <c r="O137" i="20" s="1"/>
  <c r="BN37" i="20"/>
  <c r="BN36" i="20" s="1"/>
  <c r="T55" i="20" s="1"/>
  <c r="BM37" i="20"/>
  <c r="BM36" i="20" s="1"/>
  <c r="T54" i="20" s="1"/>
  <c r="O138" i="20" s="1"/>
  <c r="BU37" i="20"/>
  <c r="BU36" i="20" s="1"/>
  <c r="T58" i="20" s="1"/>
  <c r="O142" i="20" s="1"/>
  <c r="BV37" i="20"/>
  <c r="BV36" i="20" s="1"/>
  <c r="T59" i="20" s="1"/>
  <c r="AX37" i="20"/>
  <c r="AX36" i="20" s="1"/>
  <c r="T47" i="20" s="1"/>
  <c r="AW37" i="20"/>
  <c r="AW36" i="20" s="1"/>
  <c r="T46" i="20" s="1"/>
  <c r="O130" i="20" s="1"/>
  <c r="AT37" i="20"/>
  <c r="AT36" i="20" s="1"/>
  <c r="T44" i="20" s="1"/>
  <c r="AS37" i="20"/>
  <c r="AS36" i="20" s="1"/>
  <c r="T43" i="20" s="1"/>
  <c r="T9" i="20" s="1"/>
  <c r="BA37" i="20"/>
  <c r="BA36" i="20" s="1"/>
  <c r="T48" i="20" s="1"/>
  <c r="O132" i="20" s="1"/>
  <c r="BB37" i="20"/>
  <c r="BB36" i="20" s="1"/>
  <c r="T49" i="20" s="1"/>
  <c r="O133" i="20" s="1"/>
  <c r="BZ37" i="20"/>
  <c r="BZ36" i="20" s="1"/>
  <c r="T61" i="20" s="1"/>
  <c r="O145" i="20" s="1"/>
  <c r="BY37" i="20"/>
  <c r="BY36" i="20" s="1"/>
  <c r="T60" i="20" s="1"/>
  <c r="O144" i="20" s="1"/>
  <c r="BE37" i="20"/>
  <c r="BE36" i="20" s="1"/>
  <c r="T50" i="20" s="1"/>
  <c r="O134" i="20" s="1"/>
  <c r="BF37" i="20"/>
  <c r="BF36" i="20" s="1"/>
  <c r="T51" i="20" s="1"/>
  <c r="O135" i="20" s="1"/>
  <c r="BQ37" i="20"/>
  <c r="BQ36" i="20" s="1"/>
  <c r="T56" i="20" s="1"/>
  <c r="O140" i="20" s="1"/>
  <c r="BR37" i="20"/>
  <c r="BR36" i="20" s="1"/>
  <c r="T57" i="20" s="1"/>
  <c r="O141" i="20" s="1"/>
  <c r="O131" i="20" l="1"/>
  <c r="N36" i="20"/>
  <c r="N22" i="20" s="1"/>
  <c r="R34" i="20"/>
  <c r="R20" i="20" s="1"/>
  <c r="N38" i="20"/>
  <c r="O139" i="20"/>
  <c r="N39" i="20"/>
  <c r="N25" i="20" s="1"/>
  <c r="R39" i="20"/>
  <c r="R36" i="20"/>
  <c r="R22" i="20" s="1"/>
  <c r="G9" i="20"/>
  <c r="G7" i="20" s="1"/>
  <c r="T12" i="20"/>
  <c r="S34" i="20"/>
  <c r="O143" i="20"/>
  <c r="Y71" i="20"/>
  <c r="AA71" i="20" s="1"/>
  <c r="T77" i="20"/>
  <c r="Y67" i="20"/>
  <c r="AA67" i="20" s="1"/>
  <c r="T11" i="20"/>
  <c r="T110" i="20" s="1"/>
  <c r="T10" i="20"/>
  <c r="M8" i="19" l="1"/>
  <c r="N33" i="20"/>
  <c r="N19" i="20" s="1"/>
  <c r="M34" i="20"/>
  <c r="N35" i="20"/>
  <c r="N21" i="20" s="1"/>
  <c r="N24" i="20"/>
  <c r="R33" i="20"/>
  <c r="R19" i="20" s="1"/>
  <c r="O34" i="20"/>
  <c r="R35" i="20"/>
  <c r="R21" i="20" s="1"/>
  <c r="R25" i="20"/>
  <c r="Y104" i="20"/>
  <c r="AA104" i="20" s="1"/>
  <c r="T111" i="20"/>
  <c r="Y100" i="20"/>
  <c r="AA100" i="20" s="1"/>
  <c r="AC67" i="20"/>
  <c r="E10" i="20"/>
  <c r="AH70" i="20"/>
  <c r="AE70" i="20"/>
  <c r="AG70" i="20"/>
  <c r="AD71" i="20"/>
  <c r="AC71" i="20"/>
  <c r="AA74" i="20"/>
  <c r="G5" i="19" s="1"/>
  <c r="E11" i="20"/>
  <c r="AE71" i="20"/>
  <c r="AD70" i="20"/>
  <c r="AF70" i="20"/>
  <c r="BD104" i="20"/>
  <c r="BD103" i="20" s="1"/>
  <c r="AZ104" i="20"/>
  <c r="AZ103" i="20" s="1"/>
  <c r="BH71" i="20"/>
  <c r="BH70" i="20" s="1"/>
  <c r="BP71" i="20"/>
  <c r="BP70" i="20" s="1"/>
  <c r="BT71" i="20"/>
  <c r="BT70" i="20" s="1"/>
  <c r="BD71" i="20"/>
  <c r="BD70" i="20" s="1"/>
  <c r="AV71" i="20"/>
  <c r="AV70" i="20" s="1"/>
  <c r="AZ71" i="20"/>
  <c r="AZ70" i="20" s="1"/>
  <c r="AR71" i="20"/>
  <c r="AR70" i="20" s="1"/>
  <c r="BL71" i="20"/>
  <c r="BL70" i="20" s="1"/>
  <c r="BX71" i="20"/>
  <c r="BX70" i="20" s="1"/>
  <c r="S33" i="20"/>
  <c r="S20" i="20"/>
  <c r="S36" i="20"/>
  <c r="L34" i="20" l="1"/>
  <c r="L20" i="20" s="1"/>
  <c r="M20" i="20"/>
  <c r="M39" i="20"/>
  <c r="M25" i="20" s="1"/>
  <c r="M38" i="20"/>
  <c r="M36" i="20"/>
  <c r="M22" i="20" s="1"/>
  <c r="AH71" i="20"/>
  <c r="O20" i="20"/>
  <c r="O39" i="20"/>
  <c r="O38" i="20"/>
  <c r="O36" i="20"/>
  <c r="O22" i="20" s="1"/>
  <c r="AF71" i="20"/>
  <c r="AG71" i="20" s="1"/>
  <c r="AZ72" i="20"/>
  <c r="BA72" i="20" s="1"/>
  <c r="BA70" i="20"/>
  <c r="S22" i="20"/>
  <c r="BF70" i="20"/>
  <c r="BE70" i="20"/>
  <c r="BD72" i="20"/>
  <c r="AS70" i="20"/>
  <c r="AR72" i="20"/>
  <c r="AT70" i="20"/>
  <c r="L33" i="20"/>
  <c r="L19" i="20" s="1"/>
  <c r="S35" i="20"/>
  <c r="S19" i="20"/>
  <c r="BU70" i="20"/>
  <c r="BV70" i="20"/>
  <c r="BT72" i="20"/>
  <c r="BD105" i="20"/>
  <c r="BE105" i="20" s="1"/>
  <c r="BE103" i="20"/>
  <c r="BQ70" i="20"/>
  <c r="BR70" i="20"/>
  <c r="BP72" i="20"/>
  <c r="AH67" i="20"/>
  <c r="AF67" i="20"/>
  <c r="AG67" i="20" s="1"/>
  <c r="BY70" i="20"/>
  <c r="BX72" i="20"/>
  <c r="BZ70" i="20"/>
  <c r="E12" i="20"/>
  <c r="AC100" i="20"/>
  <c r="AW70" i="20"/>
  <c r="AV72" i="20"/>
  <c r="AW72" i="20" s="1"/>
  <c r="BJ70" i="20"/>
  <c r="BI70" i="20"/>
  <c r="BH72" i="20"/>
  <c r="BM70" i="20"/>
  <c r="BL72" i="20"/>
  <c r="BN70" i="20"/>
  <c r="AZ105" i="20"/>
  <c r="BA105" i="20" s="1"/>
  <c r="BA103" i="20"/>
  <c r="AV104" i="20"/>
  <c r="AV103" i="20" s="1"/>
  <c r="BP104" i="20"/>
  <c r="BP103" i="20" s="1"/>
  <c r="BL104" i="20"/>
  <c r="BL103" i="20" s="1"/>
  <c r="AR104" i="20"/>
  <c r="AR103" i="20" s="1"/>
  <c r="BH104" i="20"/>
  <c r="BH103" i="20" s="1"/>
  <c r="E13" i="20"/>
  <c r="AC104" i="20"/>
  <c r="AF104" i="20"/>
  <c r="AD104" i="20"/>
  <c r="AE104" i="20"/>
  <c r="AI71" i="20" l="1"/>
  <c r="AK71" i="20" s="1"/>
  <c r="AL71" i="20" s="1"/>
  <c r="F9" i="19"/>
  <c r="F10" i="19"/>
  <c r="AI67" i="20"/>
  <c r="AK67" i="20" s="1"/>
  <c r="M24" i="20"/>
  <c r="O24" i="20"/>
  <c r="L38" i="20"/>
  <c r="L24" i="20" s="1"/>
  <c r="O25" i="20"/>
  <c r="L39" i="20"/>
  <c r="L25" i="20" s="1"/>
  <c r="L36" i="20"/>
  <c r="L22" i="20" s="1"/>
  <c r="BJ72" i="20"/>
  <c r="BJ71" i="20" s="1"/>
  <c r="T86" i="20" s="1"/>
  <c r="O152" i="20" s="1"/>
  <c r="BI72" i="20"/>
  <c r="BI71" i="20" s="1"/>
  <c r="T85" i="20" s="1"/>
  <c r="O151" i="20" s="1"/>
  <c r="BR103" i="20"/>
  <c r="BQ103" i="20"/>
  <c r="BP105" i="20"/>
  <c r="BV72" i="20"/>
  <c r="BV71" i="20" s="1"/>
  <c r="T92" i="20" s="1"/>
  <c r="R69" i="20" s="1"/>
  <c r="BU72" i="20"/>
  <c r="BU71" i="20" s="1"/>
  <c r="T91" i="20" s="1"/>
  <c r="O157" i="20" s="1"/>
  <c r="AG104" i="20"/>
  <c r="AI104" i="20" s="1"/>
  <c r="G13" i="20" s="1"/>
  <c r="AW103" i="20"/>
  <c r="AX103" i="20"/>
  <c r="AV105" i="20"/>
  <c r="BE72" i="20"/>
  <c r="BE71" i="20" s="1"/>
  <c r="T83" i="20" s="1"/>
  <c r="O149" i="20" s="1"/>
  <c r="BF72" i="20"/>
  <c r="BF71" i="20" s="1"/>
  <c r="T84" i="20" s="1"/>
  <c r="O150" i="20" s="1"/>
  <c r="AR105" i="20"/>
  <c r="AS103" i="20"/>
  <c r="AT103" i="20"/>
  <c r="BN103" i="20"/>
  <c r="BL105" i="20"/>
  <c r="BM103" i="20"/>
  <c r="BZ72" i="20"/>
  <c r="BZ71" i="20" s="1"/>
  <c r="T94" i="20" s="1"/>
  <c r="O160" i="20" s="1"/>
  <c r="BY72" i="20"/>
  <c r="BY71" i="20" s="1"/>
  <c r="T93" i="20" s="1"/>
  <c r="O159" i="20" s="1"/>
  <c r="AW71" i="20"/>
  <c r="T81" i="20" s="1"/>
  <c r="O147" i="20" s="1"/>
  <c r="BQ72" i="20"/>
  <c r="BQ71" i="20" s="1"/>
  <c r="T89" i="20" s="1"/>
  <c r="O155" i="20" s="1"/>
  <c r="BR72" i="20"/>
  <c r="BR71" i="20" s="1"/>
  <c r="T90" i="20" s="1"/>
  <c r="AD100" i="20"/>
  <c r="AI100" i="20" s="1"/>
  <c r="L35" i="20"/>
  <c r="L21" i="20" s="1"/>
  <c r="S21" i="20"/>
  <c r="BA104" i="20"/>
  <c r="T117" i="20" s="1"/>
  <c r="O164" i="20" s="1"/>
  <c r="BH105" i="20"/>
  <c r="BJ103" i="20"/>
  <c r="BI103" i="20"/>
  <c r="BM72" i="20"/>
  <c r="BM71" i="20" s="1"/>
  <c r="T87" i="20" s="1"/>
  <c r="O153" i="20" s="1"/>
  <c r="BN72" i="20"/>
  <c r="BN71" i="20" s="1"/>
  <c r="T88" i="20" s="1"/>
  <c r="O154" i="20" s="1"/>
  <c r="BE104" i="20"/>
  <c r="T118" i="20" s="1"/>
  <c r="M37" i="20" s="1"/>
  <c r="M23" i="20" s="1"/>
  <c r="BA71" i="20"/>
  <c r="T82" i="20" s="1"/>
  <c r="AS72" i="20"/>
  <c r="AS71" i="20" s="1"/>
  <c r="T78" i="20" s="1"/>
  <c r="AT72" i="20"/>
  <c r="AT71" i="20" s="1"/>
  <c r="T79" i="20" s="1"/>
  <c r="AM71" i="20" l="1"/>
  <c r="AN71" i="20" s="1"/>
  <c r="AO71" i="20" s="1"/>
  <c r="AP71" i="20" s="1"/>
  <c r="G11" i="20" s="1"/>
  <c r="F11" i="19"/>
  <c r="F12" i="19"/>
  <c r="F15" i="19"/>
  <c r="F14" i="19"/>
  <c r="AM67" i="20"/>
  <c r="AN67" i="20" s="1"/>
  <c r="AO67" i="20" s="1"/>
  <c r="AP67" i="20" s="1"/>
  <c r="O37" i="20"/>
  <c r="O23" i="20" s="1"/>
  <c r="N37" i="20"/>
  <c r="N23" i="20" s="1"/>
  <c r="O156" i="20"/>
  <c r="N74" i="20"/>
  <c r="N73" i="20" s="1"/>
  <c r="N72" i="20" s="1"/>
  <c r="O148" i="20"/>
  <c r="N71" i="20"/>
  <c r="R72" i="20"/>
  <c r="R37" i="20"/>
  <c r="R23" i="20" s="1"/>
  <c r="R105" i="20"/>
  <c r="R71" i="20"/>
  <c r="T14" i="20"/>
  <c r="G12" i="20"/>
  <c r="S69" i="20"/>
  <c r="O158" i="20"/>
  <c r="AL67" i="20"/>
  <c r="AS105" i="20"/>
  <c r="AS104" i="20" s="1"/>
  <c r="T112" i="20" s="1"/>
  <c r="AT105" i="20"/>
  <c r="AT104" i="20" s="1"/>
  <c r="T113" i="20" s="1"/>
  <c r="AW105" i="20"/>
  <c r="AW104" i="20" s="1"/>
  <c r="T115" i="20" s="1"/>
  <c r="AX105" i="20"/>
  <c r="AX104" i="20" s="1"/>
  <c r="T116" i="20" s="1"/>
  <c r="O163" i="20" s="1"/>
  <c r="BR105" i="20"/>
  <c r="BR104" i="20" s="1"/>
  <c r="T124" i="20" s="1"/>
  <c r="O171" i="20" s="1"/>
  <c r="O129" i="20" s="1"/>
  <c r="BQ105" i="20"/>
  <c r="BQ104" i="20" s="1"/>
  <c r="T123" i="20" s="1"/>
  <c r="O170" i="20" s="1"/>
  <c r="BN105" i="20"/>
  <c r="BN104" i="20" s="1"/>
  <c r="T122" i="20" s="1"/>
  <c r="O169" i="20" s="1"/>
  <c r="BM105" i="20"/>
  <c r="BM104" i="20" s="1"/>
  <c r="T121" i="20" s="1"/>
  <c r="O168" i="20" s="1"/>
  <c r="BI105" i="20"/>
  <c r="BI104" i="20" s="1"/>
  <c r="T119" i="20" s="1"/>
  <c r="O166" i="20" s="1"/>
  <c r="BJ105" i="20"/>
  <c r="BJ104" i="20" s="1"/>
  <c r="T120" i="20" s="1"/>
  <c r="R104" i="20" s="1"/>
  <c r="O165" i="20"/>
  <c r="S37" i="20"/>
  <c r="S72" i="20"/>
  <c r="S105" i="20"/>
  <c r="L13" i="19" l="1"/>
  <c r="L14" i="19" s="1"/>
  <c r="O104" i="20"/>
  <c r="M104" i="20"/>
  <c r="O162" i="20"/>
  <c r="N104" i="20"/>
  <c r="O105" i="20"/>
  <c r="O106" i="20" s="1"/>
  <c r="O102" i="20"/>
  <c r="R103" i="20"/>
  <c r="R101" i="20" s="1"/>
  <c r="R102" i="20"/>
  <c r="O167" i="20"/>
  <c r="S104" i="20"/>
  <c r="S71" i="20"/>
  <c r="L37" i="20"/>
  <c r="L23" i="20" s="1"/>
  <c r="F13" i="19" s="1"/>
  <c r="S23" i="20"/>
  <c r="T13" i="20"/>
  <c r="M69" i="20" s="1"/>
  <c r="G10" i="20"/>
  <c r="M105" i="20" l="1"/>
  <c r="M106" i="20" s="1"/>
  <c r="M107" i="20" s="1"/>
  <c r="M102" i="20"/>
  <c r="M71" i="20"/>
  <c r="M74" i="20"/>
  <c r="M73" i="20" s="1"/>
  <c r="M72" i="20" s="1"/>
  <c r="N103" i="20"/>
  <c r="N101" i="20" s="1"/>
  <c r="N105" i="20"/>
  <c r="O69" i="20"/>
  <c r="L69" i="20" s="1"/>
  <c r="N68" i="20"/>
  <c r="N70" i="20" s="1"/>
  <c r="O107" i="20"/>
  <c r="S68" i="20"/>
  <c r="R68" i="20"/>
  <c r="R70" i="20" s="1"/>
  <c r="S70" i="20"/>
  <c r="S102" i="20"/>
  <c r="S103" i="20"/>
  <c r="L104" i="20"/>
  <c r="O71" i="20" l="1"/>
  <c r="L71" i="20" s="1"/>
  <c r="O74" i="20"/>
  <c r="L74" i="20" s="1"/>
  <c r="L102" i="20"/>
  <c r="N106" i="20"/>
  <c r="L105" i="20"/>
  <c r="O73" i="20"/>
  <c r="L70" i="20"/>
  <c r="L68" i="20"/>
  <c r="L103" i="20"/>
  <c r="S101" i="20"/>
  <c r="L101" i="20" s="1"/>
  <c r="N107" i="20" l="1"/>
  <c r="L107" i="20" s="1"/>
  <c r="L106" i="20"/>
  <c r="O72" i="20"/>
  <c r="L72" i="20" s="1"/>
  <c r="L73" i="20"/>
  <c r="M8" i="18" l="1"/>
  <c r="M41" i="18" s="1"/>
  <c r="H38" i="18"/>
  <c r="H24" i="18" s="1"/>
  <c r="H39" i="18"/>
  <c r="K16" i="15"/>
  <c r="M16" i="15"/>
  <c r="N16" i="15"/>
  <c r="K6" i="15" l="1"/>
  <c r="H25" i="18"/>
  <c r="H36" i="18"/>
  <c r="R35" i="18"/>
  <c r="R34" i="18" s="1"/>
  <c r="AD35" i="18"/>
  <c r="AD34" i="18" s="1"/>
  <c r="V35" i="18"/>
  <c r="V34" i="18" s="1"/>
  <c r="AL35" i="18"/>
  <c r="AL34" i="18" s="1"/>
  <c r="AX35" i="18"/>
  <c r="AX34" i="18" s="1"/>
  <c r="AP35" i="18"/>
  <c r="AP34" i="18" s="1"/>
  <c r="AH35" i="18"/>
  <c r="AH34" i="18" s="1"/>
  <c r="AT35" i="18"/>
  <c r="AT34" i="18" s="1"/>
  <c r="Z35" i="18"/>
  <c r="Z34" i="18" s="1"/>
  <c r="H22" i="18" l="1"/>
  <c r="H33" i="18"/>
  <c r="H37" i="18"/>
  <c r="H23" i="18" s="1"/>
  <c r="AB34" i="18"/>
  <c r="Z36" i="18"/>
  <c r="AA34" i="18"/>
  <c r="AV34" i="18"/>
  <c r="AT36" i="18"/>
  <c r="AU34" i="18"/>
  <c r="AJ34" i="18"/>
  <c r="AI34" i="18"/>
  <c r="AH36" i="18"/>
  <c r="AR34" i="18"/>
  <c r="AQ34" i="18"/>
  <c r="AP36" i="18"/>
  <c r="AY34" i="18"/>
  <c r="AZ34" i="18"/>
  <c r="AX36" i="18"/>
  <c r="AM34" i="18"/>
  <c r="AN34" i="18"/>
  <c r="AL36" i="18"/>
  <c r="X34" i="18"/>
  <c r="W34" i="18"/>
  <c r="V36" i="18"/>
  <c r="AD36" i="18"/>
  <c r="AF34" i="18"/>
  <c r="AE34" i="18"/>
  <c r="S34" i="18"/>
  <c r="T34" i="18"/>
  <c r="R36" i="18"/>
  <c r="H19" i="18" l="1"/>
  <c r="E33" i="18"/>
  <c r="E19" i="18" s="1"/>
  <c r="K14" i="15" s="1"/>
  <c r="M14" i="15" s="1"/>
  <c r="N14" i="15" s="1"/>
  <c r="H32" i="18"/>
  <c r="H35" i="18"/>
  <c r="H21" i="18" s="1"/>
  <c r="AI36" i="18"/>
  <c r="AI35" i="18" s="1"/>
  <c r="M51" i="18" s="1"/>
  <c r="AJ36" i="18"/>
  <c r="AJ35" i="18" s="1"/>
  <c r="M52" i="18" s="1"/>
  <c r="AM36" i="18"/>
  <c r="AM35" i="18" s="1"/>
  <c r="M53" i="18" s="1"/>
  <c r="AN36" i="18"/>
  <c r="AN35" i="18" s="1"/>
  <c r="M54" i="18" s="1"/>
  <c r="AE36" i="18"/>
  <c r="AE35" i="18" s="1"/>
  <c r="M49" i="18" s="1"/>
  <c r="AF36" i="18"/>
  <c r="AF35" i="18" s="1"/>
  <c r="M50" i="18" s="1"/>
  <c r="AV36" i="18"/>
  <c r="AV35" i="18" s="1"/>
  <c r="M58" i="18" s="1"/>
  <c r="AU36" i="18"/>
  <c r="AU35" i="18" s="1"/>
  <c r="M57" i="18" s="1"/>
  <c r="S36" i="18"/>
  <c r="S35" i="18" s="1"/>
  <c r="M42" i="18" s="1"/>
  <c r="M9" i="18" s="1"/>
  <c r="T36" i="18"/>
  <c r="T35" i="18" s="1"/>
  <c r="M43" i="18" s="1"/>
  <c r="AY36" i="18"/>
  <c r="AY35" i="18" s="1"/>
  <c r="M59" i="18" s="1"/>
  <c r="AZ36" i="18"/>
  <c r="AZ35" i="18" s="1"/>
  <c r="M60" i="18" s="1"/>
  <c r="G36" i="18" s="1"/>
  <c r="AB36" i="18"/>
  <c r="AB35" i="18" s="1"/>
  <c r="M48" i="18" s="1"/>
  <c r="AA36" i="18"/>
  <c r="AA35" i="18" s="1"/>
  <c r="M47" i="18" s="1"/>
  <c r="AR36" i="18"/>
  <c r="AR35" i="18" s="1"/>
  <c r="M56" i="18" s="1"/>
  <c r="AQ36" i="18"/>
  <c r="AQ35" i="18" s="1"/>
  <c r="M55" i="18" s="1"/>
  <c r="X36" i="18"/>
  <c r="X35" i="18" s="1"/>
  <c r="M46" i="18" s="1"/>
  <c r="G39" i="18" s="1"/>
  <c r="W36" i="18"/>
  <c r="W35" i="18" s="1"/>
  <c r="M45" i="18" s="1"/>
  <c r="G38" i="18" s="1"/>
  <c r="E32" i="18" l="1"/>
  <c r="E18" i="18" s="1"/>
  <c r="K13" i="15" s="1"/>
  <c r="M13" i="15" s="1"/>
  <c r="N13" i="15" s="1"/>
  <c r="H18" i="18"/>
  <c r="G37" i="18"/>
  <c r="G34" i="18"/>
  <c r="E36" i="18"/>
  <c r="E22" i="18" s="1"/>
  <c r="K17" i="15" s="1"/>
  <c r="M17" i="15" s="1"/>
  <c r="N17" i="15" s="1"/>
  <c r="G22" i="18"/>
  <c r="E39" i="18"/>
  <c r="E25" i="18" s="1"/>
  <c r="K20" i="15" s="1"/>
  <c r="M20" i="15" s="1"/>
  <c r="N20" i="15" s="1"/>
  <c r="G25" i="18"/>
  <c r="E38" i="18"/>
  <c r="E24" i="18" s="1"/>
  <c r="K19" i="15" s="1"/>
  <c r="M19" i="15" s="1"/>
  <c r="N19" i="15" s="1"/>
  <c r="G24" i="18"/>
  <c r="M11" i="18"/>
  <c r="M10" i="18"/>
  <c r="M76" i="18"/>
  <c r="K7" i="15"/>
  <c r="M110" i="18" l="1"/>
  <c r="K8" i="15"/>
  <c r="K10" i="15" s="1"/>
  <c r="G35" i="18"/>
  <c r="M109" i="18"/>
  <c r="K9" i="15"/>
  <c r="V70" i="18"/>
  <c r="V69" i="18" s="1"/>
  <c r="AP70" i="18"/>
  <c r="AP69" i="18" s="1"/>
  <c r="R70" i="18"/>
  <c r="R69" i="18" s="1"/>
  <c r="AT70" i="18"/>
  <c r="AT69" i="18" s="1"/>
  <c r="Z70" i="18"/>
  <c r="Z69" i="18" s="1"/>
  <c r="AL70" i="18"/>
  <c r="AL69" i="18" s="1"/>
  <c r="AD70" i="18"/>
  <c r="AD69" i="18" s="1"/>
  <c r="AH70" i="18"/>
  <c r="AH69" i="18" s="1"/>
  <c r="AX70" i="18"/>
  <c r="AX69" i="18" s="1"/>
  <c r="G20" i="18"/>
  <c r="E34" i="18"/>
  <c r="E20" i="18" s="1"/>
  <c r="K15" i="15" s="1"/>
  <c r="M15" i="15" s="1"/>
  <c r="N15" i="15" s="1"/>
  <c r="G23" i="18"/>
  <c r="E37" i="18"/>
  <c r="E23" i="18" s="1"/>
  <c r="K18" i="15" s="1"/>
  <c r="M18" i="15" s="1"/>
  <c r="N18" i="15" s="1"/>
  <c r="AE69" i="18" l="1"/>
  <c r="AD71" i="18"/>
  <c r="AF69" i="18"/>
  <c r="Z71" i="18"/>
  <c r="AA71" i="18" s="1"/>
  <c r="AA69" i="18"/>
  <c r="AQ69" i="18"/>
  <c r="AP71" i="18"/>
  <c r="AR69" i="18"/>
  <c r="W69" i="18"/>
  <c r="V71" i="18"/>
  <c r="W71" i="18" s="1"/>
  <c r="S69" i="18"/>
  <c r="R71" i="18"/>
  <c r="T69" i="18"/>
  <c r="Z103" i="18"/>
  <c r="Z102" i="18" s="1"/>
  <c r="AD103" i="18"/>
  <c r="AD102" i="18" s="1"/>
  <c r="G70" i="18"/>
  <c r="E70" i="18" s="1"/>
  <c r="G103" i="18"/>
  <c r="E103" i="18" s="1"/>
  <c r="AV69" i="18"/>
  <c r="AT71" i="18"/>
  <c r="AU69" i="18"/>
  <c r="G21" i="18"/>
  <c r="E35" i="18"/>
  <c r="E21" i="18" s="1"/>
  <c r="AN69" i="18"/>
  <c r="AL71" i="18"/>
  <c r="AM69" i="18"/>
  <c r="AY69" i="18"/>
  <c r="AZ69" i="18"/>
  <c r="AX71" i="18"/>
  <c r="AH71" i="18"/>
  <c r="AI69" i="18"/>
  <c r="AJ69" i="18"/>
  <c r="AL103" i="18"/>
  <c r="AL102" i="18" s="1"/>
  <c r="R103" i="18"/>
  <c r="R102" i="18" s="1"/>
  <c r="V103" i="18"/>
  <c r="V102" i="18" s="1"/>
  <c r="AH103" i="18"/>
  <c r="AH102" i="18" s="1"/>
  <c r="AP103" i="18"/>
  <c r="AP102" i="18" s="1"/>
  <c r="AN71" i="18" l="1"/>
  <c r="AN70" i="18" s="1"/>
  <c r="M87" i="18" s="1"/>
  <c r="AM71" i="18"/>
  <c r="AM70" i="18" s="1"/>
  <c r="M86" i="18" s="1"/>
  <c r="W70" i="18"/>
  <c r="M80" i="18" s="1"/>
  <c r="AL104" i="18"/>
  <c r="AM102" i="18"/>
  <c r="AN102" i="18"/>
  <c r="AI102" i="18"/>
  <c r="AJ102" i="18"/>
  <c r="AH104" i="18"/>
  <c r="AU71" i="18"/>
  <c r="AU70" i="18" s="1"/>
  <c r="M90" i="18" s="1"/>
  <c r="AV71" i="18"/>
  <c r="AV70" i="18" s="1"/>
  <c r="M91" i="18" s="1"/>
  <c r="AR71" i="18"/>
  <c r="AR70" i="18" s="1"/>
  <c r="M89" i="18" s="1"/>
  <c r="AQ71" i="18"/>
  <c r="AQ70" i="18" s="1"/>
  <c r="M88" i="18" s="1"/>
  <c r="AQ102" i="18"/>
  <c r="AR102" i="18"/>
  <c r="AP104" i="18"/>
  <c r="S102" i="18"/>
  <c r="R104" i="18"/>
  <c r="T102" i="18"/>
  <c r="AA70" i="18"/>
  <c r="M81" i="18" s="1"/>
  <c r="AE102" i="18"/>
  <c r="AD104" i="18"/>
  <c r="AE104" i="18" s="1"/>
  <c r="V104" i="18"/>
  <c r="X102" i="18"/>
  <c r="W102" i="18"/>
  <c r="AZ71" i="18"/>
  <c r="AZ70" i="18" s="1"/>
  <c r="M93" i="18" s="1"/>
  <c r="AY71" i="18"/>
  <c r="AY70" i="18" s="1"/>
  <c r="M92" i="18" s="1"/>
  <c r="AA102" i="18"/>
  <c r="Z104" i="18"/>
  <c r="AA104" i="18" s="1"/>
  <c r="AE71" i="18"/>
  <c r="AE70" i="18" s="1"/>
  <c r="M82" i="18" s="1"/>
  <c r="AF71" i="18"/>
  <c r="AF70" i="18" s="1"/>
  <c r="M83" i="18" s="1"/>
  <c r="T71" i="18"/>
  <c r="T70" i="18" s="1"/>
  <c r="M78" i="18" s="1"/>
  <c r="S71" i="18"/>
  <c r="S70" i="18" s="1"/>
  <c r="M77" i="18" s="1"/>
  <c r="AJ71" i="18"/>
  <c r="AJ70" i="18" s="1"/>
  <c r="M85" i="18" s="1"/>
  <c r="AI71" i="18"/>
  <c r="AI70" i="18" s="1"/>
  <c r="M84" i="18" s="1"/>
  <c r="T104" i="18" l="1"/>
  <c r="T103" i="18" s="1"/>
  <c r="M112" i="18" s="1"/>
  <c r="S104" i="18"/>
  <c r="S103" i="18" s="1"/>
  <c r="M111" i="18" s="1"/>
  <c r="AJ104" i="18"/>
  <c r="AJ103" i="18" s="1"/>
  <c r="M119" i="18" s="1"/>
  <c r="AI104" i="18"/>
  <c r="AI103" i="18" s="1"/>
  <c r="M118" i="18" s="1"/>
  <c r="AQ104" i="18"/>
  <c r="AQ103" i="18" s="1"/>
  <c r="M122" i="18" s="1"/>
  <c r="AR104" i="18"/>
  <c r="AR103" i="18" s="1"/>
  <c r="M123" i="18" s="1"/>
  <c r="AM104" i="18"/>
  <c r="AM103" i="18" s="1"/>
  <c r="M120" i="18" s="1"/>
  <c r="AN104" i="18"/>
  <c r="AN103" i="18" s="1"/>
  <c r="M121" i="18" s="1"/>
  <c r="AE103" i="18"/>
  <c r="M117" i="18" s="1"/>
  <c r="X104" i="18"/>
  <c r="X103" i="18" s="1"/>
  <c r="M115" i="18" s="1"/>
  <c r="W104" i="18"/>
  <c r="W103" i="18" s="1"/>
  <c r="M114" i="18" s="1"/>
  <c r="AA103" i="18"/>
  <c r="M116" i="18" s="1"/>
  <c r="G74" i="18" l="1"/>
  <c r="G107" i="18"/>
  <c r="G102" i="18"/>
  <c r="G69" i="18"/>
  <c r="G71" i="18" l="1"/>
  <c r="E69" i="18"/>
  <c r="G104" i="18"/>
  <c r="E102" i="18"/>
  <c r="G106" i="18"/>
  <c r="E106" i="18" s="1"/>
  <c r="E107" i="18"/>
  <c r="E74" i="18"/>
  <c r="G73" i="18"/>
  <c r="E73" i="18" s="1"/>
  <c r="G105" i="18" l="1"/>
  <c r="E105" i="18" s="1"/>
  <c r="E104" i="18"/>
  <c r="E71" i="18"/>
  <c r="G72" i="18"/>
  <c r="E72" i="18" s="1"/>
  <c r="M10" i="38" l="1"/>
  <c r="M11" i="38" l="1"/>
  <c r="U8" i="38" l="1"/>
  <c r="U42" i="38" s="1"/>
  <c r="Z43" i="38" l="1"/>
  <c r="AB43" i="38" s="1"/>
  <c r="AD43" i="38" s="1"/>
  <c r="AE43" i="38" s="1"/>
  <c r="AK43" i="38" s="1"/>
  <c r="Z36" i="38"/>
  <c r="AB36" i="38" s="1"/>
  <c r="Z47" i="38"/>
  <c r="AB47" i="38" s="1"/>
  <c r="AG47" i="38" s="1"/>
  <c r="Z32" i="38"/>
  <c r="AB32" i="38" s="1"/>
  <c r="E9" i="38" s="1"/>
  <c r="BA36" i="38"/>
  <c r="BA35" i="38" s="1"/>
  <c r="BM36" i="38"/>
  <c r="BM35" i="38" s="1"/>
  <c r="BY36" i="38"/>
  <c r="BY35" i="38" s="1"/>
  <c r="BE36" i="38"/>
  <c r="BE35" i="38" s="1"/>
  <c r="BI36" i="38"/>
  <c r="BI35" i="38" s="1"/>
  <c r="AW36" i="38"/>
  <c r="AW35" i="38" s="1"/>
  <c r="BQ36" i="38"/>
  <c r="BQ35" i="38" s="1"/>
  <c r="AS36" i="38"/>
  <c r="AS35" i="38" s="1"/>
  <c r="BU36" i="38"/>
  <c r="BU35" i="38" s="1"/>
  <c r="AF36" i="38" l="1"/>
  <c r="AD36" i="38"/>
  <c r="AH36" i="38" s="1"/>
  <c r="E10" i="38"/>
  <c r="AG36" i="38"/>
  <c r="AF47" i="38"/>
  <c r="AD47" i="38"/>
  <c r="AH47" i="38" s="1"/>
  <c r="AD32" i="38"/>
  <c r="AE32" i="38" s="1"/>
  <c r="AK32" i="38" s="1"/>
  <c r="I9" i="38"/>
  <c r="BE37" i="38"/>
  <c r="BF35" i="38"/>
  <c r="BG35" i="38"/>
  <c r="AY35" i="38"/>
  <c r="AX35" i="38"/>
  <c r="AW37" i="38"/>
  <c r="BM37" i="38"/>
  <c r="BN35" i="38"/>
  <c r="BO35" i="38"/>
  <c r="BC35" i="38"/>
  <c r="BA37" i="38"/>
  <c r="BB35" i="38"/>
  <c r="BJ35" i="38"/>
  <c r="BK35" i="38"/>
  <c r="BI37" i="38"/>
  <c r="BU37" i="38"/>
  <c r="BW35" i="38"/>
  <c r="BV35" i="38"/>
  <c r="AS37" i="38"/>
  <c r="AU35" i="38"/>
  <c r="AT35" i="38"/>
  <c r="CA35" i="38"/>
  <c r="BZ35" i="38"/>
  <c r="BY37" i="38"/>
  <c r="BR35" i="38"/>
  <c r="BS35" i="38"/>
  <c r="BQ37" i="38"/>
  <c r="AE47" i="38" l="1"/>
  <c r="AI47" i="38" s="1"/>
  <c r="AJ47" i="38" s="1"/>
  <c r="AK47" i="38" s="1"/>
  <c r="AE36" i="38"/>
  <c r="AI36" i="38" s="1"/>
  <c r="AJ36" i="38" s="1"/>
  <c r="AK36" i="38" s="1"/>
  <c r="G10" i="38" s="1"/>
  <c r="AY37" i="38"/>
  <c r="AY36" i="38" s="1"/>
  <c r="U47" i="38" s="1"/>
  <c r="AX37" i="38"/>
  <c r="AX36" i="38" s="1"/>
  <c r="U46" i="38" s="1"/>
  <c r="BB37" i="38"/>
  <c r="BB36" i="38" s="1"/>
  <c r="U48" i="38" s="1"/>
  <c r="BC37" i="38"/>
  <c r="BC36" i="38" s="1"/>
  <c r="U49" i="38" s="1"/>
  <c r="CA37" i="38"/>
  <c r="CA36" i="38" s="1"/>
  <c r="U61" i="38" s="1"/>
  <c r="BZ37" i="38"/>
  <c r="BZ36" i="38" s="1"/>
  <c r="U60" i="38" s="1"/>
  <c r="AU37" i="38"/>
  <c r="AU36" i="38" s="1"/>
  <c r="U44" i="38" s="1"/>
  <c r="AT37" i="38"/>
  <c r="AT36" i="38" s="1"/>
  <c r="U43" i="38" s="1"/>
  <c r="G9" i="38"/>
  <c r="U12" i="38"/>
  <c r="BJ37" i="38"/>
  <c r="BJ36" i="38" s="1"/>
  <c r="U52" i="38" s="1"/>
  <c r="BK37" i="38"/>
  <c r="BK36" i="38" s="1"/>
  <c r="U53" i="38" s="1"/>
  <c r="BF37" i="38"/>
  <c r="BF36" i="38" s="1"/>
  <c r="U50" i="38" s="1"/>
  <c r="BG37" i="38"/>
  <c r="BG36" i="38" s="1"/>
  <c r="U51" i="38" s="1"/>
  <c r="BW37" i="38"/>
  <c r="BW36" i="38" s="1"/>
  <c r="U59" i="38" s="1"/>
  <c r="BV37" i="38"/>
  <c r="BV36" i="38" s="1"/>
  <c r="U58" i="38" s="1"/>
  <c r="BR37" i="38"/>
  <c r="BR36" i="38" s="1"/>
  <c r="U56" i="38" s="1"/>
  <c r="BS37" i="38"/>
  <c r="BS36" i="38" s="1"/>
  <c r="U57" i="38" s="1"/>
  <c r="BO37" i="38"/>
  <c r="BO36" i="38" s="1"/>
  <c r="U55" i="38" s="1"/>
  <c r="BN37" i="38"/>
  <c r="BN36" i="38" s="1"/>
  <c r="U54" i="38" s="1"/>
  <c r="I10" i="38" l="1"/>
  <c r="AA12" i="38"/>
  <c r="U10" i="38"/>
  <c r="U11" i="38"/>
  <c r="U110" i="38" s="1"/>
  <c r="N34" i="38"/>
  <c r="N20" i="38" s="1"/>
  <c r="P34" i="38"/>
  <c r="N38" i="38" l="1"/>
  <c r="N24" i="38" s="1"/>
  <c r="N39" i="38"/>
  <c r="N25" i="38" s="1"/>
  <c r="N36" i="38"/>
  <c r="N22" i="38" s="1"/>
  <c r="BA104" i="38"/>
  <c r="BA103" i="38" s="1"/>
  <c r="BE104" i="38"/>
  <c r="BE103" i="38" s="1"/>
  <c r="U111" i="38"/>
  <c r="Z111" i="38"/>
  <c r="AB111" i="38" s="1"/>
  <c r="AD111" i="38" s="1"/>
  <c r="AE111" i="38" s="1"/>
  <c r="AJ111" i="38" s="1"/>
  <c r="Z115" i="38"/>
  <c r="AB115" i="38" s="1"/>
  <c r="Z100" i="38"/>
  <c r="AB100" i="38" s="1"/>
  <c r="Z104" i="38"/>
  <c r="AB104" i="38" s="1"/>
  <c r="M34" i="38"/>
  <c r="P38" i="38"/>
  <c r="P39" i="38"/>
  <c r="P36" i="38"/>
  <c r="M38" i="38" l="1"/>
  <c r="M39" i="38"/>
  <c r="AE104" i="38"/>
  <c r="AF104" i="38"/>
  <c r="AG104" i="38"/>
  <c r="AD104" i="38"/>
  <c r="E14" i="38"/>
  <c r="AD100" i="38"/>
  <c r="AE100" i="38" s="1"/>
  <c r="AJ100" i="38" s="1"/>
  <c r="E13" i="38"/>
  <c r="AD115" i="38"/>
  <c r="AE115" i="38"/>
  <c r="AF115" i="38"/>
  <c r="AG115" i="38"/>
  <c r="I13" i="38"/>
  <c r="I8" i="38" s="1"/>
  <c r="M13" i="37" s="1"/>
  <c r="M36" i="38"/>
  <c r="P22" i="38"/>
  <c r="AS104" i="38"/>
  <c r="AS103" i="38" s="1"/>
  <c r="BI104" i="38"/>
  <c r="BI103" i="38" s="1"/>
  <c r="BQ104" i="38"/>
  <c r="BQ103" i="38" s="1"/>
  <c r="BM104" i="38"/>
  <c r="BM103" i="38" s="1"/>
  <c r="AW104" i="38"/>
  <c r="AW103" i="38" s="1"/>
  <c r="BF103" i="38"/>
  <c r="BE105" i="38"/>
  <c r="BF105" i="38" s="1"/>
  <c r="P24" i="38"/>
  <c r="BA105" i="38"/>
  <c r="BB105" i="38" s="1"/>
  <c r="BB103" i="38"/>
  <c r="AH115" i="38" l="1"/>
  <c r="AJ115" i="38" s="1"/>
  <c r="AH104" i="38"/>
  <c r="AJ104" i="38" s="1"/>
  <c r="G14" i="38" s="1"/>
  <c r="AU103" i="38"/>
  <c r="AT103" i="38"/>
  <c r="AS105" i="38"/>
  <c r="U14" i="38"/>
  <c r="G13" i="38"/>
  <c r="BF104" i="38"/>
  <c r="U118" i="38" s="1"/>
  <c r="AX103" i="38"/>
  <c r="AY103" i="38"/>
  <c r="AW105" i="38"/>
  <c r="BO103" i="38"/>
  <c r="BN103" i="38"/>
  <c r="BM105" i="38"/>
  <c r="BB104" i="38"/>
  <c r="U117" i="38" s="1"/>
  <c r="BQ105" i="38"/>
  <c r="BR103" i="38"/>
  <c r="BS103" i="38"/>
  <c r="BJ103" i="38"/>
  <c r="BI105" i="38"/>
  <c r="BK103" i="38"/>
  <c r="I14" i="38" l="1"/>
  <c r="AA14" i="38"/>
  <c r="P104" i="38"/>
  <c r="N104" i="38"/>
  <c r="M104" i="38" s="1"/>
  <c r="M22" i="38" s="1"/>
  <c r="P37" i="38"/>
  <c r="P23" i="38" s="1"/>
  <c r="N37" i="38"/>
  <c r="N23" i="38" s="1"/>
  <c r="BS105" i="38"/>
  <c r="BS104" i="38" s="1"/>
  <c r="U124" i="38" s="1"/>
  <c r="BR105" i="38"/>
  <c r="BR104" i="38" s="1"/>
  <c r="U123" i="38" s="1"/>
  <c r="P105" i="38"/>
  <c r="AT105" i="38"/>
  <c r="AT104" i="38" s="1"/>
  <c r="U112" i="38" s="1"/>
  <c r="U9" i="38" s="1"/>
  <c r="AU105" i="38"/>
  <c r="AU104" i="38" s="1"/>
  <c r="U113" i="38" s="1"/>
  <c r="BK105" i="38"/>
  <c r="BK104" i="38" s="1"/>
  <c r="U120" i="38" s="1"/>
  <c r="BJ105" i="38"/>
  <c r="BJ104" i="38" s="1"/>
  <c r="U119" i="38" s="1"/>
  <c r="BO105" i="38"/>
  <c r="BO104" i="38" s="1"/>
  <c r="U122" i="38" s="1"/>
  <c r="BN105" i="38"/>
  <c r="BN104" i="38" s="1"/>
  <c r="U121" i="38" s="1"/>
  <c r="AX105" i="38"/>
  <c r="AX104" i="38" s="1"/>
  <c r="U115" i="38" s="1"/>
  <c r="AY105" i="38"/>
  <c r="AY104" i="38" s="1"/>
  <c r="U116" i="38" s="1"/>
  <c r="P102" i="38" s="1"/>
  <c r="M37" i="38" l="1"/>
  <c r="N102" i="38"/>
  <c r="M102" i="38" s="1"/>
  <c r="M20" i="38" s="1"/>
  <c r="N105" i="38"/>
  <c r="N106" i="38" s="1"/>
  <c r="N107" i="38" s="1"/>
  <c r="P20" i="38"/>
  <c r="Z82" i="38"/>
  <c r="AB82" i="38" s="1"/>
  <c r="AD82" i="38" s="1"/>
  <c r="Z86" i="38"/>
  <c r="AB86" i="38" s="1"/>
  <c r="Z71" i="38"/>
  <c r="AB71" i="38" s="1"/>
  <c r="U77" i="38"/>
  <c r="Z67" i="38"/>
  <c r="AB67" i="38" s="1"/>
  <c r="P106" i="38"/>
  <c r="M105" i="38" l="1"/>
  <c r="M23" i="38" s="1"/>
  <c r="BY71" i="38"/>
  <c r="BY70" i="38" s="1"/>
  <c r="BI71" i="38"/>
  <c r="BI70" i="38" s="1"/>
  <c r="BM71" i="38"/>
  <c r="BM70" i="38" s="1"/>
  <c r="AW71" i="38"/>
  <c r="AW70" i="38" s="1"/>
  <c r="BQ71" i="38"/>
  <c r="BQ70" i="38" s="1"/>
  <c r="AS71" i="38"/>
  <c r="AS70" i="38" s="1"/>
  <c r="BA71" i="38"/>
  <c r="BA70" i="38" s="1"/>
  <c r="BU71" i="38"/>
  <c r="BU70" i="38" s="1"/>
  <c r="BE71" i="38"/>
  <c r="BE70" i="38" s="1"/>
  <c r="AB89" i="38"/>
  <c r="AG85" i="38"/>
  <c r="AH85" i="38"/>
  <c r="AE85" i="38"/>
  <c r="AD86" i="38"/>
  <c r="AF85" i="38"/>
  <c r="AE86" i="38"/>
  <c r="AF86" i="38"/>
  <c r="AI85" i="38"/>
  <c r="AG82" i="38"/>
  <c r="AH82" i="38" s="1"/>
  <c r="AI82" i="38"/>
  <c r="E11" i="38"/>
  <c r="E8" i="38" s="1"/>
  <c r="M6" i="37" s="1"/>
  <c r="AD67" i="38"/>
  <c r="AG70" i="38"/>
  <c r="AE70" i="38"/>
  <c r="E12" i="38"/>
  <c r="AE71" i="38"/>
  <c r="AF70" i="38"/>
  <c r="AD71" i="38"/>
  <c r="AB74" i="38"/>
  <c r="G5" i="37" s="1"/>
  <c r="AF71" i="38"/>
  <c r="AH70" i="38"/>
  <c r="AI70" i="38"/>
  <c r="M106" i="38"/>
  <c r="M24" i="38" s="1"/>
  <c r="P107" i="38"/>
  <c r="AI86" i="38" l="1"/>
  <c r="AT70" i="38"/>
  <c r="AU70" i="38"/>
  <c r="AS72" i="38"/>
  <c r="BJ70" i="38"/>
  <c r="BK70" i="38"/>
  <c r="BI72" i="38"/>
  <c r="AG86" i="38"/>
  <c r="AH86" i="38" s="1"/>
  <c r="BV70" i="38"/>
  <c r="BU72" i="38"/>
  <c r="BW70" i="38"/>
  <c r="BB70" i="38"/>
  <c r="BA72" i="38"/>
  <c r="BB72" i="38" s="1"/>
  <c r="AI71" i="38"/>
  <c r="AJ82" i="38"/>
  <c r="BS70" i="38"/>
  <c r="BQ72" i="38"/>
  <c r="BR70" i="38"/>
  <c r="AX70" i="38"/>
  <c r="AW72" i="38"/>
  <c r="AX72" i="38" s="1"/>
  <c r="P25" i="38"/>
  <c r="M107" i="38"/>
  <c r="M25" i="38" s="1"/>
  <c r="AG71" i="38"/>
  <c r="AH71" i="38" s="1"/>
  <c r="BN70" i="38"/>
  <c r="BM72" i="38"/>
  <c r="BO70" i="38"/>
  <c r="AI67" i="38"/>
  <c r="AG67" i="38"/>
  <c r="AH67" i="38" s="1"/>
  <c r="AJ67" i="38" s="1"/>
  <c r="BG70" i="38"/>
  <c r="BE72" i="38"/>
  <c r="BF70" i="38"/>
  <c r="BY72" i="38"/>
  <c r="CA70" i="38"/>
  <c r="BZ70" i="38"/>
  <c r="AJ86" i="38" l="1"/>
  <c r="AN86" i="38" s="1"/>
  <c r="BF72" i="38"/>
  <c r="BF71" i="38" s="1"/>
  <c r="U83" i="38" s="1"/>
  <c r="BG72" i="38"/>
  <c r="BG71" i="38" s="1"/>
  <c r="U84" i="38" s="1"/>
  <c r="BV72" i="38"/>
  <c r="BV71" i="38" s="1"/>
  <c r="U91" i="38" s="1"/>
  <c r="BW72" i="38"/>
  <c r="BW71" i="38" s="1"/>
  <c r="U92" i="38" s="1"/>
  <c r="BO72" i="38"/>
  <c r="BO71" i="38" s="1"/>
  <c r="U88" i="38" s="1"/>
  <c r="BN72" i="38"/>
  <c r="BN71" i="38" s="1"/>
  <c r="U87" i="38" s="1"/>
  <c r="BR72" i="38"/>
  <c r="BR71" i="38" s="1"/>
  <c r="U89" i="38" s="1"/>
  <c r="BS72" i="38"/>
  <c r="BS71" i="38" s="1"/>
  <c r="U90" i="38" s="1"/>
  <c r="AN67" i="38"/>
  <c r="AL67" i="38"/>
  <c r="CA72" i="38"/>
  <c r="CA71" i="38" s="1"/>
  <c r="U94" i="38" s="1"/>
  <c r="BZ72" i="38"/>
  <c r="BZ71" i="38" s="1"/>
  <c r="U93" i="38" s="1"/>
  <c r="AJ71" i="38"/>
  <c r="AN82" i="38"/>
  <c r="AL82" i="38"/>
  <c r="BK72" i="38"/>
  <c r="BK71" i="38" s="1"/>
  <c r="U86" i="38" s="1"/>
  <c r="BJ72" i="38"/>
  <c r="BJ71" i="38" s="1"/>
  <c r="U85" i="38" s="1"/>
  <c r="BB71" i="38"/>
  <c r="U82" i="38" s="1"/>
  <c r="AT72" i="38"/>
  <c r="AT71" i="38" s="1"/>
  <c r="U78" i="38" s="1"/>
  <c r="AU72" i="38"/>
  <c r="AU71" i="38" s="1"/>
  <c r="U79" i="38" s="1"/>
  <c r="AX71" i="38"/>
  <c r="U81" i="38" s="1"/>
  <c r="AL86" i="38" l="1"/>
  <c r="AO67" i="38"/>
  <c r="AP67" i="38" s="1"/>
  <c r="AQ67" i="38" s="1"/>
  <c r="AM67" i="38"/>
  <c r="AM86" i="38"/>
  <c r="AO86" i="38"/>
  <c r="AP86" i="38" s="1"/>
  <c r="AQ86" i="38" s="1"/>
  <c r="I12" i="38" s="1"/>
  <c r="AM82" i="38"/>
  <c r="AO82" i="38"/>
  <c r="AP82" i="38" s="1"/>
  <c r="AQ82" i="38" s="1"/>
  <c r="AN71" i="38"/>
  <c r="AL71" i="38"/>
  <c r="G11" i="38" l="1"/>
  <c r="G8" i="38" s="1"/>
  <c r="M8" i="37" s="1"/>
  <c r="F9" i="37" s="1"/>
  <c r="F10" i="37" s="1"/>
  <c r="F14" i="37" s="1"/>
  <c r="F13" i="37" s="1"/>
  <c r="F16" i="37" s="1"/>
  <c r="AO71" i="38"/>
  <c r="AP71" i="38" s="1"/>
  <c r="AQ71" i="38" s="1"/>
  <c r="G12" i="38" s="1"/>
  <c r="AM71" i="38"/>
  <c r="I11" i="38"/>
  <c r="AA13" i="38"/>
  <c r="U13" i="38" l="1"/>
  <c r="N69" i="38" s="1"/>
  <c r="P69" i="38"/>
  <c r="P71" i="38"/>
  <c r="P74" i="38"/>
  <c r="M69" i="38" l="1"/>
  <c r="N71" i="38"/>
  <c r="M71" i="38" s="1"/>
  <c r="N74" i="38"/>
  <c r="N73" i="38" s="1"/>
  <c r="N72" i="38" s="1"/>
  <c r="P73" i="38"/>
  <c r="M74" i="38" l="1"/>
  <c r="P72" i="38"/>
  <c r="M72" i="38" s="1"/>
  <c r="M73" i="38"/>
  <c r="AQ142" i="59" l="1"/>
  <c r="AQ144" i="59" s="1"/>
  <c r="AQ143" i="59"/>
  <c r="AQ145" i="59" s="1"/>
  <c r="AQ146" i="59" l="1"/>
  <c r="AE121" i="70" l="1"/>
  <c r="AD151" i="70" s="1"/>
  <c r="AE115" i="70"/>
  <c r="AQ116" i="70" s="1"/>
  <c r="AS116" i="70" s="1"/>
  <c r="AD152" i="70" l="1"/>
  <c r="AD144" i="70"/>
  <c r="AD145" i="70"/>
  <c r="AD134" i="70" s="1"/>
  <c r="AE116" i="70"/>
  <c r="AD135" i="70"/>
  <c r="AQ121" i="70"/>
  <c r="AS121" i="70" s="1"/>
  <c r="AW121" i="70" s="1"/>
  <c r="AQ122" i="70"/>
  <c r="AS122" i="70" s="1"/>
  <c r="AU122" i="70" s="1"/>
  <c r="AE122" i="70"/>
  <c r="BM111" i="70"/>
  <c r="BM110" i="70" s="1"/>
  <c r="BN110" i="70" s="1"/>
  <c r="BM107" i="70"/>
  <c r="BM106" i="70" s="1"/>
  <c r="BM108" i="70" s="1"/>
  <c r="BN108" i="70" s="1"/>
  <c r="BQ107" i="70"/>
  <c r="BQ106" i="70" s="1"/>
  <c r="BQ108" i="70" s="1"/>
  <c r="AQ117" i="70"/>
  <c r="AS117" i="70" s="1"/>
  <c r="BQ111" i="70"/>
  <c r="BQ110" i="70" s="1"/>
  <c r="AF144" i="70"/>
  <c r="AU116" i="70"/>
  <c r="AF145" i="70" l="1"/>
  <c r="AX121" i="70"/>
  <c r="AV121" i="70"/>
  <c r="AU121" i="70"/>
  <c r="AW122" i="70"/>
  <c r="AF152" i="70"/>
  <c r="AX122" i="70"/>
  <c r="BO110" i="70"/>
  <c r="BM112" i="70"/>
  <c r="BN112" i="70" s="1"/>
  <c r="BN111" i="70" s="1"/>
  <c r="BO106" i="70"/>
  <c r="BN106" i="70"/>
  <c r="BN107" i="70" s="1"/>
  <c r="AV122" i="70"/>
  <c r="BO108" i="70"/>
  <c r="BS106" i="70"/>
  <c r="BR106" i="70"/>
  <c r="AF134" i="70"/>
  <c r="AF151" i="70"/>
  <c r="AU117" i="70"/>
  <c r="AV117" i="70" s="1"/>
  <c r="BB117" i="70" s="1"/>
  <c r="AH151" i="70" s="1"/>
  <c r="BS110" i="70"/>
  <c r="BR110" i="70"/>
  <c r="BQ112" i="70"/>
  <c r="BR108" i="70"/>
  <c r="BS108" i="70"/>
  <c r="AV116" i="70"/>
  <c r="BB116" i="70" s="1"/>
  <c r="AH144" i="70" s="1"/>
  <c r="AY121" i="70"/>
  <c r="BB121" i="70" s="1"/>
  <c r="AH145" i="70" s="1"/>
  <c r="BO112" i="70" l="1"/>
  <c r="BO111" i="70" s="1"/>
  <c r="AE120" i="70" s="1"/>
  <c r="AY122" i="70"/>
  <c r="BB122" i="70" s="1"/>
  <c r="AH152" i="70" s="1"/>
  <c r="AH135" i="70" s="1"/>
  <c r="AF135" i="70"/>
  <c r="BR107" i="70"/>
  <c r="AI144" i="70" s="1"/>
  <c r="AH134" i="70"/>
  <c r="BS107" i="70"/>
  <c r="AJ144" i="70" s="1"/>
  <c r="BO107" i="70"/>
  <c r="AE114" i="70" s="1"/>
  <c r="BS112" i="70"/>
  <c r="BS111" i="70" s="1"/>
  <c r="BR112" i="70"/>
  <c r="BR111" i="70" s="1"/>
  <c r="BE111" i="70" l="1"/>
  <c r="BE110" i="70" s="1"/>
  <c r="BG110" i="70" s="1"/>
  <c r="BI111" i="70"/>
  <c r="BI110" i="70" s="1"/>
  <c r="BJ110" i="70" s="1"/>
  <c r="AQ110" i="70"/>
  <c r="AS110" i="70" s="1"/>
  <c r="AF150" i="70" s="1"/>
  <c r="AJ145" i="70"/>
  <c r="AQ105" i="70"/>
  <c r="AS105" i="70" s="1"/>
  <c r="AF149" i="70" s="1"/>
  <c r="AD150" i="70"/>
  <c r="AI145" i="70"/>
  <c r="AI134" i="70" s="1"/>
  <c r="AK134" i="70" s="1"/>
  <c r="K12" i="70" s="1"/>
  <c r="AD149" i="70"/>
  <c r="AQ104" i="70"/>
  <c r="AS104" i="70" s="1"/>
  <c r="AU104" i="70" s="1"/>
  <c r="AV104" i="70" s="1"/>
  <c r="BB104" i="70" s="1"/>
  <c r="AH142" i="70" s="1"/>
  <c r="BE107" i="70"/>
  <c r="BE106" i="70" s="1"/>
  <c r="AD142" i="70"/>
  <c r="AF142" i="70" s="1"/>
  <c r="AD143" i="70"/>
  <c r="AF143" i="70" s="1"/>
  <c r="AQ109" i="70"/>
  <c r="AS109" i="70" s="1"/>
  <c r="BI107" i="70"/>
  <c r="BI106" i="70" s="1"/>
  <c r="AI151" i="70"/>
  <c r="AI152" i="70"/>
  <c r="AI135" i="70" s="1"/>
  <c r="AJ151" i="70"/>
  <c r="AJ152" i="70"/>
  <c r="AW110" i="70"/>
  <c r="AU110" i="70"/>
  <c r="AV110" i="70" s="1"/>
  <c r="AX110" i="70"/>
  <c r="AU105" i="70"/>
  <c r="BK110" i="70"/>
  <c r="BI112" i="70"/>
  <c r="AM134" i="70"/>
  <c r="M12" i="70" s="1"/>
  <c r="AY110" i="70" l="1"/>
  <c r="BE112" i="70"/>
  <c r="BF112" i="70" s="1"/>
  <c r="BF110" i="70"/>
  <c r="BK106" i="70"/>
  <c r="BI108" i="70"/>
  <c r="BJ106" i="70"/>
  <c r="AW109" i="70"/>
  <c r="AU109" i="70"/>
  <c r="AV109" i="70" s="1"/>
  <c r="AY109" i="70"/>
  <c r="AX109" i="70"/>
  <c r="AL134" i="70"/>
  <c r="L12" i="70" s="1"/>
  <c r="BG106" i="70"/>
  <c r="BF106" i="70"/>
  <c r="BE108" i="70"/>
  <c r="AZ110" i="70"/>
  <c r="BA110" i="70" s="1"/>
  <c r="BB110" i="70" s="1"/>
  <c r="AH150" i="70" s="1"/>
  <c r="AV105" i="70"/>
  <c r="BB105" i="70" s="1"/>
  <c r="AH149" i="70" s="1"/>
  <c r="BJ112" i="70"/>
  <c r="BJ111" i="70" s="1"/>
  <c r="BK112" i="70"/>
  <c r="BK111" i="70" s="1"/>
  <c r="BF111" i="70" l="1"/>
  <c r="BG112" i="70"/>
  <c r="BG111" i="70" s="1"/>
  <c r="AL135" i="70"/>
  <c r="AL136" i="70" s="1"/>
  <c r="AL137" i="70" s="1"/>
  <c r="AZ109" i="70"/>
  <c r="BA109" i="70" s="1"/>
  <c r="BB109" i="70" s="1"/>
  <c r="AH143" i="70" s="1"/>
  <c r="BF108" i="70"/>
  <c r="BF107" i="70" s="1"/>
  <c r="BG108" i="70"/>
  <c r="BG107" i="70" s="1"/>
  <c r="BJ108" i="70"/>
  <c r="BJ107" i="70" s="1"/>
  <c r="BK108" i="70"/>
  <c r="BK107" i="70" s="1"/>
  <c r="AI149" i="70"/>
  <c r="AI150" i="70"/>
  <c r="L13" i="70" l="1"/>
  <c r="L14" i="70" s="1"/>
  <c r="K17" i="70" s="1"/>
  <c r="AK135" i="70"/>
  <c r="AJ135" i="70" s="1"/>
  <c r="AL138" i="70"/>
  <c r="K18" i="70" s="1"/>
  <c r="AI142" i="70"/>
  <c r="AI143" i="70"/>
  <c r="AI137" i="70"/>
  <c r="AK137" i="70"/>
  <c r="AM135" i="70"/>
  <c r="AK136" i="70"/>
  <c r="J13" i="70" l="1"/>
  <c r="N13" i="70" s="1"/>
  <c r="K13" i="70"/>
  <c r="K14" i="70" s="1"/>
  <c r="K16" i="70" s="1"/>
  <c r="AM136" i="70"/>
  <c r="AM137" i="70" s="1"/>
  <c r="K20" i="70" s="1"/>
  <c r="M13" i="70"/>
  <c r="M14" i="70" s="1"/>
  <c r="K19" i="70" l="1"/>
  <c r="L19" i="70"/>
  <c r="L20" i="70"/>
  <c r="AT153" i="59"/>
  <c r="AP153" i="59"/>
  <c r="AP155" i="59"/>
  <c r="AO153" i="59"/>
  <c r="AT154" i="59"/>
  <c r="AO154" i="59"/>
  <c r="AS155" i="59"/>
  <c r="AO155" i="59"/>
  <c r="AP154" i="59"/>
  <c r="AP156" i="59"/>
  <c r="AS156" i="59"/>
  <c r="AO156" i="59"/>
  <c r="AY98" i="59"/>
  <c r="AH151" i="59" s="1"/>
  <c r="AR155" i="59"/>
  <c r="AR156" i="59"/>
  <c r="AQ179" i="59"/>
  <c r="AT179" i="59"/>
  <c r="AP179" i="59"/>
  <c r="AS177" i="59"/>
  <c r="AO177" i="59"/>
  <c r="AS179" i="59"/>
  <c r="AO179" i="59"/>
  <c r="AQ180" i="59"/>
  <c r="AT180" i="59"/>
  <c r="AP180" i="59"/>
  <c r="AS180" i="59"/>
  <c r="AO180" i="59"/>
  <c r="AR180" i="59"/>
  <c r="AR179" i="59"/>
  <c r="AY102" i="59"/>
  <c r="AH152" i="59" s="1"/>
  <c r="AH182" i="59"/>
  <c r="AI182" i="59" s="1"/>
  <c r="AQ154" i="59"/>
  <c r="AQ156" i="59"/>
  <c r="K13" i="59"/>
  <c r="AQ153" i="59"/>
  <c r="AQ155" i="59"/>
  <c r="K12" i="59"/>
  <c r="AS182" i="59"/>
  <c r="AT158" i="59"/>
  <c r="AP182" i="59"/>
  <c r="AT182" i="59"/>
  <c r="AP157" i="59"/>
  <c r="AS158" i="59"/>
  <c r="AO158" i="59"/>
  <c r="AR177" i="59"/>
  <c r="AQ181" i="59"/>
  <c r="AO181" i="59"/>
  <c r="AR181" i="59"/>
  <c r="AS178" i="59"/>
  <c r="AO178" i="59"/>
  <c r="AR178" i="59"/>
  <c r="AP181" i="59"/>
  <c r="AO157" i="59"/>
  <c r="AR157" i="59"/>
  <c r="AQ182" i="59"/>
  <c r="AR154" i="59"/>
  <c r="AS153" i="59"/>
  <c r="AR153" i="59"/>
  <c r="AQ157" i="59"/>
  <c r="AT155" i="59"/>
  <c r="AT177" i="59"/>
  <c r="AS154" i="59"/>
  <c r="AT178" i="59"/>
  <c r="AT156" i="59"/>
  <c r="AM170" i="59" l="1"/>
  <c r="AM169" i="59"/>
  <c r="K14" i="59"/>
  <c r="AY101" i="59"/>
  <c r="AY103" i="59" s="1"/>
  <c r="BA103" i="59" s="1"/>
  <c r="AM135" i="59"/>
  <c r="AM168" i="59"/>
  <c r="F21" i="59"/>
  <c r="AM99" i="59"/>
  <c r="AO99" i="59" s="1"/>
  <c r="AL96" i="59"/>
  <c r="AN96" i="59" s="1"/>
  <c r="AL130" i="59"/>
  <c r="AU130" i="59" s="1"/>
  <c r="AE93" i="59"/>
  <c r="AL94" i="59"/>
  <c r="AL166" i="59" s="1"/>
  <c r="AH175" i="59"/>
  <c r="AT130" i="59"/>
  <c r="AT132" i="59"/>
  <c r="AL105" i="59"/>
  <c r="AN105" i="59" s="1"/>
  <c r="AL132" i="59"/>
  <c r="AU132" i="59" s="1"/>
  <c r="AT168" i="59" s="1"/>
  <c r="AL103" i="59"/>
  <c r="AN103" i="59" s="1"/>
  <c r="P13" i="59"/>
  <c r="P12" i="59"/>
  <c r="AY97" i="59"/>
  <c r="AM117" i="59"/>
  <c r="AO117" i="59" s="1"/>
  <c r="AM180" i="59"/>
  <c r="AM126" i="59"/>
  <c r="AO126" i="59" s="1"/>
  <c r="AU126" i="59" s="1"/>
  <c r="AM181" i="59"/>
  <c r="AO135" i="59"/>
  <c r="AM179" i="59"/>
  <c r="AL97" i="59"/>
  <c r="AL95" i="59"/>
  <c r="AL131" i="59"/>
  <c r="AU131" i="59" s="1"/>
  <c r="AL104" i="59"/>
  <c r="AN104" i="59" s="1"/>
  <c r="AE97" i="59"/>
  <c r="AH176" i="59"/>
  <c r="AH177" i="59" s="1"/>
  <c r="AL106" i="59"/>
  <c r="AN106" i="59" s="1"/>
  <c r="AL133" i="59"/>
  <c r="AT131" i="59"/>
  <c r="AL168" i="59"/>
  <c r="AZ101" i="59"/>
  <c r="AL142" i="59"/>
  <c r="AM108" i="59"/>
  <c r="AO108" i="59" s="1"/>
  <c r="AZ103" i="59" l="1"/>
  <c r="AL144" i="59"/>
  <c r="AT144" i="59"/>
  <c r="BA101" i="59"/>
  <c r="AN94" i="59"/>
  <c r="AW94" i="59" s="1"/>
  <c r="AP130" i="59" s="1"/>
  <c r="AZ102" i="59"/>
  <c r="BA102" i="59"/>
  <c r="BC102" i="59" s="1"/>
  <c r="BC101" i="59" s="1"/>
  <c r="I17" i="59"/>
  <c r="L17" i="59"/>
  <c r="N18" i="59" s="1"/>
  <c r="BA97" i="59"/>
  <c r="AZ97" i="59"/>
  <c r="AS105" i="59"/>
  <c r="AP105" i="59"/>
  <c r="AQ105" i="59" s="1"/>
  <c r="AT105" i="59"/>
  <c r="AS103" i="59"/>
  <c r="AT103" i="59"/>
  <c r="AP103" i="59"/>
  <c r="AQ103" i="59" s="1"/>
  <c r="AR103" i="59"/>
  <c r="AT142" i="59"/>
  <c r="AT166" i="59"/>
  <c r="AR105" i="59"/>
  <c r="AY99" i="59"/>
  <c r="BA99" i="59" s="1"/>
  <c r="AS104" i="59"/>
  <c r="AR104" i="59"/>
  <c r="AP104" i="59"/>
  <c r="AQ104" i="59" s="1"/>
  <c r="AT104" i="59"/>
  <c r="AT143" i="59"/>
  <c r="AT167" i="59"/>
  <c r="AY112" i="59"/>
  <c r="AY111" i="59" s="1"/>
  <c r="AL108" i="59"/>
  <c r="AN108" i="59" s="1"/>
  <c r="AL135" i="59"/>
  <c r="E21" i="59"/>
  <c r="AL170" i="59"/>
  <c r="AL99" i="59"/>
  <c r="AN99" i="59" s="1"/>
  <c r="AW99" i="59" s="1"/>
  <c r="AP135" i="59" s="1"/>
  <c r="AS171" i="59" s="1"/>
  <c r="AP171" i="59" s="1"/>
  <c r="AN95" i="59"/>
  <c r="AW95" i="59" s="1"/>
  <c r="AL167" i="59"/>
  <c r="AL143" i="59"/>
  <c r="AL145" i="59"/>
  <c r="AL169" i="59"/>
  <c r="AN97" i="59"/>
  <c r="AR106" i="59"/>
  <c r="AP106" i="59"/>
  <c r="AQ106" i="59" s="1"/>
  <c r="AS106" i="59"/>
  <c r="AT106" i="59"/>
  <c r="AT133" i="59"/>
  <c r="AU133" i="59"/>
  <c r="BA98" i="59" l="1"/>
  <c r="BC98" i="59" s="1"/>
  <c r="AI152" i="59"/>
  <c r="AS142" i="59"/>
  <c r="AS166" i="59"/>
  <c r="AU106" i="59"/>
  <c r="AZ99" i="59"/>
  <c r="AZ98" i="59" s="1"/>
  <c r="AU105" i="59"/>
  <c r="AU104" i="59"/>
  <c r="AV104" i="59" s="1"/>
  <c r="AW104" i="59" s="1"/>
  <c r="AQ131" i="59" s="1"/>
  <c r="AO142" i="59"/>
  <c r="AP142" i="59"/>
  <c r="AU103" i="59"/>
  <c r="AV103" i="59" s="1"/>
  <c r="AW103" i="59" s="1"/>
  <c r="AQ130" i="59" s="1"/>
  <c r="AT135" i="59"/>
  <c r="AU135" i="59"/>
  <c r="AT171" i="59" s="1"/>
  <c r="AQ171" i="59" s="1"/>
  <c r="AR108" i="59"/>
  <c r="AS108" i="59"/>
  <c r="AT108" i="59"/>
  <c r="AP108" i="59"/>
  <c r="AQ108" i="59" s="1"/>
  <c r="AZ111" i="59"/>
  <c r="BA111" i="59"/>
  <c r="AY113" i="59"/>
  <c r="BC97" i="59"/>
  <c r="AI151" i="59"/>
  <c r="AS167" i="59"/>
  <c r="AS143" i="59"/>
  <c r="AP131" i="59"/>
  <c r="AT169" i="59"/>
  <c r="AT145" i="59"/>
  <c r="AP143" i="59"/>
  <c r="AP145" i="59" s="1"/>
  <c r="J13" i="59" s="1"/>
  <c r="AO143" i="59"/>
  <c r="AL115" i="59"/>
  <c r="AN115" i="59" s="1"/>
  <c r="AL113" i="59"/>
  <c r="AN113" i="59" s="1"/>
  <c r="AW113" i="59" s="1"/>
  <c r="AR131" i="59" s="1"/>
  <c r="AL154" i="59"/>
  <c r="AN131" i="59"/>
  <c r="AN133" i="59"/>
  <c r="AI176" i="59"/>
  <c r="AL156" i="59"/>
  <c r="AL124" i="59"/>
  <c r="AN124" i="59" s="1"/>
  <c r="AL122" i="59"/>
  <c r="AN122" i="59" s="1"/>
  <c r="BE101" i="59"/>
  <c r="BC103" i="59"/>
  <c r="BD101" i="59"/>
  <c r="AP144" i="59" l="1"/>
  <c r="J12" i="59" s="1"/>
  <c r="AE96" i="59"/>
  <c r="AR142" i="59"/>
  <c r="AE95" i="59"/>
  <c r="H12" i="59"/>
  <c r="AL114" i="59"/>
  <c r="AN114" i="59" s="1"/>
  <c r="AI175" i="59"/>
  <c r="AL123" i="59"/>
  <c r="AN123" i="59" s="1"/>
  <c r="AN132" i="59"/>
  <c r="AL112" i="59"/>
  <c r="AN112" i="59" s="1"/>
  <c r="AW112" i="59" s="1"/>
  <c r="AR130" i="59" s="1"/>
  <c r="AL155" i="59"/>
  <c r="AN130" i="59"/>
  <c r="AL153" i="59"/>
  <c r="AL121" i="59"/>
  <c r="AN121" i="59" s="1"/>
  <c r="AP122" i="59"/>
  <c r="AQ122" i="59"/>
  <c r="AR122" i="59"/>
  <c r="AS122" i="59"/>
  <c r="BE97" i="59"/>
  <c r="BC99" i="59"/>
  <c r="BD97" i="59"/>
  <c r="BE103" i="59"/>
  <c r="BE102" i="59" s="1"/>
  <c r="BD103" i="59"/>
  <c r="BD102" i="59" s="1"/>
  <c r="AP124" i="59"/>
  <c r="AQ124" i="59"/>
  <c r="AR124" i="59"/>
  <c r="AS124" i="59"/>
  <c r="AZ113" i="59"/>
  <c r="AZ112" i="59" s="1"/>
  <c r="BA113" i="59"/>
  <c r="BA112" i="59" s="1"/>
  <c r="AR143" i="59"/>
  <c r="H13" i="59"/>
  <c r="H14" i="59" s="1"/>
  <c r="AH158" i="59"/>
  <c r="AQ168" i="59"/>
  <c r="AQ169" i="59"/>
  <c r="AP146" i="59"/>
  <c r="AU108" i="59"/>
  <c r="J14" i="59"/>
  <c r="O13" i="59" s="1"/>
  <c r="AL180" i="59"/>
  <c r="AL178" i="59"/>
  <c r="O12" i="59" l="1"/>
  <c r="BD99" i="59"/>
  <c r="BE99" i="59"/>
  <c r="BE98" i="59" s="1"/>
  <c r="AP169" i="59"/>
  <c r="K20" i="59"/>
  <c r="AT124" i="59"/>
  <c r="AP123" i="59"/>
  <c r="AQ123" i="59"/>
  <c r="AR123" i="59"/>
  <c r="AS123" i="59"/>
  <c r="AQ170" i="59"/>
  <c r="AP168" i="59"/>
  <c r="K19" i="59"/>
  <c r="AM134" i="59"/>
  <c r="AM146" i="59" s="1"/>
  <c r="AM105" i="59"/>
  <c r="AO105" i="59" s="1"/>
  <c r="AM145" i="59"/>
  <c r="AM96" i="59"/>
  <c r="AO96" i="59" s="1"/>
  <c r="AW96" i="59" s="1"/>
  <c r="AM97" i="59"/>
  <c r="AO97" i="59" s="1"/>
  <c r="AW97" i="59" s="1"/>
  <c r="AM106" i="59"/>
  <c r="AO106" i="59" s="1"/>
  <c r="AM98" i="59"/>
  <c r="AO98" i="59" s="1"/>
  <c r="AM132" i="59"/>
  <c r="AM107" i="59"/>
  <c r="AO107" i="59" s="1"/>
  <c r="AE98" i="59"/>
  <c r="F14" i="59"/>
  <c r="AM133" i="59"/>
  <c r="AI158" i="59"/>
  <c r="AM144" i="59"/>
  <c r="AV108" i="59"/>
  <c r="AW108" i="59" s="1"/>
  <c r="AQ135" i="59" s="1"/>
  <c r="AT122" i="59"/>
  <c r="AW122" i="59" s="1"/>
  <c r="AS131" i="59" s="1"/>
  <c r="AL179" i="59"/>
  <c r="AL177" i="59"/>
  <c r="AI177" i="59"/>
  <c r="BC112" i="59"/>
  <c r="BC111" i="59" s="1"/>
  <c r="AP121" i="59"/>
  <c r="AQ121" i="59"/>
  <c r="AR121" i="59"/>
  <c r="AS121" i="59"/>
  <c r="BD98" i="59"/>
  <c r="AT123" i="59" l="1"/>
  <c r="I10" i="59"/>
  <c r="L10" i="59"/>
  <c r="K21" i="59"/>
  <c r="P19" i="59" s="1"/>
  <c r="AV105" i="59"/>
  <c r="AW105" i="59" s="1"/>
  <c r="AQ132" i="59" s="1"/>
  <c r="AP170" i="59"/>
  <c r="AO166" i="59"/>
  <c r="J19" i="59"/>
  <c r="AO167" i="59"/>
  <c r="J20" i="59"/>
  <c r="AT121" i="59"/>
  <c r="AW121" i="59" s="1"/>
  <c r="AS130" i="59" s="1"/>
  <c r="AV106" i="59"/>
  <c r="AW106" i="59" s="1"/>
  <c r="AQ133" i="59" s="1"/>
  <c r="BE111" i="59"/>
  <c r="BC113" i="59"/>
  <c r="BD111" i="59"/>
  <c r="AS145" i="59"/>
  <c r="AO145" i="59" s="1"/>
  <c r="AS169" i="59"/>
  <c r="AO169" i="59" s="1"/>
  <c r="AP133" i="59"/>
  <c r="AM114" i="59"/>
  <c r="AO114" i="59" s="1"/>
  <c r="AW114" i="59" s="1"/>
  <c r="AR132" i="59" s="1"/>
  <c r="AM125" i="59"/>
  <c r="AO125" i="59" s="1"/>
  <c r="AU125" i="59" s="1"/>
  <c r="AM124" i="59"/>
  <c r="AO124" i="59" s="1"/>
  <c r="AU124" i="59" s="1"/>
  <c r="AW124" i="59" s="1"/>
  <c r="AS133" i="59" s="1"/>
  <c r="AM156" i="59"/>
  <c r="AM123" i="59"/>
  <c r="AO123" i="59" s="1"/>
  <c r="AU123" i="59" s="1"/>
  <c r="AW123" i="59" s="1"/>
  <c r="AS132" i="59" s="1"/>
  <c r="AO132" i="59"/>
  <c r="AM115" i="59"/>
  <c r="AO115" i="59" s="1"/>
  <c r="AW115" i="59" s="1"/>
  <c r="AR133" i="59" s="1"/>
  <c r="AO133" i="59"/>
  <c r="AO134" i="59"/>
  <c r="AM157" i="59" s="1"/>
  <c r="AM116" i="59"/>
  <c r="AO116" i="59" s="1"/>
  <c r="AM155" i="59"/>
  <c r="AL126" i="59"/>
  <c r="AN126" i="59" s="1"/>
  <c r="AL181" i="59"/>
  <c r="AN135" i="59"/>
  <c r="AL117" i="59"/>
  <c r="AN117" i="59" s="1"/>
  <c r="AW117" i="59" s="1"/>
  <c r="AR135" i="59" s="1"/>
  <c r="AS168" i="59"/>
  <c r="AO168" i="59" s="1"/>
  <c r="AP132" i="59"/>
  <c r="AS144" i="59"/>
  <c r="P20" i="59" l="1"/>
  <c r="AR169" i="59"/>
  <c r="L20" i="59" s="1"/>
  <c r="I20" i="59"/>
  <c r="AE102" i="59"/>
  <c r="AR145" i="59"/>
  <c r="L13" i="59" s="1"/>
  <c r="I13" i="59"/>
  <c r="AR167" i="59"/>
  <c r="H20" i="59"/>
  <c r="AO170" i="59"/>
  <c r="AR170" i="59" s="1"/>
  <c r="AR168" i="59"/>
  <c r="L19" i="59" s="1"/>
  <c r="L21" i="59" s="1"/>
  <c r="I19" i="59"/>
  <c r="J21" i="59"/>
  <c r="O20" i="59" s="1"/>
  <c r="AP126" i="59"/>
  <c r="AQ126" i="59"/>
  <c r="AR126" i="59"/>
  <c r="AS126" i="59"/>
  <c r="BE113" i="59"/>
  <c r="BE112" i="59" s="1"/>
  <c r="BD113" i="59"/>
  <c r="BD112" i="59" s="1"/>
  <c r="AR166" i="59"/>
  <c r="H19" i="59"/>
  <c r="AE100" i="59"/>
  <c r="AO144" i="59"/>
  <c r="H21" i="59" l="1"/>
  <c r="AT126" i="59"/>
  <c r="AW126" i="59" s="1"/>
  <c r="AS135" i="59" s="1"/>
  <c r="O19" i="59"/>
  <c r="I21" i="59"/>
  <c r="N19" i="59" s="1"/>
  <c r="AR144" i="59"/>
  <c r="L12" i="59" s="1"/>
  <c r="L14" i="59" s="1"/>
  <c r="AO146" i="59"/>
  <c r="AE101" i="59"/>
  <c r="I12" i="59"/>
  <c r="AH153" i="59"/>
  <c r="N20" i="59" l="1"/>
  <c r="AL107" i="59"/>
  <c r="AN107" i="59" s="1"/>
  <c r="AL134" i="59"/>
  <c r="AL98" i="59"/>
  <c r="AN98" i="59" s="1"/>
  <c r="AW98" i="59" s="1"/>
  <c r="AL146" i="59"/>
  <c r="E14" i="59"/>
  <c r="AY107" i="59"/>
  <c r="AY106" i="59" s="1"/>
  <c r="I14" i="59"/>
  <c r="N13" i="59" s="1"/>
  <c r="AE99" i="59"/>
  <c r="AE103" i="59" s="1"/>
  <c r="AR146" i="59"/>
  <c r="N12" i="59" l="1"/>
  <c r="AS147" i="59"/>
  <c r="AO147" i="59" s="1"/>
  <c r="AP134" i="59"/>
  <c r="AT134" i="59"/>
  <c r="AU134" i="59"/>
  <c r="AT147" i="59" s="1"/>
  <c r="BA106" i="59"/>
  <c r="AY108" i="59"/>
  <c r="AZ106" i="59"/>
  <c r="AT107" i="59"/>
  <c r="AP107" i="59"/>
  <c r="AQ107" i="59" s="1"/>
  <c r="AS107" i="59"/>
  <c r="AR107" i="59"/>
  <c r="AU107" i="59" l="1"/>
  <c r="BA108" i="59"/>
  <c r="AZ108" i="59"/>
  <c r="AZ107" i="59" s="1"/>
  <c r="AV107" i="59"/>
  <c r="AW107" i="59" s="1"/>
  <c r="AQ134" i="59" s="1"/>
  <c r="BA107" i="59"/>
  <c r="AI153" i="59" l="1"/>
  <c r="BC107" i="59"/>
  <c r="BC106" i="59" s="1"/>
  <c r="BC108" i="59" l="1"/>
  <c r="BD106" i="59"/>
  <c r="BE106" i="59"/>
  <c r="AL125" i="59"/>
  <c r="AN125" i="59" s="1"/>
  <c r="AL157" i="59"/>
  <c r="AN134" i="59"/>
  <c r="AL116" i="59"/>
  <c r="AN116" i="59" s="1"/>
  <c r="AW116" i="59" s="1"/>
  <c r="AR134" i="59" s="1"/>
  <c r="AP125" i="59" l="1"/>
  <c r="AQ125" i="59"/>
  <c r="AR125" i="59"/>
  <c r="AS125" i="59"/>
  <c r="BE108" i="59"/>
  <c r="BE107" i="59" s="1"/>
  <c r="BD108" i="59"/>
  <c r="BD107" i="59" s="1"/>
  <c r="AT125" i="59" l="1"/>
  <c r="AW125" i="59" s="1"/>
  <c r="AS134" i="59" s="1"/>
  <c r="AD221" i="60" l="1"/>
  <c r="AD224" i="60" s="1"/>
  <c r="K19" i="60" s="1"/>
  <c r="K16" i="60" l="1"/>
  <c r="AE119" i="46" l="1"/>
  <c r="AL110" i="46" s="1"/>
  <c r="AN110" i="46" s="1"/>
  <c r="AL106" i="46" l="1"/>
  <c r="AN106" i="46" s="1"/>
  <c r="AP106" i="46" s="1"/>
  <c r="AQ106" i="46" s="1"/>
  <c r="AL105" i="46"/>
  <c r="AN105" i="46" s="1"/>
  <c r="AP105" i="46" s="1"/>
  <c r="AL111" i="46"/>
  <c r="AN111" i="46" s="1"/>
  <c r="AS111" i="46" s="1"/>
  <c r="BG112" i="46"/>
  <c r="BG111" i="46" s="1"/>
  <c r="BI111" i="46" s="1"/>
  <c r="BG108" i="46"/>
  <c r="BG107" i="46" s="1"/>
  <c r="BI107" i="46" s="1"/>
  <c r="AQ105" i="46"/>
  <c r="AW105" i="46" s="1"/>
  <c r="AX105" i="46" s="1"/>
  <c r="AR111" i="46"/>
  <c r="AS110" i="46"/>
  <c r="AT110" i="46"/>
  <c r="AR110" i="46"/>
  <c r="AP110" i="46"/>
  <c r="AQ110" i="46" s="1"/>
  <c r="AU110" i="46" s="1"/>
  <c r="AP111" i="46" l="1"/>
  <c r="AQ111" i="46" s="1"/>
  <c r="AU111" i="46" s="1"/>
  <c r="AT111" i="46"/>
  <c r="BH111" i="46"/>
  <c r="AW106" i="46"/>
  <c r="AY106" i="46" s="1"/>
  <c r="AX106" i="46" s="1"/>
  <c r="BG109" i="46"/>
  <c r="BI109" i="46" s="1"/>
  <c r="BI108" i="46" s="1"/>
  <c r="AE121" i="46" s="1"/>
  <c r="BG113" i="46"/>
  <c r="BH113" i="46" s="1"/>
  <c r="BH112" i="46" s="1"/>
  <c r="BH107" i="46"/>
  <c r="AV110" i="46"/>
  <c r="AW110" i="46"/>
  <c r="AX110" i="46" s="1"/>
  <c r="AI105" i="46" l="1"/>
  <c r="AI104" i="46" s="1"/>
  <c r="G15" i="46" s="1"/>
  <c r="G17" i="46" s="1"/>
  <c r="BH109" i="46"/>
  <c r="BH108" i="46" s="1"/>
  <c r="AE120" i="46" s="1"/>
  <c r="AL118" i="46" s="1"/>
  <c r="AN118" i="46" s="1"/>
  <c r="AP118" i="46" s="1"/>
  <c r="BI113" i="46"/>
  <c r="BI112" i="46" s="1"/>
  <c r="AL134" i="46"/>
  <c r="AN134" i="46" s="1"/>
  <c r="BO108" i="46"/>
  <c r="BO107" i="46" s="1"/>
  <c r="AL130" i="46"/>
  <c r="AN130" i="46" s="1"/>
  <c r="AP130" i="46" s="1"/>
  <c r="AL129" i="46"/>
  <c r="AN129" i="46" s="1"/>
  <c r="AP129" i="46" s="1"/>
  <c r="AL135" i="46"/>
  <c r="AN135" i="46" s="1"/>
  <c r="BO112" i="46"/>
  <c r="BO111" i="46" s="1"/>
  <c r="AE122" i="46"/>
  <c r="AV111" i="46"/>
  <c r="AW111" i="46" s="1"/>
  <c r="AY111" i="46" s="1"/>
  <c r="BK112" i="46" l="1"/>
  <c r="BK111" i="46" s="1"/>
  <c r="BK108" i="46"/>
  <c r="BK107" i="46" s="1"/>
  <c r="AL117" i="46"/>
  <c r="AN117" i="46" s="1"/>
  <c r="AP117" i="46" s="1"/>
  <c r="AL122" i="46"/>
  <c r="AN122" i="46" s="1"/>
  <c r="AR121" i="46" s="1"/>
  <c r="AL123" i="46"/>
  <c r="AN123" i="46" s="1"/>
  <c r="AP123" i="46" s="1"/>
  <c r="AU123" i="46" s="1"/>
  <c r="AI106" i="46"/>
  <c r="AX111" i="46"/>
  <c r="BM111" i="46"/>
  <c r="BL111" i="46"/>
  <c r="BK113" i="46"/>
  <c r="BQ111" i="46"/>
  <c r="BO113" i="46"/>
  <c r="BP111" i="46"/>
  <c r="AU121" i="46"/>
  <c r="AR122" i="46"/>
  <c r="AT121" i="46"/>
  <c r="AQ121" i="46"/>
  <c r="AS121" i="46"/>
  <c r="AQ122" i="46"/>
  <c r="AP122" i="46"/>
  <c r="AU122" i="46" s="1"/>
  <c r="AP135" i="46"/>
  <c r="AQ135" i="46"/>
  <c r="AS135" i="46"/>
  <c r="AR135" i="46"/>
  <c r="AR123" i="46"/>
  <c r="AQ123" i="46"/>
  <c r="AQ129" i="46"/>
  <c r="AW129" i="46" s="1"/>
  <c r="AX129" i="46" s="1"/>
  <c r="BL107" i="46"/>
  <c r="BM107" i="46"/>
  <c r="BK109" i="46"/>
  <c r="AQ130" i="46"/>
  <c r="AW130" i="46"/>
  <c r="AU117" i="46"/>
  <c r="AS117" i="46"/>
  <c r="AT117" i="46" s="1"/>
  <c r="AS118" i="46"/>
  <c r="AT118" i="46" s="1"/>
  <c r="AU118" i="46"/>
  <c r="BP107" i="46"/>
  <c r="BO109" i="46"/>
  <c r="BQ107" i="46"/>
  <c r="AP134" i="46"/>
  <c r="AS134" i="46"/>
  <c r="AQ134" i="46"/>
  <c r="AR134" i="46"/>
  <c r="AS123" i="46" l="1"/>
  <c r="AT123" i="46" s="1"/>
  <c r="AV123" i="46" s="1"/>
  <c r="AZ123" i="46" s="1"/>
  <c r="AT134" i="46"/>
  <c r="AW134" i="46" s="1"/>
  <c r="AX134" i="46" s="1"/>
  <c r="AV118" i="46"/>
  <c r="AZ118" i="46" s="1"/>
  <c r="AV117" i="46"/>
  <c r="AX117" i="46" s="1"/>
  <c r="BQ113" i="46"/>
  <c r="BQ112" i="46" s="1"/>
  <c r="BP113" i="46"/>
  <c r="BP112" i="46" s="1"/>
  <c r="AX123" i="46"/>
  <c r="AS122" i="46"/>
  <c r="AT122" i="46" s="1"/>
  <c r="AV122" i="46" s="1"/>
  <c r="BL113" i="46"/>
  <c r="BM113" i="46"/>
  <c r="BM112" i="46" s="1"/>
  <c r="BL112" i="46"/>
  <c r="BP109" i="46"/>
  <c r="BP108" i="46" s="1"/>
  <c r="BQ109" i="46"/>
  <c r="BQ108" i="46" s="1"/>
  <c r="AY130" i="46"/>
  <c r="BL109" i="46"/>
  <c r="BL108" i="46" s="1"/>
  <c r="BM109" i="46"/>
  <c r="BM108" i="46" s="1"/>
  <c r="AT135" i="46"/>
  <c r="AW135" i="46" s="1"/>
  <c r="AY135" i="46" s="1"/>
  <c r="AZ117" i="46" l="1"/>
  <c r="AX118" i="46"/>
  <c r="AX135" i="46"/>
  <c r="AI110" i="46"/>
  <c r="BA117" i="46"/>
  <c r="BB117" i="46" s="1"/>
  <c r="BC117" i="46" s="1"/>
  <c r="BD117" i="46" s="1"/>
  <c r="AY117" i="46"/>
  <c r="BA123" i="46"/>
  <c r="BB123" i="46" s="1"/>
  <c r="BC123" i="46" s="1"/>
  <c r="AY123" i="46"/>
  <c r="AX122" i="46"/>
  <c r="AZ122" i="46"/>
  <c r="BA118" i="46"/>
  <c r="BB118" i="46" s="1"/>
  <c r="BC118" i="46" s="1"/>
  <c r="AY118" i="46"/>
  <c r="AI109" i="46"/>
  <c r="AX130" i="46"/>
  <c r="BE118" i="46" l="1"/>
  <c r="AI107" i="46"/>
  <c r="BD118" i="46"/>
  <c r="AY122" i="46"/>
  <c r="BA122" i="46"/>
  <c r="BB122" i="46" s="1"/>
  <c r="BC122" i="46" s="1"/>
  <c r="BD122" i="46" s="1"/>
  <c r="BE123" i="46" s="1"/>
  <c r="BD123" i="46" l="1"/>
  <c r="AI108" i="46"/>
  <c r="BF113" i="58"/>
  <c r="AS135" i="58" s="1"/>
  <c r="BN113" i="58"/>
  <c r="BN112" i="58"/>
  <c r="BP112" i="58" s="1"/>
  <c r="BJ113" i="58"/>
  <c r="BJ112" i="58" s="1"/>
  <c r="BF112" i="58"/>
  <c r="BG112" i="58" s="1"/>
  <c r="BF109" i="58"/>
  <c r="BF108" i="58" s="1"/>
  <c r="AS133" i="58"/>
  <c r="AS134" i="58" s="1"/>
  <c r="BJ109" i="58"/>
  <c r="BJ108" i="58" s="1"/>
  <c r="BN109" i="58"/>
  <c r="BN108" i="58"/>
  <c r="BP108" i="58" s="1"/>
  <c r="AS105" i="58"/>
  <c r="AU105" i="58"/>
  <c r="AW105" i="58" s="1"/>
  <c r="BH108" i="58" l="1"/>
  <c r="BF110" i="58"/>
  <c r="BH110" i="58" s="1"/>
  <c r="AS112" i="58"/>
  <c r="AU112" i="58" s="1"/>
  <c r="AW112" i="58" s="1"/>
  <c r="AX112" i="58" s="1"/>
  <c r="AS113" i="58"/>
  <c r="AU113" i="58" s="1"/>
  <c r="AZ113" i="58" s="1"/>
  <c r="AJ106" i="58"/>
  <c r="AS106" i="58"/>
  <c r="AU106" i="58" s="1"/>
  <c r="AW106" i="58" s="1"/>
  <c r="BD106" i="58" s="1"/>
  <c r="AW134" i="58" s="1"/>
  <c r="BL108" i="58"/>
  <c r="BJ110" i="58"/>
  <c r="BK108" i="58"/>
  <c r="AX106" i="58"/>
  <c r="BK112" i="58"/>
  <c r="BL112" i="58"/>
  <c r="BJ114" i="58"/>
  <c r="AJ110" i="58"/>
  <c r="AS136" i="58"/>
  <c r="AS114" i="58"/>
  <c r="AU114" i="58" s="1"/>
  <c r="AJ107" i="58"/>
  <c r="AD107" i="58" s="1"/>
  <c r="AS115" i="58"/>
  <c r="AU115" i="58" s="1"/>
  <c r="AS107" i="58"/>
  <c r="AX105" i="58"/>
  <c r="BD105" i="58" s="1"/>
  <c r="AW133" i="58" s="1"/>
  <c r="BH109" i="58"/>
  <c r="BR109" i="58" s="1"/>
  <c r="AW113" i="58"/>
  <c r="AX113" i="58" s="1"/>
  <c r="BA113" i="58"/>
  <c r="AY113" i="58"/>
  <c r="BG110" i="58"/>
  <c r="BH112" i="58"/>
  <c r="AJ105" i="58"/>
  <c r="AD103" i="58" s="1"/>
  <c r="BN110" i="58"/>
  <c r="BO108" i="58"/>
  <c r="BG108" i="58"/>
  <c r="BO112" i="58"/>
  <c r="BF114" i="58"/>
  <c r="BN114" i="58"/>
  <c r="BB113" i="58" l="1"/>
  <c r="AZ112" i="58"/>
  <c r="BG109" i="58"/>
  <c r="AY112" i="58"/>
  <c r="BB112" i="58" s="1"/>
  <c r="BA112" i="58"/>
  <c r="BC113" i="58"/>
  <c r="BD113" i="58"/>
  <c r="AX134" i="58" s="1"/>
  <c r="AM106" i="58" s="1"/>
  <c r="AD110" i="58" s="1"/>
  <c r="AZ115" i="58"/>
  <c r="AY115" i="58"/>
  <c r="AW115" i="58"/>
  <c r="AX115" i="58" s="1"/>
  <c r="BA115" i="58"/>
  <c r="BP110" i="58"/>
  <c r="BP109" i="58" s="1"/>
  <c r="BB133" i="58" s="1"/>
  <c r="BO110" i="58"/>
  <c r="BO109" i="58" s="1"/>
  <c r="AW114" i="58"/>
  <c r="AX114" i="58"/>
  <c r="BA114" i="58"/>
  <c r="AY114" i="58"/>
  <c r="AZ114" i="58"/>
  <c r="AT133" i="58"/>
  <c r="BR108" i="58"/>
  <c r="BL110" i="58"/>
  <c r="BL109" i="58" s="1"/>
  <c r="BA133" i="58" s="1"/>
  <c r="BK110" i="58"/>
  <c r="BK109" i="58" s="1"/>
  <c r="AU107" i="58"/>
  <c r="AW107" i="58" s="1"/>
  <c r="AS108" i="58"/>
  <c r="AU108" i="58" s="1"/>
  <c r="AW108" i="58" s="1"/>
  <c r="BP114" i="58"/>
  <c r="BO114" i="58"/>
  <c r="BO113" i="58" s="1"/>
  <c r="BH114" i="58"/>
  <c r="BH113" i="58" s="1"/>
  <c r="BR113" i="58" s="1"/>
  <c r="BG114" i="58"/>
  <c r="BG113" i="58" s="1"/>
  <c r="BK114" i="58"/>
  <c r="BK113" i="58" s="1"/>
  <c r="BL114" i="58"/>
  <c r="BL113" i="58" s="1"/>
  <c r="BA135" i="58" s="1"/>
  <c r="BA136" i="58" s="1"/>
  <c r="BP113" i="58"/>
  <c r="BC112" i="58" l="1"/>
  <c r="BD112" i="58" s="1"/>
  <c r="AX133" i="58" s="1"/>
  <c r="AM105" i="58" s="1"/>
  <c r="AN105" i="58" s="1"/>
  <c r="BB114" i="58"/>
  <c r="BB115" i="58"/>
  <c r="BC115" i="58"/>
  <c r="BD115" i="58" s="1"/>
  <c r="AX136" i="58" s="1"/>
  <c r="AM110" i="58" s="1"/>
  <c r="BR112" i="58"/>
  <c r="AT135" i="58"/>
  <c r="BC114" i="58"/>
  <c r="BD114" i="58"/>
  <c r="AX135" i="58" s="1"/>
  <c r="AM107" i="58" s="1"/>
  <c r="BS108" i="58"/>
  <c r="BT108" i="58"/>
  <c r="BR110" i="58"/>
  <c r="BV109" i="58"/>
  <c r="BV108" i="58" s="1"/>
  <c r="AS120" i="58"/>
  <c r="AU120" i="58" s="1"/>
  <c r="AW120" i="58" s="1"/>
  <c r="AS126" i="58"/>
  <c r="AU126" i="58" s="1"/>
  <c r="AS119" i="58"/>
  <c r="AU119" i="58" s="1"/>
  <c r="AW119" i="58" s="1"/>
  <c r="AT134" i="58"/>
  <c r="AS127" i="58"/>
  <c r="AU127" i="58" s="1"/>
  <c r="BB136" i="58"/>
  <c r="BB135" i="58"/>
  <c r="AX108" i="58"/>
  <c r="BD108" i="58" s="1"/>
  <c r="AW136" i="58" s="1"/>
  <c r="AX107" i="58"/>
  <c r="BD107" i="58"/>
  <c r="AW135" i="58" s="1"/>
  <c r="AL106" i="58" l="1"/>
  <c r="AP105" i="58"/>
  <c r="I10" i="58"/>
  <c r="AO105" i="58"/>
  <c r="AO106" i="58" s="1"/>
  <c r="AD106" i="58"/>
  <c r="AP106" i="58"/>
  <c r="K10" i="58"/>
  <c r="AX119" i="58"/>
  <c r="BD119" i="58" s="1"/>
  <c r="AY133" i="58" s="1"/>
  <c r="AW127" i="58"/>
  <c r="AX127" i="58"/>
  <c r="AY127" i="58"/>
  <c r="AZ127" i="58"/>
  <c r="AY126" i="58"/>
  <c r="AZ126" i="58"/>
  <c r="AW126" i="58"/>
  <c r="AX126" i="58"/>
  <c r="BV113" i="58"/>
  <c r="BV112" i="58" s="1"/>
  <c r="AT136" i="58"/>
  <c r="AS129" i="58"/>
  <c r="AU129" i="58" s="1"/>
  <c r="AS121" i="58"/>
  <c r="AU121" i="58" s="1"/>
  <c r="AW121" i="58" s="1"/>
  <c r="AS128" i="58"/>
  <c r="AU128" i="58" s="1"/>
  <c r="AS122" i="58"/>
  <c r="AU122" i="58" s="1"/>
  <c r="AW122" i="58" s="1"/>
  <c r="AX120" i="58"/>
  <c r="BD120" i="58" s="1"/>
  <c r="AY134" i="58" s="1"/>
  <c r="BT112" i="58"/>
  <c r="BR114" i="58"/>
  <c r="BS112" i="58"/>
  <c r="BW108" i="58"/>
  <c r="BX108" i="58"/>
  <c r="BV110" i="58"/>
  <c r="AD111" i="58"/>
  <c r="AL107" i="58"/>
  <c r="AN106" i="58"/>
  <c r="H10" i="58"/>
  <c r="M10" i="58" s="1"/>
  <c r="BS110" i="58"/>
  <c r="BS109" i="58" s="1"/>
  <c r="BT110" i="58"/>
  <c r="BT109" i="58" s="1"/>
  <c r="J10" i="58" l="1"/>
  <c r="BX112" i="58"/>
  <c r="BV114" i="58"/>
  <c r="BW112" i="58"/>
  <c r="BA127" i="58"/>
  <c r="BD127" i="58" s="1"/>
  <c r="AZ134" i="58" s="1"/>
  <c r="BX110" i="58"/>
  <c r="BX109" i="58" s="1"/>
  <c r="BC133" i="58" s="1"/>
  <c r="BW110" i="58"/>
  <c r="BW109" i="58" s="1"/>
  <c r="BA126" i="58"/>
  <c r="BD126" i="58" s="1"/>
  <c r="AZ133" i="58" s="1"/>
  <c r="AX122" i="58"/>
  <c r="BD122" i="58" s="1"/>
  <c r="AY136" i="58" s="1"/>
  <c r="AX128" i="58"/>
  <c r="AY128" i="58"/>
  <c r="AZ128" i="58"/>
  <c r="AW128" i="58"/>
  <c r="BS114" i="58"/>
  <c r="BS113" i="58" s="1"/>
  <c r="BT114" i="58"/>
  <c r="BT113" i="58" s="1"/>
  <c r="AX121" i="58"/>
  <c r="BD121" i="58" s="1"/>
  <c r="AY135" i="58" s="1"/>
  <c r="AD112" i="58"/>
  <c r="AD113" i="58" s="1"/>
  <c r="H11" i="58"/>
  <c r="M11" i="58" s="1"/>
  <c r="AN107" i="58"/>
  <c r="AJ108" i="58"/>
  <c r="E13" i="58" s="1"/>
  <c r="AW129" i="58"/>
  <c r="AX129" i="58"/>
  <c r="AY129" i="58"/>
  <c r="AZ129" i="58"/>
  <c r="BA129" i="58" l="1"/>
  <c r="BD129" i="58" s="1"/>
  <c r="AZ136" i="58" s="1"/>
  <c r="BA128" i="58"/>
  <c r="BD128" i="58" s="1"/>
  <c r="AZ135" i="58" s="1"/>
  <c r="BX114" i="58"/>
  <c r="BX113" i="58" s="1"/>
  <c r="BW114" i="58"/>
  <c r="BW113" i="58" s="1"/>
  <c r="AO107" i="58"/>
  <c r="I11" i="58"/>
  <c r="AN110" i="58"/>
  <c r="AL110" i="58" s="1"/>
  <c r="AP107" i="58"/>
  <c r="BC136" i="58" l="1"/>
  <c r="BC135" i="58"/>
  <c r="I18" i="58"/>
  <c r="I13" i="58"/>
  <c r="N10" i="58" s="1"/>
  <c r="J11" i="58"/>
  <c r="AO110" i="58"/>
  <c r="H18" i="58"/>
  <c r="AD120" i="58"/>
  <c r="K11" i="58"/>
  <c r="AP110" i="58"/>
  <c r="J18" i="58" l="1"/>
  <c r="J13" i="58"/>
  <c r="O10" i="58" s="1"/>
  <c r="N11" i="58"/>
  <c r="K18" i="58"/>
  <c r="K13" i="58"/>
  <c r="O11" i="58" l="1"/>
  <c r="AE125" i="75" l="1"/>
  <c r="AL129" i="75"/>
  <c r="AN129" i="75"/>
  <c r="AP129" i="75"/>
  <c r="AQ129" i="75"/>
  <c r="AW129" i="75"/>
  <c r="AX129" i="75"/>
  <c r="AL130" i="75"/>
  <c r="AN130" i="75"/>
  <c r="AP130" i="75"/>
  <c r="AQ130" i="75"/>
  <c r="AW130" i="75"/>
  <c r="AY130" i="75"/>
  <c r="AI109" i="75"/>
  <c r="AI104" i="75"/>
  <c r="AE121" i="75"/>
  <c r="AI121" i="75"/>
  <c r="I15" i="75"/>
  <c r="G15" i="75"/>
  <c r="G17" i="75"/>
  <c r="BO108" i="75"/>
  <c r="BO107" i="75"/>
  <c r="BQ107" i="75"/>
  <c r="BO109" i="75"/>
  <c r="BQ109" i="75"/>
  <c r="BQ108" i="75"/>
  <c r="AE123" i="75"/>
  <c r="AL110" i="75"/>
  <c r="AN110" i="75"/>
  <c r="AQ110" i="75"/>
  <c r="AU110" i="75"/>
  <c r="AV110" i="75"/>
  <c r="AW110" i="75"/>
  <c r="AX110" i="75"/>
  <c r="AL111" i="75"/>
  <c r="AN111" i="75"/>
  <c r="AQ111" i="75"/>
  <c r="AU111" i="75"/>
  <c r="AV111" i="75"/>
  <c r="AW111" i="75"/>
  <c r="AY111" i="75"/>
  <c r="AX111" i="75"/>
  <c r="AI106" i="75"/>
  <c r="BP109" i="75"/>
  <c r="BG112" i="75"/>
  <c r="BG111" i="75"/>
  <c r="BH111" i="75"/>
  <c r="BG113" i="75"/>
  <c r="BH113" i="75"/>
  <c r="BH112" i="75"/>
  <c r="BP107" i="75"/>
  <c r="BP108" i="75"/>
  <c r="AE124" i="75"/>
  <c r="AL122" i="75"/>
  <c r="AN122" i="75"/>
  <c r="AQ122" i="75"/>
  <c r="AP122" i="75"/>
  <c r="AS122" i="75"/>
  <c r="AT122" i="75"/>
  <c r="AU122" i="75"/>
  <c r="AV122" i="75"/>
  <c r="AX122" i="75"/>
  <c r="AZ122" i="75"/>
  <c r="BA122" i="75"/>
  <c r="BB122" i="75"/>
  <c r="BC122" i="75"/>
  <c r="BD122" i="75"/>
  <c r="AL123" i="75"/>
  <c r="AN123" i="75"/>
  <c r="AQ123" i="75"/>
  <c r="AP123" i="75"/>
  <c r="AS123" i="75"/>
  <c r="AT123" i="75"/>
  <c r="AU123" i="75"/>
  <c r="AV123" i="75"/>
  <c r="AX123" i="75"/>
  <c r="AZ123" i="75"/>
  <c r="BA123" i="75"/>
  <c r="BB123" i="75"/>
  <c r="BC123" i="75"/>
  <c r="BE123" i="75"/>
  <c r="BD123" i="75"/>
  <c r="AI108" i="75"/>
  <c r="BG108" i="75"/>
  <c r="BG107" i="75"/>
  <c r="BI107" i="75"/>
  <c r="BG109" i="75"/>
  <c r="BI109" i="75"/>
  <c r="BI108" i="75"/>
  <c r="BH107" i="75"/>
  <c r="BH109" i="75"/>
  <c r="BH108" i="75"/>
  <c r="AL134" i="75"/>
  <c r="AN134" i="75"/>
  <c r="AP134" i="75"/>
  <c r="AQ134" i="75"/>
  <c r="AR134" i="75"/>
  <c r="AS134" i="75"/>
  <c r="AT134" i="75"/>
  <c r="AW134" i="75"/>
  <c r="AX134" i="75"/>
  <c r="AL135" i="75"/>
  <c r="AN135" i="75"/>
  <c r="AP135" i="75"/>
  <c r="AQ135" i="75"/>
  <c r="AR135" i="75"/>
  <c r="AS135" i="75"/>
  <c r="AT135" i="75"/>
  <c r="AW135" i="75"/>
  <c r="AY135" i="75"/>
  <c r="AI110" i="75"/>
  <c r="AX135" i="75"/>
  <c r="AL105" i="75"/>
  <c r="AN105" i="75"/>
  <c r="AP105" i="75"/>
  <c r="AQ105" i="75"/>
  <c r="AW105" i="75"/>
  <c r="AX105" i="75"/>
  <c r="AL106" i="75"/>
  <c r="AN106" i="75"/>
  <c r="AP106" i="75"/>
  <c r="AQ106" i="75"/>
  <c r="AW106" i="75"/>
  <c r="AY106" i="75"/>
  <c r="AI105" i="75"/>
  <c r="AX106" i="75"/>
  <c r="BO112" i="75"/>
  <c r="BO111" i="75"/>
  <c r="BQ111" i="75"/>
  <c r="BO113" i="75"/>
  <c r="BQ113" i="75"/>
  <c r="BQ112" i="75"/>
  <c r="BP111" i="75"/>
  <c r="BP113" i="75"/>
  <c r="BP112" i="75"/>
  <c r="BI111" i="75"/>
  <c r="BI113" i="75"/>
  <c r="BI112" i="75"/>
  <c r="AX130" i="75"/>
  <c r="AP110" i="75"/>
  <c r="AR110" i="75"/>
  <c r="AT110" i="75"/>
  <c r="AS110" i="75"/>
  <c r="AR111" i="75"/>
  <c r="AP111" i="75"/>
  <c r="AS111" i="75"/>
  <c r="AT111" i="75"/>
  <c r="AY123" i="75"/>
  <c r="AL117" i="75"/>
  <c r="AN117" i="75"/>
  <c r="AP117" i="75"/>
  <c r="AS117" i="75"/>
  <c r="AT117" i="75"/>
  <c r="AU117" i="75"/>
  <c r="AV117" i="75"/>
  <c r="AX117" i="75"/>
  <c r="AZ117" i="75"/>
  <c r="BA117" i="75"/>
  <c r="BB117" i="75"/>
  <c r="BC117" i="75"/>
  <c r="BD117" i="75"/>
  <c r="AL118" i="75"/>
  <c r="AN118" i="75"/>
  <c r="AP118" i="75"/>
  <c r="AS118" i="75"/>
  <c r="AT118" i="75"/>
  <c r="AU118" i="75"/>
  <c r="AV118" i="75"/>
  <c r="AX118" i="75"/>
  <c r="AZ118" i="75"/>
  <c r="BA118" i="75"/>
  <c r="BB118" i="75"/>
  <c r="BC118" i="75"/>
  <c r="BE118" i="75"/>
  <c r="AI107" i="75"/>
  <c r="BD118" i="75"/>
  <c r="AY117" i="75"/>
  <c r="AE126" i="75"/>
  <c r="AY122" i="75"/>
  <c r="BK108" i="75"/>
  <c r="BK107" i="75"/>
  <c r="BL107" i="75"/>
  <c r="BK109" i="75"/>
  <c r="BL109" i="75"/>
  <c r="BL108" i="75"/>
  <c r="BM107" i="75"/>
  <c r="BM109" i="75"/>
  <c r="BM108" i="75"/>
  <c r="AY118" i="75"/>
  <c r="AR123" i="75"/>
  <c r="BK112" i="75"/>
  <c r="BK111" i="75"/>
  <c r="BM111" i="75"/>
  <c r="BK113" i="75"/>
  <c r="BM113" i="75"/>
  <c r="BM112" i="75"/>
  <c r="BL111" i="75"/>
  <c r="BL113" i="75"/>
  <c r="BL112" i="75"/>
  <c r="AR122" i="75"/>
  <c r="AU121" i="75"/>
  <c r="AR121" i="75"/>
  <c r="AT121" i="75"/>
  <c r="AS121" i="75"/>
  <c r="AQ121"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Yury</author>
  </authors>
  <commentList>
    <comment ref="I6" authorId="0" shapeId="0" xr:uid="{00000000-0006-0000-0900-000001000000}">
      <text>
        <r>
          <rPr>
            <sz val="9"/>
            <color indexed="81"/>
            <rFont val="Tahoma"/>
            <family val="2"/>
            <charset val="204"/>
          </rPr>
          <t>US Gallons at 60°F to Litres at 15°C</t>
        </r>
      </text>
    </comment>
    <comment ref="J6" authorId="0" shapeId="0" xr:uid="{00000000-0006-0000-0900-000002000000}">
      <text>
        <r>
          <rPr>
            <sz val="9"/>
            <color indexed="81"/>
            <rFont val="Tahoma"/>
            <family val="2"/>
            <charset val="204"/>
          </rPr>
          <t>Barrels at 60°F to 
Cubic Metres at 15°C</t>
        </r>
      </text>
    </comment>
    <comment ref="CC6" authorId="0" shapeId="0" xr:uid="{00000000-0006-0000-0900-000003000000}">
      <text>
        <r>
          <rPr>
            <sz val="9"/>
            <color indexed="81"/>
            <rFont val="Tahoma"/>
            <family val="2"/>
            <charset val="204"/>
          </rPr>
          <t>Barrel at 60°F to Cubic Metres at 15°C</t>
        </r>
      </text>
    </comment>
    <comment ref="CD6" authorId="0" shapeId="0" xr:uid="{00000000-0006-0000-0900-000004000000}">
      <text>
        <r>
          <rPr>
            <sz val="9"/>
            <color indexed="81"/>
            <rFont val="Tahoma"/>
            <family val="2"/>
            <charset val="204"/>
          </rPr>
          <t>Cubic Metres at 15°C to Barrel at 60°F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Yury</author>
  </authors>
  <commentList>
    <comment ref="F6" authorId="0" shapeId="0" xr:uid="{A726594B-B291-458F-AE01-F0A38E8EE057}">
      <text>
        <r>
          <rPr>
            <sz val="9"/>
            <color indexed="81"/>
            <rFont val="Tahoma"/>
            <family val="2"/>
            <charset val="204"/>
          </rPr>
          <t xml:space="preserve">Increments used in this table for determining volume correction factors are 0.5°F and </t>
        </r>
        <r>
          <rPr>
            <b/>
            <sz val="9"/>
            <color indexed="81"/>
            <rFont val="Tahoma"/>
            <family val="2"/>
            <charset val="204"/>
          </rPr>
          <t>0.5°API gravity</t>
        </r>
        <r>
          <rPr>
            <sz val="9"/>
            <color indexed="81"/>
            <rFont val="Tahoma"/>
            <family val="2"/>
            <charset val="204"/>
          </rPr>
          <t xml:space="preserve">. </t>
        </r>
      </text>
    </comment>
    <comment ref="J6" authorId="0" shapeId="0" xr:uid="{1B650D2D-5E83-441B-99AB-2A6C6B39ECF7}">
      <text>
        <r>
          <rPr>
            <sz val="9"/>
            <color indexed="81"/>
            <rFont val="Tahoma"/>
            <family val="2"/>
            <charset val="204"/>
          </rPr>
          <t xml:space="preserve">Increments used in this table for determining volume correction factors are 0.5°F and </t>
        </r>
        <r>
          <rPr>
            <b/>
            <sz val="9"/>
            <color indexed="81"/>
            <rFont val="Tahoma"/>
            <family val="2"/>
            <charset val="204"/>
          </rPr>
          <t>0.0020 relative density</t>
        </r>
        <r>
          <rPr>
            <sz val="9"/>
            <color indexed="81"/>
            <rFont val="Tahoma"/>
            <family val="2"/>
            <charset val="204"/>
          </rPr>
          <t>.</t>
        </r>
      </text>
    </comment>
    <comment ref="M6" authorId="0" shapeId="0" xr:uid="{14532B14-07F2-4473-AB91-99650CE1863C}">
      <text>
        <r>
          <rPr>
            <b/>
            <sz val="9"/>
            <color indexed="81"/>
            <rFont val="Tahoma"/>
            <family val="2"/>
            <charset val="204"/>
          </rPr>
          <t xml:space="preserve">Example:
</t>
        </r>
        <r>
          <rPr>
            <sz val="9"/>
            <color indexed="81"/>
            <rFont val="Tahoma"/>
            <family val="2"/>
            <charset val="204"/>
          </rPr>
          <t xml:space="preserve">Density (kg/m3)  : 733.3
Density (kg/L)     : 0.7333 </t>
        </r>
      </text>
    </comment>
    <comment ref="N6" authorId="0" shapeId="0" xr:uid="{E3D2706A-5EEC-4B42-B6A2-464E2D517D7F}">
      <text>
        <r>
          <rPr>
            <sz val="9"/>
            <color indexed="81"/>
            <rFont val="Tahoma"/>
            <family val="2"/>
            <charset val="204"/>
          </rPr>
          <t xml:space="preserve">Increments used in this table for determining volume correction factors are 0.25°C and </t>
        </r>
        <r>
          <rPr>
            <b/>
            <sz val="9"/>
            <color indexed="81"/>
            <rFont val="Tahoma"/>
            <family val="2"/>
            <charset val="204"/>
          </rPr>
          <t xml:space="preserve">2 kg/m3. </t>
        </r>
        <r>
          <rPr>
            <sz val="9"/>
            <color indexed="81"/>
            <rFont val="Tahoma"/>
            <family val="2"/>
            <charset val="204"/>
          </rPr>
          <t xml:space="preserve">
</t>
        </r>
      </text>
    </comment>
    <comment ref="F7" authorId="0" shapeId="0" xr:uid="{41DE27AB-E401-46A2-9C75-856AE22255D1}">
      <text>
        <r>
          <rPr>
            <sz val="9"/>
            <color indexed="81"/>
            <rFont val="Tahoma"/>
            <family val="2"/>
            <charset val="204"/>
          </rPr>
          <t>Increments used in this table for determining volume correction factors are</t>
        </r>
        <r>
          <rPr>
            <b/>
            <sz val="9"/>
            <color indexed="81"/>
            <rFont val="Tahoma"/>
            <family val="2"/>
            <charset val="204"/>
          </rPr>
          <t xml:space="preserve"> 0.5°F</t>
        </r>
        <r>
          <rPr>
            <sz val="9"/>
            <color indexed="81"/>
            <rFont val="Tahoma"/>
            <family val="2"/>
            <charset val="204"/>
          </rPr>
          <t xml:space="preserve"> and 0.5°API gravity.
</t>
        </r>
      </text>
    </comment>
    <comment ref="J7" authorId="0" shapeId="0" xr:uid="{0DE1F9C6-0E98-488B-B333-84E68424E67A}">
      <text>
        <r>
          <rPr>
            <sz val="9"/>
            <color indexed="81"/>
            <rFont val="Tahoma"/>
            <family val="2"/>
            <charset val="204"/>
          </rPr>
          <t xml:space="preserve">Increments used in this table for determining volume correction factors are </t>
        </r>
        <r>
          <rPr>
            <b/>
            <sz val="9"/>
            <color indexed="81"/>
            <rFont val="Tahoma"/>
            <family val="2"/>
            <charset val="204"/>
          </rPr>
          <t>0.5°F</t>
        </r>
        <r>
          <rPr>
            <sz val="9"/>
            <color indexed="81"/>
            <rFont val="Tahoma"/>
            <family val="2"/>
            <charset val="204"/>
          </rPr>
          <t xml:space="preserve"> and 0.0020 relative density.</t>
        </r>
      </text>
    </comment>
    <comment ref="N7" authorId="0" shapeId="0" xr:uid="{A16E4A85-B4B4-42EA-9ADC-70AA4B91898C}">
      <text>
        <r>
          <rPr>
            <sz val="9"/>
            <color indexed="81"/>
            <rFont val="Tahoma"/>
            <family val="2"/>
            <charset val="204"/>
          </rPr>
          <t xml:space="preserve">Increments used in this table for determining volume correction factors are </t>
        </r>
        <r>
          <rPr>
            <b/>
            <sz val="9"/>
            <color indexed="81"/>
            <rFont val="Tahoma"/>
            <family val="2"/>
            <charset val="204"/>
          </rPr>
          <t xml:space="preserve">0.25°C </t>
        </r>
        <r>
          <rPr>
            <sz val="9"/>
            <color indexed="81"/>
            <rFont val="Tahoma"/>
            <family val="2"/>
            <charset val="204"/>
          </rPr>
          <t xml:space="preserve">and 2 kg/m3. 
</t>
        </r>
      </text>
    </comment>
    <comment ref="F9" authorId="0" shapeId="0" xr:uid="{AFDAD3E9-E921-45F7-9311-4FFDC8D950A8}">
      <text>
        <r>
          <rPr>
            <b/>
            <sz val="9"/>
            <color indexed="81"/>
            <rFont val="Tahoma"/>
            <family val="2"/>
            <charset val="204"/>
          </rPr>
          <t>Interpolation between either temperature or gravity is not intended</t>
        </r>
        <r>
          <rPr>
            <sz val="9"/>
            <color indexed="81"/>
            <rFont val="Tahoma"/>
            <family val="2"/>
            <charset val="204"/>
          </rPr>
          <t xml:space="preserve"> since there is no practical method of interpola­tion that will produce the accuracy obtainable from the Standard.</t>
        </r>
      </text>
    </comment>
    <comment ref="J9" authorId="0" shapeId="0" xr:uid="{CD42AD8B-8D9F-45E3-94BC-2435509A0DA6}">
      <text>
        <r>
          <rPr>
            <b/>
            <sz val="9"/>
            <color indexed="81"/>
            <rFont val="Tahoma"/>
            <family val="2"/>
            <charset val="204"/>
          </rPr>
          <t xml:space="preserve">Interpolation between either temperature or gravity is not intended </t>
        </r>
        <r>
          <rPr>
            <sz val="9"/>
            <color indexed="81"/>
            <rFont val="Tahoma"/>
            <family val="2"/>
            <charset val="204"/>
          </rPr>
          <t>since there is no practical method of interpola­tion that will produce the accuracy obtainable from the Standard.</t>
        </r>
      </text>
    </comment>
    <comment ref="N9" authorId="0" shapeId="0" xr:uid="{55E53BB4-DC1A-4B3C-AA6D-F5FCE515E166}">
      <text>
        <r>
          <rPr>
            <b/>
            <sz val="9"/>
            <color indexed="81"/>
            <rFont val="Tahoma"/>
            <family val="2"/>
            <charset val="204"/>
          </rPr>
          <t xml:space="preserve">Interpolation between either temperature or density is not intended </t>
        </r>
        <r>
          <rPr>
            <sz val="9"/>
            <color indexed="81"/>
            <rFont val="Tahoma"/>
            <family val="2"/>
            <charset val="204"/>
          </rPr>
          <t>since there is no practical method of interpolation the will produce the accuracy obtainable from the Standard.</t>
        </r>
      </text>
    </comment>
    <comment ref="F10" authorId="0" shapeId="0" xr:uid="{E09F9099-1029-4772-9A8C-5F20B65C3CB5}">
      <text>
        <r>
          <rPr>
            <b/>
            <sz val="9"/>
            <color indexed="81"/>
            <rFont val="Tahoma"/>
            <family val="2"/>
            <charset val="204"/>
          </rPr>
          <t xml:space="preserve">Interpolation between either temperature or gravity is not intended </t>
        </r>
        <r>
          <rPr>
            <sz val="9"/>
            <color indexed="81"/>
            <rFont val="Tahoma"/>
            <family val="2"/>
            <charset val="204"/>
          </rPr>
          <t>since there is no practical method of interpola­tion that will produce the accuracy obtainable from the Standard</t>
        </r>
        <r>
          <rPr>
            <b/>
            <sz val="9"/>
            <color indexed="81"/>
            <rFont val="Tahoma"/>
            <family val="2"/>
            <charset val="204"/>
          </rPr>
          <t xml:space="preserve">
</t>
        </r>
        <r>
          <rPr>
            <sz val="9"/>
            <color indexed="81"/>
            <rFont val="Tahoma"/>
            <family val="2"/>
            <charset val="204"/>
          </rPr>
          <t xml:space="preserve">
</t>
        </r>
      </text>
    </comment>
    <comment ref="J10" authorId="0" shapeId="0" xr:uid="{1033A618-3B9E-47A0-A9C4-A26AB691BA13}">
      <text>
        <r>
          <rPr>
            <b/>
            <sz val="9"/>
            <color indexed="81"/>
            <rFont val="Tahoma"/>
            <family val="2"/>
            <charset val="204"/>
          </rPr>
          <t xml:space="preserve">Interpolation between either temperature or gravity is not intended </t>
        </r>
        <r>
          <rPr>
            <sz val="9"/>
            <color indexed="81"/>
            <rFont val="Tahoma"/>
            <family val="2"/>
            <charset val="204"/>
          </rPr>
          <t>since there is no practical method of interpola­tion that will produce the accuracy obtainable from the Standard.</t>
        </r>
      </text>
    </comment>
    <comment ref="N10" authorId="0" shapeId="0" xr:uid="{FCD51A8A-7B33-4E08-86DF-3FCEB8DCD36B}">
      <text>
        <r>
          <rPr>
            <b/>
            <sz val="9"/>
            <color indexed="81"/>
            <rFont val="Tahoma"/>
            <family val="2"/>
            <charset val="204"/>
          </rPr>
          <t xml:space="preserve">Interpolation between either temperature or density is not intended </t>
        </r>
        <r>
          <rPr>
            <sz val="9"/>
            <color indexed="81"/>
            <rFont val="Tahoma"/>
            <family val="2"/>
            <charset val="204"/>
          </rPr>
          <t>since there is no practical method of interpolation the will produce the accuracy obtainable from the Standard.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Yury Shishkin</author>
  </authors>
  <commentList>
    <comment ref="F8" authorId="0" shapeId="0" xr:uid="{00000000-0006-0000-0600-000002000000}">
      <text>
        <r>
          <rPr>
            <sz val="8"/>
            <color indexed="81"/>
            <rFont val="Tahoma"/>
            <family val="2"/>
            <charset val="204"/>
          </rPr>
          <t>Example : 
1. API                         31.2 
2. Rel.Density              0.873  
3. Density                    859.7 kg/m³ 
4. SG (Specific Gravity) 0.873
5. MT/US Barrel           0.13103
6. US Barrels/MT          7.335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Yury</author>
  </authors>
  <commentList>
    <comment ref="F6" authorId="0" shapeId="0" xr:uid="{00000000-0006-0000-0400-000001000000}">
      <text>
        <r>
          <rPr>
            <b/>
            <sz val="9"/>
            <color indexed="81"/>
            <rFont val="Tahoma"/>
            <family val="2"/>
            <charset val="204"/>
          </rPr>
          <t xml:space="preserve">Example:
</t>
        </r>
        <r>
          <rPr>
            <sz val="9"/>
            <color indexed="81"/>
            <rFont val="Tahoma"/>
            <family val="2"/>
            <charset val="204"/>
          </rPr>
          <t xml:space="preserve">Density (kg/m3)  : 733.3
Density (kg/L)     : 0.7333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6" authorId="0" shapeId="0" xr:uid="{00000000-0006-0000-0600-000001000000}">
      <text>
        <r>
          <rPr>
            <b/>
            <sz val="9"/>
            <color indexed="81"/>
            <rFont val="Tahoma"/>
            <family val="2"/>
          </rPr>
          <t>Example:</t>
        </r>
        <r>
          <rPr>
            <sz val="9"/>
            <color indexed="81"/>
            <rFont val="Tahoma"/>
            <family val="2"/>
          </rPr>
          <t xml:space="preserve">
API                   : 61.4
Relative Density   : 0.7335
Density (kg/m3)  : 733.3
Density (kg/L)     : 0.7333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6" authorId="0" shapeId="0" xr:uid="{227F706D-C902-48D4-8276-A9D8BBC61FED}">
      <text>
        <r>
          <rPr>
            <b/>
            <sz val="9"/>
            <color indexed="81"/>
            <rFont val="Tahoma"/>
            <family val="2"/>
          </rPr>
          <t>Example:</t>
        </r>
        <r>
          <rPr>
            <sz val="9"/>
            <color indexed="81"/>
            <rFont val="Tahoma"/>
            <family val="2"/>
          </rPr>
          <t xml:space="preserve">
API                   : 61.4
Relative Density   : 0.7335
Density (kg/m3)  : 733.3
Density (kg/L)     : 0.7333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1" authorId="0" shapeId="0" xr:uid="{931F5E0C-D994-4788-AA87-5924FC8F0E04}">
      <text>
        <r>
          <rPr>
            <b/>
            <sz val="9"/>
            <color indexed="81"/>
            <rFont val="Tahoma"/>
            <family val="2"/>
          </rPr>
          <t>Example:</t>
        </r>
        <r>
          <rPr>
            <sz val="9"/>
            <color indexed="81"/>
            <rFont val="Tahoma"/>
            <family val="2"/>
          </rPr>
          <t xml:space="preserve">
API                   : 61.4
Relative Density   : 0.7335
Density (kg/m3)  : 733.3
Density (kg/L)     : 0.7333 </t>
        </r>
      </text>
    </comment>
    <comment ref="AE114" authorId="0" shapeId="0" xr:uid="{C582C870-53C2-45EE-B5A2-4CA239ADF5A9}">
      <text>
        <r>
          <rPr>
            <b/>
            <sz val="9"/>
            <color indexed="81"/>
            <rFont val="Tahoma"/>
            <family val="2"/>
          </rPr>
          <t>Example:</t>
        </r>
        <r>
          <rPr>
            <sz val="9"/>
            <color indexed="81"/>
            <rFont val="Tahoma"/>
            <family val="2"/>
          </rPr>
          <t xml:space="preserve">
API                   : 61.4
Relative Density   : 0.7335
Density (kg/m3)  : 733.3
Density (kg/L)     : 0.7333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1" authorId="0" shapeId="0" xr:uid="{3FF6C736-FCC1-4C3B-A41D-136B5D9175D6}">
      <text>
        <r>
          <rPr>
            <b/>
            <sz val="9"/>
            <color indexed="81"/>
            <rFont val="Tahoma"/>
            <family val="2"/>
          </rPr>
          <t>Example:</t>
        </r>
        <r>
          <rPr>
            <sz val="9"/>
            <color indexed="81"/>
            <rFont val="Tahoma"/>
            <family val="2"/>
          </rPr>
          <t xml:space="preserve">
API                   : 61.4
Relative Density   : 0.7335
Density (kg/m3)  : 733.3
Density (kg/L)     : 0.7333 </t>
        </r>
      </text>
    </comment>
    <comment ref="AE117" authorId="0" shapeId="0" xr:uid="{F7F53125-76E8-4CB0-9E25-BA769E8E801B}">
      <text>
        <r>
          <rPr>
            <b/>
            <sz val="9"/>
            <color indexed="81"/>
            <rFont val="Tahoma"/>
            <family val="2"/>
          </rPr>
          <t>Example:</t>
        </r>
        <r>
          <rPr>
            <sz val="9"/>
            <color indexed="81"/>
            <rFont val="Tahoma"/>
            <family val="2"/>
          </rPr>
          <t xml:space="preserve">
API                   : 61.4
Relative Density   : 0.7335
Density (kg/m3)  : 733.3
Density (kg/L)     : 0.7333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Yury</author>
    <author>User</author>
  </authors>
  <commentList>
    <comment ref="M11" authorId="0" shapeId="0" xr:uid="{F36DE62F-C3EC-4B53-8358-01AE9EE3E221}">
      <text>
        <r>
          <rPr>
            <b/>
            <sz val="9"/>
            <color indexed="81"/>
            <rFont val="Tahoma"/>
            <family val="2"/>
            <charset val="204"/>
          </rPr>
          <t>Weight in Air</t>
        </r>
        <r>
          <rPr>
            <sz val="9"/>
            <color indexed="81"/>
            <rFont val="Tahoma"/>
            <family val="2"/>
            <charset val="204"/>
          </rPr>
          <t xml:space="preserve">
</t>
        </r>
      </text>
    </comment>
    <comment ref="H12" authorId="0" shapeId="0" xr:uid="{80144078-AFBA-466C-8482-588F08229E27}">
      <text>
        <r>
          <rPr>
            <b/>
            <sz val="9"/>
            <color indexed="81"/>
            <rFont val="Tahoma"/>
            <family val="2"/>
            <charset val="204"/>
          </rPr>
          <t xml:space="preserve">Example:
</t>
        </r>
        <r>
          <rPr>
            <sz val="9"/>
            <color indexed="81"/>
            <rFont val="Tahoma"/>
            <family val="2"/>
            <charset val="204"/>
          </rPr>
          <t>API                   : 61.4
Density (kg/m3)  : 733.3
Density (kg/L)     : 0.7333 
Density (mt/m3)  : 0.7333</t>
        </r>
      </text>
    </comment>
    <comment ref="H13" authorId="0" shapeId="0" xr:uid="{79037730-EFDD-4FA3-97BC-5C7753C9C0DC}">
      <text>
        <r>
          <rPr>
            <b/>
            <sz val="9"/>
            <color indexed="81"/>
            <rFont val="Tahoma"/>
            <family val="2"/>
            <charset val="204"/>
          </rPr>
          <t>Example:</t>
        </r>
        <r>
          <rPr>
            <sz val="9"/>
            <color indexed="81"/>
            <rFont val="Tahoma"/>
            <family val="2"/>
            <charset val="204"/>
          </rPr>
          <t xml:space="preserve">
API                   : 61.4
Density (kg/m3)  : 733.3
Density (kg/L)     : 0.7333 
Density (mt/m3)  : 0.7333</t>
        </r>
      </text>
    </comment>
    <comment ref="AE109" authorId="1" shapeId="0" xr:uid="{29369E85-7F31-45F0-BB04-FA1C67B412CF}">
      <text>
        <r>
          <rPr>
            <b/>
            <sz val="9"/>
            <color indexed="81"/>
            <rFont val="Tahoma"/>
            <family val="2"/>
          </rPr>
          <t>Example:</t>
        </r>
        <r>
          <rPr>
            <sz val="9"/>
            <color indexed="81"/>
            <rFont val="Tahoma"/>
            <family val="2"/>
          </rPr>
          <t xml:space="preserve">
API                   : 61.4
Density (kg/m3)  : 733.3
Density (kg/L)     : 0.7333 
Density (mt/m3)  : 0.7333 </t>
        </r>
      </text>
    </comment>
    <comment ref="AE110" authorId="1" shapeId="0" xr:uid="{F853F4E1-E3D8-44C9-B9AB-3E5BF453408F}">
      <text>
        <r>
          <rPr>
            <b/>
            <sz val="9"/>
            <color indexed="81"/>
            <rFont val="Tahoma"/>
            <family val="2"/>
          </rPr>
          <t>Example:</t>
        </r>
        <r>
          <rPr>
            <sz val="9"/>
            <color indexed="81"/>
            <rFont val="Tahoma"/>
            <family val="2"/>
          </rPr>
          <t xml:space="preserve">
API                   : 61.4
Density (kg/m3)  : 733.3
Density (kg/L)     : 0.7333 
Density (mt/m3)  : 0.7333</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Yury Shishkin</author>
  </authors>
  <commentList>
    <comment ref="E10" authorId="0" shapeId="0" xr:uid="{2667ACC4-9DAF-4AD2-9339-DA130503B340}">
      <text>
        <r>
          <rPr>
            <sz val="8"/>
            <color indexed="81"/>
            <rFont val="Tahoma"/>
            <family val="2"/>
          </rPr>
          <t>Example : 
1. API                   31.2 
2. Density             859.7 kg/m³</t>
        </r>
      </text>
    </comment>
    <comment ref="E11" authorId="0" shapeId="0" xr:uid="{812071DA-0981-4259-B94A-23B57EA85149}">
      <text>
        <r>
          <rPr>
            <sz val="8"/>
            <color indexed="81"/>
            <rFont val="Tahoma"/>
            <family val="2"/>
            <charset val="204"/>
          </rPr>
          <t xml:space="preserve">Example : 
1. API                   31.2 
2. Density             859.7 kg/m³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Yury Shishkin</author>
  </authors>
  <commentList>
    <comment ref="E12" authorId="0" shapeId="0" xr:uid="{6ADB1EED-9BC8-440D-A2E0-BA1BF78CF59B}">
      <text>
        <r>
          <rPr>
            <sz val="8"/>
            <color indexed="81"/>
            <rFont val="Tahoma"/>
            <family val="2"/>
            <charset val="204"/>
          </rPr>
          <t>Example : 
1. API                   31.2 
2. Density             859.7 kg/m³</t>
        </r>
      </text>
    </comment>
    <comment ref="E13" authorId="0" shapeId="0" xr:uid="{58201F2C-75A8-471A-8DEB-D9C4B30EE600}">
      <text>
        <r>
          <rPr>
            <sz val="8"/>
            <color indexed="81"/>
            <rFont val="Tahoma"/>
            <family val="2"/>
            <charset val="204"/>
          </rPr>
          <t xml:space="preserve">Example : 
1. API                   31.2 
2. Density             859.7 kg/m³
</t>
        </r>
      </text>
    </comment>
    <comment ref="E19" authorId="0" shapeId="0" xr:uid="{5B687B4C-0BD7-4658-9D16-092B8F2A06E9}">
      <text>
        <r>
          <rPr>
            <sz val="8"/>
            <color indexed="81"/>
            <rFont val="Tahoma"/>
            <family val="2"/>
            <charset val="204"/>
          </rPr>
          <t>Example : 
1. API                   31.2 
2. Density             859.7 kg/m³</t>
        </r>
      </text>
    </comment>
    <comment ref="E20" authorId="0" shapeId="0" xr:uid="{0D0D7656-7BBE-461A-8D56-31F2CD74C804}">
      <text>
        <r>
          <rPr>
            <sz val="8"/>
            <color indexed="81"/>
            <rFont val="Tahoma"/>
            <family val="2"/>
            <charset val="204"/>
          </rPr>
          <t xml:space="preserve">Example : 
1. API                   31.2 
2. Density             859.7 kg/m³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Yury Shishkin</author>
  </authors>
  <commentList>
    <comment ref="E11" authorId="0" shapeId="0" xr:uid="{998058B7-0DC8-40DD-BE7C-114CADD13739}">
      <text>
        <r>
          <rPr>
            <sz val="8"/>
            <color indexed="81"/>
            <rFont val="Tahoma"/>
            <family val="2"/>
          </rPr>
          <t>Example : 
1. API                   31.2 
2. Density             859.7 kg/m³</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12" authorId="0" shapeId="0" xr:uid="{00000000-0006-0000-0500-000001000000}">
      <text>
        <r>
          <rPr>
            <b/>
            <sz val="9"/>
            <color indexed="81"/>
            <rFont val="Tahoma"/>
            <family val="2"/>
          </rPr>
          <t xml:space="preserve">Example:
</t>
        </r>
        <r>
          <rPr>
            <sz val="9"/>
            <color indexed="81"/>
            <rFont val="Tahoma"/>
            <family val="2"/>
          </rPr>
          <t>API                   : 61.4
Relative Density  : 0.7333
Density (kg/m3) : 733.1
Density (kg/L)    : 0.7331</t>
        </r>
        <r>
          <rPr>
            <b/>
            <sz val="9"/>
            <color indexed="81"/>
            <rFont val="Tahoma"/>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0" authorId="0" shapeId="0" xr:uid="{B3C5A2C9-57E3-4F95-BEBB-ACC182EE16CE}">
      <text>
        <r>
          <rPr>
            <b/>
            <sz val="9"/>
            <color indexed="81"/>
            <rFont val="Tahoma"/>
            <family val="2"/>
          </rPr>
          <t>Example:</t>
        </r>
        <r>
          <rPr>
            <sz val="9"/>
            <color indexed="81"/>
            <rFont val="Tahoma"/>
            <family val="2"/>
          </rPr>
          <t xml:space="preserve">
API                   : 61.4
Relative Density   : 0.7335
Density (kg/m3)  : 733.3
Density (kg/L)     : 0.7333 </t>
        </r>
      </text>
    </comment>
    <comment ref="G11" authorId="0" shapeId="0" xr:uid="{F9CF6D48-6F04-4115-A664-AA56C3A96354}">
      <text>
        <r>
          <rPr>
            <b/>
            <sz val="9"/>
            <color indexed="81"/>
            <rFont val="Tahoma"/>
            <family val="2"/>
          </rPr>
          <t>Example:</t>
        </r>
        <r>
          <rPr>
            <sz val="9"/>
            <color indexed="81"/>
            <rFont val="Tahoma"/>
            <family val="2"/>
          </rPr>
          <t xml:space="preserve">
API                   : 61.4
Relative Density   : 0.7335
Density (kg/m3)  : 733.3
Density (kg/L)     : 0.7333 </t>
        </r>
      </text>
    </comment>
    <comment ref="G12" authorId="0" shapeId="0" xr:uid="{C22923A4-15E5-467E-A432-BCA17FCBCC0C}">
      <text>
        <r>
          <rPr>
            <b/>
            <sz val="9"/>
            <color indexed="81"/>
            <rFont val="Tahoma"/>
            <family val="2"/>
          </rPr>
          <t>Example:</t>
        </r>
        <r>
          <rPr>
            <sz val="9"/>
            <color indexed="81"/>
            <rFont val="Tahoma"/>
            <family val="2"/>
          </rPr>
          <t xml:space="preserve">
API                   : 61.4
Relative Density   : 0.7335
Density (kg/m3)  : 733.3
Density (kg/L)     : 0.7333 </t>
        </r>
      </text>
    </comment>
    <comment ref="G13" authorId="0" shapeId="0" xr:uid="{6D6282BF-7C03-4C31-9466-1D6F21345EC8}">
      <text>
        <r>
          <rPr>
            <b/>
            <sz val="9"/>
            <color indexed="81"/>
            <rFont val="Tahoma"/>
            <family val="2"/>
          </rPr>
          <t>Example:</t>
        </r>
        <r>
          <rPr>
            <sz val="9"/>
            <color indexed="81"/>
            <rFont val="Tahoma"/>
            <family val="2"/>
          </rPr>
          <t xml:space="preserve">
API                   : 61.4
Relative Density   : 0.7335
Density (kg/m3)  : 733.3
Density (kg/L)     : 0.7333 </t>
        </r>
      </text>
    </comment>
    <comment ref="G14" authorId="0" shapeId="0" xr:uid="{B0C3B16E-FA31-4056-9CCA-74A9CEDF0E7B}">
      <text>
        <r>
          <rPr>
            <b/>
            <sz val="9"/>
            <color indexed="81"/>
            <rFont val="Tahoma"/>
            <family val="2"/>
          </rPr>
          <t>Example:</t>
        </r>
        <r>
          <rPr>
            <sz val="9"/>
            <color indexed="81"/>
            <rFont val="Tahoma"/>
            <family val="2"/>
          </rPr>
          <t xml:space="preserve">
API                   : 61.4
Relative Density   : 0.7335
Density (kg/m3)  : 733.3
Density (kg/L)     : 0.7333 </t>
        </r>
      </text>
    </comment>
    <comment ref="G15" authorId="0" shapeId="0" xr:uid="{CD1C7424-68F4-4A9C-A73B-31DC3F55A5A4}">
      <text>
        <r>
          <rPr>
            <b/>
            <sz val="9"/>
            <color indexed="81"/>
            <rFont val="Tahoma"/>
            <family val="2"/>
          </rPr>
          <t>Example:</t>
        </r>
        <r>
          <rPr>
            <sz val="9"/>
            <color indexed="81"/>
            <rFont val="Tahoma"/>
            <family val="2"/>
          </rPr>
          <t xml:space="preserve">
API                   : 61.4
Relative Density   : 0.7335
Density (kg/m3)  : 733.3
Density (kg/L)     : 0.7333 </t>
        </r>
      </text>
    </comment>
    <comment ref="G16" authorId="0" shapeId="0" xr:uid="{61843FE3-24D4-48E9-8535-892738D4CF0C}">
      <text>
        <r>
          <rPr>
            <b/>
            <sz val="9"/>
            <color indexed="81"/>
            <rFont val="Tahoma"/>
            <family val="2"/>
          </rPr>
          <t>Example:</t>
        </r>
        <r>
          <rPr>
            <sz val="9"/>
            <color indexed="81"/>
            <rFont val="Tahoma"/>
            <family val="2"/>
          </rPr>
          <t xml:space="preserve">
API                   : 61.4
Relative Density   : 0.7335
Density (kg/m3)  : 733.3
Density (kg/L)     : 0.7333 </t>
        </r>
      </text>
    </comment>
    <comment ref="G17" authorId="0" shapeId="0" xr:uid="{A4941BD2-4B6F-4845-92D3-696CD06AEC11}">
      <text>
        <r>
          <rPr>
            <b/>
            <sz val="9"/>
            <color indexed="81"/>
            <rFont val="Tahoma"/>
            <family val="2"/>
          </rPr>
          <t>Example:</t>
        </r>
        <r>
          <rPr>
            <sz val="9"/>
            <color indexed="81"/>
            <rFont val="Tahoma"/>
            <family val="2"/>
          </rPr>
          <t xml:space="preserve">
API                   : 61.4
Relative Density   : 0.7335
Density (kg/m3)  : 733.3
Density (kg/L)     : 0.7333 </t>
        </r>
      </text>
    </comment>
    <comment ref="G18" authorId="0" shapeId="0" xr:uid="{96D2614E-3AB9-4100-B491-5AD22252874F}">
      <text>
        <r>
          <rPr>
            <b/>
            <sz val="9"/>
            <color indexed="81"/>
            <rFont val="Tahoma"/>
            <family val="2"/>
          </rPr>
          <t>Example:</t>
        </r>
        <r>
          <rPr>
            <sz val="9"/>
            <color indexed="81"/>
            <rFont val="Tahoma"/>
            <family val="2"/>
          </rPr>
          <t xml:space="preserve">
API                   : 61.4
Relative Density   : 0.7335
Density (kg/m3)  : 733.3
Density (kg/L)     : 0.7333 </t>
        </r>
      </text>
    </comment>
    <comment ref="G20" authorId="0" shapeId="0" xr:uid="{A37D8383-B825-4A08-ABB2-BD3C5B9B57BD}">
      <text>
        <r>
          <rPr>
            <b/>
            <sz val="9"/>
            <color indexed="81"/>
            <rFont val="Tahoma"/>
            <family val="2"/>
          </rPr>
          <t>Example:</t>
        </r>
        <r>
          <rPr>
            <sz val="9"/>
            <color indexed="81"/>
            <rFont val="Tahoma"/>
            <family val="2"/>
          </rPr>
          <t xml:space="preserve">
API                   : 61.4
Relative Density   : 0.7335
Density (kg/m3)  : 733.3
Density (kg/L)     : 0.7333 </t>
        </r>
      </text>
    </comment>
    <comment ref="G21" authorId="0" shapeId="0" xr:uid="{AD569FFF-CE13-4860-91C4-F581CA56C26F}">
      <text>
        <r>
          <rPr>
            <b/>
            <sz val="9"/>
            <color indexed="81"/>
            <rFont val="Tahoma"/>
            <family val="2"/>
          </rPr>
          <t>Example:</t>
        </r>
        <r>
          <rPr>
            <sz val="9"/>
            <color indexed="81"/>
            <rFont val="Tahoma"/>
            <family val="2"/>
          </rPr>
          <t xml:space="preserve">
API                   : 61.4
Relative Density   : 0.7335
Density (kg/m3)  : 733.3
Density (kg/L)     : 0.7333 </t>
        </r>
      </text>
    </comment>
  </commentList>
</comments>
</file>

<file path=xl/sharedStrings.xml><?xml version="1.0" encoding="utf-8"?>
<sst xmlns="http://schemas.openxmlformats.org/spreadsheetml/2006/main" count="8564" uniqueCount="1655">
  <si>
    <t>HOME</t>
  </si>
  <si>
    <t>DOCUMENTS MANAGER</t>
  </si>
  <si>
    <t>Documents Manager</t>
  </si>
  <si>
    <t>Do Not Enter Data on this PAGE</t>
  </si>
  <si>
    <t>ASTM Table 4</t>
  </si>
  <si>
    <t>ASTM Table 11</t>
  </si>
  <si>
    <t>ASTM Table 13</t>
  </si>
  <si>
    <t>ASTM Table 52</t>
  </si>
  <si>
    <t>ASTM Table 56</t>
  </si>
  <si>
    <t>ASTM Table 57</t>
  </si>
  <si>
    <t>ASTM Table 58</t>
  </si>
  <si>
    <t>ASTM Table 3</t>
  </si>
  <si>
    <t>ASTM Table 51</t>
  </si>
  <si>
    <t>Cubic Mtrs</t>
  </si>
  <si>
    <t>Long Tons</t>
  </si>
  <si>
    <t>Tonnes</t>
  </si>
  <si>
    <t>Barrels</t>
  </si>
  <si>
    <t>Kilograms</t>
  </si>
  <si>
    <t>API</t>
  </si>
  <si>
    <t>Relative</t>
  </si>
  <si>
    <t>Density</t>
  </si>
  <si>
    <t>Litres</t>
  </si>
  <si>
    <t>Cubic Mtr</t>
  </si>
  <si>
    <t>Short Tons</t>
  </si>
  <si>
    <t>US Gallons</t>
  </si>
  <si>
    <t>per</t>
  </si>
  <si>
    <t>Gravity</t>
  </si>
  <si>
    <t/>
  </si>
  <si>
    <t>Barrel</t>
  </si>
  <si>
    <t>Tonne</t>
  </si>
  <si>
    <t>US Gallon</t>
  </si>
  <si>
    <t>(15°C)</t>
  </si>
  <si>
    <t>(60°F)</t>
  </si>
  <si>
    <t>(60/60°F)</t>
  </si>
  <si>
    <t>( 15°C )</t>
  </si>
  <si>
    <t>( 60/60°F )</t>
  </si>
  <si>
    <t>0.14979</t>
  </si>
  <si>
    <t>0.9595</t>
  </si>
  <si>
    <t>Disclaimer</t>
  </si>
  <si>
    <t>Help</t>
  </si>
  <si>
    <t>SOURCE / LINKS</t>
  </si>
  <si>
    <t>ORGANISATION / COMPANY</t>
  </si>
  <si>
    <t>LINKS</t>
  </si>
  <si>
    <t>http://www.shipinspection.eu/index.php/chartering-terms/86-t/4955-tanker-bills-of-lading</t>
  </si>
  <si>
    <t>CUBIC METERS at 15°C</t>
  </si>
  <si>
    <t>LONG TONS</t>
  </si>
  <si>
    <t>US BARRELS at 60°F</t>
  </si>
  <si>
    <t>US GALLONS at 60°F</t>
  </si>
  <si>
    <t>ASTM Volume XI  - Table 1</t>
  </si>
  <si>
    <t>Volume XI  - Table 1</t>
  </si>
  <si>
    <t xml:space="preserve">                               Interrelation of Units of Measurement</t>
  </si>
  <si>
    <t xml:space="preserve"> ASTM—IP</t>
  </si>
  <si>
    <t>• ASTM Volume XI  - Table 1</t>
  </si>
  <si>
    <t>LENGTH</t>
  </si>
  <si>
    <t>VOLUME AND CAPACITY *</t>
  </si>
  <si>
    <t>To Convert</t>
  </si>
  <si>
    <t>Multiply By</t>
  </si>
  <si>
    <t>Metres:</t>
  </si>
  <si>
    <t>U.S. Gallons:</t>
  </si>
  <si>
    <t>To Yards</t>
  </si>
  <si>
    <t xml:space="preserve">To Cubic Inches   </t>
  </si>
  <si>
    <t>To Feet</t>
  </si>
  <si>
    <t>To Cubic Feet</t>
  </si>
  <si>
    <t xml:space="preserve">To Inches  </t>
  </si>
  <si>
    <t>To Imperial Gallons</t>
  </si>
  <si>
    <t>To US Barrels</t>
  </si>
  <si>
    <t>To Litres</t>
  </si>
  <si>
    <t>Yards:</t>
  </si>
  <si>
    <t>U.S. Barrels:</t>
  </si>
  <si>
    <t>To Metres</t>
  </si>
  <si>
    <t>To US Gallons</t>
  </si>
  <si>
    <t>Feet:</t>
  </si>
  <si>
    <t>Inches:</t>
  </si>
  <si>
    <t>Imperial Gallons:</t>
  </si>
  <si>
    <t xml:space="preserve">To Centimetres   </t>
  </si>
  <si>
    <t>WEIGHT</t>
  </si>
  <si>
    <t>Cubic Feet:</t>
  </si>
  <si>
    <t>Long Tons:</t>
  </si>
  <si>
    <t xml:space="preserve">To Pounds (Avoirdupois)   </t>
  </si>
  <si>
    <t>To Short Tons</t>
  </si>
  <si>
    <t xml:space="preserve">To Metric Tons (Tonnes)   </t>
  </si>
  <si>
    <t xml:space="preserve">To Cubic Metres   </t>
  </si>
  <si>
    <t>Cubic Inches:</t>
  </si>
  <si>
    <t>Short Tons:</t>
  </si>
  <si>
    <t>To Long Tons</t>
  </si>
  <si>
    <t>Litres:</t>
  </si>
  <si>
    <t>Metric Tons (Tonnes):</t>
  </si>
  <si>
    <t>Pounds (Avoirdupois):</t>
  </si>
  <si>
    <t>Cubic Metres:</t>
  </si>
  <si>
    <t>To Kilograms</t>
  </si>
  <si>
    <t>Kilograms:</t>
  </si>
  <si>
    <r>
      <t xml:space="preserve">*  </t>
    </r>
    <r>
      <rPr>
        <sz val="10"/>
        <rFont val="Arial"/>
        <family val="2"/>
        <charset val="204"/>
      </rPr>
      <t xml:space="preserve">These factors are solely for conversion at the same temperature. </t>
    </r>
  </si>
  <si>
    <r>
      <t>†</t>
    </r>
    <r>
      <rPr>
        <sz val="10"/>
        <rFont val="Arial"/>
        <family val="2"/>
        <charset val="204"/>
      </rPr>
      <t xml:space="preserve"> This relationship is exact by definition.</t>
    </r>
  </si>
  <si>
    <t>ASTM D 1250-80</t>
  </si>
  <si>
    <t>DEFINITIONS</t>
  </si>
  <si>
    <t>• Definitions</t>
  </si>
  <si>
    <t>• ASTM Volume XI / XII</t>
  </si>
  <si>
    <t>ASTM Volume XI / XII</t>
  </si>
  <si>
    <t>per 1000</t>
  </si>
  <si>
    <t>PETROLEUM MEASUREMENT TABLES ASTM D 1250-80  Volume XI</t>
  </si>
  <si>
    <t>PETROLEUM MEASUREMENT TABLES ASTM D 1250-80  Volume XII</t>
  </si>
  <si>
    <t>ASTM Table 8</t>
  </si>
  <si>
    <t>Pounds</t>
  </si>
  <si>
    <t>Pound</t>
  </si>
  <si>
    <t>ASTM Table 9</t>
  </si>
  <si>
    <t>ASTM Table 10</t>
  </si>
  <si>
    <t>Short Ton</t>
  </si>
  <si>
    <t>ASTM Table 12</t>
  </si>
  <si>
    <t>Long Ton</t>
  </si>
  <si>
    <t>ASTM Table 14</t>
  </si>
  <si>
    <t xml:space="preserve">Long Ton </t>
  </si>
  <si>
    <t>ASTM Table 21</t>
  </si>
  <si>
    <t>ASTM Table 22</t>
  </si>
  <si>
    <r>
      <t>Litres @15°C</t>
    </r>
    <r>
      <rPr>
        <b/>
        <sz val="10"/>
        <rFont val="Arial"/>
        <family val="2"/>
        <charset val="204"/>
      </rPr>
      <t/>
    </r>
  </si>
  <si>
    <t>US Gallon @60°F</t>
  </si>
  <si>
    <r>
      <t>Cubic Mtrs @15°C</t>
    </r>
    <r>
      <rPr>
        <b/>
        <sz val="10"/>
        <rFont val="Arial"/>
        <family val="2"/>
        <charset val="204"/>
      </rPr>
      <t/>
    </r>
  </si>
  <si>
    <t>Barrel @60°F</t>
  </si>
  <si>
    <t>ASTM Table 26</t>
  </si>
  <si>
    <t>ASTM Table 27</t>
  </si>
  <si>
    <t>ASTM Table 28</t>
  </si>
  <si>
    <t>ASTM Table 29</t>
  </si>
  <si>
    <t>ASTM Table 30</t>
  </si>
  <si>
    <t>ASTM Table 31</t>
  </si>
  <si>
    <t>DENSITY</t>
  </si>
  <si>
    <t>Factor for Converting</t>
  </si>
  <si>
    <t>(kg/L)</t>
  </si>
  <si>
    <t>Weight in Air</t>
  </si>
  <si>
    <t>to Weight in Air</t>
  </si>
  <si>
    <r>
      <t>Weight</t>
    </r>
    <r>
      <rPr>
        <i/>
        <sz val="10"/>
        <color theme="0"/>
        <rFont val="Arial"/>
        <family val="2"/>
        <charset val="204"/>
      </rPr>
      <t xml:space="preserve"> in Vacuo</t>
    </r>
  </si>
  <si>
    <r>
      <t xml:space="preserve">to Weight </t>
    </r>
    <r>
      <rPr>
        <i/>
        <sz val="10"/>
        <color theme="0"/>
        <rFont val="Arial"/>
        <family val="2"/>
        <charset val="204"/>
      </rPr>
      <t>in Vacuo</t>
    </r>
  </si>
  <si>
    <t xml:space="preserve">A.P.I. : </t>
  </si>
  <si>
    <t xml:space="preserve">Density : </t>
  </si>
  <si>
    <t xml:space="preserve">Relative Density : </t>
  </si>
  <si>
    <t>CALCULATION for BL FIGURES Converter - Entry with Relative Density</t>
  </si>
  <si>
    <t>CALCULATION for BL FIGURES Converter - Entry with API</t>
  </si>
  <si>
    <t>CALCULATION for BL FIGURES Converter - Entry with Density</t>
  </si>
  <si>
    <t xml:space="preserve">A.P.I.: </t>
  </si>
  <si>
    <t>Litres at 15°C</t>
  </si>
  <si>
    <t>Cubic Metres at 15°C</t>
  </si>
  <si>
    <t>US Gallons at 60°F</t>
  </si>
  <si>
    <t>US Barrels at 60°F</t>
  </si>
  <si>
    <t>to Weight in Vacuo</t>
  </si>
  <si>
    <t>US Gallon at 60°F</t>
  </si>
  <si>
    <t>US Barrel at 60°F</t>
  </si>
  <si>
    <t>1000 US Gallons at 60°F</t>
  </si>
  <si>
    <t>COVERT from / to</t>
  </si>
  <si>
    <t>Cubic Metre at 15°C</t>
  </si>
  <si>
    <t xml:space="preserve">CONVERT From : </t>
  </si>
  <si>
    <t>BL FIGURES &amp; Outturn Compare</t>
  </si>
  <si>
    <t>BL FIGURES &amp; Outturn Compare - Entry with Relative Density</t>
  </si>
  <si>
    <t>BL FIGURES &amp; Outturn Compare - Entry with Density</t>
  </si>
  <si>
    <t>BL FIGURES &amp; Outturn Compare - Entry with API</t>
  </si>
  <si>
    <t>ASTM Converter (API)</t>
  </si>
  <si>
    <t>ASTM Converter (R.Density)</t>
  </si>
  <si>
    <t>ASTM Converter (Density)</t>
  </si>
  <si>
    <t>BILL OF LADING FIGURES</t>
  </si>
  <si>
    <t>ASTM - VOLUME &amp; WEIGHT Converter - Entry with API Gravity</t>
  </si>
  <si>
    <t>ASTM - VOLUME &amp; WEIGHT Converter - Entry with Relative Density</t>
  </si>
  <si>
    <t>ASTM - VOLUME &amp; WEIGHT Converter - Entry with Density</t>
  </si>
  <si>
    <t>Weight in Vacuo</t>
  </si>
  <si>
    <t>From</t>
  </si>
  <si>
    <t>To</t>
  </si>
  <si>
    <t>Kilograms (in AIR)</t>
  </si>
  <si>
    <t>Metric Tons (in AIR)</t>
  </si>
  <si>
    <t>Short Tons (in AIR)</t>
  </si>
  <si>
    <t>Long Tons (in AIR)</t>
  </si>
  <si>
    <t>at 60°F</t>
  </si>
  <si>
    <t>at 60/60°F</t>
  </si>
  <si>
    <t>at 15°C</t>
  </si>
  <si>
    <t>Pounds  (in AIR)</t>
  </si>
  <si>
    <t xml:space="preserve">Metric Tons (in AIR) </t>
  </si>
  <si>
    <t>OUTTURN COMPARE</t>
  </si>
  <si>
    <t>LITERS at 15°C</t>
  </si>
  <si>
    <t>METRIC TONS (in AIR)</t>
  </si>
  <si>
    <t>METRIC TONS (in VAC)</t>
  </si>
  <si>
    <t>POUNDS LBS</t>
  </si>
  <si>
    <t>Go to ASTM Converter (R.Density)</t>
  </si>
  <si>
    <t>Go to ASTM Converter (Density)</t>
  </si>
  <si>
    <t>A.P.I.</t>
  </si>
  <si>
    <t>Relative Density</t>
  </si>
  <si>
    <t>Density (kg/m3)</t>
  </si>
  <si>
    <t>Density (kg/L)</t>
  </si>
  <si>
    <t>Entry with</t>
  </si>
  <si>
    <t xml:space="preserve">Outturn : </t>
  </si>
  <si>
    <t>Outturn</t>
  </si>
  <si>
    <t>ASTM table</t>
  </si>
  <si>
    <t>Factor</t>
  </si>
  <si>
    <t>Barrels at 60°F</t>
  </si>
  <si>
    <t>Gallons at 60°F</t>
  </si>
  <si>
    <t>Pounds (Avoirdupois)</t>
  </si>
  <si>
    <t>Outturn Figure :</t>
  </si>
  <si>
    <t>ASTM Table</t>
  </si>
  <si>
    <t>D O    N O T    E N T E R    D A T A    I N    T H I S    A R E A</t>
  </si>
  <si>
    <t>Used Temp.</t>
  </si>
  <si>
    <t>Tab. 6A</t>
  </si>
  <si>
    <t>Observed Temp.</t>
  </si>
  <si>
    <t>Tab. 6B</t>
  </si>
  <si>
    <t>Tab. 54A</t>
  </si>
  <si>
    <t>Tab. 54B</t>
  </si>
  <si>
    <t>BBLS @ Temp.</t>
  </si>
  <si>
    <t>BBLS @ 60°F</t>
  </si>
  <si>
    <t>M3 @ Temp.</t>
  </si>
  <si>
    <t>M3 @ 15°C</t>
  </si>
  <si>
    <t>ASTM Table 6A</t>
  </si>
  <si>
    <t>VCF</t>
  </si>
  <si>
    <t>T°F</t>
  </si>
  <si>
    <t>A</t>
  </si>
  <si>
    <t>b</t>
  </si>
  <si>
    <t>6A</t>
  </si>
  <si>
    <t>ASTM Table 6B</t>
  </si>
  <si>
    <t>Cor1</t>
  </si>
  <si>
    <t>Cor2</t>
  </si>
  <si>
    <t>Cor3</t>
  </si>
  <si>
    <t>API&lt;37.0</t>
  </si>
  <si>
    <t>37.0=&lt; API &lt;48.0</t>
  </si>
  <si>
    <t>48.0=&lt; API &lt;52.0</t>
  </si>
  <si>
    <t>52.0=&lt; API &lt;85.0</t>
  </si>
  <si>
    <t>6B</t>
  </si>
  <si>
    <t>ASTM Table 54A</t>
  </si>
  <si>
    <t xml:space="preserve">Density15°C </t>
  </si>
  <si>
    <t xml:space="preserve">T°C </t>
  </si>
  <si>
    <t>54A</t>
  </si>
  <si>
    <t>ASTM Table 54B</t>
  </si>
  <si>
    <t>D&lt;770</t>
  </si>
  <si>
    <t>770=&lt; D &lt;787.5</t>
  </si>
  <si>
    <t>787.5=&lt; D &lt;838.5</t>
  </si>
  <si>
    <t>838.5=&lt; D &lt;1075</t>
  </si>
  <si>
    <t>54B</t>
  </si>
  <si>
    <t>ASTM - Volume &amp; Weght Calculator</t>
  </si>
  <si>
    <t>API @60°F</t>
  </si>
  <si>
    <t>Density @15°C</t>
  </si>
  <si>
    <t>Quantity to Load</t>
  </si>
  <si>
    <t>MT (in Air)</t>
  </si>
  <si>
    <t>MT (in Vac)</t>
  </si>
  <si>
    <t>LT</t>
  </si>
  <si>
    <t>ASTM - Volume &amp; Weght Calculator - Entry with API</t>
  </si>
  <si>
    <t>ASTM - Volume &amp; Weght Calculator - Entry with Relative Density</t>
  </si>
  <si>
    <t>ASTM - Volume &amp; Weght Calculator - Entry with Density</t>
  </si>
  <si>
    <t>—————————————————</t>
  </si>
  <si>
    <t>ASTM - CONVERTERS</t>
  </si>
  <si>
    <t>Cubic Metres</t>
  </si>
  <si>
    <t>ASTM Tables : 21, 22, 26, 27, 28, 29, 30, 31.</t>
  </si>
  <si>
    <t>ASTM Tables : 51, 52, 56, 57, 58.</t>
  </si>
  <si>
    <t>ASTM Tables : 3, 4, 8, 9, 10, 11, 12, 13, 14.</t>
  </si>
  <si>
    <t>ASTM - V.W. Calculator</t>
  </si>
  <si>
    <t>ASTM - BL Outturn Compare</t>
  </si>
  <si>
    <t>https://cultofsea.com/tanker/cargo-calculations-tanker-work/</t>
  </si>
  <si>
    <t>Litres @15°C</t>
  </si>
  <si>
    <t>Cubic Mtrs @15°C</t>
  </si>
  <si>
    <t>MT/US Barrel</t>
  </si>
  <si>
    <t>US Barrels/MT</t>
  </si>
  <si>
    <t>Rel.Density</t>
  </si>
  <si>
    <t>Conversion Charts Barrel</t>
  </si>
  <si>
    <t>Conversion Charts Metric</t>
  </si>
  <si>
    <t>• Procedure of Calculations</t>
  </si>
  <si>
    <t>ASTM Table Series for Oil Survey</t>
  </si>
  <si>
    <t>Series I – TABLE 5 &amp; 6 – FOR API, °F, 60°F</t>
  </si>
  <si>
    <t>Volume I – Generalized Crude Oils (Tables 5A &amp; 6A)</t>
  </si>
  <si>
    <t>Volume II – Generalized Products (Tables 5B and 6B)</t>
  </si>
  <si>
    <t>Volume III – Individual and Special Applications (Table 6C)</t>
  </si>
  <si>
    <t>Series II – TABLE 23 &amp; 24 – FOR RELATIVE DENSITY, °F, 60°F</t>
  </si>
  <si>
    <t>Volume IV – Generalized Crude Oils (Tables 23A &amp; 24A)</t>
  </si>
  <si>
    <t>Volume V – Generalized Products (Tables 23B and 24B)</t>
  </si>
  <si>
    <t>Volume VI – Individual and Special Applications (Table 24C)</t>
  </si>
  <si>
    <t>Series III – TABLE 53 &amp; 54 – FOR KG/cm³ DENSITY, °C, 15°C</t>
  </si>
  <si>
    <t>Volume VII – Generalized Crude Oils (Tables 53A &amp; 54A)</t>
  </si>
  <si>
    <t>Volume VIII – Generalized Products (Tables 53B and 54B)</t>
  </si>
  <si>
    <t>Volume IX – Individual and Special Applications (Table 54C)</t>
  </si>
  <si>
    <t>Volume X – Background, Documentation, Program Listings</t>
  </si>
  <si>
    <t>Volume XI / XII – ASTM D 1250-80 – API standard 2540 and IP Designation 200 apply</t>
  </si>
  <si>
    <t>Volume XI – ENTRY WITH API GRAVITY</t>
  </si>
  <si>
    <t>Table 1 – Interrelation of Units of Measurement</t>
  </si>
  <si>
    <t>Table 2 – Temperature Conversions</t>
  </si>
  <si>
    <t>Table 3 – API Gravity at 60°F to Relative Density 60/60°F and to Density at 15°C</t>
  </si>
  <si>
    <t>Table 4 – U.S. Gallons at 60°F and Barrels at 60°F to Litres at 15°C against API Gravity at 60°F</t>
  </si>
  <si>
    <t>Table 8 – Pounds per US Gallon at 60°F and US Gallons at 60°F per pound against API Gravity at 60°F</t>
  </si>
  <si>
    <t>Table 9 – Short Tons per 1000 US Gallons at 60°F and Barrel at 60°F against API Gravity at 60°F</t>
  </si>
  <si>
    <t>Table 10 – US Gallons at 60°F and Barrels at 60°F per Short Ton against API Gravity at 60°F</t>
  </si>
  <si>
    <t>Table 11 – Long Tons per 1000 US Gallons at 60°F and per Barrel at 60°F against API Gravity at 60°F</t>
  </si>
  <si>
    <t>Table 12 – US Gallons at 60°F and Barrels at 60°F per Long Ton against API Gravity at 60°F</t>
  </si>
  <si>
    <t>Table 13 – Metric Tons per 1000 US Gallons at 60°F and per Barrel at 60°F against API Gravity at 60°F</t>
  </si>
  <si>
    <t>Table 14 – Cubic Metres at 15°C per Short Ton and per Long Ton against API Gravity at 60°F</t>
  </si>
  <si>
    <t>Volume XII – ENTRY WITH RELATIVE DENSITY</t>
  </si>
  <si>
    <t>Table 21 – Relative Density 60/60°F to API Gravity at 60°F and to Density at 15°C</t>
  </si>
  <si>
    <t>Table 22 – US Gallons at 60°F to Litres at 15°C and Barrels at 60°F to Cubic Metres at 15°C</t>
  </si>
  <si>
    <t>Table 26 – Pounds per US Gallon at 60°F and US Gallons at 60°F per Pound against Relative Density 60/60°F</t>
  </si>
  <si>
    <t>Table 27 – Short Tons per 1000 US Gallons at 60°F and per Barrel at 60°F against Relative Density 60/60°F</t>
  </si>
  <si>
    <t>Table 28 – US Gallons at 60°F and Barrels at 60°F per Short Ton against Relative Density 60/60°F</t>
  </si>
  <si>
    <t>Table 29 – Long Tons per 1000 US Gallons at 60°F and per Barrel at 60°F against Relative Density 60/60°F</t>
  </si>
  <si>
    <t>Table 30 – US Gallons at 60°F and Barrels At 60°F per Long Ton against Relative Density 60/60°F</t>
  </si>
  <si>
    <t>Table 31 – Cubic Metres at 15°C per Short Ton and per Long Ton against Relative Density 60/60°F</t>
  </si>
  <si>
    <t>Table 33 – Specific Gravity Reduction to 60°F for Liquefied Petroleum Gases and Natural Gasoline</t>
  </si>
  <si>
    <t>Table 34 – Reduction of Volume to 60°F against Specific Gravity 60/60°F for Liquefied Petroleum Gases</t>
  </si>
  <si>
    <t>Table 51 – Density at 15°C to Relative Density 60/60°F and to API Gravity at 60°F</t>
  </si>
  <si>
    <t>Table 52 – Barrels at 60°F to Cubic Metres at 15°C and Cubic Metres at 15°C to Barrels at 60°F</t>
  </si>
  <si>
    <t>Table 56 – Kilograms per Litre at 15°C and Litres at 15°C per Metric Ton against Density at 15°C</t>
  </si>
  <si>
    <t>Table 57 – Short Tons and Long Tons per 1000 Litres at 15°C against Density at 15°C</t>
  </si>
  <si>
    <t>Table 58 – US Gallons and Barrels per Metric Ton against Density at 15°C</t>
  </si>
  <si>
    <t>Volume XIII – LUBRICATING OILS, TABLES 5D &amp; 6D</t>
  </si>
  <si>
    <t>Volume XIV -LUBRICATING OILS, TABLES 53D &amp; 54D</t>
  </si>
  <si>
    <t>• ASTM Table Series for Oil Survey</t>
  </si>
  <si>
    <t xml:space="preserve">T°F </t>
  </si>
  <si>
    <t>ASTM Table 24A</t>
  </si>
  <si>
    <t>ASTM Table 24B</t>
  </si>
  <si>
    <t>24A</t>
  </si>
  <si>
    <t>24B</t>
  </si>
  <si>
    <t>ρ</t>
  </si>
  <si>
    <t>STEP 2</t>
  </si>
  <si>
    <t>STEP 3</t>
  </si>
  <si>
    <r>
      <t>K</t>
    </r>
    <r>
      <rPr>
        <vertAlign val="subscript"/>
        <sz val="10"/>
        <rFont val="Arial"/>
        <family val="2"/>
        <charset val="204"/>
      </rPr>
      <t>0</t>
    </r>
  </si>
  <si>
    <r>
      <t>K</t>
    </r>
    <r>
      <rPr>
        <vertAlign val="subscript"/>
        <sz val="10"/>
        <rFont val="Arial"/>
        <family val="2"/>
        <charset val="204"/>
      </rPr>
      <t>1</t>
    </r>
  </si>
  <si>
    <t>STEP 4</t>
  </si>
  <si>
    <r>
      <t>K</t>
    </r>
    <r>
      <rPr>
        <vertAlign val="subscript"/>
        <sz val="10"/>
        <rFont val="Arial"/>
        <family val="2"/>
        <charset val="204"/>
      </rPr>
      <t>0</t>
    </r>
    <r>
      <rPr>
        <sz val="10"/>
        <rFont val="Arial"/>
        <family val="2"/>
        <charset val="204"/>
      </rPr>
      <t>/ρ</t>
    </r>
  </si>
  <si>
    <r>
      <t>K</t>
    </r>
    <r>
      <rPr>
        <vertAlign val="subscript"/>
        <sz val="10"/>
        <rFont val="Arial"/>
        <family val="2"/>
        <charset val="204"/>
      </rPr>
      <t>0</t>
    </r>
    <r>
      <rPr>
        <sz val="10"/>
        <rFont val="Arial"/>
        <family val="2"/>
        <charset val="204"/>
      </rPr>
      <t>/ρ/ρ</t>
    </r>
  </si>
  <si>
    <r>
      <t>K</t>
    </r>
    <r>
      <rPr>
        <vertAlign val="subscript"/>
        <sz val="10"/>
        <rFont val="Arial"/>
        <family val="2"/>
        <charset val="204"/>
      </rPr>
      <t>1</t>
    </r>
    <r>
      <rPr>
        <sz val="10"/>
        <rFont val="Arial"/>
        <family val="2"/>
        <charset val="204"/>
      </rPr>
      <t>/ρ</t>
    </r>
  </si>
  <si>
    <t>α</t>
  </si>
  <si>
    <t>STEP 5</t>
  </si>
  <si>
    <t>∆t</t>
  </si>
  <si>
    <t>a(2) 0.8 α ∆t</t>
  </si>
  <si>
    <t>a(1) α ∆t</t>
  </si>
  <si>
    <t>a(3) 0.8 α² ∆t²</t>
  </si>
  <si>
    <t>a(4) -α ∆t -0.8 α² ∆t²</t>
  </si>
  <si>
    <t>STEP 6 VCF = EXP[-α ∆t -0.8 α² ∆t²]</t>
  </si>
  <si>
    <t>EXP[a(4)]</t>
  </si>
  <si>
    <t>PETROLEUM MEASUREMENT TABLES ASTM D 1250-80  Volume I / II</t>
  </si>
  <si>
    <t>PETROLEUM MEASUREMENT TABLES ASTM D 1250-80  Volume IV / V</t>
  </si>
  <si>
    <t>PETROLEUM MEASUREMENT TABLES ASTM D 1250-80  Volume VII / VIII</t>
  </si>
  <si>
    <t>ЕСЛИ(AA70&gt;=0.839;103.872"FUEL OIL";ЕСЛИ(AA70&gt;=0.789;330.301"JET GROUP";ЕСЛИ(AA70&gt;=0.771;1489.067"A+B";192.4571"GASOLINE")))</t>
  </si>
  <si>
    <t>ЕСЛИ(C40&gt;=0.839;0.2701"FUEL OIL";ЕСЛИ(C40&gt;=0.789;0"JET GROUP";ЕСЛИ(C40&gt;=0.771;-0.0018684"A+B";0.2438"GASOLINE")))</t>
  </si>
  <si>
    <t>Tab. 24A</t>
  </si>
  <si>
    <t>Tab. 24B</t>
  </si>
  <si>
    <t>Relative Density @60/60°F</t>
  </si>
  <si>
    <t>Temperature</t>
  </si>
  <si>
    <t xml:space="preserve"> °C</t>
  </si>
  <si>
    <t xml:space="preserve"> °F</t>
  </si>
  <si>
    <t xml:space="preserve">ASTM D 1250-80 Tables </t>
  </si>
  <si>
    <t>Table Temp.</t>
  </si>
  <si>
    <t>API / R.D. / Dens.</t>
  </si>
  <si>
    <t xml:space="preserve"> per </t>
  </si>
  <si>
    <t xml:space="preserve"> to </t>
  </si>
  <si>
    <t>Table 52</t>
  </si>
  <si>
    <t>Table 56</t>
  </si>
  <si>
    <t>Table 57</t>
  </si>
  <si>
    <t>Table 58</t>
  </si>
  <si>
    <t>Table 22</t>
  </si>
  <si>
    <t>Table 26</t>
  </si>
  <si>
    <t>Table 27</t>
  </si>
  <si>
    <t>Table 28</t>
  </si>
  <si>
    <t>Table 29</t>
  </si>
  <si>
    <t>Table 30</t>
  </si>
  <si>
    <t>Table 31</t>
  </si>
  <si>
    <t>Table 4</t>
  </si>
  <si>
    <t>Table 8</t>
  </si>
  <si>
    <t>Table 9</t>
  </si>
  <si>
    <t>Table 10</t>
  </si>
  <si>
    <t>Table 11</t>
  </si>
  <si>
    <t>Table 12</t>
  </si>
  <si>
    <t>Table 13</t>
  </si>
  <si>
    <t>Table 14</t>
  </si>
  <si>
    <t>ASTM TABLES D 1250-80</t>
  </si>
  <si>
    <t xml:space="preserve">Table 1 - Long Tons to Pounds (Avoirdupois)   </t>
  </si>
  <si>
    <t>Table 1 - Long Tons to Short Tons</t>
  </si>
  <si>
    <t xml:space="preserve">Table 1 - Long Tons to Metric Tons (Tonnes)   </t>
  </si>
  <si>
    <t xml:space="preserve">Table 1 - Short Tons to Pounds (Avoirdupois)   </t>
  </si>
  <si>
    <t>Table 1 - Short Tons to Long Tons</t>
  </si>
  <si>
    <t xml:space="preserve">Table 1 - Short Tons to Metric Tons (Tonnes)   </t>
  </si>
  <si>
    <t>Table 1 - Metric Tons (Tonnes) to Long Tons</t>
  </si>
  <si>
    <t>Table 1 - Metric Tons (Tonnes) to Short Tons</t>
  </si>
  <si>
    <t>Table 1 - Pounds (Avoirdupois) to Kilograms</t>
  </si>
  <si>
    <t xml:space="preserve">Table 1 - Kilograms to Pounds (Avoirdupois)   </t>
  </si>
  <si>
    <t xml:space="preserve">Table 1- U.S. Gallons to Cubic Inches   </t>
  </si>
  <si>
    <t>Table 1- U.S. Gallons to Cubic Feet</t>
  </si>
  <si>
    <t>Table 1- U.S. Gallons to Imperial Gallons</t>
  </si>
  <si>
    <t>Table 1- U.S. Gallons to US Barrels</t>
  </si>
  <si>
    <t>Table 1- U.S. Gallons to Litres</t>
  </si>
  <si>
    <t>Table 1 - U.S. Barrels to US Gallons</t>
  </si>
  <si>
    <t xml:space="preserve">Table 1 - U.S. Barrels to Cubic Inches   </t>
  </si>
  <si>
    <t>Table 1 - U.S. Barrels to Cubic Feet</t>
  </si>
  <si>
    <t>Table 1 - U.S. Barrels to Imperial Gallons</t>
  </si>
  <si>
    <t>Table 1 - U.S. Barrels to Litres</t>
  </si>
  <si>
    <t xml:space="preserve">Table 1 - Imperial Gallons to Cubic Inches   </t>
  </si>
  <si>
    <t>Table 1 - Imperial Gallons to Cubic Feet</t>
  </si>
  <si>
    <t>Table 1 - Imperial Gallons to US Gallons</t>
  </si>
  <si>
    <t>Table 1 - Imperial Gallons to US Barrels</t>
  </si>
  <si>
    <t>Table 1 - Imperial Gallons to Litres</t>
  </si>
  <si>
    <t>Table 1 - Cubic Feet to Imperial Gallons</t>
  </si>
  <si>
    <t>Table 1 - Cubic Feet to US Gallons</t>
  </si>
  <si>
    <t>Table 1 - Cubic Feet to US Barrels</t>
  </si>
  <si>
    <t>Table 1 - Cubic Feet to Litres</t>
  </si>
  <si>
    <t xml:space="preserve">Table 1 - Cubic Feet to Cubic Metres   </t>
  </si>
  <si>
    <t>Table 1 - Cubic Inches to Imperial Gallons</t>
  </si>
  <si>
    <t>Table 1 - Cubic Inches to US Gallons</t>
  </si>
  <si>
    <t>Table 1 - Cubic Inches to Litres</t>
  </si>
  <si>
    <t xml:space="preserve">Table 1 - Litres to Cubic Inches   </t>
  </si>
  <si>
    <t>Table 1 - Litres to Cubic Feet</t>
  </si>
  <si>
    <t>Table 1 - Litres to Imperial Gallons</t>
  </si>
  <si>
    <t>Table 1 - Litres to US Gallons</t>
  </si>
  <si>
    <t>Table 1 - Litres to US Barrels</t>
  </si>
  <si>
    <t>Table 1 - Cubic Metres to Imperial Gallons</t>
  </si>
  <si>
    <t>Table 1 - Cubic Metres to US Gallons</t>
  </si>
  <si>
    <t>Table 1 - Cubic Metres to US Barrels</t>
  </si>
  <si>
    <t>Table 1 - Cubic Metres to Cubic Feet</t>
  </si>
  <si>
    <t>*  These factors are solely for conversion at the same temperature.</t>
  </si>
  <si>
    <t>Imperial Gallons</t>
  </si>
  <si>
    <t>Cubic Feet</t>
  </si>
  <si>
    <t>Cubic Inches</t>
  </si>
  <si>
    <t xml:space="preserve">Metric Tons (Tonnes)   </t>
  </si>
  <si>
    <t>Metric Tons (Tonnes)</t>
  </si>
  <si>
    <t xml:space="preserve">Pounds (Avoirdupois)   </t>
  </si>
  <si>
    <t>U.S. Gallons</t>
  </si>
  <si>
    <t>U.S. Barrels</t>
  </si>
  <si>
    <t xml:space="preserve">Cubic Inches   </t>
  </si>
  <si>
    <t>US Barrels</t>
  </si>
  <si>
    <t xml:space="preserve">Cubic Metres   </t>
  </si>
  <si>
    <t>Remarks</t>
  </si>
  <si>
    <t>ASTM Table 1</t>
  </si>
  <si>
    <t>Table 58 - Metric Tons (in AIR) to US Barrels at 60°F</t>
  </si>
  <si>
    <t>https://theworldmoveswithmariners.blogspot.com/2016/05/tanker-cargo-calculations-astm-tables.html</t>
  </si>
  <si>
    <t>ASTM Table 27 - US Barrels at 60°F to Short Tons (in AIR)</t>
  </si>
  <si>
    <t>• Explanation &amp; use T. Volume XI</t>
  </si>
  <si>
    <t>• Explanation &amp; use T. Volume XII</t>
  </si>
  <si>
    <t>Explanation &amp; use Table 10</t>
  </si>
  <si>
    <t>Explanation &amp; use Table 11</t>
  </si>
  <si>
    <t>Explanation &amp; use Table 12</t>
  </si>
  <si>
    <t>Explanation &amp; use Table 13</t>
  </si>
  <si>
    <t>Explanation &amp; use Table 14</t>
  </si>
  <si>
    <t>Explanation &amp; use Table   9</t>
  </si>
  <si>
    <t>Explanation &amp; use Table   8</t>
  </si>
  <si>
    <t>Explanation &amp; use Table   4</t>
  </si>
  <si>
    <t>Explanation &amp; use Table   3</t>
  </si>
  <si>
    <r>
      <rPr>
        <sz val="10"/>
        <color theme="0"/>
        <rFont val="Wingdings"/>
        <charset val="2"/>
      </rPr>
      <t>é</t>
    </r>
    <r>
      <rPr>
        <sz val="10"/>
        <color theme="0"/>
        <rFont val="Arial"/>
        <family val="2"/>
        <charset val="204"/>
      </rPr>
      <t xml:space="preserve">   Go to Top</t>
    </r>
  </si>
  <si>
    <t>EXPLANATION AND USE OF TABLES - Vol. XI 
(Tables 3, 4, 8, 9, 10, 11,12, 13,14)</t>
  </si>
  <si>
    <t>EXPLANATION AND USE OF TABLES - Vol. XII 
(Tables 21, 22, 26, 27, 28, 29, 30, 31, 51, 52, 56, 57, 58)</t>
  </si>
  <si>
    <t>Explanation &amp; use Table  21</t>
  </si>
  <si>
    <t>Explanation &amp; use Table  22</t>
  </si>
  <si>
    <t>Explanation &amp; use Table  26</t>
  </si>
  <si>
    <t>Explanation &amp; use Table  27</t>
  </si>
  <si>
    <t>Explanation &amp; use Table  28</t>
  </si>
  <si>
    <t>Explanation &amp; use Table  29</t>
  </si>
  <si>
    <t>Explanation &amp; use Table  30</t>
  </si>
  <si>
    <t>Explanation &amp; use Table  31</t>
  </si>
  <si>
    <t>Explanation &amp; use Table  51</t>
  </si>
  <si>
    <t>Explanation &amp; use Table  52</t>
  </si>
  <si>
    <t>Explanation &amp; use Table  56</t>
  </si>
  <si>
    <t>Explanation &amp; use Table  57</t>
  </si>
  <si>
    <t>Explanation &amp; use Table  58</t>
  </si>
  <si>
    <r>
      <rPr>
        <sz val="10"/>
        <color theme="0"/>
        <rFont val="Wingdings"/>
        <charset val="2"/>
      </rPr>
      <t>é</t>
    </r>
    <r>
      <rPr>
        <sz val="10"/>
        <color theme="0"/>
        <rFont val="Arial"/>
        <family val="2"/>
      </rPr>
      <t xml:space="preserve">   Go to Top</t>
    </r>
  </si>
  <si>
    <t>ASTM Converter - Table 1 (Volume XI)</t>
  </si>
  <si>
    <t>• Converter - Table 1 (Volume XI)</t>
  </si>
  <si>
    <t>Please remember that normally the density or API is provided by the terminal or surveyor in the load ports and what is used will be dependent on the region / port of loading. For example in USA / Canada, Persian Gulf, API usage is prevalent, while entire of Europe and Asia uses Density at 15°C. However please ascertain, if Density at 15°C is provided, whether it is in air or in vacuum. This is very important when finding out from Table 54, since the density provided there is in Air and hence same must be used. (Density at 15°C in Air = Density at 15°C in Vacuum – 0.0011).</t>
  </si>
  <si>
    <t>DIFFERENCE</t>
  </si>
  <si>
    <t>Interrelation of Units of Measurement</t>
  </si>
  <si>
    <t>ASTM TABLES [D 1250-80]</t>
  </si>
  <si>
    <t>https://www.youtube.com/watch?v=XBn5OsE3XdM</t>
  </si>
  <si>
    <t>https://www.youtube.com/watch?v=qO_DaT_753s</t>
  </si>
  <si>
    <t>Oil Cargo Calculations Part-2</t>
  </si>
  <si>
    <t>Oil Cargo Calculations Part-1</t>
  </si>
  <si>
    <t>https://www.youtube.com/watch?v=-uq9Q6HIayo</t>
  </si>
  <si>
    <t>Basic Cargo Calculation using ASTM Table -Tanker</t>
  </si>
  <si>
    <t>Oil Cargo Calculations-Part 3 | Wedge Calculations</t>
  </si>
  <si>
    <t>https://www.youtube.com/watch?v=-sop8AW-PdI</t>
  </si>
  <si>
    <t>https://oilfieldteam.com/en/astm-tables</t>
  </si>
  <si>
    <t>https://marinelegends.org/blog/2021/08/11/tanker-cargo-calculations-astm-tables-usage-procedure-of-calculations/</t>
  </si>
  <si>
    <t>https://knowledgeofsea.com/measurement-of-oil-cargoes-astm-tables/</t>
  </si>
  <si>
    <t>http://nautraj.blogspot.com/2011/04/tanker-cargo-calculations-astm-tables.html</t>
  </si>
  <si>
    <t>http://www.chemicaltankerguide.com/cargo-calculation.html</t>
  </si>
  <si>
    <t>https://knowledgeofsea.com/tanker-cargo-calculations/</t>
  </si>
  <si>
    <t>Density Calculator</t>
  </si>
  <si>
    <t>https://energy1.ru/en/calculator/</t>
  </si>
  <si>
    <t>Online density calculation according to ASTM D1250</t>
  </si>
  <si>
    <t>https://www.engineeringtoolbox.com/density-converter-d_1038.html</t>
  </si>
  <si>
    <t>Density Converter</t>
  </si>
  <si>
    <t>https://softadvice.informer.com/ext/https_www.calculator.net/density-calculator.html</t>
  </si>
  <si>
    <t>API Gravity Correction for Temperature</t>
  </si>
  <si>
    <t>https://engineeringunits.com/api-gravity-temperature-correction-online-calculator/</t>
  </si>
  <si>
    <t>Api Gravity Calculator</t>
  </si>
  <si>
    <t>https://engineeringunits.com/api-gravity-calculator/</t>
  </si>
  <si>
    <t>Engineering Units</t>
  </si>
  <si>
    <t>SG</t>
  </si>
  <si>
    <t>Rel.Density @60/60°F  to  SG (Specific Gravity)*</t>
  </si>
  <si>
    <t>SG (Specific Gravity)*  to  Rel.Density @60/60°F</t>
  </si>
  <si>
    <t>Volume XI  - Table 2</t>
  </si>
  <si>
    <t>ASTM Converter - Table 2 (Volume XI)</t>
  </si>
  <si>
    <t>Temperature Conversions</t>
  </si>
  <si>
    <t>°C</t>
  </si>
  <si>
    <t>°F</t>
  </si>
  <si>
    <t>• Calculator - Volume &amp; Weght</t>
  </si>
  <si>
    <t xml:space="preserve">• Calculator - Volume (Therm. expansion) </t>
  </si>
  <si>
    <t>ASTM - Volume Calculator (Thermal expansion)</t>
  </si>
  <si>
    <t>ASTM - Volume Calculator (Thermal expansion))</t>
  </si>
  <si>
    <t>Temp. before</t>
  </si>
  <si>
    <t>Volume before</t>
  </si>
  <si>
    <t>Volume after</t>
  </si>
  <si>
    <t>ASTM - Volume Calculator - Entry with API</t>
  </si>
  <si>
    <t>ASTM - Volume Calculator - Entry with Relative Density</t>
  </si>
  <si>
    <t>ASTM - Volume Calculator - Entry with Density</t>
  </si>
  <si>
    <t>PETROLEUM MEASUREMENT TABLES ASTM D 1250-80  Volume I / II - (1st Temperature)</t>
  </si>
  <si>
    <t>PETROLEUM MEASUREMENT TABLES ASTM D 1250-80  Volume I / II - (2nd Temperature)</t>
  </si>
  <si>
    <t>PETROLEUM MEASUREMENT TABLES ASTM D 1250-80  Volume IV / V - (1st Temperature)</t>
  </si>
  <si>
    <t>PETROLEUM MEASUREMENT TABLES ASTM D 1250-80  Volume IV / V - (2nd Temperature)</t>
  </si>
  <si>
    <t>PETROLEUM MEASUREMENT TABLES ASTM D 1250-80  Volume VII / VIII - (1st Temperature)</t>
  </si>
  <si>
    <t>PETROLEUM MEASUREMENT TABLES ASTM D 1250-80  Volume VII / VIII - (2nd Temperature)</t>
  </si>
  <si>
    <t>Observed 1st Temp.</t>
  </si>
  <si>
    <t>Observed 2nd Temp.</t>
  </si>
  <si>
    <t>ASTM - Volume Calculator</t>
  </si>
  <si>
    <t>1st</t>
  </si>
  <si>
    <t>2nd</t>
  </si>
  <si>
    <t>Temp. after</t>
  </si>
  <si>
    <t>Difference</t>
  </si>
  <si>
    <t>• Conventer - API-RD-SG-Density</t>
  </si>
  <si>
    <t>ASTM Converter - API-RD-SG-DENSITY</t>
  </si>
  <si>
    <t>ASTM Tables : 3, 13, 21, 51.</t>
  </si>
  <si>
    <t>CLCULATION for Conventer - API-RD-SG-Density</t>
  </si>
  <si>
    <t>ASTM Table 3 - API @60°F  to  Rel.Density @60/60°F</t>
  </si>
  <si>
    <t>ASTM Table 3 - API @60°F  to  Density @15°C</t>
  </si>
  <si>
    <t>ASTM Table 3 - API @60°F  to  SG (Specific Gravity)*</t>
  </si>
  <si>
    <t>ASTM Table 21 - Rel.Density @60/60°F  to  API @60°F</t>
  </si>
  <si>
    <t>ASTM Table 21 - Rel.Density @60/60°F  to  Density @15°C</t>
  </si>
  <si>
    <t>ASTM Table 51 - Density @15°C  to  Rel.Density @60/60°F</t>
  </si>
  <si>
    <t>ASTM Table 51 - Density @15°C  to  API @60°F</t>
  </si>
  <si>
    <t>ASTM Table 51 - Density @15°C  to  SG (Specific Gravity)*</t>
  </si>
  <si>
    <t>ASTM Table 21 - SG (Specific Gravity)*  to  API @60°F</t>
  </si>
  <si>
    <t>ASTM Table 21 - SG (Specific Gravity)*  to  Density @15°C</t>
  </si>
  <si>
    <t>ASTM Table 13 - MT/US Barrel  to  API @60°F</t>
  </si>
  <si>
    <t>US Barrels/MT  to  API @60°F**</t>
  </si>
  <si>
    <t>**Formula</t>
  </si>
  <si>
    <t>https://apsinsp.com/vcf-calculator/</t>
  </si>
  <si>
    <t>https://en.wikipedia.org/wiki/Volume_correction_factor</t>
  </si>
  <si>
    <t>https://sherafy.com/sherafy-petroleum-institute/</t>
  </si>
  <si>
    <t>https://www.engineeringtoolbox.com/crude-lubricant-lubricating-oil-density-temperature-gravity-volume-correction-ASTM-D1250-d_1938.html</t>
  </si>
  <si>
    <t>Crude Oil - Density vs. Temperature</t>
  </si>
  <si>
    <t>Sherafy Petroleum Institute</t>
  </si>
  <si>
    <t>https://sherafy.com/unit-conversions/</t>
  </si>
  <si>
    <t>VCF / CTL Calculator</t>
  </si>
  <si>
    <t>https://sfkcorp.com/resources/vcf/</t>
  </si>
  <si>
    <t>Volume Correction Factor (VCF/CTL)</t>
  </si>
  <si>
    <t>API, Density, and Specific Gravity</t>
  </si>
  <si>
    <t>Unit Conversions - Volume to weight</t>
  </si>
  <si>
    <t xml:space="preserve">ASTM - API-RD-SG-DENSITY Converter </t>
  </si>
  <si>
    <t>• Conventer - Entry with API Gravity</t>
  </si>
  <si>
    <t>• Conventer - Entry with Relative Density</t>
  </si>
  <si>
    <t>• Conventer - Entry with Density</t>
  </si>
  <si>
    <t>* SG (Specific Gravity) - This is the old name for the Relative Density 60/60 °F</t>
  </si>
  <si>
    <t>API 60°F</t>
  </si>
  <si>
    <t>R.D.</t>
  </si>
  <si>
    <t>Dens 15°C</t>
  </si>
  <si>
    <t xml:space="preserve">Temp </t>
  </si>
  <si>
    <t>AVERAGE</t>
  </si>
  <si>
    <t>TOTAL</t>
  </si>
  <si>
    <t>VOLUME</t>
  </si>
  <si>
    <t>Go to Up</t>
  </si>
  <si>
    <t>DO NOT ENTER DATA IN THIS AREA</t>
  </si>
  <si>
    <t>https://mooringmarineconsultancy.wordpress.com/2016/05/30/calculation-of-bottom-line-quantities-on-tankers/</t>
  </si>
  <si>
    <t>PROCEDURE OF CARGO CALCULATION</t>
  </si>
  <si>
    <t>CALCULATION OF BOTTOM LINE QUANTITIES</t>
  </si>
  <si>
    <t>• Calculation of bottom lines</t>
  </si>
  <si>
    <t>• BL Figures &amp; Outturn Compare</t>
  </si>
  <si>
    <t>CARGO - CALCULATORS</t>
  </si>
  <si>
    <t>• Converter - Table 1</t>
  </si>
  <si>
    <t>• Converter - Table 2 (Temperatures)</t>
  </si>
  <si>
    <t>ASTM - BL FIGURES &amp; Outturn Compare</t>
  </si>
  <si>
    <t>ASTM - CONVENTERS</t>
  </si>
  <si>
    <t>• ETC Cargo operation</t>
  </si>
  <si>
    <t>• Average Gravity/Temp</t>
  </si>
  <si>
    <t>Calculator - Estimated Time of Completion of Cargo Operation</t>
  </si>
  <si>
    <t>To Load/Discharge</t>
  </si>
  <si>
    <t>Estimated Rate</t>
  </si>
  <si>
    <t xml:space="preserve"> Bbls</t>
  </si>
  <si>
    <t xml:space="preserve"> Bbls/hr</t>
  </si>
  <si>
    <t xml:space="preserve"> Cub.m./hr</t>
  </si>
  <si>
    <t xml:space="preserve"> Cub.m.</t>
  </si>
  <si>
    <t xml:space="preserve">Volume Before </t>
  </si>
  <si>
    <t xml:space="preserve">Temp. Before </t>
  </si>
  <si>
    <t xml:space="preserve">Temp. After </t>
  </si>
  <si>
    <t xml:space="preserve">Volume After </t>
  </si>
  <si>
    <t>DO NOT ENTER DATA IN THIS AREA, LINE DISPLACEMENT CALCULATIONS</t>
  </si>
  <si>
    <t>Observed</t>
  </si>
  <si>
    <t>Before Change</t>
  </si>
  <si>
    <t>After Change</t>
  </si>
  <si>
    <t xml:space="preserve">Difference </t>
  </si>
  <si>
    <t xml:space="preserve">PETROLEUM MEASUREMENT TABLES ASTM D 1250-80  Volume I / II </t>
  </si>
  <si>
    <r>
      <t xml:space="preserve">Volume 
</t>
    </r>
    <r>
      <rPr>
        <sz val="9"/>
        <rFont val="Arial"/>
        <family val="2"/>
        <charset val="204"/>
      </rPr>
      <t>@60°F
(Bbls)</t>
    </r>
  </si>
  <si>
    <r>
      <t xml:space="preserve">Volume 
</t>
    </r>
    <r>
      <rPr>
        <sz val="9"/>
        <rFont val="Arial"/>
        <family val="2"/>
        <charset val="204"/>
      </rPr>
      <t>@obs.temp. 
(Bbls)</t>
    </r>
  </si>
  <si>
    <r>
      <t xml:space="preserve">Volume </t>
    </r>
    <r>
      <rPr>
        <sz val="9"/>
        <rFont val="Arial"/>
        <family val="2"/>
        <charset val="204"/>
      </rPr>
      <t>@15°C  
(Cub.m.)</t>
    </r>
  </si>
  <si>
    <r>
      <t xml:space="preserve">Volume </t>
    </r>
    <r>
      <rPr>
        <sz val="9"/>
        <rFont val="Arial"/>
        <family val="2"/>
        <charset val="204"/>
      </rPr>
      <t>@obs.temp.
(Cub.m.)</t>
    </r>
  </si>
  <si>
    <r>
      <t xml:space="preserve">Volume </t>
    </r>
    <r>
      <rPr>
        <sz val="9"/>
        <rFont val="Arial"/>
        <family val="2"/>
        <charset val="204"/>
      </rPr>
      <t>@60°F
(Bbls)</t>
    </r>
  </si>
  <si>
    <r>
      <t xml:space="preserve">Volume </t>
    </r>
    <r>
      <rPr>
        <sz val="9"/>
        <rFont val="Arial"/>
        <family val="2"/>
        <charset val="204"/>
      </rPr>
      <t>@obs.temp. 
(Bbls)</t>
    </r>
  </si>
  <si>
    <t>Volume after change Temperature</t>
  </si>
  <si>
    <t>Calculator - Volume Interpolation</t>
  </si>
  <si>
    <t>• Volume Interpolation</t>
  </si>
  <si>
    <t>ULLAGE</t>
  </si>
  <si>
    <t xml:space="preserve">           TRIM 
 ULLAGE</t>
  </si>
  <si>
    <t>Volume</t>
  </si>
  <si>
    <t>Conversion Tables for Crude Oil</t>
  </si>
  <si>
    <t>Based on ASTM Tables D1250-80 53A, 51, 56 &amp; 58</t>
  </si>
  <si>
    <t>Duplicate of Table produced and utilsed by Nafta Moscow</t>
  </si>
  <si>
    <t>20°</t>
  </si>
  <si>
    <t>15°</t>
  </si>
  <si>
    <t>FACT</t>
  </si>
  <si>
    <t xml:space="preserve"> Used : </t>
  </si>
  <si>
    <t>ONE  TANK  FILLING  RATE</t>
  </si>
  <si>
    <t>Tank    No.</t>
  </si>
  <si>
    <t>m3/cm</t>
  </si>
  <si>
    <t>bbls/cm</t>
  </si>
  <si>
    <t>CENTIMETRE / MINUTE</t>
  </si>
  <si>
    <t>METER / HOUR</t>
  </si>
  <si>
    <t>1 C</t>
  </si>
  <si>
    <t>2 C</t>
  </si>
  <si>
    <t>3 C</t>
  </si>
  <si>
    <t>4 C</t>
  </si>
  <si>
    <t>5 C</t>
  </si>
  <si>
    <t>1 W</t>
  </si>
  <si>
    <t>2 W</t>
  </si>
  <si>
    <t>3 W</t>
  </si>
  <si>
    <t>4 W</t>
  </si>
  <si>
    <t>5 W</t>
  </si>
  <si>
    <t>SL W</t>
  </si>
  <si>
    <t xml:space="preserve">Note : </t>
  </si>
  <si>
    <t>For Wings Tanks m3/cm for both tanks. (example: 1P - 5.8 m3/cm, insert for 1W - 11.6 m3/cm)</t>
  </si>
  <si>
    <t>Filling Rate calculated for one tank (example: Filling Rate for 1P - 7.2 cm/min @ Loading Rate 5000 m3/hr)</t>
  </si>
  <si>
    <t>Calculator - ONE  TANK  FILLING  RATE</t>
  </si>
  <si>
    <t>• One Tank Filling Rate</t>
  </si>
  <si>
    <t>Ullage</t>
  </si>
  <si>
    <t>Dimensions of Pipes</t>
  </si>
  <si>
    <t xml:space="preserve">System : </t>
  </si>
  <si>
    <t>Nominal Size</t>
  </si>
  <si>
    <t>Inside Size</t>
  </si>
  <si>
    <t xml:space="preserve">Size  </t>
  </si>
  <si>
    <t>Length</t>
  </si>
  <si>
    <t>mm.</t>
  </si>
  <si>
    <t>Inch.</t>
  </si>
  <si>
    <t>Ø mm.</t>
  </si>
  <si>
    <t>Do Not Enter Data In This Area</t>
  </si>
  <si>
    <t xml:space="preserve">Pipe : </t>
  </si>
  <si>
    <t>100A</t>
  </si>
  <si>
    <r>
      <t>4</t>
    </r>
    <r>
      <rPr>
        <sz val="11"/>
        <rFont val="Arial"/>
        <family val="2"/>
        <charset val="204"/>
      </rPr>
      <t>"</t>
    </r>
  </si>
  <si>
    <t>150A</t>
  </si>
  <si>
    <r>
      <t>6</t>
    </r>
    <r>
      <rPr>
        <sz val="11"/>
        <rFont val="Arial"/>
        <family val="2"/>
        <charset val="204"/>
      </rPr>
      <t>"</t>
    </r>
  </si>
  <si>
    <t>Metric</t>
  </si>
  <si>
    <t>200A</t>
  </si>
  <si>
    <r>
      <t>8</t>
    </r>
    <r>
      <rPr>
        <sz val="11"/>
        <rFont val="Arial"/>
        <family val="2"/>
        <charset val="204"/>
      </rPr>
      <t>"</t>
    </r>
  </si>
  <si>
    <t>Inches</t>
  </si>
  <si>
    <t>Permited Max. Loading Rate</t>
  </si>
  <si>
    <t>250A</t>
  </si>
  <si>
    <r>
      <t>10</t>
    </r>
    <r>
      <rPr>
        <sz val="11"/>
        <rFont val="Arial"/>
        <family val="2"/>
        <charset val="204"/>
      </rPr>
      <t>"</t>
    </r>
  </si>
  <si>
    <t>300A</t>
  </si>
  <si>
    <r>
      <t>12</t>
    </r>
    <r>
      <rPr>
        <sz val="11"/>
        <rFont val="Arial"/>
        <family val="2"/>
        <charset val="204"/>
      </rPr>
      <t>"</t>
    </r>
  </si>
  <si>
    <t>Flow Rates</t>
  </si>
  <si>
    <t>Max.  Loading  Rate</t>
  </si>
  <si>
    <t>350A</t>
  </si>
  <si>
    <r>
      <t>14</t>
    </r>
    <r>
      <rPr>
        <sz val="11"/>
        <rFont val="Arial"/>
        <family val="2"/>
        <charset val="204"/>
      </rPr>
      <t>"</t>
    </r>
  </si>
  <si>
    <t>cub.m/hr</t>
  </si>
  <si>
    <t>bbls/hr</t>
  </si>
  <si>
    <t>400A</t>
  </si>
  <si>
    <r>
      <t>16</t>
    </r>
    <r>
      <rPr>
        <sz val="11"/>
        <rFont val="Arial"/>
        <family val="2"/>
        <charset val="204"/>
      </rPr>
      <t>"</t>
    </r>
  </si>
  <si>
    <t>500A</t>
  </si>
  <si>
    <r>
      <t>20</t>
    </r>
    <r>
      <rPr>
        <sz val="11"/>
        <rFont val="Arial"/>
        <family val="2"/>
        <charset val="204"/>
      </rPr>
      <t>"</t>
    </r>
  </si>
  <si>
    <t>600A</t>
  </si>
  <si>
    <r>
      <t>24</t>
    </r>
    <r>
      <rPr>
        <sz val="11"/>
        <rFont val="Arial"/>
        <family val="2"/>
        <charset val="204"/>
      </rPr>
      <t>"</t>
    </r>
  </si>
  <si>
    <t>650A</t>
  </si>
  <si>
    <r>
      <t>26</t>
    </r>
    <r>
      <rPr>
        <sz val="11"/>
        <rFont val="Arial"/>
        <family val="2"/>
        <charset val="204"/>
      </rPr>
      <t>"</t>
    </r>
  </si>
  <si>
    <t>700A</t>
  </si>
  <si>
    <r>
      <t>28</t>
    </r>
    <r>
      <rPr>
        <sz val="11"/>
        <rFont val="Arial"/>
        <family val="2"/>
        <charset val="204"/>
      </rPr>
      <t>"</t>
    </r>
  </si>
  <si>
    <t>750A</t>
  </si>
  <si>
    <r>
      <t>30</t>
    </r>
    <r>
      <rPr>
        <sz val="11"/>
        <rFont val="Arial"/>
        <family val="2"/>
        <charset val="204"/>
      </rPr>
      <t>"</t>
    </r>
  </si>
  <si>
    <t>800A</t>
  </si>
  <si>
    <r>
      <t>32</t>
    </r>
    <r>
      <rPr>
        <sz val="11"/>
        <rFont val="Arial"/>
        <family val="2"/>
        <charset val="204"/>
      </rPr>
      <t>"</t>
    </r>
  </si>
  <si>
    <t>• Pipelines Capacities</t>
  </si>
  <si>
    <t>Pipelines Capacities</t>
  </si>
  <si>
    <t>Calculator - Pipelines Capacities</t>
  </si>
  <si>
    <t>CAPACITIES OF PIPELINES</t>
  </si>
  <si>
    <t>Nominal</t>
  </si>
  <si>
    <t>Inside</t>
  </si>
  <si>
    <t>Imp. Gals.</t>
  </si>
  <si>
    <t>U.S.Gals.</t>
  </si>
  <si>
    <t>Dia</t>
  </si>
  <si>
    <t>Foot</t>
  </si>
  <si>
    <t>Metre</t>
  </si>
  <si>
    <t>Mile</t>
  </si>
  <si>
    <r>
      <t xml:space="preserve">Note: </t>
    </r>
    <r>
      <rPr>
        <sz val="10"/>
        <rFont val="Arial"/>
        <family val="2"/>
        <charset val="204"/>
      </rPr>
      <t>The above calculations are computed from the inside diameters stated, therefore for greater accuracy the inside pipe diameters should be verified.</t>
    </r>
  </si>
  <si>
    <t>• Initial &amp; Max. Loading Rate</t>
  </si>
  <si>
    <t>Calculator - Initial &amp; Max. Loading Rate</t>
  </si>
  <si>
    <t>Initial Loading Rate</t>
  </si>
  <si>
    <t>ISGOTT Sixth Edition - 2.1.7.3 During the initial filling of a tank</t>
  </si>
  <si>
    <t xml:space="preserve">ISGOTT Sixth Edition - 12.1.7.8 Limitation of product velocity (loading rates) after the initial filling period (bulk loading) </t>
  </si>
  <si>
    <t>• ISGOTT Sixth Edition</t>
  </si>
  <si>
    <t xml:space="preserve"> hrs</t>
  </si>
  <si>
    <t xml:space="preserve"> (hh:mm)</t>
  </si>
  <si>
    <t xml:space="preserve"> (days hh:mm)</t>
  </si>
  <si>
    <t>Time to Go bulk</t>
  </si>
  <si>
    <t xml:space="preserve">Stripping C.O.T. </t>
  </si>
  <si>
    <t xml:space="preserve">Stripping Cargo Lines </t>
  </si>
  <si>
    <t xml:space="preserve">TOTALl Time to Go </t>
  </si>
  <si>
    <t xml:space="preserve">TOTAL Time to Go </t>
  </si>
  <si>
    <t>Data &amp; Time Commenced</t>
  </si>
  <si>
    <t xml:space="preserve"> ET of Completion</t>
  </si>
  <si>
    <t>https://sevensurveyor.com/wedge-formula/</t>
  </si>
  <si>
    <t>http://petrolinspector.blogspot.com/2016/05/the-wedge-formula.html</t>
  </si>
  <si>
    <t xml:space="preserve">Saybolt Inspection Manual </t>
  </si>
  <si>
    <t>WEDGE FORMULA</t>
  </si>
  <si>
    <t>• Wedge formula - Saybolt</t>
  </si>
  <si>
    <t>• Wedge formula - API MPMS</t>
  </si>
  <si>
    <t>API MPMS - Chapter 17.4</t>
  </si>
  <si>
    <t>https://eballotprodstorage.blob.core.windows.net/eballotscontainer/17.4_e2%20reaff.pdf</t>
  </si>
  <si>
    <t>Wedge Calculation Worksheet</t>
  </si>
  <si>
    <t>Tank No.</t>
  </si>
  <si>
    <t>TOTAL VOLUME (SAME UNITS AS TABLE VOLUME)</t>
  </si>
  <si>
    <t>Key (all values to be in same units)</t>
  </si>
  <si>
    <t>D</t>
  </si>
  <si>
    <t>S</t>
  </si>
  <si>
    <t>U</t>
  </si>
  <si>
    <t>L</t>
  </si>
  <si>
    <t>F</t>
  </si>
  <si>
    <t>Adjusted innage at aft bulkhead</t>
  </si>
  <si>
    <t>Reference height (depth)</t>
  </si>
  <si>
    <t>Sounding (observed innage)</t>
  </si>
  <si>
    <t>Ullage distance (from aft bulkhead) (See Note 3)</t>
  </si>
  <si>
    <t>Length of tank</t>
  </si>
  <si>
    <t>FIELD INFORMATION</t>
  </si>
  <si>
    <t>Draft Aft</t>
  </si>
  <si>
    <t>-</t>
  </si>
  <si>
    <t>=</t>
  </si>
  <si>
    <t>+</t>
  </si>
  <si>
    <t>x</t>
  </si>
  <si>
    <t>Draft Forward</t>
  </si>
  <si>
    <t>Trim</t>
  </si>
  <si>
    <t>LBP</t>
  </si>
  <si>
    <t>Trim Factor (F)</t>
  </si>
  <si>
    <t>Mean Height (D)</t>
  </si>
  <si>
    <t xml:space="preserve"> + S</t>
  </si>
  <si>
    <t>Wedge Length 
(See NOTE 1)</t>
  </si>
  <si>
    <t>Volume 
(barrels / cubic meters)</t>
  </si>
  <si>
    <t>VESSEL: ____________________________________</t>
  </si>
  <si>
    <t>PRODUCT/CARGO: ________________________________</t>
  </si>
  <si>
    <t>PORT/TERMINAL: _______________________________</t>
  </si>
  <si>
    <t>DATE: __________________</t>
  </si>
  <si>
    <r>
      <t xml:space="preserve">U 
</t>
    </r>
    <r>
      <rPr>
        <sz val="10"/>
        <rFont val="Arial"/>
        <family val="2"/>
        <charset val="204"/>
      </rPr>
      <t>(See NOTE 3)</t>
    </r>
  </si>
  <si>
    <r>
      <t xml:space="preserve">- </t>
    </r>
    <r>
      <rPr>
        <i/>
        <sz val="10"/>
        <rFont val="Times New Roman"/>
        <family val="1"/>
        <charset val="204"/>
      </rPr>
      <t>DF</t>
    </r>
  </si>
  <si>
    <r>
      <t xml:space="preserve">x </t>
    </r>
    <r>
      <rPr>
        <i/>
        <sz val="10"/>
        <rFont val="Times New Roman"/>
        <family val="1"/>
        <charset val="204"/>
      </rPr>
      <t>F</t>
    </r>
  </si>
  <si>
    <r>
      <t xml:space="preserve"> = </t>
    </r>
    <r>
      <rPr>
        <i/>
        <sz val="10"/>
        <rFont val="Times New Roman"/>
        <family val="1"/>
        <charset val="204"/>
      </rPr>
      <t xml:space="preserve">A 
</t>
    </r>
    <r>
      <rPr>
        <sz val="10"/>
        <rFont val="Arial"/>
        <family val="2"/>
        <charset val="204"/>
      </rPr>
      <t>(See NOTE 4)</t>
    </r>
  </si>
  <si>
    <r>
      <t xml:space="preserve">Divide </t>
    </r>
    <r>
      <rPr>
        <i/>
        <sz val="10"/>
        <rFont val="Times New Roman"/>
        <family val="1"/>
        <charset val="204"/>
      </rPr>
      <t xml:space="preserve">A 
</t>
    </r>
    <r>
      <rPr>
        <sz val="10"/>
        <rFont val="Arial"/>
        <family val="2"/>
        <charset val="204"/>
      </rPr>
      <t>by 2</t>
    </r>
  </si>
  <si>
    <t>Capacity 
Table Volume 
(See NOTE 2)</t>
  </si>
  <si>
    <r>
      <t xml:space="preserve">Multiply by </t>
    </r>
    <r>
      <rPr>
        <i/>
        <sz val="10"/>
        <rFont val="Times New Roman"/>
        <family val="1"/>
        <charset val="204"/>
      </rPr>
      <t>A</t>
    </r>
  </si>
  <si>
    <r>
      <t xml:space="preserve">Divide by </t>
    </r>
    <r>
      <rPr>
        <i/>
        <sz val="10"/>
        <rFont val="Times New Roman"/>
        <family val="1"/>
        <charset val="204"/>
      </rPr>
      <t>F</t>
    </r>
  </si>
  <si>
    <r>
      <t xml:space="preserve">Divide by </t>
    </r>
    <r>
      <rPr>
        <i/>
        <sz val="10"/>
        <rFont val="Times New Roman"/>
        <family val="1"/>
        <charset val="204"/>
      </rPr>
      <t>L</t>
    </r>
  </si>
  <si>
    <r>
      <t xml:space="preserve">Trim factor (trim </t>
    </r>
    <r>
      <rPr>
        <sz val="8"/>
        <rFont val="Courier New"/>
        <family val="3"/>
        <charset val="204"/>
      </rPr>
      <t xml:space="preserve">- </t>
    </r>
    <r>
      <rPr>
        <sz val="8"/>
        <rFont val="Arial"/>
        <family val="2"/>
        <charset val="204"/>
      </rPr>
      <t>LBP)</t>
    </r>
  </si>
  <si>
    <t>INSPECTOR:_______________________   FOR VESSEL: _____________________</t>
  </si>
  <si>
    <r>
      <t xml:space="preserve">NOTES 
1. Wedge length = </t>
    </r>
    <r>
      <rPr>
        <i/>
        <sz val="8"/>
        <rFont val="Arial"/>
        <family val="2"/>
        <charset val="204"/>
      </rPr>
      <t>A /</t>
    </r>
    <r>
      <rPr>
        <i/>
        <sz val="8"/>
        <rFont val="Times New Roman"/>
        <family val="1"/>
        <charset val="204"/>
      </rPr>
      <t>F</t>
    </r>
    <r>
      <rPr>
        <i/>
        <sz val="8"/>
        <rFont val="Arial"/>
        <family val="2"/>
        <charset val="204"/>
      </rPr>
      <t>.</t>
    </r>
    <r>
      <rPr>
        <sz val="8"/>
        <rFont val="Arial"/>
        <family val="2"/>
        <charset val="204"/>
      </rPr>
      <t xml:space="preserve"> If the length of the wedge is greater than the tank length, do not proceed with the calculation; use applicable trim correction. 
2. Extract the table volume for a vessel on an even keel and upright. 
3. Reverse wedge: If the vessel (barge) is trimmed down by the head (bow), then use the distance from the ullage hatch to the forward bulkhead. 
4. On tanks with extreme shape (e.g. 1 wings), calculate the adjusted innage (</t>
    </r>
    <r>
      <rPr>
        <i/>
        <sz val="8"/>
        <rFont val="Times New Roman"/>
        <family val="1"/>
        <charset val="204"/>
      </rPr>
      <t>A</t>
    </r>
    <r>
      <rPr>
        <sz val="8"/>
        <rFont val="Arial"/>
        <family val="2"/>
        <charset val="204"/>
      </rPr>
      <t xml:space="preserve">) and use the compartments’ bottom width </t>
    </r>
    <r>
      <rPr>
        <i/>
        <sz val="8"/>
        <rFont val="Arial"/>
        <family val="2"/>
        <charset val="204"/>
      </rPr>
      <t>(</t>
    </r>
    <r>
      <rPr>
        <i/>
        <sz val="8"/>
        <rFont val="Times New Roman"/>
        <family val="1"/>
        <charset val="204"/>
      </rPr>
      <t>W</t>
    </r>
    <r>
      <rPr>
        <i/>
        <sz val="8"/>
        <rFont val="Arial"/>
        <family val="2"/>
        <charset val="204"/>
      </rPr>
      <t>)</t>
    </r>
    <r>
      <rPr>
        <sz val="8"/>
        <rFont val="Arial"/>
        <family val="2"/>
        <charset val="204"/>
      </rPr>
      <t xml:space="preserve"> in substitute formula </t>
    </r>
    <r>
      <rPr>
        <i/>
        <sz val="8"/>
        <rFont val="Times New Roman"/>
        <family val="1"/>
        <charset val="204"/>
      </rPr>
      <t>A</t>
    </r>
    <r>
      <rPr>
        <sz val="8"/>
        <rFont val="Arial"/>
        <family val="2"/>
        <charset val="204"/>
      </rPr>
      <t xml:space="preserve">2 x </t>
    </r>
    <r>
      <rPr>
        <i/>
        <sz val="8"/>
        <rFont val="Arial"/>
        <family val="2"/>
        <charset val="204"/>
      </rPr>
      <t>W/</t>
    </r>
    <r>
      <rPr>
        <i/>
        <sz val="8"/>
        <rFont val="Times New Roman"/>
        <family val="1"/>
        <charset val="204"/>
      </rPr>
      <t xml:space="preserve">F </t>
    </r>
    <r>
      <rPr>
        <sz val="8"/>
        <rFont val="Arial"/>
        <family val="2"/>
        <charset val="204"/>
      </rPr>
      <t xml:space="preserve">and multiply by 0.089055 </t>
    </r>
    <r>
      <rPr>
        <i/>
        <sz val="8"/>
        <rFont val="Arial"/>
        <family val="2"/>
        <charset val="204"/>
      </rPr>
      <t>(</t>
    </r>
    <r>
      <rPr>
        <sz val="8"/>
        <rFont val="Arial"/>
        <family val="2"/>
        <charset val="204"/>
      </rPr>
      <t>customary).</t>
    </r>
  </si>
  <si>
    <t>• Wedge formulas</t>
  </si>
  <si>
    <t>WEDGE FORMULAS</t>
  </si>
  <si>
    <t>V =</t>
  </si>
  <si>
    <t>( W * A² ) / ( 2 * f )</t>
  </si>
  <si>
    <t>V = ( { [ (U-DF) x F ] + S }²   x  W ) / 2</t>
  </si>
  <si>
    <t>Ic =</t>
  </si>
  <si>
    <t>( L - Y ) * f</t>
  </si>
  <si>
    <t>f =</t>
  </si>
  <si>
    <t>T / L.B.P.</t>
  </si>
  <si>
    <t>A =</t>
  </si>
  <si>
    <t>Adjusted innage at aft bulkhead of tank</t>
  </si>
  <si>
    <t>I + ( Y * f )</t>
  </si>
  <si>
    <t>D =</t>
  </si>
  <si>
    <t>Mean total gauge height</t>
  </si>
  <si>
    <t>S =</t>
  </si>
  <si>
    <t>Sounding (innage)</t>
  </si>
  <si>
    <r>
      <t xml:space="preserve">Critical Innage </t>
    </r>
    <r>
      <rPr>
        <u/>
        <sz val="10"/>
        <rFont val="Arial"/>
        <family val="2"/>
        <charset val="204"/>
      </rPr>
      <t>(if I&lt;Ic Wedge formula applicable)</t>
    </r>
  </si>
  <si>
    <t>U =</t>
  </si>
  <si>
    <t>Distance from ullage point to aft bulkhead</t>
  </si>
  <si>
    <t>L =</t>
  </si>
  <si>
    <t>Lengh of Tank</t>
  </si>
  <si>
    <t>W =</t>
  </si>
  <si>
    <t>Width of tank</t>
  </si>
  <si>
    <t>Y =</t>
  </si>
  <si>
    <t>Distance from gauge point to Aft Bulkhead</t>
  </si>
  <si>
    <t>DF =</t>
  </si>
  <si>
    <t>Mean gauge height x trim factor</t>
  </si>
  <si>
    <t>T =</t>
  </si>
  <si>
    <t>L.B.P.=</t>
  </si>
  <si>
    <t>Length Between Perpendiculars</t>
  </si>
  <si>
    <t>F =</t>
  </si>
  <si>
    <t>Trim Factor  ( Trim / LBP )  (4 dec)</t>
  </si>
  <si>
    <t>Height of wedge at bulkhead</t>
  </si>
  <si>
    <t>I =</t>
  </si>
  <si>
    <t>Innage (Dip)</t>
  </si>
  <si>
    <t xml:space="preserve">  Note :  A²  =  { [ (U-DF) x F ] + S }²   (4 dec places)</t>
  </si>
  <si>
    <t xml:space="preserve">Volume  </t>
  </si>
  <si>
    <t xml:space="preserve">  Note :  If (A) &gt; (LxF) then do not apply Wedge Formula</t>
  </si>
  <si>
    <t>Width of Tank</t>
  </si>
  <si>
    <t>WEDGE FORMULA  (KiL)</t>
  </si>
  <si>
    <t>V=</t>
  </si>
  <si>
    <t>(( T * Y / L.B.P. + I )² * W * L ) / ( 2 * T )</t>
  </si>
  <si>
    <t>V = ( D - (H*T²)/Lpp² + (Y*T)/Lpp )² * Lpp * B</t>
  </si>
  <si>
    <t>Volume of liquid.</t>
  </si>
  <si>
    <t>T=</t>
  </si>
  <si>
    <t>Sounding of liquid from bottom at ullage hatch (not ullage)</t>
  </si>
  <si>
    <t>Y=</t>
  </si>
  <si>
    <t>H =</t>
  </si>
  <si>
    <t>Height of cargo tank. From bottom plate to deck plate.</t>
  </si>
  <si>
    <t>Vessel's Trim</t>
  </si>
  <si>
    <t xml:space="preserve"> I =</t>
  </si>
  <si>
    <t>Distance from measuring point to tank aft bulkhead.</t>
  </si>
  <si>
    <t>W=</t>
  </si>
  <si>
    <t>Lpp =</t>
  </si>
  <si>
    <t>Length between perpendiculars.</t>
  </si>
  <si>
    <t>B =</t>
  </si>
  <si>
    <t>Width of cargo tank.</t>
  </si>
  <si>
    <t>WEDGE FORMULA - SGS</t>
  </si>
  <si>
    <t>WEDGE FORMULA - API MPMS</t>
  </si>
  <si>
    <t>( { [ (U - DF) x F ] + S } x Tv )  / ( L x F )</t>
  </si>
  <si>
    <t xml:space="preserve">[ ( U - DF) x F ] + S </t>
  </si>
  <si>
    <t>Step 1:</t>
  </si>
  <si>
    <t xml:space="preserve">is distance from aft bulkhead to ullage position; </t>
  </si>
  <si>
    <t>is adjusted innage at aft bulkhead;</t>
  </si>
  <si>
    <t>is reference gauge height (D) × trim factor (F);</t>
  </si>
  <si>
    <t>is trim factor (trim divided by LBP);</t>
  </si>
  <si>
    <t>is observed innage (gauge).</t>
  </si>
  <si>
    <t>Step 2:</t>
  </si>
  <si>
    <t>Calculation of Adjusted Innage/Gauge (A)</t>
  </si>
  <si>
    <t xml:space="preserve">Test for Wedge </t>
  </si>
  <si>
    <t>length of wedge = A / F</t>
  </si>
  <si>
    <r>
      <t xml:space="preserve">  Note :  </t>
    </r>
    <r>
      <rPr>
        <i/>
        <sz val="10"/>
        <rFont val="Arial"/>
        <family val="2"/>
        <charset val="204"/>
      </rPr>
      <t>If length of wedge</t>
    </r>
    <r>
      <rPr>
        <sz val="10"/>
        <rFont val="Arial"/>
        <family val="2"/>
        <charset val="204"/>
      </rPr>
      <t xml:space="preserve"> &gt; L then do not apply Wedge Formula</t>
    </r>
  </si>
  <si>
    <t>Step 3:</t>
  </si>
  <si>
    <t xml:space="preserve">
If a wedge condition does exist, the third step is to extract the mean table volume for use in the formula. The adjusted innage (A) is divided by two, and the table volume for this depth is extracted from the vessel’s capacity tables.
</t>
  </si>
  <si>
    <t>Step 4:</t>
  </si>
  <si>
    <t>wedge volume (in table units) = ( Tv x A ) / ( L x F )</t>
  </si>
  <si>
    <t xml:space="preserve">This mean table volume is used in the second expression of the formula to calculate the wedge volume:
</t>
  </si>
  <si>
    <t>Tv =</t>
  </si>
  <si>
    <t xml:space="preserve">is table volume (vessel ullage tables); </t>
  </si>
  <si>
    <t xml:space="preserve">is adjusted innage at aft bulkhead; </t>
  </si>
  <si>
    <t xml:space="preserve">is length of compartment (tank); </t>
  </si>
  <si>
    <t>is trim factor (trim divided by LBP).</t>
  </si>
  <si>
    <t xml:space="preserve">Note : NOTE All units of measurement shall be of the same denomination—that is, decimal feet or meters.
</t>
  </si>
  <si>
    <t xml:space="preserve">The total formula expression, therefore, is as follows:
</t>
  </si>
  <si>
    <t>Tank</t>
  </si>
  <si>
    <t>I</t>
  </si>
  <si>
    <t>Ic</t>
  </si>
  <si>
    <t>Y</t>
  </si>
  <si>
    <t>RH</t>
  </si>
  <si>
    <t>W</t>
  </si>
  <si>
    <t>V</t>
  </si>
  <si>
    <t>No.</t>
  </si>
  <si>
    <t>(m)</t>
  </si>
  <si>
    <t>(Cub.m)</t>
  </si>
  <si>
    <t xml:space="preserve">Trim </t>
  </si>
  <si>
    <t>1C</t>
  </si>
  <si>
    <t xml:space="preserve">L.B.P. </t>
  </si>
  <si>
    <t>2C</t>
  </si>
  <si>
    <t>3C</t>
  </si>
  <si>
    <t>( W x A x A ) / ( 2 x f )</t>
  </si>
  <si>
    <t>4C</t>
  </si>
  <si>
    <t>5C</t>
  </si>
  <si>
    <t>Ic  =</t>
  </si>
  <si>
    <t>( L - Y ) x f</t>
  </si>
  <si>
    <t>1P</t>
  </si>
  <si>
    <t>Aa =</t>
  </si>
  <si>
    <t>I + ( Y x f ) abridged or</t>
  </si>
  <si>
    <t>1S</t>
  </si>
  <si>
    <t>A   =</t>
  </si>
  <si>
    <t>I+( Y x f ) - ( RH x f x f )  unabridged</t>
  </si>
  <si>
    <t>2P</t>
  </si>
  <si>
    <t>f    =</t>
  </si>
  <si>
    <t>(Trim / LBP)</t>
  </si>
  <si>
    <t>2S</t>
  </si>
  <si>
    <t>3P</t>
  </si>
  <si>
    <t>I   -</t>
  </si>
  <si>
    <t>Innage ( dipping)</t>
  </si>
  <si>
    <t>3S</t>
  </si>
  <si>
    <t>Ic -</t>
  </si>
  <si>
    <t>Critical innage ( Wedge formula is applicable if  I &lt; Ic only )</t>
  </si>
  <si>
    <t>4P</t>
  </si>
  <si>
    <t>A  -</t>
  </si>
  <si>
    <t>4S</t>
  </si>
  <si>
    <t>L  -</t>
  </si>
  <si>
    <t>5P</t>
  </si>
  <si>
    <t>RH -</t>
  </si>
  <si>
    <t>Reference height of tank (table)</t>
  </si>
  <si>
    <t>5S</t>
  </si>
  <si>
    <t>W  -</t>
  </si>
  <si>
    <t>Width of tank (bottom)</t>
  </si>
  <si>
    <t>Slop P</t>
  </si>
  <si>
    <t>Y  -</t>
  </si>
  <si>
    <t>Distance between gauge point and aft bulkhead</t>
  </si>
  <si>
    <t>Slop S</t>
  </si>
  <si>
    <t xml:space="preserve">FWD Draft </t>
  </si>
  <si>
    <t xml:space="preserve">AFT Draft </t>
  </si>
  <si>
    <r>
      <rPr>
        <b/>
        <sz val="9"/>
        <rFont val="Arial"/>
        <family val="2"/>
      </rPr>
      <t xml:space="preserve">Deck Lines Aft </t>
    </r>
    <r>
      <rPr>
        <sz val="9"/>
        <rFont val="Arial"/>
        <family val="2"/>
      </rPr>
      <t xml:space="preserve">
Volume</t>
    </r>
  </si>
  <si>
    <r>
      <rPr>
        <b/>
        <sz val="9"/>
        <rFont val="Arial"/>
        <family val="2"/>
      </rPr>
      <t>Deck Lines Fwd</t>
    </r>
    <r>
      <rPr>
        <sz val="9"/>
        <rFont val="Arial"/>
        <family val="2"/>
      </rPr>
      <t xml:space="preserve"> 
Volume</t>
    </r>
  </si>
  <si>
    <r>
      <rPr>
        <b/>
        <sz val="9"/>
        <rFont val="Arial"/>
        <family val="2"/>
      </rPr>
      <t>Manifold Lines</t>
    </r>
    <r>
      <rPr>
        <sz val="9"/>
        <rFont val="Arial"/>
        <family val="2"/>
      </rPr>
      <t xml:space="preserve">  
Volume</t>
    </r>
  </si>
  <si>
    <t>Go to Table</t>
  </si>
  <si>
    <t>Marked 
Lines 
Volume</t>
  </si>
  <si>
    <t>Slop P/S</t>
  </si>
  <si>
    <t>COT 6 P/S</t>
  </si>
  <si>
    <t>COT 5 P/S</t>
  </si>
  <si>
    <t>COT 4 P/S</t>
  </si>
  <si>
    <t>COT 3 P/S</t>
  </si>
  <si>
    <t>COT 2 P/S</t>
  </si>
  <si>
    <t>COT 1 P/S</t>
  </si>
  <si>
    <t>Drop Lines</t>
  </si>
  <si>
    <t>Bottom Lines</t>
  </si>
  <si>
    <t>Pumproom Lines</t>
  </si>
  <si>
    <t>Bottom Lines Volume</t>
  </si>
  <si>
    <t>Go to Top</t>
  </si>
  <si>
    <t>Name of Cargo Line</t>
  </si>
  <si>
    <t>(m³)</t>
  </si>
  <si>
    <t xml:space="preserve"> (bbls)</t>
  </si>
  <si>
    <t xml:space="preserve"> COT 1 P/S: Cargo Line 3</t>
  </si>
  <si>
    <t xml:space="preserve"> COT 1 P/S: Cargo Line 2</t>
  </si>
  <si>
    <t xml:space="preserve"> COT 1 P/S: Cargo Line 1</t>
  </si>
  <si>
    <t xml:space="preserve"> COT 2 P/S: Cargo Line 3</t>
  </si>
  <si>
    <t xml:space="preserve"> COT 2 P/S: Cargo Line 2</t>
  </si>
  <si>
    <t xml:space="preserve"> COT 2 P/S: Cargo Line 1</t>
  </si>
  <si>
    <t xml:space="preserve"> COT 3 P/S: Cargo Line 3</t>
  </si>
  <si>
    <t xml:space="preserve"> COT 3 P/S: Cargo Line 2</t>
  </si>
  <si>
    <t xml:space="preserve"> COT 3 P/S: Cargo Line 1</t>
  </si>
  <si>
    <t xml:space="preserve"> COT 4 P/S: Cargo Line 3</t>
  </si>
  <si>
    <t xml:space="preserve"> COT 4 P/S: Cargo Line 2</t>
  </si>
  <si>
    <t xml:space="preserve"> COT 4 P/S: Cargo Line 1</t>
  </si>
  <si>
    <t xml:space="preserve"> COT 5 P/S: Cargo Line 3</t>
  </si>
  <si>
    <t xml:space="preserve"> COT 5 P/S: Cargo Line 2</t>
  </si>
  <si>
    <t xml:space="preserve"> COT 5 P/S: Cargo Line 1</t>
  </si>
  <si>
    <t xml:space="preserve"> COT 6 P/S: Cargo Line 3</t>
  </si>
  <si>
    <t xml:space="preserve"> COT 6 P/S: Cargo Line 2</t>
  </si>
  <si>
    <t xml:space="preserve"> COT 6 P/S: Cargo Line 1</t>
  </si>
  <si>
    <t xml:space="preserve"> Slop P/S: Cargo Line 3</t>
  </si>
  <si>
    <t xml:space="preserve"> Slop P/S: Cargo Line 2</t>
  </si>
  <si>
    <t xml:space="preserve"> Slop P/S: Cargo Line 1</t>
  </si>
  <si>
    <t>Goto Top</t>
  </si>
  <si>
    <t>Manifold Line 3</t>
  </si>
  <si>
    <t>Manifold Line 2</t>
  </si>
  <si>
    <t>Manifold Line 1</t>
  </si>
  <si>
    <t>Deck Line 3 Fwd</t>
  </si>
  <si>
    <t>Deck Line 2 Fwd</t>
  </si>
  <si>
    <t>Deck Line 1 Fwd</t>
  </si>
  <si>
    <t>Deck Line 3 Aft</t>
  </si>
  <si>
    <t>Deck Line 2 Aft</t>
  </si>
  <si>
    <t>Deck Line 1 Aft</t>
  </si>
  <si>
    <t>Pumproom Line 3</t>
  </si>
  <si>
    <t>Pumproom Line 2</t>
  </si>
  <si>
    <t>Pumproom Line 1</t>
  </si>
  <si>
    <t>GRAND TOTAL :</t>
  </si>
  <si>
    <t>Volume of Marked Lines :</t>
  </si>
  <si>
    <t>Calculator - VOLUME of Cargo Lines</t>
  </si>
  <si>
    <t xml:space="preserve">Input Data  : </t>
  </si>
  <si>
    <t xml:space="preserve">ASTM Table  : </t>
  </si>
  <si>
    <t>Temp.</t>
  </si>
  <si>
    <t>G.O.V.</t>
  </si>
  <si>
    <t>G.S.V.</t>
  </si>
  <si>
    <t>MT</t>
  </si>
  <si>
    <t>Mix.Ratio</t>
  </si>
  <si>
    <t>1st Cargo</t>
  </si>
  <si>
    <t>2nd Cargo</t>
  </si>
  <si>
    <t>Total Blended:</t>
  </si>
  <si>
    <t>2nd Cargo (Before Commingling with Calculated Temp.)</t>
  </si>
  <si>
    <t>Go to Back</t>
  </si>
  <si>
    <t>(a)</t>
  </si>
  <si>
    <t>API (1)</t>
  </si>
  <si>
    <t>API / Density</t>
  </si>
  <si>
    <t>GOV</t>
  </si>
  <si>
    <t>GSV</t>
  </si>
  <si>
    <t>(b)</t>
  </si>
  <si>
    <t>Temp (T1)</t>
  </si>
  <si>
    <t>(с)</t>
  </si>
  <si>
    <t>GOV (1)</t>
  </si>
  <si>
    <t>GSV (1) @ 60°F</t>
  </si>
  <si>
    <t>1000 US Gallons</t>
  </si>
  <si>
    <t>(e)</t>
  </si>
  <si>
    <t>API (2)</t>
  </si>
  <si>
    <t>(f)</t>
  </si>
  <si>
    <t>Final Temp (T2)</t>
  </si>
  <si>
    <t>Total Blended</t>
  </si>
  <si>
    <t>2nd Cargo Shore</t>
  </si>
  <si>
    <t>(g)</t>
  </si>
  <si>
    <t>Total GOV</t>
  </si>
  <si>
    <t>(k)</t>
  </si>
  <si>
    <t>VCF(1) at Temp(T2)</t>
  </si>
  <si>
    <t xml:space="preserve">Table 6A with (a)API(1) &amp; (f)Temp(T2) </t>
  </si>
  <si>
    <t>ASTM Tables</t>
  </si>
  <si>
    <t>GOV(1) at Temp(T2)</t>
  </si>
  <si>
    <t>(m) = (d) / (k)</t>
  </si>
  <si>
    <t>(n)</t>
  </si>
  <si>
    <t>GOV ( 2nd Parcel )</t>
  </si>
  <si>
    <t>(n) = (g) - (m)</t>
  </si>
  <si>
    <t>(w)</t>
  </si>
  <si>
    <t>Weighted  API</t>
  </si>
  <si>
    <t>(w)=[(m)*(a)+(n)*(e)] / (g)</t>
  </si>
  <si>
    <t>SHORE TEMPERATURE FOR 2nd CARGO</t>
  </si>
  <si>
    <t>PETROLEUM MEASUREMENT TABLES ASTM D 1250-80  Volume XI / XII</t>
  </si>
  <si>
    <t>(1)</t>
  </si>
  <si>
    <t>GOV1*Temp1</t>
  </si>
  <si>
    <t>Tab.54A</t>
  </si>
  <si>
    <t>(2)</t>
  </si>
  <si>
    <t>GOV(Blend.)*Temp(Blend.)</t>
  </si>
  <si>
    <t>Tab.54B</t>
  </si>
  <si>
    <t>(3)</t>
  </si>
  <si>
    <t>(2) - (1)</t>
  </si>
  <si>
    <t>Shore Temperature</t>
  </si>
  <si>
    <t>(3)/(GOV(Blend.)-GOV(1)</t>
  </si>
  <si>
    <t>Shore GOV</t>
  </si>
  <si>
    <t>WCF</t>
  </si>
  <si>
    <t>Tab.11</t>
  </si>
  <si>
    <t>Tab.13</t>
  </si>
  <si>
    <t>Tab.57</t>
  </si>
  <si>
    <t xml:space="preserve">Volume of Tanks (100%) : </t>
  </si>
  <si>
    <t xml:space="preserve">Select </t>
  </si>
  <si>
    <r>
      <t>Temp.</t>
    </r>
    <r>
      <rPr>
        <sz val="10"/>
        <rFont val="Arial"/>
        <family val="2"/>
        <charset val="204"/>
      </rPr>
      <t xml:space="preserve">        </t>
    </r>
  </si>
  <si>
    <t xml:space="preserve"> @obs.temp.</t>
  </si>
  <si>
    <t>(%)</t>
  </si>
  <si>
    <t xml:space="preserve">2nd METHOD OF Calculation Of Blended API </t>
  </si>
  <si>
    <t>1st Cargo (Blend.Temp.)</t>
  </si>
  <si>
    <t>2nd Cargo (Blend.Temp.)</t>
  </si>
  <si>
    <t>Blended by Volume or MT</t>
  </si>
  <si>
    <t>Blended by Mix.Ratio</t>
  </si>
  <si>
    <t>Blended by Volume</t>
  </si>
  <si>
    <t xml:space="preserve">Volume of COT </t>
  </si>
  <si>
    <t>Volume for Loating</t>
  </si>
  <si>
    <t>PREDICTION - Blended GOV, GSV, MT (Using API / °F - ASTM TABLES 6A, 6B)</t>
  </si>
  <si>
    <r>
      <t>Volume</t>
    </r>
    <r>
      <rPr>
        <sz val="10"/>
        <color indexed="9"/>
        <rFont val="Arial"/>
        <family val="2"/>
        <charset val="204"/>
      </rPr>
      <t xml:space="preserve">    </t>
    </r>
  </si>
  <si>
    <t>@60°F</t>
  </si>
  <si>
    <t>(Bbls)</t>
  </si>
  <si>
    <t>T.13</t>
  </si>
  <si>
    <t>Select VOLUME for Cargo Tanks</t>
  </si>
  <si>
    <t>(@obs.temp.)</t>
  </si>
  <si>
    <t>Blended by Volumr or MT</t>
  </si>
  <si>
    <t>PREDICTION - Blended GOV, GSV, MT (Using Density / °C - ASTM TABLES 54A, 54B)</t>
  </si>
  <si>
    <t>@15°C</t>
  </si>
  <si>
    <t>T°C</t>
  </si>
  <si>
    <t>(Cub.m.)</t>
  </si>
  <si>
    <t>Blended (Volume):</t>
  </si>
  <si>
    <t>Temp °F</t>
  </si>
  <si>
    <t>Temp °C</t>
  </si>
  <si>
    <t>1st Temp.</t>
  </si>
  <si>
    <t>2nd Temp.</t>
  </si>
  <si>
    <t>Select MIX.RATIO for Cargo Tank</t>
  </si>
  <si>
    <t>% (@bld.temp.)</t>
  </si>
  <si>
    <t>Blended Mix.Ratio:</t>
  </si>
  <si>
    <t>% (MT)</t>
  </si>
  <si>
    <t>Blended (Mix.Ratio):</t>
  </si>
  <si>
    <t>ASTM - Conversion Tables for Crude Oil</t>
  </si>
  <si>
    <t xml:space="preserve">• Converter - Density 20°, 15°, API. </t>
  </si>
  <si>
    <t>ASTM Table :</t>
  </si>
  <si>
    <t xml:space="preserve">Shore Temp. of Cargo : </t>
  </si>
  <si>
    <t xml:space="preserve">Vessel Temp. of Cargo : </t>
  </si>
  <si>
    <t xml:space="preserve">Cargo to Go : </t>
  </si>
  <si>
    <t xml:space="preserve">Will be Loaded on Vessel : </t>
  </si>
  <si>
    <t xml:space="preserve">Vessel's Order to Load : </t>
  </si>
  <si>
    <t xml:space="preserve"> Bbls @ 60°F</t>
  </si>
  <si>
    <t xml:space="preserve"> M3 @ 15°C </t>
  </si>
  <si>
    <t xml:space="preserve"> M.T.</t>
  </si>
  <si>
    <t xml:space="preserve"> L.T.</t>
  </si>
  <si>
    <t>Entry with API</t>
  </si>
  <si>
    <t>Entry with Density</t>
  </si>
  <si>
    <t xml:space="preserve">API </t>
  </si>
  <si>
    <t xml:space="preserve">Density </t>
  </si>
  <si>
    <t>Shore</t>
  </si>
  <si>
    <t xml:space="preserve">Shore Temp.°F </t>
  </si>
  <si>
    <t xml:space="preserve">Shore Temp.°C </t>
  </si>
  <si>
    <t>Vessel</t>
  </si>
  <si>
    <t xml:space="preserve">Vessel Temp.°F </t>
  </si>
  <si>
    <t xml:space="preserve">Vessel Temp.°C </t>
  </si>
  <si>
    <t xml:space="preserve">Tab.4 Cub./Bbl </t>
  </si>
  <si>
    <t xml:space="preserve">Tab.52 Cub.m./Bbl </t>
  </si>
  <si>
    <t xml:space="preserve">Tab.11 LT/Bbl </t>
  </si>
  <si>
    <t xml:space="preserve">Tab.52 Bbls/Cub.m. </t>
  </si>
  <si>
    <t xml:space="preserve">Tab.13 MT/Bbl </t>
  </si>
  <si>
    <t xml:space="preserve">Tab.56 Cub.m/MT </t>
  </si>
  <si>
    <t xml:space="preserve">Tab.57 LT/Cub.m. </t>
  </si>
  <si>
    <t>Bbls @ 60°F</t>
  </si>
  <si>
    <t xml:space="preserve">M3 @ 15°C  </t>
  </si>
  <si>
    <t>M.T.</t>
  </si>
  <si>
    <t>L.T.</t>
  </si>
  <si>
    <t>——————————————————————————————————————————————————————————————————————————</t>
  </si>
  <si>
    <t>API =</t>
  </si>
  <si>
    <t xml:space="preserve">A = </t>
  </si>
  <si>
    <r>
      <t>Total Gross</t>
    </r>
    <r>
      <rPr>
        <sz val="10"/>
        <rFont val="Arial"/>
        <family val="2"/>
      </rPr>
      <t xml:space="preserve"> Observed </t>
    </r>
    <r>
      <rPr>
        <sz val="10"/>
        <rFont val="Arial"/>
        <family val="2"/>
        <charset val="204"/>
      </rPr>
      <t>Volume (G.O.V.) of Blended Cargo</t>
    </r>
  </si>
  <si>
    <t xml:space="preserve">B = </t>
  </si>
  <si>
    <t>Gross Standard Volume (G.S.V.[1]) 1st Cargo</t>
  </si>
  <si>
    <t xml:space="preserve">C = </t>
  </si>
  <si>
    <t>Volume Correction Factor (V.C.F.) of 1st Cargo using Final Temperature of Blended Cargo</t>
  </si>
  <si>
    <t xml:space="preserve">D = </t>
  </si>
  <si>
    <t>API [2] of 2nd Cargo</t>
  </si>
  <si>
    <t xml:space="preserve">E = </t>
  </si>
  <si>
    <t>API [1] of 1st Cargo</t>
  </si>
  <si>
    <t xml:space="preserve">Temp. = </t>
  </si>
  <si>
    <t>Final Temperature of Blended Cargo</t>
  </si>
  <si>
    <t xml:space="preserve">API = </t>
  </si>
  <si>
    <t xml:space="preserve">  Blended API</t>
  </si>
  <si>
    <t>((( A - ( B / C )) * D ) + (( B / C ) * E )) / A =</t>
  </si>
  <si>
    <t>(a)   API (1)</t>
  </si>
  <si>
    <t>(b)   Temp (T1)</t>
  </si>
  <si>
    <t>(c)   GOV (1)</t>
  </si>
  <si>
    <t>(d)   GSV (1) @ 60°F</t>
  </si>
  <si>
    <t>(e)   API (2)</t>
  </si>
  <si>
    <t>(f)   Final Temp (T2)</t>
  </si>
  <si>
    <t>(g)  Total GOV</t>
  </si>
  <si>
    <t>(k)   VCF(1) at Temp(T2)</t>
  </si>
  <si>
    <t>(m) GOV(1) at Temp(T2)</t>
  </si>
  <si>
    <t>GSV(1)  /  VCF(1) at Temp(T2)       (m) = (d) / (k)</t>
  </si>
  <si>
    <t>(n)  GOV ( 2nd Parcel )</t>
  </si>
  <si>
    <t>Total GOV - GOV(1) at Temp(T2)    (n) = (g) - (m)</t>
  </si>
  <si>
    <t>(w) Weighted  API</t>
  </si>
  <si>
    <t>GSV (1)</t>
  </si>
  <si>
    <t xml:space="preserve"> @60°F</t>
  </si>
  <si>
    <t>THIS IS THE SHIP'S CALCULATION METHOD TO GET CORRECTED A.P.I. AND 2ND CARGO QUANTITY IN COMMINGLED TANKS BASED ON SHIP'S ULLAGE REPORT.</t>
  </si>
  <si>
    <t>LOADING PORTS</t>
  </si>
  <si>
    <t>DISCHARGING PORTS</t>
  </si>
  <si>
    <t>FOR CORRECTED A.P.I. IN COMMINGLED TANK</t>
  </si>
  <si>
    <t>FOR 1ST AND 2ND CARGO G.S.V. IN COMMINGLED TANK IN DISCH. PORTS</t>
  </si>
  <si>
    <t>1)</t>
  </si>
  <si>
    <t>1ST CARGO G.O.V. (T.O.V. - F.W.) IN COMINGLED TANK</t>
  </si>
  <si>
    <t>A)</t>
  </si>
  <si>
    <t>TOTAL CARGO G.O.V. (T.O.V. - F.W.) IN COMMINGLED TANK</t>
  </si>
  <si>
    <t>2)</t>
  </si>
  <si>
    <t>1ST CARGO A.P.I.</t>
  </si>
  <si>
    <t>B)</t>
  </si>
  <si>
    <t>14)  =  1ST CARGO G.S.V. IN LOADING PORT</t>
  </si>
  <si>
    <t>3)</t>
  </si>
  <si>
    <t>1) x 2)</t>
  </si>
  <si>
    <t>C)</t>
  </si>
  <si>
    <t>13)  =  TOTALCARGO G.S.V. IN COMMINGLED TANK AT LOADING PORT</t>
  </si>
  <si>
    <t>4)</t>
  </si>
  <si>
    <t>TOTAL CARGO G.O.V.  (T.O.V. - F.W.) IN COMMINGLED TANK</t>
  </si>
  <si>
    <t>D)</t>
  </si>
  <si>
    <t>A) x [ B) / C) ]  =  1ST CARGO G.O.V. AT DISCHARGING PORT</t>
  </si>
  <si>
    <t>5)</t>
  </si>
  <si>
    <t>1ST CARGO G.O.V. IN COMMINGLED TANK</t>
  </si>
  <si>
    <t>E)</t>
  </si>
  <si>
    <t>A) - D)  =  2ND CARGO G.O.V. AT DISCHARGING PORT</t>
  </si>
  <si>
    <t>6)</t>
  </si>
  <si>
    <t>4) - 5)  =  2ND CARGO G.O.V.</t>
  </si>
  <si>
    <t>F)</t>
  </si>
  <si>
    <t>V.C.F. RELATED TO 10) AND AVERAGE TEMP. IN COMMINGLED TANK</t>
  </si>
  <si>
    <t>7)</t>
  </si>
  <si>
    <t>2ND CARGO A.P.I.</t>
  </si>
  <si>
    <t>G)</t>
  </si>
  <si>
    <t>D) x F)  =  1ST CARGO G.S.V. (INCLUDE O.B.Q.) IN COMMINGLED TANK</t>
  </si>
  <si>
    <t>8)</t>
  </si>
  <si>
    <t>6) x 7)</t>
  </si>
  <si>
    <t>H)</t>
  </si>
  <si>
    <t>E) x F)  =  2ND CARGO G.S.V. (EXCLUDE O.B.Q) IN COMMINGLED TANK</t>
  </si>
  <si>
    <t>9)</t>
  </si>
  <si>
    <t>3) + 8)</t>
  </si>
  <si>
    <t>10)</t>
  </si>
  <si>
    <t>9) / 4)  =  CORRECTED A.P.I. IN COMMINGLED TANK</t>
  </si>
  <si>
    <t>FOR 2ND CARGO G.S.V.  IN COMMINGLED TANK</t>
  </si>
  <si>
    <t>11)</t>
  </si>
  <si>
    <t>4)  =  TOTAL CARGO G.O.V. IN COMMINGLED TANK</t>
  </si>
  <si>
    <t>12)</t>
  </si>
  <si>
    <t>V.C.F RELATED TO 10) AND AVERAGE TEMP. IN COMMINGLED TANK</t>
  </si>
  <si>
    <t>13)</t>
  </si>
  <si>
    <t>11) x 12)  =  TOTAL CARGO G.S.V. IN COMMINGLED TANK</t>
  </si>
  <si>
    <t>14)</t>
  </si>
  <si>
    <t>1ST CARGO G.S.V. (INCLUDED O.B.Q.) IN COMMINGLED TANK</t>
  </si>
  <si>
    <t>15)</t>
  </si>
  <si>
    <t>13) - 14)  =  2ND CARGO G.S.V. IN COMMINGLED TANK</t>
  </si>
  <si>
    <t>• Blended API</t>
  </si>
  <si>
    <t xml:space="preserve">Calculation of quantity of oil in the commingling tank </t>
  </si>
  <si>
    <t>• SOLAS</t>
  </si>
  <si>
    <t>http://www.safety4sea.com/commingling-and-solas-compliance/</t>
  </si>
  <si>
    <t>• Commingling Calculation</t>
  </si>
  <si>
    <t>• SOLAS compliance</t>
  </si>
  <si>
    <t>Calculator - BLENDED API</t>
  </si>
  <si>
    <t>Calculator - COMMINGLED CARGO  (After Loading)</t>
  </si>
  <si>
    <t>Calculator - FOR COMMINGLE CARGO LOADING-DISCHARGING</t>
  </si>
  <si>
    <r>
      <rPr>
        <b/>
        <sz val="10"/>
        <rFont val="Arial"/>
        <family val="2"/>
      </rPr>
      <t>Example :  GOV 41077 at API 38.40 &amp; Temp 104.5,  GSV @ 60F = 40169 (Table 6A) (GOV=GBbls, GOV=NBbls)</t>
    </r>
    <r>
      <rPr>
        <sz val="10"/>
        <rFont val="Arial"/>
        <family val="2"/>
      </rPr>
      <t xml:space="preserve">
</t>
    </r>
    <r>
      <rPr>
        <b/>
        <u/>
        <sz val="10"/>
        <rFont val="Arial"/>
        <family val="2"/>
      </rPr>
      <t>AFTER LOADING 2ND GRADE CARGO,  CHECK TEMP T2(f) &amp; ULLAGE FOR TOTAL VOLUME CARGO (g)</t>
    </r>
    <r>
      <rPr>
        <sz val="10"/>
        <rFont val="Arial"/>
        <family val="2"/>
      </rPr>
      <t xml:space="preserve">
</t>
    </r>
    <r>
      <rPr>
        <b/>
        <u/>
        <sz val="10"/>
        <rFont val="Arial"/>
        <family val="2"/>
      </rPr>
      <t>FOR 1ST CARGO</t>
    </r>
    <r>
      <rPr>
        <sz val="10"/>
        <rFont val="Arial"/>
        <family val="2"/>
      </rPr>
      <t xml:space="preserve"> :   API &amp; NBBLS@60F (as original 1st cargo)
Basis on  Final Temp T2(f) and 1st Cargo API(a),  Get VCF(k)  from Table 6A to find GBBls(m) from NBBls.
</t>
    </r>
    <r>
      <rPr>
        <b/>
        <u/>
        <sz val="10"/>
        <rFont val="Arial"/>
        <family val="2"/>
      </rPr>
      <t>FOR 2ND CARGO</t>
    </r>
    <r>
      <rPr>
        <sz val="10"/>
        <rFont val="Arial"/>
        <family val="2"/>
      </rPr>
      <t xml:space="preserve"> : Calculate Total Quantity GBbls(g)  by Final Ullage &amp; Final Temp T2(f) 2nd Cargo Quantity in GBbls(n) = Total Quantity GBbls(g) - 1st Cargo GBbls(m) at Final Temp(T2) NBbls of 2nd Cargo use API of 2nd Cargo(e) &amp; Final Temp(T2)
</t>
    </r>
    <r>
      <rPr>
        <b/>
        <u/>
        <sz val="10"/>
        <rFont val="Arial"/>
        <family val="2"/>
      </rPr>
      <t>FOR COMMINGLED TOTAL CARGO CALCULATION</t>
    </r>
    <r>
      <rPr>
        <sz val="10"/>
        <rFont val="Arial"/>
        <family val="2"/>
      </rPr>
      <t xml:space="preserve"> :
Find Avg/Weighted API(w) and use Final Temp(T2) &amp; use find volume from final ullage &amp; Calculate Net Volume@60F as usual.</t>
    </r>
  </si>
  <si>
    <t xml:space="preserve">ISO 8697:1999 </t>
  </si>
  <si>
    <t xml:space="preserve">• Wedge formula - ISO 8697:1999 </t>
  </si>
  <si>
    <r>
      <rPr>
        <b/>
        <sz val="14"/>
        <color indexed="9"/>
        <rFont val="Arial"/>
        <family val="2"/>
        <charset val="204"/>
      </rPr>
      <t>ISGOTT - International Safety Guide for Oil Tankers and Terminals</t>
    </r>
    <r>
      <rPr>
        <sz val="14"/>
        <color indexed="9"/>
        <rFont val="Arial"/>
        <family val="2"/>
        <charset val="204"/>
      </rPr>
      <t xml:space="preserve"> 
</t>
    </r>
    <r>
      <rPr>
        <sz val="11"/>
        <color indexed="9"/>
        <rFont val="Arial"/>
        <family val="2"/>
        <charset val="204"/>
      </rPr>
      <t xml:space="preserve">Sixth Edition </t>
    </r>
  </si>
  <si>
    <t xml:space="preserve">Vessel's Full Capacity 98 % </t>
  </si>
  <si>
    <t xml:space="preserve">C/P min must be Loaded  </t>
  </si>
  <si>
    <t xml:space="preserve"> MT</t>
  </si>
  <si>
    <t>Cargo</t>
  </si>
  <si>
    <t>Nominated
Qty</t>
  </si>
  <si>
    <t>Tolerance</t>
  </si>
  <si>
    <t>To Load</t>
  </si>
  <si>
    <t>( % )</t>
  </si>
  <si>
    <t>AH</t>
  </si>
  <si>
    <t>AL</t>
  </si>
  <si>
    <t>TOTAL to Load :</t>
  </si>
  <si>
    <t>Vessel's Capacity :</t>
  </si>
  <si>
    <t xml:space="preserve">NOTE: </t>
  </si>
  <si>
    <t>1. Above Teoretical Calculation based on Vessel's Full Capacity 98% only.</t>
  </si>
  <si>
    <t>Vessel' Capacity 98% :</t>
  </si>
  <si>
    <t>C/P min must be Loaded   :</t>
  </si>
  <si>
    <t>TO LOAD</t>
  </si>
  <si>
    <t>T.6A</t>
  </si>
  <si>
    <t>M.T</t>
  </si>
  <si>
    <t>Total:</t>
  </si>
  <si>
    <t>Go to Calc</t>
  </si>
  <si>
    <t xml:space="preserve"> ASTM T.   6A - API / Bbls / °F </t>
  </si>
  <si>
    <t xml:space="preserve"> ASTM T.   6B - API / Bbls / °F </t>
  </si>
  <si>
    <t xml:space="preserve"> ASTM T. 24A - RD / Bbls / °F </t>
  </si>
  <si>
    <t xml:space="preserve"> ASTM T. 24B - RD / Bbls / °F </t>
  </si>
  <si>
    <t xml:space="preserve"> ASTM T. 54A - Dens. / m³ / °C </t>
  </si>
  <si>
    <t xml:space="preserve"> ASTM T. 54B - Dens. / m³ / °C </t>
  </si>
  <si>
    <r>
      <t>K</t>
    </r>
    <r>
      <rPr>
        <vertAlign val="subscript"/>
        <sz val="10"/>
        <color theme="0"/>
        <rFont val="Arial"/>
        <family val="2"/>
      </rPr>
      <t>0</t>
    </r>
  </si>
  <si>
    <r>
      <t>K</t>
    </r>
    <r>
      <rPr>
        <vertAlign val="subscript"/>
        <sz val="10"/>
        <color theme="0"/>
        <rFont val="Arial"/>
        <family val="2"/>
      </rPr>
      <t>1</t>
    </r>
  </si>
  <si>
    <r>
      <t>K</t>
    </r>
    <r>
      <rPr>
        <vertAlign val="subscript"/>
        <sz val="10"/>
        <color theme="0"/>
        <rFont val="Arial"/>
        <family val="2"/>
      </rPr>
      <t>0</t>
    </r>
    <r>
      <rPr>
        <sz val="10"/>
        <color theme="0"/>
        <rFont val="Arial"/>
        <family val="2"/>
      </rPr>
      <t>/ρ</t>
    </r>
  </si>
  <si>
    <r>
      <t>K</t>
    </r>
    <r>
      <rPr>
        <vertAlign val="subscript"/>
        <sz val="10"/>
        <color theme="0"/>
        <rFont val="Arial"/>
        <family val="2"/>
      </rPr>
      <t>0</t>
    </r>
    <r>
      <rPr>
        <sz val="10"/>
        <color theme="0"/>
        <rFont val="Arial"/>
        <family val="2"/>
      </rPr>
      <t>/ρ/ρ</t>
    </r>
  </si>
  <si>
    <r>
      <t>K</t>
    </r>
    <r>
      <rPr>
        <vertAlign val="subscript"/>
        <sz val="10"/>
        <color theme="0"/>
        <rFont val="Arial"/>
        <family val="2"/>
      </rPr>
      <t>1</t>
    </r>
    <r>
      <rPr>
        <sz val="10"/>
        <color theme="0"/>
        <rFont val="Arial"/>
        <family val="2"/>
      </rPr>
      <t>/ρ</t>
    </r>
  </si>
  <si>
    <t>INITIAL DATA</t>
  </si>
  <si>
    <t>ASTM Table Select</t>
  </si>
  <si>
    <t>Temp. 1 :</t>
  </si>
  <si>
    <t>Temp. 2 :</t>
  </si>
  <si>
    <r>
      <t>Barrels @60°F</t>
    </r>
    <r>
      <rPr>
        <b/>
        <sz val="10"/>
        <rFont val="Arial"/>
        <family val="2"/>
        <charset val="204"/>
      </rPr>
      <t/>
    </r>
  </si>
  <si>
    <t xml:space="preserve">Cubic Mtr @15°C </t>
  </si>
  <si>
    <t xml:space="preserve">ASTM Table  </t>
  </si>
  <si>
    <t xml:space="preserve">Temp. Cargo 1 </t>
  </si>
  <si>
    <t xml:space="preserve">Temp. Cargo 2 </t>
  </si>
  <si>
    <t>Temp. Cargo 1 :</t>
  </si>
  <si>
    <t>A.P.I. Cargo 1 :</t>
  </si>
  <si>
    <t>Density Cargo 1 :</t>
  </si>
  <si>
    <t>Temp. Cargo 2 :</t>
  </si>
  <si>
    <t>Density Cargo 2 :</t>
  </si>
  <si>
    <t>A.P.I. Cargo 2 :</t>
  </si>
  <si>
    <t>Cargo No.</t>
  </si>
  <si>
    <t xml:space="preserve"> ASTM Table  6A</t>
  </si>
  <si>
    <t xml:space="preserve"> ASTM Table  6B</t>
  </si>
  <si>
    <t xml:space="preserve"> ASTM Table 54A</t>
  </si>
  <si>
    <t xml:space="preserve"> ASTM Table 54B</t>
  </si>
  <si>
    <t xml:space="preserve"> A.P.I.</t>
  </si>
  <si>
    <t xml:space="preserve"> Density15°C </t>
  </si>
  <si>
    <t xml:space="preserve"> T°F</t>
  </si>
  <si>
    <t xml:space="preserve"> T°C</t>
  </si>
  <si>
    <t>T.6B</t>
  </si>
  <si>
    <t>T.54A</t>
  </si>
  <si>
    <t>Bbls@60°F</t>
  </si>
  <si>
    <t>Cub.m.@15°C</t>
  </si>
  <si>
    <t>CARGO 1</t>
  </si>
  <si>
    <t>T.54B</t>
  </si>
  <si>
    <t>ASTM Tab.</t>
  </si>
  <si>
    <t>API/Dens.</t>
  </si>
  <si>
    <t>CARGO 2</t>
  </si>
  <si>
    <t>Vessel capacity :</t>
  </si>
  <si>
    <t>Variance 
from 
Nomination</t>
  </si>
  <si>
    <t xml:space="preserve"> Cub.m.@Observed Temp.</t>
  </si>
  <si>
    <t xml:space="preserve"> Bbls@Observed Temp.</t>
  </si>
  <si>
    <t>C/P min Short Loading :</t>
  </si>
  <si>
    <t>Calculator - IG Pressure Change in C.O.T. without releasing of IG in to atmosphere</t>
  </si>
  <si>
    <t xml:space="preserve">Volume of C.O.T. : </t>
  </si>
  <si>
    <t xml:space="preserve"> mm/WG</t>
  </si>
  <si>
    <t xml:space="preserve"> %</t>
  </si>
  <si>
    <t>IG Pressure Change in C.O.T. without releasing of IG in to atmosphere</t>
  </si>
  <si>
    <t>Note</t>
  </si>
  <si>
    <t xml:space="preserve">Ballast in C.O.T. before loading : </t>
  </si>
  <si>
    <t xml:space="preserve">Ballast in C.O.T. after loading : </t>
  </si>
  <si>
    <t xml:space="preserve">Ballast Volume after loading : </t>
  </si>
  <si>
    <t xml:space="preserve">SW density : </t>
  </si>
  <si>
    <t xml:space="preserve">Water Ballast Weight : </t>
  </si>
  <si>
    <t xml:space="preserve"> kg/L</t>
  </si>
  <si>
    <t>ASTM [D 1250-80] Converters &amp; CARGO Calculators</t>
  </si>
  <si>
    <t>Nominated Qty</t>
  </si>
  <si>
    <t>T.56</t>
  </si>
  <si>
    <t>Loading Temperature</t>
  </si>
  <si>
    <t>• Saybolt Inspection Manual</t>
  </si>
  <si>
    <t>Go to ASTM Converter (API)</t>
  </si>
  <si>
    <t>Go to ASTM - V.W. Calculator</t>
  </si>
  <si>
    <t>Go to ASTM - Volume Calculator</t>
  </si>
  <si>
    <t>Go to ASTM - BL-Outturn Compare</t>
  </si>
  <si>
    <t>Go to - CP min CARGO Check</t>
  </si>
  <si>
    <t>WCF (T.13&amp;56)</t>
  </si>
  <si>
    <t>WCF (T.56)</t>
  </si>
  <si>
    <t xml:space="preserve">ASTM Table 13 - US Barrels at 60°F to Metric Tons (in AIR) </t>
  </si>
  <si>
    <t>2. Practically Total Quantity (Bbls@60°F, M³@15°C and MT) will be different from above Calculation depend on Cargo Tanks Combination and Stress Condition.</t>
  </si>
  <si>
    <t>ASTM Table 56 - Metric Tons (in AIR) to Cubic Metres at 15°C</t>
  </si>
  <si>
    <t>ASTM - CALCULATORS</t>
  </si>
  <si>
    <t>• Calculator - C/P min CARGO Check</t>
  </si>
  <si>
    <t>• Calculator - Blended Cargo</t>
  </si>
  <si>
    <t>• Calculator - Blended Cargo Prediction</t>
  </si>
  <si>
    <t>• Calculator - Shore Line Displacement</t>
  </si>
  <si>
    <t>ASTM - CHARTER PARTY Min. CARGO Check</t>
  </si>
  <si>
    <t>ASTM - SHORE LINE DISPLACEMENT Calculator</t>
  </si>
  <si>
    <t>ASTM - BLENDED CARGO PREDICTION Calculator</t>
  </si>
  <si>
    <t>ASTM - BLENDED CARGO Calculator</t>
  </si>
  <si>
    <t>ASTM - Change of Volume due to Change of Temperature Calculator</t>
  </si>
  <si>
    <t xml:space="preserve">• Calculator - Volume (Therm. expan. 2) </t>
  </si>
  <si>
    <t xml:space="preserve">• Calculator - Volume (Therm. expansion 2) </t>
  </si>
  <si>
    <t xml:space="preserve">Go to Calc </t>
  </si>
  <si>
    <t xml:space="preserve">• Calculator - Volume (Therm. expan. 3) </t>
  </si>
  <si>
    <t xml:space="preserve">• Calculator - Volume (Therm. expansion 3) </t>
  </si>
  <si>
    <t xml:space="preserve">• Calculator - Volume (Therm. expansion 1) </t>
  </si>
  <si>
    <t>Capacity of C.O.T. (100%)</t>
  </si>
  <si>
    <t>Capacity %</t>
  </si>
  <si>
    <t xml:space="preserve"> at 60/60°F</t>
  </si>
  <si>
    <t xml:space="preserve"> at 15°C</t>
  </si>
  <si>
    <t xml:space="preserve">Capacity of C.O.T. (100%) </t>
  </si>
  <si>
    <t>https://sailor-ru.narod.ru/chapter3/3-29.htm</t>
  </si>
  <si>
    <t>3.29 Cargo measurement and calculation</t>
  </si>
  <si>
    <t>https://sailor-ru.narod.ru/index.htm</t>
  </si>
  <si>
    <t>A handbook for modern tankship operations</t>
  </si>
  <si>
    <t>https://jobs.myseatime.com/blog/detail/cargo-calculations-on-tankers-astm-tables</t>
  </si>
  <si>
    <t>Calculator - Average Gravity / Temterature</t>
  </si>
  <si>
    <t>• Volume of Cargo Lines</t>
  </si>
  <si>
    <t>• IG Pressure Change</t>
  </si>
  <si>
    <t>• Units Converter - Pressure</t>
  </si>
  <si>
    <t>• Volume - Wedge formula</t>
  </si>
  <si>
    <t>Calculator - Volume Wedge formula</t>
  </si>
  <si>
    <t>Units Converter - Pressure</t>
  </si>
  <si>
    <t>• Calculator - Initial &amp; Max. Loading Rate</t>
  </si>
  <si>
    <t>• Calculator - One Tank Filling Rate</t>
  </si>
  <si>
    <t>• Calculator - ETC Cargo operation</t>
  </si>
  <si>
    <t>• Calculator - Average Gravity/Temp</t>
  </si>
  <si>
    <t>• Calculator - Volume Interpolation</t>
  </si>
  <si>
    <t>• Calculator - Volume of Cargo Lines</t>
  </si>
  <si>
    <t>• Calculator - Volume Wedge formula</t>
  </si>
  <si>
    <t>• Calculator - Blended API</t>
  </si>
  <si>
    <t>• Calculator - Commingle LOADING</t>
  </si>
  <si>
    <t>• Calculator - Pipelines Capacities</t>
  </si>
  <si>
    <t>• Calculator - IG Pressure Change</t>
  </si>
  <si>
    <t>• Commingle LOADING-DISCHARGING</t>
  </si>
  <si>
    <t>• Commingle LOADING</t>
  </si>
  <si>
    <t>• Volume Wedge formula</t>
  </si>
  <si>
    <t xml:space="preserve">Cargo Volume after Discharging : </t>
  </si>
  <si>
    <t xml:space="preserve">Cargo Volume in before Discharging : </t>
  </si>
  <si>
    <r>
      <t>IG Pressure P</t>
    </r>
    <r>
      <rPr>
        <b/>
        <vertAlign val="subscript"/>
        <sz val="10"/>
        <rFont val="Arial"/>
        <family val="2"/>
        <charset val="204"/>
      </rPr>
      <t>1</t>
    </r>
    <r>
      <rPr>
        <b/>
        <sz val="10"/>
        <rFont val="Arial"/>
        <family val="2"/>
        <charset val="204"/>
      </rPr>
      <t xml:space="preserve"> in C.O.T. before Discharging : </t>
    </r>
  </si>
  <si>
    <r>
      <t>IG Pressure P</t>
    </r>
    <r>
      <rPr>
        <b/>
        <vertAlign val="subscript"/>
        <sz val="10"/>
        <rFont val="Arial"/>
        <family val="2"/>
        <charset val="204"/>
      </rPr>
      <t>1</t>
    </r>
    <r>
      <rPr>
        <b/>
        <sz val="10"/>
        <rFont val="Arial"/>
        <family val="2"/>
        <charset val="204"/>
      </rPr>
      <t xml:space="preserve"> in C.O.T. before loading : </t>
    </r>
  </si>
  <si>
    <r>
      <t>IG Pressure P</t>
    </r>
    <r>
      <rPr>
        <b/>
        <vertAlign val="subscript"/>
        <sz val="10"/>
        <rFont val="Arial"/>
        <family val="2"/>
        <charset val="204"/>
      </rPr>
      <t>2</t>
    </r>
    <r>
      <rPr>
        <b/>
        <sz val="10"/>
        <rFont val="Arial"/>
        <family val="2"/>
        <charset val="204"/>
      </rPr>
      <t xml:space="preserve"> in C.O.T. after loading : </t>
    </r>
  </si>
  <si>
    <r>
      <t>IG Pressure P</t>
    </r>
    <r>
      <rPr>
        <b/>
        <vertAlign val="subscript"/>
        <sz val="10"/>
        <rFont val="Arial"/>
        <family val="2"/>
        <charset val="204"/>
      </rPr>
      <t>2</t>
    </r>
    <r>
      <rPr>
        <b/>
        <sz val="10"/>
        <rFont val="Arial"/>
        <family val="2"/>
        <charset val="204"/>
      </rPr>
      <t xml:space="preserve"> in C.O.T.    after Discharging : </t>
    </r>
  </si>
  <si>
    <t xml:space="preserve">P/V valve max. Pressure : </t>
  </si>
  <si>
    <t xml:space="preserve">Cargo Pump Trip (Min. IG Pressure) : </t>
  </si>
  <si>
    <t xml:space="preserve">Cargo Pump Discharge Rate : </t>
  </si>
  <si>
    <t xml:space="preserve">Time of Discarging : </t>
  </si>
  <si>
    <t xml:space="preserve"> hr:mm</t>
  </si>
  <si>
    <t>Calculator - IG Pressure Change in C.O.T. without additional inerting of C.O.T.</t>
  </si>
  <si>
    <t>• IG Pressure Change (2)</t>
  </si>
  <si>
    <t>• Calculator - IG Pressure Change (2)</t>
  </si>
  <si>
    <t>• IG Pressure - Combined gas laws</t>
  </si>
  <si>
    <t>ASTM TABLES (D 1250-80)</t>
  </si>
  <si>
    <t>ASTM Tables 6A, 6B &amp; Volume XI</t>
  </si>
  <si>
    <t>ASTM Tables 24A, 24B &amp; Volume XII</t>
  </si>
  <si>
    <t>ASTM Tables 54A, 54B &amp; Volume XII</t>
  </si>
  <si>
    <t>Entry with API @60°F :</t>
  </si>
  <si>
    <t>Entry with Rel.Density @60°F :</t>
  </si>
  <si>
    <t>Entry with Density @15°C :</t>
  </si>
  <si>
    <t>Temp. :</t>
  </si>
  <si>
    <t>Table 6A (VCF)</t>
  </si>
  <si>
    <t>Table 24A (VCF)</t>
  </si>
  <si>
    <t>Table 54A (VCF)</t>
  </si>
  <si>
    <t>Table 6B (VCF)</t>
  </si>
  <si>
    <t>Table 24B (VCF)</t>
  </si>
  <si>
    <t>Table 54B (VCF)</t>
  </si>
  <si>
    <t>Table 2 (Temperature Conversion)</t>
  </si>
  <si>
    <t>Table 3 (Relative Density (60/60°F))</t>
  </si>
  <si>
    <t>Table 21 (API (60°F))</t>
  </si>
  <si>
    <t>Table 51 (Relative Density (60/60°F))</t>
  </si>
  <si>
    <t>• ASTM Tables</t>
  </si>
  <si>
    <t>Table 3 (Density (15°C))</t>
  </si>
  <si>
    <t>Table 21 (Density (15°C))</t>
  </si>
  <si>
    <t>Table 51 (API (60°F))</t>
  </si>
  <si>
    <t>Table 4 (Litres/US Gallon)</t>
  </si>
  <si>
    <t>Table 22 (Litres @15°C/US Gallon @60°F)</t>
  </si>
  <si>
    <t>Table 52 (Cubic Mtrs/Barrel)</t>
  </si>
  <si>
    <t>Table 4 (Cubic Mtrs/Barrel)</t>
  </si>
  <si>
    <t>Table 22 (Cubic Mtrs @15°C/Barrel @60°F)</t>
  </si>
  <si>
    <t>Table 52 (Barrels/Cubic Mtr)</t>
  </si>
  <si>
    <t>Table 8 (Pounds/US Gallon)</t>
  </si>
  <si>
    <t>Table 26 (Pounds/US Gallon)</t>
  </si>
  <si>
    <t>Table 56 (Vac to Air)</t>
  </si>
  <si>
    <t>Table 8 (US Gallons/Pound)</t>
  </si>
  <si>
    <t>Table 26 (US Gallons/Pound)</t>
  </si>
  <si>
    <t>Table 56 (Air to Vac)</t>
  </si>
  <si>
    <t>Table 9 (Short Tons/1000 US Gallons)</t>
  </si>
  <si>
    <t>Table 27 (Short Tons/1000 US Gallons)</t>
  </si>
  <si>
    <t>Table 56 (Kilograms/Cubic Mtr)</t>
  </si>
  <si>
    <t>Table 9 (Short Tons/Barrel)</t>
  </si>
  <si>
    <t>Table 27 (Short Tons/Barrel)</t>
  </si>
  <si>
    <t>Table 56 (Cubic Mtrs/Tonne)</t>
  </si>
  <si>
    <t>Table 10 (US Gallons/Short Ton)</t>
  </si>
  <si>
    <t>Table 28 (US Gallons/Short Ton)</t>
  </si>
  <si>
    <t>Table 57 (Short Tons/Cubic Mtr)</t>
  </si>
  <si>
    <t>Table 10 (Barrels/Short Ton)</t>
  </si>
  <si>
    <t>Table 28 (Barrels/Short Ton)</t>
  </si>
  <si>
    <t>Table 57 (Long Tons/Cubic Mtr)</t>
  </si>
  <si>
    <t>Table 11 (Long Tons/1000 US Gallons)</t>
  </si>
  <si>
    <t>Table 29 (Long Tons/1000 US Gallons)</t>
  </si>
  <si>
    <t>Table 58 (US Gallons/Tonne)</t>
  </si>
  <si>
    <t>Table 11 (Long Tons/Barrel)</t>
  </si>
  <si>
    <t>Table 29 (Long Tons/Barrel)</t>
  </si>
  <si>
    <t>Table 58 (Barrels/Tonne)</t>
  </si>
  <si>
    <t>Table 12 (US Gallons/Long Ton)</t>
  </si>
  <si>
    <t>Table 30 (US Gallons/Long Ton)</t>
  </si>
  <si>
    <t>Table 12 (Barrels/Long Ton)</t>
  </si>
  <si>
    <t>Table 30 (Barrels/Long Ton)</t>
  </si>
  <si>
    <t>Table 13 (Tonnes/1000 US Gallons)</t>
  </si>
  <si>
    <t>Table 31 (Cubic Mtrs/Short Ton)</t>
  </si>
  <si>
    <t>Table 13 (Tonnes/Barrel) in Air</t>
  </si>
  <si>
    <t>Table 31 (Cubic Mtrs/Long Ton)</t>
  </si>
  <si>
    <t>Table 14 (Cubic Mtrs/Short Ton)</t>
  </si>
  <si>
    <t>Table 14 (Cubic Mtrs/Long Ton)</t>
  </si>
  <si>
    <t>CALCULATION - Entry with API</t>
  </si>
  <si>
    <t xml:space="preserve">Observed Temp. : </t>
  </si>
  <si>
    <t>CALCULATION - Entry with Relative Density</t>
  </si>
  <si>
    <t>CALCULATION - Entry with Density</t>
  </si>
  <si>
    <t>EXPLANATION AND USE OF TABLES - 6A, 6B, 24A, 24B, 54A, 54B.</t>
  </si>
  <si>
    <t>• Explanation &amp; use T. 6AB, 24AB, 54AB.</t>
  </si>
  <si>
    <r>
      <t xml:space="preserve">• Explanation &amp; use T. </t>
    </r>
    <r>
      <rPr>
        <sz val="10"/>
        <rFont val="Arial"/>
        <family val="2"/>
        <charset val="204"/>
      </rPr>
      <t>6AB, 24AB, 54AB.</t>
    </r>
  </si>
  <si>
    <t>• ASTM Formulas</t>
  </si>
  <si>
    <t>• Chart Which tables to use When</t>
  </si>
  <si>
    <t>• Conversion Charts Metric system</t>
  </si>
  <si>
    <t>• Conversion Charts Barrel system</t>
  </si>
  <si>
    <t>• Conversion Charts Mass &amp; Weight</t>
  </si>
  <si>
    <t>• Outturn Charts</t>
  </si>
  <si>
    <t>ASTM Formulas</t>
  </si>
  <si>
    <t>5A</t>
  </si>
  <si>
    <t>VOLUME I</t>
  </si>
  <si>
    <t>GENERALIZED CRUDE OILS CORRECTION OF OBSERVED API GRAVITY TO API GRAVITY AT 60°F</t>
  </si>
  <si>
    <t>RANGE</t>
  </si>
  <si>
    <t>˚API</t>
  </si>
  <si>
    <t>˚F</t>
  </si>
  <si>
    <r>
      <t>K</t>
    </r>
    <r>
      <rPr>
        <vertAlign val="subscript"/>
        <sz val="10"/>
        <rFont val="Arial Cyr"/>
        <family val="2"/>
        <charset val="204"/>
      </rPr>
      <t>0</t>
    </r>
    <r>
      <rPr>
        <sz val="10"/>
        <rFont val="Arial"/>
        <family val="2"/>
      </rPr>
      <t>=</t>
    </r>
  </si>
  <si>
    <t>341.0957</t>
  </si>
  <si>
    <t>PAGE X-80</t>
  </si>
  <si>
    <t>0…40</t>
  </si>
  <si>
    <t>0…300</t>
  </si>
  <si>
    <r>
      <t>K</t>
    </r>
    <r>
      <rPr>
        <vertAlign val="subscript"/>
        <sz val="10"/>
        <rFont val="Arial Cyr"/>
        <family val="2"/>
        <charset val="204"/>
      </rPr>
      <t>1</t>
    </r>
    <r>
      <rPr>
        <sz val="10"/>
        <rFont val="Arial"/>
        <family val="2"/>
      </rPr>
      <t>=</t>
    </r>
  </si>
  <si>
    <t>0.0</t>
  </si>
  <si>
    <t>40…50</t>
  </si>
  <si>
    <t>0…250</t>
  </si>
  <si>
    <t>WHERE</t>
  </si>
  <si>
    <t>∆t = t - 60</t>
  </si>
  <si>
    <t>(˚F)</t>
  </si>
  <si>
    <t>50…100</t>
  </si>
  <si>
    <t>0…200</t>
  </si>
  <si>
    <t>CONVERT API GRAVITY TO DENSITY:</t>
  </si>
  <si>
    <r>
      <t>ρ</t>
    </r>
    <r>
      <rPr>
        <vertAlign val="subscript"/>
        <sz val="10"/>
        <rFont val="Arial Cyr"/>
        <family val="2"/>
        <charset val="204"/>
      </rPr>
      <t>t</t>
    </r>
    <r>
      <rPr>
        <sz val="10"/>
        <rFont val="Arial"/>
        <family val="2"/>
      </rPr>
      <t xml:space="preserve"> = density at temperature t</t>
    </r>
  </si>
  <si>
    <t>API = observed API gravity</t>
  </si>
  <si>
    <r>
      <t>999,012 = density of water at 60˚F, Kg/m</t>
    </r>
    <r>
      <rPr>
        <vertAlign val="superscript"/>
        <sz val="10"/>
        <rFont val="Arial Cyr"/>
        <family val="2"/>
        <charset val="204"/>
      </rPr>
      <t>3</t>
    </r>
  </si>
  <si>
    <t>PAGE X-6</t>
  </si>
  <si>
    <t>5B</t>
  </si>
  <si>
    <t>VOLUME II</t>
  </si>
  <si>
    <r>
      <t>GENERALIZED PRODUCTS CORRECTION OF OBSERVED API GRAVITY TO API GRAVITY AT 60</t>
    </r>
    <r>
      <rPr>
        <vertAlign val="superscript"/>
        <sz val="10"/>
        <rFont val="Arial Cyr"/>
        <family val="2"/>
      </rPr>
      <t>°</t>
    </r>
    <r>
      <rPr>
        <sz val="10"/>
        <rFont val="Arial"/>
        <family val="2"/>
      </rPr>
      <t xml:space="preserve">F </t>
    </r>
  </si>
  <si>
    <t>50…85</t>
  </si>
  <si>
    <t>PAGE X-36</t>
  </si>
  <si>
    <t>GENERALIZED CRUDE OILS CORRECTION OF VOLUME TO 60°F AGAINST API GRAVITY AT 60°F</t>
  </si>
  <si>
    <t>PAGE X-91</t>
  </si>
  <si>
    <r>
      <t>GENERALIZED PRODUCTS CORRECTION OFVOLUME TO 60°F AGAINST API GRAVITY AT 60</t>
    </r>
    <r>
      <rPr>
        <vertAlign val="superscript"/>
        <sz val="10"/>
        <rFont val="Arial Cyr"/>
        <family val="2"/>
      </rPr>
      <t>°</t>
    </r>
    <r>
      <rPr>
        <sz val="10"/>
        <rFont val="Arial"/>
        <family val="2"/>
      </rPr>
      <t xml:space="preserve">F </t>
    </r>
  </si>
  <si>
    <t>PAGE X-112</t>
  </si>
  <si>
    <t>6C</t>
  </si>
  <si>
    <t>VOLUME III</t>
  </si>
  <si>
    <r>
      <t>VOLUME CORRECTION FACTORS FOR INDIVIDUAL AND SPECIAL APPLICATIONS VOLUME CORRECTION TO 60</t>
    </r>
    <r>
      <rPr>
        <vertAlign val="superscript"/>
        <sz val="10"/>
        <rFont val="Arial Cyr"/>
        <family val="2"/>
      </rPr>
      <t>°</t>
    </r>
    <r>
      <rPr>
        <sz val="10"/>
        <rFont val="Arial"/>
        <family val="2"/>
      </rPr>
      <t>F AGAINST THERMAL EXPANSION COEFFICIENTS AT 60</t>
    </r>
    <r>
      <rPr>
        <vertAlign val="superscript"/>
        <sz val="10"/>
        <rFont val="Arial Cyr"/>
        <family val="2"/>
      </rPr>
      <t>°</t>
    </r>
    <r>
      <rPr>
        <sz val="10"/>
        <rFont val="Arial"/>
        <family val="2"/>
      </rPr>
      <t>F</t>
    </r>
  </si>
  <si>
    <r>
      <t>α * 10</t>
    </r>
    <r>
      <rPr>
        <vertAlign val="superscript"/>
        <sz val="10"/>
        <rFont val="Arial Cyr"/>
        <family val="2"/>
        <charset val="204"/>
      </rPr>
      <t>6</t>
    </r>
  </si>
  <si>
    <t>270…510</t>
  </si>
  <si>
    <t>510…530</t>
  </si>
  <si>
    <r>
      <t>α</t>
    </r>
    <r>
      <rPr>
        <vertAlign val="subscript"/>
        <sz val="10"/>
        <rFont val="Arial Cyr"/>
        <family val="2"/>
        <charset val="204"/>
      </rPr>
      <t>60</t>
    </r>
    <r>
      <rPr>
        <sz val="10"/>
        <rFont val="Arial"/>
        <family val="2"/>
      </rPr>
      <t xml:space="preserve"> = coefficient of thermal expansion</t>
    </r>
  </si>
  <si>
    <t>530…930</t>
  </si>
  <si>
    <t>PAGE X-135</t>
  </si>
  <si>
    <t>23A</t>
  </si>
  <si>
    <t>VOLUME IV</t>
  </si>
  <si>
    <t>GENERALIZED CRUDE OILS CORRECTION OF OBSERVED RELATIVE DENSITY TO RELATIVE DENSITY 60 / 60°F</t>
  </si>
  <si>
    <r>
      <t>DENSITY ρ</t>
    </r>
    <r>
      <rPr>
        <vertAlign val="subscript"/>
        <sz val="10"/>
        <rFont val="Arial Cyr"/>
        <family val="2"/>
        <charset val="204"/>
      </rPr>
      <t xml:space="preserve">t </t>
    </r>
    <r>
      <rPr>
        <sz val="10"/>
        <rFont val="Arial"/>
        <family val="2"/>
      </rPr>
      <t>at temperature t:</t>
    </r>
  </si>
  <si>
    <r>
      <t>ρ</t>
    </r>
    <r>
      <rPr>
        <vertAlign val="subscript"/>
        <sz val="10"/>
        <rFont val="Arial Cyr"/>
        <family val="2"/>
        <charset val="204"/>
      </rPr>
      <t>t</t>
    </r>
    <r>
      <rPr>
        <sz val="10"/>
        <rFont val="Arial"/>
        <family val="2"/>
      </rPr>
      <t>=relative density*999,012</t>
    </r>
  </si>
  <si>
    <t>REL.DENSITY</t>
  </si>
  <si>
    <t>0,8255…1,076</t>
  </si>
  <si>
    <t>0,78…0,825</t>
  </si>
  <si>
    <t>0,611…0,7795</t>
  </si>
  <si>
    <t>PAGE X-151</t>
  </si>
  <si>
    <t>23B</t>
  </si>
  <si>
    <t>VOLUME V</t>
  </si>
  <si>
    <r>
      <t>GENERALIZED PRODUCTS CORRECTION OF OBSERVED RELATIVE DENSITY TO RELATIVE DENSITY 60/60</t>
    </r>
    <r>
      <rPr>
        <vertAlign val="superscript"/>
        <sz val="10"/>
        <rFont val="Arial Cyr"/>
        <family val="2"/>
      </rPr>
      <t>°</t>
    </r>
    <r>
      <rPr>
        <sz val="10"/>
        <rFont val="Arial"/>
        <family val="2"/>
      </rPr>
      <t>F</t>
    </r>
  </si>
  <si>
    <t>0,6535…0,7795</t>
  </si>
  <si>
    <t>PAGE X-184</t>
  </si>
  <si>
    <t>GENERALIZED CRUDE OILS CORRECTION OF VOLUME TO 60°F AGAINST RELATIVE DENSITY 60 / 60°F</t>
  </si>
  <si>
    <r>
      <t>ρ</t>
    </r>
    <r>
      <rPr>
        <vertAlign val="subscript"/>
        <sz val="10"/>
        <rFont val="Arial Cyr"/>
        <family val="2"/>
        <charset val="204"/>
      </rPr>
      <t xml:space="preserve">60 </t>
    </r>
    <r>
      <rPr>
        <sz val="10"/>
        <rFont val="Arial"/>
        <family val="2"/>
      </rPr>
      <t>= relative density60/60˚F * 999,012</t>
    </r>
  </si>
  <si>
    <t>PAGE X-223</t>
  </si>
  <si>
    <r>
      <t>GENERALIZED PRODUCTS CORRECTION OF VOLUME TO 60</t>
    </r>
    <r>
      <rPr>
        <vertAlign val="superscript"/>
        <sz val="10"/>
        <rFont val="Arial Cyr"/>
        <family val="2"/>
      </rPr>
      <t>°</t>
    </r>
    <r>
      <rPr>
        <sz val="10"/>
        <rFont val="Arial"/>
        <family val="2"/>
      </rPr>
      <t>F AGAINST RELATIVE DENSITY 60/60°F</t>
    </r>
  </si>
  <si>
    <t>OR</t>
  </si>
  <si>
    <r>
      <t>ρ</t>
    </r>
    <r>
      <rPr>
        <vertAlign val="subscript"/>
        <sz val="10"/>
        <rFont val="Arial Cyr"/>
        <family val="2"/>
        <charset val="204"/>
      </rPr>
      <t>60</t>
    </r>
    <r>
      <rPr>
        <sz val="10"/>
        <rFont val="Arial"/>
        <family val="2"/>
      </rPr>
      <t>=relative density60/60˚F*999,012</t>
    </r>
  </si>
  <si>
    <t>PAGE X-243</t>
  </si>
  <si>
    <t>24C</t>
  </si>
  <si>
    <t>VOLUME VI</t>
  </si>
  <si>
    <t>PAGE X-266</t>
  </si>
  <si>
    <t>53A</t>
  </si>
  <si>
    <t>VOLUME VII</t>
  </si>
  <si>
    <t>GENERALIZED CRUDE OILS CORRECTION OF OBSERVED DENSITY TO DENSITY AT 15°C</t>
  </si>
  <si>
    <t>˚C</t>
  </si>
  <si>
    <t>610,5…778,5</t>
  </si>
  <si>
    <t>-18…95</t>
  </si>
  <si>
    <t>779…824</t>
  </si>
  <si>
    <t>-18…125</t>
  </si>
  <si>
    <t>824,5…1075</t>
  </si>
  <si>
    <t>-18…150</t>
  </si>
  <si>
    <t>where</t>
  </si>
  <si>
    <r>
      <t>ρ</t>
    </r>
    <r>
      <rPr>
        <vertAlign val="subscript"/>
        <sz val="10"/>
        <rFont val="Arial Cyr"/>
        <family val="2"/>
        <charset val="204"/>
      </rPr>
      <t>15</t>
    </r>
    <r>
      <rPr>
        <sz val="10"/>
        <rFont val="Arial"/>
        <family val="2"/>
      </rPr>
      <t xml:space="preserve"> = density at the base temperature</t>
    </r>
  </si>
  <si>
    <t>∆t = t - 15</t>
  </si>
  <si>
    <t>(˚C)</t>
  </si>
  <si>
    <t>PAGE X-283</t>
  </si>
  <si>
    <t>53B</t>
  </si>
  <si>
    <t>VOLUME VIII</t>
  </si>
  <si>
    <t xml:space="preserve">GENERALIZED PRODUCTS CORRECTION OF OBSERVED DENSITY TO DENSITY AT 15°C </t>
  </si>
  <si>
    <t>653…778,5</t>
  </si>
  <si>
    <t>-18…90</t>
  </si>
  <si>
    <t>PAGE X-311</t>
  </si>
  <si>
    <t>GENERALIZED CRUDE OILS CORRECTION OF VOLUME TO 15°C AGAINST DENSITY AT 15°C</t>
  </si>
  <si>
    <t>PAGE X-351</t>
  </si>
  <si>
    <t xml:space="preserve">GENERALIZED PRODUCTS CORRECTION OF VOLUME TO 15°C AGAINST DENSITY AT 15°C </t>
  </si>
  <si>
    <t>653…778</t>
  </si>
  <si>
    <t>778,5…824</t>
  </si>
  <si>
    <t>PAGE X-371</t>
  </si>
  <si>
    <t>54C</t>
  </si>
  <si>
    <t>VOLUME IX</t>
  </si>
  <si>
    <t>VOLUME CORRECTION FACTORS FOR INDIVIDUAL AND SPECIAL APPLICATIONS VOLUME CORRECTION TO 15°C AGAINST THERMAL EXPANSION COEFFICIENTS AT 15°C</t>
  </si>
  <si>
    <t>486…918</t>
  </si>
  <si>
    <t>918…954</t>
  </si>
  <si>
    <t>954…1674</t>
  </si>
  <si>
    <t>PAGE X-393</t>
  </si>
  <si>
    <t>54В</t>
  </si>
  <si>
    <t>CONVERSION CHART - Which tables to use When</t>
  </si>
  <si>
    <t>FLOWCHART OF CARGO CALCULATIONS</t>
  </si>
  <si>
    <t>Gauge the cargo tanks for ullage, temperature and interface</t>
  </si>
  <si>
    <t>È</t>
  </si>
  <si>
    <t>Calculate the volume from the ullage tables (TOV)</t>
  </si>
  <si>
    <t>TOV - Free Water = GOV</t>
  </si>
  <si>
    <t>GOV x VCF = GSV</t>
  </si>
  <si>
    <t>GSV + Free Water = GSOV</t>
  </si>
  <si>
    <t>GSOV - OBQ = Loaded Volume</t>
  </si>
  <si>
    <t>Loaded Volume x WCF = Metric Tonnes or Long Tonnes</t>
  </si>
  <si>
    <t>Standard Temperature</t>
  </si>
  <si>
    <t>Volume of oil on board is measured at Observed temperature </t>
  </si>
  <si>
    <t>Since the density and volume of oil change with change in temperature, a Standard temperature has to be used for calculations </t>
  </si>
  <si>
    <t>The standard temperatures used are 15°C and 60°F. </t>
  </si>
  <si>
    <t>15°C is not the same as 60°F. </t>
  </si>
  <si>
    <t>In fact 15°C = 59°F</t>
  </si>
  <si>
    <t>TANKS VOLUME</t>
  </si>
  <si>
    <t>TOV</t>
  </si>
  <si>
    <t xml:space="preserve"> - Total Observed Volume of Cargo at observed temperature including free water</t>
  </si>
  <si>
    <t xml:space="preserve">GOV </t>
  </si>
  <si>
    <t xml:space="preserve"> - Gross Oil Volume at observed temperature is TOV minus free water</t>
  </si>
  <si>
    <t xml:space="preserve">GSV </t>
  </si>
  <si>
    <t xml:space="preserve"> - (Gross Standard Volume) - Gross oil volume at standard temperature.</t>
  </si>
  <si>
    <t>GSOV</t>
  </si>
  <si>
    <t xml:space="preserve"> - This is the Gross oil volume at standard temperature + the free water</t>
  </si>
  <si>
    <t>CONVERSION CHARTS - Metric system</t>
  </si>
  <si>
    <t xml:space="preserve">Calculations : </t>
  </si>
  <si>
    <t>Metric, Mass</t>
  </si>
  <si>
    <t xml:space="preserve">Conversions : </t>
  </si>
  <si>
    <t xml:space="preserve">Air, Longtons, Barrels 60°F, Gallons 60°F. </t>
  </si>
  <si>
    <r>
      <t>MT (</t>
    </r>
    <r>
      <rPr>
        <i/>
        <sz val="10"/>
        <rFont val="Arial"/>
        <family val="2"/>
      </rPr>
      <t>Vac</t>
    </r>
    <r>
      <rPr>
        <sz val="10"/>
        <rFont val="Arial"/>
        <family val="2"/>
      </rPr>
      <t>)</t>
    </r>
  </si>
  <si>
    <t>x by Density@15°C</t>
  </si>
  <si>
    <t>m3 / t°C</t>
  </si>
  <si>
    <t xml:space="preserve">x 6.28981 </t>
  </si>
  <si>
    <t xml:space="preserve">US Barrels at Load 
Temperature </t>
  </si>
  <si>
    <t xml:space="preserve"> Tab 1</t>
  </si>
  <si>
    <t>x by WCF</t>
  </si>
  <si>
    <t>Tab 56 (short table)</t>
  </si>
  <si>
    <t>x by VCF</t>
  </si>
  <si>
    <t>Tab 54A/B</t>
  </si>
  <si>
    <t>MT (Air)</t>
  </si>
  <si>
    <t>m3 / 15°C</t>
  </si>
  <si>
    <t xml:space="preserve">x by VCF </t>
  </si>
  <si>
    <t>US Barrels / 60°F</t>
  </si>
  <si>
    <t>Tab 52</t>
  </si>
  <si>
    <t>x 0.984206</t>
  </si>
  <si>
    <t>Tab 1</t>
  </si>
  <si>
    <t xml:space="preserve"> </t>
  </si>
  <si>
    <t>x 42</t>
  </si>
  <si>
    <t>LT (Air)</t>
  </si>
  <si>
    <t>US Gallons / 60°F</t>
  </si>
  <si>
    <t>WCF = Weight Correction Factor (Table 56 or Density -0.0011)</t>
  </si>
  <si>
    <t>Tab. 3 = API ------&gt; Density @ 15°C</t>
  </si>
  <si>
    <t xml:space="preserve"> VCF = Volume Corrction Factor</t>
  </si>
  <si>
    <t xml:space="preserve">Tab. 51 = Density @ 15°C ------&gt; API </t>
  </si>
  <si>
    <t>Metric, Air</t>
  </si>
  <si>
    <t xml:space="preserve">Vac, Longtons, Barrels 60°F, Gallons 60°F. </t>
  </si>
  <si>
    <t xml:space="preserve">x by WCF </t>
  </si>
  <si>
    <t xml:space="preserve"> Tab 56 (short table)</t>
  </si>
  <si>
    <t xml:space="preserve"> Tab 56 (Main table)</t>
  </si>
  <si>
    <t xml:space="preserve">x 0.984206 </t>
  </si>
  <si>
    <t xml:space="preserve">x 42 </t>
  </si>
  <si>
    <t xml:space="preserve">Air, Vac, Longtons, Barrels 60°F, Gallons 60°F. </t>
  </si>
  <si>
    <r>
      <rPr>
        <sz val="10"/>
        <rFont val="Symbol"/>
        <family val="1"/>
        <charset val="2"/>
      </rPr>
      <t xml:space="preserve">¸ </t>
    </r>
    <r>
      <rPr>
        <sz val="10"/>
        <rFont val="Arial"/>
        <family val="2"/>
      </rPr>
      <t>by VCF</t>
    </r>
  </si>
  <si>
    <t>CONVERSION CHARTS - Barrel system</t>
  </si>
  <si>
    <t>Barrels, API gravity, via Table 11</t>
  </si>
  <si>
    <t>Metric tons Air, Vac, Litres15°C, Gallons 60°F</t>
  </si>
  <si>
    <t>US Barrels / t°F</t>
  </si>
  <si>
    <r>
      <rPr>
        <sz val="9"/>
        <rFont val="Symbol"/>
        <family val="1"/>
        <charset val="2"/>
      </rPr>
      <t>¸</t>
    </r>
    <r>
      <rPr>
        <sz val="9"/>
        <rFont val="Arial"/>
        <family val="2"/>
      </rPr>
      <t xml:space="preserve"> 6.28981 </t>
    </r>
  </si>
  <si>
    <t xml:space="preserve">m3 at Load 
Temperature </t>
  </si>
  <si>
    <t>Tab 6A/B</t>
  </si>
  <si>
    <t>Tab 4</t>
  </si>
  <si>
    <t>x 1.01605</t>
  </si>
  <si>
    <t>x by 42</t>
  </si>
  <si>
    <t xml:space="preserve"> Tab 11</t>
  </si>
  <si>
    <t xml:space="preserve">Barrels, API gravity, via Table 13 </t>
  </si>
  <si>
    <t xml:space="preserve">Longtons, Vac, Litres 15°C., Gallons 60°F. </t>
  </si>
  <si>
    <t xml:space="preserve"> Tab 13</t>
  </si>
  <si>
    <t xml:space="preserve">Barrels, API gravity. </t>
  </si>
  <si>
    <r>
      <rPr>
        <sz val="10"/>
        <rFont val="Symbol"/>
        <family val="1"/>
        <charset val="2"/>
      </rPr>
      <t>¸</t>
    </r>
    <r>
      <rPr>
        <sz val="10"/>
        <rFont val="Arial"/>
        <family val="2"/>
      </rPr>
      <t xml:space="preserve"> by VCF </t>
    </r>
  </si>
  <si>
    <t>Barrels, Rel.density 60/60°F., via Table 29</t>
  </si>
  <si>
    <t xml:space="preserve">Conversions: </t>
  </si>
  <si>
    <t xml:space="preserve">Metric tons Air, Vac, Litres 15°C., Gallons 60°F. </t>
  </si>
  <si>
    <t>Tab 24A/B</t>
  </si>
  <si>
    <t>Tab 22</t>
  </si>
  <si>
    <t xml:space="preserve"> Tab 29</t>
  </si>
  <si>
    <t xml:space="preserve">Metric tons Air, Long Ton, Short Ton </t>
  </si>
  <si>
    <t xml:space="preserve"> Tab 6A (Crude oil)</t>
  </si>
  <si>
    <t xml:space="preserve"> Tab 6B (Products)</t>
  </si>
  <si>
    <t>Weight Long Ton (Air)</t>
  </si>
  <si>
    <t>Weight Short Ton (Air)</t>
  </si>
  <si>
    <t>Tab 11</t>
  </si>
  <si>
    <t>Tab 9</t>
  </si>
  <si>
    <t>Tab 13</t>
  </si>
  <si>
    <t>Weight MT (Air)</t>
  </si>
  <si>
    <t>CONVERSION CHARTS - Mass &amp; Weight</t>
  </si>
  <si>
    <t>Mass Density Volume</t>
  </si>
  <si>
    <t>Mass</t>
  </si>
  <si>
    <t xml:space="preserve"> Volume  =  ———————</t>
  </si>
  <si>
    <t xml:space="preserve"> Density  =  ———————</t>
  </si>
  <si>
    <t xml:space="preserve">   Mass = Density x Volume</t>
  </si>
  <si>
    <t xml:space="preserve">Mass </t>
  </si>
  <si>
    <t>The mass of a matter is the quantity of material that this matter exists of.</t>
  </si>
  <si>
    <t>This matter is independent from external conditions like attractive power of the earth (place on earth).</t>
  </si>
  <si>
    <r>
      <t>In the oil business this is often mentioned as "VAC", or "</t>
    </r>
    <r>
      <rPr>
        <b/>
        <sz val="11"/>
        <color rgb="FF000000"/>
        <rFont val="Arial"/>
        <family val="2"/>
      </rPr>
      <t>Weight-in-vacuo</t>
    </r>
    <r>
      <rPr>
        <sz val="11"/>
        <color rgb="FF000000"/>
        <rFont val="Arial"/>
        <family val="2"/>
      </rPr>
      <t>".</t>
    </r>
  </si>
  <si>
    <t>Mass is calculated as follows:</t>
  </si>
  <si>
    <t>Mass  =  Density at t°C  x  Volume at t°C</t>
  </si>
  <si>
    <r>
      <t>(in kg or metric tonnes</t>
    </r>
    <r>
      <rPr>
        <b/>
        <sz val="11"/>
        <color rgb="FF000000"/>
        <rFont val="Arial"/>
        <family val="2"/>
      </rPr>
      <t xml:space="preserve"> in VAC</t>
    </r>
    <r>
      <rPr>
        <sz val="11"/>
        <color rgb="FF000000"/>
        <rFont val="Arial"/>
        <family val="2"/>
      </rPr>
      <t>)</t>
    </r>
  </si>
  <si>
    <t xml:space="preserve">Weight </t>
  </si>
  <si>
    <t xml:space="preserve">The weight of a product is the weight of that matter weighted in air, taking in account the buoyancy </t>
  </si>
  <si>
    <t xml:space="preserve">of the displaced air. </t>
  </si>
  <si>
    <r>
      <t>Often related to as "</t>
    </r>
    <r>
      <rPr>
        <b/>
        <sz val="11"/>
        <color rgb="FF000000"/>
        <rFont val="Arial"/>
        <family val="2"/>
      </rPr>
      <t>Weight in Air</t>
    </r>
    <r>
      <rPr>
        <sz val="11"/>
        <color rgb="FF000000"/>
        <rFont val="Arial"/>
        <family val="2"/>
      </rPr>
      <t xml:space="preserve">". </t>
    </r>
  </si>
  <si>
    <t>Weight calculation:</t>
  </si>
  <si>
    <t>Metric system:</t>
  </si>
  <si>
    <r>
      <t>Weight = Volume in m</t>
    </r>
    <r>
      <rPr>
        <vertAlign val="superscript"/>
        <sz val="16"/>
        <color rgb="FF000000"/>
        <rFont val="Arial"/>
        <family val="2"/>
      </rPr>
      <t>3</t>
    </r>
    <r>
      <rPr>
        <sz val="16"/>
        <color rgb="FF000000"/>
        <rFont val="Arial"/>
        <family val="2"/>
      </rPr>
      <t xml:space="preserve"> 15°C  x  WCF (table 56)</t>
    </r>
  </si>
  <si>
    <r>
      <t xml:space="preserve">(in kg or metric tonnes </t>
    </r>
    <r>
      <rPr>
        <b/>
        <sz val="11"/>
        <color rgb="FF000000"/>
        <rFont val="Arial"/>
        <family val="2"/>
      </rPr>
      <t>in AIR</t>
    </r>
    <r>
      <rPr>
        <sz val="11"/>
        <color rgb="FF000000"/>
        <rFont val="Arial"/>
        <family val="2"/>
      </rPr>
      <t>)</t>
    </r>
  </si>
  <si>
    <t>Barrel system:</t>
  </si>
  <si>
    <t xml:space="preserve">Weight = Volume in US Bbls 60°F  x  WCF (table 11) </t>
  </si>
  <si>
    <r>
      <t xml:space="preserve">(in longtons </t>
    </r>
    <r>
      <rPr>
        <b/>
        <sz val="11"/>
        <color rgb="FF000000"/>
        <rFont val="Arial"/>
        <family val="2"/>
      </rPr>
      <t>in AIR</t>
    </r>
    <r>
      <rPr>
        <sz val="11"/>
        <color rgb="FF000000"/>
        <rFont val="Arial"/>
        <family val="2"/>
      </rPr>
      <t>)</t>
    </r>
  </si>
  <si>
    <t>Weight = Volume in US Bbls 60°F  x  WCF (table 13)</t>
  </si>
  <si>
    <r>
      <t xml:space="preserve">(in metric tons </t>
    </r>
    <r>
      <rPr>
        <b/>
        <sz val="11"/>
        <color rgb="FF000000"/>
        <rFont val="Arial"/>
        <family val="2"/>
      </rPr>
      <t>in AIR</t>
    </r>
    <r>
      <rPr>
        <sz val="11"/>
        <color rgb="FF000000"/>
        <rFont val="Arial"/>
        <family val="2"/>
      </rPr>
      <t>)</t>
    </r>
  </si>
  <si>
    <t>Density in Air &amp; in Vacuum</t>
  </si>
  <si>
    <t>Density in Air  =  Density in Vacuum  -  0.0011</t>
  </si>
  <si>
    <t xml:space="preserve"> @15°C</t>
  </si>
  <si>
    <t>OUTTURN CHARTS</t>
  </si>
  <si>
    <t xml:space="preserve">Bill of Lading : </t>
  </si>
  <si>
    <t>U.S. Barrels/60 °F - Longtons - API/60 °F</t>
  </si>
  <si>
    <t xml:space="preserve">OUTTURN : </t>
  </si>
  <si>
    <t>Metric Tons (vac)</t>
  </si>
  <si>
    <t>To make a comparison between Bill of Lading and the Outturn the following should be done</t>
  </si>
  <si>
    <t>(The Bill of Lading figures should never be converted!)</t>
  </si>
  <si>
    <r>
      <t xml:space="preserve">- Convert API 60 </t>
    </r>
    <r>
      <rPr>
        <b/>
        <vertAlign val="superscript"/>
        <sz val="12"/>
        <rFont val="Calibri"/>
        <family val="2"/>
        <charset val="204"/>
      </rPr>
      <t>o</t>
    </r>
    <r>
      <rPr>
        <b/>
        <sz val="12"/>
        <rFont val="Calibri"/>
        <family val="2"/>
        <charset val="204"/>
      </rPr>
      <t xml:space="preserve">F to Density at 15 </t>
    </r>
    <r>
      <rPr>
        <b/>
        <vertAlign val="superscript"/>
        <sz val="12"/>
        <rFont val="Calibri"/>
        <family val="2"/>
        <charset val="204"/>
      </rPr>
      <t>o</t>
    </r>
    <r>
      <rPr>
        <b/>
        <sz val="12"/>
        <rFont val="Calibri"/>
        <family val="2"/>
        <charset val="204"/>
      </rPr>
      <t xml:space="preserve">C. </t>
    </r>
  </si>
  <si>
    <t xml:space="preserve"> ASTM Table 3: API =&gt; Density </t>
  </si>
  <si>
    <r>
      <t xml:space="preserve">- Use density at 15 </t>
    </r>
    <r>
      <rPr>
        <b/>
        <vertAlign val="superscript"/>
        <sz val="12"/>
        <rFont val="Calibri"/>
        <family val="2"/>
        <charset val="204"/>
      </rPr>
      <t>o</t>
    </r>
    <r>
      <rPr>
        <b/>
        <sz val="12"/>
        <rFont val="Calibri"/>
        <family val="2"/>
        <charset val="204"/>
      </rPr>
      <t>C to find conversion factor from Vac to Air.</t>
    </r>
  </si>
  <si>
    <t xml:space="preserve">ASTM Table 56: Entry with Density =&gt; Conversion factor. </t>
  </si>
  <si>
    <t xml:space="preserve">- Outturn in VAC to be multi-plied by factor table 56: </t>
  </si>
  <si>
    <t xml:space="preserve">  Outturn Metric Tons (vac) x factor table 56 = Metric tons AIR </t>
  </si>
  <si>
    <t>- Use ASTM Table 1 for conversion from Mtons to Longtons: 0.984206</t>
  </si>
  <si>
    <t xml:space="preserve">Metric tons AIR x 0.984206 = Ltons </t>
  </si>
  <si>
    <t>Mtons in VAC - Density at 15 °C</t>
  </si>
  <si>
    <t xml:space="preserve">Mtons in AIR. </t>
  </si>
  <si>
    <t>Since the outturn is established in AIR a conversion from air to vacuo is needed to make</t>
  </si>
  <si>
    <t xml:space="preserve">a good comparison between Outturn and Bill of Lading. In order to do so a conversion factor is </t>
  </si>
  <si>
    <t xml:space="preserve">needed to convert the Outturn from AIR to VAC. This conversion factor can be found in the </t>
  </si>
  <si>
    <t xml:space="preserve">short table of table 56, using the density at 15 oC as entry. In the table a correction factor </t>
  </si>
  <si>
    <t>of 1.00125 is found. The outturn in VAC can now be calculated by multiplying :</t>
  </si>
  <si>
    <t xml:space="preserve">  Outturn Mtons AIR x 1.00125 (factor short table 56) = Mtons VAC </t>
  </si>
  <si>
    <t>Go to ASTM Tables</t>
  </si>
  <si>
    <t>GUIDELINES - ASTM</t>
  </si>
  <si>
    <t>GUIDELINES - CARGO</t>
  </si>
  <si>
    <t xml:space="preserve">GUIDELINES - CARGO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</si>
</sst>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0">
    <numFmt numFmtId="41" formatCode="_-* #,##0_-;\-* #,##0_-;_-* &quot;-&quot;_-;_-@_-"/>
    <numFmt numFmtId="43" formatCode="_-* #,##0.00_-;\-* #,##0.00_-;_-* &quot;-&quot;??_-;_-@_-"/>
    <numFmt numFmtId="164" formatCode="_-* #,##0.00\ _₽_-;\-* #,##0.00\ _₽_-;_-* &quot;-&quot;??\ _₽_-;_-@_-"/>
    <numFmt numFmtId="165" formatCode="0.00000"/>
    <numFmt numFmtId="166" formatCode="0.0000"/>
    <numFmt numFmtId="167" formatCode="#,##0.00000;[Red]\-#,##0.00000"/>
    <numFmt numFmtId="168" formatCode="#,##0.0000;[Red]\-#,##0.0000"/>
    <numFmt numFmtId="169" formatCode="#,##0.000;[Red]\-#,##0.000"/>
    <numFmt numFmtId="170" formatCode="#,##0.0;[Red]\-#,##0.0"/>
    <numFmt numFmtId="171" formatCode="0.0"/>
    <numFmt numFmtId="172" formatCode="0.000"/>
    <numFmt numFmtId="173" formatCode="0.0000&quot; †&quot;"/>
    <numFmt numFmtId="174" formatCode="0.00&quot; †&quot;"/>
    <numFmt numFmtId="175" formatCode="0&quot; †&quot;"/>
    <numFmt numFmtId="176" formatCode="0.0&quot; kg/m³&quot;"/>
    <numFmt numFmtId="177" formatCode="0.0000&quot; mt/m³&quot;"/>
    <numFmt numFmtId="178" formatCode="#,##0.000"/>
    <numFmt numFmtId="179" formatCode="0.0000&quot; kg/L&quot;"/>
    <numFmt numFmtId="180" formatCode="0.0\°\ "/>
    <numFmt numFmtId="181" formatCode="0.00000\ &quot;kg/L&quot;"/>
    <numFmt numFmtId="182" formatCode="_-* #,##0.000000_-;\-* #,##0.000000_-;_-* &quot;-&quot;??_-;_-@_-"/>
    <numFmt numFmtId="183" formatCode="##0.0\°\F\ "/>
    <numFmt numFmtId="184" formatCode="#0.00\°\C\ "/>
    <numFmt numFmtId="185" formatCode="##0.00\°\C\ "/>
    <numFmt numFmtId="186" formatCode="##0.0\°\C\ "/>
    <numFmt numFmtId="187" formatCode="#0.0\°\C\ "/>
    <numFmt numFmtId="188" formatCode="_-* #,##0.0_-;\-* #,##0.0_-;_-* &quot;-&quot;_-;_-@_-"/>
    <numFmt numFmtId="189" formatCode="0.0000000000"/>
    <numFmt numFmtId="190" formatCode="0.00000000000"/>
    <numFmt numFmtId="191" formatCode="0.00000000"/>
    <numFmt numFmtId="192" formatCode="0.0000000"/>
    <numFmt numFmtId="193" formatCode="#,##0.0"/>
    <numFmt numFmtId="194" formatCode="[&gt;2]0.0&quot; kg/m³&quot;;[&lt;2]0.00000&quot; kg/L&quot;"/>
    <numFmt numFmtId="195" formatCode="#,##0.0000"/>
    <numFmt numFmtId="196" formatCode="#,##0.000000"/>
    <numFmt numFmtId="197" formatCode="&quot;Multiply By&quot;\ \ \ General"/>
    <numFmt numFmtId="198" formatCode="0.00\°\ "/>
    <numFmt numFmtId="199" formatCode="_-* #,##0_-;\-* #,##0_-;_-* &quot;-&quot;??_-;_-@_-"/>
    <numFmt numFmtId="200" formatCode="_-* #,##0.0_-;\-* #,##0.0_-;_-* &quot;-&quot;?_-;_-@_-"/>
    <numFmt numFmtId="201" formatCode="_-* #,##0_-;\-* #,##0_-;_-* &quot;-&quot;?_-;_-@_-"/>
    <numFmt numFmtId="202" formatCode="[hh]:mm"/>
    <numFmt numFmtId="203" formatCode="dd\ hh:mm"/>
    <numFmt numFmtId="204" formatCode="0.0\ &quot;m.&quot;"/>
    <numFmt numFmtId="205" formatCode="0.00\ &quot;m.&quot;"/>
    <numFmt numFmtId="206" formatCode="&quot;=&quot;\ 0.000&quot; m. &quot;"/>
    <numFmt numFmtId="207" formatCode="0&quot; inch&quot;"/>
    <numFmt numFmtId="208" formatCode="0.0&quot; m. &quot;"/>
    <numFmt numFmtId="209" formatCode="#,##0.00&quot; cub.m &quot;"/>
    <numFmt numFmtId="210" formatCode="#,##0.0&quot; bbls &quot;"/>
    <numFmt numFmtId="211" formatCode="0.0&quot; °C&quot;"/>
    <numFmt numFmtId="212" formatCode="0.0&quot; m/sec &quot;"/>
    <numFmt numFmtId="213" formatCode="_-* #,##0.00\ _đ_._-;\-* #,##0.00\ _đ_._-;_-* &quot;-&quot;??\ _đ_._-;_-@_-"/>
    <numFmt numFmtId="214" formatCode="[=0]&quot;NIL&quot;\ \ \ \ #;##.0"/>
    <numFmt numFmtId="215" formatCode="#,##0.000\ &quot;m3&quot;"/>
    <numFmt numFmtId="216" formatCode="#,##0.00000000000000"/>
    <numFmt numFmtId="217" formatCode="#,##0\ &quot;Bbls&quot;"/>
    <numFmt numFmtId="218" formatCode="_-* #,##0.000_-;\-* #,##0.000_-;_-* &quot;-&quot;?_-;_-@_-"/>
    <numFmt numFmtId="219" formatCode="##0.0\°\ \ "/>
    <numFmt numFmtId="220" formatCode="_-* #,##0.0_-;\-* #,##0.0_-;_-* &quot;-&quot;??_-;_-@_-"/>
    <numFmt numFmtId="221" formatCode="0.0\ &quot;%&quot;"/>
    <numFmt numFmtId="222" formatCode="0.0000_)"/>
    <numFmt numFmtId="223" formatCode="#,##0.0\ &quot;Cub.m.&quot;"/>
    <numFmt numFmtId="224" formatCode="#,##0.0_ ;\-#,##0.0\ "/>
    <numFmt numFmtId="225" formatCode="_-* #,##0.0000_-;\-* #,##0.0000_-;_-* &quot;-&quot;????_-;_-@_-"/>
    <numFmt numFmtId="226" formatCode="#,##0.0\ \ \C"/>
    <numFmt numFmtId="227" formatCode="###\,##0\ \ \c\u\b.\m"/>
    <numFmt numFmtId="228" formatCode="&quot; = &quot;\ 0.0&quot; ° F&quot;"/>
    <numFmt numFmtId="229" formatCode="&quot; = &quot;\ 0.0&quot; ° C&quot;"/>
    <numFmt numFmtId="230" formatCode="#,###,##0\ \b\b\l\s"/>
    <numFmt numFmtId="231" formatCode="#,##0\ &quot;bbls&quot;"/>
    <numFmt numFmtId="232" formatCode="#0.0\ &quot;° F&quot;"/>
    <numFmt numFmtId="233" formatCode="##0.0\°\F\ \ "/>
    <numFmt numFmtId="234" formatCode="#,##0&quot; Bbls &quot;"/>
    <numFmt numFmtId="235" formatCode="\±0&quot;%&quot;"/>
    <numFmt numFmtId="236" formatCode="[&gt;0]\ &quot;+&quot;#0.0&quot; %&quot;;[&lt;0]&quot;-&quot;#0.0&quot; %&quot;;General"/>
    <numFmt numFmtId="237" formatCode="#,##0&quot; Bbls@60F&quot;"/>
    <numFmt numFmtId="238" formatCode="#,##0&quot; M.T.&quot;"/>
    <numFmt numFmtId="239" formatCode="0.0&quot;%&quot;"/>
    <numFmt numFmtId="240" formatCode="0.00&quot;%&quot;"/>
    <numFmt numFmtId="241" formatCode="0.00&quot;°C&quot;"/>
    <numFmt numFmtId="242" formatCode="0.0\°"/>
    <numFmt numFmtId="243" formatCode="0.0000&quot; m³/mt&quot;"/>
    <numFmt numFmtId="244" formatCode="#,##0\ &quot;psi&quot;"/>
    <numFmt numFmtId="245" formatCode="&quot;=&quot;\ 0.0&quot; Kg/cm²&quot;"/>
    <numFmt numFmtId="246" formatCode="&quot;=&quot;\ 0.0&quot; bar&quot;"/>
    <numFmt numFmtId="247" formatCode="&quot;=&quot;\ 0.0&quot; atms.&quot;"/>
    <numFmt numFmtId="248" formatCode="0.0&quot; Kg/cm²&quot;"/>
    <numFmt numFmtId="249" formatCode="&quot;=&quot;\ #,##0\ &quot;psi&quot;"/>
    <numFmt numFmtId="250" formatCode="0.0&quot; bar&quot;"/>
    <numFmt numFmtId="251" formatCode="0.0&quot; atms.&quot;"/>
  </numFmts>
  <fonts count="184">
    <font>
      <sz val="10"/>
      <name val="Arial"/>
      <family val="2"/>
    </font>
    <font>
      <sz val="10"/>
      <color theme="1"/>
      <name val="Arial"/>
      <family val="2"/>
      <charset val="204"/>
    </font>
    <font>
      <sz val="10"/>
      <color theme="1"/>
      <name val="Arial"/>
      <family val="2"/>
      <charset val="204"/>
    </font>
    <font>
      <sz val="10"/>
      <color theme="1"/>
      <name val="Arial"/>
      <family val="2"/>
      <charset val="204"/>
    </font>
    <font>
      <sz val="10"/>
      <color theme="1"/>
      <name val="Arial"/>
      <family val="2"/>
      <charset val="204"/>
    </font>
    <font>
      <sz val="10"/>
      <name val="Arial"/>
      <family val="2"/>
    </font>
    <font>
      <sz val="10"/>
      <name val="Arial"/>
      <family val="2"/>
      <charset val="204"/>
    </font>
    <font>
      <u/>
      <sz val="10"/>
      <color indexed="12"/>
      <name val="Arial"/>
      <family val="2"/>
    </font>
    <font>
      <sz val="14"/>
      <name val="Arial"/>
      <family val="2"/>
    </font>
    <font>
      <sz val="14"/>
      <name val="Arial"/>
      <family val="2"/>
      <charset val="204"/>
    </font>
    <font>
      <b/>
      <sz val="12"/>
      <name val="Arial"/>
      <family val="2"/>
      <charset val="204"/>
    </font>
    <font>
      <sz val="22"/>
      <name val="Arial"/>
      <family val="2"/>
      <charset val="204"/>
    </font>
    <font>
      <b/>
      <sz val="10"/>
      <name val="Arial"/>
      <family val="2"/>
    </font>
    <font>
      <sz val="10"/>
      <color theme="0"/>
      <name val="Arial"/>
      <family val="2"/>
      <charset val="204"/>
    </font>
    <font>
      <sz val="12"/>
      <name val="Arial"/>
      <family val="2"/>
      <charset val="204"/>
    </font>
    <font>
      <sz val="10"/>
      <name val="Arial Cyr"/>
      <charset val="204"/>
    </font>
    <font>
      <u/>
      <sz val="9"/>
      <color indexed="12"/>
      <name val="Arial"/>
      <family val="2"/>
    </font>
    <font>
      <sz val="10"/>
      <name val="Geneva"/>
    </font>
    <font>
      <sz val="10"/>
      <color indexed="9"/>
      <name val="Arial"/>
      <family val="2"/>
    </font>
    <font>
      <b/>
      <sz val="10"/>
      <color indexed="9"/>
      <name val="Arial"/>
      <family val="2"/>
    </font>
    <font>
      <b/>
      <sz val="10"/>
      <color theme="0"/>
      <name val="Arial"/>
      <family val="2"/>
      <charset val="204"/>
    </font>
    <font>
      <b/>
      <sz val="10"/>
      <name val="Arial"/>
      <family val="2"/>
      <charset val="204"/>
    </font>
    <font>
      <b/>
      <sz val="10"/>
      <color indexed="9"/>
      <name val="Arial"/>
      <family val="2"/>
      <charset val="204"/>
    </font>
    <font>
      <sz val="10"/>
      <color indexed="9"/>
      <name val="Arial"/>
      <family val="2"/>
      <charset val="204"/>
    </font>
    <font>
      <sz val="8"/>
      <color theme="0"/>
      <name val="Arial"/>
      <family val="2"/>
      <charset val="204"/>
    </font>
    <font>
      <sz val="8"/>
      <name val="Arial"/>
      <family val="2"/>
      <charset val="204"/>
    </font>
    <font>
      <sz val="10"/>
      <name val="Arial Cyr"/>
    </font>
    <font>
      <sz val="8"/>
      <name val="Arial Cyr"/>
      <family val="2"/>
      <charset val="204"/>
    </font>
    <font>
      <sz val="10"/>
      <color theme="1"/>
      <name val="Arial"/>
      <family val="2"/>
      <charset val="204"/>
    </font>
    <font>
      <u/>
      <sz val="10"/>
      <color theme="10"/>
      <name val="Arial"/>
      <family val="2"/>
      <charset val="204"/>
    </font>
    <font>
      <u/>
      <sz val="11.5"/>
      <color indexed="12"/>
      <name val="Arial"/>
      <family val="2"/>
      <charset val="204"/>
    </font>
    <font>
      <sz val="22"/>
      <color theme="1"/>
      <name val="Arial"/>
      <family val="2"/>
      <charset val="204"/>
    </font>
    <font>
      <sz val="10"/>
      <color theme="1"/>
      <name val="Arial"/>
      <family val="2"/>
    </font>
    <font>
      <b/>
      <sz val="14"/>
      <color theme="0"/>
      <name val="Arial"/>
      <family val="2"/>
    </font>
    <font>
      <u/>
      <sz val="11"/>
      <color theme="10"/>
      <name val="Calibri"/>
      <family val="2"/>
      <scheme val="minor"/>
    </font>
    <font>
      <sz val="10"/>
      <name val="Arial"/>
      <family val="2"/>
      <charset val="204"/>
    </font>
    <font>
      <b/>
      <sz val="16"/>
      <color indexed="9"/>
      <name val="Bodoni MT"/>
      <family val="1"/>
    </font>
    <font>
      <u/>
      <sz val="10"/>
      <color indexed="12"/>
      <name val="Arial"/>
      <family val="2"/>
      <charset val="204"/>
    </font>
    <font>
      <sz val="14"/>
      <color indexed="9"/>
      <name val="Arial"/>
      <family val="2"/>
      <charset val="204"/>
    </font>
    <font>
      <b/>
      <sz val="14"/>
      <name val="Arial"/>
      <family val="2"/>
      <charset val="204"/>
    </font>
    <font>
      <b/>
      <i/>
      <sz val="10"/>
      <name val="Arial"/>
      <family val="2"/>
      <charset val="204"/>
    </font>
    <font>
      <sz val="16"/>
      <name val="Arial"/>
      <family val="2"/>
      <charset val="204"/>
    </font>
    <font>
      <b/>
      <u/>
      <sz val="14"/>
      <color indexed="8"/>
      <name val="Arial"/>
      <family val="2"/>
      <charset val="204"/>
    </font>
    <font>
      <b/>
      <sz val="12"/>
      <color indexed="8"/>
      <name val="Arial"/>
      <family val="2"/>
      <charset val="204"/>
    </font>
    <font>
      <sz val="10"/>
      <color indexed="8"/>
      <name val="Arial"/>
      <family val="2"/>
      <charset val="204"/>
    </font>
    <font>
      <b/>
      <u/>
      <sz val="10"/>
      <color indexed="8"/>
      <name val="Arial"/>
      <family val="2"/>
      <charset val="204"/>
    </font>
    <font>
      <sz val="14"/>
      <color theme="0"/>
      <name val="Arial"/>
      <family val="2"/>
      <charset val="204"/>
    </font>
    <font>
      <sz val="10"/>
      <color theme="0"/>
      <name val="Arial"/>
      <family val="2"/>
    </font>
    <font>
      <i/>
      <sz val="10"/>
      <color theme="0"/>
      <name val="Arial"/>
      <family val="2"/>
      <charset val="204"/>
    </font>
    <font>
      <sz val="9"/>
      <color indexed="81"/>
      <name val="Tahoma"/>
      <family val="2"/>
      <charset val="204"/>
    </font>
    <font>
      <sz val="14"/>
      <color theme="0"/>
      <name val="Arial"/>
      <family val="2"/>
    </font>
    <font>
      <i/>
      <sz val="10"/>
      <color theme="0"/>
      <name val="Arial"/>
      <family val="2"/>
    </font>
    <font>
      <i/>
      <sz val="10"/>
      <name val="Arial"/>
      <family val="2"/>
    </font>
    <font>
      <b/>
      <sz val="9"/>
      <name val="Arial"/>
      <family val="2"/>
      <charset val="204"/>
    </font>
    <font>
      <sz val="12"/>
      <color theme="1"/>
      <name val="Arial"/>
      <family val="2"/>
      <charset val="204"/>
    </font>
    <font>
      <sz val="9"/>
      <name val="Arial"/>
      <family val="2"/>
    </font>
    <font>
      <b/>
      <i/>
      <sz val="10"/>
      <name val="Arial"/>
      <family val="2"/>
    </font>
    <font>
      <b/>
      <sz val="9"/>
      <name val="Arial"/>
      <family val="2"/>
    </font>
    <font>
      <sz val="12"/>
      <name val="Arial"/>
      <family val="2"/>
    </font>
    <font>
      <sz val="10"/>
      <color theme="1" tint="0.249977111117893"/>
      <name val="Arial"/>
      <family val="2"/>
    </font>
    <font>
      <sz val="14"/>
      <color indexed="8"/>
      <name val="Arial"/>
      <family val="2"/>
      <charset val="204"/>
    </font>
    <font>
      <b/>
      <sz val="11"/>
      <name val="Arial"/>
      <family val="2"/>
      <charset val="204"/>
    </font>
    <font>
      <b/>
      <sz val="11"/>
      <color indexed="8"/>
      <name val="Arial"/>
      <family val="2"/>
      <charset val="204"/>
    </font>
    <font>
      <sz val="11"/>
      <name val="Arial"/>
      <family val="2"/>
      <charset val="204"/>
    </font>
    <font>
      <b/>
      <i/>
      <sz val="11"/>
      <name val="Arial"/>
      <family val="2"/>
      <charset val="204"/>
    </font>
    <font>
      <sz val="11"/>
      <color indexed="8"/>
      <name val="Arial"/>
      <family val="2"/>
      <charset val="204"/>
    </font>
    <font>
      <b/>
      <sz val="10"/>
      <color indexed="8"/>
      <name val="Arial"/>
      <family val="2"/>
      <charset val="204"/>
    </font>
    <font>
      <b/>
      <sz val="10"/>
      <name val="Arial Cyr"/>
      <family val="2"/>
      <charset val="204"/>
    </font>
    <font>
      <b/>
      <sz val="10"/>
      <name val="Arial Cyr"/>
      <charset val="204"/>
    </font>
    <font>
      <b/>
      <sz val="10"/>
      <name val="Arial Cyr"/>
    </font>
    <font>
      <sz val="8"/>
      <color indexed="81"/>
      <name val="Tahoma"/>
      <family val="2"/>
      <charset val="204"/>
    </font>
    <font>
      <sz val="11"/>
      <color theme="1" tint="0.249977111117893"/>
      <name val="Arial"/>
      <family val="2"/>
      <charset val="204"/>
    </font>
    <font>
      <sz val="10"/>
      <color theme="1" tint="0.249977111117893"/>
      <name val="Arial"/>
      <family val="2"/>
      <charset val="204"/>
    </font>
    <font>
      <sz val="9"/>
      <color indexed="81"/>
      <name val="Tahoma"/>
      <family val="2"/>
    </font>
    <font>
      <b/>
      <sz val="9"/>
      <color indexed="81"/>
      <name val="Tahoma"/>
      <family val="2"/>
    </font>
    <font>
      <b/>
      <sz val="12"/>
      <color theme="0"/>
      <name val="Arial"/>
      <family val="2"/>
      <charset val="204"/>
    </font>
    <font>
      <b/>
      <sz val="11"/>
      <name val="Arial"/>
      <family val="2"/>
    </font>
    <font>
      <b/>
      <u/>
      <sz val="11"/>
      <color indexed="12"/>
      <name val="Arial"/>
      <family val="2"/>
    </font>
    <font>
      <sz val="10"/>
      <color indexed="9"/>
      <name val="Bodoni MT"/>
      <family val="1"/>
    </font>
    <font>
      <i/>
      <sz val="10"/>
      <name val="Arial"/>
      <family val="2"/>
      <charset val="204"/>
    </font>
    <font>
      <vertAlign val="subscript"/>
      <sz val="10"/>
      <name val="Arial"/>
      <family val="2"/>
      <charset val="204"/>
    </font>
    <font>
      <b/>
      <sz val="9"/>
      <color indexed="81"/>
      <name val="Tahoma"/>
      <family val="2"/>
      <charset val="204"/>
    </font>
    <font>
      <sz val="11"/>
      <color theme="0"/>
      <name val="Arial"/>
      <family val="2"/>
      <charset val="204"/>
    </font>
    <font>
      <sz val="10"/>
      <color theme="0"/>
      <name val="Wingdings"/>
      <charset val="2"/>
    </font>
    <font>
      <sz val="10"/>
      <color theme="0"/>
      <name val="Arial"/>
      <family val="2"/>
      <charset val="2"/>
    </font>
    <font>
      <sz val="10"/>
      <name val="Arial"/>
      <family val="2"/>
      <charset val="204"/>
    </font>
    <font>
      <b/>
      <sz val="18"/>
      <name val="Arial"/>
      <family val="2"/>
    </font>
    <font>
      <u/>
      <sz val="8"/>
      <color indexed="12"/>
      <name val="Arial"/>
      <family val="2"/>
    </font>
    <font>
      <b/>
      <sz val="10"/>
      <color indexed="9"/>
      <name val="Bodoni MT"/>
      <family val="1"/>
      <charset val="204"/>
    </font>
    <font>
      <b/>
      <u/>
      <sz val="10"/>
      <color theme="4" tint="-0.499984740745262"/>
      <name val="Arial"/>
      <family val="2"/>
      <charset val="204"/>
    </font>
    <font>
      <sz val="16"/>
      <color rgb="FF1A008E"/>
      <name val="Segoe UI"/>
      <family val="2"/>
      <charset val="204"/>
    </font>
    <font>
      <sz val="12"/>
      <color rgb="FF1A008E"/>
      <name val="Segoe UI"/>
      <family val="2"/>
      <charset val="204"/>
    </font>
    <font>
      <sz val="11"/>
      <color indexed="8"/>
      <name val="Arial"/>
      <family val="2"/>
    </font>
    <font>
      <sz val="8"/>
      <color rgb="FF000000"/>
      <name val="Tahoma"/>
      <family val="2"/>
      <charset val="204"/>
    </font>
    <font>
      <b/>
      <sz val="10"/>
      <color indexed="9"/>
      <name val="Helv"/>
      <charset val="204"/>
    </font>
    <font>
      <sz val="10"/>
      <name val="Helv"/>
      <charset val="238"/>
    </font>
    <font>
      <sz val="10"/>
      <color indexed="9"/>
      <name val="Arial Cyr"/>
    </font>
    <font>
      <sz val="9"/>
      <name val="Arial"/>
      <family val="2"/>
      <charset val="204"/>
    </font>
    <font>
      <b/>
      <i/>
      <sz val="12"/>
      <name val="Arial"/>
      <family val="2"/>
      <charset val="204"/>
    </font>
    <font>
      <sz val="36"/>
      <name val="Arial"/>
      <family val="2"/>
    </font>
    <font>
      <sz val="16"/>
      <name val="Arial"/>
      <family val="2"/>
    </font>
    <font>
      <b/>
      <sz val="10"/>
      <color indexed="13"/>
      <name val="Arial"/>
      <family val="2"/>
    </font>
    <font>
      <b/>
      <sz val="14"/>
      <name val="Arial"/>
      <family val="2"/>
    </font>
    <font>
      <b/>
      <sz val="20"/>
      <color indexed="9"/>
      <name val="Arial"/>
      <family val="2"/>
      <charset val="204"/>
    </font>
    <font>
      <sz val="12"/>
      <name val="Calibri"/>
      <family val="2"/>
      <charset val="204"/>
      <scheme val="minor"/>
    </font>
    <font>
      <sz val="10"/>
      <name val="Calibri"/>
      <family val="2"/>
      <charset val="204"/>
      <scheme val="minor"/>
    </font>
    <font>
      <sz val="18"/>
      <name val="Arial"/>
      <family val="2"/>
      <charset val="204"/>
    </font>
    <font>
      <u/>
      <sz val="10"/>
      <name val="Arial"/>
      <family val="2"/>
      <charset val="204"/>
    </font>
    <font>
      <sz val="6"/>
      <name val="Arial"/>
      <family val="2"/>
      <charset val="204"/>
    </font>
    <font>
      <i/>
      <sz val="8"/>
      <name val="Times New Roman"/>
      <family val="1"/>
      <charset val="204"/>
    </font>
    <font>
      <i/>
      <sz val="10"/>
      <name val="Times New Roman"/>
      <family val="1"/>
      <charset val="204"/>
    </font>
    <font>
      <sz val="8"/>
      <name val="Courier New"/>
      <family val="3"/>
      <charset val="204"/>
    </font>
    <font>
      <i/>
      <sz val="8"/>
      <name val="Arial"/>
      <family val="2"/>
      <charset val="204"/>
    </font>
    <font>
      <sz val="10"/>
      <name val="MS Sans Serif"/>
      <family val="2"/>
    </font>
    <font>
      <b/>
      <sz val="10"/>
      <color theme="0"/>
      <name val="Arial Cyr"/>
    </font>
    <font>
      <sz val="8"/>
      <name val="Arial Cyr"/>
    </font>
    <font>
      <sz val="8"/>
      <name val="Arial"/>
      <family val="2"/>
    </font>
    <font>
      <sz val="10"/>
      <name val="Helv"/>
    </font>
    <font>
      <b/>
      <sz val="11"/>
      <color indexed="11"/>
      <name val="Arial"/>
      <family val="2"/>
      <charset val="204"/>
    </font>
    <font>
      <b/>
      <sz val="9"/>
      <color indexed="10"/>
      <name val="Arial"/>
      <family val="2"/>
      <charset val="204"/>
    </font>
    <font>
      <sz val="10"/>
      <name val="Arial"/>
      <family val="2"/>
      <charset val="204"/>
    </font>
    <font>
      <b/>
      <sz val="10"/>
      <color indexed="12"/>
      <name val="Arial"/>
      <family val="2"/>
      <charset val="204"/>
    </font>
    <font>
      <b/>
      <sz val="12"/>
      <color indexed="12"/>
      <name val="Arial"/>
      <family val="2"/>
      <charset val="204"/>
    </font>
    <font>
      <b/>
      <sz val="16"/>
      <name val="Arial"/>
      <family val="2"/>
      <charset val="204"/>
    </font>
    <font>
      <b/>
      <sz val="10"/>
      <color indexed="10"/>
      <name val="Arial"/>
      <family val="2"/>
      <charset val="204"/>
    </font>
    <font>
      <sz val="8"/>
      <color indexed="9"/>
      <name val="Arial"/>
      <family val="2"/>
      <charset val="204"/>
    </font>
    <font>
      <sz val="8"/>
      <color indexed="81"/>
      <name val="Tahoma"/>
      <family val="2"/>
    </font>
    <font>
      <sz val="10"/>
      <color theme="1" tint="0.499984740745262"/>
      <name val="Arial"/>
      <family val="2"/>
      <charset val="204"/>
    </font>
    <font>
      <b/>
      <sz val="10"/>
      <color theme="0"/>
      <name val="Arial"/>
      <family val="2"/>
    </font>
    <font>
      <sz val="10"/>
      <color theme="0"/>
      <name val="Arial Cyr"/>
      <charset val="204"/>
    </font>
    <font>
      <b/>
      <sz val="8"/>
      <name val="Arial"/>
      <family val="2"/>
      <charset val="204"/>
    </font>
    <font>
      <b/>
      <sz val="8"/>
      <name val="Arial Cyr"/>
      <family val="2"/>
      <charset val="204"/>
    </font>
    <font>
      <sz val="9"/>
      <color theme="0"/>
      <name val="Arial"/>
      <family val="2"/>
      <charset val="204"/>
    </font>
    <font>
      <b/>
      <sz val="9"/>
      <color theme="0"/>
      <name val="Arial"/>
      <family val="2"/>
      <charset val="204"/>
    </font>
    <font>
      <sz val="10"/>
      <color indexed="13"/>
      <name val="Arial"/>
      <family val="2"/>
      <charset val="204"/>
    </font>
    <font>
      <sz val="10"/>
      <name val="Helv"/>
      <charset val="204"/>
    </font>
    <font>
      <b/>
      <sz val="10"/>
      <name val="Helv"/>
      <charset val="204"/>
    </font>
    <font>
      <sz val="10"/>
      <name val="Arial Cyr"/>
      <family val="2"/>
      <charset val="204"/>
    </font>
    <font>
      <sz val="11"/>
      <name val="Arial"/>
      <family val="2"/>
    </font>
    <font>
      <sz val="11"/>
      <color theme="1"/>
      <name val="Calibri"/>
      <family val="2"/>
      <scheme val="minor"/>
    </font>
    <font>
      <sz val="11"/>
      <color theme="1"/>
      <name val="Arial"/>
      <family val="2"/>
    </font>
    <font>
      <b/>
      <sz val="12"/>
      <name val="Arial"/>
      <family val="2"/>
    </font>
    <font>
      <b/>
      <sz val="10"/>
      <color indexed="9"/>
      <name val="Geneva"/>
    </font>
    <font>
      <sz val="9"/>
      <color indexed="12"/>
      <name val="Arial"/>
      <family val="2"/>
      <charset val="204"/>
    </font>
    <font>
      <sz val="8"/>
      <color indexed="10"/>
      <name val="Arial"/>
      <family val="2"/>
      <charset val="204"/>
    </font>
    <font>
      <sz val="14"/>
      <name val="Arial Cyr"/>
    </font>
    <font>
      <b/>
      <u/>
      <sz val="14"/>
      <name val="Arial Cyr"/>
    </font>
    <font>
      <u/>
      <sz val="10"/>
      <name val="Arial Cyr"/>
    </font>
    <font>
      <sz val="10"/>
      <color theme="0"/>
      <name val="Arial Cyr"/>
    </font>
    <font>
      <b/>
      <u/>
      <sz val="10"/>
      <name val="Arial"/>
      <family val="2"/>
    </font>
    <font>
      <u/>
      <sz val="10"/>
      <color theme="0"/>
      <name val="Arial"/>
      <family val="2"/>
    </font>
    <font>
      <sz val="11"/>
      <color indexed="9"/>
      <name val="Arial"/>
      <family val="2"/>
      <charset val="204"/>
    </font>
    <font>
      <b/>
      <sz val="14"/>
      <color indexed="9"/>
      <name val="Arial"/>
      <family val="2"/>
      <charset val="204"/>
    </font>
    <font>
      <b/>
      <sz val="10"/>
      <color theme="0"/>
      <name val="Arial Cyr"/>
      <charset val="204"/>
    </font>
    <font>
      <sz val="8"/>
      <color theme="0"/>
      <name val="Arial"/>
      <family val="2"/>
    </font>
    <font>
      <b/>
      <sz val="10"/>
      <color theme="1"/>
      <name val="Arial"/>
      <family val="2"/>
    </font>
    <font>
      <vertAlign val="subscript"/>
      <sz val="10"/>
      <color theme="0"/>
      <name val="Arial"/>
      <family val="2"/>
    </font>
    <font>
      <sz val="10"/>
      <color indexed="8"/>
      <name val="Arial"/>
      <family val="2"/>
    </font>
    <font>
      <b/>
      <vertAlign val="subscript"/>
      <sz val="10"/>
      <name val="Arial"/>
      <family val="2"/>
      <charset val="204"/>
    </font>
    <font>
      <sz val="24"/>
      <color indexed="9"/>
      <name val="Arial"/>
      <family val="2"/>
    </font>
    <font>
      <b/>
      <sz val="11"/>
      <color theme="0"/>
      <name val="Arial"/>
      <family val="2"/>
      <charset val="204"/>
    </font>
    <font>
      <sz val="24"/>
      <color indexed="9"/>
      <name val="Arial"/>
      <family val="2"/>
      <charset val="204"/>
    </font>
    <font>
      <b/>
      <sz val="14"/>
      <name val="Arial Cyr"/>
      <family val="2"/>
      <charset val="204"/>
    </font>
    <font>
      <vertAlign val="subscript"/>
      <sz val="10"/>
      <name val="Arial Cyr"/>
      <family val="2"/>
      <charset val="204"/>
    </font>
    <font>
      <vertAlign val="superscript"/>
      <sz val="10"/>
      <name val="Arial Cyr"/>
      <family val="2"/>
      <charset val="204"/>
    </font>
    <font>
      <vertAlign val="superscript"/>
      <sz val="10"/>
      <name val="Arial Cyr"/>
      <family val="2"/>
    </font>
    <font>
      <sz val="10"/>
      <name val="Arial Cyr"/>
      <family val="2"/>
    </font>
    <font>
      <sz val="12"/>
      <name val="Wingdings 3"/>
      <family val="1"/>
      <charset val="2"/>
    </font>
    <font>
      <b/>
      <sz val="12"/>
      <color rgb="FF222222"/>
      <name val="Arial"/>
      <family val="2"/>
    </font>
    <font>
      <sz val="10"/>
      <color rgb="FF444444"/>
      <name val="Arial"/>
      <family val="2"/>
    </font>
    <font>
      <b/>
      <sz val="10"/>
      <color rgb="FF000000"/>
      <name val="Arial"/>
      <family val="2"/>
    </font>
    <font>
      <sz val="10"/>
      <color rgb="FF000000"/>
      <name val="Arial"/>
      <family val="2"/>
    </font>
    <font>
      <sz val="10"/>
      <name val="Symbol"/>
      <family val="1"/>
      <charset val="2"/>
    </font>
    <font>
      <sz val="9"/>
      <name val="Symbol"/>
      <family val="1"/>
      <charset val="2"/>
    </font>
    <font>
      <b/>
      <sz val="20"/>
      <name val="Arial"/>
      <family val="2"/>
    </font>
    <font>
      <sz val="11"/>
      <color rgb="FF000000"/>
      <name val="Arial"/>
      <family val="2"/>
    </font>
    <font>
      <b/>
      <sz val="11"/>
      <color rgb="FF000000"/>
      <name val="Arial"/>
      <family val="2"/>
    </font>
    <font>
      <sz val="16"/>
      <color rgb="FF000000"/>
      <name val="Arial"/>
      <family val="2"/>
    </font>
    <font>
      <vertAlign val="superscript"/>
      <sz val="16"/>
      <color rgb="FF000000"/>
      <name val="Arial"/>
      <family val="2"/>
    </font>
    <font>
      <b/>
      <sz val="10"/>
      <color rgb="FF000000"/>
      <name val="Arial"/>
      <family val="2"/>
      <charset val="204"/>
    </font>
    <font>
      <b/>
      <sz val="12"/>
      <color rgb="FFFF0000"/>
      <name val="Calibri"/>
      <family val="2"/>
      <charset val="204"/>
    </font>
    <font>
      <b/>
      <sz val="12"/>
      <name val="Calibri"/>
      <family val="2"/>
      <charset val="204"/>
    </font>
    <font>
      <b/>
      <vertAlign val="superscript"/>
      <sz val="12"/>
      <name val="Calibri"/>
      <family val="2"/>
      <charset val="204"/>
    </font>
    <font>
      <sz val="12"/>
      <name val="Calibri"/>
      <family val="2"/>
      <charset val="204"/>
    </font>
  </fonts>
  <fills count="27">
    <fill>
      <patternFill patternType="none"/>
    </fill>
    <fill>
      <patternFill patternType="gray125"/>
    </fill>
    <fill>
      <patternFill patternType="solid">
        <fgColor indexed="22"/>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rgb="FF005034"/>
        <bgColor indexed="64"/>
      </patternFill>
    </fill>
    <fill>
      <patternFill patternType="solid">
        <fgColor theme="8" tint="-0.249977111117893"/>
        <bgColor indexed="64"/>
      </patternFill>
    </fill>
    <fill>
      <patternFill patternType="solid">
        <fgColor indexed="21"/>
        <bgColor indexed="64"/>
      </patternFill>
    </fill>
    <fill>
      <patternFill patternType="solid">
        <fgColor rgb="FF008080"/>
        <bgColor indexed="64"/>
      </patternFill>
    </fill>
    <fill>
      <patternFill patternType="solid">
        <fgColor rgb="FFFFC000"/>
        <bgColor indexed="64"/>
      </patternFill>
    </fill>
    <fill>
      <patternFill patternType="solid">
        <fgColor theme="0" tint="-0.14999847407452621"/>
        <bgColor indexed="24"/>
      </patternFill>
    </fill>
    <fill>
      <patternFill patternType="solid">
        <fgColor indexed="10"/>
        <bgColor indexed="64"/>
      </patternFill>
    </fill>
    <fill>
      <patternFill patternType="solid">
        <fgColor theme="4"/>
        <bgColor indexed="64"/>
      </patternFill>
    </fill>
    <fill>
      <patternFill patternType="solid">
        <fgColor theme="3" tint="0.39997558519241921"/>
        <bgColor indexed="64"/>
      </patternFill>
    </fill>
    <fill>
      <patternFill patternType="solid">
        <fgColor theme="0" tint="-0.499984740745262"/>
        <bgColor indexed="64"/>
      </patternFill>
    </fill>
    <fill>
      <patternFill patternType="solid">
        <fgColor indexed="38"/>
        <bgColor indexed="64"/>
      </patternFill>
    </fill>
    <fill>
      <patternFill patternType="solid">
        <fgColor theme="0" tint="-0.34998626667073579"/>
        <bgColor indexed="64"/>
      </patternFill>
    </fill>
    <fill>
      <patternFill patternType="solid">
        <fgColor theme="0" tint="-0.14999847407452621"/>
        <bgColor indexed="8"/>
      </patternFill>
    </fill>
    <fill>
      <patternFill patternType="solid">
        <fgColor theme="9" tint="-0.499984740745262"/>
        <bgColor indexed="64"/>
      </patternFill>
    </fill>
    <fill>
      <patternFill patternType="solid">
        <fgColor indexed="43"/>
        <bgColor indexed="64"/>
      </patternFill>
    </fill>
    <fill>
      <patternFill patternType="solid">
        <fgColor theme="0" tint="-0.14996795556505021"/>
        <bgColor indexed="64"/>
      </patternFill>
    </fill>
    <fill>
      <patternFill patternType="solid">
        <fgColor theme="9"/>
        <bgColor indexed="64"/>
      </patternFill>
    </fill>
    <fill>
      <patternFill patternType="solid">
        <fgColor indexed="9"/>
        <bgColor indexed="64"/>
      </patternFill>
    </fill>
    <fill>
      <patternFill patternType="solid">
        <fgColor theme="0" tint="-4.9989318521683403E-2"/>
        <bgColor indexed="64"/>
      </patternFill>
    </fill>
  </fills>
  <borders count="267">
    <border>
      <left/>
      <right/>
      <top/>
      <bottom/>
      <diagonal/>
    </border>
    <border>
      <left/>
      <right style="thin">
        <color theme="0" tint="-0.499984740745262"/>
      </right>
      <top/>
      <bottom/>
      <diagonal/>
    </border>
    <border>
      <left style="thin">
        <color theme="0" tint="-0.499984740745262"/>
      </left>
      <right/>
      <top/>
      <bottom/>
      <diagonal/>
    </border>
    <border>
      <left style="thin">
        <color indexed="23"/>
      </left>
      <right/>
      <top style="thin">
        <color indexed="23"/>
      </top>
      <bottom style="thin">
        <color theme="0"/>
      </bottom>
      <diagonal/>
    </border>
    <border>
      <left/>
      <right/>
      <top style="thin">
        <color indexed="23"/>
      </top>
      <bottom style="thin">
        <color theme="0"/>
      </bottom>
      <diagonal/>
    </border>
    <border>
      <left style="thin">
        <color theme="0"/>
      </left>
      <right style="thin">
        <color theme="1" tint="0.499984740745262"/>
      </right>
      <top style="thin">
        <color theme="0"/>
      </top>
      <bottom/>
      <diagonal/>
    </border>
    <border>
      <left style="thin">
        <color theme="1" tint="0.499984740745262"/>
      </left>
      <right style="thin">
        <color theme="1" tint="0.499984740745262"/>
      </right>
      <top style="thin">
        <color theme="0"/>
      </top>
      <bottom style="thin">
        <color theme="0"/>
      </bottom>
      <diagonal/>
    </border>
    <border>
      <left style="thin">
        <color theme="1" tint="0.499984740745262"/>
      </left>
      <right style="thin">
        <color theme="1" tint="0.499984740745262"/>
      </right>
      <top style="thin">
        <color theme="0"/>
      </top>
      <bottom style="thin">
        <color theme="1"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auto="1"/>
      </left>
      <right style="thin">
        <color indexed="64"/>
      </right>
      <top/>
      <bottom/>
      <diagonal/>
    </border>
    <border>
      <left style="thin">
        <color indexed="64"/>
      </left>
      <right style="thin">
        <color theme="1" tint="0.499984740745262"/>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indexed="64"/>
      </right>
      <top style="thin">
        <color theme="1" tint="0.499984740745262"/>
      </top>
      <bottom/>
      <diagonal/>
    </border>
    <border>
      <left style="thin">
        <color theme="1" tint="0.499984740745262"/>
      </left>
      <right style="thin">
        <color indexed="64"/>
      </right>
      <top/>
      <bottom/>
      <diagonal/>
    </border>
    <border>
      <left style="thin">
        <color indexed="64"/>
      </left>
      <right style="thin">
        <color theme="1" tint="0.499984740745262"/>
      </right>
      <top style="thin">
        <color theme="1" tint="0.499984740745262"/>
      </top>
      <bottom/>
      <diagonal/>
    </border>
    <border>
      <left style="thin">
        <color indexed="64"/>
      </left>
      <right/>
      <top/>
      <bottom style="thin">
        <color indexed="64"/>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thin">
        <color theme="1" tint="0.499984740745262"/>
      </right>
      <top/>
      <bottom style="thin">
        <color indexed="64"/>
      </bottom>
      <diagonal/>
    </border>
    <border>
      <left style="thin">
        <color theme="1" tint="0.499984740745262"/>
      </left>
      <right style="thin">
        <color theme="1" tint="0.499984740745262"/>
      </right>
      <top/>
      <bottom style="thin">
        <color indexed="64"/>
      </bottom>
      <diagonal/>
    </border>
    <border>
      <left style="thin">
        <color theme="1" tint="0.499984740745262"/>
      </left>
      <right style="thin">
        <color indexed="64"/>
      </right>
      <top/>
      <bottom style="thin">
        <color indexed="64"/>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theme="1" tint="0.499984740745262"/>
      </right>
      <top/>
      <bottom/>
      <diagonal/>
    </border>
    <border>
      <left/>
      <right/>
      <top style="thin">
        <color theme="1" tint="0.499984740745262"/>
      </top>
      <bottom style="thin">
        <color theme="0"/>
      </bottom>
      <diagonal/>
    </border>
    <border>
      <left style="thin">
        <color theme="1" tint="0.499984740745262"/>
      </left>
      <right/>
      <top/>
      <bottom/>
      <diagonal/>
    </border>
    <border>
      <left style="thin">
        <color theme="1" tint="0.499984740745262"/>
      </left>
      <right/>
      <top style="thin">
        <color theme="1" tint="0.499984740745262"/>
      </top>
      <bottom style="thin">
        <color theme="0"/>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0"/>
      </left>
      <right style="thin">
        <color theme="1" tint="0.499984740745262"/>
      </right>
      <top/>
      <bottom style="thin">
        <color theme="0"/>
      </bottom>
      <diagonal/>
    </border>
    <border>
      <left style="thin">
        <color theme="0"/>
      </left>
      <right style="thin">
        <color theme="1" tint="0.499984740745262"/>
      </right>
      <top style="thin">
        <color theme="0"/>
      </top>
      <bottom style="thin">
        <color theme="0"/>
      </bottom>
      <diagonal/>
    </border>
    <border>
      <left style="thin">
        <color theme="0"/>
      </left>
      <right style="thin">
        <color theme="1" tint="0.499984740745262"/>
      </right>
      <top/>
      <bottom/>
      <diagonal/>
    </border>
    <border>
      <left style="thin">
        <color theme="1" tint="0.499984740745262"/>
      </left>
      <right/>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style="thin">
        <color theme="1" tint="0.499984740745262"/>
      </left>
      <right style="thin">
        <color theme="1" tint="0.499984740745262"/>
      </right>
      <top style="hair">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hair">
        <color theme="1" tint="0.499984740745262"/>
      </top>
      <bottom style="thin">
        <color theme="1" tint="0.499984740745262"/>
      </bottom>
      <diagonal/>
    </border>
    <border>
      <left/>
      <right/>
      <top style="thin">
        <color theme="0" tint="-0.499984740745262"/>
      </top>
      <bottom style="thin">
        <color theme="0" tint="-4.9989318521683403E-2"/>
      </bottom>
      <diagonal/>
    </border>
    <border>
      <left/>
      <right/>
      <top/>
      <bottom style="hair">
        <color indexed="64"/>
      </bottom>
      <diagonal/>
    </border>
    <border>
      <left style="thin">
        <color indexed="64"/>
      </left>
      <right/>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theme="1" tint="0.499984740745262"/>
      </bottom>
      <diagonal/>
    </border>
    <border>
      <left/>
      <right/>
      <top style="thin">
        <color indexed="64"/>
      </top>
      <bottom style="thin">
        <color theme="1" tint="0.499984740745262"/>
      </bottom>
      <diagonal/>
    </border>
    <border>
      <left/>
      <right style="thin">
        <color indexed="64"/>
      </right>
      <top style="thin">
        <color indexed="64"/>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left>
      <right/>
      <top style="thin">
        <color theme="0"/>
      </top>
      <bottom/>
      <diagonal/>
    </border>
    <border>
      <left style="thin">
        <color theme="0"/>
      </left>
      <right/>
      <top/>
      <bottom style="thin">
        <color theme="1" tint="0.499984740745262"/>
      </bottom>
      <diagonal/>
    </border>
    <border>
      <left style="thin">
        <color theme="0"/>
      </left>
      <right style="thin">
        <color theme="1" tint="0.499984740745262"/>
      </right>
      <top/>
      <bottom style="thin">
        <color theme="1" tint="0.499984740745262"/>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diagonal/>
    </border>
    <border>
      <left/>
      <right style="thin">
        <color indexed="64"/>
      </right>
      <top style="dashed">
        <color indexed="64"/>
      </top>
      <bottom/>
      <diagonal/>
    </border>
    <border>
      <left style="thin">
        <color indexed="64"/>
      </left>
      <right/>
      <top style="dashed">
        <color indexed="64"/>
      </top>
      <bottom/>
      <diagonal/>
    </border>
    <border>
      <left style="thin">
        <color theme="1" tint="0.499984740745262"/>
      </left>
      <right/>
      <top style="thin">
        <color theme="0"/>
      </top>
      <bottom style="thin">
        <color theme="1" tint="0.499984740745262"/>
      </bottom>
      <diagonal/>
    </border>
    <border>
      <left/>
      <right style="thin">
        <color theme="1" tint="0.499984740745262"/>
      </right>
      <top style="thin">
        <color theme="0"/>
      </top>
      <bottom style="thin">
        <color theme="1" tint="0.499984740745262"/>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auto="1"/>
      </left>
      <right style="thin">
        <color auto="1"/>
      </right>
      <top style="hair">
        <color auto="1"/>
      </top>
      <bottom/>
      <diagonal/>
    </border>
    <border>
      <left style="thin">
        <color indexed="64"/>
      </left>
      <right/>
      <top style="hair">
        <color indexed="64"/>
      </top>
      <bottom/>
      <diagonal/>
    </border>
    <border>
      <left/>
      <right/>
      <top style="hair">
        <color indexed="64"/>
      </top>
      <bottom/>
      <diagonal/>
    </border>
    <border>
      <left/>
      <right style="thin">
        <color auto="1"/>
      </right>
      <top style="hair">
        <color indexed="64"/>
      </top>
      <bottom/>
      <diagonal/>
    </border>
    <border>
      <left style="thin">
        <color auto="1"/>
      </left>
      <right style="thin">
        <color auto="1"/>
      </right>
      <top/>
      <bottom style="hair">
        <color auto="1"/>
      </bottom>
      <diagonal/>
    </border>
    <border>
      <left style="thin">
        <color theme="1" tint="0.499984740745262"/>
      </left>
      <right style="thin">
        <color theme="1" tint="0.499984740745262"/>
      </right>
      <top style="thin">
        <color theme="1" tint="0.499984740745262"/>
      </top>
      <bottom style="thin">
        <color indexed="64"/>
      </bottom>
      <diagonal/>
    </border>
    <border>
      <left style="thin">
        <color indexed="64"/>
      </left>
      <right style="thin">
        <color theme="1" tint="0.499984740745262"/>
      </right>
      <top style="thin">
        <color theme="1" tint="0.499984740745262"/>
      </top>
      <bottom style="thin">
        <color theme="1" tint="0.499984740745262"/>
      </bottom>
      <diagonal/>
    </border>
    <border>
      <left style="thin">
        <color indexed="64"/>
      </left>
      <right style="thin">
        <color theme="1" tint="0.499984740745262"/>
      </right>
      <top style="thin">
        <color theme="1" tint="0.499984740745262"/>
      </top>
      <bottom style="thin">
        <color indexed="64"/>
      </bottom>
      <diagonal/>
    </border>
    <border>
      <left style="thin">
        <color theme="1" tint="0.499984740745262"/>
      </left>
      <right/>
      <top/>
      <bottom style="hair">
        <color auto="1"/>
      </bottom>
      <diagonal/>
    </border>
    <border>
      <left/>
      <right/>
      <top style="thin">
        <color indexed="23"/>
      </top>
      <bottom style="thin">
        <color theme="0"/>
      </bottom>
      <diagonal/>
    </border>
    <border>
      <left/>
      <right style="thin">
        <color theme="0" tint="-0.499984740745262"/>
      </right>
      <top style="thin">
        <color theme="0" tint="-4.9989318521683403E-2"/>
      </top>
      <bottom/>
      <diagonal/>
    </border>
    <border>
      <left style="thin">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style="thin">
        <color indexed="64"/>
      </bottom>
      <diagonal/>
    </border>
    <border>
      <left style="dotted">
        <color indexed="64"/>
      </left>
      <right style="thin">
        <color indexed="64"/>
      </right>
      <top/>
      <bottom style="thin">
        <color auto="1"/>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bottom/>
      <diagonal/>
    </border>
    <border>
      <left style="dotted">
        <color indexed="64"/>
      </left>
      <right style="thin">
        <color indexed="64"/>
      </right>
      <top style="dotted">
        <color indexed="64"/>
      </top>
      <bottom/>
      <diagonal/>
    </border>
    <border>
      <left style="dotted">
        <color indexed="64"/>
      </left>
      <right style="thin">
        <color indexed="64"/>
      </right>
      <top/>
      <bottom/>
      <diagonal/>
    </border>
    <border>
      <left/>
      <right/>
      <top style="thin">
        <color auto="1"/>
      </top>
      <bottom/>
      <diagonal/>
    </border>
    <border>
      <left style="thin">
        <color indexed="64"/>
      </left>
      <right style="thin">
        <color indexed="64"/>
      </right>
      <top style="thin">
        <color indexed="64"/>
      </top>
      <bottom style="thin">
        <color theme="1" tint="0.499984740745262"/>
      </bottom>
      <diagonal/>
    </border>
    <border>
      <left style="thin">
        <color indexed="64"/>
      </left>
      <right style="thin">
        <color indexed="64"/>
      </right>
      <top style="thin">
        <color theme="1" tint="0.499984740745262"/>
      </top>
      <bottom/>
      <diagonal/>
    </border>
    <border>
      <left/>
      <right style="thin">
        <color indexed="64"/>
      </right>
      <top style="thin">
        <color theme="1" tint="0.499984740745262"/>
      </top>
      <bottom/>
      <diagonal/>
    </border>
    <border>
      <left style="thin">
        <color indexed="64"/>
      </left>
      <right style="thin">
        <color indexed="64"/>
      </right>
      <top/>
      <bottom style="dashed">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bottom style="thin">
        <color indexed="23"/>
      </bottom>
      <diagonal/>
    </border>
    <border>
      <left style="thin">
        <color indexed="23"/>
      </left>
      <right style="thin">
        <color indexed="23"/>
      </right>
      <top style="thin">
        <color indexed="23"/>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diagonalDown="1">
      <left style="thin">
        <color theme="1" tint="0.34998626667073579"/>
      </left>
      <right style="thin">
        <color theme="1" tint="0.34998626667073579"/>
      </right>
      <top style="thin">
        <color theme="1" tint="0.34998626667073579"/>
      </top>
      <bottom/>
      <diagonal style="thin">
        <color theme="1" tint="0.34998626667073579"/>
      </diagonal>
    </border>
    <border diagonalDown="1">
      <left style="thin">
        <color theme="1" tint="0.34998626667073579"/>
      </left>
      <right style="thin">
        <color theme="1" tint="0.34998626667073579"/>
      </right>
      <top/>
      <bottom style="thin">
        <color theme="1" tint="0.34998626667073579"/>
      </bottom>
      <diagonal style="thin">
        <color theme="1" tint="0.34998626667073579"/>
      </diagonal>
    </border>
    <border>
      <left style="thin">
        <color theme="1" tint="0.34998626667073579"/>
      </left>
      <right/>
      <top/>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indexed="64"/>
      </left>
      <right style="thin">
        <color theme="1" tint="0.34998626667073579"/>
      </right>
      <top style="thin">
        <color theme="1" tint="0.34998626667073579"/>
      </top>
      <bottom style="thin">
        <color indexed="64"/>
      </bottom>
      <diagonal/>
    </border>
    <border>
      <left style="thin">
        <color theme="1" tint="0.34998626667073579"/>
      </left>
      <right style="thin">
        <color indexed="64"/>
      </right>
      <top style="thin">
        <color theme="1" tint="0.34998626667073579"/>
      </top>
      <bottom style="thin">
        <color indexed="64"/>
      </bottom>
      <diagonal/>
    </border>
    <border>
      <left style="thin">
        <color indexed="64"/>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indexed="64"/>
      </right>
      <top style="thin">
        <color indexed="64"/>
      </top>
      <bottom style="thin">
        <color indexed="64"/>
      </bottom>
      <diagonal/>
    </border>
    <border>
      <left style="thin">
        <color indexed="64"/>
      </left>
      <right style="thin">
        <color theme="1" tint="0.499984740745262"/>
      </right>
      <top style="thin">
        <color indexed="64"/>
      </top>
      <bottom style="thin">
        <color indexed="64"/>
      </bottom>
      <diagonal/>
    </border>
    <border>
      <left style="thin">
        <color theme="1" tint="0.499984740745262"/>
      </left>
      <right style="thin">
        <color theme="1" tint="0.499984740745262"/>
      </right>
      <top style="thin">
        <color indexed="64"/>
      </top>
      <bottom style="thin">
        <color indexed="64"/>
      </bottom>
      <diagonal/>
    </border>
    <border>
      <left style="thin">
        <color theme="1" tint="0.499984740745262"/>
      </left>
      <right style="thin">
        <color indexed="64"/>
      </right>
      <top style="thin">
        <color indexed="64"/>
      </top>
      <bottom style="thin">
        <color indexed="64"/>
      </bottom>
      <diagonal/>
    </border>
    <border>
      <left style="thin">
        <color indexed="64"/>
      </left>
      <right style="thin">
        <color theme="1" tint="0.499984740745262"/>
      </right>
      <top style="thin">
        <color indexed="64"/>
      </top>
      <bottom style="thin">
        <color theme="1" tint="0.499984740745262"/>
      </bottom>
      <diagonal/>
    </border>
    <border>
      <left style="thin">
        <color theme="1" tint="0.499984740745262"/>
      </left>
      <right style="thin">
        <color theme="1" tint="0.499984740745262"/>
      </right>
      <top style="thin">
        <color indexed="64"/>
      </top>
      <bottom style="thin">
        <color theme="1" tint="0.499984740745262"/>
      </bottom>
      <diagonal/>
    </border>
    <border>
      <left style="thin">
        <color theme="1" tint="0.499984740745262"/>
      </left>
      <right style="thin">
        <color indexed="64"/>
      </right>
      <top style="thin">
        <color indexed="64"/>
      </top>
      <bottom style="thin">
        <color theme="1" tint="0.499984740745262"/>
      </bottom>
      <diagonal/>
    </border>
    <border>
      <left style="thin">
        <color theme="1" tint="0.499984740745262"/>
      </left>
      <right style="thin">
        <color indexed="64"/>
      </right>
      <top style="thin">
        <color theme="1" tint="0.499984740745262"/>
      </top>
      <bottom style="thin">
        <color theme="1" tint="0.499984740745262"/>
      </bottom>
      <diagonal/>
    </border>
    <border>
      <left style="thin">
        <color theme="1" tint="0.499984740745262"/>
      </left>
      <right style="thin">
        <color indexed="64"/>
      </right>
      <top style="thin">
        <color theme="1" tint="0.499984740745262"/>
      </top>
      <bottom style="thin">
        <color indexed="64"/>
      </bottom>
      <diagonal/>
    </border>
    <border>
      <left style="thin">
        <color indexed="64"/>
      </left>
      <right style="thin">
        <color theme="1" tint="0.34998626667073579"/>
      </right>
      <top style="thin">
        <color indexed="64"/>
      </top>
      <bottom style="thin">
        <color theme="1" tint="0.34998626667073579"/>
      </bottom>
      <diagonal/>
    </border>
    <border>
      <left style="thin">
        <color theme="1" tint="0.34998626667073579"/>
      </left>
      <right style="thin">
        <color indexed="64"/>
      </right>
      <top style="thin">
        <color indexed="64"/>
      </top>
      <bottom style="thin">
        <color theme="1" tint="0.34998626667073579"/>
      </bottom>
      <diagonal/>
    </border>
    <border>
      <left style="thin">
        <color theme="1" tint="0.34998626667073579"/>
      </left>
      <right style="thin">
        <color indexed="64"/>
      </right>
      <top style="thin">
        <color theme="1" tint="0.34998626667073579"/>
      </top>
      <bottom style="thin">
        <color theme="1" tint="0.34998626667073579"/>
      </bottom>
      <diagonal/>
    </border>
    <border>
      <left style="thin">
        <color indexed="64"/>
      </left>
      <right/>
      <top style="thin">
        <color indexed="64"/>
      </top>
      <bottom style="thin">
        <color theme="1" tint="0.34998626667073579"/>
      </bottom>
      <diagonal/>
    </border>
    <border>
      <left style="thin">
        <color indexed="64"/>
      </left>
      <right/>
      <top style="thin">
        <color theme="1" tint="0.34998626667073579"/>
      </top>
      <bottom style="thin">
        <color theme="1" tint="0.34998626667073579"/>
      </bottom>
      <diagonal/>
    </border>
    <border>
      <left style="thin">
        <color indexed="64"/>
      </left>
      <right/>
      <top style="thin">
        <color theme="1" tint="0.34998626667073579"/>
      </top>
      <bottom style="thin">
        <color indexed="64"/>
      </bottom>
      <diagonal/>
    </border>
    <border>
      <left style="thin">
        <color indexed="64"/>
      </left>
      <right style="thin">
        <color theme="1" tint="0.499984740745262"/>
      </right>
      <top style="thin">
        <color indexed="64"/>
      </top>
      <bottom/>
      <diagonal/>
    </border>
    <border>
      <left style="thin">
        <color theme="1" tint="0.499984740745262"/>
      </left>
      <right style="thin">
        <color indexed="64"/>
      </right>
      <top style="thin">
        <color indexed="64"/>
      </top>
      <bottom/>
      <diagonal/>
    </border>
    <border>
      <left style="thin">
        <color indexed="64"/>
      </left>
      <right style="thin">
        <color theme="1" tint="0.499984740745262"/>
      </right>
      <top/>
      <bottom style="thin">
        <color indexed="64"/>
      </bottom>
      <diagonal/>
    </border>
    <border>
      <left style="thin">
        <color theme="1" tint="0.499984740745262"/>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tint="0.499984740745262"/>
      </left>
      <right style="thin">
        <color theme="1" tint="0.499984740745262"/>
      </right>
      <top style="thin">
        <color theme="1" tint="0.499984740745262"/>
      </top>
      <bottom style="hair">
        <color auto="1"/>
      </bottom>
      <diagonal/>
    </border>
    <border>
      <left style="thin">
        <color theme="1" tint="0.499984740745262"/>
      </left>
      <right style="thin">
        <color theme="1" tint="0.499984740745262"/>
      </right>
      <top style="hair">
        <color auto="1"/>
      </top>
      <bottom style="hair">
        <color auto="1"/>
      </bottom>
      <diagonal/>
    </border>
    <border>
      <left style="thin">
        <color theme="1" tint="0.499984740745262"/>
      </left>
      <right style="thin">
        <color theme="1" tint="0.499984740745262"/>
      </right>
      <top style="hair">
        <color auto="1"/>
      </top>
      <bottom style="thin">
        <color theme="1" tint="0.499984740745262"/>
      </bottom>
      <diagonal/>
    </border>
    <border>
      <left/>
      <right/>
      <top style="thin">
        <color theme="1" tint="0.34998626667073579"/>
      </top>
      <bottom/>
      <diagonal/>
    </border>
    <border>
      <left style="thin">
        <color theme="1" tint="0.499984740745262"/>
      </left>
      <right/>
      <top style="hair">
        <color theme="1" tint="0.499984740745262"/>
      </top>
      <bottom style="hair">
        <color theme="1" tint="0.499984740745262"/>
      </bottom>
      <diagonal/>
    </border>
    <border>
      <left style="thin">
        <color theme="1" tint="0.499984740745262"/>
      </left>
      <right/>
      <top style="hair">
        <color theme="1" tint="0.499984740745262"/>
      </top>
      <bottom style="thin">
        <color theme="1" tint="0.499984740745262"/>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medium">
        <color indexed="64"/>
      </left>
      <right style="medium">
        <color indexed="64"/>
      </right>
      <top style="medium">
        <color indexed="64"/>
      </top>
      <bottom style="medium">
        <color indexed="64"/>
      </bottom>
      <diagonal/>
    </border>
    <border>
      <left style="thin">
        <color theme="1" tint="0.34998626667073579"/>
      </left>
      <right/>
      <top style="thin">
        <color theme="1" tint="0.34998626667073579"/>
      </top>
      <bottom/>
      <diagonal/>
    </border>
    <border>
      <left/>
      <right/>
      <top style="thin">
        <color theme="1" tint="0.34998626667073579"/>
      </top>
      <bottom style="thin">
        <color indexed="64"/>
      </bottom>
      <diagonal/>
    </border>
    <border>
      <left/>
      <right style="thin">
        <color theme="1" tint="0.34998626667073579"/>
      </right>
      <top style="thin">
        <color theme="1" tint="0.34998626667073579"/>
      </top>
      <bottom/>
      <diagonal/>
    </border>
    <border>
      <left style="thin">
        <color indexed="23"/>
      </left>
      <right/>
      <top style="thin">
        <color indexed="23"/>
      </top>
      <bottom style="thin">
        <color theme="0"/>
      </bottom>
      <diagonal/>
    </border>
    <border>
      <left/>
      <right/>
      <top style="thin">
        <color indexed="23"/>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diagonalUp="1">
      <left style="medium">
        <color indexed="64"/>
      </left>
      <right/>
      <top style="medium">
        <color indexed="64"/>
      </top>
      <bottom/>
      <diagonal style="medium">
        <color indexed="64"/>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diagonalUp="1">
      <left style="medium">
        <color indexed="64"/>
      </left>
      <right/>
      <top/>
      <bottom/>
      <diagonal style="medium">
        <color indexed="64"/>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style="medium">
        <color theme="1" tint="0.499984740745262"/>
      </bottom>
      <diagonal/>
    </border>
    <border>
      <left style="medium">
        <color theme="1" tint="0.499984740745262"/>
      </left>
      <right style="medium">
        <color theme="1" tint="0.499984740745262"/>
      </right>
      <top style="medium">
        <color theme="1" tint="0.499984740745262"/>
      </top>
      <bottom style="thin">
        <color theme="1" tint="0.499984740745262"/>
      </bottom>
      <diagonal/>
    </border>
    <border>
      <left/>
      <right style="medium">
        <color theme="1" tint="0.499984740745262"/>
      </right>
      <top style="medium">
        <color theme="1" tint="0.499984740745262"/>
      </top>
      <bottom style="thin">
        <color theme="1" tint="0.499984740745262"/>
      </bottom>
      <diagonal/>
    </border>
    <border>
      <left style="medium">
        <color theme="1" tint="0.499984740745262"/>
      </left>
      <right style="medium">
        <color theme="1" tint="0.499984740745262"/>
      </right>
      <top style="thin">
        <color theme="1" tint="0.499984740745262"/>
      </top>
      <bottom style="thin">
        <color theme="1" tint="0.499984740745262"/>
      </bottom>
      <diagonal/>
    </border>
    <border>
      <left/>
      <right style="medium">
        <color theme="1" tint="0.499984740745262"/>
      </right>
      <top style="thin">
        <color theme="1" tint="0.499984740745262"/>
      </top>
      <bottom style="thin">
        <color theme="1" tint="0.499984740745262"/>
      </bottom>
      <diagonal/>
    </border>
    <border>
      <left style="medium">
        <color theme="1" tint="0.499984740745262"/>
      </left>
      <right style="medium">
        <color theme="1" tint="0.499984740745262"/>
      </right>
      <top style="thin">
        <color theme="1" tint="0.499984740745262"/>
      </top>
      <bottom style="medium">
        <color theme="1" tint="0.499984740745262"/>
      </bottom>
      <diagonal/>
    </border>
    <border>
      <left/>
      <right style="medium">
        <color theme="1" tint="0.499984740745262"/>
      </right>
      <top style="thin">
        <color theme="1" tint="0.499984740745262"/>
      </top>
      <bottom style="medium">
        <color theme="1" tint="0.499984740745262"/>
      </bottom>
      <diagonal/>
    </border>
    <border>
      <left style="medium">
        <color theme="1" tint="0.499984740745262"/>
      </left>
      <right/>
      <top style="medium">
        <color theme="1" tint="0.499984740745262"/>
      </top>
      <bottom style="thin">
        <color theme="1" tint="0.499984740745262"/>
      </bottom>
      <diagonal/>
    </border>
    <border>
      <left style="medium">
        <color theme="1" tint="0.499984740745262"/>
      </left>
      <right/>
      <top style="thin">
        <color theme="1" tint="0.499984740745262"/>
      </top>
      <bottom style="thin">
        <color theme="1" tint="0.499984740745262"/>
      </bottom>
      <diagonal/>
    </border>
    <border>
      <left style="medium">
        <color theme="1" tint="0.499984740745262"/>
      </left>
      <right/>
      <top style="thin">
        <color theme="1" tint="0.499984740745262"/>
      </top>
      <bottom style="medium">
        <color theme="1" tint="0.499984740745262"/>
      </bottom>
      <diagonal/>
    </border>
    <border>
      <left/>
      <right/>
      <top style="thin">
        <color theme="0" tint="-0.499984740745262"/>
      </top>
      <bottom/>
      <diagonal/>
    </border>
    <border>
      <left/>
      <right/>
      <top/>
      <bottom style="thin">
        <color theme="0"/>
      </bottom>
      <diagonal/>
    </border>
    <border>
      <left/>
      <right style="thin">
        <color theme="0" tint="-0.499984740745262"/>
      </right>
      <top style="thin">
        <color theme="0"/>
      </top>
      <bottom/>
      <diagonal/>
    </border>
    <border>
      <left style="thin">
        <color indexed="63"/>
      </left>
      <right/>
      <top style="thin">
        <color indexed="63"/>
      </top>
      <bottom style="thin">
        <color indexed="9"/>
      </bottom>
      <diagonal/>
    </border>
    <border>
      <left/>
      <right/>
      <top style="thin">
        <color indexed="63"/>
      </top>
      <bottom style="thin">
        <color indexed="9"/>
      </bottom>
      <diagonal/>
    </border>
    <border>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style="thin">
        <color theme="0"/>
      </bottom>
      <diagonal/>
    </border>
    <border>
      <left/>
      <right/>
      <top style="thin">
        <color indexed="64"/>
      </top>
      <bottom style="thin">
        <color theme="0"/>
      </bottom>
      <diagonal/>
    </border>
    <border>
      <left style="thin">
        <color indexed="23"/>
      </left>
      <right/>
      <top style="thin">
        <color indexed="23"/>
      </top>
      <bottom/>
      <diagonal/>
    </border>
    <border>
      <left/>
      <right/>
      <top style="thin">
        <color indexed="23"/>
      </top>
      <bottom/>
      <diagonal/>
    </border>
    <border>
      <left style="thin">
        <color indexed="23"/>
      </left>
      <right/>
      <top/>
      <bottom/>
      <diagonal/>
    </border>
    <border>
      <left/>
      <right style="thin">
        <color indexed="23"/>
      </right>
      <top style="thin">
        <color indexed="23"/>
      </top>
      <bottom/>
      <diagonal/>
    </border>
    <border>
      <left/>
      <right style="thin">
        <color indexed="23"/>
      </right>
      <top/>
      <bottom/>
      <diagonal/>
    </border>
    <border>
      <left style="thin">
        <color indexed="23"/>
      </left>
      <right/>
      <top/>
      <bottom style="thin">
        <color indexed="23"/>
      </bottom>
      <diagonal/>
    </border>
    <border>
      <left/>
      <right/>
      <top/>
      <bottom style="thin">
        <color indexed="23"/>
      </bottom>
      <diagonal/>
    </border>
    <border>
      <left/>
      <right style="thin">
        <color indexed="23"/>
      </right>
      <top/>
      <bottom style="thin">
        <color indexed="23"/>
      </bottom>
      <diagonal/>
    </border>
    <border>
      <left style="thin">
        <color auto="1"/>
      </left>
      <right style="thin">
        <color indexed="64"/>
      </right>
      <top/>
      <bottom/>
      <diagonal/>
    </border>
    <border>
      <left style="thin">
        <color indexed="64"/>
      </left>
      <right/>
      <top/>
      <bottom/>
      <diagonal/>
    </border>
    <border>
      <left style="thin">
        <color theme="1" tint="0.499984740745262"/>
      </left>
      <right style="thin">
        <color theme="1" tint="0.499984740745262"/>
      </right>
      <top/>
      <bottom style="thin">
        <color indexed="64"/>
      </bottom>
      <diagonal/>
    </border>
    <border>
      <left style="thin">
        <color theme="1" tint="0.34998626667073579"/>
      </left>
      <right style="hair">
        <color theme="1" tint="0.34998626667073579"/>
      </right>
      <top style="thin">
        <color theme="1" tint="0.34998626667073579"/>
      </top>
      <bottom style="hair">
        <color theme="1" tint="0.34998626667073579"/>
      </bottom>
      <diagonal/>
    </border>
    <border>
      <left style="hair">
        <color theme="1" tint="0.34998626667073579"/>
      </left>
      <right style="hair">
        <color theme="1" tint="0.34998626667073579"/>
      </right>
      <top style="thin">
        <color theme="1" tint="0.34998626667073579"/>
      </top>
      <bottom style="hair">
        <color theme="1" tint="0.34998626667073579"/>
      </bottom>
      <diagonal/>
    </border>
    <border>
      <left style="hair">
        <color theme="1" tint="0.34998626667073579"/>
      </left>
      <right style="thin">
        <color theme="1" tint="0.34998626667073579"/>
      </right>
      <top style="thin">
        <color theme="1" tint="0.34998626667073579"/>
      </top>
      <bottom style="hair">
        <color theme="1" tint="0.34998626667073579"/>
      </bottom>
      <diagonal/>
    </border>
    <border>
      <left style="thin">
        <color theme="1" tint="0.34998626667073579"/>
      </left>
      <right style="hair">
        <color theme="1" tint="0.34998626667073579"/>
      </right>
      <top style="hair">
        <color theme="1" tint="0.34998626667073579"/>
      </top>
      <bottom style="thin">
        <color theme="1" tint="0.34998626667073579"/>
      </bottom>
      <diagonal/>
    </border>
    <border>
      <left style="hair">
        <color theme="1" tint="0.34998626667073579"/>
      </left>
      <right style="hair">
        <color theme="1" tint="0.34998626667073579"/>
      </right>
      <top style="hair">
        <color theme="1" tint="0.34998626667073579"/>
      </top>
      <bottom style="thin">
        <color theme="1" tint="0.34998626667073579"/>
      </bottom>
      <diagonal/>
    </border>
    <border>
      <left style="hair">
        <color theme="1" tint="0.34998626667073579"/>
      </left>
      <right style="thin">
        <color theme="1" tint="0.34998626667073579"/>
      </right>
      <top style="hair">
        <color theme="1" tint="0.34998626667073579"/>
      </top>
      <bottom style="thin">
        <color theme="1" tint="0.34998626667073579"/>
      </bottom>
      <diagonal/>
    </border>
    <border>
      <left/>
      <right/>
      <top style="thin">
        <color theme="1" tint="0.34998626667073579"/>
      </top>
      <bottom style="thin">
        <color theme="1" tint="0.499984740745262"/>
      </bottom>
      <diagonal/>
    </border>
    <border>
      <left/>
      <right style="thin">
        <color theme="0" tint="-0.499984740745262"/>
      </right>
      <top/>
      <bottom style="thin">
        <color theme="0" tint="-4.9989318521683403E-2"/>
      </bottom>
      <diagonal/>
    </border>
    <border>
      <left/>
      <right/>
      <top/>
      <bottom style="thin">
        <color theme="0" tint="-0.499984740745262"/>
      </bottom>
      <diagonal/>
    </border>
    <border>
      <left/>
      <right style="thin">
        <color theme="0" tint="-0.499984740745262"/>
      </right>
      <top style="thin">
        <color theme="0" tint="-0.499984740745262"/>
      </top>
      <bottom/>
      <diagonal/>
    </border>
    <border>
      <left/>
      <right style="thin">
        <color theme="1"/>
      </right>
      <top/>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right/>
      <top style="medium">
        <color auto="1"/>
      </top>
      <bottom style="thin">
        <color indexed="64"/>
      </bottom>
      <diagonal/>
    </border>
  </borders>
  <cellStyleXfs count="65">
    <xf numFmtId="0" fontId="0" fillId="0" borderId="0"/>
    <xf numFmtId="0" fontId="5" fillId="0" borderId="0"/>
    <xf numFmtId="0" fontId="7" fillId="0" borderId="0" applyNumberFormat="0" applyFill="0" applyBorder="0" applyAlignment="0" applyProtection="0">
      <alignment vertical="top"/>
      <protection locked="0"/>
    </xf>
    <xf numFmtId="0" fontId="5" fillId="0" borderId="0"/>
    <xf numFmtId="0" fontId="15" fillId="0" borderId="0"/>
    <xf numFmtId="0" fontId="17" fillId="0" borderId="0"/>
    <xf numFmtId="0" fontId="5" fillId="0" borderId="0"/>
    <xf numFmtId="0" fontId="6" fillId="0" borderId="0"/>
    <xf numFmtId="0" fontId="5" fillId="0" borderId="0"/>
    <xf numFmtId="43" fontId="26" fillId="0" borderId="0" applyFont="0" applyFill="0" applyBorder="0" applyAlignment="0" applyProtection="0"/>
    <xf numFmtId="0" fontId="28" fillId="0" borderId="0"/>
    <xf numFmtId="0" fontId="6" fillId="0" borderId="0"/>
    <xf numFmtId="0" fontId="29" fillId="0" borderId="0" applyNumberFormat="0" applyFill="0" applyBorder="0" applyAlignment="0" applyProtection="0"/>
    <xf numFmtId="0" fontId="30" fillId="0" borderId="0" applyNumberFormat="0" applyFill="0" applyBorder="0" applyAlignment="0" applyProtection="0">
      <alignment vertical="top"/>
      <protection locked="0"/>
    </xf>
    <xf numFmtId="0" fontId="6" fillId="0" borderId="0"/>
    <xf numFmtId="0" fontId="29" fillId="0" borderId="0" applyNumberFormat="0" applyFill="0" applyBorder="0" applyAlignment="0" applyProtection="0"/>
    <xf numFmtId="0" fontId="32" fillId="0" borderId="0"/>
    <xf numFmtId="0" fontId="34" fillId="0" borderId="0" applyNumberFormat="0" applyFill="0" applyBorder="0" applyAlignment="0" applyProtection="0"/>
    <xf numFmtId="0" fontId="30" fillId="0" borderId="0" applyNumberFormat="0" applyFill="0" applyBorder="0" applyAlignment="0" applyProtection="0">
      <alignment vertical="top"/>
      <protection locked="0"/>
    </xf>
    <xf numFmtId="0" fontId="35" fillId="0" borderId="0"/>
    <xf numFmtId="0" fontId="37" fillId="0" borderId="0" applyNumberFormat="0" applyFill="0" applyBorder="0" applyAlignment="0" applyProtection="0">
      <alignment vertical="top"/>
      <protection locked="0"/>
    </xf>
    <xf numFmtId="0" fontId="26" fillId="0" borderId="0"/>
    <xf numFmtId="0" fontId="35" fillId="0" borderId="0" applyNumberFormat="0" applyFont="0" applyFill="0" applyBorder="0" applyAlignment="0" applyProtection="0">
      <alignment vertical="top"/>
    </xf>
    <xf numFmtId="0" fontId="26" fillId="0" borderId="0"/>
    <xf numFmtId="0" fontId="35" fillId="0" borderId="0"/>
    <xf numFmtId="0" fontId="37" fillId="0" borderId="0" applyNumberFormat="0" applyFill="0" applyBorder="0" applyAlignment="0" applyProtection="0">
      <alignment vertical="top"/>
      <protection locked="0"/>
    </xf>
    <xf numFmtId="0" fontId="6" fillId="0" borderId="0"/>
    <xf numFmtId="43" fontId="5" fillId="0" borderId="0" applyFont="0" applyFill="0" applyBorder="0" applyAlignment="0" applyProtection="0"/>
    <xf numFmtId="9" fontId="5" fillId="0" borderId="0" applyFont="0" applyFill="0" applyBorder="0" applyAlignment="0" applyProtection="0"/>
    <xf numFmtId="0" fontId="85" fillId="0" borderId="0"/>
    <xf numFmtId="0" fontId="5" fillId="0" borderId="0"/>
    <xf numFmtId="0" fontId="95" fillId="0" borderId="0"/>
    <xf numFmtId="0" fontId="95" fillId="0" borderId="0"/>
    <xf numFmtId="0" fontId="15" fillId="0" borderId="0"/>
    <xf numFmtId="0" fontId="58" fillId="0" borderId="0"/>
    <xf numFmtId="0" fontId="5" fillId="0" borderId="0"/>
    <xf numFmtId="213" fontId="15" fillId="0" borderId="0" applyFont="0" applyFill="0" applyBorder="0" applyAlignment="0" applyProtection="0"/>
    <xf numFmtId="0" fontId="5" fillId="0" borderId="0"/>
    <xf numFmtId="0" fontId="17" fillId="0" borderId="0"/>
    <xf numFmtId="0" fontId="5" fillId="0" borderId="0"/>
    <xf numFmtId="0" fontId="6" fillId="0" borderId="0" applyNumberFormat="0" applyFont="0" applyFill="0" applyBorder="0" applyAlignment="0" applyProtection="0">
      <alignment vertical="top"/>
    </xf>
    <xf numFmtId="0" fontId="113" fillId="0" borderId="0"/>
    <xf numFmtId="0" fontId="26" fillId="0" borderId="0"/>
    <xf numFmtId="0" fontId="5" fillId="0" borderId="0"/>
    <xf numFmtId="0" fontId="117" fillId="0" borderId="0"/>
    <xf numFmtId="43" fontId="5" fillId="0" borderId="0" applyFont="0" applyFill="0" applyBorder="0" applyAlignment="0" applyProtection="0"/>
    <xf numFmtId="0" fontId="120" fillId="0" borderId="0"/>
    <xf numFmtId="0" fontId="5" fillId="0" borderId="0"/>
    <xf numFmtId="0" fontId="5" fillId="0" borderId="0"/>
    <xf numFmtId="0" fontId="7" fillId="0" borderId="0" applyNumberFormat="0" applyFill="0" applyBorder="0" applyAlignment="0" applyProtection="0">
      <alignment vertical="top"/>
      <protection locked="0"/>
    </xf>
    <xf numFmtId="0" fontId="6" fillId="0" borderId="0"/>
    <xf numFmtId="43" fontId="6" fillId="0" borderId="0" applyFont="0" applyFill="0" applyBorder="0" applyAlignment="0" applyProtection="0"/>
    <xf numFmtId="0" fontId="5" fillId="0" borderId="0"/>
    <xf numFmtId="0" fontId="15" fillId="0" borderId="0"/>
    <xf numFmtId="43" fontId="5" fillId="0" borderId="0" applyFont="0" applyFill="0" applyBorder="0" applyAlignment="0" applyProtection="0"/>
    <xf numFmtId="0" fontId="139" fillId="0" borderId="0"/>
    <xf numFmtId="0" fontId="26" fillId="0" borderId="0"/>
    <xf numFmtId="0" fontId="5" fillId="0" borderId="0"/>
    <xf numFmtId="0" fontId="4" fillId="0" borderId="0"/>
    <xf numFmtId="0" fontId="3" fillId="0" borderId="0"/>
    <xf numFmtId="0" fontId="6" fillId="0" borderId="0"/>
    <xf numFmtId="0" fontId="6" fillId="0" borderId="0"/>
    <xf numFmtId="0" fontId="2" fillId="0" borderId="0"/>
    <xf numFmtId="0" fontId="6" fillId="0" borderId="0"/>
    <xf numFmtId="0" fontId="1" fillId="0" borderId="0"/>
  </cellStyleXfs>
  <cellXfs count="3660">
    <xf numFmtId="0" fontId="0" fillId="0" borderId="0" xfId="0"/>
    <xf numFmtId="0" fontId="0" fillId="2" borderId="0" xfId="0" applyFill="1"/>
    <xf numFmtId="0" fontId="0" fillId="4" borderId="2" xfId="0" applyFill="1" applyBorder="1"/>
    <xf numFmtId="0" fontId="6" fillId="4" borderId="0" xfId="0" applyFont="1" applyFill="1" applyAlignment="1">
      <alignment horizontal="centerContinuous" vertical="center"/>
    </xf>
    <xf numFmtId="0" fontId="0" fillId="4" borderId="0" xfId="0" applyFill="1" applyAlignment="1">
      <alignment horizontal="centerContinuous"/>
    </xf>
    <xf numFmtId="0" fontId="0" fillId="4" borderId="0" xfId="0" applyFill="1"/>
    <xf numFmtId="0" fontId="0" fillId="4" borderId="0" xfId="0" applyFill="1" applyAlignment="1">
      <alignment vertical="center"/>
    </xf>
    <xf numFmtId="0" fontId="12" fillId="4" borderId="0" xfId="0" applyFont="1" applyFill="1" applyAlignment="1">
      <alignment horizontal="centerContinuous"/>
    </xf>
    <xf numFmtId="0" fontId="5" fillId="3" borderId="0" xfId="1" applyFill="1" applyAlignment="1">
      <alignment horizontal="left" indent="1"/>
    </xf>
    <xf numFmtId="0" fontId="12" fillId="4" borderId="0" xfId="0" applyFont="1" applyFill="1"/>
    <xf numFmtId="0" fontId="5" fillId="3" borderId="0" xfId="1" applyFill="1"/>
    <xf numFmtId="0" fontId="0" fillId="3" borderId="0" xfId="0" applyFill="1"/>
    <xf numFmtId="0" fontId="6" fillId="4" borderId="0" xfId="4" applyFont="1" applyFill="1"/>
    <xf numFmtId="0" fontId="16" fillId="6" borderId="6" xfId="2" applyFont="1" applyFill="1" applyBorder="1" applyAlignment="1" applyProtection="1">
      <alignment horizontal="left" vertical="center" indent="1"/>
    </xf>
    <xf numFmtId="0" fontId="19" fillId="7" borderId="0" xfId="5" applyFont="1" applyFill="1" applyAlignment="1">
      <alignment horizontal="centerContinuous" vertical="center"/>
    </xf>
    <xf numFmtId="0" fontId="16" fillId="6" borderId="7" xfId="2" applyFont="1" applyFill="1" applyBorder="1" applyAlignment="1" applyProtection="1">
      <alignment horizontal="left" vertical="center" indent="1"/>
    </xf>
    <xf numFmtId="0" fontId="5" fillId="4" borderId="0" xfId="2" applyFont="1" applyFill="1" applyBorder="1" applyAlignment="1" applyProtection="1">
      <alignment horizontal="center" vertical="center"/>
    </xf>
    <xf numFmtId="0" fontId="16" fillId="4" borderId="0" xfId="2" applyFont="1" applyFill="1" applyBorder="1" applyAlignment="1" applyProtection="1">
      <alignment horizontal="left" vertical="center" indent="1"/>
    </xf>
    <xf numFmtId="0" fontId="6" fillId="4" borderId="0" xfId="4" applyFont="1" applyFill="1" applyAlignment="1">
      <alignment horizontal="center"/>
    </xf>
    <xf numFmtId="0" fontId="20" fillId="8" borderId="8" xfId="4" applyFont="1" applyFill="1" applyBorder="1" applyAlignment="1">
      <alignment horizontal="centerContinuous" vertical="center"/>
    </xf>
    <xf numFmtId="0" fontId="20" fillId="8" borderId="9" xfId="4" applyFont="1" applyFill="1" applyBorder="1" applyAlignment="1">
      <alignment horizontal="centerContinuous"/>
    </xf>
    <xf numFmtId="0" fontId="13" fillId="4" borderId="11" xfId="6" applyFont="1" applyFill="1" applyBorder="1"/>
    <xf numFmtId="0" fontId="13" fillId="4" borderId="0" xfId="6" applyFont="1" applyFill="1"/>
    <xf numFmtId="0" fontId="24" fillId="8" borderId="24" xfId="4" applyFont="1" applyFill="1" applyBorder="1" applyAlignment="1">
      <alignment horizontal="center" vertical="center"/>
    </xf>
    <xf numFmtId="168" fontId="6" fillId="4" borderId="0" xfId="4" applyNumberFormat="1" applyFont="1" applyFill="1"/>
    <xf numFmtId="0" fontId="6" fillId="4" borderId="11" xfId="4" applyFont="1" applyFill="1" applyBorder="1"/>
    <xf numFmtId="0" fontId="5" fillId="4" borderId="14" xfId="6" applyFill="1" applyBorder="1"/>
    <xf numFmtId="0" fontId="5" fillId="4" borderId="12" xfId="6" applyFill="1" applyBorder="1"/>
    <xf numFmtId="0" fontId="13" fillId="8" borderId="29" xfId="4" applyFont="1" applyFill="1" applyBorder="1" applyAlignment="1">
      <alignment horizontal="centerContinuous"/>
    </xf>
    <xf numFmtId="0" fontId="13" fillId="8" borderId="29" xfId="6" applyFont="1" applyFill="1" applyBorder="1" applyAlignment="1">
      <alignment horizontal="centerContinuous"/>
    </xf>
    <xf numFmtId="171" fontId="6" fillId="4" borderId="32" xfId="4" applyNumberFormat="1" applyFont="1" applyFill="1" applyBorder="1" applyAlignment="1">
      <alignment horizontal="center"/>
    </xf>
    <xf numFmtId="166" fontId="6" fillId="4" borderId="33" xfId="4" applyNumberFormat="1" applyFont="1" applyFill="1" applyBorder="1" applyAlignment="1">
      <alignment horizontal="center"/>
    </xf>
    <xf numFmtId="171" fontId="6" fillId="4" borderId="34" xfId="4" applyNumberFormat="1" applyFont="1" applyFill="1" applyBorder="1" applyAlignment="1">
      <alignment horizontal="center"/>
    </xf>
    <xf numFmtId="0" fontId="5" fillId="4" borderId="0" xfId="6" applyFill="1"/>
    <xf numFmtId="166" fontId="6" fillId="4" borderId="0" xfId="4" applyNumberFormat="1" applyFont="1" applyFill="1" applyAlignment="1">
      <alignment horizontal="center"/>
    </xf>
    <xf numFmtId="165" fontId="6" fillId="4" borderId="34" xfId="4" applyNumberFormat="1" applyFont="1" applyFill="1" applyBorder="1" applyAlignment="1">
      <alignment horizontal="center"/>
    </xf>
    <xf numFmtId="165" fontId="6" fillId="4" borderId="12" xfId="4" applyNumberFormat="1" applyFont="1" applyFill="1" applyBorder="1" applyAlignment="1">
      <alignment horizontal="center"/>
    </xf>
    <xf numFmtId="1" fontId="6" fillId="4" borderId="32" xfId="4" applyNumberFormat="1" applyFont="1" applyFill="1" applyBorder="1" applyAlignment="1">
      <alignment horizontal="center"/>
    </xf>
    <xf numFmtId="0" fontId="6" fillId="4" borderId="33" xfId="4" applyFont="1" applyFill="1" applyBorder="1" applyAlignment="1">
      <alignment horizontal="center"/>
    </xf>
    <xf numFmtId="2" fontId="6" fillId="4" borderId="34" xfId="4" applyNumberFormat="1" applyFont="1" applyFill="1" applyBorder="1"/>
    <xf numFmtId="0" fontId="6" fillId="4" borderId="32" xfId="4" applyFont="1" applyFill="1" applyBorder="1" applyAlignment="1">
      <alignment horizontal="center"/>
    </xf>
    <xf numFmtId="166" fontId="6" fillId="4" borderId="34" xfId="4" applyNumberFormat="1" applyFont="1" applyFill="1" applyBorder="1" applyAlignment="1">
      <alignment horizontal="center"/>
    </xf>
    <xf numFmtId="172" fontId="6" fillId="4" borderId="34" xfId="4" applyNumberFormat="1" applyFont="1" applyFill="1" applyBorder="1" applyAlignment="1">
      <alignment horizontal="center"/>
    </xf>
    <xf numFmtId="171" fontId="6" fillId="4" borderId="0" xfId="4" applyNumberFormat="1" applyFont="1" applyFill="1" applyAlignment="1">
      <alignment horizontal="center"/>
    </xf>
    <xf numFmtId="2" fontId="6" fillId="4" borderId="0" xfId="4" applyNumberFormat="1" applyFont="1" applyFill="1" applyAlignment="1">
      <alignment horizontal="center"/>
    </xf>
    <xf numFmtId="165" fontId="6" fillId="4" borderId="33" xfId="4" applyNumberFormat="1" applyFont="1" applyFill="1" applyBorder="1" applyAlignment="1">
      <alignment horizontal="center"/>
    </xf>
    <xf numFmtId="1" fontId="6" fillId="4" borderId="35" xfId="4" applyNumberFormat="1" applyFont="1" applyFill="1" applyBorder="1" applyAlignment="1">
      <alignment horizontal="center"/>
    </xf>
    <xf numFmtId="0" fontId="6" fillId="4" borderId="36" xfId="4" applyFont="1" applyFill="1" applyBorder="1" applyAlignment="1">
      <alignment horizontal="center"/>
    </xf>
    <xf numFmtId="2" fontId="6" fillId="4" borderId="37" xfId="4" applyNumberFormat="1" applyFont="1" applyFill="1" applyBorder="1"/>
    <xf numFmtId="0" fontId="6" fillId="4" borderId="35" xfId="4" applyFont="1" applyFill="1" applyBorder="1" applyAlignment="1">
      <alignment horizontal="center"/>
    </xf>
    <xf numFmtId="171" fontId="6" fillId="4" borderId="36" xfId="4" applyNumberFormat="1" applyFont="1" applyFill="1" applyBorder="1" applyAlignment="1">
      <alignment horizontal="center"/>
    </xf>
    <xf numFmtId="166" fontId="6" fillId="4" borderId="37" xfId="4" applyNumberFormat="1" applyFont="1" applyFill="1" applyBorder="1" applyAlignment="1">
      <alignment horizontal="center"/>
    </xf>
    <xf numFmtId="166" fontId="6" fillId="4" borderId="36" xfId="4" applyNumberFormat="1" applyFont="1" applyFill="1" applyBorder="1" applyAlignment="1">
      <alignment horizontal="center"/>
    </xf>
    <xf numFmtId="2" fontId="6" fillId="4" borderId="36" xfId="4" applyNumberFormat="1" applyFont="1" applyFill="1" applyBorder="1" applyAlignment="1">
      <alignment horizontal="center"/>
    </xf>
    <xf numFmtId="172" fontId="6" fillId="4" borderId="37" xfId="4" applyNumberFormat="1" applyFont="1" applyFill="1" applyBorder="1" applyAlignment="1">
      <alignment horizontal="center"/>
    </xf>
    <xf numFmtId="0" fontId="5" fillId="4" borderId="13" xfId="6" applyFill="1" applyBorder="1"/>
    <xf numFmtId="171" fontId="21" fillId="4" borderId="11" xfId="4" applyNumberFormat="1" applyFont="1" applyFill="1" applyBorder="1" applyAlignment="1">
      <alignment horizontal="center"/>
    </xf>
    <xf numFmtId="165" fontId="6" fillId="4" borderId="11" xfId="4" applyNumberFormat="1" applyFont="1" applyFill="1" applyBorder="1" applyAlignment="1">
      <alignment horizontal="center"/>
    </xf>
    <xf numFmtId="171" fontId="21" fillId="4" borderId="0" xfId="4" applyNumberFormat="1" applyFont="1" applyFill="1" applyAlignment="1">
      <alignment horizontal="center"/>
    </xf>
    <xf numFmtId="165" fontId="6" fillId="4" borderId="0" xfId="4" applyNumberFormat="1" applyFont="1" applyFill="1" applyAlignment="1">
      <alignment horizontal="center"/>
    </xf>
    <xf numFmtId="0" fontId="28" fillId="3" borderId="1" xfId="10" applyFill="1" applyBorder="1" applyAlignment="1">
      <alignment horizontal="left" vertical="center"/>
    </xf>
    <xf numFmtId="0" fontId="28" fillId="5" borderId="0" xfId="10" applyFill="1"/>
    <xf numFmtId="0" fontId="13" fillId="3" borderId="1" xfId="10" applyFont="1" applyFill="1" applyBorder="1" applyAlignment="1">
      <alignment horizontal="left" vertical="center" indent="1"/>
    </xf>
    <xf numFmtId="0" fontId="6" fillId="3" borderId="38" xfId="11" applyFill="1" applyBorder="1"/>
    <xf numFmtId="0" fontId="28" fillId="0" borderId="0" xfId="10"/>
    <xf numFmtId="0" fontId="6" fillId="3" borderId="0" xfId="11" applyFill="1"/>
    <xf numFmtId="0" fontId="6" fillId="4" borderId="0" xfId="11" applyFill="1"/>
    <xf numFmtId="0" fontId="11" fillId="4" borderId="40" xfId="11" applyFont="1" applyFill="1" applyBorder="1" applyAlignment="1">
      <alignment vertical="center"/>
    </xf>
    <xf numFmtId="0" fontId="9" fillId="4" borderId="41" xfId="11" applyFont="1" applyFill="1" applyBorder="1" applyAlignment="1">
      <alignment horizontal="centerContinuous" vertical="center"/>
    </xf>
    <xf numFmtId="0" fontId="9" fillId="4" borderId="39" xfId="11" applyFont="1" applyFill="1" applyBorder="1" applyAlignment="1">
      <alignment horizontal="centerContinuous"/>
    </xf>
    <xf numFmtId="0" fontId="6" fillId="4" borderId="39" xfId="11" applyFill="1" applyBorder="1"/>
    <xf numFmtId="0" fontId="6" fillId="4" borderId="42" xfId="11" applyFill="1" applyBorder="1"/>
    <xf numFmtId="0" fontId="6" fillId="4" borderId="43" xfId="11" applyFill="1" applyBorder="1"/>
    <xf numFmtId="0" fontId="6" fillId="4" borderId="44" xfId="11" applyFill="1" applyBorder="1"/>
    <xf numFmtId="0" fontId="6" fillId="4" borderId="39" xfId="11" applyFill="1" applyBorder="1" applyAlignment="1">
      <alignment horizontal="left" vertical="center" indent="1"/>
    </xf>
    <xf numFmtId="0" fontId="6" fillId="4" borderId="40" xfId="11" applyFill="1" applyBorder="1"/>
    <xf numFmtId="0" fontId="6" fillId="4" borderId="38" xfId="11" applyFill="1" applyBorder="1"/>
    <xf numFmtId="0" fontId="6" fillId="6" borderId="46" xfId="13" applyFont="1" applyFill="1" applyBorder="1" applyAlignment="1" applyProtection="1">
      <alignment horizontal="left" vertical="center" indent="5"/>
    </xf>
    <xf numFmtId="0" fontId="6" fillId="4" borderId="48" xfId="11" applyFill="1" applyBorder="1"/>
    <xf numFmtId="0" fontId="6" fillId="4" borderId="49" xfId="11" applyFill="1" applyBorder="1"/>
    <xf numFmtId="0" fontId="6" fillId="4" borderId="50" xfId="11" applyFill="1" applyBorder="1"/>
    <xf numFmtId="0" fontId="6" fillId="4" borderId="51" xfId="11" applyFill="1" applyBorder="1"/>
    <xf numFmtId="0" fontId="29" fillId="0" borderId="0" xfId="15" applyBorder="1"/>
    <xf numFmtId="0" fontId="32" fillId="0" borderId="0" xfId="16"/>
    <xf numFmtId="0" fontId="29" fillId="0" borderId="0" xfId="15" applyAlignment="1">
      <alignment horizontal="center" vertical="center"/>
    </xf>
    <xf numFmtId="0" fontId="11" fillId="4" borderId="0" xfId="11" applyFont="1" applyFill="1" applyAlignment="1">
      <alignment vertical="center"/>
    </xf>
    <xf numFmtId="0" fontId="9" fillId="4" borderId="0" xfId="11" applyFont="1" applyFill="1" applyAlignment="1">
      <alignment horizontal="left"/>
    </xf>
    <xf numFmtId="0" fontId="9" fillId="4" borderId="0" xfId="11" applyFont="1" applyFill="1" applyAlignment="1">
      <alignment horizontal="centerContinuous"/>
    </xf>
    <xf numFmtId="0" fontId="6" fillId="4" borderId="52" xfId="11" applyFill="1" applyBorder="1" applyAlignment="1">
      <alignment horizontal="center" vertical="center"/>
    </xf>
    <xf numFmtId="0" fontId="6" fillId="4" borderId="0" xfId="11" applyFill="1" applyAlignment="1">
      <alignment vertical="center"/>
    </xf>
    <xf numFmtId="0" fontId="6" fillId="0" borderId="16" xfId="11" applyBorder="1" applyProtection="1">
      <protection locked="0"/>
    </xf>
    <xf numFmtId="0" fontId="6" fillId="0" borderId="56" xfId="11" applyBorder="1" applyProtection="1">
      <protection locked="0"/>
    </xf>
    <xf numFmtId="0" fontId="34" fillId="0" borderId="57" xfId="17" applyFill="1" applyBorder="1" applyAlignment="1" applyProtection="1">
      <alignment horizontal="left" vertical="center" indent="1"/>
      <protection locked="0"/>
    </xf>
    <xf numFmtId="0" fontId="6" fillId="4" borderId="0" xfId="11" applyFill="1" applyAlignment="1">
      <alignment horizontal="left" vertical="center" indent="2"/>
    </xf>
    <xf numFmtId="0" fontId="34" fillId="4" borderId="0" xfId="17" applyFill="1" applyBorder="1"/>
    <xf numFmtId="0" fontId="6" fillId="4" borderId="39" xfId="18" applyFont="1" applyFill="1" applyBorder="1" applyAlignment="1" applyProtection="1">
      <alignment horizontal="left" vertical="center" indent="1"/>
    </xf>
    <xf numFmtId="0" fontId="7" fillId="0" borderId="53" xfId="2" applyFill="1" applyBorder="1" applyAlignment="1" applyProtection="1">
      <alignment horizontal="left" vertical="center" wrapText="1" indent="1"/>
      <protection locked="0"/>
    </xf>
    <xf numFmtId="0" fontId="36" fillId="4" borderId="0" xfId="19" applyFont="1" applyFill="1" applyAlignment="1">
      <alignment horizontal="centerContinuous" vertical="center"/>
    </xf>
    <xf numFmtId="0" fontId="36" fillId="4" borderId="0" xfId="19" applyFont="1" applyFill="1" applyAlignment="1">
      <alignment horizontal="left" vertical="center"/>
    </xf>
    <xf numFmtId="0" fontId="36" fillId="4" borderId="0" xfId="19" applyFont="1" applyFill="1" applyAlignment="1">
      <alignment vertical="center"/>
    </xf>
    <xf numFmtId="0" fontId="35" fillId="4" borderId="0" xfId="19" applyFill="1"/>
    <xf numFmtId="0" fontId="39" fillId="4" borderId="0" xfId="19" applyFont="1" applyFill="1" applyAlignment="1">
      <alignment horizontal="centerContinuous" vertical="center"/>
    </xf>
    <xf numFmtId="0" fontId="36" fillId="4" borderId="0" xfId="19" applyFont="1" applyFill="1" applyAlignment="1">
      <alignment horizontal="centerContinuous"/>
    </xf>
    <xf numFmtId="0" fontId="6" fillId="4" borderId="0" xfId="19" applyFont="1" applyFill="1" applyAlignment="1">
      <alignment horizontal="centerContinuous"/>
    </xf>
    <xf numFmtId="0" fontId="39" fillId="4" borderId="27" xfId="22" applyNumberFormat="1" applyFont="1" applyFill="1" applyBorder="1" applyAlignment="1" applyProtection="1">
      <alignment horizontal="centerContinuous" vertical="center"/>
    </xf>
    <xf numFmtId="0" fontId="14" fillId="4" borderId="0" xfId="22" applyNumberFormat="1" applyFont="1" applyFill="1" applyBorder="1" applyAlignment="1" applyProtection="1">
      <alignment horizontal="centerContinuous" vertical="center"/>
    </xf>
    <xf numFmtId="0" fontId="10" fillId="4" borderId="0" xfId="22" applyNumberFormat="1" applyFont="1" applyFill="1" applyBorder="1" applyAlignment="1" applyProtection="1">
      <alignment horizontal="centerContinuous" vertical="center"/>
    </xf>
    <xf numFmtId="0" fontId="10" fillId="4" borderId="29" xfId="22" applyNumberFormat="1" applyFont="1" applyFill="1" applyBorder="1" applyAlignment="1" applyProtection="1">
      <alignment horizontal="centerContinuous" vertical="center"/>
    </xf>
    <xf numFmtId="0" fontId="6" fillId="4" borderId="30" xfId="22" applyNumberFormat="1" applyFont="1" applyFill="1" applyBorder="1" applyAlignment="1" applyProtection="1">
      <alignment horizontal="centerContinuous" vertical="center"/>
    </xf>
    <xf numFmtId="0" fontId="10" fillId="4" borderId="28" xfId="22" applyNumberFormat="1" applyFont="1" applyFill="1" applyBorder="1" applyAlignment="1" applyProtection="1">
      <alignment horizontal="centerContinuous" vertical="center"/>
    </xf>
    <xf numFmtId="0" fontId="6" fillId="4" borderId="29" xfId="22" applyNumberFormat="1" applyFont="1" applyFill="1" applyBorder="1" applyAlignment="1" applyProtection="1">
      <alignment horizontal="centerContinuous" vertical="center"/>
    </xf>
    <xf numFmtId="0" fontId="21" fillId="4" borderId="29" xfId="22" applyNumberFormat="1" applyFont="1" applyFill="1" applyBorder="1" applyAlignment="1" applyProtection="1">
      <alignment horizontal="left" vertical="center" indent="1"/>
    </xf>
    <xf numFmtId="0" fontId="21" fillId="4" borderId="30" xfId="22" applyNumberFormat="1" applyFont="1" applyFill="1" applyBorder="1" applyAlignment="1" applyProtection="1">
      <alignment horizontal="center" vertical="center"/>
    </xf>
    <xf numFmtId="0" fontId="21" fillId="4" borderId="28" xfId="22" applyNumberFormat="1" applyFont="1" applyFill="1" applyBorder="1" applyAlignment="1" applyProtection="1">
      <alignment horizontal="center" vertical="center"/>
    </xf>
    <xf numFmtId="0" fontId="21" fillId="4" borderId="11" xfId="22" applyNumberFormat="1" applyFont="1" applyFill="1" applyBorder="1" applyAlignment="1" applyProtection="1">
      <alignment horizontal="center" vertical="center"/>
    </xf>
    <xf numFmtId="0" fontId="40" fillId="4" borderId="11" xfId="22" applyNumberFormat="1" applyFont="1" applyFill="1" applyBorder="1" applyAlignment="1" applyProtection="1">
      <alignment horizontal="left"/>
    </xf>
    <xf numFmtId="0" fontId="6" fillId="4" borderId="9" xfId="22" applyNumberFormat="1" applyFont="1" applyFill="1" applyBorder="1" applyAlignment="1" applyProtection="1">
      <alignment horizontal="left"/>
    </xf>
    <xf numFmtId="0" fontId="40" fillId="4" borderId="0" xfId="22" applyNumberFormat="1" applyFont="1" applyFill="1" applyBorder="1" applyAlignment="1" applyProtection="1">
      <alignment horizontal="left"/>
    </xf>
    <xf numFmtId="0" fontId="6" fillId="4" borderId="11" xfId="22" applyNumberFormat="1" applyFont="1" applyFill="1" applyBorder="1" applyAlignment="1" applyProtection="1">
      <alignment horizontal="left"/>
    </xf>
    <xf numFmtId="0" fontId="6" fillId="4" borderId="59" xfId="22" applyNumberFormat="1" applyFont="1" applyFill="1" applyBorder="1" applyAlignment="1" applyProtection="1">
      <alignment horizontal="left" indent="1"/>
    </xf>
    <xf numFmtId="0" fontId="6" fillId="4" borderId="59" xfId="22" applyNumberFormat="1" applyFont="1" applyFill="1" applyBorder="1" applyAlignment="1" applyProtection="1">
      <alignment horizontal="left"/>
    </xf>
    <xf numFmtId="0" fontId="6" fillId="4" borderId="60" xfId="22" applyNumberFormat="1" applyFont="1" applyFill="1" applyBorder="1" applyAlignment="1" applyProtection="1">
      <alignment horizontal="left" indent="1"/>
    </xf>
    <xf numFmtId="0" fontId="6" fillId="4" borderId="61" xfId="22" applyNumberFormat="1" applyFont="1" applyFill="1" applyBorder="1" applyAlignment="1" applyProtection="1">
      <alignment horizontal="left" indent="1"/>
    </xf>
    <xf numFmtId="0" fontId="6" fillId="4" borderId="61" xfId="22" applyNumberFormat="1" applyFont="1" applyFill="1" applyBorder="1" applyAlignment="1" applyProtection="1">
      <alignment horizontal="left"/>
    </xf>
    <xf numFmtId="0" fontId="6" fillId="4" borderId="62" xfId="22" applyNumberFormat="1" applyFont="1" applyFill="1" applyBorder="1" applyAlignment="1" applyProtection="1">
      <alignment horizontal="left" indent="1"/>
    </xf>
    <xf numFmtId="0" fontId="6" fillId="4" borderId="0" xfId="22" applyNumberFormat="1" applyFont="1" applyFill="1" applyBorder="1" applyAlignment="1" applyProtection="1"/>
    <xf numFmtId="0" fontId="6" fillId="4" borderId="13" xfId="22" applyNumberFormat="1" applyFont="1" applyFill="1" applyBorder="1" applyAlignment="1" applyProtection="1">
      <alignment horizontal="left"/>
    </xf>
    <xf numFmtId="0" fontId="6" fillId="4" borderId="0" xfId="22" applyNumberFormat="1" applyFont="1" applyFill="1" applyBorder="1" applyAlignment="1" applyProtection="1">
      <alignment horizontal="left"/>
    </xf>
    <xf numFmtId="0" fontId="6" fillId="4" borderId="63" xfId="22" applyNumberFormat="1" applyFont="1" applyFill="1" applyBorder="1" applyAlignment="1" applyProtection="1">
      <alignment horizontal="left"/>
    </xf>
    <xf numFmtId="0" fontId="6" fillId="4" borderId="13" xfId="22" applyNumberFormat="1" applyFont="1" applyFill="1" applyBorder="1" applyAlignment="1" applyProtection="1"/>
    <xf numFmtId="0" fontId="6" fillId="4" borderId="27" xfId="22" applyNumberFormat="1" applyFont="1" applyFill="1" applyBorder="1" applyAlignment="1" applyProtection="1">
      <alignment horizontal="left" indent="1"/>
    </xf>
    <xf numFmtId="0" fontId="6" fillId="4" borderId="64" xfId="22" applyNumberFormat="1" applyFont="1" applyFill="1" applyBorder="1" applyAlignment="1" applyProtection="1">
      <alignment horizontal="left"/>
    </xf>
    <xf numFmtId="0" fontId="6" fillId="4" borderId="63" xfId="22" applyNumberFormat="1" applyFont="1" applyFill="1" applyBorder="1" applyAlignment="1" applyProtection="1">
      <alignment horizontal="left" wrapText="1"/>
    </xf>
    <xf numFmtId="0" fontId="6" fillId="4" borderId="64" xfId="22" applyNumberFormat="1" applyFont="1" applyFill="1" applyBorder="1" applyAlignment="1" applyProtection="1">
      <alignment horizontal="left" wrapText="1"/>
    </xf>
    <xf numFmtId="0" fontId="6" fillId="4" borderId="21" xfId="22" applyNumberFormat="1" applyFont="1" applyFill="1" applyBorder="1" applyAlignment="1" applyProtection="1">
      <alignment horizontal="left" indent="1"/>
    </xf>
    <xf numFmtId="0" fontId="6" fillId="4" borderId="27" xfId="22" applyNumberFormat="1" applyFont="1" applyFill="1" applyBorder="1" applyAlignment="1" applyProtection="1">
      <alignment horizontal="left"/>
    </xf>
    <xf numFmtId="0" fontId="21" fillId="4" borderId="11" xfId="22" applyNumberFormat="1" applyFont="1" applyFill="1" applyBorder="1" applyAlignment="1" applyProtection="1">
      <alignment horizontal="left"/>
    </xf>
    <xf numFmtId="0" fontId="21" fillId="4" borderId="0" xfId="22" applyNumberFormat="1" applyFont="1" applyFill="1" applyBorder="1" applyAlignment="1" applyProtection="1"/>
    <xf numFmtId="0" fontId="21" fillId="4" borderId="0" xfId="22" applyNumberFormat="1" applyFont="1" applyFill="1" applyBorder="1" applyAlignment="1" applyProtection="1">
      <alignment horizontal="centerContinuous"/>
    </xf>
    <xf numFmtId="0" fontId="6" fillId="4" borderId="0" xfId="19" applyFont="1" applyFill="1"/>
    <xf numFmtId="0" fontId="36" fillId="3" borderId="1" xfId="19" applyFont="1" applyFill="1" applyBorder="1" applyAlignment="1">
      <alignment horizontal="centerContinuous" vertical="center"/>
    </xf>
    <xf numFmtId="0" fontId="6" fillId="3" borderId="0" xfId="19" applyFont="1" applyFill="1"/>
    <xf numFmtId="0" fontId="35" fillId="3" borderId="0" xfId="19" applyFill="1"/>
    <xf numFmtId="0" fontId="35" fillId="3" borderId="1" xfId="24" applyFill="1" applyBorder="1"/>
    <xf numFmtId="0" fontId="35" fillId="3" borderId="0" xfId="24" applyFill="1"/>
    <xf numFmtId="0" fontId="5" fillId="6" borderId="1" xfId="2" applyFont="1" applyFill="1" applyBorder="1" applyAlignment="1" applyProtection="1">
      <alignment horizontal="left" vertical="center" indent="1"/>
    </xf>
    <xf numFmtId="0" fontId="21" fillId="6" borderId="1" xfId="2" applyFont="1" applyFill="1" applyBorder="1" applyAlignment="1" applyProtection="1">
      <alignment horizontal="left" vertical="center" indent="1"/>
    </xf>
    <xf numFmtId="0" fontId="5" fillId="4" borderId="58" xfId="2" applyFont="1" applyFill="1" applyBorder="1" applyAlignment="1" applyProtection="1">
      <alignment horizontal="left" vertical="center" wrapText="1" indent="1"/>
    </xf>
    <xf numFmtId="0" fontId="35" fillId="4" borderId="0" xfId="24" applyFill="1"/>
    <xf numFmtId="0" fontId="11" fillId="4" borderId="0" xfId="24" applyFont="1" applyFill="1" applyAlignment="1">
      <alignment vertical="center"/>
    </xf>
    <xf numFmtId="0" fontId="41" fillId="4" borderId="0" xfId="24" applyFont="1" applyFill="1" applyAlignment="1">
      <alignment horizontal="centerContinuous" vertical="center"/>
    </xf>
    <xf numFmtId="0" fontId="42" fillId="4" borderId="0" xfId="19" applyFont="1" applyFill="1" applyAlignment="1">
      <alignment horizontal="left" vertical="center" readingOrder="1"/>
    </xf>
    <xf numFmtId="0" fontId="43" fillId="4" borderId="0" xfId="19" applyFont="1" applyFill="1" applyAlignment="1">
      <alignment horizontal="left" vertical="center" readingOrder="1"/>
    </xf>
    <xf numFmtId="0" fontId="44" fillId="4" borderId="0" xfId="19" applyFont="1" applyFill="1" applyAlignment="1">
      <alignment horizontal="left" vertical="center" readingOrder="1"/>
    </xf>
    <xf numFmtId="0" fontId="45" fillId="4" borderId="0" xfId="19" applyFont="1" applyFill="1" applyAlignment="1">
      <alignment horizontal="left" vertical="center" readingOrder="1"/>
    </xf>
    <xf numFmtId="0" fontId="23" fillId="11" borderId="0" xfId="21" applyFont="1" applyFill="1" applyAlignment="1">
      <alignment horizontal="centerContinuous"/>
    </xf>
    <xf numFmtId="0" fontId="23" fillId="11" borderId="0" xfId="21" applyFont="1" applyFill="1" applyAlignment="1">
      <alignment horizontal="center"/>
    </xf>
    <xf numFmtId="0" fontId="35" fillId="11" borderId="0" xfId="24" applyFill="1"/>
    <xf numFmtId="0" fontId="28" fillId="11" borderId="0" xfId="10" applyFill="1"/>
    <xf numFmtId="0" fontId="0" fillId="7" borderId="0" xfId="0" applyFill="1"/>
    <xf numFmtId="0" fontId="6" fillId="3" borderId="38" xfId="4" applyFont="1" applyFill="1" applyBorder="1"/>
    <xf numFmtId="0" fontId="22" fillId="3" borderId="1" xfId="19" applyFont="1" applyFill="1" applyBorder="1" applyAlignment="1">
      <alignment horizontal="centerContinuous" vertical="center"/>
    </xf>
    <xf numFmtId="0" fontId="6" fillId="11" borderId="39" xfId="4" applyFont="1" applyFill="1" applyBorder="1"/>
    <xf numFmtId="0" fontId="13" fillId="8" borderId="28" xfId="4" applyFont="1" applyFill="1" applyBorder="1" applyAlignment="1">
      <alignment horizontal="centerContinuous" vertical="center"/>
    </xf>
    <xf numFmtId="0" fontId="13" fillId="8" borderId="29" xfId="4" applyFont="1" applyFill="1" applyBorder="1" applyAlignment="1">
      <alignment horizontal="centerContinuous" vertical="center"/>
    </xf>
    <xf numFmtId="0" fontId="13" fillId="8" borderId="29" xfId="6" applyFont="1" applyFill="1" applyBorder="1" applyAlignment="1">
      <alignment horizontal="center"/>
    </xf>
    <xf numFmtId="0" fontId="13" fillId="8" borderId="29" xfId="6" applyFont="1" applyFill="1" applyBorder="1" applyAlignment="1">
      <alignment horizontal="centerContinuous" vertical="center"/>
    </xf>
    <xf numFmtId="0" fontId="13" fillId="8" borderId="30" xfId="4" applyFont="1" applyFill="1" applyBorder="1" applyAlignment="1">
      <alignment horizontal="centerContinuous" vertical="center"/>
    </xf>
    <xf numFmtId="0" fontId="0" fillId="6" borderId="1" xfId="2" applyFont="1" applyFill="1" applyBorder="1" applyAlignment="1" applyProtection="1">
      <alignment horizontal="left" vertical="center" indent="1"/>
    </xf>
    <xf numFmtId="0" fontId="46" fillId="11" borderId="41" xfId="4" applyFont="1" applyFill="1" applyBorder="1" applyAlignment="1">
      <alignment horizontal="centerContinuous" vertical="center"/>
    </xf>
    <xf numFmtId="0" fontId="6" fillId="11" borderId="39" xfId="4" applyFont="1" applyFill="1" applyBorder="1" applyAlignment="1">
      <alignment horizontal="centerContinuous"/>
    </xf>
    <xf numFmtId="0" fontId="0" fillId="4" borderId="0" xfId="4" applyFont="1" applyFill="1"/>
    <xf numFmtId="0" fontId="6" fillId="4" borderId="33" xfId="4" applyFont="1" applyFill="1" applyBorder="1"/>
    <xf numFmtId="0" fontId="6" fillId="4" borderId="34" xfId="4" applyFont="1" applyFill="1" applyBorder="1"/>
    <xf numFmtId="171" fontId="6" fillId="4" borderId="35" xfId="4" applyNumberFormat="1" applyFont="1" applyFill="1" applyBorder="1" applyAlignment="1">
      <alignment horizontal="center"/>
    </xf>
    <xf numFmtId="0" fontId="6" fillId="4" borderId="36" xfId="4" applyFont="1" applyFill="1" applyBorder="1"/>
    <xf numFmtId="0" fontId="6" fillId="4" borderId="37" xfId="4" applyFont="1" applyFill="1" applyBorder="1"/>
    <xf numFmtId="0" fontId="13" fillId="8" borderId="20" xfId="4" applyFont="1" applyFill="1" applyBorder="1" applyAlignment="1">
      <alignment horizontal="center" vertical="center"/>
    </xf>
    <xf numFmtId="0" fontId="13" fillId="8" borderId="17" xfId="4" applyFont="1" applyFill="1" applyBorder="1" applyAlignment="1">
      <alignment horizontal="center" vertical="center"/>
    </xf>
    <xf numFmtId="0" fontId="13" fillId="8" borderId="18" xfId="4" applyFont="1" applyFill="1" applyBorder="1" applyAlignment="1">
      <alignment horizontal="center" vertical="center"/>
    </xf>
    <xf numFmtId="0" fontId="13" fillId="8" borderId="15" xfId="4" applyFont="1" applyFill="1" applyBorder="1" applyAlignment="1">
      <alignment horizontal="center" vertical="center"/>
    </xf>
    <xf numFmtId="0" fontId="13" fillId="8" borderId="16" xfId="4" applyFont="1" applyFill="1" applyBorder="1" applyAlignment="1">
      <alignment horizontal="center" vertical="center"/>
    </xf>
    <xf numFmtId="0" fontId="13" fillId="8" borderId="19" xfId="4" applyFont="1" applyFill="1" applyBorder="1" applyAlignment="1">
      <alignment horizontal="center" vertical="center"/>
    </xf>
    <xf numFmtId="0" fontId="24" fillId="8" borderId="25" xfId="4" applyFont="1" applyFill="1" applyBorder="1" applyAlignment="1">
      <alignment horizontal="center" vertical="center"/>
    </xf>
    <xf numFmtId="0" fontId="24" fillId="8" borderId="26" xfId="4" applyFont="1" applyFill="1" applyBorder="1" applyAlignment="1">
      <alignment horizontal="center" vertical="center"/>
    </xf>
    <xf numFmtId="0" fontId="13" fillId="4" borderId="14" xfId="6" applyFont="1" applyFill="1" applyBorder="1"/>
    <xf numFmtId="0" fontId="13" fillId="4" borderId="12" xfId="6" applyFont="1" applyFill="1" applyBorder="1"/>
    <xf numFmtId="0" fontId="6" fillId="0" borderId="0" xfId="4" applyFont="1"/>
    <xf numFmtId="0" fontId="6" fillId="0" borderId="0" xfId="4" applyFont="1" applyAlignment="1">
      <alignment horizontal="center" vertical="center"/>
    </xf>
    <xf numFmtId="172" fontId="6" fillId="4" borderId="65" xfId="4" applyNumberFormat="1" applyFont="1" applyFill="1" applyBorder="1" applyAlignment="1">
      <alignment horizontal="center" vertical="center"/>
    </xf>
    <xf numFmtId="0" fontId="6" fillId="4" borderId="66" xfId="4" applyFont="1" applyFill="1" applyBorder="1" applyAlignment="1">
      <alignment horizontal="center" vertical="center"/>
    </xf>
    <xf numFmtId="0" fontId="6" fillId="4" borderId="67" xfId="4" applyFont="1" applyFill="1" applyBorder="1" applyAlignment="1">
      <alignment vertical="center"/>
    </xf>
    <xf numFmtId="172" fontId="6" fillId="4" borderId="32" xfId="4" applyNumberFormat="1" applyFont="1" applyFill="1" applyBorder="1" applyAlignment="1">
      <alignment horizontal="center"/>
    </xf>
    <xf numFmtId="0" fontId="6" fillId="4" borderId="34" xfId="4" applyFont="1" applyFill="1" applyBorder="1" applyAlignment="1">
      <alignment horizontal="center"/>
    </xf>
    <xf numFmtId="2" fontId="6" fillId="4" borderId="66" xfId="4" applyNumberFormat="1" applyFont="1" applyFill="1" applyBorder="1" applyAlignment="1">
      <alignment horizontal="center" vertical="center"/>
    </xf>
    <xf numFmtId="166" fontId="6" fillId="4" borderId="66" xfId="4" applyNumberFormat="1" applyFont="1" applyFill="1" applyBorder="1" applyAlignment="1">
      <alignment horizontal="center" vertical="center"/>
    </xf>
    <xf numFmtId="166" fontId="6" fillId="4" borderId="67" xfId="4" applyNumberFormat="1" applyFont="1" applyFill="1" applyBorder="1" applyAlignment="1">
      <alignment vertical="center"/>
    </xf>
    <xf numFmtId="172" fontId="6" fillId="4" borderId="32" xfId="4" applyNumberFormat="1" applyFont="1" applyFill="1" applyBorder="1" applyAlignment="1">
      <alignment horizontal="center" vertical="center"/>
    </xf>
    <xf numFmtId="0" fontId="6" fillId="4" borderId="33" xfId="4" applyFont="1" applyFill="1" applyBorder="1" applyAlignment="1">
      <alignment horizontal="center" vertical="center"/>
    </xf>
    <xf numFmtId="0" fontId="6" fillId="4" borderId="34" xfId="4" applyFont="1" applyFill="1" applyBorder="1" applyAlignment="1">
      <alignment vertical="center"/>
    </xf>
    <xf numFmtId="2" fontId="6" fillId="4" borderId="33" xfId="4" applyNumberFormat="1" applyFont="1" applyFill="1" applyBorder="1" applyAlignment="1">
      <alignment horizontal="center" vertical="center"/>
    </xf>
    <xf numFmtId="166" fontId="6" fillId="4" borderId="33" xfId="4" applyNumberFormat="1" applyFont="1" applyFill="1" applyBorder="1" applyAlignment="1">
      <alignment horizontal="center" vertical="center"/>
    </xf>
    <xf numFmtId="166" fontId="6" fillId="4" borderId="34" xfId="4" applyNumberFormat="1" applyFont="1" applyFill="1" applyBorder="1" applyAlignment="1">
      <alignment vertical="center"/>
    </xf>
    <xf numFmtId="172" fontId="6" fillId="4" borderId="35" xfId="4" applyNumberFormat="1" applyFont="1" applyFill="1" applyBorder="1" applyAlignment="1">
      <alignment horizontal="center"/>
    </xf>
    <xf numFmtId="165" fontId="6" fillId="4" borderId="37" xfId="4" applyNumberFormat="1" applyFont="1" applyFill="1" applyBorder="1" applyAlignment="1">
      <alignment horizontal="center"/>
    </xf>
    <xf numFmtId="172" fontId="6" fillId="4" borderId="0" xfId="4" applyNumberFormat="1" applyFont="1" applyFill="1" applyAlignment="1">
      <alignment horizontal="center"/>
    </xf>
    <xf numFmtId="172" fontId="6" fillId="4" borderId="35" xfId="4" applyNumberFormat="1" applyFont="1" applyFill="1" applyBorder="1" applyAlignment="1">
      <alignment horizontal="center" vertical="center"/>
    </xf>
    <xf numFmtId="2" fontId="6" fillId="4" borderId="36" xfId="4" applyNumberFormat="1" applyFont="1" applyFill="1" applyBorder="1" applyAlignment="1">
      <alignment horizontal="center" vertical="center"/>
    </xf>
    <xf numFmtId="0" fontId="6" fillId="4" borderId="37" xfId="4" applyFont="1" applyFill="1" applyBorder="1" applyAlignment="1">
      <alignment vertical="center"/>
    </xf>
    <xf numFmtId="0" fontId="6" fillId="4" borderId="36" xfId="4" applyFont="1" applyFill="1" applyBorder="1" applyAlignment="1">
      <alignment horizontal="center" vertical="center"/>
    </xf>
    <xf numFmtId="166" fontId="6" fillId="4" borderId="36" xfId="4" applyNumberFormat="1" applyFont="1" applyFill="1" applyBorder="1" applyAlignment="1">
      <alignment horizontal="center" vertical="center"/>
    </xf>
    <xf numFmtId="166" fontId="6" fillId="4" borderId="37" xfId="4" applyNumberFormat="1" applyFont="1" applyFill="1" applyBorder="1" applyAlignment="1">
      <alignment vertical="center"/>
    </xf>
    <xf numFmtId="171" fontId="6" fillId="4" borderId="12" xfId="4" applyNumberFormat="1" applyFont="1" applyFill="1" applyBorder="1" applyAlignment="1">
      <alignment horizontal="center"/>
    </xf>
    <xf numFmtId="166" fontId="6" fillId="4" borderId="14" xfId="4" applyNumberFormat="1" applyFont="1" applyFill="1" applyBorder="1" applyAlignment="1">
      <alignment horizontal="center"/>
    </xf>
    <xf numFmtId="0" fontId="13" fillId="8" borderId="30" xfId="6" applyFont="1" applyFill="1" applyBorder="1" applyAlignment="1">
      <alignment horizontal="centerContinuous"/>
    </xf>
    <xf numFmtId="0" fontId="13" fillId="4" borderId="14" xfId="6" applyFont="1" applyFill="1" applyBorder="1" applyAlignment="1">
      <alignment horizontal="left"/>
    </xf>
    <xf numFmtId="0" fontId="13" fillId="8" borderId="29" xfId="6" applyFont="1" applyFill="1" applyBorder="1" applyAlignment="1">
      <alignment horizontal="center" vertical="center"/>
    </xf>
    <xf numFmtId="0" fontId="38" fillId="10" borderId="41" xfId="21" applyFont="1" applyFill="1" applyBorder="1" applyAlignment="1">
      <alignment horizontal="centerContinuous" vertical="center"/>
    </xf>
    <xf numFmtId="0" fontId="23" fillId="10" borderId="39" xfId="21" applyFont="1" applyFill="1" applyBorder="1" applyAlignment="1">
      <alignment horizontal="centerContinuous"/>
    </xf>
    <xf numFmtId="0" fontId="38" fillId="10" borderId="39" xfId="21" applyFont="1" applyFill="1" applyBorder="1" applyAlignment="1">
      <alignment horizontal="centerContinuous" vertical="center"/>
    </xf>
    <xf numFmtId="0" fontId="23" fillId="10" borderId="39" xfId="21" applyFont="1" applyFill="1" applyBorder="1" applyAlignment="1">
      <alignment horizontal="left"/>
    </xf>
    <xf numFmtId="0" fontId="35" fillId="4" borderId="39" xfId="19" applyFill="1" applyBorder="1"/>
    <xf numFmtId="0" fontId="25" fillId="0" borderId="0" xfId="4" applyFont="1"/>
    <xf numFmtId="166" fontId="6" fillId="4" borderId="65" xfId="0" applyNumberFormat="1" applyFont="1" applyFill="1" applyBorder="1" applyAlignment="1">
      <alignment horizontal="center"/>
    </xf>
    <xf numFmtId="0" fontId="6" fillId="4" borderId="67" xfId="0" applyFont="1" applyFill="1" applyBorder="1" applyAlignment="1">
      <alignment horizontal="center"/>
    </xf>
    <xf numFmtId="166" fontId="6" fillId="4" borderId="32" xfId="0" applyNumberFormat="1" applyFont="1" applyFill="1" applyBorder="1" applyAlignment="1">
      <alignment horizontal="center"/>
    </xf>
    <xf numFmtId="0" fontId="6" fillId="4" borderId="34" xfId="0" applyFont="1" applyFill="1" applyBorder="1" applyAlignment="1">
      <alignment horizontal="center"/>
    </xf>
    <xf numFmtId="166" fontId="6" fillId="4" borderId="35" xfId="0" applyNumberFormat="1" applyFont="1" applyFill="1" applyBorder="1" applyAlignment="1">
      <alignment horizontal="center"/>
    </xf>
    <xf numFmtId="0" fontId="6" fillId="4" borderId="37" xfId="0" applyFont="1" applyFill="1" applyBorder="1" applyAlignment="1">
      <alignment horizontal="center"/>
    </xf>
    <xf numFmtId="0" fontId="47" fillId="8" borderId="20" xfId="4" applyFont="1" applyFill="1" applyBorder="1" applyAlignment="1">
      <alignment horizontal="center" vertical="center"/>
    </xf>
    <xf numFmtId="0" fontId="47" fillId="8" borderId="17" xfId="4" applyFont="1" applyFill="1" applyBorder="1" applyAlignment="1">
      <alignment horizontal="center" vertical="center"/>
    </xf>
    <xf numFmtId="0" fontId="47" fillId="8" borderId="18" xfId="4" applyFont="1" applyFill="1" applyBorder="1" applyAlignment="1">
      <alignment horizontal="center" vertical="center"/>
    </xf>
    <xf numFmtId="0" fontId="47" fillId="4" borderId="0" xfId="6" applyFont="1" applyFill="1"/>
    <xf numFmtId="0" fontId="47" fillId="8" borderId="15" xfId="4" applyFont="1" applyFill="1" applyBorder="1" applyAlignment="1">
      <alignment horizontal="center" vertical="center"/>
    </xf>
    <xf numFmtId="0" fontId="47" fillId="8" borderId="16" xfId="4" applyFont="1" applyFill="1" applyBorder="1" applyAlignment="1">
      <alignment horizontal="center" vertical="center"/>
    </xf>
    <xf numFmtId="0" fontId="47" fillId="8" borderId="19" xfId="4" applyFont="1" applyFill="1" applyBorder="1" applyAlignment="1">
      <alignment horizontal="center" vertical="center"/>
    </xf>
    <xf numFmtId="173" fontId="6" fillId="4" borderId="63" xfId="22" applyNumberFormat="1" applyFont="1" applyFill="1" applyBorder="1" applyAlignment="1" applyProtection="1">
      <alignment horizontal="left"/>
    </xf>
    <xf numFmtId="174" fontId="6" fillId="4" borderId="22" xfId="22" applyNumberFormat="1" applyFont="1" applyFill="1" applyBorder="1" applyAlignment="1" applyProtection="1">
      <alignment horizontal="left"/>
    </xf>
    <xf numFmtId="174" fontId="6" fillId="4" borderId="64" xfId="22" applyNumberFormat="1" applyFont="1" applyFill="1" applyBorder="1" applyAlignment="1" applyProtection="1">
      <alignment horizontal="left"/>
    </xf>
    <xf numFmtId="175" fontId="6" fillId="4" borderId="59" xfId="22" applyNumberFormat="1" applyFont="1" applyFill="1" applyBorder="1" applyAlignment="1" applyProtection="1">
      <alignment horizontal="left"/>
    </xf>
    <xf numFmtId="0" fontId="18" fillId="7" borderId="0" xfId="5" applyFont="1" applyFill="1" applyAlignment="1">
      <alignment horizontal="center" vertical="center"/>
    </xf>
    <xf numFmtId="0" fontId="6" fillId="4" borderId="0" xfId="0" applyFont="1" applyFill="1" applyAlignment="1">
      <alignment horizontal="right" vertical="center"/>
    </xf>
    <xf numFmtId="0" fontId="6" fillId="4" borderId="0" xfId="0" applyFont="1" applyFill="1" applyAlignment="1">
      <alignment horizontal="right" vertical="top"/>
    </xf>
    <xf numFmtId="0" fontId="0" fillId="4" borderId="0" xfId="0" applyFill="1" applyAlignment="1" applyProtection="1">
      <alignment vertical="top"/>
      <protection locked="0"/>
    </xf>
    <xf numFmtId="0" fontId="6" fillId="4" borderId="0" xfId="0" applyFont="1" applyFill="1" applyAlignment="1">
      <alignment horizontal="right" vertical="center" wrapText="1"/>
    </xf>
    <xf numFmtId="0" fontId="47" fillId="11" borderId="4" xfId="3" applyFont="1" applyFill="1" applyBorder="1" applyAlignment="1">
      <alignment horizontal="centerContinuous"/>
    </xf>
    <xf numFmtId="0" fontId="47" fillId="11" borderId="4" xfId="0" applyFont="1" applyFill="1" applyBorder="1" applyAlignment="1">
      <alignment horizontal="left"/>
    </xf>
    <xf numFmtId="0" fontId="47" fillId="11" borderId="4" xfId="0" applyFont="1" applyFill="1" applyBorder="1"/>
    <xf numFmtId="0" fontId="0" fillId="0" borderId="52" xfId="0" applyBorder="1" applyAlignment="1" applyProtection="1">
      <alignment horizontal="center" vertical="center"/>
      <protection locked="0"/>
    </xf>
    <xf numFmtId="0" fontId="13" fillId="4" borderId="10" xfId="6" applyFont="1" applyFill="1" applyBorder="1"/>
    <xf numFmtId="0" fontId="47" fillId="4" borderId="14" xfId="6" applyFont="1" applyFill="1" applyBorder="1"/>
    <xf numFmtId="0" fontId="13" fillId="4" borderId="8" xfId="6" applyFont="1" applyFill="1" applyBorder="1"/>
    <xf numFmtId="0" fontId="47" fillId="4" borderId="12" xfId="6" applyFont="1" applyFill="1" applyBorder="1"/>
    <xf numFmtId="0" fontId="20" fillId="8" borderId="68" xfId="4" applyFont="1" applyFill="1" applyBorder="1" applyAlignment="1">
      <alignment horizontal="centerContinuous" vertical="center"/>
    </xf>
    <xf numFmtId="0" fontId="20" fillId="8" borderId="69" xfId="4" applyFont="1" applyFill="1" applyBorder="1" applyAlignment="1">
      <alignment horizontal="centerContinuous"/>
    </xf>
    <xf numFmtId="0" fontId="20" fillId="8" borderId="70" xfId="4" applyFont="1" applyFill="1" applyBorder="1" applyAlignment="1">
      <alignment horizontal="centerContinuous"/>
    </xf>
    <xf numFmtId="0" fontId="18" fillId="7" borderId="0" xfId="5" applyFont="1" applyFill="1" applyAlignment="1">
      <alignment vertical="center"/>
    </xf>
    <xf numFmtId="2" fontId="6" fillId="4" borderId="31" xfId="5" applyNumberFormat="1" applyFont="1" applyFill="1" applyBorder="1" applyAlignment="1">
      <alignment horizontal="center" vertical="center"/>
    </xf>
    <xf numFmtId="0" fontId="13" fillId="4" borderId="9" xfId="6" applyFont="1" applyFill="1" applyBorder="1"/>
    <xf numFmtId="0" fontId="47" fillId="4" borderId="13" xfId="6" applyFont="1" applyFill="1" applyBorder="1"/>
    <xf numFmtId="0" fontId="13" fillId="4" borderId="13" xfId="6" applyFont="1" applyFill="1" applyBorder="1"/>
    <xf numFmtId="0" fontId="6" fillId="4" borderId="12" xfId="4" applyFont="1" applyFill="1" applyBorder="1"/>
    <xf numFmtId="0" fontId="13" fillId="8" borderId="28" xfId="6" applyFont="1" applyFill="1" applyBorder="1" applyAlignment="1">
      <alignment horizontal="centerContinuous" vertical="center"/>
    </xf>
    <xf numFmtId="0" fontId="24" fillId="8" borderId="15" xfId="4" applyFont="1" applyFill="1" applyBorder="1" applyAlignment="1">
      <alignment horizontal="center" vertical="center"/>
    </xf>
    <xf numFmtId="0" fontId="20" fillId="4" borderId="9" xfId="4" applyFont="1" applyFill="1" applyBorder="1" applyAlignment="1">
      <alignment horizontal="centerContinuous"/>
    </xf>
    <xf numFmtId="0" fontId="47" fillId="4" borderId="13" xfId="4" applyFont="1" applyFill="1" applyBorder="1" applyAlignment="1">
      <alignment horizontal="center" vertical="center"/>
    </xf>
    <xf numFmtId="0" fontId="13" fillId="4" borderId="13" xfId="4" applyFont="1" applyFill="1" applyBorder="1" applyAlignment="1">
      <alignment horizontal="center" vertical="center"/>
    </xf>
    <xf numFmtId="0" fontId="24" fillId="4" borderId="13" xfId="4" applyFont="1" applyFill="1" applyBorder="1" applyAlignment="1">
      <alignment horizontal="center" vertical="center"/>
    </xf>
    <xf numFmtId="167" fontId="27" fillId="4" borderId="31" xfId="9" applyNumberFormat="1" applyFont="1" applyFill="1" applyBorder="1" applyAlignment="1">
      <alignment horizontal="center" vertical="center"/>
    </xf>
    <xf numFmtId="167" fontId="21" fillId="4" borderId="31" xfId="9" applyNumberFormat="1" applyFont="1" applyFill="1" applyBorder="1" applyAlignment="1" applyProtection="1">
      <alignment horizontal="center" vertical="center"/>
    </xf>
    <xf numFmtId="168" fontId="27" fillId="4" borderId="31" xfId="9" applyNumberFormat="1" applyFont="1" applyFill="1" applyBorder="1" applyAlignment="1">
      <alignment horizontal="center" vertical="center"/>
    </xf>
    <xf numFmtId="168" fontId="21" fillId="4" borderId="31" xfId="9" applyNumberFormat="1" applyFont="1" applyFill="1" applyBorder="1" applyAlignment="1" applyProtection="1">
      <alignment horizontal="center" vertical="center"/>
    </xf>
    <xf numFmtId="0" fontId="13" fillId="8" borderId="29" xfId="4" applyFont="1" applyFill="1" applyBorder="1" applyAlignment="1">
      <alignment horizontal="center"/>
    </xf>
    <xf numFmtId="0" fontId="13" fillId="8" borderId="29" xfId="6" applyFont="1" applyFill="1" applyBorder="1"/>
    <xf numFmtId="0" fontId="0" fillId="4" borderId="13" xfId="0" applyFill="1" applyBorder="1"/>
    <xf numFmtId="0" fontId="0" fillId="4" borderId="12" xfId="0" applyFill="1" applyBorder="1"/>
    <xf numFmtId="0" fontId="0" fillId="4" borderId="21" xfId="0" applyFill="1" applyBorder="1"/>
    <xf numFmtId="0" fontId="0" fillId="4" borderId="13" xfId="0" applyFill="1" applyBorder="1" applyAlignment="1">
      <alignment vertical="center"/>
    </xf>
    <xf numFmtId="0" fontId="6" fillId="4" borderId="0" xfId="4" applyFont="1" applyFill="1" applyAlignment="1">
      <alignment vertical="center"/>
    </xf>
    <xf numFmtId="0" fontId="6" fillId="4" borderId="13" xfId="4" applyFont="1" applyFill="1" applyBorder="1" applyAlignment="1">
      <alignment vertical="center"/>
    </xf>
    <xf numFmtId="0" fontId="0" fillId="4" borderId="13" xfId="4" applyFont="1" applyFill="1" applyBorder="1" applyAlignment="1">
      <alignment vertical="center"/>
    </xf>
    <xf numFmtId="0" fontId="0" fillId="4" borderId="27" xfId="0" applyFill="1" applyBorder="1" applyAlignment="1">
      <alignment vertical="center"/>
    </xf>
    <xf numFmtId="0" fontId="0" fillId="4" borderId="22" xfId="0" applyFill="1" applyBorder="1" applyAlignment="1">
      <alignment vertical="center"/>
    </xf>
    <xf numFmtId="0" fontId="0" fillId="4" borderId="31" xfId="0" applyFill="1" applyBorder="1" applyAlignment="1">
      <alignment horizontal="center" vertical="center"/>
    </xf>
    <xf numFmtId="0" fontId="7" fillId="4" borderId="0" xfId="2" applyFill="1" applyBorder="1" applyAlignment="1" applyProtection="1">
      <alignment horizontal="left" vertical="center" indent="1"/>
    </xf>
    <xf numFmtId="0" fontId="6" fillId="4" borderId="0" xfId="5" applyFont="1" applyFill="1" applyAlignment="1">
      <alignment horizontal="right" vertical="center"/>
    </xf>
    <xf numFmtId="0" fontId="7" fillId="4" borderId="0" xfId="2" applyFill="1" applyBorder="1" applyAlignment="1" applyProtection="1">
      <alignment horizontal="left" indent="1"/>
    </xf>
    <xf numFmtId="0" fontId="0" fillId="4" borderId="0" xfId="0" applyFill="1" applyAlignment="1">
      <alignment horizontal="right" vertical="center"/>
    </xf>
    <xf numFmtId="0" fontId="0" fillId="4" borderId="13" xfId="0" applyFill="1" applyBorder="1" applyAlignment="1">
      <alignment horizontal="right" vertical="center"/>
    </xf>
    <xf numFmtId="168" fontId="0" fillId="4" borderId="0" xfId="0" applyNumberFormat="1" applyFill="1" applyAlignment="1">
      <alignment vertical="center"/>
    </xf>
    <xf numFmtId="168" fontId="0" fillId="4" borderId="0" xfId="0" applyNumberFormat="1" applyFill="1" applyAlignment="1">
      <alignment horizontal="center" vertical="center"/>
    </xf>
    <xf numFmtId="0" fontId="0" fillId="4" borderId="0" xfId="0" applyFill="1" applyAlignment="1">
      <alignment horizontal="center" vertical="center"/>
    </xf>
    <xf numFmtId="0" fontId="0" fillId="4" borderId="0" xfId="4" applyFont="1" applyFill="1" applyAlignment="1">
      <alignment horizontal="right" vertical="center"/>
    </xf>
    <xf numFmtId="168" fontId="0" fillId="4" borderId="0" xfId="4" applyNumberFormat="1" applyFont="1" applyFill="1" applyAlignment="1">
      <alignment vertical="center"/>
    </xf>
    <xf numFmtId="167" fontId="0" fillId="4" borderId="0" xfId="4" applyNumberFormat="1" applyFont="1" applyFill="1" applyAlignment="1">
      <alignment vertical="center"/>
    </xf>
    <xf numFmtId="168" fontId="6" fillId="4" borderId="0" xfId="4" applyNumberFormat="1" applyFont="1" applyFill="1" applyAlignment="1">
      <alignment vertical="center"/>
    </xf>
    <xf numFmtId="167" fontId="6" fillId="4" borderId="0" xfId="4" applyNumberFormat="1" applyFont="1" applyFill="1" applyAlignment="1">
      <alignment vertical="center"/>
    </xf>
    <xf numFmtId="40" fontId="6" fillId="4" borderId="0" xfId="4" applyNumberFormat="1" applyFont="1" applyFill="1" applyAlignment="1">
      <alignment vertical="center"/>
    </xf>
    <xf numFmtId="169" fontId="6" fillId="4" borderId="0" xfId="4" applyNumberFormat="1" applyFont="1" applyFill="1" applyAlignment="1">
      <alignment vertical="center"/>
    </xf>
    <xf numFmtId="167" fontId="0" fillId="4" borderId="0" xfId="0" applyNumberFormat="1" applyFill="1" applyAlignment="1">
      <alignment vertical="center"/>
    </xf>
    <xf numFmtId="2" fontId="0" fillId="4" borderId="0" xfId="0" applyNumberFormat="1" applyFill="1" applyAlignment="1">
      <alignment vertical="center"/>
    </xf>
    <xf numFmtId="2" fontId="0" fillId="4" borderId="0" xfId="0" applyNumberFormat="1" applyFill="1" applyAlignment="1">
      <alignment horizontal="center" vertical="center"/>
    </xf>
    <xf numFmtId="166" fontId="0" fillId="4" borderId="0" xfId="0" applyNumberFormat="1" applyFill="1" applyAlignment="1">
      <alignment vertical="center"/>
    </xf>
    <xf numFmtId="165" fontId="0" fillId="4" borderId="0" xfId="0" applyNumberFormat="1" applyFill="1" applyAlignment="1">
      <alignment vertical="center"/>
    </xf>
    <xf numFmtId="0" fontId="0" fillId="4" borderId="27" xfId="0" applyFill="1" applyBorder="1" applyAlignment="1">
      <alignment horizontal="right" vertical="center"/>
    </xf>
    <xf numFmtId="172" fontId="0" fillId="4" borderId="0" xfId="0" applyNumberFormat="1" applyFill="1" applyAlignment="1">
      <alignment vertical="center"/>
    </xf>
    <xf numFmtId="169" fontId="0" fillId="4" borderId="0" xfId="0" applyNumberFormat="1" applyFill="1" applyAlignment="1">
      <alignment vertical="center"/>
    </xf>
    <xf numFmtId="170" fontId="0" fillId="4" borderId="0" xfId="0" applyNumberFormat="1" applyFill="1" applyAlignment="1">
      <alignment vertical="center"/>
    </xf>
    <xf numFmtId="40" fontId="0" fillId="4" borderId="0" xfId="0" applyNumberFormat="1" applyFill="1" applyAlignment="1">
      <alignment vertical="center"/>
    </xf>
    <xf numFmtId="0" fontId="52" fillId="4" borderId="0" xfId="0" applyFont="1" applyFill="1" applyAlignment="1">
      <alignment horizontal="right" vertical="center"/>
    </xf>
    <xf numFmtId="0" fontId="6" fillId="4" borderId="0" xfId="0" applyFont="1" applyFill="1" applyAlignment="1">
      <alignment horizontal="center" vertical="center"/>
    </xf>
    <xf numFmtId="0" fontId="0" fillId="4" borderId="0" xfId="4" applyFont="1" applyFill="1" applyAlignment="1">
      <alignment horizontal="left" vertical="center" indent="1"/>
    </xf>
    <xf numFmtId="0" fontId="0" fillId="4" borderId="27" xfId="0" applyFill="1" applyBorder="1"/>
    <xf numFmtId="0" fontId="0" fillId="4" borderId="29" xfId="0" applyFill="1" applyBorder="1" applyAlignment="1">
      <alignment horizontal="right" vertical="center"/>
    </xf>
    <xf numFmtId="170" fontId="6" fillId="4" borderId="29" xfId="4" applyNumberFormat="1" applyFont="1" applyFill="1" applyBorder="1" applyAlignment="1">
      <alignment horizontal="center" vertical="center"/>
    </xf>
    <xf numFmtId="0" fontId="6" fillId="4" borderId="29" xfId="4" applyFont="1" applyFill="1" applyBorder="1" applyAlignment="1">
      <alignment vertical="center"/>
    </xf>
    <xf numFmtId="0" fontId="6" fillId="4" borderId="30" xfId="4" applyFont="1" applyFill="1" applyBorder="1" applyAlignment="1">
      <alignment vertical="center"/>
    </xf>
    <xf numFmtId="0" fontId="21" fillId="4" borderId="29" xfId="4" applyFont="1" applyFill="1" applyBorder="1" applyAlignment="1">
      <alignment horizontal="center" vertical="center"/>
    </xf>
    <xf numFmtId="176" fontId="0" fillId="4" borderId="0" xfId="0" applyNumberFormat="1" applyFill="1" applyAlignment="1">
      <alignment horizontal="center" vertical="center"/>
    </xf>
    <xf numFmtId="0" fontId="0" fillId="4" borderId="0" xfId="4" applyFont="1" applyFill="1" applyAlignment="1">
      <alignment vertical="center"/>
    </xf>
    <xf numFmtId="0" fontId="6" fillId="4" borderId="0" xfId="5" applyFont="1" applyFill="1" applyAlignment="1">
      <alignment vertical="center"/>
    </xf>
    <xf numFmtId="171" fontId="0" fillId="4" borderId="29" xfId="0" applyNumberFormat="1" applyFill="1" applyBorder="1" applyAlignment="1">
      <alignment horizontal="center" vertical="center"/>
    </xf>
    <xf numFmtId="0" fontId="0" fillId="4" borderId="29" xfId="0" applyFill="1" applyBorder="1" applyAlignment="1">
      <alignment vertical="center"/>
    </xf>
    <xf numFmtId="0" fontId="0" fillId="4" borderId="30" xfId="0" applyFill="1" applyBorder="1" applyAlignment="1">
      <alignment vertical="center"/>
    </xf>
    <xf numFmtId="0" fontId="6" fillId="4" borderId="29" xfId="5" applyFont="1" applyFill="1" applyBorder="1" applyAlignment="1">
      <alignment horizontal="right" vertical="center"/>
    </xf>
    <xf numFmtId="40" fontId="0" fillId="4" borderId="29" xfId="0" applyNumberFormat="1" applyFill="1" applyBorder="1" applyAlignment="1">
      <alignment vertical="center"/>
    </xf>
    <xf numFmtId="0" fontId="0" fillId="4" borderId="8" xfId="0" applyFill="1" applyBorder="1"/>
    <xf numFmtId="0" fontId="0" fillId="4" borderId="12" xfId="0" applyFill="1" applyBorder="1" applyAlignment="1">
      <alignment horizontal="center" vertical="center"/>
    </xf>
    <xf numFmtId="0" fontId="0" fillId="4" borderId="28" xfId="0" applyFill="1" applyBorder="1"/>
    <xf numFmtId="0" fontId="0" fillId="4" borderId="21" xfId="0" applyFill="1" applyBorder="1" applyAlignment="1">
      <alignment horizontal="center" vertical="center"/>
    </xf>
    <xf numFmtId="0" fontId="0" fillId="4" borderId="52" xfId="0" applyFill="1" applyBorder="1" applyAlignment="1">
      <alignment horizontal="right" vertical="center" indent="1"/>
    </xf>
    <xf numFmtId="176" fontId="0" fillId="4" borderId="0" xfId="0" applyNumberFormat="1" applyFill="1" applyAlignment="1">
      <alignment horizontal="right" vertical="center" indent="1"/>
    </xf>
    <xf numFmtId="0" fontId="50" fillId="11" borderId="3" xfId="3" applyFont="1" applyFill="1" applyBorder="1" applyAlignment="1">
      <alignment horizontal="centerContinuous" vertical="center"/>
    </xf>
    <xf numFmtId="0" fontId="47" fillId="11" borderId="4" xfId="0" applyFont="1" applyFill="1" applyBorder="1" applyAlignment="1">
      <alignment horizontal="centerContinuous"/>
    </xf>
    <xf numFmtId="0" fontId="50" fillId="11" borderId="4" xfId="3" applyFont="1" applyFill="1" applyBorder="1" applyAlignment="1">
      <alignment horizontal="centerContinuous" vertical="center"/>
    </xf>
    <xf numFmtId="176" fontId="0" fillId="4" borderId="11" xfId="0" applyNumberFormat="1" applyFill="1" applyBorder="1" applyAlignment="1">
      <alignment horizontal="center" vertical="center"/>
    </xf>
    <xf numFmtId="176" fontId="6" fillId="4" borderId="0" xfId="4" applyNumberFormat="1" applyFont="1" applyFill="1" applyAlignment="1">
      <alignment horizontal="center" vertical="center"/>
    </xf>
    <xf numFmtId="0" fontId="5" fillId="12" borderId="0" xfId="5" applyFont="1" applyFill="1" applyAlignment="1">
      <alignment vertical="center"/>
    </xf>
    <xf numFmtId="0" fontId="5" fillId="12" borderId="0" xfId="5" applyFont="1" applyFill="1" applyAlignment="1">
      <alignment horizontal="center" vertical="center"/>
    </xf>
    <xf numFmtId="0" fontId="12" fillId="12" borderId="0" xfId="5" applyFont="1" applyFill="1" applyAlignment="1">
      <alignment horizontal="centerContinuous" vertical="center"/>
    </xf>
    <xf numFmtId="0" fontId="5" fillId="12" borderId="0" xfId="0" applyFont="1" applyFill="1"/>
    <xf numFmtId="0" fontId="16" fillId="4" borderId="0" xfId="2" applyFont="1" applyFill="1" applyBorder="1" applyAlignment="1" applyProtection="1">
      <alignment horizontal="left" indent="1"/>
    </xf>
    <xf numFmtId="0" fontId="6" fillId="4" borderId="0" xfId="0" applyFont="1" applyFill="1" applyAlignment="1">
      <alignment vertical="center"/>
    </xf>
    <xf numFmtId="170" fontId="21" fillId="4" borderId="31" xfId="9" applyNumberFormat="1" applyFont="1" applyFill="1" applyBorder="1" applyAlignment="1" applyProtection="1">
      <alignment horizontal="center" vertical="center"/>
    </xf>
    <xf numFmtId="170" fontId="27" fillId="4" borderId="31" xfId="9" applyNumberFormat="1" applyFont="1" applyFill="1" applyBorder="1" applyAlignment="1">
      <alignment horizontal="center" vertical="center"/>
    </xf>
    <xf numFmtId="165" fontId="27" fillId="4" borderId="31" xfId="9" applyNumberFormat="1" applyFont="1" applyFill="1" applyBorder="1" applyAlignment="1">
      <alignment horizontal="center" vertical="center"/>
    </xf>
    <xf numFmtId="165" fontId="21" fillId="4" borderId="31" xfId="9" applyNumberFormat="1" applyFont="1" applyFill="1" applyBorder="1" applyAlignment="1" applyProtection="1">
      <alignment horizontal="center" vertical="center"/>
    </xf>
    <xf numFmtId="0" fontId="25" fillId="4" borderId="31" xfId="8" applyFont="1" applyFill="1" applyBorder="1" applyAlignment="1">
      <alignment horizontal="center" vertical="center"/>
    </xf>
    <xf numFmtId="166" fontId="21" fillId="4" borderId="31" xfId="8" applyNumberFormat="1" applyFont="1" applyFill="1" applyBorder="1" applyAlignment="1">
      <alignment horizontal="center" vertical="center"/>
    </xf>
    <xf numFmtId="40" fontId="27" fillId="4" borderId="31" xfId="9" applyNumberFormat="1" applyFont="1" applyFill="1" applyBorder="1" applyAlignment="1">
      <alignment horizontal="center" vertical="center"/>
    </xf>
    <xf numFmtId="0" fontId="6" fillId="4" borderId="14" xfId="4" applyFont="1" applyFill="1" applyBorder="1" applyAlignment="1">
      <alignment horizontal="center"/>
    </xf>
    <xf numFmtId="169" fontId="27" fillId="4" borderId="31" xfId="9" applyNumberFormat="1" applyFont="1" applyFill="1" applyBorder="1" applyAlignment="1">
      <alignment horizontal="center" vertical="center"/>
    </xf>
    <xf numFmtId="0" fontId="6" fillId="4" borderId="13" xfId="4" applyFont="1" applyFill="1" applyBorder="1" applyAlignment="1">
      <alignment horizontal="center"/>
    </xf>
    <xf numFmtId="2" fontId="21" fillId="4" borderId="31" xfId="8" applyNumberFormat="1" applyFont="1" applyFill="1" applyBorder="1" applyAlignment="1">
      <alignment horizontal="center" vertical="center"/>
    </xf>
    <xf numFmtId="40" fontId="21" fillId="4" borderId="31" xfId="9" applyNumberFormat="1" applyFont="1" applyFill="1" applyBorder="1" applyAlignment="1" applyProtection="1">
      <alignment horizontal="center" vertical="center"/>
    </xf>
    <xf numFmtId="169" fontId="21" fillId="4" borderId="31" xfId="9" applyNumberFormat="1" applyFont="1" applyFill="1" applyBorder="1" applyAlignment="1" applyProtection="1">
      <alignment horizontal="center" vertical="center"/>
    </xf>
    <xf numFmtId="0" fontId="6" fillId="4" borderId="23" xfId="4" applyFont="1" applyFill="1" applyBorder="1" applyAlignment="1">
      <alignment horizontal="center"/>
    </xf>
    <xf numFmtId="0" fontId="6" fillId="4" borderId="22" xfId="4" applyFont="1" applyFill="1" applyBorder="1" applyAlignment="1">
      <alignment horizontal="center"/>
    </xf>
    <xf numFmtId="172" fontId="25" fillId="4" borderId="31" xfId="8" applyNumberFormat="1" applyFont="1" applyFill="1" applyBorder="1" applyAlignment="1">
      <alignment horizontal="center" vertical="center"/>
    </xf>
    <xf numFmtId="2" fontId="27" fillId="4" borderId="31" xfId="9" applyNumberFormat="1" applyFont="1" applyFill="1" applyBorder="1" applyAlignment="1">
      <alignment horizontal="center" vertical="center"/>
    </xf>
    <xf numFmtId="171" fontId="27" fillId="4" borderId="31" xfId="9" applyNumberFormat="1" applyFont="1" applyFill="1" applyBorder="1" applyAlignment="1">
      <alignment horizontal="center" vertical="center"/>
    </xf>
    <xf numFmtId="166" fontId="27" fillId="4" borderId="13" xfId="9" applyNumberFormat="1" applyFont="1" applyFill="1" applyBorder="1" applyAlignment="1">
      <alignment horizontal="center" vertical="center"/>
    </xf>
    <xf numFmtId="172" fontId="25" fillId="4" borderId="30" xfId="8" applyNumberFormat="1" applyFont="1" applyFill="1" applyBorder="1" applyAlignment="1">
      <alignment horizontal="center" vertical="center"/>
    </xf>
    <xf numFmtId="166" fontId="27" fillId="4" borderId="31" xfId="9" applyNumberFormat="1" applyFont="1" applyFill="1" applyBorder="1" applyAlignment="1">
      <alignment horizontal="center" vertical="center"/>
    </xf>
    <xf numFmtId="172" fontId="27" fillId="4" borderId="31" xfId="9" applyNumberFormat="1" applyFont="1" applyFill="1" applyBorder="1" applyAlignment="1">
      <alignment horizontal="center" vertical="center"/>
    </xf>
    <xf numFmtId="2" fontId="21" fillId="4" borderId="31" xfId="9" applyNumberFormat="1" applyFont="1" applyFill="1" applyBorder="1" applyAlignment="1" applyProtection="1">
      <alignment horizontal="center" vertical="center"/>
    </xf>
    <xf numFmtId="171" fontId="21" fillId="4" borderId="31" xfId="9" applyNumberFormat="1" applyFont="1" applyFill="1" applyBorder="1" applyAlignment="1" applyProtection="1">
      <alignment horizontal="center" vertical="center"/>
    </xf>
    <xf numFmtId="166" fontId="21" fillId="4" borderId="13" xfId="9" applyNumberFormat="1" applyFont="1" applyFill="1" applyBorder="1" applyAlignment="1" applyProtection="1">
      <alignment horizontal="center" vertical="center"/>
    </xf>
    <xf numFmtId="166" fontId="21" fillId="4" borderId="30" xfId="8" applyNumberFormat="1" applyFont="1" applyFill="1" applyBorder="1" applyAlignment="1">
      <alignment horizontal="center" vertical="center"/>
    </xf>
    <xf numFmtId="166" fontId="21" fillId="4" borderId="31" xfId="9" applyNumberFormat="1" applyFont="1" applyFill="1" applyBorder="1" applyAlignment="1" applyProtection="1">
      <alignment horizontal="center" vertical="center"/>
    </xf>
    <xf numFmtId="172" fontId="21" fillId="4" borderId="31" xfId="9" applyNumberFormat="1" applyFont="1" applyFill="1" applyBorder="1" applyAlignment="1" applyProtection="1">
      <alignment horizontal="center" vertical="center"/>
    </xf>
    <xf numFmtId="166" fontId="27" fillId="4" borderId="22" xfId="9" applyNumberFormat="1" applyFont="1" applyFill="1" applyBorder="1" applyAlignment="1">
      <alignment horizontal="center" vertical="center"/>
    </xf>
    <xf numFmtId="179" fontId="0" fillId="4" borderId="31" xfId="0" applyNumberFormat="1" applyFill="1" applyBorder="1" applyAlignment="1">
      <alignment horizontal="center" vertical="center"/>
    </xf>
    <xf numFmtId="179" fontId="0" fillId="4" borderId="0" xfId="0" applyNumberFormat="1" applyFill="1" applyAlignment="1">
      <alignment horizontal="right" vertical="center" indent="1"/>
    </xf>
    <xf numFmtId="166" fontId="25" fillId="4" borderId="31" xfId="8" applyNumberFormat="1" applyFont="1" applyFill="1" applyBorder="1" applyAlignment="1">
      <alignment horizontal="center" vertical="center"/>
    </xf>
    <xf numFmtId="0" fontId="54" fillId="11" borderId="0" xfId="10" applyFont="1" applyFill="1" applyAlignment="1">
      <alignment vertical="center"/>
    </xf>
    <xf numFmtId="0" fontId="21" fillId="4" borderId="29" xfId="4" applyFont="1" applyFill="1" applyBorder="1" applyAlignment="1">
      <alignment horizontal="left" vertical="center" indent="1"/>
    </xf>
    <xf numFmtId="0" fontId="16" fillId="4" borderId="9" xfId="2" applyFont="1" applyFill="1" applyBorder="1" applyAlignment="1" applyProtection="1">
      <alignment horizontal="left" vertical="center" indent="1"/>
    </xf>
    <xf numFmtId="0" fontId="6" fillId="4" borderId="13" xfId="0" applyFont="1" applyFill="1" applyBorder="1" applyAlignment="1">
      <alignment horizontal="center" vertical="center"/>
    </xf>
    <xf numFmtId="0" fontId="0" fillId="4" borderId="13" xfId="4" applyFont="1" applyFill="1" applyBorder="1" applyAlignment="1">
      <alignment horizontal="left" vertical="center" indent="1"/>
    </xf>
    <xf numFmtId="0" fontId="21" fillId="4" borderId="30" xfId="4" applyFont="1" applyFill="1" applyBorder="1" applyAlignment="1">
      <alignment horizontal="center" vertical="center"/>
    </xf>
    <xf numFmtId="3" fontId="0" fillId="4" borderId="13" xfId="4" applyNumberFormat="1" applyFont="1" applyFill="1" applyBorder="1" applyAlignment="1">
      <alignment vertical="center"/>
    </xf>
    <xf numFmtId="178" fontId="0" fillId="4" borderId="13" xfId="4" applyNumberFormat="1" applyFont="1" applyFill="1" applyBorder="1" applyAlignment="1">
      <alignment vertical="center"/>
    </xf>
    <xf numFmtId="0" fontId="0" fillId="4" borderId="22" xfId="0" applyFill="1" applyBorder="1"/>
    <xf numFmtId="0" fontId="7" fillId="4" borderId="9" xfId="2" applyFill="1" applyBorder="1" applyAlignment="1" applyProtection="1">
      <alignment horizontal="left" indent="1"/>
    </xf>
    <xf numFmtId="0" fontId="7" fillId="4" borderId="9" xfId="2" applyFill="1" applyBorder="1" applyAlignment="1" applyProtection="1">
      <alignment horizontal="left" vertical="center" indent="1"/>
    </xf>
    <xf numFmtId="0" fontId="52" fillId="4" borderId="0" xfId="0" applyFont="1" applyFill="1"/>
    <xf numFmtId="0" fontId="52" fillId="4" borderId="0" xfId="4" applyFont="1" applyFill="1" applyAlignment="1">
      <alignment vertical="center"/>
    </xf>
    <xf numFmtId="0" fontId="12" fillId="4" borderId="29" xfId="0" applyFont="1" applyFill="1" applyBorder="1"/>
    <xf numFmtId="0" fontId="52" fillId="4" borderId="0" xfId="0" applyFont="1" applyFill="1" applyAlignment="1">
      <alignment vertical="center"/>
    </xf>
    <xf numFmtId="0" fontId="0" fillId="4" borderId="0" xfId="4" applyFont="1" applyFill="1" applyAlignment="1">
      <alignment horizontal="center" vertical="center"/>
    </xf>
    <xf numFmtId="0" fontId="0" fillId="4" borderId="27" xfId="0" applyFill="1" applyBorder="1" applyAlignment="1">
      <alignment horizontal="center"/>
    </xf>
    <xf numFmtId="2" fontId="6" fillId="4" borderId="0" xfId="5" applyNumberFormat="1" applyFont="1" applyFill="1" applyAlignment="1">
      <alignment vertical="center"/>
    </xf>
    <xf numFmtId="170" fontId="6" fillId="4" borderId="0" xfId="4" applyNumberFormat="1" applyFont="1" applyFill="1" applyAlignment="1">
      <alignment vertical="center"/>
    </xf>
    <xf numFmtId="177" fontId="0" fillId="4" borderId="0" xfId="0" applyNumberFormat="1" applyFill="1" applyAlignment="1">
      <alignment vertical="center"/>
    </xf>
    <xf numFmtId="176" fontId="0" fillId="4" borderId="0" xfId="0" applyNumberFormat="1" applyFill="1" applyAlignment="1">
      <alignment vertical="center"/>
    </xf>
    <xf numFmtId="0" fontId="0" fillId="4" borderId="38" xfId="0" applyFill="1" applyBorder="1"/>
    <xf numFmtId="0" fontId="47" fillId="3" borderId="1" xfId="2" applyFont="1" applyFill="1" applyBorder="1" applyAlignment="1" applyProtection="1">
      <alignment horizontal="left" vertical="center" indent="1"/>
    </xf>
    <xf numFmtId="0" fontId="6" fillId="4" borderId="13" xfId="4" applyFont="1" applyFill="1" applyBorder="1"/>
    <xf numFmtId="0" fontId="6" fillId="4" borderId="27" xfId="4" applyFont="1" applyFill="1" applyBorder="1"/>
    <xf numFmtId="0" fontId="6" fillId="4" borderId="22" xfId="4" applyFont="1" applyFill="1" applyBorder="1"/>
    <xf numFmtId="0" fontId="55" fillId="4" borderId="10" xfId="2" applyFont="1" applyFill="1" applyBorder="1" applyAlignment="1" applyProtection="1">
      <alignment horizontal="right" vertical="center" indent="1"/>
    </xf>
    <xf numFmtId="0" fontId="55" fillId="4" borderId="14" xfId="2" applyFont="1" applyFill="1" applyBorder="1" applyAlignment="1" applyProtection="1">
      <alignment horizontal="right" vertical="center" indent="1"/>
    </xf>
    <xf numFmtId="0" fontId="55" fillId="4" borderId="23" xfId="2" applyFont="1" applyFill="1" applyBorder="1" applyAlignment="1" applyProtection="1">
      <alignment horizontal="right" vertical="center" indent="1"/>
    </xf>
    <xf numFmtId="0" fontId="6" fillId="4" borderId="10" xfId="4" applyFont="1" applyFill="1" applyBorder="1" applyAlignment="1">
      <alignment horizontal="center" vertical="center"/>
    </xf>
    <xf numFmtId="0" fontId="6" fillId="4" borderId="14" xfId="4" applyFont="1" applyFill="1" applyBorder="1" applyAlignment="1">
      <alignment horizontal="center" vertical="center"/>
    </xf>
    <xf numFmtId="0" fontId="6" fillId="4" borderId="23" xfId="4" applyFont="1" applyFill="1" applyBorder="1" applyAlignment="1">
      <alignment horizontal="center" vertical="center"/>
    </xf>
    <xf numFmtId="0" fontId="12" fillId="6" borderId="31" xfId="2" applyFont="1" applyFill="1" applyBorder="1" applyAlignment="1" applyProtection="1">
      <alignment horizontal="center" vertical="center"/>
    </xf>
    <xf numFmtId="0" fontId="5" fillId="4" borderId="10" xfId="2" applyFont="1" applyFill="1" applyBorder="1" applyAlignment="1" applyProtection="1">
      <alignment horizontal="center" vertical="center"/>
    </xf>
    <xf numFmtId="0" fontId="5" fillId="4" borderId="14" xfId="2" applyFont="1" applyFill="1" applyBorder="1" applyAlignment="1" applyProtection="1">
      <alignment horizontal="center" vertical="center"/>
    </xf>
    <xf numFmtId="0" fontId="5" fillId="4" borderId="23" xfId="2" applyFont="1" applyFill="1" applyBorder="1" applyAlignment="1" applyProtection="1">
      <alignment horizontal="center" vertical="center"/>
    </xf>
    <xf numFmtId="176" fontId="0" fillId="4" borderId="31" xfId="0" applyNumberFormat="1" applyFill="1" applyBorder="1" applyAlignment="1">
      <alignment horizontal="center" vertical="center"/>
    </xf>
    <xf numFmtId="3" fontId="0" fillId="4" borderId="0" xfId="4" applyNumberFormat="1" applyFont="1" applyFill="1" applyAlignment="1">
      <alignment vertical="center"/>
    </xf>
    <xf numFmtId="178" fontId="0" fillId="4" borderId="0" xfId="4" applyNumberFormat="1" applyFont="1" applyFill="1" applyAlignment="1">
      <alignment vertical="center"/>
    </xf>
    <xf numFmtId="0" fontId="6" fillId="4" borderId="12" xfId="0" applyFont="1" applyFill="1" applyBorder="1" applyAlignment="1">
      <alignment horizontal="center" vertical="center"/>
    </xf>
    <xf numFmtId="0" fontId="0" fillId="4" borderId="12" xfId="4" applyFont="1" applyFill="1" applyBorder="1" applyAlignment="1">
      <alignment horizontal="left" vertical="center" indent="1"/>
    </xf>
    <xf numFmtId="0" fontId="0" fillId="4" borderId="28" xfId="4" applyFont="1" applyFill="1" applyBorder="1" applyAlignment="1">
      <alignment horizontal="left" vertical="center" indent="1"/>
    </xf>
    <xf numFmtId="0" fontId="0" fillId="4" borderId="21" xfId="0" applyFill="1" applyBorder="1" applyAlignment="1">
      <alignment horizontal="left" indent="1"/>
    </xf>
    <xf numFmtId="0" fontId="0" fillId="4" borderId="21" xfId="0" applyFill="1" applyBorder="1" applyAlignment="1">
      <alignment horizontal="left"/>
    </xf>
    <xf numFmtId="0" fontId="0" fillId="4" borderId="12" xfId="0" applyFill="1" applyBorder="1" applyAlignment="1">
      <alignment vertical="center"/>
    </xf>
    <xf numFmtId="0" fontId="0" fillId="4" borderId="0" xfId="2" applyFont="1" applyFill="1" applyBorder="1" applyAlignment="1" applyProtection="1">
      <alignment horizontal="center" vertical="center"/>
    </xf>
    <xf numFmtId="0" fontId="0" fillId="4" borderId="10" xfId="0" applyFill="1" applyBorder="1" applyAlignment="1">
      <alignment horizontal="center" vertical="center"/>
    </xf>
    <xf numFmtId="0" fontId="0" fillId="4" borderId="23" xfId="0" applyFill="1" applyBorder="1" applyAlignment="1">
      <alignment horizontal="center" vertical="center"/>
    </xf>
    <xf numFmtId="0" fontId="0" fillId="4" borderId="0" xfId="4" applyFont="1" applyFill="1" applyAlignment="1">
      <alignment vertical="center" shrinkToFit="1"/>
    </xf>
    <xf numFmtId="0" fontId="6" fillId="4" borderId="0" xfId="5" applyFont="1" applyFill="1" applyAlignment="1">
      <alignment vertical="center" shrinkToFit="1"/>
    </xf>
    <xf numFmtId="0" fontId="6" fillId="4" borderId="0" xfId="0" applyFont="1" applyFill="1" applyAlignment="1">
      <alignment vertical="center" shrinkToFit="1"/>
    </xf>
    <xf numFmtId="0" fontId="0" fillId="4" borderId="0" xfId="0" applyFill="1" applyAlignment="1">
      <alignment vertical="center" shrinkToFit="1"/>
    </xf>
    <xf numFmtId="0" fontId="52" fillId="4" borderId="0" xfId="0" applyFont="1" applyFill="1" applyAlignment="1">
      <alignment vertical="center" shrinkToFit="1"/>
    </xf>
    <xf numFmtId="0" fontId="0" fillId="4" borderId="27" xfId="0" applyFill="1" applyBorder="1" applyAlignment="1">
      <alignment vertical="center" shrinkToFit="1"/>
    </xf>
    <xf numFmtId="0" fontId="6" fillId="4" borderId="0" xfId="5" applyFont="1" applyFill="1" applyAlignment="1">
      <alignment horizontal="right" vertical="center" shrinkToFit="1"/>
    </xf>
    <xf numFmtId="0" fontId="0" fillId="4" borderId="0" xfId="0" applyFill="1" applyAlignment="1">
      <alignment horizontal="right" vertical="center" shrinkToFit="1"/>
    </xf>
    <xf numFmtId="0" fontId="0" fillId="4" borderId="29" xfId="0" applyFill="1" applyBorder="1" applyAlignment="1">
      <alignment horizontal="right" vertical="center" shrinkToFit="1"/>
    </xf>
    <xf numFmtId="0" fontId="6" fillId="4" borderId="0" xfId="0" applyFont="1" applyFill="1" applyAlignment="1">
      <alignment horizontal="right" vertical="center" shrinkToFit="1"/>
    </xf>
    <xf numFmtId="0" fontId="0" fillId="4" borderId="0" xfId="4" applyFont="1" applyFill="1" applyAlignment="1">
      <alignment horizontal="right" vertical="center" shrinkToFit="1"/>
    </xf>
    <xf numFmtId="0" fontId="0" fillId="4" borderId="27" xfId="0" applyFill="1" applyBorder="1" applyAlignment="1">
      <alignment horizontal="right" vertical="center" shrinkToFit="1"/>
    </xf>
    <xf numFmtId="0" fontId="0" fillId="4" borderId="13" xfId="0" applyFill="1" applyBorder="1" applyAlignment="1">
      <alignment horizontal="right" vertical="center" shrinkToFit="1"/>
    </xf>
    <xf numFmtId="0" fontId="6" fillId="4" borderId="29" xfId="5" applyFont="1" applyFill="1" applyBorder="1" applyAlignment="1">
      <alignment horizontal="right" vertical="center" shrinkToFit="1"/>
    </xf>
    <xf numFmtId="0" fontId="52" fillId="4" borderId="0" xfId="0" applyFont="1" applyFill="1" applyAlignment="1">
      <alignment horizontal="right" vertical="center" shrinkToFit="1"/>
    </xf>
    <xf numFmtId="0" fontId="0" fillId="4" borderId="0" xfId="4" applyFont="1" applyFill="1" applyAlignment="1">
      <alignment shrinkToFit="1"/>
    </xf>
    <xf numFmtId="0" fontId="0" fillId="4" borderId="27" xfId="0" applyFill="1" applyBorder="1" applyAlignment="1">
      <alignment shrinkToFit="1"/>
    </xf>
    <xf numFmtId="0" fontId="21" fillId="4" borderId="29" xfId="4" applyFont="1" applyFill="1" applyBorder="1" applyAlignment="1">
      <alignment horizontal="center" vertical="center" shrinkToFit="1"/>
    </xf>
    <xf numFmtId="0" fontId="12" fillId="4" borderId="0" xfId="0" applyFont="1" applyFill="1" applyAlignment="1">
      <alignment vertical="center"/>
    </xf>
    <xf numFmtId="0" fontId="56" fillId="6" borderId="31" xfId="0" applyFont="1" applyFill="1" applyBorder="1" applyAlignment="1">
      <alignment horizontal="center" vertical="center"/>
    </xf>
    <xf numFmtId="0" fontId="56" fillId="6" borderId="31" xfId="2" applyFont="1" applyFill="1" applyBorder="1" applyAlignment="1" applyProtection="1">
      <alignment horizontal="center" vertical="center"/>
    </xf>
    <xf numFmtId="0" fontId="0" fillId="4" borderId="10" xfId="0" applyFill="1" applyBorder="1" applyAlignment="1">
      <alignment vertical="center" shrinkToFit="1"/>
    </xf>
    <xf numFmtId="0" fontId="5" fillId="4" borderId="10" xfId="2" applyFont="1" applyFill="1" applyBorder="1" applyAlignment="1" applyProtection="1">
      <alignment horizontal="center" vertical="center" shrinkToFit="1"/>
    </xf>
    <xf numFmtId="0" fontId="0" fillId="4" borderId="14" xfId="0" applyFill="1" applyBorder="1" applyAlignment="1">
      <alignment vertical="center" shrinkToFit="1"/>
    </xf>
    <xf numFmtId="0" fontId="5" fillId="4" borderId="14" xfId="2" applyFont="1" applyFill="1" applyBorder="1" applyAlignment="1" applyProtection="1">
      <alignment horizontal="center" vertical="center" shrinkToFit="1"/>
    </xf>
    <xf numFmtId="0" fontId="0" fillId="4" borderId="10" xfId="2" applyFont="1" applyFill="1" applyBorder="1" applyAlignment="1" applyProtection="1">
      <alignment vertical="center" shrinkToFit="1"/>
    </xf>
    <xf numFmtId="0" fontId="6" fillId="0" borderId="10" xfId="5" applyFont="1" applyBorder="1" applyAlignment="1">
      <alignment horizontal="left" vertical="center" indent="1"/>
    </xf>
    <xf numFmtId="0" fontId="0" fillId="0" borderId="14" xfId="0" applyBorder="1" applyAlignment="1">
      <alignment horizontal="left" vertical="center" indent="1"/>
    </xf>
    <xf numFmtId="0" fontId="12" fillId="6" borderId="10" xfId="0" applyFont="1" applyFill="1" applyBorder="1" applyAlignment="1">
      <alignment horizontal="center" vertical="center"/>
    </xf>
    <xf numFmtId="0" fontId="57" fillId="6" borderId="31" xfId="2" applyFont="1" applyFill="1" applyBorder="1" applyAlignment="1" applyProtection="1">
      <alignment horizontal="right" vertical="center" indent="1"/>
    </xf>
    <xf numFmtId="0" fontId="12" fillId="6" borderId="31" xfId="4" applyFont="1" applyFill="1" applyBorder="1" applyAlignment="1">
      <alignment horizontal="center" vertical="center"/>
    </xf>
    <xf numFmtId="0" fontId="5" fillId="4" borderId="14" xfId="2" applyFont="1" applyFill="1" applyBorder="1" applyAlignment="1" applyProtection="1">
      <alignment horizontal="left" vertical="center" indent="1"/>
    </xf>
    <xf numFmtId="0" fontId="0" fillId="4" borderId="14" xfId="0" applyFill="1" applyBorder="1" applyAlignment="1">
      <alignment horizontal="center" vertical="center"/>
    </xf>
    <xf numFmtId="178" fontId="5" fillId="4" borderId="14" xfId="2" applyNumberFormat="1" applyFont="1" applyFill="1" applyBorder="1" applyAlignment="1" applyProtection="1">
      <alignment horizontal="center" vertical="center"/>
    </xf>
    <xf numFmtId="3" fontId="0" fillId="4" borderId="14" xfId="0" applyNumberFormat="1" applyFill="1" applyBorder="1" applyAlignment="1">
      <alignment horizontal="center" vertical="center"/>
    </xf>
    <xf numFmtId="0" fontId="7" fillId="4" borderId="11" xfId="2" applyFill="1" applyBorder="1" applyAlignment="1" applyProtection="1">
      <alignment horizontal="left" vertical="center" indent="1"/>
    </xf>
    <xf numFmtId="0" fontId="5" fillId="4" borderId="11" xfId="2" applyFont="1" applyFill="1" applyBorder="1" applyAlignment="1" applyProtection="1">
      <alignment horizontal="center" vertical="center"/>
    </xf>
    <xf numFmtId="0" fontId="5" fillId="4" borderId="0" xfId="0" applyFont="1" applyFill="1" applyAlignment="1">
      <alignment horizontal="center"/>
    </xf>
    <xf numFmtId="0" fontId="5" fillId="4" borderId="0" xfId="4" applyFont="1" applyFill="1" applyAlignment="1">
      <alignment horizontal="center" vertical="center"/>
    </xf>
    <xf numFmtId="0" fontId="0" fillId="4" borderId="51" xfId="0" applyFill="1" applyBorder="1"/>
    <xf numFmtId="0" fontId="0" fillId="4" borderId="50" xfId="0" applyFill="1" applyBorder="1"/>
    <xf numFmtId="0" fontId="7" fillId="4" borderId="8" xfId="2" applyFill="1" applyBorder="1" applyAlignment="1" applyProtection="1">
      <alignment horizontal="left" vertical="center" indent="1"/>
    </xf>
    <xf numFmtId="0" fontId="0" fillId="4" borderId="11" xfId="0" applyFill="1" applyBorder="1" applyAlignment="1">
      <alignment shrinkToFit="1"/>
    </xf>
    <xf numFmtId="0" fontId="0" fillId="4" borderId="11" xfId="0" applyFill="1" applyBorder="1" applyAlignment="1">
      <alignment vertical="center"/>
    </xf>
    <xf numFmtId="0" fontId="5" fillId="6" borderId="31" xfId="2" applyFont="1" applyFill="1" applyBorder="1" applyAlignment="1" applyProtection="1">
      <alignment horizontal="center" vertical="center"/>
    </xf>
    <xf numFmtId="0" fontId="0" fillId="4" borderId="14" xfId="2" applyFont="1" applyFill="1" applyBorder="1" applyAlignment="1" applyProtection="1">
      <alignment vertical="center" shrinkToFit="1"/>
    </xf>
    <xf numFmtId="178" fontId="5" fillId="4" borderId="11" xfId="2" applyNumberFormat="1" applyFont="1" applyFill="1" applyBorder="1" applyAlignment="1" applyProtection="1">
      <alignment horizontal="center" vertical="center"/>
    </xf>
    <xf numFmtId="178" fontId="0" fillId="4" borderId="0" xfId="0" applyNumberFormat="1" applyFill="1" applyAlignment="1">
      <alignment horizontal="center" vertical="center"/>
    </xf>
    <xf numFmtId="172" fontId="5" fillId="4" borderId="11" xfId="2" applyNumberFormat="1" applyFont="1" applyFill="1" applyBorder="1" applyAlignment="1" applyProtection="1">
      <alignment horizontal="center" vertical="center"/>
    </xf>
    <xf numFmtId="3" fontId="58" fillId="0" borderId="52" xfId="0" applyNumberFormat="1" applyFont="1" applyBorder="1" applyAlignment="1" applyProtection="1">
      <alignment horizontal="right" vertical="center" indent="1"/>
      <protection locked="0"/>
    </xf>
    <xf numFmtId="178" fontId="58" fillId="0" borderId="52" xfId="0" applyNumberFormat="1" applyFont="1" applyBorder="1" applyAlignment="1" applyProtection="1">
      <alignment horizontal="right" vertical="center" indent="1"/>
      <protection locked="0"/>
    </xf>
    <xf numFmtId="0" fontId="58" fillId="0" borderId="52" xfId="0" applyFont="1" applyBorder="1" applyAlignment="1" applyProtection="1">
      <alignment horizontal="center" vertical="center"/>
      <protection locked="0"/>
    </xf>
    <xf numFmtId="176" fontId="58" fillId="4" borderId="52" xfId="0" applyNumberFormat="1" applyFont="1" applyFill="1" applyBorder="1" applyAlignment="1">
      <alignment horizontal="center" vertical="center"/>
    </xf>
    <xf numFmtId="179" fontId="58" fillId="4" borderId="52" xfId="0" applyNumberFormat="1" applyFont="1" applyFill="1" applyBorder="1" applyAlignment="1">
      <alignment horizontal="center" vertical="center"/>
    </xf>
    <xf numFmtId="0" fontId="0" fillId="6" borderId="14" xfId="0" applyFill="1" applyBorder="1" applyAlignment="1">
      <alignment horizontal="center" vertical="center" shrinkToFit="1"/>
    </xf>
    <xf numFmtId="3" fontId="12" fillId="6" borderId="23" xfId="0" applyNumberFormat="1" applyFont="1" applyFill="1" applyBorder="1" applyAlignment="1">
      <alignment horizontal="center" vertical="center"/>
    </xf>
    <xf numFmtId="178" fontId="12" fillId="6" borderId="23" xfId="2" applyNumberFormat="1" applyFont="1" applyFill="1" applyBorder="1" applyAlignment="1" applyProtection="1">
      <alignment horizontal="center" vertical="center"/>
    </xf>
    <xf numFmtId="0" fontId="0" fillId="6" borderId="10" xfId="0" applyFill="1" applyBorder="1" applyAlignment="1">
      <alignment horizontal="center" vertical="center"/>
    </xf>
    <xf numFmtId="0" fontId="57" fillId="6" borderId="14" xfId="2" applyFont="1" applyFill="1" applyBorder="1" applyAlignment="1" applyProtection="1">
      <alignment horizontal="left" vertical="center" indent="1"/>
    </xf>
    <xf numFmtId="0" fontId="12" fillId="6" borderId="23" xfId="4" applyFont="1" applyFill="1" applyBorder="1" applyAlignment="1">
      <alignment horizontal="center" vertical="center"/>
    </xf>
    <xf numFmtId="0" fontId="5" fillId="4" borderId="21" xfId="2" applyFont="1" applyFill="1" applyBorder="1" applyAlignment="1" applyProtection="1">
      <alignment horizontal="right" vertical="center"/>
    </xf>
    <xf numFmtId="0" fontId="0" fillId="4" borderId="11" xfId="0" applyFill="1" applyBorder="1"/>
    <xf numFmtId="0" fontId="16" fillId="4" borderId="11" xfId="2" applyFont="1" applyFill="1" applyBorder="1" applyAlignment="1" applyProtection="1">
      <alignment horizontal="left" vertical="center" indent="1"/>
    </xf>
    <xf numFmtId="0" fontId="16" fillId="4" borderId="8" xfId="2" applyFont="1" applyFill="1" applyBorder="1" applyAlignment="1" applyProtection="1">
      <alignment horizontal="left" vertical="center" indent="1"/>
    </xf>
    <xf numFmtId="0" fontId="0" fillId="4" borderId="9" xfId="0" applyFill="1" applyBorder="1"/>
    <xf numFmtId="0" fontId="7" fillId="4" borderId="11" xfId="2" applyFill="1" applyBorder="1" applyAlignment="1" applyProtection="1">
      <alignment horizontal="left" indent="1"/>
    </xf>
    <xf numFmtId="0" fontId="7" fillId="4" borderId="8" xfId="2" applyFill="1" applyBorder="1" applyAlignment="1" applyProtection="1">
      <alignment horizontal="left" indent="1"/>
    </xf>
    <xf numFmtId="0" fontId="0" fillId="0" borderId="10" xfId="2" applyFont="1" applyFill="1" applyBorder="1" applyAlignment="1" applyProtection="1">
      <alignment horizontal="left" vertical="center" indent="1"/>
    </xf>
    <xf numFmtId="0" fontId="0" fillId="0" borderId="14" xfId="2" applyFont="1" applyFill="1" applyBorder="1" applyAlignment="1" applyProtection="1">
      <alignment horizontal="left" vertical="center" indent="1"/>
    </xf>
    <xf numFmtId="0" fontId="0" fillId="0" borderId="23" xfId="2" applyFont="1" applyFill="1" applyBorder="1" applyAlignment="1" applyProtection="1">
      <alignment horizontal="left" vertical="center" indent="1"/>
    </xf>
    <xf numFmtId="0" fontId="0" fillId="4" borderId="8" xfId="0" applyFill="1" applyBorder="1" applyAlignment="1">
      <alignment vertical="center"/>
    </xf>
    <xf numFmtId="0" fontId="5" fillId="4" borderId="9" xfId="2" applyFont="1" applyFill="1" applyBorder="1" applyAlignment="1" applyProtection="1">
      <alignment horizontal="center" vertical="center"/>
    </xf>
    <xf numFmtId="0" fontId="12" fillId="4" borderId="11" xfId="0" applyFont="1" applyFill="1" applyBorder="1" applyAlignment="1">
      <alignment vertical="center"/>
    </xf>
    <xf numFmtId="0" fontId="6" fillId="4" borderId="9" xfId="4" applyFont="1" applyFill="1" applyBorder="1"/>
    <xf numFmtId="0" fontId="0" fillId="0" borderId="8" xfId="4" applyFont="1" applyBorder="1" applyAlignment="1">
      <alignment shrinkToFit="1"/>
    </xf>
    <xf numFmtId="0" fontId="0" fillId="0" borderId="9" xfId="0" applyBorder="1" applyAlignment="1">
      <alignment shrinkToFit="1"/>
    </xf>
    <xf numFmtId="0" fontId="0" fillId="0" borderId="12" xfId="0" applyBorder="1" applyAlignment="1">
      <alignment shrinkToFit="1"/>
    </xf>
    <xf numFmtId="0" fontId="0" fillId="0" borderId="13" xfId="0" applyBorder="1" applyAlignment="1">
      <alignment shrinkToFit="1"/>
    </xf>
    <xf numFmtId="0" fontId="52" fillId="0" borderId="12" xfId="4" applyFont="1" applyBorder="1" applyAlignment="1">
      <alignment shrinkToFit="1"/>
    </xf>
    <xf numFmtId="0" fontId="0" fillId="0" borderId="12" xfId="4" applyFont="1" applyBorder="1" applyAlignment="1">
      <alignment shrinkToFit="1"/>
    </xf>
    <xf numFmtId="0" fontId="52" fillId="0" borderId="13" xfId="0" applyFont="1" applyBorder="1" applyAlignment="1">
      <alignment shrinkToFit="1"/>
    </xf>
    <xf numFmtId="0" fontId="0" fillId="0" borderId="21" xfId="0" applyBorder="1" applyAlignment="1">
      <alignment shrinkToFit="1"/>
    </xf>
    <xf numFmtId="0" fontId="0" fillId="0" borderId="22" xfId="0" applyBorder="1" applyAlignment="1">
      <alignment shrinkToFit="1"/>
    </xf>
    <xf numFmtId="0" fontId="0" fillId="0" borderId="8" xfId="0" applyBorder="1" applyAlignment="1">
      <alignment shrinkToFit="1"/>
    </xf>
    <xf numFmtId="0" fontId="12" fillId="4" borderId="29" xfId="0" applyFont="1" applyFill="1" applyBorder="1" applyAlignment="1">
      <alignment horizontal="center" vertical="center"/>
    </xf>
    <xf numFmtId="0" fontId="32" fillId="6" borderId="14" xfId="0" applyFont="1" applyFill="1" applyBorder="1" applyAlignment="1">
      <alignment horizontal="center" vertical="center" shrinkToFit="1"/>
    </xf>
    <xf numFmtId="178" fontId="0" fillId="4" borderId="14" xfId="2" applyNumberFormat="1" applyFont="1" applyFill="1" applyBorder="1" applyAlignment="1" applyProtection="1">
      <alignment horizontal="center" vertical="center"/>
    </xf>
    <xf numFmtId="178" fontId="0" fillId="4" borderId="0" xfId="0" applyNumberFormat="1" applyFill="1" applyAlignment="1">
      <alignment horizontal="right" vertical="center" indent="1"/>
    </xf>
    <xf numFmtId="3" fontId="0" fillId="4" borderId="0" xfId="0" applyNumberFormat="1" applyFill="1" applyAlignment="1">
      <alignment horizontal="right" vertical="center" indent="1"/>
    </xf>
    <xf numFmtId="3" fontId="0" fillId="4" borderId="23" xfId="0" applyNumberFormat="1" applyFill="1" applyBorder="1" applyAlignment="1">
      <alignment horizontal="center" vertical="center"/>
    </xf>
    <xf numFmtId="172" fontId="6" fillId="4" borderId="31" xfId="5" applyNumberFormat="1" applyFont="1" applyFill="1" applyBorder="1" applyAlignment="1">
      <alignment horizontal="center" vertical="center"/>
    </xf>
    <xf numFmtId="0" fontId="6" fillId="4" borderId="0" xfId="21" applyFont="1" applyFill="1"/>
    <xf numFmtId="180" fontId="63" fillId="0" borderId="52" xfId="26" applyNumberFormat="1" applyFont="1" applyBorder="1" applyAlignment="1" applyProtection="1">
      <alignment vertical="center"/>
      <protection locked="0"/>
    </xf>
    <xf numFmtId="41" fontId="65" fillId="0" borderId="52" xfId="26" applyNumberFormat="1" applyFont="1" applyBorder="1" applyAlignment="1" applyProtection="1">
      <alignment vertical="center"/>
      <protection locked="0"/>
    </xf>
    <xf numFmtId="0" fontId="22" fillId="7" borderId="28" xfId="21" applyFont="1" applyFill="1" applyBorder="1" applyAlignment="1">
      <alignment horizontal="centerContinuous" vertical="center"/>
    </xf>
    <xf numFmtId="0" fontId="6" fillId="7" borderId="29" xfId="21" applyFont="1" applyFill="1" applyBorder="1" applyAlignment="1">
      <alignment horizontal="centerContinuous"/>
    </xf>
    <xf numFmtId="0" fontId="6" fillId="7" borderId="30" xfId="21" applyFont="1" applyFill="1" applyBorder="1" applyAlignment="1">
      <alignment horizontal="centerContinuous"/>
    </xf>
    <xf numFmtId="0" fontId="6" fillId="4" borderId="13" xfId="21" applyFont="1" applyFill="1" applyBorder="1"/>
    <xf numFmtId="0" fontId="21" fillId="4" borderId="76" xfId="21" applyFont="1" applyFill="1" applyBorder="1" applyAlignment="1">
      <alignment horizontal="center" vertical="center"/>
    </xf>
    <xf numFmtId="0" fontId="21" fillId="4" borderId="76" xfId="21" applyFont="1" applyFill="1" applyBorder="1" applyAlignment="1">
      <alignment vertical="center"/>
    </xf>
    <xf numFmtId="0" fontId="66" fillId="4" borderId="76" xfId="26" applyFont="1" applyFill="1" applyBorder="1" applyAlignment="1" applyProtection="1">
      <alignment vertical="center"/>
      <protection hidden="1"/>
    </xf>
    <xf numFmtId="0" fontId="6" fillId="4" borderId="14" xfId="21" applyFont="1" applyFill="1" applyBorder="1"/>
    <xf numFmtId="0" fontId="6" fillId="4" borderId="77" xfId="21" applyFont="1" applyFill="1" applyBorder="1" applyAlignment="1">
      <alignment horizontal="center" vertical="center"/>
    </xf>
    <xf numFmtId="0" fontId="6" fillId="4" borderId="78" xfId="21" applyFont="1" applyFill="1" applyBorder="1" applyAlignment="1">
      <alignment vertical="center"/>
    </xf>
    <xf numFmtId="0" fontId="6" fillId="4" borderId="79" xfId="21" applyFont="1" applyFill="1" applyBorder="1" applyAlignment="1">
      <alignment horizontal="center" vertical="center"/>
    </xf>
    <xf numFmtId="0" fontId="6" fillId="4" borderId="14" xfId="21" applyFont="1" applyFill="1" applyBorder="1" applyAlignment="1">
      <alignment horizontal="center" vertical="center"/>
    </xf>
    <xf numFmtId="0" fontId="6" fillId="4" borderId="13" xfId="21" applyFont="1" applyFill="1" applyBorder="1" applyAlignment="1">
      <alignment vertical="center"/>
    </xf>
    <xf numFmtId="0" fontId="6" fillId="4" borderId="12" xfId="21" applyFont="1" applyFill="1" applyBorder="1" applyAlignment="1">
      <alignment vertical="center"/>
    </xf>
    <xf numFmtId="0" fontId="6" fillId="4" borderId="21" xfId="21" applyFont="1" applyFill="1" applyBorder="1" applyAlignment="1">
      <alignment horizontal="center" vertical="center"/>
    </xf>
    <xf numFmtId="0" fontId="6" fillId="4" borderId="14" xfId="21" applyFont="1" applyFill="1" applyBorder="1" applyAlignment="1">
      <alignment vertical="center"/>
    </xf>
    <xf numFmtId="0" fontId="6" fillId="4" borderId="23" xfId="21" applyFont="1" applyFill="1" applyBorder="1" applyAlignment="1">
      <alignment vertical="center"/>
    </xf>
    <xf numFmtId="0" fontId="6" fillId="4" borderId="12" xfId="21" applyFont="1" applyFill="1" applyBorder="1"/>
    <xf numFmtId="0" fontId="6" fillId="4" borderId="23" xfId="21" applyFont="1" applyFill="1" applyBorder="1"/>
    <xf numFmtId="0" fontId="6" fillId="4" borderId="21" xfId="21" applyFont="1" applyFill="1" applyBorder="1"/>
    <xf numFmtId="0" fontId="6" fillId="4" borderId="22" xfId="21" applyFont="1" applyFill="1" applyBorder="1"/>
    <xf numFmtId="0" fontId="6" fillId="4" borderId="27" xfId="21" applyFont="1" applyFill="1" applyBorder="1"/>
    <xf numFmtId="0" fontId="6" fillId="4" borderId="28" xfId="4" applyFont="1" applyFill="1" applyBorder="1" applyAlignment="1">
      <alignment horizontal="centerContinuous"/>
    </xf>
    <xf numFmtId="0" fontId="6" fillId="4" borderId="30" xfId="4" applyFont="1" applyFill="1" applyBorder="1" applyAlignment="1">
      <alignment horizontal="centerContinuous"/>
    </xf>
    <xf numFmtId="0" fontId="44" fillId="4" borderId="0" xfId="26" applyFont="1" applyFill="1" applyProtection="1">
      <protection hidden="1"/>
    </xf>
    <xf numFmtId="0" fontId="44" fillId="4" borderId="13" xfId="26" applyFont="1" applyFill="1" applyBorder="1" applyProtection="1">
      <protection hidden="1"/>
    </xf>
    <xf numFmtId="0" fontId="6" fillId="4" borderId="31" xfId="4" applyFont="1" applyFill="1" applyBorder="1" applyAlignment="1">
      <alignment horizontal="center" vertical="center"/>
    </xf>
    <xf numFmtId="0" fontId="21" fillId="4" borderId="31" xfId="4" applyFont="1" applyFill="1" applyBorder="1" applyAlignment="1">
      <alignment horizontal="center" vertical="center"/>
    </xf>
    <xf numFmtId="2" fontId="6" fillId="4" borderId="31" xfId="4" applyNumberFormat="1" applyFont="1" applyFill="1" applyBorder="1" applyAlignment="1">
      <alignment horizontal="center"/>
    </xf>
    <xf numFmtId="183" fontId="6" fillId="4" borderId="31" xfId="4" applyNumberFormat="1" applyFont="1" applyFill="1" applyBorder="1"/>
    <xf numFmtId="171" fontId="67" fillId="4" borderId="31" xfId="4" applyNumberFormat="1" applyFont="1" applyFill="1" applyBorder="1" applyAlignment="1">
      <alignment horizontal="center"/>
    </xf>
    <xf numFmtId="0" fontId="6" fillId="4" borderId="31" xfId="4" applyFont="1" applyFill="1" applyBorder="1"/>
    <xf numFmtId="0" fontId="6" fillId="4" borderId="28" xfId="26" applyFill="1" applyBorder="1" applyProtection="1">
      <protection hidden="1"/>
    </xf>
    <xf numFmtId="0" fontId="44" fillId="4" borderId="22" xfId="26" applyFont="1" applyFill="1" applyBorder="1" applyProtection="1">
      <protection hidden="1"/>
    </xf>
    <xf numFmtId="0" fontId="15" fillId="4" borderId="10" xfId="4" applyFill="1" applyBorder="1" applyAlignment="1">
      <alignment horizontal="center"/>
    </xf>
    <xf numFmtId="0" fontId="6" fillId="4" borderId="29" xfId="4" applyFont="1" applyFill="1" applyBorder="1" applyAlignment="1">
      <alignment horizontal="centerContinuous"/>
    </xf>
    <xf numFmtId="0" fontId="15" fillId="4" borderId="8" xfId="4" applyFill="1" applyBorder="1" applyAlignment="1">
      <alignment horizontal="center"/>
    </xf>
    <xf numFmtId="0" fontId="15" fillId="4" borderId="23" xfId="4" applyFill="1" applyBorder="1"/>
    <xf numFmtId="0" fontId="15" fillId="4" borderId="21" xfId="4" applyFill="1" applyBorder="1"/>
    <xf numFmtId="0" fontId="15" fillId="4" borderId="31" xfId="4" applyFill="1" applyBorder="1" applyAlignment="1">
      <alignment horizontal="center" vertical="center"/>
    </xf>
    <xf numFmtId="166" fontId="68" fillId="4" borderId="23" xfId="4" applyNumberFormat="1" applyFont="1" applyFill="1" applyBorder="1" applyAlignment="1">
      <alignment horizontal="center"/>
    </xf>
    <xf numFmtId="171" fontId="6" fillId="4" borderId="31" xfId="4" applyNumberFormat="1" applyFont="1" applyFill="1" applyBorder="1" applyAlignment="1">
      <alignment horizontal="center" vertical="center"/>
    </xf>
    <xf numFmtId="185" fontId="6" fillId="4" borderId="31" xfId="4" applyNumberFormat="1" applyFont="1" applyFill="1" applyBorder="1" applyAlignment="1">
      <alignment vertical="center"/>
    </xf>
    <xf numFmtId="2" fontId="21" fillId="4" borderId="31" xfId="4" applyNumberFormat="1" applyFont="1" applyFill="1" applyBorder="1" applyAlignment="1">
      <alignment horizontal="center" vertical="center"/>
    </xf>
    <xf numFmtId="0" fontId="44" fillId="4" borderId="0" xfId="26" applyFont="1" applyFill="1"/>
    <xf numFmtId="0" fontId="6" fillId="4" borderId="10" xfId="4" applyFont="1" applyFill="1" applyBorder="1" applyAlignment="1">
      <alignment horizontal="center"/>
    </xf>
    <xf numFmtId="0" fontId="6" fillId="4" borderId="23" xfId="4" applyFont="1" applyFill="1" applyBorder="1"/>
    <xf numFmtId="0" fontId="44" fillId="4" borderId="23" xfId="26" applyFont="1" applyFill="1" applyBorder="1" applyProtection="1">
      <protection hidden="1"/>
    </xf>
    <xf numFmtId="0" fontId="0" fillId="3" borderId="1" xfId="0" applyFill="1" applyBorder="1" applyAlignment="1">
      <alignment vertical="center"/>
    </xf>
    <xf numFmtId="0" fontId="7" fillId="4" borderId="0" xfId="2" applyFill="1" applyAlignment="1" applyProtection="1"/>
    <xf numFmtId="0" fontId="5" fillId="0" borderId="14" xfId="2" applyFont="1" applyFill="1" applyBorder="1" applyAlignment="1" applyProtection="1">
      <alignment horizontal="center" vertical="center"/>
    </xf>
    <xf numFmtId="0" fontId="5" fillId="4" borderId="29" xfId="2" applyFont="1" applyFill="1" applyBorder="1" applyAlignment="1" applyProtection="1">
      <alignment horizontal="center" vertical="center"/>
    </xf>
    <xf numFmtId="0" fontId="0" fillId="4" borderId="29" xfId="0" applyFill="1" applyBorder="1"/>
    <xf numFmtId="0" fontId="44" fillId="4" borderId="9" xfId="26" applyFont="1" applyFill="1" applyBorder="1" applyProtection="1">
      <protection hidden="1"/>
    </xf>
    <xf numFmtId="0" fontId="6" fillId="6" borderId="28" xfId="4" applyFont="1" applyFill="1" applyBorder="1" applyAlignment="1">
      <alignment horizontal="centerContinuous"/>
    </xf>
    <xf numFmtId="0" fontId="6" fillId="6" borderId="30" xfId="4" applyFont="1" applyFill="1" applyBorder="1" applyAlignment="1">
      <alignment horizontal="centerContinuous"/>
    </xf>
    <xf numFmtId="0" fontId="13" fillId="8" borderId="10" xfId="6" applyFont="1" applyFill="1" applyBorder="1" applyAlignment="1">
      <alignment horizontal="centerContinuous" vertical="center"/>
    </xf>
    <xf numFmtId="0" fontId="13" fillId="8" borderId="23" xfId="6" applyFont="1" applyFill="1" applyBorder="1" applyAlignment="1">
      <alignment horizontal="centerContinuous" vertical="center"/>
    </xf>
    <xf numFmtId="0" fontId="6" fillId="4" borderId="28" xfId="21" applyFont="1" applyFill="1" applyBorder="1"/>
    <xf numFmtId="0" fontId="6" fillId="4" borderId="29" xfId="21" applyFont="1" applyFill="1" applyBorder="1"/>
    <xf numFmtId="0" fontId="6" fillId="4" borderId="29" xfId="21" applyFont="1" applyFill="1" applyBorder="1" applyAlignment="1">
      <alignment vertical="center"/>
    </xf>
    <xf numFmtId="0" fontId="6" fillId="4" borderId="30" xfId="21" applyFont="1" applyFill="1" applyBorder="1"/>
    <xf numFmtId="0" fontId="0" fillId="4" borderId="30" xfId="0" applyFill="1" applyBorder="1"/>
    <xf numFmtId="0" fontId="44" fillId="4" borderId="10" xfId="26" applyFont="1" applyFill="1" applyBorder="1" applyProtection="1">
      <protection hidden="1"/>
    </xf>
    <xf numFmtId="0" fontId="44" fillId="4" borderId="14" xfId="26" applyFont="1" applyFill="1" applyBorder="1" applyProtection="1">
      <protection hidden="1"/>
    </xf>
    <xf numFmtId="0" fontId="6" fillId="4" borderId="10" xfId="21" applyFont="1" applyFill="1" applyBorder="1"/>
    <xf numFmtId="0" fontId="0" fillId="4" borderId="23" xfId="0" applyFill="1" applyBorder="1"/>
    <xf numFmtId="0" fontId="65" fillId="0" borderId="52" xfId="26" applyFont="1" applyBorder="1" applyAlignment="1" applyProtection="1">
      <alignment horizontal="right" vertical="center" indent="1"/>
      <protection locked="0"/>
    </xf>
    <xf numFmtId="0" fontId="57" fillId="6" borderId="14" xfId="2" applyFont="1" applyFill="1" applyBorder="1" applyAlignment="1" applyProtection="1">
      <alignment horizontal="center" vertical="center"/>
    </xf>
    <xf numFmtId="0" fontId="21" fillId="6" borderId="28" xfId="21" applyFont="1" applyFill="1" applyBorder="1" applyAlignment="1">
      <alignment horizontal="centerContinuous" vertical="center"/>
    </xf>
    <xf numFmtId="0" fontId="21" fillId="6" borderId="29" xfId="21" applyFont="1" applyFill="1" applyBorder="1" applyAlignment="1">
      <alignment horizontal="centerContinuous" vertical="center"/>
    </xf>
    <xf numFmtId="183" fontId="6" fillId="13" borderId="10" xfId="26" applyNumberFormat="1" applyFill="1" applyBorder="1" applyAlignment="1" applyProtection="1">
      <alignment horizontal="center" vertical="center"/>
      <protection hidden="1"/>
    </xf>
    <xf numFmtId="166" fontId="69" fillId="4" borderId="31" xfId="4" applyNumberFormat="1" applyFont="1" applyFill="1" applyBorder="1" applyAlignment="1">
      <alignment horizontal="center" vertical="center"/>
    </xf>
    <xf numFmtId="166" fontId="21" fillId="4" borderId="31" xfId="4" applyNumberFormat="1" applyFont="1" applyFill="1" applyBorder="1" applyAlignment="1">
      <alignment horizontal="center"/>
    </xf>
    <xf numFmtId="0" fontId="44" fillId="4" borderId="29" xfId="26" applyFont="1" applyFill="1" applyBorder="1" applyProtection="1">
      <protection hidden="1"/>
    </xf>
    <xf numFmtId="0" fontId="44" fillId="4" borderId="30" xfId="26" applyFont="1" applyFill="1" applyBorder="1" applyProtection="1">
      <protection hidden="1"/>
    </xf>
    <xf numFmtId="0" fontId="6" fillId="4" borderId="28" xfId="4" applyFont="1" applyFill="1" applyBorder="1"/>
    <xf numFmtId="0" fontId="21" fillId="4" borderId="28" xfId="4" applyFont="1" applyFill="1" applyBorder="1"/>
    <xf numFmtId="0" fontId="6" fillId="4" borderId="30" xfId="4" applyFont="1" applyFill="1" applyBorder="1"/>
    <xf numFmtId="0" fontId="6" fillId="4" borderId="40" xfId="0" applyFont="1" applyFill="1" applyBorder="1" applyAlignment="1">
      <alignment horizontal="right" vertical="center"/>
    </xf>
    <xf numFmtId="0" fontId="0" fillId="4" borderId="40" xfId="0" applyFill="1" applyBorder="1"/>
    <xf numFmtId="0" fontId="0" fillId="4" borderId="48" xfId="0" applyFill="1" applyBorder="1"/>
    <xf numFmtId="3" fontId="5" fillId="4" borderId="14" xfId="2" applyNumberFormat="1" applyFont="1" applyFill="1" applyBorder="1" applyAlignment="1" applyProtection="1">
      <alignment horizontal="center" vertical="center"/>
    </xf>
    <xf numFmtId="178" fontId="0" fillId="4" borderId="14" xfId="0" applyNumberFormat="1" applyFill="1" applyBorder="1" applyAlignment="1">
      <alignment horizontal="center" vertical="center"/>
    </xf>
    <xf numFmtId="0" fontId="5" fillId="4" borderId="10" xfId="2" applyFont="1" applyFill="1" applyBorder="1" applyAlignment="1" applyProtection="1">
      <alignment horizontal="left" vertical="center" indent="1"/>
    </xf>
    <xf numFmtId="0" fontId="5" fillId="4" borderId="23" xfId="2" applyFont="1" applyFill="1" applyBorder="1" applyAlignment="1" applyProtection="1">
      <alignment horizontal="left" vertical="center" indent="1"/>
    </xf>
    <xf numFmtId="0" fontId="16" fillId="4" borderId="10" xfId="2" applyFont="1" applyFill="1" applyBorder="1" applyAlignment="1" applyProtection="1">
      <alignment horizontal="left" vertical="center" indent="1"/>
    </xf>
    <xf numFmtId="0" fontId="16" fillId="4" borderId="23" xfId="2" applyFont="1" applyFill="1" applyBorder="1" applyAlignment="1" applyProtection="1">
      <alignment horizontal="left" vertical="center" indent="1"/>
    </xf>
    <xf numFmtId="0" fontId="0" fillId="4" borderId="14" xfId="0" applyFill="1" applyBorder="1"/>
    <xf numFmtId="184" fontId="6" fillId="13" borderId="14" xfId="26" applyNumberFormat="1" applyFill="1" applyBorder="1" applyAlignment="1" applyProtection="1">
      <alignment horizontal="center" vertical="center"/>
      <protection hidden="1"/>
    </xf>
    <xf numFmtId="43" fontId="6" fillId="4" borderId="0" xfId="27" applyFont="1" applyFill="1" applyBorder="1"/>
    <xf numFmtId="0" fontId="6" fillId="4" borderId="77" xfId="21" applyFont="1" applyFill="1" applyBorder="1" applyAlignment="1">
      <alignment vertical="center"/>
    </xf>
    <xf numFmtId="0" fontId="6" fillId="4" borderId="11" xfId="21" applyFont="1" applyFill="1" applyBorder="1"/>
    <xf numFmtId="0" fontId="6" fillId="4" borderId="9" xfId="21" applyFont="1" applyFill="1" applyBorder="1"/>
    <xf numFmtId="0" fontId="6" fillId="0" borderId="52" xfId="0" applyFont="1" applyBorder="1" applyAlignment="1" applyProtection="1">
      <alignment horizontal="left" vertical="center" wrapText="1" indent="1"/>
      <protection locked="0"/>
    </xf>
    <xf numFmtId="0" fontId="36" fillId="3" borderId="1" xfId="0" applyFont="1" applyFill="1" applyBorder="1" applyAlignment="1">
      <alignment horizontal="centerContinuous" vertical="center"/>
    </xf>
    <xf numFmtId="0" fontId="9" fillId="12" borderId="41" xfId="21" applyFont="1" applyFill="1" applyBorder="1" applyAlignment="1">
      <alignment horizontal="centerContinuous" vertical="center"/>
    </xf>
    <xf numFmtId="0" fontId="9" fillId="12" borderId="39" xfId="21" applyFont="1" applyFill="1" applyBorder="1" applyAlignment="1">
      <alignment horizontal="centerContinuous" vertical="center"/>
    </xf>
    <xf numFmtId="0" fontId="23" fillId="12" borderId="39" xfId="21" applyFont="1" applyFill="1" applyBorder="1" applyAlignment="1">
      <alignment horizontal="centerContinuous"/>
    </xf>
    <xf numFmtId="0" fontId="23" fillId="12" borderId="39" xfId="21" applyFont="1" applyFill="1" applyBorder="1"/>
    <xf numFmtId="0" fontId="23" fillId="12" borderId="39" xfId="21" applyFont="1" applyFill="1" applyBorder="1" applyAlignment="1">
      <alignment horizontal="left"/>
    </xf>
    <xf numFmtId="0" fontId="6" fillId="12" borderId="39" xfId="21" applyFont="1" applyFill="1" applyBorder="1"/>
    <xf numFmtId="0" fontId="60" fillId="4" borderId="0" xfId="0" applyFont="1" applyFill="1" applyAlignment="1">
      <alignment vertical="center"/>
    </xf>
    <xf numFmtId="0" fontId="6" fillId="4" borderId="43" xfId="21" applyFont="1" applyFill="1" applyBorder="1"/>
    <xf numFmtId="0" fontId="6" fillId="4" borderId="44" xfId="21" applyFont="1" applyFill="1" applyBorder="1"/>
    <xf numFmtId="0" fontId="6" fillId="4" borderId="40" xfId="21" applyFont="1" applyFill="1" applyBorder="1"/>
    <xf numFmtId="0" fontId="6" fillId="4" borderId="38" xfId="21" applyFont="1" applyFill="1" applyBorder="1"/>
    <xf numFmtId="0" fontId="6" fillId="4" borderId="48" xfId="21" applyFont="1" applyFill="1" applyBorder="1"/>
    <xf numFmtId="0" fontId="6" fillId="4" borderId="50" xfId="21" applyFont="1" applyFill="1" applyBorder="1"/>
    <xf numFmtId="182" fontId="25" fillId="4" borderId="43" xfId="21" applyNumberFormat="1" applyFont="1" applyFill="1" applyBorder="1"/>
    <xf numFmtId="43" fontId="25" fillId="4" borderId="43" xfId="21" applyNumberFormat="1" applyFont="1" applyFill="1" applyBorder="1"/>
    <xf numFmtId="0" fontId="63" fillId="4" borderId="0" xfId="21" applyFont="1" applyFill="1" applyAlignment="1">
      <alignment horizontal="left" vertical="center" indent="1"/>
    </xf>
    <xf numFmtId="0" fontId="63" fillId="4" borderId="40" xfId="21" applyFont="1" applyFill="1" applyBorder="1" applyAlignment="1">
      <alignment horizontal="left" vertical="center" indent="1"/>
    </xf>
    <xf numFmtId="0" fontId="6" fillId="4" borderId="51" xfId="21" applyFont="1" applyFill="1" applyBorder="1"/>
    <xf numFmtId="0" fontId="6" fillId="3" borderId="0" xfId="21" applyFont="1" applyFill="1"/>
    <xf numFmtId="186" fontId="6" fillId="0" borderId="52" xfId="21" applyNumberFormat="1" applyFont="1" applyBorder="1" applyAlignment="1" applyProtection="1">
      <alignment horizontal="center" vertical="center"/>
      <protection locked="0"/>
    </xf>
    <xf numFmtId="183" fontId="6" fillId="0" borderId="52" xfId="21" applyNumberFormat="1" applyFont="1" applyBorder="1" applyAlignment="1" applyProtection="1">
      <alignment horizontal="center" vertical="center"/>
      <protection locked="0"/>
    </xf>
    <xf numFmtId="0" fontId="6" fillId="0" borderId="52" xfId="0" applyFont="1" applyBorder="1" applyAlignment="1" applyProtection="1">
      <alignment horizontal="right" vertical="center" wrapText="1" indent="1"/>
      <protection locked="0"/>
    </xf>
    <xf numFmtId="0" fontId="12" fillId="4" borderId="0" xfId="0" applyFont="1" applyFill="1" applyAlignment="1">
      <alignment horizontal="center" vertical="center"/>
    </xf>
    <xf numFmtId="0" fontId="58" fillId="4" borderId="52" xfId="0" applyFont="1" applyFill="1" applyBorder="1" applyAlignment="1">
      <alignment horizontal="center" vertical="center"/>
    </xf>
    <xf numFmtId="0" fontId="6" fillId="4" borderId="40" xfId="0" applyFont="1" applyFill="1" applyBorder="1" applyAlignment="1">
      <alignment vertical="center"/>
    </xf>
    <xf numFmtId="0" fontId="6" fillId="4" borderId="0" xfId="0" applyFont="1" applyFill="1" applyAlignment="1">
      <alignment horizontal="right" vertical="center" wrapText="1" indent="1"/>
    </xf>
    <xf numFmtId="0" fontId="0" fillId="4" borderId="40" xfId="0" applyFill="1" applyBorder="1" applyAlignment="1">
      <alignment vertical="center"/>
    </xf>
    <xf numFmtId="0" fontId="6" fillId="4" borderId="40" xfId="0" applyFont="1" applyFill="1" applyBorder="1" applyAlignment="1">
      <alignment horizontal="right" vertical="top"/>
    </xf>
    <xf numFmtId="0" fontId="0" fillId="4" borderId="0" xfId="0" applyFill="1" applyAlignment="1">
      <alignment vertical="top"/>
    </xf>
    <xf numFmtId="176" fontId="0" fillId="0" borderId="71" xfId="0" applyNumberFormat="1" applyBorder="1" applyAlignment="1" applyProtection="1">
      <alignment horizontal="right" vertical="center" indent="1"/>
      <protection locked="0"/>
    </xf>
    <xf numFmtId="0" fontId="58" fillId="0" borderId="52" xfId="4" applyFont="1" applyBorder="1" applyAlignment="1" applyProtection="1">
      <alignment horizontal="right" vertical="center" indent="1"/>
      <protection locked="0"/>
    </xf>
    <xf numFmtId="171" fontId="61" fillId="13" borderId="42" xfId="26" applyNumberFormat="1" applyFont="1" applyFill="1" applyBorder="1" applyAlignment="1">
      <alignment horizontal="left" vertical="center" indent="1"/>
    </xf>
    <xf numFmtId="171" fontId="61" fillId="13" borderId="43" xfId="26" applyNumberFormat="1" applyFont="1" applyFill="1" applyBorder="1" applyAlignment="1">
      <alignment horizontal="left" vertical="center" indent="1"/>
    </xf>
    <xf numFmtId="4" fontId="62" fillId="4" borderId="43" xfId="26" applyNumberFormat="1" applyFont="1" applyFill="1" applyBorder="1" applyAlignment="1">
      <alignment horizontal="center" vertical="center"/>
    </xf>
    <xf numFmtId="0" fontId="6" fillId="4" borderId="43" xfId="26" applyFill="1" applyBorder="1"/>
    <xf numFmtId="0" fontId="64" fillId="4" borderId="0" xfId="26" applyFont="1" applyFill="1" applyAlignment="1">
      <alignment horizontal="left" vertical="center"/>
    </xf>
    <xf numFmtId="0" fontId="71" fillId="4" borderId="0" xfId="26" applyFont="1" applyFill="1" applyAlignment="1">
      <alignment vertical="center"/>
    </xf>
    <xf numFmtId="0" fontId="71" fillId="4" borderId="40" xfId="26" applyFont="1" applyFill="1" applyBorder="1" applyAlignment="1">
      <alignment vertical="center"/>
    </xf>
    <xf numFmtId="171" fontId="63" fillId="13" borderId="0" xfId="26" applyNumberFormat="1" applyFont="1" applyFill="1" applyAlignment="1">
      <alignment vertical="center"/>
    </xf>
    <xf numFmtId="0" fontId="63" fillId="4" borderId="0" xfId="26" applyFont="1" applyFill="1"/>
    <xf numFmtId="0" fontId="63" fillId="4" borderId="40" xfId="26" applyFont="1" applyFill="1" applyBorder="1"/>
    <xf numFmtId="0" fontId="63" fillId="13" borderId="0" xfId="26" applyFont="1" applyFill="1" applyAlignment="1">
      <alignment vertical="center"/>
    </xf>
    <xf numFmtId="0" fontId="6" fillId="13" borderId="0" xfId="26" applyFill="1" applyAlignment="1">
      <alignment horizontal="left" vertical="center" indent="1"/>
    </xf>
    <xf numFmtId="0" fontId="63" fillId="13" borderId="0" xfId="26" applyFont="1" applyFill="1" applyAlignment="1">
      <alignment horizontal="left" vertical="center" indent="1"/>
    </xf>
    <xf numFmtId="0" fontId="63" fillId="13" borderId="40" xfId="26" applyFont="1" applyFill="1" applyBorder="1" applyAlignment="1">
      <alignment horizontal="left" vertical="center" indent="1"/>
    </xf>
    <xf numFmtId="0" fontId="61" fillId="13" borderId="42" xfId="26" applyFont="1" applyFill="1" applyBorder="1" applyAlignment="1">
      <alignment horizontal="left" vertical="center" indent="1"/>
    </xf>
    <xf numFmtId="0" fontId="61" fillId="13" borderId="43" xfId="26" applyFont="1" applyFill="1" applyBorder="1" applyAlignment="1">
      <alignment horizontal="left" vertical="center" indent="1"/>
    </xf>
    <xf numFmtId="0" fontId="63" fillId="13" borderId="0" xfId="26" applyFont="1" applyFill="1" applyAlignment="1">
      <alignment horizontal="right" vertical="center"/>
    </xf>
    <xf numFmtId="0" fontId="12" fillId="4" borderId="42" xfId="0" applyFont="1" applyFill="1" applyBorder="1" applyAlignment="1">
      <alignment horizontal="centerContinuous"/>
    </xf>
    <xf numFmtId="0" fontId="0" fillId="4" borderId="43" xfId="0" applyFill="1" applyBorder="1"/>
    <xf numFmtId="0" fontId="0" fillId="4" borderId="44" xfId="0" applyFill="1" applyBorder="1"/>
    <xf numFmtId="0" fontId="59" fillId="4" borderId="0" xfId="0" applyFont="1" applyFill="1" applyAlignment="1">
      <alignment horizontal="left" vertical="center" indent="1"/>
    </xf>
    <xf numFmtId="0" fontId="7" fillId="4" borderId="0" xfId="2" applyFill="1" applyBorder="1" applyAlignment="1" applyProtection="1">
      <alignment vertical="center"/>
    </xf>
    <xf numFmtId="0" fontId="59" fillId="4" borderId="0" xfId="0" applyFont="1" applyFill="1"/>
    <xf numFmtId="0" fontId="0" fillId="4" borderId="0" xfId="0" applyFill="1" applyAlignment="1">
      <alignment horizontal="right" vertical="center" indent="1"/>
    </xf>
    <xf numFmtId="0" fontId="6" fillId="4" borderId="43" xfId="0" applyFont="1" applyFill="1" applyBorder="1" applyAlignment="1">
      <alignment vertical="center"/>
    </xf>
    <xf numFmtId="0" fontId="7" fillId="4" borderId="0" xfId="2" applyFill="1" applyBorder="1" applyAlignment="1" applyProtection="1">
      <alignment horizontal="right" vertical="center"/>
    </xf>
    <xf numFmtId="3" fontId="58" fillId="4" borderId="52" xfId="0" applyNumberFormat="1" applyFont="1" applyFill="1" applyBorder="1" applyAlignment="1">
      <alignment horizontal="right" vertical="center" indent="1"/>
    </xf>
    <xf numFmtId="178" fontId="58" fillId="4" borderId="52" xfId="0" applyNumberFormat="1" applyFont="1" applyFill="1" applyBorder="1" applyAlignment="1">
      <alignment horizontal="right" vertical="center" indent="1"/>
    </xf>
    <xf numFmtId="0" fontId="21" fillId="4" borderId="31" xfId="21" applyFont="1" applyFill="1" applyBorder="1" applyAlignment="1">
      <alignment horizontal="center" vertical="center"/>
    </xf>
    <xf numFmtId="0" fontId="21" fillId="4" borderId="28" xfId="21" applyFont="1" applyFill="1" applyBorder="1" applyAlignment="1">
      <alignment horizontal="center" vertical="center"/>
    </xf>
    <xf numFmtId="0" fontId="21" fillId="4" borderId="30" xfId="21" applyFont="1" applyFill="1" applyBorder="1" applyAlignment="1">
      <alignment horizontal="center" vertical="center"/>
    </xf>
    <xf numFmtId="0" fontId="6" fillId="4" borderId="0" xfId="21" applyFont="1" applyFill="1" applyAlignment="1">
      <alignment vertical="center"/>
    </xf>
    <xf numFmtId="0" fontId="12" fillId="4" borderId="0" xfId="2" applyFont="1" applyFill="1" applyBorder="1" applyAlignment="1" applyProtection="1">
      <alignment horizontal="center" vertical="center"/>
    </xf>
    <xf numFmtId="0" fontId="6" fillId="4" borderId="10" xfId="21" applyFont="1" applyFill="1" applyBorder="1" applyAlignment="1">
      <alignment vertical="center"/>
    </xf>
    <xf numFmtId="0" fontId="6" fillId="4" borderId="13" xfId="21" applyFont="1" applyFill="1" applyBorder="1" applyAlignment="1">
      <alignment horizontal="center" vertical="center" shrinkToFit="1"/>
    </xf>
    <xf numFmtId="0" fontId="6" fillId="4" borderId="14" xfId="21" applyFont="1" applyFill="1" applyBorder="1" applyAlignment="1">
      <alignment horizontal="center" vertical="center" shrinkToFit="1"/>
    </xf>
    <xf numFmtId="0" fontId="0" fillId="0" borderId="52" xfId="4" applyFont="1" applyBorder="1" applyAlignment="1" applyProtection="1">
      <alignment horizontal="right" vertical="center" indent="1"/>
      <protection locked="0"/>
    </xf>
    <xf numFmtId="0" fontId="7" fillId="4" borderId="0" xfId="2" applyFill="1" applyAlignment="1" applyProtection="1">
      <alignment horizontal="left" indent="1"/>
    </xf>
    <xf numFmtId="0" fontId="6" fillId="4" borderId="0" xfId="22" applyNumberFormat="1" applyFont="1" applyFill="1" applyBorder="1" applyAlignment="1" applyProtection="1">
      <alignment horizontal="left" indent="1"/>
    </xf>
    <xf numFmtId="175" fontId="6" fillId="4" borderId="0" xfId="22" applyNumberFormat="1" applyFont="1" applyFill="1" applyBorder="1" applyAlignment="1" applyProtection="1">
      <alignment horizontal="left"/>
    </xf>
    <xf numFmtId="173" fontId="6" fillId="4" borderId="0" xfId="22" applyNumberFormat="1" applyFont="1" applyFill="1" applyBorder="1" applyAlignment="1" applyProtection="1">
      <alignment horizontal="left"/>
    </xf>
    <xf numFmtId="174" fontId="6" fillId="4" borderId="0" xfId="22" applyNumberFormat="1" applyFont="1" applyFill="1" applyBorder="1" applyAlignment="1" applyProtection="1">
      <alignment horizontal="left"/>
    </xf>
    <xf numFmtId="0" fontId="6" fillId="4" borderId="0" xfId="22" applyNumberFormat="1" applyFont="1" applyFill="1" applyBorder="1" applyAlignment="1" applyProtection="1">
      <alignment horizontal="left" wrapText="1"/>
    </xf>
    <xf numFmtId="0" fontId="6" fillId="4" borderId="0" xfId="22" applyNumberFormat="1" applyFont="1" applyFill="1" applyBorder="1" applyAlignment="1" applyProtection="1">
      <alignment horizontal="center" vertical="center"/>
    </xf>
    <xf numFmtId="0" fontId="79" fillId="4" borderId="0" xfId="22" applyNumberFormat="1" applyFont="1" applyFill="1" applyBorder="1" applyAlignment="1" applyProtection="1">
      <alignment horizontal="left"/>
    </xf>
    <xf numFmtId="0" fontId="78" fillId="4" borderId="0" xfId="19" applyFont="1" applyFill="1" applyAlignment="1">
      <alignment horizontal="center"/>
    </xf>
    <xf numFmtId="0" fontId="6" fillId="4" borderId="0" xfId="19" applyFont="1" applyFill="1" applyAlignment="1">
      <alignment horizontal="center"/>
    </xf>
    <xf numFmtId="0" fontId="6" fillId="4" borderId="0" xfId="22" applyNumberFormat="1" applyFont="1" applyFill="1" applyBorder="1" applyAlignment="1" applyProtection="1">
      <alignment vertical="center"/>
    </xf>
    <xf numFmtId="0" fontId="6" fillId="4" borderId="0" xfId="22" applyNumberFormat="1" applyFont="1" applyFill="1" applyBorder="1" applyAlignment="1" applyProtection="1">
      <alignment horizontal="center"/>
    </xf>
    <xf numFmtId="0" fontId="23" fillId="10" borderId="39" xfId="21" applyFont="1" applyFill="1" applyBorder="1" applyAlignment="1">
      <alignment horizontal="center"/>
    </xf>
    <xf numFmtId="0" fontId="13" fillId="8" borderId="28" xfId="6" applyFont="1" applyFill="1" applyBorder="1" applyAlignment="1">
      <alignment horizontal="center" vertical="center"/>
    </xf>
    <xf numFmtId="2" fontId="6" fillId="4" borderId="31" xfId="4" applyNumberFormat="1" applyFont="1" applyFill="1" applyBorder="1" applyAlignment="1">
      <alignment horizontal="center" vertical="center"/>
    </xf>
    <xf numFmtId="166" fontId="6" fillId="4" borderId="31" xfId="4" applyNumberFormat="1" applyFont="1" applyFill="1" applyBorder="1" applyAlignment="1">
      <alignment horizontal="center" vertical="center"/>
    </xf>
    <xf numFmtId="166" fontId="67" fillId="4" borderId="31" xfId="4" applyNumberFormat="1" applyFont="1" applyFill="1" applyBorder="1" applyAlignment="1">
      <alignment horizontal="center"/>
    </xf>
    <xf numFmtId="0" fontId="6" fillId="4" borderId="31" xfId="4" applyFont="1" applyFill="1" applyBorder="1" applyAlignment="1">
      <alignment horizontal="center"/>
    </xf>
    <xf numFmtId="0" fontId="44" fillId="4" borderId="31" xfId="26" applyFont="1" applyFill="1" applyBorder="1" applyAlignment="1" applyProtection="1">
      <alignment horizontal="center"/>
      <protection hidden="1"/>
    </xf>
    <xf numFmtId="190" fontId="0" fillId="4" borderId="0" xfId="0" applyNumberFormat="1" applyFill="1"/>
    <xf numFmtId="189" fontId="44" fillId="4" borderId="29" xfId="26" applyNumberFormat="1" applyFont="1" applyFill="1" applyBorder="1" applyAlignment="1" applyProtection="1">
      <alignment horizontal="center" vertical="center"/>
      <protection hidden="1"/>
    </xf>
    <xf numFmtId="0" fontId="44" fillId="4" borderId="31" xfId="26" applyFont="1" applyFill="1" applyBorder="1" applyAlignment="1" applyProtection="1">
      <alignment horizontal="center" vertical="center"/>
      <protection hidden="1"/>
    </xf>
    <xf numFmtId="192" fontId="0" fillId="4" borderId="31" xfId="0" applyNumberFormat="1" applyFill="1" applyBorder="1" applyAlignment="1">
      <alignment horizontal="center" vertical="center"/>
    </xf>
    <xf numFmtId="171" fontId="0" fillId="4" borderId="31" xfId="0" applyNumberFormat="1" applyFill="1" applyBorder="1" applyAlignment="1">
      <alignment horizontal="center" vertical="center"/>
    </xf>
    <xf numFmtId="191" fontId="0" fillId="4" borderId="31" xfId="0" applyNumberFormat="1" applyFill="1" applyBorder="1" applyAlignment="1">
      <alignment horizontal="center" vertical="center"/>
    </xf>
    <xf numFmtId="165" fontId="21" fillId="4" borderId="31" xfId="4" applyNumberFormat="1" applyFont="1" applyFill="1" applyBorder="1" applyAlignment="1">
      <alignment horizontal="center"/>
    </xf>
    <xf numFmtId="189" fontId="44" fillId="4" borderId="31" xfId="26" applyNumberFormat="1" applyFont="1" applyFill="1" applyBorder="1" applyAlignment="1" applyProtection="1">
      <alignment horizontal="center" vertical="center"/>
      <protection hidden="1"/>
    </xf>
    <xf numFmtId="0" fontId="5" fillId="0" borderId="23" xfId="2" applyFont="1" applyFill="1" applyBorder="1" applyAlignment="1" applyProtection="1">
      <alignment horizontal="center" vertical="center"/>
    </xf>
    <xf numFmtId="0" fontId="0" fillId="4" borderId="23" xfId="0" applyFill="1" applyBorder="1" applyAlignment="1">
      <alignment vertical="center" shrinkToFit="1"/>
    </xf>
    <xf numFmtId="0" fontId="0" fillId="4" borderId="23" xfId="2" applyFont="1" applyFill="1" applyBorder="1" applyAlignment="1" applyProtection="1">
      <alignment vertical="center" shrinkToFit="1"/>
    </xf>
    <xf numFmtId="0" fontId="5" fillId="4" borderId="23" xfId="2" applyFont="1" applyFill="1" applyBorder="1" applyAlignment="1" applyProtection="1">
      <alignment horizontal="center" vertical="center" shrinkToFit="1"/>
    </xf>
    <xf numFmtId="176" fontId="6" fillId="4" borderId="14" xfId="4" applyNumberFormat="1" applyFont="1" applyFill="1" applyBorder="1" applyAlignment="1">
      <alignment horizontal="center" vertical="center"/>
    </xf>
    <xf numFmtId="181" fontId="6" fillId="4" borderId="23" xfId="4" applyNumberFormat="1" applyFont="1" applyFill="1" applyBorder="1" applyAlignment="1">
      <alignment horizontal="center" vertical="center"/>
    </xf>
    <xf numFmtId="0" fontId="0" fillId="4" borderId="14" xfId="0" applyFill="1" applyBorder="1" applyAlignment="1">
      <alignment horizontal="left" vertical="center" indent="1"/>
    </xf>
    <xf numFmtId="164" fontId="6" fillId="4" borderId="0" xfId="21" applyNumberFormat="1" applyFont="1" applyFill="1"/>
    <xf numFmtId="41" fontId="65" fillId="13" borderId="0" xfId="26" applyNumberFormat="1" applyFont="1" applyFill="1" applyAlignment="1">
      <alignment vertical="center" shrinkToFit="1"/>
    </xf>
    <xf numFmtId="188" fontId="65" fillId="13" borderId="0" xfId="26" applyNumberFormat="1" applyFont="1" applyFill="1" applyAlignment="1">
      <alignment vertical="center" shrinkToFit="1"/>
    </xf>
    <xf numFmtId="3" fontId="21" fillId="4" borderId="14" xfId="2" applyNumberFormat="1" applyFont="1" applyFill="1" applyBorder="1" applyAlignment="1" applyProtection="1">
      <alignment horizontal="center" vertical="center"/>
    </xf>
    <xf numFmtId="3" fontId="21" fillId="4" borderId="14" xfId="0" applyNumberFormat="1" applyFont="1" applyFill="1" applyBorder="1" applyAlignment="1">
      <alignment horizontal="center" vertical="center"/>
    </xf>
    <xf numFmtId="193" fontId="5" fillId="4" borderId="14" xfId="2" applyNumberFormat="1" applyFont="1" applyFill="1" applyBorder="1" applyAlignment="1" applyProtection="1">
      <alignment horizontal="center" vertical="center"/>
    </xf>
    <xf numFmtId="193" fontId="21" fillId="4" borderId="14" xfId="2" applyNumberFormat="1" applyFont="1" applyFill="1" applyBorder="1" applyAlignment="1" applyProtection="1">
      <alignment horizontal="center" vertical="center"/>
    </xf>
    <xf numFmtId="193" fontId="0" fillId="4" borderId="14" xfId="2" applyNumberFormat="1" applyFont="1" applyFill="1" applyBorder="1" applyAlignment="1" applyProtection="1">
      <alignment horizontal="center" vertical="center"/>
    </xf>
    <xf numFmtId="193" fontId="0" fillId="4" borderId="14" xfId="0" applyNumberFormat="1" applyFill="1" applyBorder="1" applyAlignment="1">
      <alignment horizontal="center" vertical="center"/>
    </xf>
    <xf numFmtId="193" fontId="21" fillId="4" borderId="14" xfId="0" applyNumberFormat="1" applyFont="1" applyFill="1" applyBorder="1" applyAlignment="1">
      <alignment horizontal="center" vertical="center"/>
    </xf>
    <xf numFmtId="179" fontId="0" fillId="4" borderId="0" xfId="0" applyNumberFormat="1" applyFill="1" applyAlignment="1">
      <alignment horizontal="center" vertical="center"/>
    </xf>
    <xf numFmtId="194" fontId="0" fillId="4" borderId="31" xfId="0" applyNumberFormat="1" applyFill="1" applyBorder="1" applyAlignment="1">
      <alignment horizontal="center" vertical="center"/>
    </xf>
    <xf numFmtId="194" fontId="0" fillId="0" borderId="52" xfId="0" applyNumberFormat="1" applyBorder="1" applyAlignment="1" applyProtection="1">
      <alignment horizontal="right" vertical="center" indent="1"/>
      <protection locked="0"/>
    </xf>
    <xf numFmtId="194" fontId="0" fillId="4" borderId="0" xfId="0" applyNumberFormat="1" applyFill="1" applyAlignment="1">
      <alignment horizontal="right" vertical="center" indent="1"/>
    </xf>
    <xf numFmtId="0" fontId="6" fillId="4" borderId="0" xfId="0" applyFont="1" applyFill="1" applyAlignment="1" applyProtection="1">
      <alignment vertical="center" wrapText="1"/>
      <protection locked="0"/>
    </xf>
    <xf numFmtId="0" fontId="6" fillId="0" borderId="52" xfId="0" applyFont="1" applyBorder="1" applyAlignment="1" applyProtection="1">
      <alignment horizontal="center" vertical="center" wrapText="1"/>
      <protection locked="0"/>
    </xf>
    <xf numFmtId="0" fontId="21" fillId="6" borderId="30" xfId="21" applyFont="1" applyFill="1" applyBorder="1" applyAlignment="1">
      <alignment horizontal="centerContinuous" vertical="center"/>
    </xf>
    <xf numFmtId="0" fontId="21" fillId="4" borderId="84" xfId="0" applyFont="1" applyFill="1" applyBorder="1"/>
    <xf numFmtId="0" fontId="21" fillId="4" borderId="82" xfId="0" applyFont="1" applyFill="1" applyBorder="1"/>
    <xf numFmtId="0" fontId="21" fillId="6" borderId="31" xfId="0" applyFont="1" applyFill="1" applyBorder="1" applyAlignment="1">
      <alignment horizontal="center" vertical="center"/>
    </xf>
    <xf numFmtId="0" fontId="21" fillId="6" borderId="30" xfId="0" applyFont="1" applyFill="1" applyBorder="1" applyAlignment="1">
      <alignment horizontal="center" vertical="center"/>
    </xf>
    <xf numFmtId="171" fontId="0" fillId="4" borderId="14" xfId="0" applyNumberFormat="1" applyFill="1" applyBorder="1"/>
    <xf numFmtId="166" fontId="6" fillId="4" borderId="14" xfId="21" applyNumberFormat="1" applyFont="1" applyFill="1" applyBorder="1" applyAlignment="1">
      <alignment vertical="center"/>
    </xf>
    <xf numFmtId="171" fontId="6" fillId="4" borderId="14" xfId="21" applyNumberFormat="1" applyFont="1" applyFill="1" applyBorder="1" applyAlignment="1">
      <alignment vertical="center"/>
    </xf>
    <xf numFmtId="195" fontId="0" fillId="4" borderId="0" xfId="4" applyNumberFormat="1" applyFont="1" applyFill="1" applyAlignment="1">
      <alignment vertical="center"/>
    </xf>
    <xf numFmtId="196" fontId="0" fillId="4" borderId="0" xfId="4" applyNumberFormat="1" applyFont="1" applyFill="1" applyAlignment="1">
      <alignment vertical="center"/>
    </xf>
    <xf numFmtId="0" fontId="12" fillId="4" borderId="31" xfId="0" applyFont="1" applyFill="1" applyBorder="1"/>
    <xf numFmtId="0" fontId="64" fillId="4" borderId="42" xfId="26" applyFont="1" applyFill="1" applyBorder="1" applyAlignment="1">
      <alignment horizontal="left" vertical="center"/>
    </xf>
    <xf numFmtId="0" fontId="63" fillId="4" borderId="0" xfId="26" applyFont="1" applyFill="1" applyAlignment="1">
      <alignment horizontal="left" vertical="center"/>
    </xf>
    <xf numFmtId="187" fontId="6" fillId="4" borderId="40" xfId="21" applyNumberFormat="1" applyFont="1" applyFill="1" applyBorder="1" applyAlignment="1">
      <alignment horizontal="left" vertical="center" indent="1"/>
    </xf>
    <xf numFmtId="0" fontId="0" fillId="4" borderId="87" xfId="0" applyFill="1" applyBorder="1"/>
    <xf numFmtId="0" fontId="6" fillId="4" borderId="87" xfId="22" applyNumberFormat="1" applyFont="1" applyFill="1" applyBorder="1" applyAlignment="1" applyProtection="1">
      <alignment horizontal="left" indent="1"/>
    </xf>
    <xf numFmtId="0" fontId="0" fillId="4" borderId="88" xfId="0" applyFill="1" applyBorder="1"/>
    <xf numFmtId="0" fontId="6" fillId="4" borderId="88" xfId="22" applyNumberFormat="1" applyFont="1" applyFill="1" applyBorder="1" applyAlignment="1" applyProtection="1">
      <alignment horizontal="left" indent="1"/>
    </xf>
    <xf numFmtId="0" fontId="0" fillId="4" borderId="88" xfId="4" applyFont="1" applyFill="1" applyBorder="1" applyAlignment="1">
      <alignment vertical="center"/>
    </xf>
    <xf numFmtId="0" fontId="12" fillId="4" borderId="31" xfId="0" applyFont="1" applyFill="1" applyBorder="1" applyAlignment="1">
      <alignment vertical="center"/>
    </xf>
    <xf numFmtId="0" fontId="12" fillId="4" borderId="31" xfId="0" applyFont="1" applyFill="1" applyBorder="1" applyAlignment="1">
      <alignment horizontal="left" vertical="center" indent="1"/>
    </xf>
    <xf numFmtId="175" fontId="6" fillId="4" borderId="87" xfId="22" applyNumberFormat="1" applyFont="1" applyFill="1" applyBorder="1" applyAlignment="1" applyProtection="1">
      <alignment horizontal="left" indent="1"/>
    </xf>
    <xf numFmtId="174" fontId="6" fillId="4" borderId="88" xfId="22" applyNumberFormat="1" applyFont="1" applyFill="1" applyBorder="1" applyAlignment="1" applyProtection="1">
      <alignment horizontal="left" indent="1"/>
    </xf>
    <xf numFmtId="175" fontId="6" fillId="4" borderId="88" xfId="22" applyNumberFormat="1" applyFont="1" applyFill="1" applyBorder="1" applyAlignment="1" applyProtection="1">
      <alignment horizontal="left" indent="1"/>
    </xf>
    <xf numFmtId="0" fontId="6" fillId="4" borderId="88" xfId="22" applyNumberFormat="1" applyFont="1" applyFill="1" applyBorder="1" applyAlignment="1" applyProtection="1">
      <alignment horizontal="left" wrapText="1" indent="1"/>
    </xf>
    <xf numFmtId="0" fontId="0" fillId="4" borderId="88" xfId="0" applyFill="1" applyBorder="1" applyAlignment="1">
      <alignment horizontal="left" indent="1"/>
    </xf>
    <xf numFmtId="167" fontId="0" fillId="4" borderId="88" xfId="0" applyNumberFormat="1" applyFill="1" applyBorder="1" applyAlignment="1">
      <alignment horizontal="left" indent="1"/>
    </xf>
    <xf numFmtId="168" fontId="0" fillId="4" borderId="88" xfId="0" applyNumberFormat="1" applyFill="1" applyBorder="1" applyAlignment="1">
      <alignment horizontal="left" indent="1"/>
    </xf>
    <xf numFmtId="40" fontId="0" fillId="4" borderId="88" xfId="0" applyNumberFormat="1" applyFill="1" applyBorder="1" applyAlignment="1">
      <alignment horizontal="left" indent="1"/>
    </xf>
    <xf numFmtId="169" fontId="0" fillId="4" borderId="88" xfId="0" applyNumberFormat="1" applyFill="1" applyBorder="1" applyAlignment="1">
      <alignment horizontal="left" indent="1"/>
    </xf>
    <xf numFmtId="166" fontId="0" fillId="4" borderId="88" xfId="0" applyNumberFormat="1" applyFill="1" applyBorder="1" applyAlignment="1">
      <alignment horizontal="left" indent="1"/>
    </xf>
    <xf numFmtId="165" fontId="0" fillId="4" borderId="88" xfId="0" applyNumberFormat="1" applyFill="1" applyBorder="1" applyAlignment="1">
      <alignment horizontal="left" indent="1"/>
    </xf>
    <xf numFmtId="2" fontId="0" fillId="4" borderId="88" xfId="0" applyNumberFormat="1" applyFill="1" applyBorder="1" applyAlignment="1">
      <alignment horizontal="left" indent="1"/>
    </xf>
    <xf numFmtId="172" fontId="0" fillId="4" borderId="88" xfId="0" applyNumberFormat="1" applyFill="1" applyBorder="1" applyAlignment="1">
      <alignment horizontal="left" indent="1"/>
    </xf>
    <xf numFmtId="167" fontId="0" fillId="4" borderId="88" xfId="4" applyNumberFormat="1" applyFont="1" applyFill="1" applyBorder="1" applyAlignment="1">
      <alignment horizontal="left" vertical="center" indent="1"/>
    </xf>
    <xf numFmtId="169" fontId="0" fillId="4" borderId="88" xfId="4" applyNumberFormat="1" applyFont="1" applyFill="1" applyBorder="1" applyAlignment="1">
      <alignment horizontal="left" vertical="center" indent="1"/>
    </xf>
    <xf numFmtId="170" fontId="0" fillId="4" borderId="88" xfId="4" applyNumberFormat="1" applyFont="1" applyFill="1" applyBorder="1" applyAlignment="1">
      <alignment horizontal="left" vertical="center" indent="1"/>
    </xf>
    <xf numFmtId="168" fontId="0" fillId="4" borderId="88" xfId="4" applyNumberFormat="1" applyFont="1" applyFill="1" applyBorder="1" applyAlignment="1">
      <alignment horizontal="left" vertical="center" indent="1"/>
    </xf>
    <xf numFmtId="40" fontId="0" fillId="4" borderId="88" xfId="4" applyNumberFormat="1" applyFont="1" applyFill="1" applyBorder="1" applyAlignment="1">
      <alignment horizontal="left" vertical="center" indent="1"/>
    </xf>
    <xf numFmtId="0" fontId="12" fillId="4" borderId="30" xfId="0" applyFont="1" applyFill="1" applyBorder="1"/>
    <xf numFmtId="0" fontId="0" fillId="4" borderId="89" xfId="0" applyFill="1" applyBorder="1"/>
    <xf numFmtId="0" fontId="0" fillId="4" borderId="90" xfId="0" applyFill="1" applyBorder="1"/>
    <xf numFmtId="0" fontId="0" fillId="4" borderId="91" xfId="0" applyFill="1" applyBorder="1"/>
    <xf numFmtId="0" fontId="21" fillId="4" borderId="89" xfId="22" applyNumberFormat="1" applyFont="1" applyFill="1" applyBorder="1" applyAlignment="1" applyProtection="1"/>
    <xf numFmtId="0" fontId="0" fillId="4" borderId="62" xfId="0" applyFill="1" applyBorder="1"/>
    <xf numFmtId="0" fontId="0" fillId="4" borderId="61" xfId="0" applyFill="1" applyBorder="1"/>
    <xf numFmtId="0" fontId="0" fillId="4" borderId="64" xfId="0" applyFill="1" applyBorder="1"/>
    <xf numFmtId="0" fontId="21" fillId="4" borderId="62" xfId="22" applyNumberFormat="1" applyFont="1" applyFill="1" applyBorder="1" applyAlignment="1" applyProtection="1"/>
    <xf numFmtId="0" fontId="0" fillId="4" borderId="92" xfId="0" applyFill="1" applyBorder="1"/>
    <xf numFmtId="0" fontId="6" fillId="4" borderId="92" xfId="22" applyNumberFormat="1" applyFont="1" applyFill="1" applyBorder="1" applyAlignment="1" applyProtection="1">
      <alignment horizontal="left" indent="1"/>
    </xf>
    <xf numFmtId="0" fontId="0" fillId="4" borderId="93" xfId="0" applyFill="1" applyBorder="1"/>
    <xf numFmtId="0" fontId="0" fillId="4" borderId="94" xfId="0" applyFill="1" applyBorder="1"/>
    <xf numFmtId="0" fontId="0" fillId="4" borderId="95" xfId="0" applyFill="1" applyBorder="1"/>
    <xf numFmtId="183" fontId="6" fillId="4" borderId="40" xfId="21" applyNumberFormat="1" applyFont="1" applyFill="1" applyBorder="1" applyAlignment="1">
      <alignment horizontal="left" vertical="center" indent="1"/>
    </xf>
    <xf numFmtId="197" fontId="63" fillId="13" borderId="49" xfId="26" applyNumberFormat="1" applyFont="1" applyFill="1" applyBorder="1" applyAlignment="1">
      <alignment vertical="center"/>
    </xf>
    <xf numFmtId="197" fontId="63" fillId="13" borderId="43" xfId="26" applyNumberFormat="1" applyFont="1" applyFill="1" applyBorder="1" applyAlignment="1">
      <alignment vertical="center"/>
    </xf>
    <xf numFmtId="0" fontId="6" fillId="4" borderId="42" xfId="21" applyFont="1" applyFill="1" applyBorder="1"/>
    <xf numFmtId="171" fontId="63" fillId="13" borderId="38" xfId="26" applyNumberFormat="1" applyFont="1" applyFill="1" applyBorder="1" applyAlignment="1">
      <alignment horizontal="left" vertical="center"/>
    </xf>
    <xf numFmtId="165" fontId="63" fillId="13" borderId="0" xfId="26" applyNumberFormat="1" applyFont="1" applyFill="1" applyAlignment="1">
      <alignment horizontal="left" vertical="center"/>
    </xf>
    <xf numFmtId="0" fontId="0" fillId="4" borderId="92" xfId="4" applyFont="1" applyFill="1" applyBorder="1" applyAlignment="1">
      <alignment vertical="center"/>
    </xf>
    <xf numFmtId="169" fontId="0" fillId="4" borderId="92" xfId="4" applyNumberFormat="1" applyFont="1" applyFill="1" applyBorder="1" applyAlignment="1">
      <alignment horizontal="left" vertical="center" indent="1"/>
    </xf>
    <xf numFmtId="0" fontId="0" fillId="4" borderId="96" xfId="0" applyFill="1" applyBorder="1"/>
    <xf numFmtId="0" fontId="0" fillId="4" borderId="96" xfId="4" applyFont="1" applyFill="1" applyBorder="1" applyAlignment="1">
      <alignment vertical="center"/>
    </xf>
    <xf numFmtId="168" fontId="0" fillId="4" borderId="96" xfId="0" applyNumberFormat="1" applyFill="1" applyBorder="1" applyAlignment="1">
      <alignment horizontal="left" indent="1"/>
    </xf>
    <xf numFmtId="0" fontId="6" fillId="4" borderId="87" xfId="22" applyNumberFormat="1" applyFont="1" applyFill="1" applyBorder="1" applyAlignment="1" applyProtection="1">
      <alignment horizontal="left"/>
    </xf>
    <xf numFmtId="0" fontId="6" fillId="4" borderId="88" xfId="22" applyNumberFormat="1" applyFont="1" applyFill="1" applyBorder="1" applyAlignment="1" applyProtection="1">
      <alignment horizontal="left"/>
    </xf>
    <xf numFmtId="0" fontId="0" fillId="4" borderId="88" xfId="0" applyFill="1" applyBorder="1" applyAlignment="1">
      <alignment horizontal="left"/>
    </xf>
    <xf numFmtId="0" fontId="6" fillId="4" borderId="92" xfId="22" applyNumberFormat="1" applyFont="1" applyFill="1" applyBorder="1" applyAlignment="1" applyProtection="1">
      <alignment horizontal="left"/>
    </xf>
    <xf numFmtId="0" fontId="13" fillId="8" borderId="30" xfId="6" applyFont="1" applyFill="1" applyBorder="1" applyAlignment="1">
      <alignment horizontal="center" vertical="center"/>
    </xf>
    <xf numFmtId="0" fontId="0" fillId="4" borderId="60" xfId="0" applyFill="1" applyBorder="1"/>
    <xf numFmtId="0" fontId="0" fillId="4" borderId="59" xfId="0" applyFill="1" applyBorder="1"/>
    <xf numFmtId="0" fontId="0" fillId="4" borderId="63" xfId="0" applyFill="1" applyBorder="1"/>
    <xf numFmtId="0" fontId="6" fillId="4" borderId="0" xfId="21" applyFont="1" applyFill="1" applyAlignment="1">
      <alignment horizontal="right" vertical="center"/>
    </xf>
    <xf numFmtId="0" fontId="6" fillId="4" borderId="96" xfId="22" applyNumberFormat="1" applyFont="1" applyFill="1" applyBorder="1" applyAlignment="1" applyProtection="1">
      <alignment horizontal="left"/>
    </xf>
    <xf numFmtId="0" fontId="0" fillId="0" borderId="52" xfId="4" applyFont="1" applyBorder="1" applyAlignment="1" applyProtection="1">
      <alignment horizontal="right" vertical="center" indent="1" shrinkToFit="1"/>
      <protection locked="0"/>
    </xf>
    <xf numFmtId="0" fontId="6" fillId="13" borderId="49" xfId="26" applyFill="1" applyBorder="1" applyAlignment="1">
      <alignment horizontal="right" vertical="center" indent="1" shrinkToFit="1"/>
    </xf>
    <xf numFmtId="0" fontId="0" fillId="4" borderId="52" xfId="0" applyFill="1" applyBorder="1" applyAlignment="1">
      <alignment horizontal="right" vertical="center" indent="1" shrinkToFit="1"/>
    </xf>
    <xf numFmtId="41" fontId="65" fillId="13" borderId="50" xfId="26" applyNumberFormat="1" applyFont="1" applyFill="1" applyBorder="1" applyAlignment="1">
      <alignment vertical="center" shrinkToFit="1"/>
    </xf>
    <xf numFmtId="188" fontId="65" fillId="13" borderId="50" xfId="26" applyNumberFormat="1" applyFont="1" applyFill="1" applyBorder="1" applyAlignment="1">
      <alignment vertical="center" shrinkToFit="1"/>
    </xf>
    <xf numFmtId="0" fontId="6" fillId="6" borderId="1" xfId="2" applyFont="1" applyFill="1" applyBorder="1" applyAlignment="1" applyProtection="1">
      <alignment horizontal="left" vertical="center" indent="1"/>
    </xf>
    <xf numFmtId="0" fontId="21" fillId="4" borderId="9" xfId="22" applyNumberFormat="1" applyFont="1" applyFill="1" applyBorder="1" applyAlignment="1" applyProtection="1">
      <alignment horizontal="center" vertical="center"/>
    </xf>
    <xf numFmtId="0" fontId="21" fillId="4" borderId="29" xfId="22" applyNumberFormat="1" applyFont="1" applyFill="1" applyBorder="1" applyAlignment="1" applyProtection="1">
      <alignment horizontal="center" vertical="center"/>
    </xf>
    <xf numFmtId="0" fontId="6" fillId="4" borderId="31" xfId="22" applyNumberFormat="1" applyFont="1" applyFill="1" applyBorder="1" applyAlignment="1" applyProtection="1">
      <alignment horizontal="centerContinuous" vertical="center"/>
    </xf>
    <xf numFmtId="0" fontId="6" fillId="4" borderId="95" xfId="22" applyNumberFormat="1" applyFont="1" applyFill="1" applyBorder="1" applyAlignment="1" applyProtection="1"/>
    <xf numFmtId="0" fontId="40" fillId="4" borderId="0" xfId="22" applyNumberFormat="1" applyFont="1" applyFill="1" applyBorder="1" applyAlignment="1" applyProtection="1">
      <alignment horizontal="left" indent="1"/>
    </xf>
    <xf numFmtId="0" fontId="10" fillId="4" borderId="0" xfId="22" applyNumberFormat="1" applyFont="1" applyFill="1" applyBorder="1" applyAlignment="1" applyProtection="1">
      <alignment vertical="center"/>
    </xf>
    <xf numFmtId="0" fontId="10" fillId="4" borderId="13" xfId="22" applyNumberFormat="1" applyFont="1" applyFill="1" applyBorder="1" applyAlignment="1" applyProtection="1">
      <alignment vertical="center"/>
    </xf>
    <xf numFmtId="175" fontId="6" fillId="4" borderId="63" xfId="22" applyNumberFormat="1" applyFont="1" applyFill="1" applyBorder="1" applyAlignment="1" applyProtection="1">
      <alignment horizontal="left"/>
    </xf>
    <xf numFmtId="0" fontId="13" fillId="3" borderId="38" xfId="10" applyFont="1" applyFill="1" applyBorder="1" applyAlignment="1">
      <alignment horizontal="left" vertical="center" indent="1"/>
    </xf>
    <xf numFmtId="0" fontId="35" fillId="3" borderId="38" xfId="24" applyFill="1" applyBorder="1"/>
    <xf numFmtId="0" fontId="13" fillId="3" borderId="38" xfId="2" applyFont="1" applyFill="1" applyBorder="1" applyAlignment="1" applyProtection="1">
      <alignment horizontal="left" indent="1"/>
    </xf>
    <xf numFmtId="0" fontId="13" fillId="3" borderId="38" xfId="24" applyFont="1" applyFill="1" applyBorder="1" applyAlignment="1">
      <alignment horizontal="left" indent="1"/>
    </xf>
    <xf numFmtId="0" fontId="84" fillId="3" borderId="38" xfId="24" applyFont="1" applyFill="1" applyBorder="1" applyAlignment="1">
      <alignment horizontal="left" indent="1"/>
    </xf>
    <xf numFmtId="174" fontId="6" fillId="4" borderId="13" xfId="22" applyNumberFormat="1" applyFont="1" applyFill="1" applyBorder="1" applyAlignment="1" applyProtection="1">
      <alignment horizontal="left"/>
    </xf>
    <xf numFmtId="0" fontId="35" fillId="4" borderId="11" xfId="19" applyFill="1" applyBorder="1"/>
    <xf numFmtId="0" fontId="6" fillId="4" borderId="11" xfId="22" applyNumberFormat="1" applyFont="1" applyFill="1" applyBorder="1" applyAlignment="1" applyProtection="1"/>
    <xf numFmtId="0" fontId="6" fillId="4" borderId="100" xfId="22" applyNumberFormat="1" applyFont="1" applyFill="1" applyBorder="1" applyAlignment="1" applyProtection="1">
      <alignment horizontal="left" indent="1"/>
    </xf>
    <xf numFmtId="0" fontId="10" fillId="4" borderId="27" xfId="22" applyNumberFormat="1" applyFont="1" applyFill="1" applyBorder="1" applyAlignment="1" applyProtection="1">
      <alignment vertical="center"/>
    </xf>
    <xf numFmtId="0" fontId="10" fillId="4" borderId="22" xfId="22" applyNumberFormat="1" applyFont="1" applyFill="1" applyBorder="1" applyAlignment="1" applyProtection="1">
      <alignment vertical="center"/>
    </xf>
    <xf numFmtId="0" fontId="10" fillId="4" borderId="9" xfId="22" applyNumberFormat="1" applyFont="1" applyFill="1" applyBorder="1" applyAlignment="1" applyProtection="1">
      <alignment vertical="center"/>
    </xf>
    <xf numFmtId="0" fontId="35" fillId="0" borderId="52" xfId="19" applyBorder="1" applyAlignment="1" applyProtection="1">
      <alignment horizontal="right" indent="1"/>
      <protection locked="0"/>
    </xf>
    <xf numFmtId="0" fontId="35" fillId="0" borderId="97" xfId="19" applyBorder="1" applyAlignment="1" applyProtection="1">
      <alignment horizontal="right" indent="1"/>
      <protection locked="0"/>
    </xf>
    <xf numFmtId="0" fontId="6" fillId="0" borderId="98" xfId="22" applyNumberFormat="1" applyFont="1" applyFill="1" applyBorder="1" applyAlignment="1" applyProtection="1">
      <alignment horizontal="right" indent="1"/>
      <protection locked="0"/>
    </xf>
    <xf numFmtId="0" fontId="6" fillId="0" borderId="99" xfId="22" applyNumberFormat="1" applyFont="1" applyFill="1" applyBorder="1" applyAlignment="1" applyProtection="1">
      <alignment horizontal="right" indent="1"/>
      <protection locked="0"/>
    </xf>
    <xf numFmtId="0" fontId="71" fillId="0" borderId="52" xfId="26" applyFont="1" applyBorder="1" applyAlignment="1" applyProtection="1">
      <alignment vertical="center"/>
      <protection locked="0"/>
    </xf>
    <xf numFmtId="0" fontId="58" fillId="4" borderId="0" xfId="0" applyFont="1" applyFill="1" applyAlignment="1">
      <alignment horizontal="center" vertical="center"/>
    </xf>
    <xf numFmtId="176" fontId="58" fillId="4" borderId="0" xfId="0" applyNumberFormat="1" applyFont="1" applyFill="1" applyAlignment="1">
      <alignment horizontal="center" vertical="center"/>
    </xf>
    <xf numFmtId="179" fontId="58" fillId="4" borderId="0" xfId="0" applyNumberFormat="1" applyFont="1" applyFill="1" applyAlignment="1">
      <alignment horizontal="center" vertical="center"/>
    </xf>
    <xf numFmtId="0" fontId="58" fillId="4" borderId="40" xfId="4" applyFont="1" applyFill="1" applyBorder="1" applyAlignment="1" applyProtection="1">
      <alignment vertical="center"/>
      <protection locked="0"/>
    </xf>
    <xf numFmtId="3" fontId="58" fillId="4" borderId="16" xfId="0" applyNumberFormat="1" applyFont="1" applyFill="1" applyBorder="1" applyAlignment="1">
      <alignment horizontal="right" vertical="center" indent="1"/>
    </xf>
    <xf numFmtId="178" fontId="58" fillId="4" borderId="16" xfId="0" applyNumberFormat="1" applyFont="1" applyFill="1" applyBorder="1" applyAlignment="1">
      <alignment horizontal="right" vertical="center" indent="1"/>
    </xf>
    <xf numFmtId="10" fontId="58" fillId="4" borderId="52" xfId="28" applyNumberFormat="1" applyFont="1" applyFill="1" applyBorder="1" applyAlignment="1" applyProtection="1">
      <alignment horizontal="right" vertical="center" indent="1"/>
    </xf>
    <xf numFmtId="0" fontId="8" fillId="0" borderId="16" xfId="17" applyFont="1" applyFill="1" applyBorder="1" applyAlignment="1" applyProtection="1">
      <alignment vertical="center" wrapText="1"/>
      <protection locked="0"/>
    </xf>
    <xf numFmtId="0" fontId="8" fillId="0" borderId="56" xfId="17" applyFont="1" applyFill="1" applyBorder="1" applyAlignment="1" applyProtection="1">
      <alignment vertical="center" wrapText="1"/>
      <protection locked="0"/>
    </xf>
    <xf numFmtId="0" fontId="7" fillId="0" borderId="54" xfId="2" applyFill="1" applyBorder="1" applyAlignment="1" applyProtection="1">
      <alignment horizontal="left" vertical="center" wrapText="1" indent="1"/>
      <protection locked="0"/>
    </xf>
    <xf numFmtId="0" fontId="7" fillId="0" borderId="55" xfId="2" applyFill="1" applyBorder="1" applyAlignment="1" applyProtection="1">
      <alignment horizontal="left" vertical="center" wrapText="1" indent="1"/>
      <protection locked="0"/>
    </xf>
    <xf numFmtId="0" fontId="86" fillId="0" borderId="56" xfId="11" applyFont="1" applyBorder="1" applyAlignment="1" applyProtection="1">
      <alignment vertical="center" wrapText="1"/>
      <protection locked="0"/>
    </xf>
    <xf numFmtId="0" fontId="5" fillId="0" borderId="16" xfId="11" applyFont="1" applyBorder="1" applyAlignment="1" applyProtection="1">
      <alignment vertical="center" wrapText="1"/>
      <protection locked="0"/>
    </xf>
    <xf numFmtId="0" fontId="5" fillId="0" borderId="17" xfId="11" applyFont="1" applyBorder="1" applyAlignment="1" applyProtection="1">
      <alignment vertical="center" wrapText="1"/>
      <protection locked="0"/>
    </xf>
    <xf numFmtId="0" fontId="8" fillId="0" borderId="17" xfId="17" applyFont="1" applyFill="1" applyBorder="1" applyAlignment="1" applyProtection="1">
      <alignment vertical="center" wrapText="1"/>
      <protection locked="0"/>
    </xf>
    <xf numFmtId="0" fontId="7" fillId="0" borderId="16" xfId="2" applyFill="1" applyBorder="1" applyAlignment="1" applyProtection="1">
      <alignment horizontal="left" vertical="center" wrapText="1" indent="1"/>
      <protection locked="0"/>
    </xf>
    <xf numFmtId="0" fontId="7" fillId="0" borderId="57" xfId="2" applyFill="1" applyBorder="1" applyAlignment="1" applyProtection="1">
      <alignment horizontal="left" vertical="center" wrapText="1" indent="1"/>
      <protection locked="0"/>
    </xf>
    <xf numFmtId="0" fontId="6" fillId="0" borderId="17" xfId="11" applyBorder="1" applyProtection="1">
      <protection locked="0"/>
    </xf>
    <xf numFmtId="0" fontId="7" fillId="0" borderId="17" xfId="2" applyFill="1" applyBorder="1" applyAlignment="1" applyProtection="1">
      <alignment horizontal="left" vertical="center" wrapText="1" indent="1"/>
      <protection locked="0"/>
    </xf>
    <xf numFmtId="0" fontId="21" fillId="4" borderId="0" xfId="0" applyFont="1" applyFill="1"/>
    <xf numFmtId="166" fontId="6" fillId="4" borderId="14" xfId="21" applyNumberFormat="1" applyFont="1" applyFill="1" applyBorder="1" applyAlignment="1">
      <alignment horizontal="center" vertical="center" shrinkToFit="1"/>
    </xf>
    <xf numFmtId="0" fontId="0" fillId="6" borderId="8" xfId="0" applyFill="1" applyBorder="1" applyAlignment="1">
      <alignment vertical="center"/>
    </xf>
    <xf numFmtId="0" fontId="5" fillId="6" borderId="9" xfId="2" applyFont="1" applyFill="1" applyBorder="1" applyAlignment="1" applyProtection="1">
      <alignment horizontal="center" vertical="center"/>
    </xf>
    <xf numFmtId="0" fontId="0" fillId="6" borderId="12" xfId="0" applyFill="1" applyBorder="1" applyAlignment="1">
      <alignment vertical="center"/>
    </xf>
    <xf numFmtId="0" fontId="5" fillId="6" borderId="0" xfId="2" applyFont="1" applyFill="1" applyBorder="1" applyAlignment="1" applyProtection="1">
      <alignment horizontal="center" vertical="center"/>
    </xf>
    <xf numFmtId="0" fontId="5" fillId="6" borderId="21" xfId="2" applyFont="1" applyFill="1" applyBorder="1" applyAlignment="1" applyProtection="1">
      <alignment horizontal="right" vertical="center"/>
    </xf>
    <xf numFmtId="0" fontId="0" fillId="6" borderId="0" xfId="0" applyFill="1"/>
    <xf numFmtId="0" fontId="6" fillId="4" borderId="8" xfId="19" applyFont="1" applyFill="1" applyBorder="1"/>
    <xf numFmtId="0" fontId="6" fillId="4" borderId="11" xfId="19" applyFont="1" applyFill="1" applyBorder="1"/>
    <xf numFmtId="0" fontId="6" fillId="4" borderId="9" xfId="19" applyFont="1" applyFill="1" applyBorder="1"/>
    <xf numFmtId="0" fontId="39" fillId="4" borderId="27" xfId="19" applyFont="1" applyFill="1" applyBorder="1" applyAlignment="1">
      <alignment horizontal="center" vertical="center"/>
    </xf>
    <xf numFmtId="171" fontId="6" fillId="4" borderId="0" xfId="19" applyNumberFormat="1" applyFont="1" applyFill="1" applyAlignment="1">
      <alignment vertical="center"/>
    </xf>
    <xf numFmtId="183" fontId="6" fillId="4" borderId="0" xfId="21" applyNumberFormat="1" applyFont="1" applyFill="1" applyAlignment="1">
      <alignment horizontal="center" vertical="center"/>
    </xf>
    <xf numFmtId="187" fontId="6" fillId="4" borderId="11" xfId="21" applyNumberFormat="1" applyFont="1" applyFill="1" applyBorder="1" applyAlignment="1">
      <alignment horizontal="center" vertical="center"/>
    </xf>
    <xf numFmtId="187" fontId="6" fillId="4" borderId="0" xfId="21" applyNumberFormat="1" applyFont="1" applyFill="1" applyAlignment="1">
      <alignment horizontal="center" vertical="center"/>
    </xf>
    <xf numFmtId="0" fontId="88" fillId="3" borderId="1" xfId="19" applyFont="1" applyFill="1" applyBorder="1" applyAlignment="1">
      <alignment horizontal="centerContinuous" vertical="center"/>
    </xf>
    <xf numFmtId="0" fontId="88" fillId="4" borderId="0" xfId="19" applyFont="1" applyFill="1" applyAlignment="1">
      <alignment horizontal="centerContinuous" vertical="center"/>
    </xf>
    <xf numFmtId="183" fontId="6" fillId="4" borderId="40" xfId="21" applyNumberFormat="1" applyFont="1" applyFill="1" applyBorder="1" applyAlignment="1">
      <alignment horizontal="center" vertical="center"/>
    </xf>
    <xf numFmtId="0" fontId="89" fillId="4" borderId="0" xfId="0" applyFont="1" applyFill="1"/>
    <xf numFmtId="0" fontId="5" fillId="6" borderId="46" xfId="2" applyFont="1" applyFill="1" applyBorder="1" applyAlignment="1" applyProtection="1">
      <alignment horizontal="left" vertical="center" indent="5"/>
    </xf>
    <xf numFmtId="0" fontId="61" fillId="13" borderId="40" xfId="26" applyFont="1" applyFill="1" applyBorder="1" applyAlignment="1">
      <alignment horizontal="left" vertical="center" indent="1"/>
    </xf>
    <xf numFmtId="43" fontId="25" fillId="4" borderId="0" xfId="21" applyNumberFormat="1" applyFont="1" applyFill="1"/>
    <xf numFmtId="43" fontId="25" fillId="4" borderId="38" xfId="21" applyNumberFormat="1" applyFont="1" applyFill="1" applyBorder="1"/>
    <xf numFmtId="171" fontId="63" fillId="13" borderId="0" xfId="26" applyNumberFormat="1" applyFont="1" applyFill="1" applyAlignment="1">
      <alignment horizontal="left" vertical="center"/>
    </xf>
    <xf numFmtId="43" fontId="6" fillId="4" borderId="0" xfId="21" applyNumberFormat="1" applyFont="1" applyFill="1" applyAlignment="1">
      <alignment horizontal="left" vertical="center"/>
    </xf>
    <xf numFmtId="0" fontId="6" fillId="4" borderId="50" xfId="21" applyFont="1" applyFill="1" applyBorder="1" applyAlignment="1">
      <alignment horizontal="right" vertical="center"/>
    </xf>
    <xf numFmtId="0" fontId="87" fillId="4" borderId="0" xfId="2" applyFont="1" applyFill="1" applyBorder="1" applyAlignment="1" applyProtection="1">
      <alignment vertical="center"/>
    </xf>
    <xf numFmtId="0" fontId="87" fillId="4" borderId="38" xfId="2" applyFont="1" applyFill="1" applyBorder="1" applyAlignment="1" applyProtection="1">
      <alignment vertical="center"/>
    </xf>
    <xf numFmtId="0" fontId="6" fillId="4" borderId="43" xfId="21" applyFont="1" applyFill="1" applyBorder="1" applyAlignment="1">
      <alignment horizontal="right" vertical="center"/>
    </xf>
    <xf numFmtId="0" fontId="6" fillId="13" borderId="0" xfId="26" applyFill="1" applyAlignment="1">
      <alignment vertical="center" shrinkToFit="1"/>
    </xf>
    <xf numFmtId="0" fontId="63" fillId="4" borderId="48" xfId="26" applyFont="1" applyFill="1" applyBorder="1"/>
    <xf numFmtId="0" fontId="63" fillId="13" borderId="50" xfId="26" applyFont="1" applyFill="1" applyBorder="1" applyAlignment="1">
      <alignment vertical="center"/>
    </xf>
    <xf numFmtId="0" fontId="63" fillId="4" borderId="50" xfId="21" applyFont="1" applyFill="1" applyBorder="1" applyAlignment="1">
      <alignment horizontal="left" vertical="center"/>
    </xf>
    <xf numFmtId="0" fontId="6" fillId="4" borderId="0" xfId="21" applyFont="1" applyFill="1" applyAlignment="1">
      <alignment horizontal="center" vertical="center"/>
    </xf>
    <xf numFmtId="0" fontId="6" fillId="4" borderId="0" xfId="21" applyFont="1" applyFill="1" applyAlignment="1">
      <alignment horizontal="center" vertical="center" shrinkToFit="1"/>
    </xf>
    <xf numFmtId="166" fontId="6" fillId="4" borderId="0" xfId="21" applyNumberFormat="1" applyFont="1" applyFill="1" applyAlignment="1">
      <alignment horizontal="center" vertical="center" shrinkToFit="1"/>
    </xf>
    <xf numFmtId="0" fontId="6" fillId="4" borderId="0" xfId="0" applyFont="1" applyFill="1"/>
    <xf numFmtId="0" fontId="25" fillId="4" borderId="0" xfId="8" applyFont="1" applyFill="1" applyAlignment="1">
      <alignment horizontal="center" vertical="center"/>
    </xf>
    <xf numFmtId="168" fontId="27" fillId="4" borderId="0" xfId="9" applyNumberFormat="1" applyFont="1" applyFill="1" applyBorder="1" applyAlignment="1">
      <alignment horizontal="center" vertical="center"/>
    </xf>
    <xf numFmtId="170" fontId="27" fillId="4" borderId="0" xfId="9" applyNumberFormat="1" applyFont="1" applyFill="1" applyBorder="1" applyAlignment="1">
      <alignment horizontal="center" vertical="center"/>
    </xf>
    <xf numFmtId="2" fontId="6" fillId="4" borderId="0" xfId="8" applyNumberFormat="1" applyFont="1" applyFill="1" applyAlignment="1">
      <alignment horizontal="center" vertical="center"/>
    </xf>
    <xf numFmtId="168" fontId="6" fillId="4" borderId="0" xfId="9" applyNumberFormat="1" applyFont="1" applyFill="1" applyBorder="1" applyAlignment="1" applyProtection="1">
      <alignment horizontal="center" vertical="center"/>
    </xf>
    <xf numFmtId="170" fontId="6" fillId="4" borderId="0" xfId="9" applyNumberFormat="1" applyFont="1" applyFill="1" applyBorder="1" applyAlignment="1" applyProtection="1">
      <alignment horizontal="center" vertical="center"/>
    </xf>
    <xf numFmtId="172" fontId="25" fillId="4" borderId="0" xfId="8" applyNumberFormat="1" applyFont="1" applyFill="1" applyAlignment="1">
      <alignment horizontal="center" vertical="center"/>
    </xf>
    <xf numFmtId="2" fontId="27" fillId="4" borderId="0" xfId="9" applyNumberFormat="1" applyFont="1" applyFill="1" applyBorder="1" applyAlignment="1">
      <alignment horizontal="center" vertical="center"/>
    </xf>
    <xf numFmtId="171" fontId="27" fillId="4" borderId="0" xfId="9" applyNumberFormat="1" applyFont="1" applyFill="1" applyBorder="1" applyAlignment="1">
      <alignment horizontal="center" vertical="center"/>
    </xf>
    <xf numFmtId="166" fontId="6" fillId="4" borderId="0" xfId="8" applyNumberFormat="1" applyFont="1" applyFill="1" applyAlignment="1">
      <alignment horizontal="center" vertical="center"/>
    </xf>
    <xf numFmtId="2" fontId="6" fillId="4" borderId="0" xfId="9" applyNumberFormat="1" applyFont="1" applyFill="1" applyBorder="1" applyAlignment="1" applyProtection="1">
      <alignment horizontal="center" vertical="center"/>
    </xf>
    <xf numFmtId="171" fontId="6" fillId="4" borderId="0" xfId="9" applyNumberFormat="1" applyFont="1" applyFill="1" applyBorder="1" applyAlignment="1" applyProtection="1">
      <alignment horizontal="center" vertical="center"/>
    </xf>
    <xf numFmtId="40" fontId="27" fillId="4" borderId="0" xfId="9" applyNumberFormat="1" applyFont="1" applyFill="1" applyBorder="1" applyAlignment="1">
      <alignment horizontal="center" vertical="center"/>
    </xf>
    <xf numFmtId="40" fontId="6" fillId="4" borderId="0" xfId="9" applyNumberFormat="1" applyFont="1" applyFill="1" applyBorder="1" applyAlignment="1" applyProtection="1">
      <alignment horizontal="center" vertical="center"/>
    </xf>
    <xf numFmtId="0" fontId="6" fillId="4" borderId="0" xfId="21" applyFont="1" applyFill="1" applyAlignment="1">
      <alignment horizontal="centerContinuous" vertical="center"/>
    </xf>
    <xf numFmtId="0" fontId="6" fillId="4" borderId="0" xfId="21" applyFont="1" applyFill="1" applyAlignment="1">
      <alignment horizontal="centerContinuous"/>
    </xf>
    <xf numFmtId="0" fontId="13" fillId="4" borderId="0" xfId="4" applyFont="1" applyFill="1" applyAlignment="1">
      <alignment horizontal="centerContinuous" vertical="center"/>
    </xf>
    <xf numFmtId="0" fontId="13" fillId="4" borderId="0" xfId="4" applyFont="1" applyFill="1" applyAlignment="1">
      <alignment horizontal="centerContinuous"/>
    </xf>
    <xf numFmtId="0" fontId="13" fillId="4" borderId="0" xfId="4" applyFont="1" applyFill="1" applyAlignment="1">
      <alignment horizontal="center" vertical="center"/>
    </xf>
    <xf numFmtId="0" fontId="24" fillId="4" borderId="0" xfId="4" applyFont="1" applyFill="1" applyAlignment="1">
      <alignment horizontal="center" vertical="center"/>
    </xf>
    <xf numFmtId="0" fontId="12" fillId="4" borderId="0" xfId="0" applyFont="1" applyFill="1" applyAlignment="1">
      <alignment horizontal="left" vertical="center" indent="1"/>
    </xf>
    <xf numFmtId="168" fontId="0" fillId="4" borderId="0" xfId="0" applyNumberFormat="1" applyFill="1" applyAlignment="1">
      <alignment horizontal="left" indent="1"/>
    </xf>
    <xf numFmtId="167" fontId="0" fillId="4" borderId="0" xfId="0" applyNumberFormat="1" applyFill="1" applyAlignment="1">
      <alignment horizontal="left" indent="1"/>
    </xf>
    <xf numFmtId="40" fontId="0" fillId="4" borderId="0" xfId="0" applyNumberFormat="1" applyFill="1" applyAlignment="1">
      <alignment horizontal="left" indent="1"/>
    </xf>
    <xf numFmtId="169" fontId="0" fillId="4" borderId="0" xfId="0" applyNumberFormat="1" applyFill="1" applyAlignment="1">
      <alignment horizontal="left" indent="1"/>
    </xf>
    <xf numFmtId="0" fontId="0" fillId="4" borderId="0" xfId="0" applyFill="1" applyAlignment="1">
      <alignment horizontal="left" indent="1"/>
    </xf>
    <xf numFmtId="166" fontId="0" fillId="4" borderId="0" xfId="0" applyNumberFormat="1" applyFill="1" applyAlignment="1">
      <alignment horizontal="left" indent="1"/>
    </xf>
    <xf numFmtId="165" fontId="0" fillId="4" borderId="0" xfId="0" applyNumberFormat="1" applyFill="1" applyAlignment="1">
      <alignment horizontal="left" indent="1"/>
    </xf>
    <xf numFmtId="2" fontId="0" fillId="4" borderId="0" xfId="0" applyNumberFormat="1" applyFill="1" applyAlignment="1">
      <alignment horizontal="left" indent="1"/>
    </xf>
    <xf numFmtId="172" fontId="0" fillId="4" borderId="0" xfId="0" applyNumberFormat="1" applyFill="1" applyAlignment="1">
      <alignment horizontal="left" indent="1"/>
    </xf>
    <xf numFmtId="167" fontId="0" fillId="4" borderId="0" xfId="4" applyNumberFormat="1" applyFont="1" applyFill="1" applyAlignment="1">
      <alignment horizontal="left" vertical="center" indent="1"/>
    </xf>
    <xf numFmtId="169" fontId="0" fillId="4" borderId="0" xfId="4" applyNumberFormat="1" applyFont="1" applyFill="1" applyAlignment="1">
      <alignment horizontal="left" vertical="center" indent="1"/>
    </xf>
    <xf numFmtId="170" fontId="0" fillId="4" borderId="0" xfId="4" applyNumberFormat="1" applyFont="1" applyFill="1" applyAlignment="1">
      <alignment horizontal="left" vertical="center" indent="1"/>
    </xf>
    <xf numFmtId="168" fontId="0" fillId="4" borderId="0" xfId="4" applyNumberFormat="1" applyFont="1" applyFill="1" applyAlignment="1">
      <alignment horizontal="left" vertical="center" indent="1"/>
    </xf>
    <xf numFmtId="40" fontId="0" fillId="4" borderId="0" xfId="4" applyNumberFormat="1" applyFont="1" applyFill="1" applyAlignment="1">
      <alignment horizontal="left" vertical="center" indent="1"/>
    </xf>
    <xf numFmtId="175" fontId="6" fillId="4" borderId="0" xfId="22" applyNumberFormat="1" applyFont="1" applyFill="1" applyBorder="1" applyAlignment="1" applyProtection="1">
      <alignment horizontal="left" indent="1"/>
    </xf>
    <xf numFmtId="174" fontId="6" fillId="4" borderId="0" xfId="22" applyNumberFormat="1" applyFont="1" applyFill="1" applyBorder="1" applyAlignment="1" applyProtection="1">
      <alignment horizontal="left" indent="1"/>
    </xf>
    <xf numFmtId="0" fontId="6" fillId="4" borderId="0" xfId="22" applyNumberFormat="1" applyFont="1" applyFill="1" applyBorder="1" applyAlignment="1" applyProtection="1">
      <alignment horizontal="left" wrapText="1" indent="1"/>
    </xf>
    <xf numFmtId="0" fontId="0" fillId="4" borderId="0" xfId="0" applyFill="1" applyAlignment="1">
      <alignment horizontal="left"/>
    </xf>
    <xf numFmtId="0" fontId="13" fillId="4" borderId="0" xfId="6" applyFont="1" applyFill="1" applyAlignment="1">
      <alignment horizontal="center" vertical="center"/>
    </xf>
    <xf numFmtId="0" fontId="21" fillId="4" borderId="82" xfId="0" applyFont="1" applyFill="1" applyBorder="1" applyAlignment="1">
      <alignment horizontal="right" indent="1"/>
    </xf>
    <xf numFmtId="171" fontId="0" fillId="4" borderId="14" xfId="0" applyNumberFormat="1" applyFill="1" applyBorder="1" applyAlignment="1">
      <alignment horizontal="right" indent="1"/>
    </xf>
    <xf numFmtId="166" fontId="6" fillId="4" borderId="14" xfId="21" applyNumberFormat="1" applyFont="1" applyFill="1" applyBorder="1" applyAlignment="1">
      <alignment horizontal="right" vertical="center" indent="1"/>
    </xf>
    <xf numFmtId="0" fontId="6" fillId="4" borderId="14" xfId="21" applyFont="1" applyFill="1" applyBorder="1" applyAlignment="1">
      <alignment horizontal="right" indent="1"/>
    </xf>
    <xf numFmtId="0" fontId="63" fillId="4" borderId="0" xfId="21" applyFont="1" applyFill="1" applyAlignment="1">
      <alignment horizontal="left" vertical="center"/>
    </xf>
    <xf numFmtId="0" fontId="21" fillId="6" borderId="103" xfId="0" applyFont="1" applyFill="1" applyBorder="1" applyAlignment="1">
      <alignment horizontal="center" vertical="center"/>
    </xf>
    <xf numFmtId="0" fontId="21" fillId="6" borderId="104" xfId="0" applyFont="1" applyFill="1" applyBorder="1" applyAlignment="1">
      <alignment horizontal="center" vertical="center"/>
    </xf>
    <xf numFmtId="0" fontId="21" fillId="6" borderId="105" xfId="0" applyFont="1" applyFill="1" applyBorder="1" applyAlignment="1">
      <alignment horizontal="center" vertical="center"/>
    </xf>
    <xf numFmtId="0" fontId="21" fillId="6" borderId="106" xfId="0" applyFont="1" applyFill="1" applyBorder="1" applyAlignment="1">
      <alignment horizontal="center" vertical="center"/>
    </xf>
    <xf numFmtId="198" fontId="21" fillId="4" borderId="107" xfId="0" applyNumberFormat="1" applyFont="1" applyFill="1" applyBorder="1" applyAlignment="1">
      <alignment horizontal="right"/>
    </xf>
    <xf numFmtId="0" fontId="21" fillId="4" borderId="108" xfId="0" applyFont="1" applyFill="1" applyBorder="1"/>
    <xf numFmtId="183" fontId="0" fillId="4" borderId="109" xfId="0" applyNumberFormat="1" applyFill="1" applyBorder="1" applyAlignment="1">
      <alignment horizontal="right"/>
    </xf>
    <xf numFmtId="166" fontId="0" fillId="4" borderId="110" xfId="0" applyNumberFormat="1" applyFill="1" applyBorder="1"/>
    <xf numFmtId="166" fontId="0" fillId="4" borderId="111" xfId="0" applyNumberFormat="1" applyFill="1" applyBorder="1"/>
    <xf numFmtId="183" fontId="6" fillId="4" borderId="109" xfId="21" applyNumberFormat="1" applyFont="1" applyFill="1" applyBorder="1" applyAlignment="1">
      <alignment horizontal="right" vertical="center"/>
    </xf>
    <xf numFmtId="185" fontId="6" fillId="4" borderId="109" xfId="21" applyNumberFormat="1" applyFont="1" applyFill="1" applyBorder="1" applyAlignment="1">
      <alignment horizontal="right"/>
    </xf>
    <xf numFmtId="0" fontId="6" fillId="4" borderId="105" xfId="21" applyFont="1" applyFill="1" applyBorder="1" applyAlignment="1">
      <alignment horizontal="right"/>
    </xf>
    <xf numFmtId="0" fontId="0" fillId="4" borderId="106" xfId="0" applyFill="1" applyBorder="1"/>
    <xf numFmtId="185" fontId="0" fillId="4" borderId="109" xfId="0" applyNumberFormat="1" applyFill="1" applyBorder="1" applyAlignment="1">
      <alignment horizontal="right"/>
    </xf>
    <xf numFmtId="171" fontId="0" fillId="4" borderId="105" xfId="0" applyNumberFormat="1" applyFill="1" applyBorder="1" applyAlignment="1">
      <alignment horizontal="right"/>
    </xf>
    <xf numFmtId="0" fontId="6" fillId="4" borderId="21" xfId="0" applyFont="1" applyFill="1" applyBorder="1"/>
    <xf numFmtId="0" fontId="6" fillId="4" borderId="8" xfId="4" applyFont="1" applyFill="1" applyBorder="1"/>
    <xf numFmtId="0" fontId="6" fillId="4" borderId="21" xfId="4" applyFont="1" applyFill="1" applyBorder="1"/>
    <xf numFmtId="0" fontId="6" fillId="4" borderId="13" xfId="2" applyFont="1" applyFill="1" applyBorder="1" applyAlignment="1" applyProtection="1">
      <alignment vertical="center"/>
    </xf>
    <xf numFmtId="183" fontId="6" fillId="13" borderId="13" xfId="26" applyNumberFormat="1" applyFill="1" applyBorder="1" applyAlignment="1" applyProtection="1">
      <alignment vertical="center"/>
      <protection hidden="1"/>
    </xf>
    <xf numFmtId="0" fontId="6" fillId="4" borderId="13" xfId="0" applyFont="1" applyFill="1" applyBorder="1"/>
    <xf numFmtId="184" fontId="6" fillId="13" borderId="13" xfId="26" applyNumberFormat="1" applyFill="1" applyBorder="1" applyAlignment="1" applyProtection="1">
      <alignment vertical="center"/>
      <protection hidden="1"/>
    </xf>
    <xf numFmtId="0" fontId="6" fillId="4" borderId="10" xfId="0" applyFont="1" applyFill="1" applyBorder="1"/>
    <xf numFmtId="0" fontId="6" fillId="4" borderId="14" xfId="0" applyFont="1" applyFill="1" applyBorder="1"/>
    <xf numFmtId="0" fontId="6" fillId="4" borderId="23" xfId="0" applyFont="1" applyFill="1" applyBorder="1"/>
    <xf numFmtId="0" fontId="6" fillId="4" borderId="10" xfId="4" applyFont="1" applyFill="1" applyBorder="1" applyAlignment="1">
      <alignment horizontal="left" indent="1"/>
    </xf>
    <xf numFmtId="0" fontId="6" fillId="4" borderId="14" xfId="4" applyFont="1" applyFill="1" applyBorder="1" applyAlignment="1">
      <alignment horizontal="left" indent="1"/>
    </xf>
    <xf numFmtId="0" fontId="6" fillId="4" borderId="23" xfId="4" applyFont="1" applyFill="1" applyBorder="1" applyAlignment="1">
      <alignment horizontal="left" indent="1"/>
    </xf>
    <xf numFmtId="0" fontId="6" fillId="6" borderId="8" xfId="4" applyFont="1" applyFill="1" applyBorder="1"/>
    <xf numFmtId="0" fontId="6" fillId="6" borderId="11" xfId="4" applyFont="1" applyFill="1" applyBorder="1"/>
    <xf numFmtId="0" fontId="6" fillId="6" borderId="9" xfId="4" applyFont="1" applyFill="1" applyBorder="1"/>
    <xf numFmtId="0" fontId="6" fillId="6" borderId="12" xfId="4" applyFont="1" applyFill="1" applyBorder="1"/>
    <xf numFmtId="0" fontId="6" fillId="6" borderId="0" xfId="4" applyFont="1" applyFill="1"/>
    <xf numFmtId="0" fontId="6" fillId="6" borderId="13" xfId="4" applyFont="1" applyFill="1" applyBorder="1"/>
    <xf numFmtId="0" fontId="6" fillId="6" borderId="21" xfId="4" applyFont="1" applyFill="1" applyBorder="1"/>
    <xf numFmtId="0" fontId="6" fillId="6" borderId="27" xfId="4" applyFont="1" applyFill="1" applyBorder="1"/>
    <xf numFmtId="0" fontId="6" fillId="6" borderId="22" xfId="4" applyFont="1" applyFill="1" applyBorder="1"/>
    <xf numFmtId="0" fontId="0" fillId="4" borderId="10" xfId="2" applyFont="1" applyFill="1" applyBorder="1" applyAlignment="1" applyProtection="1">
      <alignment horizontal="left" vertical="center" indent="1"/>
    </xf>
    <xf numFmtId="0" fontId="0" fillId="4" borderId="23" xfId="2" applyFont="1" applyFill="1" applyBorder="1" applyAlignment="1" applyProtection="1">
      <alignment horizontal="left" vertical="center" indent="1"/>
    </xf>
    <xf numFmtId="0" fontId="21" fillId="6" borderId="102" xfId="2" applyFont="1" applyFill="1" applyBorder="1" applyAlignment="1" applyProtection="1">
      <alignment horizontal="left" vertical="center" wrapText="1" indent="1"/>
    </xf>
    <xf numFmtId="0" fontId="63" fillId="0" borderId="52" xfId="26" applyFont="1" applyBorder="1" applyAlignment="1" applyProtection="1">
      <alignment horizontal="right" vertical="center" indent="1"/>
      <protection locked="0"/>
    </xf>
    <xf numFmtId="188" fontId="65" fillId="0" borderId="52" xfId="26" applyNumberFormat="1" applyFont="1" applyBorder="1" applyAlignment="1" applyProtection="1">
      <alignment vertical="center"/>
      <protection locked="0"/>
    </xf>
    <xf numFmtId="0" fontId="6" fillId="13" borderId="0" xfId="26" applyFill="1" applyAlignment="1">
      <alignment horizontal="left" vertical="center"/>
    </xf>
    <xf numFmtId="0" fontId="63" fillId="13" borderId="48" xfId="26" applyFont="1" applyFill="1" applyBorder="1" applyAlignment="1">
      <alignment horizontal="left" vertical="center" indent="1"/>
    </xf>
    <xf numFmtId="171" fontId="63" fillId="13" borderId="71" xfId="26" applyNumberFormat="1" applyFont="1" applyFill="1" applyBorder="1" applyAlignment="1">
      <alignment horizontal="left" vertical="center"/>
    </xf>
    <xf numFmtId="0" fontId="6" fillId="4" borderId="72" xfId="21" applyFont="1" applyFill="1" applyBorder="1" applyAlignment="1">
      <alignment vertical="center"/>
    </xf>
    <xf numFmtId="0" fontId="5" fillId="6" borderId="13" xfId="2" applyFont="1" applyFill="1" applyBorder="1" applyAlignment="1" applyProtection="1">
      <alignment horizontal="center" vertical="center"/>
    </xf>
    <xf numFmtId="0" fontId="0" fillId="6" borderId="22" xfId="0" applyFill="1" applyBorder="1"/>
    <xf numFmtId="0" fontId="61" fillId="0" borderId="52" xfId="21" applyFont="1" applyBorder="1" applyAlignment="1" applyProtection="1">
      <alignment horizontal="center" vertical="center"/>
      <protection locked="0"/>
    </xf>
    <xf numFmtId="0" fontId="7" fillId="4" borderId="0" xfId="2" applyFill="1" applyBorder="1" applyAlignment="1" applyProtection="1"/>
    <xf numFmtId="0" fontId="6" fillId="4" borderId="9" xfId="21" applyFont="1" applyFill="1" applyBorder="1" applyAlignment="1">
      <alignment vertical="center"/>
    </xf>
    <xf numFmtId="0" fontId="21" fillId="4" borderId="28" xfId="21" applyFont="1" applyFill="1" applyBorder="1" applyAlignment="1">
      <alignment vertical="center"/>
    </xf>
    <xf numFmtId="0" fontId="21" fillId="4" borderId="30" xfId="21" applyFont="1" applyFill="1" applyBorder="1" applyAlignment="1">
      <alignment vertical="center"/>
    </xf>
    <xf numFmtId="0" fontId="75" fillId="4" borderId="29" xfId="5" applyFont="1" applyFill="1" applyBorder="1" applyAlignment="1">
      <alignment horizontal="center" vertical="center"/>
    </xf>
    <xf numFmtId="0" fontId="75" fillId="4" borderId="11" xfId="5" applyFont="1" applyFill="1" applyBorder="1" applyAlignment="1">
      <alignment horizontal="center" vertical="center"/>
    </xf>
    <xf numFmtId="0" fontId="75" fillId="4" borderId="9" xfId="5" applyFont="1" applyFill="1" applyBorder="1" applyAlignment="1">
      <alignment horizontal="center" vertical="center"/>
    </xf>
    <xf numFmtId="0" fontId="20" fillId="8" borderId="113" xfId="4" applyFont="1" applyFill="1" applyBorder="1" applyAlignment="1">
      <alignment horizontal="centerContinuous"/>
    </xf>
    <xf numFmtId="0" fontId="13" fillId="8" borderId="114" xfId="4" applyFont="1" applyFill="1" applyBorder="1" applyAlignment="1">
      <alignment horizontal="center" vertical="center"/>
    </xf>
    <xf numFmtId="0" fontId="13" fillId="8" borderId="14" xfId="4" applyFont="1" applyFill="1" applyBorder="1" applyAlignment="1">
      <alignment horizontal="center" vertical="center"/>
    </xf>
    <xf numFmtId="0" fontId="24" fillId="8" borderId="23" xfId="4" applyFont="1" applyFill="1" applyBorder="1" applyAlignment="1">
      <alignment horizontal="center" vertical="center"/>
    </xf>
    <xf numFmtId="171" fontId="6" fillId="4" borderId="14" xfId="4" applyNumberFormat="1" applyFont="1" applyFill="1" applyBorder="1" applyAlignment="1">
      <alignment horizontal="center"/>
    </xf>
    <xf numFmtId="171" fontId="6" fillId="4" borderId="23" xfId="4" applyNumberFormat="1" applyFont="1" applyFill="1" applyBorder="1" applyAlignment="1">
      <alignment horizontal="center"/>
    </xf>
    <xf numFmtId="0" fontId="13" fillId="8" borderId="115" xfId="4" applyFont="1" applyFill="1" applyBorder="1" applyAlignment="1">
      <alignment horizontal="center" vertical="center"/>
    </xf>
    <xf numFmtId="0" fontId="13" fillId="8" borderId="13" xfId="4" applyFont="1" applyFill="1" applyBorder="1" applyAlignment="1">
      <alignment horizontal="center" vertical="center"/>
    </xf>
    <xf numFmtId="0" fontId="24" fillId="8" borderId="22" xfId="4" applyFont="1" applyFill="1" applyBorder="1" applyAlignment="1">
      <alignment horizontal="center" vertical="center"/>
    </xf>
    <xf numFmtId="0" fontId="6" fillId="4" borderId="112" xfId="4" applyFont="1" applyFill="1" applyBorder="1"/>
    <xf numFmtId="0" fontId="20" fillId="8" borderId="9" xfId="4" applyFont="1" applyFill="1" applyBorder="1" applyAlignment="1">
      <alignment horizontal="center"/>
    </xf>
    <xf numFmtId="0" fontId="59" fillId="4" borderId="0" xfId="0" applyFont="1" applyFill="1" applyAlignment="1">
      <alignment vertical="center"/>
    </xf>
    <xf numFmtId="0" fontId="21" fillId="4" borderId="31" xfId="2" applyFont="1" applyFill="1" applyBorder="1" applyAlignment="1" applyProtection="1">
      <alignment horizontal="left" vertical="center" indent="1"/>
    </xf>
    <xf numFmtId="0" fontId="6" fillId="4" borderId="29" xfId="4" applyFont="1" applyFill="1" applyBorder="1"/>
    <xf numFmtId="0" fontId="7" fillId="0" borderId="56" xfId="2" applyFill="1" applyBorder="1" applyAlignment="1" applyProtection="1">
      <alignment horizontal="left" vertical="center" wrapText="1" indent="1"/>
      <protection locked="0"/>
    </xf>
    <xf numFmtId="0" fontId="91" fillId="0" borderId="0" xfId="0" applyFont="1" applyAlignment="1">
      <alignment vertical="center" wrapText="1"/>
    </xf>
    <xf numFmtId="0" fontId="58" fillId="0" borderId="56" xfId="17" applyFont="1" applyFill="1" applyBorder="1" applyAlignment="1" applyProtection="1">
      <alignment vertical="center" shrinkToFit="1"/>
      <protection locked="0"/>
    </xf>
    <xf numFmtId="0" fontId="58" fillId="0" borderId="16" xfId="17" applyFont="1" applyFill="1" applyBorder="1" applyAlignment="1" applyProtection="1">
      <alignment vertical="center" shrinkToFit="1"/>
      <protection locked="0"/>
    </xf>
    <xf numFmtId="0" fontId="58" fillId="0" borderId="16" xfId="17" applyFont="1" applyFill="1" applyBorder="1" applyAlignment="1" applyProtection="1">
      <alignment vertical="center" wrapText="1"/>
      <protection locked="0"/>
    </xf>
    <xf numFmtId="0" fontId="64" fillId="4" borderId="40" xfId="26" applyFont="1" applyFill="1" applyBorder="1" applyAlignment="1">
      <alignment horizontal="left" vertical="center"/>
    </xf>
    <xf numFmtId="0" fontId="6" fillId="4" borderId="10" xfId="21" applyFont="1" applyFill="1" applyBorder="1" applyAlignment="1">
      <alignment horizontal="center" vertical="center"/>
    </xf>
    <xf numFmtId="0" fontId="6" fillId="4" borderId="23" xfId="21" applyFont="1" applyFill="1" applyBorder="1" applyAlignment="1">
      <alignment horizontal="center" vertical="center"/>
    </xf>
    <xf numFmtId="171" fontId="63" fillId="13" borderId="17" xfId="26" applyNumberFormat="1" applyFont="1" applyFill="1" applyBorder="1" applyAlignment="1">
      <alignment horizontal="center" vertical="center"/>
    </xf>
    <xf numFmtId="171" fontId="63" fillId="13" borderId="56" xfId="26" applyNumberFormat="1" applyFont="1" applyFill="1" applyBorder="1" applyAlignment="1">
      <alignment horizontal="center" vertical="center"/>
    </xf>
    <xf numFmtId="0" fontId="63" fillId="4" borderId="17" xfId="21" applyFont="1" applyFill="1" applyBorder="1" applyAlignment="1">
      <alignment horizontal="center" vertical="center"/>
    </xf>
    <xf numFmtId="0" fontId="63" fillId="13" borderId="52" xfId="26" applyFont="1" applyFill="1" applyBorder="1" applyAlignment="1">
      <alignment horizontal="center" vertical="center"/>
    </xf>
    <xf numFmtId="0" fontId="72" fillId="4" borderId="40" xfId="26" applyFont="1" applyFill="1" applyBorder="1" applyAlignment="1">
      <alignment vertical="center"/>
    </xf>
    <xf numFmtId="0" fontId="64" fillId="4" borderId="0" xfId="26" applyFont="1" applyFill="1" applyAlignment="1">
      <alignment vertical="center"/>
    </xf>
    <xf numFmtId="0" fontId="6" fillId="4" borderId="31" xfId="21" applyFont="1" applyFill="1" applyBorder="1" applyAlignment="1">
      <alignment horizontal="center" vertical="center"/>
    </xf>
    <xf numFmtId="188" fontId="65" fillId="4" borderId="31" xfId="26" applyNumberFormat="1" applyFont="1" applyFill="1" applyBorder="1" applyAlignment="1" applyProtection="1">
      <alignment vertical="center"/>
      <protection locked="0"/>
    </xf>
    <xf numFmtId="188" fontId="21" fillId="4" borderId="31" xfId="21" applyNumberFormat="1" applyFont="1" applyFill="1" applyBorder="1" applyAlignment="1">
      <alignment vertical="center"/>
    </xf>
    <xf numFmtId="0" fontId="21" fillId="4" borderId="31" xfId="21" applyFont="1" applyFill="1" applyBorder="1" applyAlignment="1">
      <alignment vertical="center"/>
    </xf>
    <xf numFmtId="0" fontId="21" fillId="4" borderId="116" xfId="21" applyFont="1" applyFill="1" applyBorder="1" applyAlignment="1">
      <alignment horizontal="center" vertical="center"/>
    </xf>
    <xf numFmtId="0" fontId="21" fillId="4" borderId="23" xfId="21" applyFont="1" applyFill="1" applyBorder="1" applyAlignment="1">
      <alignment vertical="center"/>
    </xf>
    <xf numFmtId="188" fontId="63" fillId="13" borderId="52" xfId="26" applyNumberFormat="1" applyFont="1" applyFill="1" applyBorder="1" applyAlignment="1">
      <alignment horizontal="right" vertical="center"/>
    </xf>
    <xf numFmtId="0" fontId="63" fillId="4" borderId="56" xfId="21" applyFont="1" applyFill="1" applyBorder="1" applyAlignment="1">
      <alignment horizontal="center" vertical="center"/>
    </xf>
    <xf numFmtId="0" fontId="63" fillId="0" borderId="52" xfId="0" applyFont="1" applyBorder="1" applyAlignment="1" applyProtection="1">
      <alignment horizontal="center" vertical="center"/>
      <protection locked="0"/>
    </xf>
    <xf numFmtId="0" fontId="63" fillId="4" borderId="52" xfId="21" applyFont="1" applyFill="1" applyBorder="1" applyAlignment="1">
      <alignment horizontal="center" vertical="center"/>
    </xf>
    <xf numFmtId="0" fontId="92" fillId="0" borderId="72" xfId="26" applyFont="1" applyBorder="1" applyAlignment="1" applyProtection="1">
      <alignment horizontal="center" vertical="center"/>
      <protection locked="0"/>
    </xf>
    <xf numFmtId="0" fontId="13" fillId="7" borderId="28" xfId="21" applyFont="1" applyFill="1" applyBorder="1" applyAlignment="1">
      <alignment horizontal="centerContinuous" vertical="center"/>
    </xf>
    <xf numFmtId="0" fontId="13" fillId="7" borderId="29" xfId="21" applyFont="1" applyFill="1" applyBorder="1" applyAlignment="1">
      <alignment horizontal="centerContinuous" vertical="center"/>
    </xf>
    <xf numFmtId="0" fontId="13" fillId="7" borderId="30" xfId="21" applyFont="1" applyFill="1" applyBorder="1" applyAlignment="1">
      <alignment horizontal="centerContinuous" vertical="center"/>
    </xf>
    <xf numFmtId="188" fontId="65" fillId="4" borderId="31" xfId="26" applyNumberFormat="1" applyFont="1" applyFill="1" applyBorder="1" applyAlignment="1" applyProtection="1">
      <alignment horizontal="center" vertical="center"/>
      <protection locked="0"/>
    </xf>
    <xf numFmtId="0" fontId="7" fillId="0" borderId="57" xfId="2" applyFill="1" applyBorder="1" applyAlignment="1" applyProtection="1">
      <alignment horizontal="left" vertical="center" indent="1"/>
      <protection locked="0"/>
    </xf>
    <xf numFmtId="0" fontId="6" fillId="13" borderId="10" xfId="26" applyFill="1" applyBorder="1" applyAlignment="1">
      <alignment vertical="center"/>
    </xf>
    <xf numFmtId="0" fontId="6" fillId="13" borderId="23" xfId="26" applyFill="1" applyBorder="1" applyAlignment="1">
      <alignment vertical="center"/>
    </xf>
    <xf numFmtId="171" fontId="63" fillId="13" borderId="31" xfId="26" applyNumberFormat="1" applyFont="1" applyFill="1" applyBorder="1" applyAlignment="1">
      <alignment vertical="center"/>
    </xf>
    <xf numFmtId="0" fontId="63" fillId="4" borderId="31" xfId="26" applyFont="1" applyFill="1" applyBorder="1" applyAlignment="1">
      <alignment horizontal="left" vertical="center"/>
    </xf>
    <xf numFmtId="0" fontId="6" fillId="4" borderId="31" xfId="21" applyFont="1" applyFill="1" applyBorder="1"/>
    <xf numFmtId="199" fontId="6" fillId="4" borderId="0" xfId="27" applyNumberFormat="1" applyFont="1" applyFill="1" applyAlignment="1">
      <alignment horizontal="left" vertical="center" indent="1"/>
    </xf>
    <xf numFmtId="201" fontId="6" fillId="4" borderId="0" xfId="0" applyNumberFormat="1" applyFont="1" applyFill="1" applyAlignment="1">
      <alignment horizontal="right" vertical="center"/>
    </xf>
    <xf numFmtId="202" fontId="6" fillId="4" borderId="0" xfId="0" applyNumberFormat="1" applyFont="1" applyFill="1"/>
    <xf numFmtId="203" fontId="6" fillId="4" borderId="0" xfId="0" applyNumberFormat="1" applyFont="1" applyFill="1"/>
    <xf numFmtId="0" fontId="6" fillId="4" borderId="8" xfId="21" applyFont="1" applyFill="1" applyBorder="1" applyAlignment="1">
      <alignment horizontal="center" vertical="center"/>
    </xf>
    <xf numFmtId="0" fontId="6" fillId="4" borderId="11" xfId="21" applyFont="1" applyFill="1" applyBorder="1" applyAlignment="1">
      <alignment horizontal="center" vertical="center"/>
    </xf>
    <xf numFmtId="0" fontId="6" fillId="4" borderId="9" xfId="21" applyFont="1" applyFill="1" applyBorder="1" applyAlignment="1">
      <alignment horizontal="center" vertical="center"/>
    </xf>
    <xf numFmtId="188" fontId="65" fillId="4" borderId="12" xfId="26" applyNumberFormat="1" applyFont="1" applyFill="1" applyBorder="1" applyAlignment="1" applyProtection="1">
      <alignment vertical="center"/>
      <protection locked="0"/>
    </xf>
    <xf numFmtId="188" fontId="65" fillId="4" borderId="13" xfId="26" applyNumberFormat="1" applyFont="1" applyFill="1" applyBorder="1" applyAlignment="1" applyProtection="1">
      <alignment vertical="center"/>
      <protection locked="0"/>
    </xf>
    <xf numFmtId="188" fontId="65" fillId="4" borderId="12" xfId="26" applyNumberFormat="1" applyFont="1" applyFill="1" applyBorder="1" applyAlignment="1" applyProtection="1">
      <alignment horizontal="center" vertical="center"/>
      <protection locked="0"/>
    </xf>
    <xf numFmtId="0" fontId="21" fillId="4" borderId="27" xfId="21" applyFont="1" applyFill="1" applyBorder="1" applyAlignment="1">
      <alignment vertical="center"/>
    </xf>
    <xf numFmtId="188" fontId="21" fillId="4" borderId="22" xfId="21" applyNumberFormat="1" applyFont="1" applyFill="1" applyBorder="1" applyAlignment="1">
      <alignment vertical="center"/>
    </xf>
    <xf numFmtId="188" fontId="21" fillId="4" borderId="27" xfId="21" applyNumberFormat="1" applyFont="1" applyFill="1" applyBorder="1" applyAlignment="1">
      <alignment vertical="center"/>
    </xf>
    <xf numFmtId="0" fontId="6" fillId="14" borderId="29" xfId="31" applyFont="1" applyFill="1" applyBorder="1" applyAlignment="1">
      <alignment horizontal="centerContinuous"/>
    </xf>
    <xf numFmtId="0" fontId="23" fillId="14" borderId="29" xfId="31" applyFont="1" applyFill="1" applyBorder="1" applyAlignment="1">
      <alignment horizontal="centerContinuous"/>
    </xf>
    <xf numFmtId="0" fontId="96" fillId="14" borderId="29" xfId="0" applyFont="1" applyFill="1" applyBorder="1" applyAlignment="1">
      <alignment horizontal="centerContinuous"/>
    </xf>
    <xf numFmtId="0" fontId="96" fillId="14" borderId="30" xfId="0" applyFont="1" applyFill="1" applyBorder="1" applyAlignment="1">
      <alignment horizontal="centerContinuous"/>
    </xf>
    <xf numFmtId="0" fontId="6" fillId="2" borderId="11" xfId="4" applyFont="1" applyFill="1" applyBorder="1"/>
    <xf numFmtId="0" fontId="6" fillId="2" borderId="9" xfId="4" applyFont="1" applyFill="1" applyBorder="1"/>
    <xf numFmtId="0" fontId="6" fillId="2" borderId="31" xfId="4" applyFont="1" applyFill="1" applyBorder="1" applyAlignment="1">
      <alignment horizontal="center" vertical="center"/>
    </xf>
    <xf numFmtId="0" fontId="61" fillId="4" borderId="0" xfId="4" applyFont="1" applyFill="1" applyAlignment="1">
      <alignment horizontal="right" vertical="center"/>
    </xf>
    <xf numFmtId="193" fontId="6" fillId="4" borderId="0" xfId="0" applyNumberFormat="1" applyFont="1" applyFill="1" applyAlignment="1">
      <alignment horizontal="center" vertical="center"/>
    </xf>
    <xf numFmtId="2" fontId="6" fillId="4" borderId="0" xfId="0" applyNumberFormat="1" applyFont="1" applyFill="1" applyAlignment="1">
      <alignment horizontal="center" vertical="center"/>
    </xf>
    <xf numFmtId="0" fontId="6" fillId="4" borderId="43" xfId="30" applyFont="1" applyFill="1" applyBorder="1"/>
    <xf numFmtId="0" fontId="6" fillId="4" borderId="43" xfId="4" applyFont="1" applyFill="1" applyBorder="1"/>
    <xf numFmtId="0" fontId="6" fillId="4" borderId="44" xfId="4" applyFont="1" applyFill="1" applyBorder="1"/>
    <xf numFmtId="0" fontId="6" fillId="4" borderId="38" xfId="4" applyFont="1" applyFill="1" applyBorder="1"/>
    <xf numFmtId="0" fontId="6" fillId="4" borderId="50" xfId="4" applyFont="1" applyFill="1" applyBorder="1"/>
    <xf numFmtId="0" fontId="6" fillId="4" borderId="51" xfId="4" applyFont="1" applyFill="1" applyBorder="1"/>
    <xf numFmtId="0" fontId="6" fillId="4" borderId="38" xfId="4" applyFont="1" applyFill="1" applyBorder="1" applyAlignment="1">
      <alignment horizontal="center" vertical="center"/>
    </xf>
    <xf numFmtId="0" fontId="94" fillId="14" borderId="28" xfId="0" applyFont="1" applyFill="1" applyBorder="1" applyAlignment="1">
      <alignment horizontal="centerContinuous" vertical="center"/>
    </xf>
    <xf numFmtId="0" fontId="96" fillId="14" borderId="29" xfId="0" applyFont="1" applyFill="1" applyBorder="1" applyAlignment="1">
      <alignment horizontal="centerContinuous" vertical="center"/>
    </xf>
    <xf numFmtId="0" fontId="92" fillId="0" borderId="52" xfId="26" applyFont="1" applyBorder="1" applyAlignment="1" applyProtection="1">
      <alignment horizontal="right" vertical="center" indent="1"/>
      <protection locked="0"/>
    </xf>
    <xf numFmtId="0" fontId="6" fillId="2" borderId="31" xfId="4" applyFont="1" applyFill="1" applyBorder="1" applyAlignment="1">
      <alignment vertical="center"/>
    </xf>
    <xf numFmtId="41" fontId="6" fillId="2" borderId="10" xfId="4" applyNumberFormat="1" applyFont="1" applyFill="1" applyBorder="1" applyAlignment="1">
      <alignment vertical="center"/>
    </xf>
    <xf numFmtId="41" fontId="6" fillId="2" borderId="14" xfId="4" applyNumberFormat="1" applyFont="1" applyFill="1" applyBorder="1" applyAlignment="1">
      <alignment vertical="center"/>
    </xf>
    <xf numFmtId="188" fontId="6" fillId="2" borderId="14" xfId="4" applyNumberFormat="1" applyFont="1" applyFill="1" applyBorder="1" applyAlignment="1">
      <alignment vertical="center"/>
    </xf>
    <xf numFmtId="0" fontId="6" fillId="2" borderId="10" xfId="4" applyFont="1" applyFill="1" applyBorder="1" applyAlignment="1">
      <alignment vertical="center"/>
    </xf>
    <xf numFmtId="0" fontId="6" fillId="2" borderId="14" xfId="4" applyFont="1" applyFill="1" applyBorder="1" applyAlignment="1">
      <alignment vertical="center"/>
    </xf>
    <xf numFmtId="0" fontId="6" fillId="6" borderId="31" xfId="21" applyFont="1" applyFill="1" applyBorder="1" applyAlignment="1">
      <alignment vertical="center"/>
    </xf>
    <xf numFmtId="188" fontId="6" fillId="2" borderId="52" xfId="4" applyNumberFormat="1" applyFont="1" applyFill="1" applyBorder="1" applyAlignment="1">
      <alignment vertical="center"/>
    </xf>
    <xf numFmtId="188" fontId="61" fillId="4" borderId="118" xfId="4" applyNumberFormat="1" applyFont="1" applyFill="1" applyBorder="1" applyAlignment="1">
      <alignment vertical="center"/>
    </xf>
    <xf numFmtId="0" fontId="6" fillId="2" borderId="12" xfId="4" applyFont="1" applyFill="1" applyBorder="1" applyAlignment="1">
      <alignment horizontal="center" vertical="center"/>
    </xf>
    <xf numFmtId="0" fontId="6" fillId="2" borderId="0" xfId="4" applyFont="1" applyFill="1" applyAlignment="1">
      <alignment vertical="center"/>
    </xf>
    <xf numFmtId="0" fontId="6" fillId="2" borderId="0" xfId="4" applyFont="1" applyFill="1"/>
    <xf numFmtId="0" fontId="6" fillId="2" borderId="13" xfId="4" applyFont="1" applyFill="1" applyBorder="1"/>
    <xf numFmtId="0" fontId="6" fillId="2" borderId="121" xfId="4" applyFont="1" applyFill="1" applyBorder="1" applyAlignment="1">
      <alignment vertical="center"/>
    </xf>
    <xf numFmtId="188" fontId="6" fillId="2" borderId="121" xfId="4" applyNumberFormat="1" applyFont="1" applyFill="1" applyBorder="1" applyAlignment="1">
      <alignment vertical="center"/>
    </xf>
    <xf numFmtId="0" fontId="6" fillId="4" borderId="121" xfId="21" applyFont="1" applyFill="1" applyBorder="1"/>
    <xf numFmtId="0" fontId="13" fillId="8" borderId="121" xfId="6" applyFont="1" applyFill="1" applyBorder="1" applyAlignment="1">
      <alignment horizontal="centerContinuous" vertical="center"/>
    </xf>
    <xf numFmtId="166" fontId="68" fillId="4" borderId="121" xfId="4" applyNumberFormat="1" applyFont="1" applyFill="1" applyBorder="1" applyAlignment="1">
      <alignment horizontal="center" vertical="center"/>
    </xf>
    <xf numFmtId="0" fontId="0" fillId="4" borderId="121" xfId="0" applyFill="1" applyBorder="1" applyAlignment="1">
      <alignment horizontal="center" vertical="center"/>
    </xf>
    <xf numFmtId="0" fontId="6" fillId="4" borderId="122" xfId="4" applyFont="1" applyFill="1" applyBorder="1"/>
    <xf numFmtId="171" fontId="21" fillId="6" borderId="117" xfId="0" applyNumberFormat="1" applyFont="1" applyFill="1" applyBorder="1" applyAlignment="1">
      <alignment horizontal="center" vertical="center" shrinkToFit="1"/>
    </xf>
    <xf numFmtId="0" fontId="12" fillId="4" borderId="0" xfId="33" applyFont="1" applyFill="1" applyAlignment="1">
      <alignment horizontal="right" vertical="center"/>
    </xf>
    <xf numFmtId="0" fontId="5" fillId="4" borderId="0" xfId="33" applyFont="1" applyFill="1"/>
    <xf numFmtId="206" fontId="12" fillId="4" borderId="0" xfId="33" applyNumberFormat="1" applyFont="1" applyFill="1" applyAlignment="1">
      <alignment horizontal="left" vertical="center" indent="1"/>
    </xf>
    <xf numFmtId="207" fontId="5" fillId="4" borderId="0" xfId="33" applyNumberFormat="1" applyFont="1" applyFill="1" applyAlignment="1">
      <alignment horizontal="center" vertical="center"/>
    </xf>
    <xf numFmtId="0" fontId="21" fillId="6" borderId="117" xfId="0" applyFont="1" applyFill="1" applyBorder="1" applyAlignment="1">
      <alignment horizontal="center" vertical="center"/>
    </xf>
    <xf numFmtId="204" fontId="21" fillId="6" borderId="117" xfId="0" applyNumberFormat="1" applyFont="1" applyFill="1" applyBorder="1" applyAlignment="1">
      <alignment horizontal="center" vertical="center" wrapText="1"/>
    </xf>
    <xf numFmtId="0" fontId="98" fillId="4" borderId="0" xfId="34" applyFont="1" applyFill="1" applyAlignment="1">
      <alignment horizontal="centerContinuous" vertical="center"/>
    </xf>
    <xf numFmtId="0" fontId="99" fillId="4" borderId="0" xfId="34" applyFont="1" applyFill="1" applyAlignment="1">
      <alignment horizontal="centerContinuous" vertical="center"/>
    </xf>
    <xf numFmtId="0" fontId="5" fillId="4" borderId="0" xfId="34" applyFont="1" applyFill="1" applyAlignment="1">
      <alignment horizontal="centerContinuous"/>
    </xf>
    <xf numFmtId="0" fontId="100" fillId="4" borderId="0" xfId="34" applyFont="1" applyFill="1" applyAlignment="1">
      <alignment horizontal="centerContinuous"/>
    </xf>
    <xf numFmtId="0" fontId="5" fillId="4" borderId="0" xfId="34" applyFont="1" applyFill="1" applyAlignment="1">
      <alignment horizontal="centerContinuous" vertical="top"/>
    </xf>
    <xf numFmtId="0" fontId="8" fillId="4" borderId="0" xfId="34" applyFont="1" applyFill="1" applyAlignment="1">
      <alignment horizontal="centerContinuous" vertical="top"/>
    </xf>
    <xf numFmtId="0" fontId="6" fillId="4" borderId="0" xfId="4" applyFont="1" applyFill="1" applyAlignment="1">
      <alignment horizontal="centerContinuous"/>
    </xf>
    <xf numFmtId="193" fontId="6" fillId="4" borderId="0" xfId="0" applyNumberFormat="1" applyFont="1" applyFill="1" applyAlignment="1">
      <alignment horizontal="centerContinuous" vertical="center"/>
    </xf>
    <xf numFmtId="195" fontId="21" fillId="6" borderId="31" xfId="34" applyNumberFormat="1" applyFont="1" applyFill="1" applyBorder="1" applyAlignment="1">
      <alignment horizontal="center" vertical="center"/>
    </xf>
    <xf numFmtId="2" fontId="21" fillId="6" borderId="31" xfId="34" applyNumberFormat="1" applyFont="1" applyFill="1" applyBorder="1" applyAlignment="1">
      <alignment horizontal="center" vertical="center"/>
    </xf>
    <xf numFmtId="166" fontId="21" fillId="6" borderId="31" xfId="34" applyNumberFormat="1" applyFont="1" applyFill="1" applyBorder="1" applyAlignment="1">
      <alignment horizontal="center" vertical="center"/>
    </xf>
    <xf numFmtId="0" fontId="5" fillId="4" borderId="31" xfId="34" applyFont="1" applyFill="1" applyBorder="1" applyAlignment="1">
      <alignment horizontal="center" vertical="center"/>
    </xf>
    <xf numFmtId="0" fontId="5" fillId="4" borderId="0" xfId="4" applyFont="1" applyFill="1"/>
    <xf numFmtId="2" fontId="5" fillId="4" borderId="31" xfId="34" applyNumberFormat="1" applyFont="1" applyFill="1" applyBorder="1" applyAlignment="1">
      <alignment horizontal="center" vertical="center"/>
    </xf>
    <xf numFmtId="195" fontId="5" fillId="4" borderId="10" xfId="34" applyNumberFormat="1" applyFont="1" applyFill="1" applyBorder="1" applyAlignment="1">
      <alignment horizontal="center" vertical="center"/>
    </xf>
    <xf numFmtId="2" fontId="5" fillId="4" borderId="10" xfId="34" applyNumberFormat="1" applyFont="1" applyFill="1" applyBorder="1" applyAlignment="1">
      <alignment horizontal="center" vertical="center"/>
    </xf>
    <xf numFmtId="195" fontId="5" fillId="4" borderId="14" xfId="34" applyNumberFormat="1" applyFont="1" applyFill="1" applyBorder="1" applyAlignment="1">
      <alignment horizontal="center" vertical="center"/>
    </xf>
    <xf numFmtId="2" fontId="5" fillId="4" borderId="14" xfId="34" applyNumberFormat="1" applyFont="1" applyFill="1" applyBorder="1" applyAlignment="1">
      <alignment horizontal="center" vertical="center"/>
    </xf>
    <xf numFmtId="195" fontId="5" fillId="4" borderId="23" xfId="34" applyNumberFormat="1" applyFont="1" applyFill="1" applyBorder="1" applyAlignment="1">
      <alignment horizontal="center" vertical="center"/>
    </xf>
    <xf numFmtId="2" fontId="5" fillId="4" borderId="23" xfId="34" applyNumberFormat="1" applyFont="1" applyFill="1" applyBorder="1" applyAlignment="1">
      <alignment horizontal="center" vertical="center"/>
    </xf>
    <xf numFmtId="0" fontId="12" fillId="2" borderId="28" xfId="35" applyFont="1" applyFill="1" applyBorder="1" applyAlignment="1">
      <alignment horizontal="centerContinuous" vertical="center"/>
    </xf>
    <xf numFmtId="0" fontId="12" fillId="2" borderId="29" xfId="35" applyFont="1" applyFill="1" applyBorder="1" applyAlignment="1">
      <alignment horizontal="centerContinuous" vertical="center"/>
    </xf>
    <xf numFmtId="0" fontId="12" fillId="2" borderId="30" xfId="35" applyFont="1" applyFill="1" applyBorder="1" applyAlignment="1">
      <alignment horizontal="centerContinuous" vertical="center"/>
    </xf>
    <xf numFmtId="0" fontId="21" fillId="4" borderId="0" xfId="35" applyFont="1" applyFill="1"/>
    <xf numFmtId="0" fontId="5" fillId="4" borderId="0" xfId="35" applyFill="1"/>
    <xf numFmtId="0" fontId="64" fillId="4" borderId="43" xfId="26" applyFont="1" applyFill="1" applyBorder="1" applyAlignment="1">
      <alignment horizontal="left" vertical="center"/>
    </xf>
    <xf numFmtId="0" fontId="5" fillId="4" borderId="50" xfId="35" applyFill="1" applyBorder="1"/>
    <xf numFmtId="0" fontId="6" fillId="4" borderId="0" xfId="35" applyFont="1" applyFill="1"/>
    <xf numFmtId="3" fontId="5" fillId="2" borderId="132" xfId="35" applyNumberFormat="1" applyFill="1" applyBorder="1" applyAlignment="1">
      <alignment horizontal="center" vertical="center"/>
    </xf>
    <xf numFmtId="3" fontId="5" fillId="2" borderId="133" xfId="35" applyNumberFormat="1" applyFill="1" applyBorder="1" applyAlignment="1">
      <alignment horizontal="center" vertical="center"/>
    </xf>
    <xf numFmtId="3" fontId="5" fillId="2" borderId="134" xfId="35" applyNumberFormat="1" applyFill="1" applyBorder="1" applyAlignment="1">
      <alignment horizontal="center" vertical="center"/>
    </xf>
    <xf numFmtId="3" fontId="5" fillId="2" borderId="135" xfId="35" applyNumberFormat="1" applyFill="1" applyBorder="1" applyAlignment="1">
      <alignment horizontal="center" vertical="center"/>
    </xf>
    <xf numFmtId="3" fontId="5" fillId="2" borderId="136" xfId="35" applyNumberFormat="1" applyFill="1" applyBorder="1" applyAlignment="1">
      <alignment horizontal="center" vertical="center"/>
    </xf>
    <xf numFmtId="3" fontId="5" fillId="2" borderId="137" xfId="35" applyNumberFormat="1" applyFill="1" applyBorder="1" applyAlignment="1">
      <alignment horizontal="center" vertical="center"/>
    </xf>
    <xf numFmtId="2" fontId="5" fillId="4" borderId="138" xfId="35" applyNumberFormat="1" applyFill="1" applyBorder="1" applyAlignment="1">
      <alignment horizontal="center" vertical="center"/>
    </xf>
    <xf numFmtId="2" fontId="5" fillId="4" borderId="139" xfId="35" applyNumberFormat="1" applyFill="1" applyBorder="1" applyAlignment="1">
      <alignment horizontal="center" vertical="center"/>
    </xf>
    <xf numFmtId="2" fontId="5" fillId="4" borderId="140" xfId="35" applyNumberFormat="1" applyFill="1" applyBorder="1" applyAlignment="1">
      <alignment horizontal="center" vertical="center"/>
    </xf>
    <xf numFmtId="2" fontId="5" fillId="4" borderId="98" xfId="35" applyNumberFormat="1" applyFill="1" applyBorder="1" applyAlignment="1">
      <alignment horizontal="center" vertical="center"/>
    </xf>
    <xf numFmtId="2" fontId="5" fillId="4" borderId="52" xfId="35" applyNumberFormat="1" applyFill="1" applyBorder="1" applyAlignment="1">
      <alignment horizontal="center" vertical="center"/>
    </xf>
    <xf numFmtId="2" fontId="5" fillId="4" borderId="141" xfId="35" applyNumberFormat="1" applyFill="1" applyBorder="1" applyAlignment="1">
      <alignment horizontal="center" vertical="center"/>
    </xf>
    <xf numFmtId="2" fontId="5" fillId="4" borderId="99" xfId="35" applyNumberFormat="1" applyFill="1" applyBorder="1" applyAlignment="1">
      <alignment horizontal="center" vertical="center"/>
    </xf>
    <xf numFmtId="2" fontId="5" fillId="4" borderId="97" xfId="35" applyNumberFormat="1" applyFill="1" applyBorder="1" applyAlignment="1">
      <alignment horizontal="center" vertical="center"/>
    </xf>
    <xf numFmtId="2" fontId="5" fillId="4" borderId="142" xfId="35" applyNumberFormat="1" applyFill="1" applyBorder="1" applyAlignment="1">
      <alignment horizontal="center" vertical="center"/>
    </xf>
    <xf numFmtId="0" fontId="12" fillId="6" borderId="28" xfId="35" applyFont="1" applyFill="1" applyBorder="1" applyAlignment="1">
      <alignment horizontal="left" vertical="center"/>
    </xf>
    <xf numFmtId="0" fontId="101" fillId="6" borderId="29" xfId="35" applyFont="1" applyFill="1" applyBorder="1" applyAlignment="1">
      <alignment horizontal="center" vertical="center"/>
    </xf>
    <xf numFmtId="0" fontId="102" fillId="6" borderId="29" xfId="35" applyFont="1" applyFill="1" applyBorder="1" applyAlignment="1">
      <alignment horizontal="centerContinuous" vertical="center"/>
    </xf>
    <xf numFmtId="0" fontId="102" fillId="6" borderId="29" xfId="35" applyFont="1" applyFill="1" applyBorder="1" applyAlignment="1">
      <alignment vertical="center"/>
    </xf>
    <xf numFmtId="0" fontId="102" fillId="6" borderId="30" xfId="35" applyFont="1" applyFill="1" applyBorder="1" applyAlignment="1">
      <alignment vertical="center"/>
    </xf>
    <xf numFmtId="1" fontId="5" fillId="4" borderId="144" xfId="35" applyNumberFormat="1" applyFill="1" applyBorder="1" applyAlignment="1">
      <alignment horizontal="center" vertical="center"/>
    </xf>
    <xf numFmtId="1" fontId="5" fillId="4" borderId="145" xfId="35" applyNumberFormat="1" applyFill="1" applyBorder="1" applyAlignment="1">
      <alignment horizontal="center" vertical="center"/>
    </xf>
    <xf numFmtId="1" fontId="5" fillId="4" borderId="131" xfId="35" applyNumberFormat="1" applyFill="1" applyBorder="1" applyAlignment="1">
      <alignment horizontal="center" vertical="center"/>
    </xf>
    <xf numFmtId="171" fontId="5" fillId="4" borderId="138" xfId="35" applyNumberFormat="1" applyFill="1" applyBorder="1" applyAlignment="1">
      <alignment horizontal="center" vertical="center"/>
    </xf>
    <xf numFmtId="171" fontId="5" fillId="4" borderId="139" xfId="35" applyNumberFormat="1" applyFill="1" applyBorder="1" applyAlignment="1">
      <alignment horizontal="center" vertical="center"/>
    </xf>
    <xf numFmtId="171" fontId="5" fillId="4" borderId="140" xfId="35" applyNumberFormat="1" applyFill="1" applyBorder="1" applyAlignment="1">
      <alignment horizontal="center" vertical="center"/>
    </xf>
    <xf numFmtId="171" fontId="5" fillId="4" borderId="98" xfId="35" applyNumberFormat="1" applyFill="1" applyBorder="1" applyAlignment="1">
      <alignment horizontal="center" vertical="center"/>
    </xf>
    <xf numFmtId="171" fontId="5" fillId="4" borderId="52" xfId="35" applyNumberFormat="1" applyFill="1" applyBorder="1" applyAlignment="1">
      <alignment horizontal="center" vertical="center"/>
    </xf>
    <xf numFmtId="171" fontId="5" fillId="4" borderId="141" xfId="35" applyNumberFormat="1" applyFill="1" applyBorder="1" applyAlignment="1">
      <alignment horizontal="center" vertical="center"/>
    </xf>
    <xf numFmtId="171" fontId="5" fillId="4" borderId="99" xfId="35" applyNumberFormat="1" applyFill="1" applyBorder="1" applyAlignment="1">
      <alignment horizontal="center" vertical="center"/>
    </xf>
    <xf numFmtId="171" fontId="5" fillId="4" borderId="97" xfId="35" applyNumberFormat="1" applyFill="1" applyBorder="1" applyAlignment="1">
      <alignment horizontal="center" vertical="center"/>
    </xf>
    <xf numFmtId="171" fontId="5" fillId="4" borderId="142" xfId="35" applyNumberFormat="1" applyFill="1" applyBorder="1" applyAlignment="1">
      <alignment horizontal="center" vertical="center"/>
    </xf>
    <xf numFmtId="0" fontId="6" fillId="4" borderId="50" xfId="35" applyFont="1" applyFill="1" applyBorder="1" applyAlignment="1">
      <alignment vertical="center"/>
    </xf>
    <xf numFmtId="0" fontId="6" fillId="2" borderId="151" xfId="35" applyFont="1" applyFill="1" applyBorder="1" applyAlignment="1">
      <alignment horizontal="center" vertical="center" wrapText="1"/>
    </xf>
    <xf numFmtId="0" fontId="6" fillId="2" borderId="152" xfId="35" applyFont="1" applyFill="1" applyBorder="1" applyAlignment="1">
      <alignment horizontal="center" vertical="center" wrapText="1"/>
    </xf>
    <xf numFmtId="0" fontId="5" fillId="4" borderId="12" xfId="33" applyFont="1" applyFill="1" applyBorder="1" applyAlignment="1">
      <alignment vertical="center"/>
    </xf>
    <xf numFmtId="0" fontId="76" fillId="4" borderId="0" xfId="33" applyFont="1" applyFill="1" applyAlignment="1">
      <alignment horizontal="center" vertical="top"/>
    </xf>
    <xf numFmtId="0" fontId="5" fillId="4" borderId="8" xfId="33" applyFont="1" applyFill="1" applyBorder="1" applyAlignment="1" applyProtection="1">
      <alignment horizontal="center" vertical="center"/>
      <protection locked="0"/>
    </xf>
    <xf numFmtId="0" fontId="5" fillId="4" borderId="8" xfId="33" applyFont="1" applyFill="1" applyBorder="1" applyAlignment="1">
      <alignment vertical="center"/>
    </xf>
    <xf numFmtId="0" fontId="5" fillId="4" borderId="12" xfId="33" applyFont="1" applyFill="1" applyBorder="1" applyAlignment="1">
      <alignment horizontal="center" vertical="center"/>
    </xf>
    <xf numFmtId="0" fontId="5" fillId="4" borderId="122" xfId="33" applyFont="1" applyFill="1" applyBorder="1" applyAlignment="1">
      <alignment horizontal="center" vertical="center"/>
    </xf>
    <xf numFmtId="0" fontId="5" fillId="4" borderId="8" xfId="33" applyFont="1" applyFill="1" applyBorder="1" applyAlignment="1" applyProtection="1">
      <alignment vertical="center"/>
      <protection locked="0"/>
    </xf>
    <xf numFmtId="0" fontId="5" fillId="4" borderId="10" xfId="33" applyFont="1" applyFill="1" applyBorder="1" applyAlignment="1" applyProtection="1">
      <alignment vertical="center"/>
      <protection locked="0"/>
    </xf>
    <xf numFmtId="0" fontId="5" fillId="4" borderId="14" xfId="33" applyFont="1" applyFill="1" applyBorder="1" applyAlignment="1">
      <alignment vertical="center"/>
    </xf>
    <xf numFmtId="0" fontId="5" fillId="4" borderId="14" xfId="33" applyFont="1" applyFill="1" applyBorder="1"/>
    <xf numFmtId="0" fontId="5" fillId="4" borderId="121" xfId="33" applyFont="1" applyFill="1" applyBorder="1"/>
    <xf numFmtId="0" fontId="5" fillId="4" borderId="153" xfId="33" applyFont="1" applyFill="1" applyBorder="1" applyAlignment="1">
      <alignment vertical="center"/>
    </xf>
    <xf numFmtId="0" fontId="19" fillId="7" borderId="28" xfId="5" applyFont="1" applyFill="1" applyBorder="1" applyAlignment="1">
      <alignment horizontal="centerContinuous" vertical="center"/>
    </xf>
    <xf numFmtId="171" fontId="5" fillId="0" borderId="117" xfId="33" applyNumberFormat="1" applyFont="1" applyBorder="1" applyAlignment="1" applyProtection="1">
      <alignment horizontal="center" vertical="center"/>
      <protection locked="0"/>
    </xf>
    <xf numFmtId="208" fontId="55" fillId="0" borderId="117" xfId="33" applyNumberFormat="1" applyFont="1" applyBorder="1" applyAlignment="1" applyProtection="1">
      <alignment horizontal="center" vertical="center"/>
      <protection locked="0"/>
    </xf>
    <xf numFmtId="212" fontId="55" fillId="0" borderId="117" xfId="33" applyNumberFormat="1" applyFont="1" applyBorder="1" applyAlignment="1" applyProtection="1">
      <alignment horizontal="center" vertical="center"/>
      <protection locked="0"/>
    </xf>
    <xf numFmtId="0" fontId="5" fillId="4" borderId="40" xfId="33" applyFont="1" applyFill="1" applyBorder="1"/>
    <xf numFmtId="0" fontId="5" fillId="4" borderId="38" xfId="33" applyFont="1" applyFill="1" applyBorder="1"/>
    <xf numFmtId="0" fontId="76" fillId="4" borderId="40" xfId="33" applyFont="1" applyFill="1" applyBorder="1" applyAlignment="1">
      <alignment horizontal="right" vertical="center"/>
    </xf>
    <xf numFmtId="0" fontId="5" fillId="4" borderId="38" xfId="33" applyFont="1" applyFill="1" applyBorder="1" applyAlignment="1">
      <alignment vertical="center"/>
    </xf>
    <xf numFmtId="0" fontId="76" fillId="4" borderId="0" xfId="33" applyFont="1" applyFill="1" applyAlignment="1">
      <alignment horizontal="center" vertical="center"/>
    </xf>
    <xf numFmtId="0" fontId="76" fillId="4" borderId="38" xfId="33" applyFont="1" applyFill="1" applyBorder="1" applyAlignment="1">
      <alignment horizontal="center" vertical="center"/>
    </xf>
    <xf numFmtId="0" fontId="76" fillId="4" borderId="0" xfId="33" applyFont="1" applyFill="1" applyAlignment="1">
      <alignment horizontal="right" vertical="center"/>
    </xf>
    <xf numFmtId="0" fontId="5" fillId="4" borderId="48" xfId="33" applyFont="1" applyFill="1" applyBorder="1"/>
    <xf numFmtId="0" fontId="5" fillId="4" borderId="50" xfId="33" applyFont="1" applyFill="1" applyBorder="1"/>
    <xf numFmtId="0" fontId="5" fillId="4" borderId="51" xfId="33" applyFont="1" applyFill="1" applyBorder="1"/>
    <xf numFmtId="0" fontId="61" fillId="6" borderId="71" xfId="33" applyFont="1" applyFill="1" applyBorder="1" applyAlignment="1">
      <alignment horizontal="centerContinuous" vertical="center"/>
    </xf>
    <xf numFmtId="0" fontId="5" fillId="6" borderId="49" xfId="33" applyFont="1" applyFill="1" applyBorder="1" applyAlignment="1">
      <alignment horizontal="centerContinuous"/>
    </xf>
    <xf numFmtId="0" fontId="5" fillId="6" borderId="72" xfId="33" applyFont="1" applyFill="1" applyBorder="1" applyAlignment="1">
      <alignment horizontal="centerContinuous"/>
    </xf>
    <xf numFmtId="0" fontId="76" fillId="4" borderId="0" xfId="33" applyFont="1" applyFill="1" applyAlignment="1">
      <alignment horizontal="centerContinuous"/>
    </xf>
    <xf numFmtId="0" fontId="76" fillId="4" borderId="38" xfId="33" applyFont="1" applyFill="1" applyBorder="1" applyAlignment="1">
      <alignment horizontal="centerContinuous"/>
    </xf>
    <xf numFmtId="0" fontId="12" fillId="4" borderId="0" xfId="33" applyFont="1" applyFill="1" applyAlignment="1">
      <alignment horizontal="center" vertical="center"/>
    </xf>
    <xf numFmtId="0" fontId="12" fillId="4" borderId="38" xfId="33" applyFont="1" applyFill="1" applyBorder="1" applyAlignment="1">
      <alignment horizontal="center" vertical="center"/>
    </xf>
    <xf numFmtId="0" fontId="5" fillId="4" borderId="51" xfId="33" applyFont="1" applyFill="1" applyBorder="1" applyAlignment="1">
      <alignment vertical="center"/>
    </xf>
    <xf numFmtId="0" fontId="76" fillId="4" borderId="0" xfId="33" applyFont="1" applyFill="1" applyAlignment="1">
      <alignment horizontal="centerContinuous" vertical="center"/>
    </xf>
    <xf numFmtId="211" fontId="76" fillId="4" borderId="0" xfId="33" applyNumberFormat="1" applyFont="1" applyFill="1" applyAlignment="1">
      <alignment horizontal="center" vertical="center"/>
    </xf>
    <xf numFmtId="0" fontId="6" fillId="4" borderId="49" xfId="21" applyFont="1" applyFill="1" applyBorder="1"/>
    <xf numFmtId="0" fontId="5" fillId="4" borderId="0" xfId="33" applyFont="1" applyFill="1" applyAlignment="1">
      <alignment vertical="center"/>
    </xf>
    <xf numFmtId="210" fontId="76" fillId="4" borderId="0" xfId="33" applyNumberFormat="1" applyFont="1" applyFill="1" applyAlignment="1">
      <alignment horizontal="left" vertical="center"/>
    </xf>
    <xf numFmtId="0" fontId="5" fillId="4" borderId="49" xfId="33" applyFont="1" applyFill="1" applyBorder="1"/>
    <xf numFmtId="0" fontId="76" fillId="4" borderId="40" xfId="33" applyFont="1" applyFill="1" applyBorder="1" applyAlignment="1">
      <alignment horizontal="centerContinuous" vertical="center"/>
    </xf>
    <xf numFmtId="0" fontId="76" fillId="4" borderId="40" xfId="33" applyFont="1" applyFill="1" applyBorder="1" applyAlignment="1">
      <alignment horizontal="center" vertical="top"/>
    </xf>
    <xf numFmtId="0" fontId="76" fillId="4" borderId="40" xfId="33" applyFont="1" applyFill="1" applyBorder="1" applyAlignment="1">
      <alignment horizontal="center" vertical="center"/>
    </xf>
    <xf numFmtId="210" fontId="76" fillId="4" borderId="38" xfId="33" applyNumberFormat="1" applyFont="1" applyFill="1" applyBorder="1" applyAlignment="1">
      <alignment horizontal="center" vertical="center" shrinkToFit="1"/>
    </xf>
    <xf numFmtId="3" fontId="76" fillId="4" borderId="0" xfId="33" applyNumberFormat="1" applyFont="1" applyFill="1" applyAlignment="1">
      <alignment horizontal="center" vertical="center" shrinkToFit="1"/>
    </xf>
    <xf numFmtId="3" fontId="76" fillId="4" borderId="38" xfId="36" applyNumberFormat="1" applyFont="1" applyFill="1" applyBorder="1" applyAlignment="1">
      <alignment horizontal="center" vertical="center" shrinkToFit="1"/>
    </xf>
    <xf numFmtId="0" fontId="19" fillId="7" borderId="29" xfId="5" applyFont="1" applyFill="1" applyBorder="1" applyAlignment="1">
      <alignment horizontal="centerContinuous" vertical="center"/>
    </xf>
    <xf numFmtId="0" fontId="19" fillId="7" borderId="30" xfId="5" applyFont="1" applyFill="1" applyBorder="1" applyAlignment="1">
      <alignment horizontal="centerContinuous" vertical="center"/>
    </xf>
    <xf numFmtId="0" fontId="19" fillId="4" borderId="29" xfId="5" applyFont="1" applyFill="1" applyBorder="1" applyAlignment="1">
      <alignment horizontal="center" vertical="center"/>
    </xf>
    <xf numFmtId="0" fontId="76" fillId="4" borderId="29" xfId="33" applyFont="1" applyFill="1" applyBorder="1" applyAlignment="1">
      <alignment horizontal="center" vertical="center"/>
    </xf>
    <xf numFmtId="0" fontId="76" fillId="4" borderId="30" xfId="33" applyFont="1" applyFill="1" applyBorder="1" applyAlignment="1">
      <alignment horizontal="center" vertical="center"/>
    </xf>
    <xf numFmtId="0" fontId="5" fillId="4" borderId="112" xfId="33" applyFont="1" applyFill="1" applyBorder="1" applyAlignment="1">
      <alignment horizontal="center" vertical="center"/>
    </xf>
    <xf numFmtId="0" fontId="5" fillId="4" borderId="153" xfId="33" applyFont="1" applyFill="1" applyBorder="1" applyAlignment="1">
      <alignment horizontal="center" vertical="center"/>
    </xf>
    <xf numFmtId="0" fontId="19" fillId="4" borderId="31" xfId="5" applyFont="1" applyFill="1" applyBorder="1" applyAlignment="1">
      <alignment horizontal="center" vertical="center"/>
    </xf>
    <xf numFmtId="188" fontId="6" fillId="4" borderId="0" xfId="4" applyNumberFormat="1" applyFont="1" applyFill="1" applyAlignment="1">
      <alignment vertical="center"/>
    </xf>
    <xf numFmtId="41" fontId="6" fillId="4" borderId="0" xfId="4" applyNumberFormat="1" applyFont="1" applyFill="1" applyAlignment="1">
      <alignment vertical="center"/>
    </xf>
    <xf numFmtId="0" fontId="15" fillId="4" borderId="0" xfId="0" applyFont="1" applyFill="1" applyAlignment="1">
      <alignment horizontal="left"/>
    </xf>
    <xf numFmtId="0" fontId="15" fillId="4" borderId="0" xfId="0" applyFont="1" applyFill="1" applyAlignment="1">
      <alignment horizontal="left" vertical="center"/>
    </xf>
    <xf numFmtId="0" fontId="6" fillId="4" borderId="0" xfId="21" applyFont="1" applyFill="1" applyAlignment="1">
      <alignment horizontal="left"/>
    </xf>
    <xf numFmtId="0" fontId="5" fillId="4" borderId="0" xfId="33" applyFont="1" applyFill="1" applyAlignment="1">
      <alignment horizontal="center" vertical="center"/>
    </xf>
    <xf numFmtId="171" fontId="5" fillId="4" borderId="9" xfId="33" applyNumberFormat="1" applyFont="1" applyFill="1" applyBorder="1" applyAlignment="1">
      <alignment horizontal="right" vertical="center" indent="1"/>
    </xf>
    <xf numFmtId="171" fontId="5" fillId="4" borderId="13" xfId="33" applyNumberFormat="1" applyFont="1" applyFill="1" applyBorder="1" applyAlignment="1">
      <alignment horizontal="right" vertical="center" indent="1"/>
    </xf>
    <xf numFmtId="171" fontId="5" fillId="4" borderId="154" xfId="33" applyNumberFormat="1" applyFont="1" applyFill="1" applyBorder="1" applyAlignment="1">
      <alignment horizontal="right" vertical="center" indent="1"/>
    </xf>
    <xf numFmtId="0" fontId="21" fillId="4" borderId="0" xfId="37" applyFont="1" applyFill="1" applyAlignment="1">
      <alignment vertical="top" wrapText="1"/>
    </xf>
    <xf numFmtId="0" fontId="14" fillId="6" borderId="71" xfId="37" applyFont="1" applyFill="1" applyBorder="1" applyAlignment="1">
      <alignment horizontal="left" vertical="center" indent="1"/>
    </xf>
    <xf numFmtId="0" fontId="6" fillId="6" borderId="49" xfId="37" applyFont="1" applyFill="1" applyBorder="1" applyAlignment="1">
      <alignment vertical="top"/>
    </xf>
    <xf numFmtId="0" fontId="6" fillId="6" borderId="49" xfId="37" applyFont="1" applyFill="1" applyBorder="1" applyAlignment="1">
      <alignment horizontal="left" vertical="top" wrapText="1"/>
    </xf>
    <xf numFmtId="0" fontId="6" fillId="6" borderId="72" xfId="37" applyFont="1" applyFill="1" applyBorder="1" applyAlignment="1">
      <alignment vertical="top"/>
    </xf>
    <xf numFmtId="0" fontId="21" fillId="6" borderId="17" xfId="37" applyFont="1" applyFill="1" applyBorder="1" applyAlignment="1">
      <alignment horizontal="center" vertical="center"/>
    </xf>
    <xf numFmtId="0" fontId="6" fillId="6" borderId="16" xfId="37" applyFont="1" applyFill="1" applyBorder="1" applyAlignment="1">
      <alignment horizontal="center" vertical="center"/>
    </xf>
    <xf numFmtId="0" fontId="6" fillId="6" borderId="56" xfId="37" applyFont="1" applyFill="1" applyBorder="1" applyAlignment="1">
      <alignment horizontal="center" vertical="center"/>
    </xf>
    <xf numFmtId="0" fontId="6" fillId="4" borderId="155" xfId="37" applyFont="1" applyFill="1" applyBorder="1" applyAlignment="1">
      <alignment horizontal="center" vertical="center"/>
    </xf>
    <xf numFmtId="172" fontId="6" fillId="4" borderId="155" xfId="37" applyNumberFormat="1" applyFont="1" applyFill="1" applyBorder="1" applyAlignment="1">
      <alignment horizontal="right" vertical="center" wrapText="1" indent="1"/>
    </xf>
    <xf numFmtId="166" fontId="6" fillId="4" borderId="155" xfId="37" applyNumberFormat="1" applyFont="1" applyFill="1" applyBorder="1" applyAlignment="1">
      <alignment horizontal="right" vertical="center" wrapText="1" indent="1"/>
    </xf>
    <xf numFmtId="172" fontId="6" fillId="4" borderId="155" xfId="37" applyNumberFormat="1" applyFont="1" applyFill="1" applyBorder="1" applyAlignment="1">
      <alignment horizontal="right" vertical="center" indent="1"/>
    </xf>
    <xf numFmtId="0" fontId="6" fillId="4" borderId="155" xfId="37" applyFont="1" applyFill="1" applyBorder="1" applyAlignment="1">
      <alignment horizontal="right" vertical="center" indent="1"/>
    </xf>
    <xf numFmtId="0" fontId="6" fillId="4" borderId="156" xfId="37" applyFont="1" applyFill="1" applyBorder="1" applyAlignment="1">
      <alignment horizontal="center" vertical="center"/>
    </xf>
    <xf numFmtId="172" fontId="6" fillId="4" borderId="156" xfId="37" applyNumberFormat="1" applyFont="1" applyFill="1" applyBorder="1" applyAlignment="1">
      <alignment horizontal="right" vertical="center" wrapText="1" indent="1"/>
    </xf>
    <xf numFmtId="166" fontId="6" fillId="4" borderId="156" xfId="37" applyNumberFormat="1" applyFont="1" applyFill="1" applyBorder="1" applyAlignment="1">
      <alignment horizontal="right" vertical="center" wrapText="1" indent="1"/>
    </xf>
    <xf numFmtId="172" fontId="6" fillId="4" borderId="156" xfId="37" applyNumberFormat="1" applyFont="1" applyFill="1" applyBorder="1" applyAlignment="1">
      <alignment horizontal="right" vertical="center" indent="1"/>
    </xf>
    <xf numFmtId="0" fontId="6" fillId="4" borderId="156" xfId="37" applyFont="1" applyFill="1" applyBorder="1" applyAlignment="1">
      <alignment horizontal="right" vertical="center" indent="1"/>
    </xf>
    <xf numFmtId="0" fontId="6" fillId="4" borderId="157" xfId="37" applyFont="1" applyFill="1" applyBorder="1" applyAlignment="1">
      <alignment horizontal="center" vertical="center"/>
    </xf>
    <xf numFmtId="172" fontId="6" fillId="4" borderId="157" xfId="37" applyNumberFormat="1" applyFont="1" applyFill="1" applyBorder="1" applyAlignment="1">
      <alignment horizontal="right" vertical="center" wrapText="1" indent="1"/>
    </xf>
    <xf numFmtId="166" fontId="6" fillId="4" borderId="157" xfId="37" applyNumberFormat="1" applyFont="1" applyFill="1" applyBorder="1" applyAlignment="1">
      <alignment horizontal="right" vertical="center" wrapText="1" indent="1"/>
    </xf>
    <xf numFmtId="172" fontId="6" fillId="4" borderId="157" xfId="37" applyNumberFormat="1" applyFont="1" applyFill="1" applyBorder="1" applyAlignment="1">
      <alignment horizontal="right" vertical="center" indent="1"/>
    </xf>
    <xf numFmtId="0" fontId="6" fillId="4" borderId="157" xfId="37" applyFont="1" applyFill="1" applyBorder="1" applyAlignment="1">
      <alignment horizontal="right" vertical="center" indent="1"/>
    </xf>
    <xf numFmtId="0" fontId="5" fillId="4" borderId="44" xfId="33" applyFont="1" applyFill="1" applyBorder="1"/>
    <xf numFmtId="0" fontId="6" fillId="4" borderId="40" xfId="4" applyFont="1" applyFill="1" applyBorder="1"/>
    <xf numFmtId="0" fontId="5" fillId="4" borderId="121" xfId="33" applyFont="1" applyFill="1" applyBorder="1" applyAlignment="1">
      <alignment vertical="center"/>
    </xf>
    <xf numFmtId="0" fontId="13" fillId="3" borderId="1" xfId="10" applyFont="1" applyFill="1" applyBorder="1" applyAlignment="1">
      <alignment horizontal="center" vertical="center"/>
    </xf>
    <xf numFmtId="3" fontId="76" fillId="4" borderId="128" xfId="33" applyNumberFormat="1" applyFont="1" applyFill="1" applyBorder="1" applyAlignment="1">
      <alignment horizontal="center" vertical="center" shrinkToFit="1"/>
    </xf>
    <xf numFmtId="209" fontId="76" fillId="4" borderId="0" xfId="33" applyNumberFormat="1" applyFont="1" applyFill="1" applyAlignment="1">
      <alignment horizontal="right" vertical="center" shrinkToFit="1"/>
    </xf>
    <xf numFmtId="210" fontId="76" fillId="4" borderId="0" xfId="33" applyNumberFormat="1" applyFont="1" applyFill="1" applyAlignment="1">
      <alignment horizontal="right" vertical="center" shrinkToFit="1"/>
    </xf>
    <xf numFmtId="200" fontId="6" fillId="4" borderId="117" xfId="0" applyNumberFormat="1" applyFont="1" applyFill="1" applyBorder="1" applyAlignment="1">
      <alignment vertical="center"/>
    </xf>
    <xf numFmtId="200" fontId="6" fillId="4" borderId="158" xfId="0" applyNumberFormat="1" applyFont="1" applyFill="1" applyBorder="1" applyAlignment="1">
      <alignment vertical="center"/>
    </xf>
    <xf numFmtId="0" fontId="6" fillId="4" borderId="0" xfId="0" applyFont="1" applyFill="1" applyAlignment="1">
      <alignment horizontal="left" vertical="center"/>
    </xf>
    <xf numFmtId="0" fontId="6" fillId="4" borderId="117" xfId="0" applyFont="1" applyFill="1" applyBorder="1" applyAlignment="1">
      <alignment vertical="center"/>
    </xf>
    <xf numFmtId="22" fontId="6" fillId="6" borderId="117" xfId="0" applyNumberFormat="1" applyFont="1" applyFill="1" applyBorder="1" applyAlignment="1">
      <alignment horizontal="center" vertical="center"/>
    </xf>
    <xf numFmtId="0" fontId="6" fillId="0" borderId="17" xfId="14" applyBorder="1" applyProtection="1">
      <protection locked="0"/>
    </xf>
    <xf numFmtId="0" fontId="9" fillId="0" borderId="17" xfId="14" applyFont="1" applyBorder="1" applyAlignment="1" applyProtection="1">
      <alignment vertical="center" wrapText="1"/>
      <protection locked="0"/>
    </xf>
    <xf numFmtId="0" fontId="6" fillId="0" borderId="56" xfId="14" applyBorder="1" applyProtection="1">
      <protection locked="0"/>
    </xf>
    <xf numFmtId="0" fontId="9" fillId="0" borderId="56" xfId="14" applyFont="1" applyBorder="1" applyAlignment="1" applyProtection="1">
      <alignment vertical="center" wrapText="1"/>
      <protection locked="0"/>
    </xf>
    <xf numFmtId="0" fontId="6" fillId="0" borderId="16" xfId="14" applyBorder="1" applyProtection="1">
      <protection locked="0"/>
    </xf>
    <xf numFmtId="0" fontId="9" fillId="0" borderId="16" xfId="14" applyFont="1" applyBorder="1" applyAlignment="1" applyProtection="1">
      <alignment horizontal="center" vertical="center" wrapText="1"/>
      <protection locked="0"/>
    </xf>
    <xf numFmtId="0" fontId="6" fillId="0" borderId="0" xfId="38" applyFont="1"/>
    <xf numFmtId="0" fontId="5" fillId="3" borderId="1" xfId="1" applyFill="1" applyBorder="1"/>
    <xf numFmtId="0" fontId="5" fillId="4" borderId="0" xfId="1" applyFill="1"/>
    <xf numFmtId="0" fontId="21" fillId="4" borderId="0" xfId="38" applyFont="1" applyFill="1" applyAlignment="1">
      <alignment horizontal="center"/>
    </xf>
    <xf numFmtId="0" fontId="6" fillId="4" borderId="0" xfId="38" applyFont="1" applyFill="1"/>
    <xf numFmtId="0" fontId="21" fillId="4" borderId="0" xfId="5" applyFont="1" applyFill="1" applyAlignment="1">
      <alignment horizontal="right" vertical="center"/>
    </xf>
    <xf numFmtId="0" fontId="6" fillId="4" borderId="0" xfId="39" applyFont="1" applyFill="1"/>
    <xf numFmtId="0" fontId="6" fillId="4" borderId="0" xfId="2" applyFont="1" applyFill="1" applyBorder="1" applyAlignment="1" applyProtection="1">
      <alignment horizontal="left" vertical="center" indent="1"/>
    </xf>
    <xf numFmtId="0" fontId="10" fillId="0" borderId="0" xfId="5" applyFont="1" applyAlignment="1">
      <alignment vertical="center"/>
    </xf>
    <xf numFmtId="0" fontId="6" fillId="0" borderId="0" xfId="39" applyFont="1"/>
    <xf numFmtId="0" fontId="11" fillId="3" borderId="1" xfId="1" applyFont="1" applyFill="1" applyBorder="1" applyAlignment="1">
      <alignment horizontal="centerContinuous" vertical="center"/>
    </xf>
    <xf numFmtId="0" fontId="11" fillId="4" borderId="0" xfId="1" applyFont="1" applyFill="1" applyAlignment="1">
      <alignment horizontal="centerContinuous" vertical="center"/>
    </xf>
    <xf numFmtId="0" fontId="104" fillId="0" borderId="0" xfId="5" applyFont="1"/>
    <xf numFmtId="0" fontId="105" fillId="0" borderId="0" xfId="5" applyFont="1"/>
    <xf numFmtId="0" fontId="106" fillId="0" borderId="0" xfId="5" applyFont="1" applyAlignment="1">
      <alignment horizontal="left" vertical="center"/>
    </xf>
    <xf numFmtId="49" fontId="106" fillId="0" borderId="0" xfId="5" applyNumberFormat="1" applyFont="1" applyAlignment="1">
      <alignment horizontal="left" vertical="center"/>
    </xf>
    <xf numFmtId="0" fontId="6" fillId="0" borderId="0" xfId="38" applyFont="1" applyAlignment="1">
      <alignment horizontal="left"/>
    </xf>
    <xf numFmtId="0" fontId="13" fillId="4" borderId="0" xfId="2" applyFont="1" applyFill="1" applyBorder="1" applyAlignment="1" applyProtection="1">
      <alignment horizontal="left" vertical="center" wrapText="1" indent="1"/>
    </xf>
    <xf numFmtId="0" fontId="21" fillId="0" borderId="0" xfId="38" applyFont="1" applyAlignment="1">
      <alignment horizontal="center"/>
    </xf>
    <xf numFmtId="0" fontId="107" fillId="4" borderId="0" xfId="2" applyFont="1" applyFill="1" applyBorder="1" applyAlignment="1" applyProtection="1">
      <alignment horizontal="left" vertical="center" wrapText="1" indent="1"/>
    </xf>
    <xf numFmtId="0" fontId="6" fillId="0" borderId="0" xfId="5" applyFont="1" applyAlignment="1">
      <alignment horizontal="right"/>
    </xf>
    <xf numFmtId="0" fontId="6" fillId="0" borderId="0" xfId="5" applyFont="1"/>
    <xf numFmtId="0" fontId="39" fillId="0" borderId="0" xfId="5" applyFont="1" applyAlignment="1">
      <alignment horizontal="center" vertical="center"/>
    </xf>
    <xf numFmtId="0" fontId="6" fillId="4" borderId="0" xfId="2" applyFont="1" applyFill="1" applyBorder="1" applyAlignment="1" applyProtection="1">
      <alignment horizontal="left" vertical="center" indent="3"/>
    </xf>
    <xf numFmtId="0" fontId="6" fillId="0" borderId="0" xfId="5" applyFont="1" applyAlignment="1" applyProtection="1">
      <alignment horizontal="left" shrinkToFit="1"/>
      <protection locked="0"/>
    </xf>
    <xf numFmtId="1" fontId="6" fillId="0" borderId="0" xfId="5" applyNumberFormat="1" applyFont="1" applyProtection="1">
      <protection locked="0"/>
    </xf>
    <xf numFmtId="0" fontId="107" fillId="4" borderId="0" xfId="2" applyFont="1" applyFill="1" applyBorder="1" applyAlignment="1" applyProtection="1">
      <alignment horizontal="left" vertical="center" indent="3"/>
    </xf>
    <xf numFmtId="0" fontId="6" fillId="0" borderId="0" xfId="5" applyFont="1" applyAlignment="1">
      <alignment horizontal="right" vertical="center"/>
    </xf>
    <xf numFmtId="0" fontId="6" fillId="0" borderId="0" xfId="5" applyFont="1" applyAlignment="1">
      <alignment horizontal="left" vertical="center" shrinkToFit="1"/>
    </xf>
    <xf numFmtId="14" fontId="6" fillId="0" borderId="0" xfId="5" applyNumberFormat="1" applyFont="1" applyAlignment="1" applyProtection="1">
      <alignment horizontal="left"/>
      <protection locked="0"/>
    </xf>
    <xf numFmtId="0" fontId="6" fillId="0" borderId="0" xfId="5" applyFont="1" applyAlignment="1">
      <alignment horizontal="left" vertical="center"/>
    </xf>
    <xf numFmtId="0" fontId="6" fillId="0" borderId="0" xfId="5" applyFont="1" applyAlignment="1">
      <alignment vertical="center"/>
    </xf>
    <xf numFmtId="0" fontId="6" fillId="0" borderId="0" xfId="38" applyFont="1" applyAlignment="1">
      <alignment vertical="center"/>
    </xf>
    <xf numFmtId="0" fontId="13" fillId="4" borderId="0" xfId="1" applyFont="1" applyFill="1" applyAlignment="1">
      <alignment horizontal="left" vertical="center" indent="1"/>
    </xf>
    <xf numFmtId="0" fontId="6" fillId="0" borderId="0" xfId="38" applyFont="1" applyAlignment="1">
      <alignment horizontal="center" vertical="center"/>
    </xf>
    <xf numFmtId="0" fontId="6" fillId="4" borderId="0" xfId="38" applyFont="1" applyFill="1" applyAlignment="1">
      <alignment horizontal="center" vertical="center"/>
    </xf>
    <xf numFmtId="214" fontId="6" fillId="0" borderId="0" xfId="38" applyNumberFormat="1" applyFont="1" applyAlignment="1" applyProtection="1">
      <alignment horizontal="center" vertical="center"/>
      <protection locked="0"/>
    </xf>
    <xf numFmtId="4" fontId="6" fillId="0" borderId="0" xfId="38" applyNumberFormat="1" applyFont="1" applyAlignment="1" applyProtection="1">
      <alignment horizontal="right" vertical="center"/>
      <protection locked="0"/>
    </xf>
    <xf numFmtId="3" fontId="6" fillId="0" borderId="0" xfId="38" applyNumberFormat="1" applyFont="1" applyAlignment="1" applyProtection="1">
      <alignment horizontal="right" vertical="center"/>
      <protection locked="0"/>
    </xf>
    <xf numFmtId="0" fontId="5" fillId="4" borderId="0" xfId="1" applyFill="1" applyAlignment="1">
      <alignment horizontal="left" indent="1"/>
    </xf>
    <xf numFmtId="171" fontId="6" fillId="0" borderId="0" xfId="38" applyNumberFormat="1" applyFont="1"/>
    <xf numFmtId="4" fontId="6" fillId="0" borderId="0" xfId="38" applyNumberFormat="1" applyFont="1" applyAlignment="1">
      <alignment horizontal="right" vertical="center"/>
    </xf>
    <xf numFmtId="3" fontId="6" fillId="0" borderId="0" xfId="38" applyNumberFormat="1" applyFont="1" applyAlignment="1">
      <alignment horizontal="right" vertical="center"/>
    </xf>
    <xf numFmtId="4" fontId="6" fillId="0" borderId="0" xfId="38" applyNumberFormat="1" applyFont="1"/>
    <xf numFmtId="0" fontId="6" fillId="0" borderId="0" xfId="38" applyFont="1" applyAlignment="1">
      <alignment horizontal="right"/>
    </xf>
    <xf numFmtId="4" fontId="6" fillId="0" borderId="0" xfId="38" applyNumberFormat="1" applyFont="1" applyAlignment="1" applyProtection="1">
      <alignment horizontal="right"/>
      <protection locked="0"/>
    </xf>
    <xf numFmtId="3" fontId="6" fillId="0" borderId="0" xfId="38" applyNumberFormat="1" applyFont="1" applyAlignment="1">
      <alignment horizontal="right"/>
    </xf>
    <xf numFmtId="0" fontId="6" fillId="0" borderId="0" xfId="38" applyFont="1" applyAlignment="1">
      <alignment horizontal="center"/>
    </xf>
    <xf numFmtId="0" fontId="6" fillId="0" borderId="0" xfId="38" applyFont="1" applyAlignment="1" applyProtection="1">
      <alignment horizontal="left" vertical="top"/>
      <protection locked="0"/>
    </xf>
    <xf numFmtId="0" fontId="9" fillId="0" borderId="16" xfId="14" applyFont="1" applyBorder="1" applyAlignment="1" applyProtection="1">
      <alignment vertical="center" wrapText="1"/>
      <protection locked="0"/>
    </xf>
    <xf numFmtId="0" fontId="7" fillId="0" borderId="159" xfId="2" applyFill="1" applyBorder="1" applyAlignment="1" applyProtection="1">
      <alignment horizontal="left" vertical="center" wrapText="1" indent="1"/>
      <protection locked="0"/>
    </xf>
    <xf numFmtId="0" fontId="7" fillId="0" borderId="160" xfId="2" applyBorder="1" applyAlignment="1" applyProtection="1">
      <alignment horizontal="left" vertical="center" indent="1"/>
    </xf>
    <xf numFmtId="0" fontId="7" fillId="4" borderId="0" xfId="2" applyFill="1" applyAlignment="1" applyProtection="1">
      <alignment horizontal="left" vertical="center" readingOrder="1"/>
    </xf>
    <xf numFmtId="0" fontId="6" fillId="0" borderId="31" xfId="40" applyNumberFormat="1" applyFont="1" applyFill="1" applyBorder="1" applyAlignment="1" applyProtection="1">
      <alignment horizontal="left" vertical="top"/>
    </xf>
    <xf numFmtId="0" fontId="6" fillId="0" borderId="31" xfId="40" applyNumberFormat="1" applyFont="1" applyFill="1" applyBorder="1" applyAlignment="1" applyProtection="1">
      <alignment horizontal="left" vertical="top" indent="1"/>
    </xf>
    <xf numFmtId="0" fontId="6" fillId="0" borderId="11" xfId="40" applyNumberFormat="1" applyFont="1" applyFill="1" applyBorder="1" applyAlignment="1" applyProtection="1">
      <alignment horizontal="left" vertical="top"/>
    </xf>
    <xf numFmtId="0" fontId="6" fillId="0" borderId="0" xfId="40" applyNumberFormat="1" applyFont="1" applyFill="1" applyBorder="1" applyAlignment="1" applyProtection="1">
      <alignment horizontal="left" vertical="top"/>
    </xf>
    <xf numFmtId="0" fontId="6" fillId="0" borderId="11" xfId="40" applyNumberFormat="1" applyFont="1" applyFill="1" applyBorder="1" applyAlignment="1" applyProtection="1">
      <alignment horizontal="left" vertical="top" indent="6"/>
    </xf>
    <xf numFmtId="0" fontId="6" fillId="0" borderId="28" xfId="40" applyNumberFormat="1" applyFont="1" applyFill="1" applyBorder="1" applyAlignment="1" applyProtection="1">
      <alignment vertical="top"/>
    </xf>
    <xf numFmtId="0" fontId="6" fillId="0" borderId="29" xfId="40" applyNumberFormat="1" applyFont="1" applyFill="1" applyBorder="1" applyAlignment="1" applyProtection="1">
      <alignment vertical="top"/>
    </xf>
    <xf numFmtId="0" fontId="6" fillId="0" borderId="30" xfId="40" applyNumberFormat="1" applyFont="1" applyFill="1" applyBorder="1" applyAlignment="1" applyProtection="1">
      <alignment vertical="top"/>
    </xf>
    <xf numFmtId="0" fontId="25" fillId="0" borderId="28" xfId="40" applyNumberFormat="1" applyFont="1" applyFill="1" applyBorder="1" applyAlignment="1" applyProtection="1">
      <alignment vertical="center"/>
    </xf>
    <xf numFmtId="0" fontId="108" fillId="0" borderId="28" xfId="40" applyNumberFormat="1" applyFont="1" applyFill="1" applyBorder="1" applyAlignment="1" applyProtection="1"/>
    <xf numFmtId="0" fontId="108" fillId="0" borderId="29" xfId="40" applyNumberFormat="1" applyFont="1" applyFill="1" applyBorder="1" applyAlignment="1" applyProtection="1"/>
    <xf numFmtId="0" fontId="108" fillId="0" borderId="29" xfId="40" applyNumberFormat="1" applyFont="1" applyFill="1" applyBorder="1" applyAlignment="1" applyProtection="1">
      <alignment vertical="center"/>
    </xf>
    <xf numFmtId="0" fontId="108" fillId="0" borderId="30" xfId="40" applyNumberFormat="1" applyFont="1" applyFill="1" applyBorder="1" applyAlignment="1" applyProtection="1">
      <alignment vertical="center"/>
    </xf>
    <xf numFmtId="0" fontId="6" fillId="0" borderId="0" xfId="40" applyNumberFormat="1" applyFont="1" applyFill="1" applyBorder="1" applyAlignment="1" applyProtection="1">
      <alignment horizontal="left" vertical="top" indent="2"/>
    </xf>
    <xf numFmtId="0" fontId="6" fillId="0" borderId="0" xfId="40" applyNumberFormat="1" applyFont="1" applyFill="1" applyBorder="1" applyAlignment="1" applyProtection="1">
      <alignment horizontal="left" vertical="top" indent="6"/>
    </xf>
    <xf numFmtId="0" fontId="25" fillId="0" borderId="31" xfId="40" applyNumberFormat="1" applyFont="1" applyFill="1" applyBorder="1" applyAlignment="1" applyProtection="1">
      <alignment horizontal="center" vertical="center"/>
    </xf>
    <xf numFmtId="0" fontId="108" fillId="0" borderId="29" xfId="40" applyNumberFormat="1" applyFont="1" applyFill="1" applyBorder="1" applyAlignment="1" applyProtection="1">
      <alignment horizontal="right" vertical="center" indent="1"/>
    </xf>
    <xf numFmtId="0" fontId="6" fillId="0" borderId="11" xfId="40" applyNumberFormat="1" applyFont="1" applyFill="1" applyBorder="1" applyAlignment="1" applyProtection="1">
      <alignment vertical="top"/>
    </xf>
    <xf numFmtId="0" fontId="25" fillId="0" borderId="28" xfId="40" applyNumberFormat="1" applyFont="1" applyFill="1" applyBorder="1" applyAlignment="1" applyProtection="1">
      <alignment horizontal="left" vertical="center" indent="1"/>
    </xf>
    <xf numFmtId="0" fontId="6" fillId="0" borderId="28" xfId="40" applyNumberFormat="1" applyFont="1" applyFill="1" applyBorder="1" applyAlignment="1" applyProtection="1">
      <alignment horizontal="left" vertical="center" indent="1"/>
    </xf>
    <xf numFmtId="0" fontId="6" fillId="0" borderId="29" xfId="40" applyNumberFormat="1" applyFont="1" applyFill="1" applyBorder="1" applyAlignment="1" applyProtection="1">
      <alignment vertical="center"/>
    </xf>
    <xf numFmtId="0" fontId="6" fillId="0" borderId="28" xfId="40" applyNumberFormat="1" applyFont="1" applyFill="1" applyBorder="1" applyAlignment="1" applyProtection="1">
      <alignment horizontal="center" vertical="center"/>
    </xf>
    <xf numFmtId="0" fontId="110" fillId="0" borderId="31" xfId="40" applyNumberFormat="1" applyFont="1" applyFill="1" applyBorder="1" applyAlignment="1" applyProtection="1">
      <alignment horizontal="center" vertical="center" wrapText="1"/>
    </xf>
    <xf numFmtId="0" fontId="6" fillId="0" borderId="31" xfId="40" applyNumberFormat="1" applyFont="1" applyFill="1" applyBorder="1" applyAlignment="1" applyProtection="1">
      <alignment horizontal="center" vertical="center"/>
    </xf>
    <xf numFmtId="0" fontId="6" fillId="0" borderId="28" xfId="40" applyNumberFormat="1" applyFont="1" applyFill="1" applyBorder="1" applyAlignment="1" applyProtection="1">
      <alignment horizontal="center" vertical="center" wrapText="1"/>
    </xf>
    <xf numFmtId="0" fontId="6" fillId="0" borderId="31" xfId="40" applyNumberFormat="1" applyFont="1" applyFill="1" applyBorder="1" applyAlignment="1" applyProtection="1">
      <alignment horizontal="center" vertical="center" wrapText="1"/>
    </xf>
    <xf numFmtId="0" fontId="108" fillId="0" borderId="31" xfId="40" applyNumberFormat="1" applyFont="1" applyFill="1" applyBorder="1" applyAlignment="1" applyProtection="1"/>
    <xf numFmtId="0" fontId="108" fillId="0" borderId="12" xfId="40" applyNumberFormat="1" applyFont="1" applyFill="1" applyBorder="1" applyAlignment="1" applyProtection="1">
      <alignment vertical="center"/>
    </xf>
    <xf numFmtId="0" fontId="108" fillId="0" borderId="0" xfId="40" applyNumberFormat="1" applyFont="1" applyFill="1" applyBorder="1" applyAlignment="1" applyProtection="1"/>
    <xf numFmtId="0" fontId="6" fillId="0" borderId="0" xfId="40" applyNumberFormat="1" applyFont="1" applyFill="1" applyBorder="1" applyAlignment="1" applyProtection="1"/>
    <xf numFmtId="0" fontId="97" fillId="0" borderId="29" xfId="40" applyNumberFormat="1" applyFont="1" applyFill="1" applyBorder="1" applyAlignment="1" applyProtection="1">
      <alignment horizontal="right" vertical="center" indent="1"/>
    </xf>
    <xf numFmtId="0" fontId="103" fillId="0" borderId="0" xfId="1" applyFont="1" applyAlignment="1">
      <alignment vertical="center" wrapText="1"/>
    </xf>
    <xf numFmtId="0" fontId="6" fillId="4" borderId="0" xfId="38" applyFont="1" applyFill="1" applyAlignment="1">
      <alignment horizontal="left"/>
    </xf>
    <xf numFmtId="0" fontId="6" fillId="4" borderId="0" xfId="5" applyFont="1" applyFill="1"/>
    <xf numFmtId="171" fontId="6" fillId="4" borderId="0" xfId="38" applyNumberFormat="1" applyFont="1" applyFill="1"/>
    <xf numFmtId="0" fontId="104" fillId="4" borderId="0" xfId="5" applyFont="1" applyFill="1"/>
    <xf numFmtId="0" fontId="105" fillId="4" borderId="0" xfId="5" applyFont="1" applyFill="1"/>
    <xf numFmtId="0" fontId="106" fillId="4" borderId="0" xfId="5" applyFont="1" applyFill="1" applyAlignment="1">
      <alignment horizontal="left" vertical="center"/>
    </xf>
    <xf numFmtId="49" fontId="106" fillId="4" borderId="0" xfId="5" applyNumberFormat="1" applyFont="1" applyFill="1" applyAlignment="1">
      <alignment horizontal="left" vertical="center"/>
    </xf>
    <xf numFmtId="0" fontId="6" fillId="4" borderId="0" xfId="5" applyFont="1" applyFill="1" applyAlignment="1">
      <alignment horizontal="right"/>
    </xf>
    <xf numFmtId="1" fontId="6" fillId="4" borderId="0" xfId="5" applyNumberFormat="1" applyFont="1" applyFill="1" applyProtection="1">
      <protection locked="0"/>
    </xf>
    <xf numFmtId="14" fontId="6" fillId="4" borderId="0" xfId="5" applyNumberFormat="1" applyFont="1" applyFill="1" applyAlignment="1" applyProtection="1">
      <alignment horizontal="left"/>
      <protection locked="0"/>
    </xf>
    <xf numFmtId="0" fontId="6" fillId="4" borderId="0" xfId="38" applyFont="1" applyFill="1" applyAlignment="1">
      <alignment vertical="center"/>
    </xf>
    <xf numFmtId="3" fontId="6" fillId="4" borderId="0" xfId="38" applyNumberFormat="1" applyFont="1" applyFill="1" applyAlignment="1" applyProtection="1">
      <alignment horizontal="right" vertical="center"/>
      <protection locked="0"/>
    </xf>
    <xf numFmtId="4" fontId="6" fillId="4" borderId="0" xfId="38" applyNumberFormat="1" applyFont="1" applyFill="1" applyAlignment="1">
      <alignment horizontal="right" vertical="center"/>
    </xf>
    <xf numFmtId="3" fontId="6" fillId="4" borderId="0" xfId="38" applyNumberFormat="1" applyFont="1" applyFill="1" applyAlignment="1">
      <alignment horizontal="right" vertical="center"/>
    </xf>
    <xf numFmtId="4" fontId="6" fillId="4" borderId="0" xfId="38" applyNumberFormat="1" applyFont="1" applyFill="1"/>
    <xf numFmtId="0" fontId="6" fillId="4" borderId="0" xfId="38" applyFont="1" applyFill="1" applyAlignment="1">
      <alignment horizontal="right"/>
    </xf>
    <xf numFmtId="4" fontId="6" fillId="4" borderId="0" xfId="38" applyNumberFormat="1" applyFont="1" applyFill="1" applyAlignment="1" applyProtection="1">
      <alignment horizontal="right"/>
      <protection locked="0"/>
    </xf>
    <xf numFmtId="3" fontId="6" fillId="4" borderId="0" xfId="38" applyNumberFormat="1" applyFont="1" applyFill="1" applyAlignment="1">
      <alignment horizontal="right"/>
    </xf>
    <xf numFmtId="0" fontId="6" fillId="4" borderId="0" xfId="38" applyFont="1" applyFill="1" applyAlignment="1">
      <alignment horizontal="center"/>
    </xf>
    <xf numFmtId="0" fontId="6" fillId="4" borderId="0" xfId="38" applyFont="1" applyFill="1" applyAlignment="1" applyProtection="1">
      <alignment horizontal="left" vertical="top"/>
      <protection locked="0"/>
    </xf>
    <xf numFmtId="0" fontId="6" fillId="4" borderId="128" xfId="4" applyFont="1" applyFill="1" applyBorder="1"/>
    <xf numFmtId="0" fontId="6" fillId="4" borderId="161" xfId="4" applyFont="1" applyFill="1" applyBorder="1"/>
    <xf numFmtId="0" fontId="6" fillId="4" borderId="128" xfId="4" applyFont="1" applyFill="1" applyBorder="1" applyAlignment="1">
      <alignment horizontal="right"/>
    </xf>
    <xf numFmtId="0" fontId="6" fillId="4" borderId="162" xfId="4" applyFont="1" applyFill="1" applyBorder="1"/>
    <xf numFmtId="0" fontId="6" fillId="4" borderId="163" xfId="4" applyFont="1" applyFill="1" applyBorder="1"/>
    <xf numFmtId="0" fontId="6" fillId="4" borderId="164" xfId="4" applyFont="1" applyFill="1" applyBorder="1"/>
    <xf numFmtId="0" fontId="21" fillId="6" borderId="123" xfId="4" applyFont="1" applyFill="1" applyBorder="1" applyAlignment="1">
      <alignment horizontal="centerContinuous" vertical="center"/>
    </xf>
    <xf numFmtId="0" fontId="21" fillId="6" borderId="124" xfId="4" applyFont="1" applyFill="1" applyBorder="1" applyAlignment="1">
      <alignment horizontal="centerContinuous" vertical="center"/>
    </xf>
    <xf numFmtId="0" fontId="6" fillId="6" borderId="125" xfId="4" applyFont="1" applyFill="1" applyBorder="1" applyAlignment="1">
      <alignment horizontal="centerContinuous"/>
    </xf>
    <xf numFmtId="0" fontId="6" fillId="4" borderId="128" xfId="4" applyFont="1" applyFill="1" applyBorder="1" applyAlignment="1">
      <alignment horizontal="right" vertical="center"/>
    </xf>
    <xf numFmtId="0" fontId="21" fillId="4" borderId="128" xfId="4" applyFont="1" applyFill="1" applyBorder="1" applyAlignment="1">
      <alignment horizontal="right" vertical="center"/>
    </xf>
    <xf numFmtId="0" fontId="21" fillId="4" borderId="0" xfId="4" applyFont="1" applyFill="1" applyAlignment="1">
      <alignment vertical="center"/>
    </xf>
    <xf numFmtId="0" fontId="6" fillId="4" borderId="128" xfId="4" applyFont="1" applyFill="1" applyBorder="1" applyAlignment="1">
      <alignment horizontal="left" vertical="center"/>
    </xf>
    <xf numFmtId="0" fontId="6" fillId="4" borderId="161" xfId="4" applyFont="1" applyFill="1" applyBorder="1" applyAlignment="1">
      <alignment vertical="center"/>
    </xf>
    <xf numFmtId="0" fontId="6" fillId="4" borderId="162" xfId="38" applyFont="1" applyFill="1" applyBorder="1" applyAlignment="1">
      <alignment vertical="center"/>
    </xf>
    <xf numFmtId="0" fontId="6" fillId="4" borderId="163" xfId="38" applyFont="1" applyFill="1" applyBorder="1" applyAlignment="1">
      <alignment vertical="center"/>
    </xf>
    <xf numFmtId="4" fontId="6" fillId="4" borderId="164" xfId="38" applyNumberFormat="1" applyFont="1" applyFill="1" applyBorder="1" applyAlignment="1">
      <alignment horizontal="right" vertical="center"/>
    </xf>
    <xf numFmtId="4" fontId="6" fillId="4" borderId="162" xfId="38" applyNumberFormat="1" applyFont="1" applyFill="1" applyBorder="1" applyAlignment="1">
      <alignment horizontal="right" vertical="center"/>
    </xf>
    <xf numFmtId="3" fontId="6" fillId="4" borderId="163" xfId="38" applyNumberFormat="1" applyFont="1" applyFill="1" applyBorder="1" applyAlignment="1">
      <alignment horizontal="right" vertical="center"/>
    </xf>
    <xf numFmtId="0" fontId="9" fillId="11" borderId="39" xfId="21" applyFont="1" applyFill="1" applyBorder="1" applyAlignment="1">
      <alignment horizontal="centerContinuous" vertical="center"/>
    </xf>
    <xf numFmtId="0" fontId="23" fillId="11" borderId="39" xfId="21" applyFont="1" applyFill="1" applyBorder="1" applyAlignment="1">
      <alignment horizontal="centerContinuous"/>
    </xf>
    <xf numFmtId="0" fontId="23" fillId="11" borderId="39" xfId="21" applyFont="1" applyFill="1" applyBorder="1"/>
    <xf numFmtId="0" fontId="23" fillId="11" borderId="39" xfId="21" applyFont="1" applyFill="1" applyBorder="1" applyAlignment="1">
      <alignment horizontal="left"/>
    </xf>
    <xf numFmtId="0" fontId="6" fillId="11" borderId="39" xfId="21" applyFont="1" applyFill="1" applyBorder="1"/>
    <xf numFmtId="0" fontId="46" fillId="11" borderId="41" xfId="21" applyFont="1" applyFill="1" applyBorder="1" applyAlignment="1">
      <alignment horizontal="centerContinuous" vertical="center"/>
    </xf>
    <xf numFmtId="0" fontId="46" fillId="11" borderId="39" xfId="21" applyFont="1" applyFill="1" applyBorder="1" applyAlignment="1">
      <alignment horizontal="centerContinuous" vertical="center"/>
    </xf>
    <xf numFmtId="0" fontId="13" fillId="11" borderId="39" xfId="21" applyFont="1" applyFill="1" applyBorder="1" applyAlignment="1">
      <alignment horizontal="centerContinuous"/>
    </xf>
    <xf numFmtId="0" fontId="13" fillId="11" borderId="39" xfId="21" applyFont="1" applyFill="1" applyBorder="1"/>
    <xf numFmtId="0" fontId="13" fillId="11" borderId="39" xfId="21" applyFont="1" applyFill="1" applyBorder="1" applyAlignment="1">
      <alignment horizontal="left"/>
    </xf>
    <xf numFmtId="0" fontId="47" fillId="11" borderId="101" xfId="0" applyFont="1" applyFill="1" applyBorder="1" applyAlignment="1">
      <alignment horizontal="centerContinuous"/>
    </xf>
    <xf numFmtId="0" fontId="21" fillId="4" borderId="0" xfId="4" applyFont="1" applyFill="1" applyAlignment="1">
      <alignment vertical="center" wrapText="1"/>
    </xf>
    <xf numFmtId="0" fontId="79" fillId="4" borderId="128" xfId="4" applyFont="1" applyFill="1" applyBorder="1" applyAlignment="1">
      <alignment horizontal="left" vertical="center" indent="1"/>
    </xf>
    <xf numFmtId="0" fontId="6" fillId="4" borderId="0" xfId="4" applyFont="1" applyFill="1" applyAlignment="1">
      <alignment vertical="center" wrapText="1"/>
    </xf>
    <xf numFmtId="0" fontId="6" fillId="4" borderId="161" xfId="4" applyFont="1" applyFill="1" applyBorder="1" applyAlignment="1">
      <alignment vertical="center" wrapText="1"/>
    </xf>
    <xf numFmtId="0" fontId="21" fillId="4" borderId="128" xfId="4" applyFont="1" applyFill="1" applyBorder="1" applyAlignment="1">
      <alignment horizontal="left" vertical="center" indent="1"/>
    </xf>
    <xf numFmtId="0" fontId="40" fillId="4" borderId="128" xfId="4" applyFont="1" applyFill="1" applyBorder="1" applyAlignment="1">
      <alignment horizontal="right" vertical="center"/>
    </xf>
    <xf numFmtId="0" fontId="40" fillId="4" borderId="0" xfId="4" applyFont="1" applyFill="1" applyAlignment="1">
      <alignment vertical="center"/>
    </xf>
    <xf numFmtId="0" fontId="40" fillId="4" borderId="128" xfId="4" applyFont="1" applyFill="1" applyBorder="1" applyAlignment="1">
      <alignment horizontal="left" vertical="center" indent="1"/>
    </xf>
    <xf numFmtId="0" fontId="21" fillId="4" borderId="0" xfId="4" applyFont="1" applyFill="1" applyAlignment="1">
      <alignment horizontal="center" vertical="center"/>
    </xf>
    <xf numFmtId="166" fontId="6" fillId="4" borderId="165" xfId="41" applyNumberFormat="1" applyFont="1" applyFill="1" applyBorder="1" applyAlignment="1">
      <alignment horizontal="center" vertical="center"/>
    </xf>
    <xf numFmtId="2" fontId="6" fillId="4" borderId="31" xfId="41" applyNumberFormat="1" applyFont="1" applyFill="1" applyBorder="1" applyAlignment="1">
      <alignment horizontal="center" vertical="center"/>
    </xf>
    <xf numFmtId="166" fontId="6" fillId="4" borderId="31" xfId="41" applyNumberFormat="1" applyFont="1" applyFill="1" applyBorder="1" applyAlignment="1">
      <alignment horizontal="center" vertical="center"/>
    </xf>
    <xf numFmtId="0" fontId="21" fillId="6" borderId="10" xfId="41" applyFont="1" applyFill="1" applyBorder="1" applyAlignment="1">
      <alignment horizontal="center" vertical="center" wrapText="1"/>
    </xf>
    <xf numFmtId="0" fontId="21" fillId="6" borderId="14" xfId="41" applyFont="1" applyFill="1" applyBorder="1" applyAlignment="1">
      <alignment horizontal="center" vertical="center" wrapText="1"/>
    </xf>
    <xf numFmtId="0" fontId="97" fillId="6" borderId="14" xfId="41" applyFont="1" applyFill="1" applyBorder="1" applyAlignment="1">
      <alignment horizontal="center" vertical="center" wrapText="1"/>
    </xf>
    <xf numFmtId="0" fontId="97" fillId="6" borderId="121" xfId="41" applyFont="1" applyFill="1" applyBorder="1" applyAlignment="1">
      <alignment horizontal="center" vertical="center" wrapText="1"/>
    </xf>
    <xf numFmtId="0" fontId="6" fillId="4" borderId="166" xfId="21" applyFont="1" applyFill="1" applyBorder="1"/>
    <xf numFmtId="0" fontId="6" fillId="4" borderId="158" xfId="30" applyFont="1" applyFill="1" applyBorder="1"/>
    <xf numFmtId="0" fontId="6" fillId="4" borderId="158" xfId="4" applyFont="1" applyFill="1" applyBorder="1"/>
    <xf numFmtId="0" fontId="64" fillId="4" borderId="167" xfId="26" applyFont="1" applyFill="1" applyBorder="1" applyAlignment="1">
      <alignment horizontal="left" vertical="center"/>
    </xf>
    <xf numFmtId="0" fontId="6" fillId="4" borderId="158" xfId="21" applyFont="1" applyFill="1" applyBorder="1"/>
    <xf numFmtId="0" fontId="6" fillId="4" borderId="168" xfId="21" applyFont="1" applyFill="1" applyBorder="1"/>
    <xf numFmtId="0" fontId="6" fillId="4" borderId="128" xfId="21" applyFont="1" applyFill="1" applyBorder="1"/>
    <xf numFmtId="0" fontId="21" fillId="4" borderId="0" xfId="41" applyFont="1" applyFill="1" applyAlignment="1">
      <alignment horizontal="right" vertical="center"/>
    </xf>
    <xf numFmtId="0" fontId="6" fillId="4" borderId="0" xfId="41" applyFont="1" applyFill="1" applyAlignment="1">
      <alignment vertical="center"/>
    </xf>
    <xf numFmtId="2" fontId="79" fillId="4" borderId="0" xfId="41" applyNumberFormat="1" applyFont="1" applyFill="1" applyAlignment="1">
      <alignment horizontal="center" vertical="center"/>
    </xf>
    <xf numFmtId="0" fontId="6" fillId="4" borderId="0" xfId="41" applyFont="1" applyFill="1" applyAlignment="1">
      <alignment horizontal="right" vertical="center"/>
    </xf>
    <xf numFmtId="0" fontId="21" fillId="4" borderId="0" xfId="41" applyFont="1" applyFill="1" applyAlignment="1">
      <alignment vertical="center"/>
    </xf>
    <xf numFmtId="0" fontId="6" fillId="4" borderId="161" xfId="21" applyFont="1" applyFill="1" applyBorder="1"/>
    <xf numFmtId="0" fontId="61" fillId="13" borderId="128" xfId="26" applyFont="1" applyFill="1" applyBorder="1" applyAlignment="1">
      <alignment horizontal="left" vertical="center" indent="1"/>
    </xf>
    <xf numFmtId="0" fontId="6" fillId="4" borderId="0" xfId="41" applyFont="1" applyFill="1" applyAlignment="1">
      <alignment horizontal="left" vertical="center"/>
    </xf>
    <xf numFmtId="0" fontId="6" fillId="4" borderId="0" xfId="41" applyFont="1" applyFill="1"/>
    <xf numFmtId="0" fontId="6" fillId="4" borderId="0" xfId="41" applyFont="1" applyFill="1" applyAlignment="1">
      <alignment horizontal="center" vertical="center"/>
    </xf>
    <xf numFmtId="0" fontId="6" fillId="4" borderId="162" xfId="21" applyFont="1" applyFill="1" applyBorder="1"/>
    <xf numFmtId="0" fontId="6" fillId="4" borderId="163" xfId="21" applyFont="1" applyFill="1" applyBorder="1"/>
    <xf numFmtId="0" fontId="6" fillId="4" borderId="164" xfId="21" applyFont="1" applyFill="1" applyBorder="1"/>
    <xf numFmtId="2" fontId="6" fillId="4" borderId="0" xfId="41" applyNumberFormat="1" applyFont="1" applyFill="1" applyAlignment="1">
      <alignment horizontal="right" vertical="center" indent="1"/>
    </xf>
    <xf numFmtId="0" fontId="26" fillId="2" borderId="0" xfId="42" applyFill="1"/>
    <xf numFmtId="0" fontId="26" fillId="4" borderId="0" xfId="42" applyFill="1"/>
    <xf numFmtId="0" fontId="9" fillId="4" borderId="0" xfId="11" applyFont="1" applyFill="1" applyAlignment="1">
      <alignment horizontal="center" vertical="center"/>
    </xf>
    <xf numFmtId="0" fontId="8" fillId="4" borderId="0" xfId="3" applyFont="1" applyFill="1" applyAlignment="1">
      <alignment horizontal="centerContinuous" vertical="center"/>
    </xf>
    <xf numFmtId="0" fontId="5" fillId="4" borderId="0" xfId="3" applyFill="1" applyAlignment="1">
      <alignment horizontal="centerContinuous"/>
    </xf>
    <xf numFmtId="0" fontId="6" fillId="4" borderId="0" xfId="11" applyFill="1" applyAlignment="1">
      <alignment horizontal="centerContinuous"/>
    </xf>
    <xf numFmtId="0" fontId="6" fillId="4" borderId="0" xfId="11" applyFill="1" applyAlignment="1">
      <alignment horizontal="left"/>
    </xf>
    <xf numFmtId="0" fontId="5" fillId="4" borderId="171" xfId="3" applyFill="1" applyBorder="1" applyAlignment="1">
      <alignment horizontal="centerContinuous"/>
    </xf>
    <xf numFmtId="0" fontId="26" fillId="4" borderId="171" xfId="42" applyFill="1" applyBorder="1"/>
    <xf numFmtId="0" fontId="5" fillId="4" borderId="172" xfId="3" applyFill="1" applyBorder="1" applyAlignment="1">
      <alignment horizontal="centerContinuous"/>
    </xf>
    <xf numFmtId="0" fontId="5" fillId="4" borderId="173" xfId="3" applyFill="1" applyBorder="1" applyAlignment="1">
      <alignment horizontal="centerContinuous"/>
    </xf>
    <xf numFmtId="0" fontId="5" fillId="4" borderId="174" xfId="3" applyFill="1" applyBorder="1" applyAlignment="1">
      <alignment horizontal="centerContinuous"/>
    </xf>
    <xf numFmtId="0" fontId="5" fillId="4" borderId="175" xfId="3" applyFill="1" applyBorder="1" applyAlignment="1">
      <alignment horizontal="centerContinuous"/>
    </xf>
    <xf numFmtId="0" fontId="5" fillId="4" borderId="14" xfId="3" applyFill="1" applyBorder="1" applyAlignment="1">
      <alignment horizontal="centerContinuous"/>
    </xf>
    <xf numFmtId="0" fontId="5" fillId="4" borderId="12" xfId="3" applyFill="1" applyBorder="1" applyAlignment="1">
      <alignment horizontal="centerContinuous"/>
    </xf>
    <xf numFmtId="0" fontId="26" fillId="4" borderId="14" xfId="42" applyFill="1" applyBorder="1"/>
    <xf numFmtId="215" fontId="69" fillId="4" borderId="0" xfId="42" applyNumberFormat="1" applyFont="1" applyFill="1" applyAlignment="1">
      <alignment vertical="center" shrinkToFit="1"/>
    </xf>
    <xf numFmtId="215" fontId="26" fillId="4" borderId="0" xfId="42" applyNumberFormat="1" applyFill="1" applyAlignment="1">
      <alignment vertical="center" shrinkToFit="1"/>
    </xf>
    <xf numFmtId="178" fontId="26" fillId="4" borderId="0" xfId="42" applyNumberFormat="1" applyFill="1"/>
    <xf numFmtId="0" fontId="5" fillId="4" borderId="121" xfId="3" applyFill="1" applyBorder="1" applyAlignment="1">
      <alignment horizontal="centerContinuous"/>
    </xf>
    <xf numFmtId="0" fontId="8" fillId="4" borderId="172" xfId="3" applyFont="1" applyFill="1" applyBorder="1" applyAlignment="1">
      <alignment horizontal="centerContinuous" vertical="center"/>
    </xf>
    <xf numFmtId="216" fontId="26" fillId="4" borderId="0" xfId="42" applyNumberFormat="1" applyFill="1"/>
    <xf numFmtId="0" fontId="9" fillId="4" borderId="121" xfId="11" applyFont="1" applyFill="1" applyBorder="1" applyAlignment="1">
      <alignment horizontal="center" vertical="center"/>
    </xf>
    <xf numFmtId="0" fontId="9" fillId="4" borderId="176" xfId="11" applyFont="1" applyFill="1" applyBorder="1" applyAlignment="1">
      <alignment horizontal="center" vertical="center"/>
    </xf>
    <xf numFmtId="0" fontId="5" fillId="4" borderId="176" xfId="3" applyFill="1" applyBorder="1" applyAlignment="1">
      <alignment horizontal="centerContinuous"/>
    </xf>
    <xf numFmtId="0" fontId="6" fillId="4" borderId="172" xfId="11" applyFill="1" applyBorder="1"/>
    <xf numFmtId="0" fontId="6" fillId="4" borderId="173" xfId="11" applyFill="1" applyBorder="1"/>
    <xf numFmtId="0" fontId="26" fillId="4" borderId="173" xfId="42" applyFill="1" applyBorder="1"/>
    <xf numFmtId="0" fontId="26" fillId="4" borderId="174" xfId="42" applyFill="1" applyBorder="1"/>
    <xf numFmtId="0" fontId="26" fillId="4" borderId="175" xfId="42" applyFill="1" applyBorder="1"/>
    <xf numFmtId="0" fontId="6" fillId="4" borderId="14" xfId="11" applyFill="1" applyBorder="1"/>
    <xf numFmtId="0" fontId="6" fillId="4" borderId="171" xfId="11" applyFill="1" applyBorder="1"/>
    <xf numFmtId="0" fontId="26" fillId="4" borderId="121" xfId="42" applyFill="1" applyBorder="1"/>
    <xf numFmtId="0" fontId="6" fillId="4" borderId="121" xfId="11" applyFill="1" applyBorder="1"/>
    <xf numFmtId="0" fontId="5" fillId="4" borderId="177" xfId="3" applyFill="1" applyBorder="1" applyAlignment="1">
      <alignment horizontal="centerContinuous"/>
    </xf>
    <xf numFmtId="0" fontId="26" fillId="4" borderId="177" xfId="42" applyFill="1" applyBorder="1"/>
    <xf numFmtId="0" fontId="26" fillId="4" borderId="178" xfId="42" applyFill="1" applyBorder="1"/>
    <xf numFmtId="0" fontId="69" fillId="4" borderId="0" xfId="42" applyFont="1" applyFill="1" applyAlignment="1">
      <alignment horizontal="center"/>
    </xf>
    <xf numFmtId="0" fontId="26" fillId="4" borderId="184" xfId="42" applyFill="1" applyBorder="1" applyAlignment="1">
      <alignment horizontal="right" vertical="center" textRotation="90"/>
    </xf>
    <xf numFmtId="0" fontId="26" fillId="4" borderId="14" xfId="42" applyFill="1" applyBorder="1" applyAlignment="1">
      <alignment horizontal="left" vertical="center"/>
    </xf>
    <xf numFmtId="0" fontId="26" fillId="4" borderId="186" xfId="42" applyFill="1" applyBorder="1"/>
    <xf numFmtId="0" fontId="26" fillId="4" borderId="184" xfId="42" applyFill="1" applyBorder="1"/>
    <xf numFmtId="217" fontId="26" fillId="4" borderId="0" xfId="42" applyNumberFormat="1" applyFill="1" applyAlignment="1">
      <alignment vertical="center" shrinkToFit="1"/>
    </xf>
    <xf numFmtId="0" fontId="26" fillId="4" borderId="184" xfId="42" applyFill="1" applyBorder="1" applyAlignment="1">
      <alignment horizontal="center"/>
    </xf>
    <xf numFmtId="0" fontId="26" fillId="4" borderId="122" xfId="42" applyFill="1" applyBorder="1"/>
    <xf numFmtId="0" fontId="26" fillId="4" borderId="191" xfId="42" applyFill="1" applyBorder="1"/>
    <xf numFmtId="0" fontId="26" fillId="4" borderId="192" xfId="42" applyFill="1" applyBorder="1" applyAlignment="1">
      <alignment horizontal="left" vertical="center"/>
    </xf>
    <xf numFmtId="0" fontId="26" fillId="4" borderId="193" xfId="42" applyFill="1" applyBorder="1" applyAlignment="1">
      <alignment horizontal="left" vertical="center"/>
    </xf>
    <xf numFmtId="0" fontId="26" fillId="4" borderId="153" xfId="42" applyFill="1" applyBorder="1" applyAlignment="1">
      <alignment horizontal="left" vertical="center"/>
    </xf>
    <xf numFmtId="0" fontId="26" fillId="4" borderId="173" xfId="42" applyFill="1" applyBorder="1" applyAlignment="1">
      <alignment horizontal="left" vertical="center"/>
    </xf>
    <xf numFmtId="0" fontId="26" fillId="4" borderId="191" xfId="42" applyFill="1" applyBorder="1" applyAlignment="1">
      <alignment horizontal="left" vertical="center"/>
    </xf>
    <xf numFmtId="0" fontId="26" fillId="4" borderId="184" xfId="42" applyFill="1" applyBorder="1" applyAlignment="1">
      <alignment horizontal="left" vertical="center"/>
    </xf>
    <xf numFmtId="0" fontId="26" fillId="4" borderId="193" xfId="42" applyFill="1" applyBorder="1"/>
    <xf numFmtId="0" fontId="26" fillId="4" borderId="194" xfId="42" applyFill="1" applyBorder="1"/>
    <xf numFmtId="0" fontId="26" fillId="4" borderId="195" xfId="42" applyFill="1" applyBorder="1"/>
    <xf numFmtId="0" fontId="26" fillId="4" borderId="196" xfId="42" applyFill="1" applyBorder="1"/>
    <xf numFmtId="0" fontId="69" fillId="4" borderId="0" xfId="42" applyFont="1" applyFill="1" applyAlignment="1">
      <alignment vertical="top"/>
    </xf>
    <xf numFmtId="0" fontId="26" fillId="4" borderId="181" xfId="42" applyFill="1" applyBorder="1"/>
    <xf numFmtId="0" fontId="69" fillId="4" borderId="0" xfId="42" applyFont="1" applyFill="1" applyAlignment="1">
      <alignment horizontal="right" vertical="center"/>
    </xf>
    <xf numFmtId="0" fontId="116" fillId="4" borderId="52" xfId="11" applyFont="1" applyFill="1" applyBorder="1" applyAlignment="1">
      <alignment horizontal="center" vertical="center"/>
    </xf>
    <xf numFmtId="0" fontId="6" fillId="4" borderId="0" xfId="11" applyFill="1" applyAlignment="1">
      <alignment horizontal="right" vertical="center"/>
    </xf>
    <xf numFmtId="0" fontId="6" fillId="4" borderId="0" xfId="11" applyFill="1" applyAlignment="1">
      <alignment vertical="center" wrapText="1"/>
    </xf>
    <xf numFmtId="215" fontId="69" fillId="4" borderId="0" xfId="42" applyNumberFormat="1" applyFont="1" applyFill="1" applyAlignment="1">
      <alignment vertical="center"/>
    </xf>
    <xf numFmtId="217" fontId="26" fillId="4" borderId="0" xfId="42" applyNumberFormat="1" applyFill="1" applyAlignment="1">
      <alignment vertical="center"/>
    </xf>
    <xf numFmtId="0" fontId="26" fillId="0" borderId="0" xfId="42"/>
    <xf numFmtId="0" fontId="6" fillId="4" borderId="197" xfId="11" applyFill="1" applyBorder="1" applyAlignment="1">
      <alignment horizontal="left"/>
    </xf>
    <xf numFmtId="0" fontId="69" fillId="4" borderId="197" xfId="42" applyFont="1" applyFill="1" applyBorder="1" applyAlignment="1">
      <alignment horizontal="center" vertical="center"/>
    </xf>
    <xf numFmtId="0" fontId="69" fillId="4" borderId="197" xfId="42" applyFont="1" applyFill="1" applyBorder="1" applyAlignment="1">
      <alignment horizontal="center" vertical="center" wrapText="1"/>
    </xf>
    <xf numFmtId="0" fontId="6" fillId="4" borderId="198" xfId="11" applyFill="1" applyBorder="1" applyAlignment="1">
      <alignment horizontal="left"/>
    </xf>
    <xf numFmtId="0" fontId="69" fillId="4" borderId="198" xfId="42" applyFont="1" applyFill="1" applyBorder="1" applyAlignment="1">
      <alignment horizontal="center" vertical="center"/>
    </xf>
    <xf numFmtId="0" fontId="26" fillId="4" borderId="198" xfId="42" applyFill="1" applyBorder="1" applyAlignment="1">
      <alignment horizontal="center" vertical="center" wrapText="1"/>
    </xf>
    <xf numFmtId="0" fontId="26" fillId="4" borderId="199" xfId="42" applyFill="1" applyBorder="1" applyAlignment="1">
      <alignment horizontal="left" vertical="center"/>
    </xf>
    <xf numFmtId="218" fontId="26" fillId="4" borderId="200" xfId="42" applyNumberFormat="1" applyFill="1" applyBorder="1" applyAlignment="1">
      <alignment vertical="center"/>
    </xf>
    <xf numFmtId="41" fontId="26" fillId="4" borderId="199" xfId="42" applyNumberFormat="1" applyFill="1" applyBorder="1" applyAlignment="1">
      <alignment vertical="center"/>
    </xf>
    <xf numFmtId="0" fontId="26" fillId="4" borderId="201" xfId="42" applyFill="1" applyBorder="1" applyAlignment="1">
      <alignment horizontal="left" vertical="center"/>
    </xf>
    <xf numFmtId="218" fontId="26" fillId="4" borderId="202" xfId="42" applyNumberFormat="1" applyFill="1" applyBorder="1" applyAlignment="1">
      <alignment vertical="center"/>
    </xf>
    <xf numFmtId="41" fontId="26" fillId="4" borderId="201" xfId="42" applyNumberFormat="1" applyFill="1" applyBorder="1" applyAlignment="1">
      <alignment vertical="center"/>
    </xf>
    <xf numFmtId="0" fontId="26" fillId="4" borderId="203" xfId="42" applyFill="1" applyBorder="1" applyAlignment="1">
      <alignment horizontal="left" vertical="center"/>
    </xf>
    <xf numFmtId="218" fontId="26" fillId="4" borderId="204" xfId="42" applyNumberFormat="1" applyFill="1" applyBorder="1" applyAlignment="1">
      <alignment vertical="center"/>
    </xf>
    <xf numFmtId="41" fontId="26" fillId="4" borderId="203" xfId="42" applyNumberFormat="1" applyFill="1" applyBorder="1" applyAlignment="1">
      <alignment vertical="center"/>
    </xf>
    <xf numFmtId="41" fontId="26" fillId="4" borderId="199" xfId="42" applyNumberFormat="1" applyFill="1" applyBorder="1"/>
    <xf numFmtId="41" fontId="26" fillId="4" borderId="201" xfId="42" applyNumberFormat="1" applyFill="1" applyBorder="1"/>
    <xf numFmtId="41" fontId="26" fillId="4" borderId="203" xfId="42" applyNumberFormat="1" applyFill="1" applyBorder="1"/>
    <xf numFmtId="0" fontId="26" fillId="4" borderId="199" xfId="42" applyFill="1" applyBorder="1" applyAlignment="1">
      <alignment horizontal="left" vertical="center" indent="1"/>
    </xf>
    <xf numFmtId="41" fontId="26" fillId="4" borderId="200" xfId="42" applyNumberFormat="1" applyFill="1" applyBorder="1"/>
    <xf numFmtId="0" fontId="26" fillId="4" borderId="201" xfId="42" applyFill="1" applyBorder="1" applyAlignment="1">
      <alignment horizontal="left" vertical="center" indent="1"/>
    </xf>
    <xf numFmtId="41" fontId="26" fillId="4" borderId="202" xfId="42" applyNumberFormat="1" applyFill="1" applyBorder="1"/>
    <xf numFmtId="0" fontId="26" fillId="4" borderId="203" xfId="42" applyFill="1" applyBorder="1" applyAlignment="1">
      <alignment horizontal="left" vertical="center" indent="1"/>
    </xf>
    <xf numFmtId="41" fontId="26" fillId="4" borderId="204" xfId="42" applyNumberFormat="1" applyFill="1" applyBorder="1"/>
    <xf numFmtId="218" fontId="69" fillId="4" borderId="0" xfId="42" applyNumberFormat="1" applyFont="1" applyFill="1" applyAlignment="1">
      <alignment vertical="center"/>
    </xf>
    <xf numFmtId="41" fontId="69" fillId="4" borderId="0" xfId="42" applyNumberFormat="1" applyFont="1" applyFill="1" applyAlignment="1">
      <alignment vertical="center"/>
    </xf>
    <xf numFmtId="0" fontId="8" fillId="12" borderId="169" xfId="3" applyFont="1" applyFill="1" applyBorder="1" applyAlignment="1">
      <alignment horizontal="centerContinuous" vertical="center"/>
    </xf>
    <xf numFmtId="0" fontId="8" fillId="12" borderId="170" xfId="3" applyFont="1" applyFill="1" applyBorder="1" applyAlignment="1">
      <alignment horizontal="centerContinuous" vertical="center"/>
    </xf>
    <xf numFmtId="0" fontId="5" fillId="12" borderId="170" xfId="3" applyFill="1" applyBorder="1" applyAlignment="1">
      <alignment horizontal="centerContinuous"/>
    </xf>
    <xf numFmtId="0" fontId="6" fillId="12" borderId="170" xfId="11" applyFill="1" applyBorder="1" applyAlignment="1">
      <alignment horizontal="centerContinuous"/>
    </xf>
    <xf numFmtId="0" fontId="6" fillId="12" borderId="170" xfId="11" applyFill="1" applyBorder="1" applyAlignment="1">
      <alignment horizontal="left"/>
    </xf>
    <xf numFmtId="0" fontId="26" fillId="12" borderId="0" xfId="42" applyFill="1"/>
    <xf numFmtId="0" fontId="78" fillId="2" borderId="0" xfId="6" applyFont="1" applyFill="1" applyAlignment="1">
      <alignment horizontal="centerContinuous" vertical="center"/>
    </xf>
    <xf numFmtId="0" fontId="5" fillId="4" borderId="0" xfId="43" applyFill="1"/>
    <xf numFmtId="0" fontId="36" fillId="2" borderId="0" xfId="6" applyFont="1" applyFill="1" applyAlignment="1">
      <alignment horizontal="centerContinuous" vertical="center"/>
    </xf>
    <xf numFmtId="0" fontId="11" fillId="2" borderId="0" xfId="6" applyFont="1" applyFill="1" applyAlignment="1">
      <alignment horizontal="centerContinuous" vertical="center"/>
    </xf>
    <xf numFmtId="0" fontId="9" fillId="4" borderId="0" xfId="43" applyFont="1" applyFill="1" applyAlignment="1">
      <alignment horizontal="center" vertical="center"/>
    </xf>
    <xf numFmtId="0" fontId="5" fillId="4" borderId="0" xfId="33" applyFont="1" applyFill="1" applyAlignment="1">
      <alignment horizontal="right" vertical="center"/>
    </xf>
    <xf numFmtId="0" fontId="21" fillId="4" borderId="0" xfId="33" applyFont="1" applyFill="1" applyAlignment="1">
      <alignment horizontal="center" vertical="center"/>
    </xf>
    <xf numFmtId="0" fontId="5" fillId="4" borderId="0" xfId="6" applyFill="1" applyAlignment="1">
      <alignment horizontal="center" vertical="center"/>
    </xf>
    <xf numFmtId="0" fontId="5" fillId="4" borderId="0" xfId="33" applyFont="1" applyFill="1" applyAlignment="1">
      <alignment horizontal="right" vertical="center" indent="1"/>
    </xf>
    <xf numFmtId="2" fontId="6" fillId="0" borderId="52" xfId="44" applyNumberFormat="1" applyFont="1" applyBorder="1" applyAlignment="1" applyProtection="1">
      <alignment horizontal="center" vertical="center"/>
      <protection locked="0"/>
    </xf>
    <xf numFmtId="219" fontId="6" fillId="0" borderId="52" xfId="44" applyNumberFormat="1" applyFont="1" applyBorder="1" applyAlignment="1" applyProtection="1">
      <alignment vertical="center"/>
      <protection locked="0"/>
    </xf>
    <xf numFmtId="3" fontId="6" fillId="0" borderId="52" xfId="44" applyNumberFormat="1" applyFont="1" applyBorder="1" applyAlignment="1" applyProtection="1">
      <alignment horizontal="right" vertical="center" indent="1"/>
      <protection locked="0"/>
    </xf>
    <xf numFmtId="220" fontId="6" fillId="4" borderId="0" xfId="45" applyNumberFormat="1" applyFont="1" applyFill="1" applyBorder="1" applyAlignment="1">
      <alignment horizontal="center" vertical="center"/>
    </xf>
    <xf numFmtId="221" fontId="6" fillId="4" borderId="0" xfId="7" applyNumberFormat="1" applyFill="1" applyAlignment="1">
      <alignment horizontal="center" vertical="center"/>
    </xf>
    <xf numFmtId="219" fontId="5" fillId="4" borderId="52" xfId="6" applyNumberFormat="1" applyFill="1" applyBorder="1" applyAlignment="1">
      <alignment vertical="center"/>
    </xf>
    <xf numFmtId="0" fontId="5" fillId="4" borderId="52" xfId="6" applyFill="1" applyBorder="1"/>
    <xf numFmtId="0" fontId="21" fillId="4" borderId="0" xfId="44" applyFont="1" applyFill="1" applyAlignment="1">
      <alignment vertical="center"/>
    </xf>
    <xf numFmtId="0" fontId="118" fillId="4" borderId="0" xfId="44" applyFont="1" applyFill="1" applyAlignment="1">
      <alignment horizontal="centerContinuous" vertical="center"/>
    </xf>
    <xf numFmtId="0" fontId="6" fillId="4" borderId="0" xfId="44" applyFont="1" applyFill="1"/>
    <xf numFmtId="0" fontId="5" fillId="6" borderId="71" xfId="6" applyFill="1" applyBorder="1" applyAlignment="1">
      <alignment horizontal="centerContinuous" vertical="center"/>
    </xf>
    <xf numFmtId="0" fontId="5" fillId="6" borderId="49" xfId="6" applyFill="1" applyBorder="1" applyAlignment="1">
      <alignment horizontal="centerContinuous" vertical="center"/>
    </xf>
    <xf numFmtId="0" fontId="5" fillId="6" borderId="72" xfId="6" applyFill="1" applyBorder="1" applyAlignment="1">
      <alignment horizontal="centerContinuous" vertical="center"/>
    </xf>
    <xf numFmtId="0" fontId="5" fillId="4" borderId="43" xfId="6" applyFill="1" applyBorder="1"/>
    <xf numFmtId="0" fontId="12" fillId="4" borderId="43" xfId="6" applyFont="1" applyFill="1" applyBorder="1" applyAlignment="1">
      <alignment horizontal="center"/>
    </xf>
    <xf numFmtId="0" fontId="55" fillId="4" borderId="50" xfId="6" applyFont="1" applyFill="1" applyBorder="1" applyAlignment="1">
      <alignment horizontal="center" vertical="center"/>
    </xf>
    <xf numFmtId="0" fontId="55" fillId="4" borderId="50" xfId="6" applyFont="1" applyFill="1" applyBorder="1" applyAlignment="1">
      <alignment vertical="center"/>
    </xf>
    <xf numFmtId="0" fontId="21" fillId="4" borderId="0" xfId="44" applyFont="1" applyFill="1" applyAlignment="1">
      <alignment horizontal="center"/>
    </xf>
    <xf numFmtId="220" fontId="6" fillId="4" borderId="0" xfId="44" applyNumberFormat="1" applyFont="1" applyFill="1" applyAlignment="1">
      <alignment vertical="center"/>
    </xf>
    <xf numFmtId="0" fontId="5" fillId="4" borderId="50" xfId="6" applyFill="1" applyBorder="1"/>
    <xf numFmtId="0" fontId="119" fillId="4" borderId="50" xfId="44" applyFont="1" applyFill="1" applyBorder="1" applyAlignment="1">
      <alignment horizontal="centerContinuous"/>
    </xf>
    <xf numFmtId="0" fontId="6" fillId="4" borderId="50" xfId="44" applyFont="1" applyFill="1" applyBorder="1"/>
    <xf numFmtId="0" fontId="119" fillId="4" borderId="0" xfId="44" applyFont="1" applyFill="1" applyAlignment="1">
      <alignment horizontal="centerContinuous"/>
    </xf>
    <xf numFmtId="0" fontId="119" fillId="4" borderId="0" xfId="44" applyFont="1" applyFill="1" applyAlignment="1">
      <alignment horizontal="center"/>
    </xf>
    <xf numFmtId="0" fontId="6" fillId="4" borderId="0" xfId="6" applyFont="1" applyFill="1"/>
    <xf numFmtId="0" fontId="6" fillId="4" borderId="0" xfId="44" applyFont="1" applyFill="1" applyAlignment="1">
      <alignment horizontal="left" vertical="center" indent="2"/>
    </xf>
    <xf numFmtId="0" fontId="6" fillId="4" borderId="0" xfId="44" applyFont="1" applyFill="1" applyAlignment="1">
      <alignment vertical="center"/>
    </xf>
    <xf numFmtId="0" fontId="121" fillId="4" borderId="0" xfId="44" applyFont="1" applyFill="1" applyAlignment="1">
      <alignment vertical="center"/>
    </xf>
    <xf numFmtId="0" fontId="21" fillId="4" borderId="0" xfId="47" applyFont="1" applyFill="1" applyAlignment="1">
      <alignment horizontal="center"/>
    </xf>
    <xf numFmtId="0" fontId="5" fillId="3" borderId="1" xfId="48" applyFill="1" applyBorder="1"/>
    <xf numFmtId="0" fontId="6" fillId="4" borderId="0" xfId="47" applyFont="1" applyFill="1" applyAlignment="1">
      <alignment horizontal="center"/>
    </xf>
    <xf numFmtId="0" fontId="6" fillId="4" borderId="0" xfId="44" applyFont="1" applyFill="1" applyAlignment="1">
      <alignment horizontal="centerContinuous" vertical="center"/>
    </xf>
    <xf numFmtId="0" fontId="122" fillId="4" borderId="0" xfId="44" applyFont="1" applyFill="1" applyAlignment="1">
      <alignment vertical="center"/>
    </xf>
    <xf numFmtId="2" fontId="123" fillId="4" borderId="0" xfId="44" applyNumberFormat="1" applyFont="1" applyFill="1" applyAlignment="1">
      <alignment vertical="center"/>
    </xf>
    <xf numFmtId="0" fontId="25" fillId="4" borderId="0" xfId="44" applyFont="1" applyFill="1" applyAlignment="1">
      <alignment horizontal="center" vertical="center"/>
    </xf>
    <xf numFmtId="222" fontId="124" fillId="4" borderId="0" xfId="44" applyNumberFormat="1" applyFont="1" applyFill="1" applyAlignment="1">
      <alignment horizontal="center"/>
    </xf>
    <xf numFmtId="0" fontId="5" fillId="0" borderId="0" xfId="6"/>
    <xf numFmtId="0" fontId="5" fillId="3" borderId="0" xfId="6" applyFill="1"/>
    <xf numFmtId="0" fontId="22" fillId="7" borderId="174" xfId="44" applyFont="1" applyFill="1" applyBorder="1" applyAlignment="1">
      <alignment horizontal="centerContinuous" vertical="center"/>
    </xf>
    <xf numFmtId="0" fontId="23" fillId="7" borderId="173" xfId="44" applyFont="1" applyFill="1" applyBorder="1" applyAlignment="1">
      <alignment horizontal="centerContinuous" vertical="center"/>
    </xf>
    <xf numFmtId="0" fontId="22" fillId="7" borderId="173" xfId="44" applyFont="1" applyFill="1" applyBorder="1" applyAlignment="1">
      <alignment horizontal="centerContinuous" vertical="center"/>
    </xf>
    <xf numFmtId="0" fontId="5" fillId="7" borderId="173" xfId="6" applyFill="1" applyBorder="1"/>
    <xf numFmtId="0" fontId="23" fillId="7" borderId="213" xfId="44" applyFont="1" applyFill="1" applyBorder="1" applyAlignment="1">
      <alignment horizontal="centerContinuous" vertical="center"/>
    </xf>
    <xf numFmtId="0" fontId="6" fillId="4" borderId="96" xfId="44" applyFont="1" applyFill="1" applyBorder="1" applyAlignment="1">
      <alignment vertical="center"/>
    </xf>
    <xf numFmtId="43" fontId="6" fillId="4" borderId="96" xfId="44" applyNumberFormat="1" applyFont="1" applyFill="1" applyBorder="1" applyAlignment="1" applyProtection="1">
      <alignment horizontal="left" vertical="center" indent="1"/>
      <protection locked="0"/>
    </xf>
    <xf numFmtId="0" fontId="21" fillId="4" borderId="14" xfId="4" applyFont="1" applyFill="1" applyBorder="1" applyAlignment="1">
      <alignment horizontal="center" vertical="center"/>
    </xf>
    <xf numFmtId="0" fontId="6" fillId="4" borderId="122" xfId="4" applyFont="1" applyFill="1" applyBorder="1" applyAlignment="1">
      <alignment horizontal="centerContinuous"/>
    </xf>
    <xf numFmtId="0" fontId="6" fillId="4" borderId="154" xfId="4" applyFont="1" applyFill="1" applyBorder="1" applyAlignment="1">
      <alignment horizontal="centerContinuous"/>
    </xf>
    <xf numFmtId="0" fontId="21" fillId="4" borderId="122" xfId="4" applyFont="1" applyFill="1" applyBorder="1" applyAlignment="1">
      <alignment horizontal="centerContinuous"/>
    </xf>
    <xf numFmtId="0" fontId="21" fillId="4" borderId="153" xfId="4" applyFont="1" applyFill="1" applyBorder="1" applyAlignment="1">
      <alignment horizontal="centerContinuous"/>
    </xf>
    <xf numFmtId="0" fontId="5" fillId="4" borderId="171" xfId="6" applyFill="1" applyBorder="1"/>
    <xf numFmtId="0" fontId="6" fillId="4" borderId="88" xfId="44" applyFont="1" applyFill="1" applyBorder="1"/>
    <xf numFmtId="0" fontId="6" fillId="4" borderId="88" xfId="44" applyFont="1" applyFill="1" applyBorder="1" applyAlignment="1">
      <alignment vertical="center"/>
    </xf>
    <xf numFmtId="219" fontId="6" fillId="4" borderId="88" xfId="44" applyNumberFormat="1" applyFont="1" applyFill="1" applyBorder="1" applyAlignment="1" applyProtection="1">
      <alignment vertical="center"/>
      <protection locked="0"/>
    </xf>
    <xf numFmtId="0" fontId="5" fillId="4" borderId="176" xfId="33" applyFont="1" applyFill="1" applyBorder="1" applyAlignment="1">
      <alignment horizontal="center" vertical="center"/>
    </xf>
    <xf numFmtId="0" fontId="5" fillId="4" borderId="176" xfId="33" applyFont="1" applyFill="1" applyBorder="1"/>
    <xf numFmtId="0" fontId="6" fillId="4" borderId="121" xfId="44" applyFont="1" applyFill="1" applyBorder="1"/>
    <xf numFmtId="0" fontId="25" fillId="4" borderId="121" xfId="4" applyFont="1" applyFill="1" applyBorder="1" applyAlignment="1">
      <alignment horizontal="center"/>
    </xf>
    <xf numFmtId="0" fontId="6" fillId="4" borderId="176" xfId="4" applyFont="1" applyFill="1" applyBorder="1" applyAlignment="1">
      <alignment horizontal="center"/>
    </xf>
    <xf numFmtId="0" fontId="6" fillId="4" borderId="176" xfId="4" applyFont="1" applyFill="1" applyBorder="1" applyAlignment="1">
      <alignment horizontal="center" vertical="center"/>
    </xf>
    <xf numFmtId="0" fontId="21" fillId="4" borderId="176" xfId="4" applyFont="1" applyFill="1" applyBorder="1" applyAlignment="1">
      <alignment horizontal="center"/>
    </xf>
    <xf numFmtId="0" fontId="21" fillId="4" borderId="174" xfId="4" applyFont="1" applyFill="1" applyBorder="1" applyAlignment="1">
      <alignment horizontal="center" vertical="center"/>
    </xf>
    <xf numFmtId="0" fontId="21" fillId="4" borderId="121" xfId="4" applyFont="1" applyFill="1" applyBorder="1" applyAlignment="1">
      <alignment horizontal="center"/>
    </xf>
    <xf numFmtId="3" fontId="6" fillId="4" borderId="88" xfId="44" applyNumberFormat="1" applyFont="1" applyFill="1" applyBorder="1" applyAlignment="1" applyProtection="1">
      <alignment vertical="center"/>
      <protection locked="0"/>
    </xf>
    <xf numFmtId="0" fontId="5" fillId="4" borderId="171" xfId="33" applyFont="1" applyFill="1" applyBorder="1" applyAlignment="1">
      <alignment horizontal="center" vertical="center"/>
    </xf>
    <xf numFmtId="0" fontId="5" fillId="4" borderId="171" xfId="33" applyFont="1" applyFill="1" applyBorder="1"/>
    <xf numFmtId="0" fontId="6" fillId="4" borderId="171" xfId="44" applyFont="1" applyFill="1" applyBorder="1"/>
    <xf numFmtId="0" fontId="6" fillId="4" borderId="176" xfId="44" applyFont="1" applyFill="1" applyBorder="1"/>
    <xf numFmtId="2" fontId="6" fillId="4" borderId="176" xfId="4" applyNumberFormat="1" applyFont="1" applyFill="1" applyBorder="1" applyAlignment="1">
      <alignment horizontal="center"/>
    </xf>
    <xf numFmtId="183" fontId="6" fillId="4" borderId="176" xfId="4" applyNumberFormat="1" applyFont="1" applyFill="1" applyBorder="1"/>
    <xf numFmtId="171" fontId="21" fillId="4" borderId="176" xfId="4" applyNumberFormat="1" applyFont="1" applyFill="1" applyBorder="1" applyAlignment="1">
      <alignment horizontal="center"/>
    </xf>
    <xf numFmtId="171" fontId="21" fillId="4" borderId="174" xfId="4" applyNumberFormat="1" applyFont="1" applyFill="1" applyBorder="1" applyAlignment="1">
      <alignment horizontal="center"/>
    </xf>
    <xf numFmtId="0" fontId="6" fillId="4" borderId="176" xfId="43" applyFont="1" applyFill="1" applyBorder="1"/>
    <xf numFmtId="0" fontId="21" fillId="4" borderId="176" xfId="43" applyFont="1" applyFill="1" applyBorder="1" applyAlignment="1">
      <alignment horizontal="center"/>
    </xf>
    <xf numFmtId="0" fontId="5" fillId="4" borderId="176" xfId="6" applyFill="1" applyBorder="1"/>
    <xf numFmtId="166" fontId="21" fillId="4" borderId="176" xfId="4" applyNumberFormat="1" applyFont="1" applyFill="1" applyBorder="1" applyAlignment="1">
      <alignment horizontal="center"/>
    </xf>
    <xf numFmtId="0" fontId="5" fillId="4" borderId="121" xfId="33" applyFont="1" applyFill="1" applyBorder="1" applyAlignment="1">
      <alignment horizontal="center" vertical="center"/>
    </xf>
    <xf numFmtId="0" fontId="6" fillId="4" borderId="216" xfId="44" applyFont="1" applyFill="1" applyBorder="1"/>
    <xf numFmtId="0" fontId="5" fillId="4" borderId="217" xfId="6" applyFill="1" applyBorder="1" applyAlignment="1">
      <alignment horizontal="center"/>
    </xf>
    <xf numFmtId="0" fontId="5" fillId="4" borderId="217" xfId="6" applyFill="1" applyBorder="1" applyAlignment="1">
      <alignment horizontal="center" vertical="center"/>
    </xf>
    <xf numFmtId="3" fontId="6" fillId="4" borderId="217" xfId="4" applyNumberFormat="1" applyFont="1" applyFill="1" applyBorder="1" applyAlignment="1">
      <alignment horizontal="right"/>
    </xf>
    <xf numFmtId="166" fontId="5" fillId="4" borderId="217" xfId="6" applyNumberFormat="1" applyFill="1" applyBorder="1"/>
    <xf numFmtId="199" fontId="6" fillId="4" borderId="218" xfId="45" applyNumberFormat="1" applyFont="1" applyFill="1" applyBorder="1" applyAlignment="1"/>
    <xf numFmtId="220" fontId="5" fillId="4" borderId="217" xfId="45" applyNumberFormat="1" applyFill="1" applyBorder="1"/>
    <xf numFmtId="220" fontId="5" fillId="4" borderId="219" xfId="45" applyNumberFormat="1" applyFill="1" applyBorder="1"/>
    <xf numFmtId="0" fontId="21" fillId="4" borderId="0" xfId="6" applyFont="1" applyFill="1" applyAlignment="1">
      <alignment horizontal="center"/>
    </xf>
    <xf numFmtId="43" fontId="6" fillId="4" borderId="88" xfId="44" applyNumberFormat="1" applyFont="1" applyFill="1" applyBorder="1" applyAlignment="1" applyProtection="1">
      <alignment horizontal="center" vertical="center"/>
      <protection locked="0"/>
    </xf>
    <xf numFmtId="0" fontId="6" fillId="4" borderId="220" xfId="44" applyFont="1" applyFill="1" applyBorder="1"/>
    <xf numFmtId="0" fontId="5" fillId="4" borderId="176" xfId="6" applyFill="1" applyBorder="1" applyAlignment="1">
      <alignment horizontal="center"/>
    </xf>
    <xf numFmtId="0" fontId="5" fillId="4" borderId="176" xfId="6" applyFill="1" applyBorder="1" applyAlignment="1">
      <alignment horizontal="center" vertical="center"/>
    </xf>
    <xf numFmtId="3" fontId="6" fillId="4" borderId="176" xfId="4" applyNumberFormat="1" applyFont="1" applyFill="1" applyBorder="1" applyAlignment="1">
      <alignment horizontal="right"/>
    </xf>
    <xf numFmtId="166" fontId="5" fillId="4" borderId="176" xfId="6" applyNumberFormat="1" applyFill="1" applyBorder="1"/>
    <xf numFmtId="199" fontId="6" fillId="4" borderId="176" xfId="45" applyNumberFormat="1" applyFont="1" applyFill="1" applyBorder="1" applyAlignment="1"/>
    <xf numFmtId="220" fontId="5" fillId="4" borderId="176" xfId="45" applyNumberFormat="1" applyFill="1" applyBorder="1"/>
    <xf numFmtId="220" fontId="5" fillId="4" borderId="221" xfId="45" applyNumberFormat="1" applyFill="1" applyBorder="1"/>
    <xf numFmtId="0" fontId="12" fillId="4" borderId="222" xfId="44" applyFont="1" applyFill="1" applyBorder="1"/>
    <xf numFmtId="0" fontId="12" fillId="4" borderId="223" xfId="6" applyFont="1" applyFill="1" applyBorder="1" applyAlignment="1">
      <alignment horizontal="center"/>
    </xf>
    <xf numFmtId="0" fontId="12" fillId="4" borderId="223" xfId="6" applyFont="1" applyFill="1" applyBorder="1" applyAlignment="1">
      <alignment horizontal="center" vertical="center"/>
    </xf>
    <xf numFmtId="3" fontId="21" fillId="4" borderId="223" xfId="6" applyNumberFormat="1" applyFont="1" applyFill="1" applyBorder="1" applyAlignment="1">
      <alignment horizontal="right"/>
    </xf>
    <xf numFmtId="0" fontId="5" fillId="4" borderId="178" xfId="6" applyFill="1" applyBorder="1"/>
    <xf numFmtId="199" fontId="5" fillId="4" borderId="178" xfId="6" applyNumberFormat="1" applyFill="1" applyBorder="1"/>
    <xf numFmtId="0" fontId="5" fillId="4" borderId="196" xfId="6" applyFill="1" applyBorder="1"/>
    <xf numFmtId="0" fontId="25" fillId="4" borderId="176" xfId="8" applyFont="1" applyFill="1" applyBorder="1" applyAlignment="1">
      <alignment vertical="center"/>
    </xf>
    <xf numFmtId="168" fontId="27" fillId="4" borderId="176" xfId="45" applyNumberFormat="1" applyFont="1" applyFill="1" applyBorder="1" applyAlignment="1">
      <alignment vertical="center"/>
    </xf>
    <xf numFmtId="170" fontId="27" fillId="4" borderId="176" xfId="45" applyNumberFormat="1" applyFont="1" applyFill="1" applyBorder="1" applyAlignment="1">
      <alignment vertical="center"/>
    </xf>
    <xf numFmtId="168" fontId="27" fillId="4" borderId="176" xfId="9" applyNumberFormat="1" applyFont="1" applyFill="1" applyBorder="1" applyAlignment="1">
      <alignment vertical="center"/>
    </xf>
    <xf numFmtId="167" fontId="27" fillId="4" borderId="176" xfId="9" applyNumberFormat="1" applyFont="1" applyFill="1" applyBorder="1" applyAlignment="1">
      <alignment vertical="center"/>
    </xf>
    <xf numFmtId="40" fontId="27" fillId="4" borderId="176" xfId="45" applyNumberFormat="1" applyFont="1" applyFill="1" applyBorder="1" applyAlignment="1">
      <alignment vertical="center"/>
    </xf>
    <xf numFmtId="2" fontId="21" fillId="4" borderId="176" xfId="8" applyNumberFormat="1" applyFont="1" applyFill="1" applyBorder="1" applyAlignment="1">
      <alignment vertical="center"/>
    </xf>
    <xf numFmtId="168" fontId="21" fillId="4" borderId="176" xfId="45" applyNumberFormat="1" applyFont="1" applyFill="1" applyBorder="1" applyAlignment="1" applyProtection="1">
      <alignment vertical="center"/>
    </xf>
    <xf numFmtId="170" fontId="21" fillId="4" borderId="176" xfId="45" applyNumberFormat="1" applyFont="1" applyFill="1" applyBorder="1" applyAlignment="1" applyProtection="1">
      <alignment vertical="center"/>
    </xf>
    <xf numFmtId="168" fontId="21" fillId="4" borderId="176" xfId="9" applyNumberFormat="1" applyFont="1" applyFill="1" applyBorder="1" applyAlignment="1" applyProtection="1">
      <alignment vertical="center"/>
    </xf>
    <xf numFmtId="167" fontId="21" fillId="4" borderId="176" xfId="9" applyNumberFormat="1" applyFont="1" applyFill="1" applyBorder="1" applyAlignment="1" applyProtection="1">
      <alignment vertical="center"/>
    </xf>
    <xf numFmtId="171" fontId="21" fillId="4" borderId="176" xfId="8" applyNumberFormat="1" applyFont="1" applyFill="1" applyBorder="1" applyAlignment="1">
      <alignment vertical="center"/>
    </xf>
    <xf numFmtId="40" fontId="21" fillId="4" borderId="176" xfId="45" applyNumberFormat="1" applyFont="1" applyFill="1" applyBorder="1" applyAlignment="1" applyProtection="1">
      <alignment vertical="center"/>
    </xf>
    <xf numFmtId="166" fontId="6" fillId="4" borderId="88" xfId="44" applyNumberFormat="1" applyFont="1" applyFill="1" applyBorder="1" applyAlignment="1">
      <alignment vertical="center"/>
    </xf>
    <xf numFmtId="223" fontId="6" fillId="4" borderId="0" xfId="44" applyNumberFormat="1" applyFont="1" applyFill="1" applyAlignment="1">
      <alignment vertical="center"/>
    </xf>
    <xf numFmtId="0" fontId="6" fillId="4" borderId="174" xfId="4" applyFont="1" applyFill="1" applyBorder="1" applyAlignment="1">
      <alignment horizontal="centerContinuous"/>
    </xf>
    <xf numFmtId="0" fontId="6" fillId="4" borderId="213" xfId="4" applyFont="1" applyFill="1" applyBorder="1" applyAlignment="1">
      <alignment horizontal="centerContinuous"/>
    </xf>
    <xf numFmtId="0" fontId="21" fillId="4" borderId="174" xfId="4" applyFont="1" applyFill="1" applyBorder="1" applyAlignment="1">
      <alignment horizontal="centerContinuous"/>
    </xf>
    <xf numFmtId="0" fontId="21" fillId="4" borderId="171" xfId="4" applyFont="1" applyFill="1" applyBorder="1" applyAlignment="1">
      <alignment horizontal="center" vertical="center"/>
    </xf>
    <xf numFmtId="0" fontId="5" fillId="4" borderId="88" xfId="33" applyFont="1" applyFill="1" applyBorder="1"/>
    <xf numFmtId="3" fontId="6" fillId="4" borderId="88" xfId="44" applyNumberFormat="1" applyFont="1" applyFill="1" applyBorder="1" applyAlignment="1">
      <alignment vertical="center"/>
    </xf>
    <xf numFmtId="223" fontId="6" fillId="4" borderId="0" xfId="44" applyNumberFormat="1" applyFont="1" applyFill="1"/>
    <xf numFmtId="0" fontId="21" fillId="4" borderId="174" xfId="6" applyFont="1" applyFill="1" applyBorder="1" applyAlignment="1">
      <alignment horizontal="center" vertical="center"/>
    </xf>
    <xf numFmtId="0" fontId="21" fillId="4" borderId="176" xfId="6" applyFont="1" applyFill="1" applyBorder="1" applyAlignment="1">
      <alignment vertical="center"/>
    </xf>
    <xf numFmtId="0" fontId="6" fillId="4" borderId="175" xfId="44" applyFont="1" applyFill="1" applyBorder="1"/>
    <xf numFmtId="0" fontId="5" fillId="4" borderId="175" xfId="6" applyFill="1" applyBorder="1" applyAlignment="1">
      <alignment horizontal="center"/>
    </xf>
    <xf numFmtId="3" fontId="6" fillId="4" borderId="175" xfId="4" applyNumberFormat="1" applyFont="1" applyFill="1" applyBorder="1" applyAlignment="1">
      <alignment horizontal="right"/>
    </xf>
    <xf numFmtId="166" fontId="5" fillId="4" borderId="175" xfId="6" applyNumberFormat="1" applyFill="1" applyBorder="1"/>
    <xf numFmtId="199" fontId="6" fillId="4" borderId="175" xfId="45" applyNumberFormat="1" applyFont="1" applyFill="1" applyBorder="1" applyAlignment="1"/>
    <xf numFmtId="220" fontId="5" fillId="4" borderId="175" xfId="45" applyNumberFormat="1" applyFill="1" applyBorder="1"/>
    <xf numFmtId="0" fontId="21" fillId="4" borderId="176" xfId="4" applyFont="1" applyFill="1" applyBorder="1" applyAlignment="1">
      <alignment horizontal="center" vertical="center"/>
    </xf>
    <xf numFmtId="0" fontId="25" fillId="4" borderId="0" xfId="8" applyFont="1" applyFill="1" applyAlignment="1">
      <alignment vertical="center"/>
    </xf>
    <xf numFmtId="168" fontId="27" fillId="4" borderId="0" xfId="45" applyNumberFormat="1" applyFont="1" applyFill="1" applyBorder="1" applyAlignment="1">
      <alignment vertical="center"/>
    </xf>
    <xf numFmtId="170" fontId="27" fillId="4" borderId="0" xfId="45" applyNumberFormat="1" applyFont="1" applyFill="1" applyBorder="1" applyAlignment="1">
      <alignment vertical="center"/>
    </xf>
    <xf numFmtId="0" fontId="6" fillId="4" borderId="171" xfId="6" applyFont="1" applyFill="1" applyBorder="1" applyAlignment="1">
      <alignment horizontal="center" vertical="center"/>
    </xf>
    <xf numFmtId="0" fontId="21" fillId="4" borderId="215" xfId="6" applyFont="1" applyFill="1" applyBorder="1" applyAlignment="1">
      <alignment vertical="center"/>
    </xf>
    <xf numFmtId="171" fontId="67" fillId="4" borderId="176" xfId="4" applyNumberFormat="1" applyFont="1" applyFill="1" applyBorder="1" applyAlignment="1">
      <alignment horizontal="center"/>
    </xf>
    <xf numFmtId="0" fontId="15" fillId="4" borderId="176" xfId="4" applyFill="1" applyBorder="1" applyAlignment="1">
      <alignment horizontal="center" vertical="center"/>
    </xf>
    <xf numFmtId="166" fontId="68" fillId="4" borderId="121" xfId="4" applyNumberFormat="1" applyFont="1" applyFill="1" applyBorder="1" applyAlignment="1">
      <alignment horizontal="center"/>
    </xf>
    <xf numFmtId="0" fontId="21" fillId="4" borderId="224" xfId="44" applyFont="1" applyFill="1" applyBorder="1" applyAlignment="1">
      <alignment vertical="center"/>
    </xf>
    <xf numFmtId="0" fontId="6" fillId="4" borderId="224" xfId="44" applyFont="1" applyFill="1" applyBorder="1" applyAlignment="1">
      <alignment vertical="center"/>
    </xf>
    <xf numFmtId="2" fontId="21" fillId="4" borderId="224" xfId="44" applyNumberFormat="1" applyFont="1" applyFill="1" applyBorder="1" applyAlignment="1">
      <alignment vertical="center"/>
    </xf>
    <xf numFmtId="0" fontId="5" fillId="4" borderId="121" xfId="6" applyFill="1" applyBorder="1" applyAlignment="1">
      <alignment horizontal="center"/>
    </xf>
    <xf numFmtId="0" fontId="21" fillId="4" borderId="154" xfId="6" applyFont="1" applyFill="1" applyBorder="1"/>
    <xf numFmtId="0" fontId="6" fillId="4" borderId="14" xfId="6" applyFont="1" applyFill="1" applyBorder="1" applyAlignment="1">
      <alignment horizontal="center" vertical="center"/>
    </xf>
    <xf numFmtId="0" fontId="6" fillId="4" borderId="13" xfId="33" applyFont="1" applyFill="1" applyBorder="1" applyAlignment="1">
      <alignment vertical="center"/>
    </xf>
    <xf numFmtId="49" fontId="5" fillId="4" borderId="225" xfId="6" applyNumberFormat="1" applyFill="1" applyBorder="1" applyAlignment="1">
      <alignment horizontal="center" vertical="center"/>
    </xf>
    <xf numFmtId="0" fontId="5" fillId="4" borderId="225" xfId="6" applyFill="1" applyBorder="1"/>
    <xf numFmtId="0" fontId="5" fillId="4" borderId="225" xfId="6" applyFill="1" applyBorder="1" applyAlignment="1">
      <alignment vertical="center"/>
    </xf>
    <xf numFmtId="0" fontId="6" fillId="4" borderId="14" xfId="33" applyFont="1" applyFill="1" applyBorder="1" applyAlignment="1">
      <alignment horizontal="center"/>
    </xf>
    <xf numFmtId="49" fontId="5" fillId="4" borderId="88" xfId="6" applyNumberFormat="1" applyFill="1" applyBorder="1" applyAlignment="1">
      <alignment horizontal="center" vertical="center"/>
    </xf>
    <xf numFmtId="0" fontId="5" fillId="4" borderId="88" xfId="6" applyFill="1" applyBorder="1"/>
    <xf numFmtId="0" fontId="5" fillId="4" borderId="88" xfId="6" applyFill="1" applyBorder="1" applyAlignment="1">
      <alignment vertical="center"/>
    </xf>
    <xf numFmtId="0" fontId="6" fillId="4" borderId="121" xfId="33" applyFont="1" applyFill="1" applyBorder="1" applyAlignment="1">
      <alignment horizontal="center"/>
    </xf>
    <xf numFmtId="0" fontId="6" fillId="4" borderId="154" xfId="33" applyFont="1" applyFill="1" applyBorder="1" applyAlignment="1">
      <alignment vertical="center"/>
    </xf>
    <xf numFmtId="0" fontId="21" fillId="4" borderId="121" xfId="4" applyFont="1" applyFill="1" applyBorder="1" applyAlignment="1">
      <alignment horizontal="center" vertical="center"/>
    </xf>
    <xf numFmtId="0" fontId="5" fillId="4" borderId="224" xfId="6" applyFill="1" applyBorder="1" applyAlignment="1">
      <alignment horizontal="center" vertical="center"/>
    </xf>
    <xf numFmtId="0" fontId="5" fillId="4" borderId="224" xfId="6" applyFill="1" applyBorder="1" applyAlignment="1">
      <alignment vertical="center"/>
    </xf>
    <xf numFmtId="219" fontId="12" fillId="4" borderId="224" xfId="44" applyNumberFormat="1" applyFont="1" applyFill="1" applyBorder="1" applyAlignment="1" applyProtection="1">
      <alignment vertical="center"/>
      <protection locked="0"/>
    </xf>
    <xf numFmtId="185" fontId="6" fillId="4" borderId="176" xfId="4" applyNumberFormat="1" applyFont="1" applyFill="1" applyBorder="1" applyAlignment="1">
      <alignment vertical="center"/>
    </xf>
    <xf numFmtId="2" fontId="21" fillId="4" borderId="176" xfId="4" applyNumberFormat="1" applyFont="1" applyFill="1" applyBorder="1" applyAlignment="1">
      <alignment horizontal="center" vertical="center"/>
    </xf>
    <xf numFmtId="3" fontId="12" fillId="4" borderId="176" xfId="6" applyNumberFormat="1" applyFont="1" applyFill="1" applyBorder="1"/>
    <xf numFmtId="0" fontId="6" fillId="4" borderId="176" xfId="44" applyFont="1" applyFill="1" applyBorder="1" applyAlignment="1">
      <alignment vertical="center"/>
    </xf>
    <xf numFmtId="1" fontId="6" fillId="4" borderId="229" xfId="4" applyNumberFormat="1" applyFont="1" applyFill="1" applyBorder="1" applyAlignment="1">
      <alignment horizontal="center"/>
    </xf>
    <xf numFmtId="0" fontId="6" fillId="4" borderId="230" xfId="4" applyFont="1" applyFill="1" applyBorder="1" applyAlignment="1">
      <alignment horizontal="center"/>
    </xf>
    <xf numFmtId="2" fontId="6" fillId="4" borderId="231" xfId="4" applyNumberFormat="1" applyFont="1" applyFill="1" applyBorder="1"/>
    <xf numFmtId="0" fontId="6" fillId="4" borderId="229" xfId="4" applyFont="1" applyFill="1" applyBorder="1" applyAlignment="1">
      <alignment horizontal="center"/>
    </xf>
    <xf numFmtId="166" fontId="6" fillId="4" borderId="175" xfId="4" applyNumberFormat="1" applyFont="1" applyFill="1" applyBorder="1" applyAlignment="1">
      <alignment horizontal="center"/>
    </xf>
    <xf numFmtId="166" fontId="6" fillId="4" borderId="231" xfId="4" applyNumberFormat="1" applyFont="1" applyFill="1" applyBorder="1" applyAlignment="1">
      <alignment horizontal="center"/>
    </xf>
    <xf numFmtId="0" fontId="5" fillId="4" borderId="0" xfId="43" applyFill="1" applyAlignment="1">
      <alignment vertical="center"/>
    </xf>
    <xf numFmtId="0" fontId="69" fillId="4" borderId="176" xfId="4" applyFont="1" applyFill="1" applyBorder="1" applyAlignment="1">
      <alignment horizontal="center" vertical="center"/>
    </xf>
    <xf numFmtId="0" fontId="6" fillId="4" borderId="121" xfId="44" applyFont="1" applyFill="1" applyBorder="1" applyAlignment="1">
      <alignment vertical="center"/>
    </xf>
    <xf numFmtId="166" fontId="5" fillId="4" borderId="176" xfId="6" applyNumberFormat="1" applyFill="1" applyBorder="1" applyAlignment="1">
      <alignment horizontal="center" vertical="center"/>
    </xf>
    <xf numFmtId="165" fontId="5" fillId="4" borderId="176" xfId="6" applyNumberFormat="1" applyFill="1" applyBorder="1" applyAlignment="1">
      <alignment horizontal="center" vertical="center"/>
    </xf>
    <xf numFmtId="166" fontId="5" fillId="4" borderId="0" xfId="6" applyNumberFormat="1" applyFill="1" applyAlignment="1">
      <alignment horizontal="center" vertical="center"/>
    </xf>
    <xf numFmtId="165" fontId="5" fillId="4" borderId="0" xfId="6" applyNumberFormat="1" applyFill="1" applyAlignment="1">
      <alignment horizontal="center" vertical="center"/>
    </xf>
    <xf numFmtId="1" fontId="6" fillId="4" borderId="214" xfId="4" applyNumberFormat="1" applyFont="1" applyFill="1" applyBorder="1" applyAlignment="1">
      <alignment horizontal="center"/>
    </xf>
    <xf numFmtId="0" fontId="6" fillId="4" borderId="214" xfId="4" applyFont="1" applyFill="1" applyBorder="1" applyAlignment="1">
      <alignment horizontal="center"/>
    </xf>
    <xf numFmtId="171" fontId="6" fillId="4" borderId="214" xfId="4" applyNumberFormat="1" applyFont="1" applyFill="1" applyBorder="1" applyAlignment="1">
      <alignment horizontal="center"/>
    </xf>
    <xf numFmtId="171" fontId="6" fillId="4" borderId="37" xfId="4" applyNumberFormat="1" applyFont="1" applyFill="1" applyBorder="1" applyAlignment="1">
      <alignment horizontal="center"/>
    </xf>
    <xf numFmtId="0" fontId="5" fillId="4" borderId="153" xfId="6" applyFill="1" applyBorder="1"/>
    <xf numFmtId="0" fontId="5" fillId="4" borderId="122" xfId="6" applyFill="1" applyBorder="1"/>
    <xf numFmtId="0" fontId="5" fillId="4" borderId="154" xfId="6" applyFill="1" applyBorder="1"/>
    <xf numFmtId="0" fontId="36" fillId="10" borderId="0" xfId="7" applyFont="1" applyFill="1" applyAlignment="1">
      <alignment horizontal="centerContinuous" vertical="center"/>
    </xf>
    <xf numFmtId="0" fontId="6" fillId="4" borderId="0" xfId="7" applyFill="1"/>
    <xf numFmtId="0" fontId="11" fillId="18" borderId="0" xfId="7" applyFont="1" applyFill="1" applyAlignment="1">
      <alignment horizontal="centerContinuous" vertical="center"/>
    </xf>
    <xf numFmtId="0" fontId="6" fillId="18" borderId="0" xfId="7" applyFill="1"/>
    <xf numFmtId="0" fontId="5" fillId="4" borderId="0" xfId="33" applyFont="1" applyFill="1" applyAlignment="1">
      <alignment horizontal="centerContinuous"/>
    </xf>
    <xf numFmtId="0" fontId="5" fillId="4" borderId="0" xfId="33" applyFont="1" applyFill="1" applyAlignment="1">
      <alignment horizontal="left"/>
    </xf>
    <xf numFmtId="193" fontId="5" fillId="0" borderId="52" xfId="33" applyNumberFormat="1" applyFont="1" applyBorder="1" applyAlignment="1">
      <alignment horizontal="right" vertical="center" indent="1"/>
    </xf>
    <xf numFmtId="0" fontId="5" fillId="4" borderId="0" xfId="33" applyFont="1" applyFill="1" applyAlignment="1">
      <alignment horizontal="left" vertical="center"/>
    </xf>
    <xf numFmtId="41" fontId="5" fillId="4" borderId="0" xfId="33" applyNumberFormat="1" applyFont="1" applyFill="1" applyAlignment="1">
      <alignment vertical="center"/>
    </xf>
    <xf numFmtId="0" fontId="21" fillId="4" borderId="0" xfId="33" applyFont="1" applyFill="1" applyAlignment="1">
      <alignment horizontal="center" vertical="center" wrapText="1"/>
    </xf>
    <xf numFmtId="0" fontId="97" fillId="4" borderId="0" xfId="33" applyFont="1" applyFill="1" applyAlignment="1">
      <alignment horizontal="center" vertical="center" wrapText="1"/>
    </xf>
    <xf numFmtId="0" fontId="21" fillId="4" borderId="0" xfId="33" applyFont="1" applyFill="1" applyAlignment="1">
      <alignment vertical="center"/>
    </xf>
    <xf numFmtId="0" fontId="6" fillId="6" borderId="0" xfId="7" applyFill="1" applyAlignment="1">
      <alignment horizontal="center" vertical="center"/>
    </xf>
    <xf numFmtId="0" fontId="97" fillId="4" borderId="0" xfId="33" applyFont="1" applyFill="1" applyAlignment="1">
      <alignment horizontal="center" vertical="center"/>
    </xf>
    <xf numFmtId="0" fontId="97" fillId="4" borderId="0" xfId="7" applyFont="1" applyFill="1" applyAlignment="1">
      <alignment horizontal="center" vertical="center"/>
    </xf>
    <xf numFmtId="0" fontId="53" fillId="4" borderId="0" xfId="33" applyFont="1" applyFill="1" applyAlignment="1">
      <alignment horizontal="center" vertical="center"/>
    </xf>
    <xf numFmtId="0" fontId="6" fillId="4" borderId="0" xfId="7" applyFill="1" applyAlignment="1">
      <alignment horizontal="center" vertical="center"/>
    </xf>
    <xf numFmtId="219" fontId="5" fillId="0" borderId="52" xfId="33" applyNumberFormat="1" applyFont="1" applyBorder="1" applyAlignment="1">
      <alignment vertical="center"/>
    </xf>
    <xf numFmtId="200" fontId="5" fillId="0" borderId="52" xfId="33" applyNumberFormat="1" applyFont="1" applyBorder="1" applyAlignment="1">
      <alignment vertical="center"/>
    </xf>
    <xf numFmtId="188" fontId="5" fillId="4" borderId="0" xfId="33" applyNumberFormat="1" applyFont="1" applyFill="1" applyAlignment="1">
      <alignment vertical="center"/>
    </xf>
    <xf numFmtId="221" fontId="5" fillId="4" borderId="0" xfId="33" applyNumberFormat="1" applyFont="1" applyFill="1" applyAlignment="1">
      <alignment horizontal="right" vertical="center" indent="1"/>
    </xf>
    <xf numFmtId="0" fontId="21" fillId="4" borderId="0" xfId="44" applyFont="1" applyFill="1"/>
    <xf numFmtId="2" fontId="21" fillId="4" borderId="0" xfId="33" applyNumberFormat="1" applyFont="1" applyFill="1" applyAlignment="1">
      <alignment horizontal="center"/>
    </xf>
    <xf numFmtId="219" fontId="21" fillId="4" borderId="0" xfId="33" applyNumberFormat="1" applyFont="1" applyFill="1"/>
    <xf numFmtId="200" fontId="21" fillId="4" borderId="0" xfId="33" applyNumberFormat="1" applyFont="1" applyFill="1" applyAlignment="1">
      <alignment horizontal="right"/>
    </xf>
    <xf numFmtId="201" fontId="21" fillId="4" borderId="0" xfId="33" applyNumberFormat="1" applyFont="1" applyFill="1" applyAlignment="1">
      <alignment horizontal="right"/>
    </xf>
    <xf numFmtId="188" fontId="21" fillId="4" borderId="0" xfId="33" applyNumberFormat="1" applyFont="1" applyFill="1" applyAlignment="1">
      <alignment horizontal="right"/>
    </xf>
    <xf numFmtId="221" fontId="21" fillId="4" borderId="0" xfId="33" applyNumberFormat="1" applyFont="1" applyFill="1" applyAlignment="1">
      <alignment horizontal="right" indent="1"/>
    </xf>
    <xf numFmtId="0" fontId="127" fillId="4" borderId="0" xfId="7" applyFont="1" applyFill="1" applyAlignment="1">
      <alignment vertical="center"/>
    </xf>
    <xf numFmtId="0" fontId="21" fillId="4" borderId="0" xfId="33" applyFont="1" applyFill="1" applyAlignment="1">
      <alignment horizontal="center" vertical="center" shrinkToFit="1"/>
    </xf>
    <xf numFmtId="0" fontId="97" fillId="4" borderId="0" xfId="7" applyFont="1" applyFill="1" applyAlignment="1">
      <alignment horizontal="center" vertical="center" shrinkToFit="1"/>
    </xf>
    <xf numFmtId="2" fontId="6" fillId="4" borderId="52" xfId="44" applyNumberFormat="1" applyFont="1" applyFill="1" applyBorder="1" applyAlignment="1" applyProtection="1">
      <alignment horizontal="center" vertical="center"/>
      <protection locked="0"/>
    </xf>
    <xf numFmtId="219" fontId="5" fillId="4" borderId="52" xfId="33" applyNumberFormat="1" applyFont="1" applyFill="1" applyBorder="1" applyAlignment="1">
      <alignment vertical="center"/>
    </xf>
    <xf numFmtId="221" fontId="5" fillId="0" borderId="52" xfId="33" applyNumberFormat="1" applyFont="1" applyBorder="1" applyAlignment="1">
      <alignment horizontal="center" vertical="center"/>
    </xf>
    <xf numFmtId="0" fontId="5" fillId="3" borderId="38" xfId="48" applyFill="1" applyBorder="1"/>
    <xf numFmtId="0" fontId="22" fillId="7" borderId="174" xfId="7" applyFont="1" applyFill="1" applyBorder="1" applyAlignment="1">
      <alignment vertical="center"/>
    </xf>
    <xf numFmtId="0" fontId="22" fillId="7" borderId="173" xfId="7" applyFont="1" applyFill="1" applyBorder="1"/>
    <xf numFmtId="0" fontId="6" fillId="7" borderId="173" xfId="7" applyFill="1" applyBorder="1"/>
    <xf numFmtId="0" fontId="22" fillId="7" borderId="173" xfId="7" applyFont="1" applyFill="1" applyBorder="1" applyAlignment="1">
      <alignment vertical="center"/>
    </xf>
    <xf numFmtId="0" fontId="6" fillId="7" borderId="213" xfId="7" applyFill="1" applyBorder="1"/>
    <xf numFmtId="0" fontId="6" fillId="4" borderId="172" xfId="7" applyFill="1" applyBorder="1"/>
    <xf numFmtId="0" fontId="6" fillId="4" borderId="175" xfId="7" applyFill="1" applyBorder="1"/>
    <xf numFmtId="0" fontId="6" fillId="4" borderId="13" xfId="7" applyFill="1" applyBorder="1"/>
    <xf numFmtId="0" fontId="6" fillId="4" borderId="225" xfId="44" applyFont="1" applyFill="1" applyBorder="1"/>
    <xf numFmtId="0" fontId="6" fillId="4" borderId="225" xfId="44" applyFont="1" applyFill="1" applyBorder="1" applyAlignment="1">
      <alignment vertical="center"/>
    </xf>
    <xf numFmtId="43" fontId="6" fillId="4" borderId="225" xfId="44" applyNumberFormat="1" applyFont="1" applyFill="1" applyBorder="1" applyAlignment="1" applyProtection="1">
      <alignment horizontal="left" vertical="center" indent="1"/>
      <protection locked="0"/>
    </xf>
    <xf numFmtId="0" fontId="21" fillId="4" borderId="176" xfId="33" applyFont="1" applyFill="1" applyBorder="1" applyAlignment="1">
      <alignment horizontal="center" vertical="center"/>
    </xf>
    <xf numFmtId="0" fontId="21" fillId="4" borderId="174" xfId="33" applyFont="1" applyFill="1" applyBorder="1"/>
    <xf numFmtId="0" fontId="6" fillId="4" borderId="213" xfId="7" applyFill="1" applyBorder="1"/>
    <xf numFmtId="0" fontId="6" fillId="0" borderId="0" xfId="7"/>
    <xf numFmtId="0" fontId="5" fillId="4" borderId="172" xfId="33" applyFont="1" applyFill="1" applyBorder="1"/>
    <xf numFmtId="0" fontId="6" fillId="4" borderId="215" xfId="7" applyFill="1" applyBorder="1"/>
    <xf numFmtId="0" fontId="5" fillId="4" borderId="176" xfId="33" applyFont="1" applyFill="1" applyBorder="1" applyAlignment="1">
      <alignment vertical="center"/>
    </xf>
    <xf numFmtId="2" fontId="6" fillId="4" borderId="176" xfId="4" applyNumberFormat="1" applyFont="1" applyFill="1" applyBorder="1" applyAlignment="1">
      <alignment horizontal="center" vertical="center"/>
    </xf>
    <xf numFmtId="183" fontId="6" fillId="4" borderId="176" xfId="4" applyNumberFormat="1" applyFont="1" applyFill="1" applyBorder="1" applyAlignment="1">
      <alignment vertical="center"/>
    </xf>
    <xf numFmtId="171" fontId="21" fillId="4" borderId="176" xfId="4" applyNumberFormat="1" applyFont="1" applyFill="1" applyBorder="1" applyAlignment="1">
      <alignment horizontal="center" vertical="center"/>
    </xf>
    <xf numFmtId="171" fontId="21" fillId="4" borderId="176" xfId="4" applyNumberFormat="1" applyFont="1" applyFill="1" applyBorder="1" applyAlignment="1">
      <alignment horizontal="right" vertical="center" indent="2"/>
    </xf>
    <xf numFmtId="0" fontId="6" fillId="4" borderId="121" xfId="7" applyFill="1" applyBorder="1"/>
    <xf numFmtId="166" fontId="21" fillId="4" borderId="225" xfId="4" applyNumberFormat="1" applyFont="1" applyFill="1" applyBorder="1" applyAlignment="1">
      <alignment horizontal="center" vertical="center"/>
    </xf>
    <xf numFmtId="0" fontId="5" fillId="4" borderId="122" xfId="33" applyFont="1" applyFill="1" applyBorder="1"/>
    <xf numFmtId="0" fontId="6" fillId="4" borderId="154" xfId="7" applyFill="1" applyBorder="1"/>
    <xf numFmtId="0" fontId="6" fillId="4" borderId="176" xfId="7" applyFill="1" applyBorder="1"/>
    <xf numFmtId="166" fontId="21" fillId="4" borderId="224" xfId="4" applyNumberFormat="1" applyFont="1" applyFill="1" applyBorder="1" applyAlignment="1">
      <alignment horizontal="center" vertical="center"/>
    </xf>
    <xf numFmtId="0" fontId="6" fillId="4" borderId="12" xfId="7" applyFill="1" applyBorder="1"/>
    <xf numFmtId="0" fontId="25" fillId="4" borderId="176" xfId="50" applyFont="1" applyFill="1" applyBorder="1" applyAlignment="1">
      <alignment vertical="center"/>
    </xf>
    <xf numFmtId="168" fontId="27" fillId="4" borderId="176" xfId="51" applyNumberFormat="1" applyFont="1" applyFill="1" applyBorder="1" applyAlignment="1">
      <alignment vertical="center"/>
    </xf>
    <xf numFmtId="170" fontId="27" fillId="4" borderId="176" xfId="51" applyNumberFormat="1" applyFont="1" applyFill="1" applyBorder="1" applyAlignment="1">
      <alignment vertical="center"/>
    </xf>
    <xf numFmtId="40" fontId="27" fillId="4" borderId="176" xfId="51" applyNumberFormat="1" applyFont="1" applyFill="1" applyBorder="1" applyAlignment="1">
      <alignment vertical="center"/>
    </xf>
    <xf numFmtId="0" fontId="21" fillId="4" borderId="174" xfId="7" applyFont="1" applyFill="1" applyBorder="1" applyAlignment="1">
      <alignment horizontal="center" vertical="center"/>
    </xf>
    <xf numFmtId="0" fontId="21" fillId="4" borderId="174" xfId="7" applyFont="1" applyFill="1" applyBorder="1" applyAlignment="1">
      <alignment vertical="center"/>
    </xf>
    <xf numFmtId="0" fontId="5" fillId="6" borderId="176" xfId="33" applyFont="1" applyFill="1" applyBorder="1" applyAlignment="1">
      <alignment vertical="center"/>
    </xf>
    <xf numFmtId="2" fontId="6" fillId="6" borderId="176" xfId="4" applyNumberFormat="1" applyFont="1" applyFill="1" applyBorder="1" applyAlignment="1">
      <alignment horizontal="center" vertical="center"/>
    </xf>
    <xf numFmtId="183" fontId="6" fillId="6" borderId="176" xfId="4" applyNumberFormat="1" applyFont="1" applyFill="1" applyBorder="1"/>
    <xf numFmtId="171" fontId="21" fillId="6" borderId="176" xfId="4" applyNumberFormat="1" applyFont="1" applyFill="1" applyBorder="1" applyAlignment="1">
      <alignment horizontal="center" vertical="center"/>
    </xf>
    <xf numFmtId="171" fontId="21" fillId="6" borderId="176" xfId="4" applyNumberFormat="1" applyFont="1" applyFill="1" applyBorder="1" applyAlignment="1">
      <alignment horizontal="right" vertical="center" indent="2"/>
    </xf>
    <xf numFmtId="0" fontId="6" fillId="6" borderId="176" xfId="7" applyFill="1" applyBorder="1"/>
    <xf numFmtId="166" fontId="21" fillId="6" borderId="224" xfId="4" applyNumberFormat="1" applyFont="1" applyFill="1" applyBorder="1" applyAlignment="1">
      <alignment horizontal="center" vertical="center"/>
    </xf>
    <xf numFmtId="2" fontId="21" fillId="4" borderId="176" xfId="50" applyNumberFormat="1" applyFont="1" applyFill="1" applyBorder="1" applyAlignment="1">
      <alignment vertical="center"/>
    </xf>
    <xf numFmtId="168" fontId="21" fillId="4" borderId="176" xfId="51" applyNumberFormat="1" applyFont="1" applyFill="1" applyBorder="1" applyAlignment="1" applyProtection="1">
      <alignment vertical="center"/>
    </xf>
    <xf numFmtId="170" fontId="21" fillId="4" borderId="176" xfId="51" applyNumberFormat="1" applyFont="1" applyFill="1" applyBorder="1" applyAlignment="1" applyProtection="1">
      <alignment vertical="center"/>
    </xf>
    <xf numFmtId="171" fontId="21" fillId="4" borderId="176" xfId="50" applyNumberFormat="1" applyFont="1" applyFill="1" applyBorder="1" applyAlignment="1">
      <alignment vertical="center"/>
    </xf>
    <xf numFmtId="40" fontId="21" fillId="4" borderId="176" xfId="51" applyNumberFormat="1" applyFont="1" applyFill="1" applyBorder="1" applyAlignment="1" applyProtection="1">
      <alignment vertical="center"/>
    </xf>
    <xf numFmtId="0" fontId="6" fillId="4" borderId="171" xfId="7" applyFill="1" applyBorder="1" applyAlignment="1">
      <alignment horizontal="center" vertical="center"/>
    </xf>
    <xf numFmtId="0" fontId="21" fillId="4" borderId="175" xfId="7" applyFont="1" applyFill="1" applyBorder="1" applyAlignment="1">
      <alignment vertical="center"/>
    </xf>
    <xf numFmtId="0" fontId="6" fillId="4" borderId="215" xfId="7" applyFill="1" applyBorder="1" applyAlignment="1">
      <alignment vertical="center"/>
    </xf>
    <xf numFmtId="2" fontId="6" fillId="5" borderId="176" xfId="4" applyNumberFormat="1" applyFont="1" applyFill="1" applyBorder="1" applyAlignment="1">
      <alignment horizontal="center" vertical="center"/>
    </xf>
    <xf numFmtId="183" fontId="6" fillId="5" borderId="176" xfId="4" applyNumberFormat="1" applyFont="1" applyFill="1" applyBorder="1"/>
    <xf numFmtId="0" fontId="6" fillId="4" borderId="121" xfId="7" applyFill="1" applyBorder="1" applyAlignment="1">
      <alignment horizontal="center"/>
    </xf>
    <xf numFmtId="0" fontId="21" fillId="4" borderId="153" xfId="7" applyFont="1" applyFill="1" applyBorder="1"/>
    <xf numFmtId="0" fontId="25" fillId="4" borderId="0" xfId="50" applyFont="1" applyFill="1" applyAlignment="1">
      <alignment vertical="center"/>
    </xf>
    <xf numFmtId="168" fontId="27" fillId="4" borderId="0" xfId="51" applyNumberFormat="1" applyFont="1" applyFill="1" applyBorder="1" applyAlignment="1">
      <alignment vertical="center"/>
    </xf>
    <xf numFmtId="170" fontId="27" fillId="4" borderId="0" xfId="51" applyNumberFormat="1" applyFont="1" applyFill="1" applyBorder="1" applyAlignment="1">
      <alignment vertical="center"/>
    </xf>
    <xf numFmtId="0" fontId="6" fillId="4" borderId="14" xfId="7" applyFill="1" applyBorder="1" applyAlignment="1">
      <alignment horizontal="center" vertical="center"/>
    </xf>
    <xf numFmtId="0" fontId="6" fillId="4" borderId="0" xfId="33" applyFont="1" applyFill="1" applyAlignment="1">
      <alignment vertical="center"/>
    </xf>
    <xf numFmtId="0" fontId="6" fillId="4" borderId="13" xfId="7" applyFill="1" applyBorder="1" applyAlignment="1">
      <alignment vertical="center"/>
    </xf>
    <xf numFmtId="0" fontId="6" fillId="4" borderId="224" xfId="7" applyFill="1" applyBorder="1"/>
    <xf numFmtId="0" fontId="5" fillId="4" borderId="13" xfId="33" applyFont="1" applyFill="1" applyBorder="1"/>
    <xf numFmtId="171" fontId="67" fillId="4" borderId="176" xfId="4" applyNumberFormat="1" applyFont="1" applyFill="1" applyBorder="1" applyAlignment="1">
      <alignment horizontal="right" indent="2"/>
    </xf>
    <xf numFmtId="0" fontId="6" fillId="4" borderId="153" xfId="33" applyFont="1" applyFill="1" applyBorder="1" applyAlignment="1">
      <alignment vertical="center"/>
    </xf>
    <xf numFmtId="0" fontId="5" fillId="4" borderId="154" xfId="33" applyFont="1" applyFill="1" applyBorder="1"/>
    <xf numFmtId="40" fontId="27" fillId="4" borderId="0" xfId="51" applyNumberFormat="1" applyFont="1" applyFill="1" applyBorder="1" applyAlignment="1">
      <alignment vertical="center"/>
    </xf>
    <xf numFmtId="0" fontId="130" fillId="6" borderId="174" xfId="50" applyFont="1" applyFill="1" applyBorder="1" applyAlignment="1">
      <alignment horizontal="centerContinuous" vertical="center"/>
    </xf>
    <xf numFmtId="168" fontId="131" fillId="6" borderId="173" xfId="51" applyNumberFormat="1" applyFont="1" applyFill="1" applyBorder="1" applyAlignment="1">
      <alignment horizontal="centerContinuous" vertical="center"/>
    </xf>
    <xf numFmtId="170" fontId="131" fillId="6" borderId="213" xfId="51" applyNumberFormat="1" applyFont="1" applyFill="1" applyBorder="1" applyAlignment="1">
      <alignment horizontal="centerContinuous" vertical="center"/>
    </xf>
    <xf numFmtId="2" fontId="6" fillId="6" borderId="176" xfId="4" applyNumberFormat="1" applyFont="1" applyFill="1" applyBorder="1" applyAlignment="1">
      <alignment horizontal="center"/>
    </xf>
    <xf numFmtId="171" fontId="67" fillId="6" borderId="176" xfId="4" applyNumberFormat="1" applyFont="1" applyFill="1" applyBorder="1" applyAlignment="1">
      <alignment horizontal="center"/>
    </xf>
    <xf numFmtId="171" fontId="67" fillId="6" borderId="176" xfId="4" applyNumberFormat="1" applyFont="1" applyFill="1" applyBorder="1" applyAlignment="1">
      <alignment horizontal="right" indent="2"/>
    </xf>
    <xf numFmtId="0" fontId="6" fillId="6" borderId="176" xfId="4" applyFont="1" applyFill="1" applyBorder="1" applyAlignment="1">
      <alignment horizontal="center" vertical="center"/>
    </xf>
    <xf numFmtId="0" fontId="15" fillId="6" borderId="176" xfId="4" applyFill="1" applyBorder="1" applyAlignment="1">
      <alignment horizontal="center" vertical="center"/>
    </xf>
    <xf numFmtId="166" fontId="68" fillId="6" borderId="121" xfId="4" applyNumberFormat="1" applyFont="1" applyFill="1" applyBorder="1" applyAlignment="1">
      <alignment horizontal="center"/>
    </xf>
    <xf numFmtId="2" fontId="6" fillId="5" borderId="176" xfId="4" applyNumberFormat="1" applyFont="1" applyFill="1" applyBorder="1" applyAlignment="1">
      <alignment horizontal="center"/>
    </xf>
    <xf numFmtId="0" fontId="13" fillId="19" borderId="153" xfId="7" applyFont="1" applyFill="1" applyBorder="1"/>
    <xf numFmtId="224" fontId="6" fillId="4" borderId="176" xfId="4" applyNumberFormat="1" applyFont="1" applyFill="1" applyBorder="1" applyAlignment="1">
      <alignment horizontal="center" vertical="center"/>
    </xf>
    <xf numFmtId="186" fontId="6" fillId="4" borderId="176" xfId="4" applyNumberFormat="1" applyFont="1" applyFill="1" applyBorder="1" applyAlignment="1">
      <alignment vertical="center"/>
    </xf>
    <xf numFmtId="0" fontId="6" fillId="4" borderId="176" xfId="4" applyFont="1" applyFill="1" applyBorder="1"/>
    <xf numFmtId="224" fontId="6" fillId="4" borderId="121" xfId="4" applyNumberFormat="1" applyFont="1" applyFill="1" applyBorder="1" applyAlignment="1">
      <alignment horizontal="center" vertical="center"/>
    </xf>
    <xf numFmtId="224" fontId="6" fillId="6" borderId="121" xfId="4" applyNumberFormat="1" applyFont="1" applyFill="1" applyBorder="1" applyAlignment="1">
      <alignment horizontal="center" vertical="center"/>
    </xf>
    <xf numFmtId="186" fontId="6" fillId="6" borderId="176" xfId="4" applyNumberFormat="1" applyFont="1" applyFill="1" applyBorder="1" applyAlignment="1">
      <alignment vertical="center"/>
    </xf>
    <xf numFmtId="166" fontId="21" fillId="6" borderId="176" xfId="4" applyNumberFormat="1" applyFont="1" applyFill="1" applyBorder="1" applyAlignment="1">
      <alignment horizontal="center"/>
    </xf>
    <xf numFmtId="224" fontId="6" fillId="5" borderId="121" xfId="4" applyNumberFormat="1" applyFont="1" applyFill="1" applyBorder="1" applyAlignment="1">
      <alignment horizontal="center" vertical="center"/>
    </xf>
    <xf numFmtId="186" fontId="6" fillId="5" borderId="176" xfId="4" applyNumberFormat="1" applyFont="1" applyFill="1" applyBorder="1" applyAlignment="1">
      <alignment vertical="center"/>
    </xf>
    <xf numFmtId="166" fontId="69" fillId="4" borderId="176" xfId="4" applyNumberFormat="1" applyFont="1" applyFill="1" applyBorder="1" applyAlignment="1">
      <alignment horizontal="center" vertical="center"/>
    </xf>
    <xf numFmtId="171" fontId="6" fillId="6" borderId="176" xfId="4" applyNumberFormat="1" applyFont="1" applyFill="1" applyBorder="1" applyAlignment="1">
      <alignment horizontal="center" vertical="center"/>
    </xf>
    <xf numFmtId="166" fontId="69" fillId="6" borderId="176" xfId="4" applyNumberFormat="1" applyFont="1" applyFill="1" applyBorder="1" applyAlignment="1">
      <alignment horizontal="center" vertical="center"/>
    </xf>
    <xf numFmtId="171" fontId="6" fillId="5" borderId="176" xfId="4" applyNumberFormat="1" applyFont="1" applyFill="1" applyBorder="1" applyAlignment="1">
      <alignment horizontal="center" vertical="center"/>
    </xf>
    <xf numFmtId="171" fontId="6" fillId="4" borderId="176" xfId="4" applyNumberFormat="1" applyFont="1" applyFill="1" applyBorder="1" applyAlignment="1">
      <alignment horizontal="center" vertical="center"/>
    </xf>
    <xf numFmtId="186" fontId="6" fillId="4" borderId="176" xfId="4" applyNumberFormat="1" applyFont="1" applyFill="1" applyBorder="1" applyAlignment="1">
      <alignment horizontal="center" vertical="center"/>
    </xf>
    <xf numFmtId="166" fontId="6" fillId="4" borderId="176" xfId="7" applyNumberFormat="1" applyFill="1" applyBorder="1" applyAlignment="1">
      <alignment horizontal="center"/>
    </xf>
    <xf numFmtId="165" fontId="6" fillId="4" borderId="176" xfId="7" applyNumberFormat="1" applyFill="1" applyBorder="1" applyAlignment="1">
      <alignment horizontal="center"/>
    </xf>
    <xf numFmtId="168" fontId="6" fillId="4" borderId="176" xfId="7" applyNumberFormat="1" applyFill="1" applyBorder="1"/>
    <xf numFmtId="186" fontId="6" fillId="6" borderId="176" xfId="4" applyNumberFormat="1" applyFont="1" applyFill="1" applyBorder="1" applyAlignment="1">
      <alignment horizontal="center" vertical="center"/>
    </xf>
    <xf numFmtId="166" fontId="6" fillId="6" borderId="176" xfId="7" applyNumberFormat="1" applyFill="1" applyBorder="1" applyAlignment="1">
      <alignment horizontal="center"/>
    </xf>
    <xf numFmtId="165" fontId="6" fillId="6" borderId="176" xfId="7" applyNumberFormat="1" applyFill="1" applyBorder="1" applyAlignment="1">
      <alignment horizontal="center"/>
    </xf>
    <xf numFmtId="0" fontId="20" fillId="19" borderId="172" xfId="7" applyFont="1" applyFill="1" applyBorder="1" applyAlignment="1">
      <alignment horizontal="center" vertical="center"/>
    </xf>
    <xf numFmtId="0" fontId="13" fillId="19" borderId="175" xfId="7" applyFont="1" applyFill="1" applyBorder="1" applyAlignment="1">
      <alignment horizontal="centerContinuous" vertical="center"/>
    </xf>
    <xf numFmtId="0" fontId="13" fillId="19" borderId="215" xfId="7" applyFont="1" applyFill="1" applyBorder="1" applyAlignment="1">
      <alignment horizontal="right" vertical="center"/>
    </xf>
    <xf numFmtId="9" fontId="13" fillId="19" borderId="122" xfId="7" applyNumberFormat="1" applyFont="1" applyFill="1" applyBorder="1" applyAlignment="1">
      <alignment horizontal="center"/>
    </xf>
    <xf numFmtId="221" fontId="13" fillId="19" borderId="154" xfId="4" applyNumberFormat="1" applyFont="1" applyFill="1" applyBorder="1" applyAlignment="1">
      <alignment horizontal="center" vertical="center"/>
    </xf>
    <xf numFmtId="200" fontId="5" fillId="4" borderId="176" xfId="33" applyNumberFormat="1" applyFont="1" applyFill="1" applyBorder="1" applyAlignment="1">
      <alignment vertical="center"/>
    </xf>
    <xf numFmtId="0" fontId="6" fillId="4" borderId="174" xfId="7" applyFill="1" applyBorder="1" applyAlignment="1">
      <alignment vertical="center"/>
    </xf>
    <xf numFmtId="220" fontId="6" fillId="4" borderId="121" xfId="7" applyNumberFormat="1" applyFill="1" applyBorder="1"/>
    <xf numFmtId="200" fontId="5" fillId="4" borderId="121" xfId="33" applyNumberFormat="1" applyFont="1" applyFill="1" applyBorder="1" applyAlignment="1">
      <alignment vertical="center"/>
    </xf>
    <xf numFmtId="0" fontId="5" fillId="4" borderId="225" xfId="33" applyFont="1" applyFill="1" applyBorder="1" applyAlignment="1">
      <alignment vertical="center"/>
    </xf>
    <xf numFmtId="2" fontId="6" fillId="4" borderId="225" xfId="7" applyNumberFormat="1" applyFill="1" applyBorder="1" applyAlignment="1">
      <alignment horizontal="center"/>
    </xf>
    <xf numFmtId="171" fontId="6" fillId="4" borderId="225" xfId="7" applyNumberFormat="1" applyFill="1" applyBorder="1" applyAlignment="1">
      <alignment horizontal="right" indent="1"/>
    </xf>
    <xf numFmtId="200" fontId="6" fillId="4" borderId="225" xfId="4" applyNumberFormat="1" applyFont="1" applyFill="1" applyBorder="1" applyAlignment="1">
      <alignment horizontal="center" vertical="center"/>
    </xf>
    <xf numFmtId="199" fontId="5" fillId="4" borderId="225" xfId="51" applyNumberFormat="1" applyFont="1" applyFill="1" applyBorder="1"/>
    <xf numFmtId="199" fontId="5" fillId="4" borderId="225" xfId="33" applyNumberFormat="1" applyFont="1" applyFill="1" applyBorder="1"/>
    <xf numFmtId="220" fontId="5" fillId="4" borderId="225" xfId="33" applyNumberFormat="1" applyFont="1" applyFill="1" applyBorder="1"/>
    <xf numFmtId="2" fontId="5" fillId="4" borderId="225" xfId="33" applyNumberFormat="1" applyFont="1" applyFill="1" applyBorder="1" applyAlignment="1">
      <alignment horizontal="center"/>
    </xf>
    <xf numFmtId="166" fontId="6" fillId="4" borderId="225" xfId="7" applyNumberFormat="1" applyFill="1" applyBorder="1" applyAlignment="1">
      <alignment horizontal="center" vertical="center"/>
    </xf>
    <xf numFmtId="165" fontId="6" fillId="4" borderId="225" xfId="4" applyNumberFormat="1" applyFont="1" applyFill="1" applyBorder="1" applyAlignment="1">
      <alignment horizontal="center" vertical="center"/>
    </xf>
    <xf numFmtId="0" fontId="5" fillId="4" borderId="224" xfId="33" applyFont="1" applyFill="1" applyBorder="1" applyAlignment="1">
      <alignment vertical="center"/>
    </xf>
    <xf numFmtId="2" fontId="6" fillId="4" borderId="224" xfId="7" applyNumberFormat="1" applyFill="1" applyBorder="1" applyAlignment="1">
      <alignment horizontal="center"/>
    </xf>
    <xf numFmtId="171" fontId="6" fillId="4" borderId="224" xfId="7" applyNumberFormat="1" applyFill="1" applyBorder="1" applyAlignment="1">
      <alignment horizontal="right" indent="1"/>
    </xf>
    <xf numFmtId="200" fontId="6" fillId="4" borderId="224" xfId="4" applyNumberFormat="1" applyFont="1" applyFill="1" applyBorder="1" applyAlignment="1">
      <alignment horizontal="center" vertical="center"/>
    </xf>
    <xf numFmtId="199" fontId="5" fillId="4" borderId="224" xfId="51" applyNumberFormat="1" applyFont="1" applyFill="1" applyBorder="1"/>
    <xf numFmtId="199" fontId="5" fillId="4" borderId="224" xfId="33" applyNumberFormat="1" applyFont="1" applyFill="1" applyBorder="1"/>
    <xf numFmtId="220" fontId="5" fillId="4" borderId="224" xfId="33" applyNumberFormat="1" applyFont="1" applyFill="1" applyBorder="1"/>
    <xf numFmtId="2" fontId="5" fillId="4" borderId="224" xfId="33" applyNumberFormat="1" applyFont="1" applyFill="1" applyBorder="1" applyAlignment="1">
      <alignment horizontal="center"/>
    </xf>
    <xf numFmtId="166" fontId="6" fillId="4" borderId="224" xfId="7" applyNumberFormat="1" applyFill="1" applyBorder="1" applyAlignment="1">
      <alignment horizontal="center" vertical="center"/>
    </xf>
    <xf numFmtId="165" fontId="6" fillId="4" borderId="224" xfId="4" applyNumberFormat="1" applyFont="1" applyFill="1" applyBorder="1" applyAlignment="1">
      <alignment horizontal="center" vertical="center"/>
    </xf>
    <xf numFmtId="171" fontId="6" fillId="4" borderId="225" xfId="7" applyNumberFormat="1" applyFill="1" applyBorder="1" applyAlignment="1">
      <alignment horizontal="right" vertical="center" indent="1"/>
    </xf>
    <xf numFmtId="0" fontId="6" fillId="4" borderId="225" xfId="7" applyFill="1" applyBorder="1"/>
    <xf numFmtId="199" fontId="6" fillId="4" borderId="225" xfId="7" applyNumberFormat="1" applyFill="1" applyBorder="1"/>
    <xf numFmtId="220" fontId="6" fillId="4" borderId="225" xfId="7" applyNumberFormat="1" applyFill="1" applyBorder="1"/>
    <xf numFmtId="0" fontId="21" fillId="4" borderId="176" xfId="7" applyFont="1" applyFill="1" applyBorder="1" applyAlignment="1">
      <alignment horizontal="center" vertical="center"/>
    </xf>
    <xf numFmtId="0" fontId="6" fillId="4" borderId="213" xfId="7" applyFill="1" applyBorder="1" applyAlignment="1">
      <alignment vertical="center"/>
    </xf>
    <xf numFmtId="171" fontId="6" fillId="4" borderId="224" xfId="7" applyNumberFormat="1" applyFill="1" applyBorder="1" applyAlignment="1">
      <alignment horizontal="right" vertical="center" indent="1"/>
    </xf>
    <xf numFmtId="199" fontId="6" fillId="4" borderId="224" xfId="7" applyNumberFormat="1" applyFill="1" applyBorder="1"/>
    <xf numFmtId="220" fontId="6" fillId="4" borderId="224" xfId="7" applyNumberFormat="1" applyFill="1" applyBorder="1"/>
    <xf numFmtId="0" fontId="5" fillId="4" borderId="14" xfId="7" applyFont="1" applyFill="1" applyBorder="1" applyAlignment="1">
      <alignment horizontal="center" vertical="center"/>
    </xf>
    <xf numFmtId="0" fontId="5" fillId="4" borderId="13" xfId="7" applyFont="1" applyFill="1" applyBorder="1" applyAlignment="1">
      <alignment vertical="center"/>
    </xf>
    <xf numFmtId="199" fontId="5" fillId="6" borderId="176" xfId="51" applyNumberFormat="1" applyFont="1" applyFill="1" applyBorder="1"/>
    <xf numFmtId="166" fontId="6" fillId="6" borderId="224" xfId="7" applyNumberFormat="1" applyFill="1" applyBorder="1" applyAlignment="1">
      <alignment horizontal="center" vertical="center"/>
    </xf>
    <xf numFmtId="165" fontId="6" fillId="6" borderId="224" xfId="4" applyNumberFormat="1" applyFont="1" applyFill="1" applyBorder="1" applyAlignment="1">
      <alignment horizontal="center" vertical="center"/>
    </xf>
    <xf numFmtId="199" fontId="5" fillId="6" borderId="121" xfId="51" applyNumberFormat="1" applyFont="1" applyFill="1" applyBorder="1"/>
    <xf numFmtId="0" fontId="5" fillId="4" borderId="121" xfId="7" applyFont="1" applyFill="1" applyBorder="1" applyAlignment="1">
      <alignment horizontal="center"/>
    </xf>
    <xf numFmtId="0" fontId="5" fillId="4" borderId="122" xfId="7" applyFont="1" applyFill="1" applyBorder="1"/>
    <xf numFmtId="0" fontId="5" fillId="4" borderId="154" xfId="7" applyFont="1" applyFill="1" applyBorder="1"/>
    <xf numFmtId="223" fontId="23" fillId="19" borderId="176" xfId="44" applyNumberFormat="1" applyFont="1" applyFill="1" applyBorder="1" applyAlignment="1">
      <alignment vertical="center"/>
    </xf>
    <xf numFmtId="223" fontId="22" fillId="19" borderId="176" xfId="44" applyNumberFormat="1" applyFont="1" applyFill="1" applyBorder="1" applyAlignment="1">
      <alignment horizontal="center" vertical="center"/>
    </xf>
    <xf numFmtId="2" fontId="6" fillId="4" borderId="176" xfId="7" applyNumberFormat="1" applyFill="1" applyBorder="1" applyAlignment="1">
      <alignment horizontal="center" vertical="center"/>
    </xf>
    <xf numFmtId="171" fontId="6" fillId="4" borderId="176" xfId="7" applyNumberFormat="1" applyFill="1" applyBorder="1" applyAlignment="1">
      <alignment horizontal="center" vertical="center"/>
    </xf>
    <xf numFmtId="0" fontId="6" fillId="6" borderId="176" xfId="44" applyFont="1" applyFill="1" applyBorder="1"/>
    <xf numFmtId="2" fontId="6" fillId="6" borderId="176" xfId="7" applyNumberFormat="1" applyFill="1" applyBorder="1" applyAlignment="1">
      <alignment horizontal="center"/>
    </xf>
    <xf numFmtId="171" fontId="6" fillId="6" borderId="176" xfId="7" applyNumberFormat="1" applyFill="1" applyBorder="1" applyAlignment="1">
      <alignment horizontal="center"/>
    </xf>
    <xf numFmtId="43" fontId="6" fillId="4" borderId="0" xfId="7" applyNumberFormat="1" applyFill="1"/>
    <xf numFmtId="0" fontId="6" fillId="4" borderId="122" xfId="7" applyFill="1" applyBorder="1" applyAlignment="1">
      <alignment horizontal="center" vertical="center"/>
    </xf>
    <xf numFmtId="221" fontId="6" fillId="4" borderId="225" xfId="4" applyNumberFormat="1" applyFont="1" applyFill="1" applyBorder="1" applyAlignment="1">
      <alignment horizontal="center" vertical="center"/>
    </xf>
    <xf numFmtId="221" fontId="6" fillId="4" borderId="224" xfId="4" applyNumberFormat="1" applyFont="1" applyFill="1" applyBorder="1" applyAlignment="1">
      <alignment horizontal="center" vertical="center"/>
    </xf>
    <xf numFmtId="225" fontId="6" fillId="4" borderId="0" xfId="7" applyNumberFormat="1" applyFill="1"/>
    <xf numFmtId="199" fontId="5" fillId="4" borderId="176" xfId="51" applyNumberFormat="1" applyFont="1" applyFill="1" applyBorder="1"/>
    <xf numFmtId="199" fontId="6" fillId="4" borderId="171" xfId="7" applyNumberFormat="1" applyFill="1" applyBorder="1" applyAlignment="1">
      <alignment vertical="center"/>
    </xf>
    <xf numFmtId="220" fontId="5" fillId="4" borderId="176" xfId="51" applyNumberFormat="1" applyFont="1" applyFill="1" applyBorder="1"/>
    <xf numFmtId="199" fontId="6" fillId="6" borderId="121" xfId="7" applyNumberFormat="1" applyFill="1" applyBorder="1" applyAlignment="1">
      <alignment vertical="center"/>
    </xf>
    <xf numFmtId="220" fontId="6" fillId="6" borderId="176" xfId="7" applyNumberFormat="1" applyFill="1" applyBorder="1" applyAlignment="1">
      <alignment vertical="center"/>
    </xf>
    <xf numFmtId="0" fontId="6" fillId="4" borderId="122" xfId="7" applyFill="1" applyBorder="1"/>
    <xf numFmtId="0" fontId="6" fillId="4" borderId="153" xfId="7" applyFill="1" applyBorder="1"/>
    <xf numFmtId="0" fontId="23" fillId="11" borderId="39" xfId="21" applyFont="1" applyFill="1" applyBorder="1" applyAlignment="1">
      <alignment horizontal="center"/>
    </xf>
    <xf numFmtId="0" fontId="36" fillId="10" borderId="0" xfId="52" applyFont="1" applyFill="1" applyAlignment="1" applyProtection="1">
      <alignment horizontal="centerContinuous" vertical="center"/>
      <protection locked="0"/>
    </xf>
    <xf numFmtId="0" fontId="6" fillId="4" borderId="0" xfId="52" applyFont="1" applyFill="1"/>
    <xf numFmtId="0" fontId="5" fillId="4" borderId="0" xfId="52" applyFill="1"/>
    <xf numFmtId="0" fontId="36" fillId="2" borderId="0" xfId="52" applyFont="1" applyFill="1" applyAlignment="1">
      <alignment horizontal="centerContinuous" vertical="center"/>
    </xf>
    <xf numFmtId="0" fontId="11" fillId="2" borderId="0" xfId="52" applyFont="1" applyFill="1" applyAlignment="1">
      <alignment horizontal="centerContinuous" vertical="center"/>
    </xf>
    <xf numFmtId="0" fontId="5" fillId="2" borderId="0" xfId="52" applyFill="1"/>
    <xf numFmtId="0" fontId="6" fillId="4" borderId="0" xfId="52" applyFont="1" applyFill="1" applyAlignment="1">
      <alignment horizontal="left" vertical="center" indent="2"/>
    </xf>
    <xf numFmtId="0" fontId="6" fillId="4" borderId="0" xfId="31" applyFont="1" applyFill="1" applyAlignment="1">
      <alignment horizontal="right" vertical="center"/>
    </xf>
    <xf numFmtId="2" fontId="6" fillId="0" borderId="232" xfId="31" applyNumberFormat="1" applyFont="1" applyBorder="1" applyAlignment="1" applyProtection="1">
      <alignment vertical="center" wrapText="1"/>
      <protection locked="0"/>
    </xf>
    <xf numFmtId="0" fontId="6" fillId="4" borderId="0" xfId="31" applyFont="1" applyFill="1" applyAlignment="1">
      <alignment wrapText="1"/>
    </xf>
    <xf numFmtId="0" fontId="5" fillId="4" borderId="0" xfId="52" applyFill="1" applyAlignment="1">
      <alignment horizontal="right" vertical="center"/>
    </xf>
    <xf numFmtId="2" fontId="5" fillId="4" borderId="232" xfId="52" applyNumberFormat="1" applyFill="1" applyBorder="1" applyAlignment="1">
      <alignment vertical="center"/>
    </xf>
    <xf numFmtId="193" fontId="6" fillId="0" borderId="232" xfId="31" applyNumberFormat="1" applyFont="1" applyBorder="1" applyAlignment="1" applyProtection="1">
      <alignment vertical="center" wrapText="1"/>
      <protection locked="0"/>
    </xf>
    <xf numFmtId="226" fontId="6" fillId="4" borderId="0" xfId="31" applyNumberFormat="1" applyFont="1" applyFill="1" applyAlignment="1">
      <alignment horizontal="left" vertical="center" wrapText="1"/>
    </xf>
    <xf numFmtId="193" fontId="6" fillId="0" borderId="232" xfId="31" applyNumberFormat="1" applyFont="1" applyBorder="1" applyAlignment="1" applyProtection="1">
      <alignment vertical="center"/>
      <protection locked="0"/>
    </xf>
    <xf numFmtId="226" fontId="6" fillId="4" borderId="0" xfId="31" applyNumberFormat="1" applyFont="1" applyFill="1" applyAlignment="1">
      <alignment horizontal="left" vertical="center"/>
    </xf>
    <xf numFmtId="3" fontId="5" fillId="4" borderId="232" xfId="52" applyNumberFormat="1" applyFill="1" applyBorder="1" applyAlignment="1">
      <alignment vertical="center"/>
    </xf>
    <xf numFmtId="0" fontId="5" fillId="4" borderId="0" xfId="52" applyFill="1" applyAlignment="1">
      <alignment vertical="center"/>
    </xf>
    <xf numFmtId="3" fontId="6" fillId="0" borderId="232" xfId="31" applyNumberFormat="1" applyFont="1" applyBorder="1" applyAlignment="1" applyProtection="1">
      <alignment vertical="center" wrapText="1"/>
      <protection locked="0"/>
    </xf>
    <xf numFmtId="227" fontId="6" fillId="4" borderId="0" xfId="31" applyNumberFormat="1" applyFont="1" applyFill="1" applyAlignment="1">
      <alignment horizontal="left" vertical="center" indent="1"/>
    </xf>
    <xf numFmtId="3" fontId="6" fillId="4" borderId="0" xfId="31" applyNumberFormat="1" applyFont="1" applyFill="1" applyAlignment="1">
      <alignment horizontal="right" vertical="center"/>
    </xf>
    <xf numFmtId="3" fontId="6" fillId="4" borderId="0" xfId="31" applyNumberFormat="1" applyFont="1" applyFill="1" applyAlignment="1">
      <alignment horizontal="left" vertical="center"/>
    </xf>
    <xf numFmtId="1" fontId="5" fillId="4" borderId="0" xfId="52" applyNumberFormat="1" applyFill="1"/>
    <xf numFmtId="3" fontId="12" fillId="4" borderId="0" xfId="31" applyNumberFormat="1" applyFont="1" applyFill="1" applyAlignment="1">
      <alignment horizontal="right" vertical="center"/>
    </xf>
    <xf numFmtId="3" fontId="12" fillId="4" borderId="0" xfId="31" applyNumberFormat="1" applyFont="1" applyFill="1" applyAlignment="1">
      <alignment horizontal="left" vertical="center"/>
    </xf>
    <xf numFmtId="0" fontId="134" fillId="4" borderId="0" xfId="31" applyFont="1" applyFill="1" applyAlignment="1">
      <alignment wrapText="1"/>
    </xf>
    <xf numFmtId="0" fontId="134" fillId="4" borderId="0" xfId="31" applyFont="1" applyFill="1"/>
    <xf numFmtId="0" fontId="6" fillId="4" borderId="0" xfId="31" applyFont="1" applyFill="1"/>
    <xf numFmtId="0" fontId="61" fillId="4" borderId="0" xfId="30" applyFont="1" applyFill="1" applyAlignment="1">
      <alignment vertical="center"/>
    </xf>
    <xf numFmtId="0" fontId="6" fillId="4" borderId="0" xfId="30" applyFont="1" applyFill="1"/>
    <xf numFmtId="228" fontId="61" fillId="4" borderId="0" xfId="30" applyNumberFormat="1" applyFont="1" applyFill="1" applyAlignment="1">
      <alignment horizontal="left" vertical="center"/>
    </xf>
    <xf numFmtId="229" fontId="76" fillId="4" borderId="0" xfId="30" applyNumberFormat="1" applyFont="1" applyFill="1" applyAlignment="1">
      <alignment horizontal="left" vertical="center"/>
    </xf>
    <xf numFmtId="0" fontId="21" fillId="4" borderId="0" xfId="31" applyFont="1" applyFill="1" applyAlignment="1">
      <alignment horizontal="right" vertical="top"/>
    </xf>
    <xf numFmtId="230" fontId="9" fillId="4" borderId="0" xfId="31" applyNumberFormat="1" applyFont="1" applyFill="1" applyAlignment="1">
      <alignment horizontal="center" vertical="center" wrapText="1"/>
    </xf>
    <xf numFmtId="227" fontId="39" fillId="4" borderId="0" xfId="31" applyNumberFormat="1" applyFont="1" applyFill="1" applyAlignment="1">
      <alignment horizontal="center" vertical="center" wrapText="1"/>
    </xf>
    <xf numFmtId="0" fontId="5" fillId="4" borderId="0" xfId="52" applyFill="1" applyAlignment="1">
      <alignment horizontal="center" vertical="center"/>
    </xf>
    <xf numFmtId="0" fontId="5" fillId="4" borderId="0" xfId="52" applyFill="1" applyAlignment="1">
      <alignment horizontal="center" vertical="center" wrapText="1"/>
    </xf>
    <xf numFmtId="0" fontId="135" fillId="4" borderId="0" xfId="52" applyFont="1" applyFill="1" applyAlignment="1">
      <alignment horizontal="center" vertical="center" wrapText="1"/>
    </xf>
    <xf numFmtId="0" fontId="136" fillId="4" borderId="0" xfId="52" applyFont="1" applyFill="1" applyAlignment="1">
      <alignment horizontal="center" vertical="center" wrapText="1"/>
    </xf>
    <xf numFmtId="171" fontId="5" fillId="4" borderId="0" xfId="52" applyNumberFormat="1" applyFill="1" applyAlignment="1">
      <alignment horizontal="center"/>
    </xf>
    <xf numFmtId="171" fontId="5" fillId="4" borderId="0" xfId="52" applyNumberFormat="1" applyFill="1"/>
    <xf numFmtId="165" fontId="137" fillId="4" borderId="0" xfId="52" applyNumberFormat="1" applyFont="1" applyFill="1" applyAlignment="1">
      <alignment horizontal="center"/>
    </xf>
    <xf numFmtId="193" fontId="137" fillId="4" borderId="0" xfId="52" applyNumberFormat="1" applyFont="1" applyFill="1"/>
    <xf numFmtId="3" fontId="5" fillId="4" borderId="0" xfId="52" applyNumberFormat="1" applyFill="1"/>
    <xf numFmtId="166" fontId="6" fillId="4" borderId="0" xfId="53" applyNumberFormat="1" applyFont="1" applyFill="1" applyAlignment="1">
      <alignment horizontal="center" vertical="top"/>
    </xf>
    <xf numFmtId="165" fontId="6" fillId="4" borderId="0" xfId="52" applyNumberFormat="1" applyFont="1" applyFill="1" applyAlignment="1">
      <alignment horizontal="center" vertical="center"/>
    </xf>
    <xf numFmtId="0" fontId="6" fillId="4" borderId="0" xfId="53" applyFont="1" applyFill="1" applyAlignment="1">
      <alignment horizontal="left"/>
    </xf>
    <xf numFmtId="3" fontId="95" fillId="4" borderId="0" xfId="52" applyNumberFormat="1" applyFont="1" applyFill="1" applyAlignment="1">
      <alignment horizontal="center"/>
    </xf>
    <xf numFmtId="0" fontId="5" fillId="4" borderId="0" xfId="52" applyFill="1" applyAlignment="1">
      <alignment horizontal="right"/>
    </xf>
    <xf numFmtId="3" fontId="5" fillId="4" borderId="0" xfId="52" applyNumberFormat="1" applyFill="1" applyAlignment="1">
      <alignment horizontal="center" vertical="center"/>
    </xf>
    <xf numFmtId="0" fontId="137" fillId="4" borderId="0" xfId="52" applyFont="1" applyFill="1"/>
    <xf numFmtId="192" fontId="137" fillId="4" borderId="0" xfId="52" applyNumberFormat="1" applyFont="1" applyFill="1"/>
    <xf numFmtId="3" fontId="44" fillId="4" borderId="0" xfId="3" applyNumberFormat="1" applyFont="1" applyFill="1" applyAlignment="1">
      <alignment horizontal="centerContinuous" vertical="center"/>
    </xf>
    <xf numFmtId="193" fontId="6" fillId="4" borderId="0" xfId="31" applyNumberFormat="1" applyFont="1" applyFill="1"/>
    <xf numFmtId="0" fontId="5" fillId="0" borderId="0" xfId="52"/>
    <xf numFmtId="0" fontId="5" fillId="3" borderId="0" xfId="3" applyFill="1"/>
    <xf numFmtId="0" fontId="22" fillId="7" borderId="174" xfId="52" applyFont="1" applyFill="1" applyBorder="1" applyAlignment="1">
      <alignment vertical="center"/>
    </xf>
    <xf numFmtId="0" fontId="22" fillId="7" borderId="173" xfId="52" applyFont="1" applyFill="1" applyBorder="1"/>
    <xf numFmtId="0" fontId="5" fillId="7" borderId="173" xfId="52" applyFill="1" applyBorder="1"/>
    <xf numFmtId="0" fontId="5" fillId="7" borderId="213" xfId="52" applyFill="1" applyBorder="1"/>
    <xf numFmtId="0" fontId="5" fillId="7" borderId="174" xfId="52" applyFill="1" applyBorder="1"/>
    <xf numFmtId="0" fontId="5" fillId="4" borderId="12" xfId="52" applyFill="1" applyBorder="1"/>
    <xf numFmtId="0" fontId="5" fillId="4" borderId="13" xfId="52" applyFill="1" applyBorder="1"/>
    <xf numFmtId="0" fontId="22" fillId="8" borderId="174" xfId="4" applyFont="1" applyFill="1" applyBorder="1" applyAlignment="1">
      <alignment horizontal="centerContinuous" vertical="center"/>
    </xf>
    <xf numFmtId="0" fontId="66" fillId="8" borderId="213" xfId="4" applyFont="1" applyFill="1" applyBorder="1" applyAlignment="1">
      <alignment horizontal="centerContinuous"/>
    </xf>
    <xf numFmtId="0" fontId="22" fillId="8" borderId="226" xfId="4" applyFont="1" applyFill="1" applyBorder="1" applyAlignment="1">
      <alignment horizontal="centerContinuous" vertical="center"/>
    </xf>
    <xf numFmtId="0" fontId="66" fillId="8" borderId="228" xfId="4" applyFont="1" applyFill="1" applyBorder="1" applyAlignment="1">
      <alignment horizontal="centerContinuous"/>
    </xf>
    <xf numFmtId="0" fontId="66" fillId="8" borderId="173" xfId="4" applyFont="1" applyFill="1" applyBorder="1" applyAlignment="1">
      <alignment horizontal="centerContinuous"/>
    </xf>
    <xf numFmtId="0" fontId="22" fillId="8" borderId="214" xfId="4" applyFont="1" applyFill="1" applyBorder="1" applyAlignment="1">
      <alignment horizontal="centerContinuous" vertical="center"/>
    </xf>
    <xf numFmtId="0" fontId="66" fillId="8" borderId="37" xfId="4" applyFont="1" applyFill="1" applyBorder="1" applyAlignment="1">
      <alignment horizontal="centerContinuous"/>
    </xf>
    <xf numFmtId="0" fontId="5" fillId="4" borderId="10" xfId="33" applyFont="1" applyFill="1" applyBorder="1"/>
    <xf numFmtId="0" fontId="21" fillId="4" borderId="174" xfId="4" applyFont="1" applyFill="1" applyBorder="1" applyAlignment="1">
      <alignment horizontal="centerContinuous" vertical="center"/>
    </xf>
    <xf numFmtId="0" fontId="21" fillId="4" borderId="173" xfId="4" applyFont="1" applyFill="1" applyBorder="1" applyAlignment="1">
      <alignment horizontal="centerContinuous" vertical="center"/>
    </xf>
    <xf numFmtId="0" fontId="5" fillId="4" borderId="8" xfId="52" applyFill="1" applyBorder="1"/>
    <xf numFmtId="0" fontId="23" fillId="8" borderId="10" xfId="8" applyFont="1" applyFill="1" applyBorder="1" applyAlignment="1">
      <alignment horizontal="center" vertical="center"/>
    </xf>
    <xf numFmtId="0" fontId="5" fillId="4" borderId="122" xfId="52" applyFill="1" applyBorder="1"/>
    <xf numFmtId="0" fontId="5" fillId="4" borderId="153" xfId="52" applyFill="1" applyBorder="1"/>
    <xf numFmtId="0" fontId="21" fillId="4" borderId="176" xfId="33" applyFont="1" applyFill="1" applyBorder="1"/>
    <xf numFmtId="0" fontId="5" fillId="4" borderId="121" xfId="33" applyFont="1" applyFill="1" applyBorder="1" applyAlignment="1">
      <alignment horizontal="right" vertical="center"/>
    </xf>
    <xf numFmtId="0" fontId="5" fillId="4" borderId="121" xfId="52" applyFill="1" applyBorder="1" applyAlignment="1">
      <alignment horizontal="center" vertical="center"/>
    </xf>
    <xf numFmtId="0" fontId="5" fillId="4" borderId="176" xfId="52" applyFill="1" applyBorder="1" applyAlignment="1">
      <alignment horizontal="center" vertical="center"/>
    </xf>
    <xf numFmtId="0" fontId="23" fillId="8" borderId="14" xfId="8" applyFont="1" applyFill="1" applyBorder="1" applyAlignment="1">
      <alignment horizontal="center" vertical="center"/>
    </xf>
    <xf numFmtId="0" fontId="5" fillId="4" borderId="121" xfId="52" applyFill="1" applyBorder="1"/>
    <xf numFmtId="0" fontId="5" fillId="4" borderId="10" xfId="33" applyFont="1" applyFill="1" applyBorder="1" applyAlignment="1">
      <alignment horizontal="center" vertical="center"/>
    </xf>
    <xf numFmtId="0" fontId="5" fillId="4" borderId="176" xfId="33" applyFont="1" applyFill="1" applyBorder="1" applyAlignment="1">
      <alignment horizontal="right" vertical="center"/>
    </xf>
    <xf numFmtId="0" fontId="5" fillId="4" borderId="176" xfId="52" applyFill="1" applyBorder="1"/>
    <xf numFmtId="0" fontId="21" fillId="4" borderId="224" xfId="4" applyFont="1" applyFill="1" applyBorder="1" applyAlignment="1">
      <alignment horizontal="center" vertical="center"/>
    </xf>
    <xf numFmtId="0" fontId="125" fillId="8" borderId="121" xfId="8" applyFont="1" applyFill="1" applyBorder="1" applyAlignment="1">
      <alignment horizontal="center" vertical="center"/>
    </xf>
    <xf numFmtId="0" fontId="6" fillId="4" borderId="176" xfId="44" applyFont="1" applyFill="1" applyBorder="1" applyAlignment="1">
      <alignment horizontal="left"/>
    </xf>
    <xf numFmtId="167" fontId="5" fillId="4" borderId="176" xfId="52" applyNumberFormat="1" applyFill="1" applyBorder="1" applyAlignment="1">
      <alignment horizontal="center"/>
    </xf>
    <xf numFmtId="0" fontId="5" fillId="4" borderId="0" xfId="52" applyFill="1" applyAlignment="1">
      <alignment horizontal="center"/>
    </xf>
    <xf numFmtId="0" fontId="5" fillId="4" borderId="176" xfId="52" applyFill="1" applyBorder="1" applyAlignment="1">
      <alignment horizontal="left"/>
    </xf>
    <xf numFmtId="168" fontId="5" fillId="4" borderId="176" xfId="52" applyNumberFormat="1" applyFill="1" applyBorder="1"/>
    <xf numFmtId="170" fontId="27" fillId="4" borderId="176" xfId="54" applyNumberFormat="1" applyFont="1" applyFill="1" applyBorder="1" applyAlignment="1" applyProtection="1">
      <alignment vertical="center"/>
    </xf>
    <xf numFmtId="167" fontId="27" fillId="4" borderId="176" xfId="54" applyNumberFormat="1" applyFont="1" applyFill="1" applyBorder="1" applyAlignment="1">
      <alignment vertical="center"/>
    </xf>
    <xf numFmtId="40" fontId="27" fillId="4" borderId="176" xfId="54" applyNumberFormat="1" applyFont="1" applyFill="1" applyBorder="1" applyAlignment="1" applyProtection="1">
      <alignment vertical="center"/>
    </xf>
    <xf numFmtId="168" fontId="27" fillId="4" borderId="176" xfId="54" applyNumberFormat="1" applyFont="1" applyFill="1" applyBorder="1" applyAlignment="1">
      <alignment vertical="center"/>
    </xf>
    <xf numFmtId="169" fontId="27" fillId="4" borderId="176" xfId="54" applyNumberFormat="1" applyFont="1" applyFill="1" applyBorder="1" applyAlignment="1">
      <alignment vertical="center"/>
    </xf>
    <xf numFmtId="169" fontId="5" fillId="4" borderId="176" xfId="52" applyNumberFormat="1" applyFill="1" applyBorder="1"/>
    <xf numFmtId="170" fontId="21" fillId="4" borderId="176" xfId="54" applyNumberFormat="1" applyFont="1" applyFill="1" applyBorder="1" applyAlignment="1" applyProtection="1">
      <alignment vertical="center"/>
    </xf>
    <xf numFmtId="167" fontId="21" fillId="4" borderId="176" xfId="54" applyNumberFormat="1" applyFont="1" applyFill="1" applyBorder="1" applyAlignment="1" applyProtection="1">
      <alignment vertical="center"/>
    </xf>
    <xf numFmtId="40" fontId="21" fillId="4" borderId="176" xfId="54" applyNumberFormat="1" applyFont="1" applyFill="1" applyBorder="1" applyAlignment="1" applyProtection="1">
      <alignment vertical="center"/>
    </xf>
    <xf numFmtId="168" fontId="21" fillId="4" borderId="176" xfId="54" applyNumberFormat="1" applyFont="1" applyFill="1" applyBorder="1" applyAlignment="1" applyProtection="1">
      <alignment vertical="center"/>
    </xf>
    <xf numFmtId="169" fontId="21" fillId="4" borderId="176" xfId="54" applyNumberFormat="1" applyFont="1" applyFill="1" applyBorder="1" applyAlignment="1" applyProtection="1">
      <alignment vertical="center"/>
    </xf>
    <xf numFmtId="0" fontId="5" fillId="4" borderId="10" xfId="52" applyFill="1" applyBorder="1"/>
    <xf numFmtId="0" fontId="21" fillId="4" borderId="176" xfId="52" applyFont="1" applyFill="1" applyBorder="1" applyAlignment="1">
      <alignment vertical="center"/>
    </xf>
    <xf numFmtId="0" fontId="5" fillId="4" borderId="176" xfId="52" applyFill="1" applyBorder="1" applyAlignment="1">
      <alignment horizontal="center"/>
    </xf>
    <xf numFmtId="0" fontId="6" fillId="4" borderId="10" xfId="52" applyFont="1" applyFill="1" applyBorder="1" applyAlignment="1">
      <alignment horizontal="center" vertical="center"/>
    </xf>
    <xf numFmtId="0" fontId="21" fillId="4" borderId="9" xfId="52" applyFont="1" applyFill="1" applyBorder="1" applyAlignment="1">
      <alignment vertical="center"/>
    </xf>
    <xf numFmtId="0" fontId="5" fillId="4" borderId="121" xfId="52" applyFill="1" applyBorder="1" applyAlignment="1">
      <alignment horizontal="center"/>
    </xf>
    <xf numFmtId="0" fontId="21" fillId="4" borderId="154" xfId="52" applyFont="1" applyFill="1" applyBorder="1"/>
    <xf numFmtId="0" fontId="6" fillId="4" borderId="14" xfId="52" applyFont="1" applyFill="1" applyBorder="1" applyAlignment="1">
      <alignment horizontal="center" vertical="center"/>
    </xf>
    <xf numFmtId="0" fontId="6" fillId="4" borderId="176" xfId="33" applyFont="1" applyFill="1" applyBorder="1" applyAlignment="1">
      <alignment horizontal="center" vertical="center"/>
    </xf>
    <xf numFmtId="166" fontId="5" fillId="4" borderId="176" xfId="52" applyNumberFormat="1" applyFill="1" applyBorder="1"/>
    <xf numFmtId="171" fontId="6" fillId="4" borderId="65" xfId="52" applyNumberFormat="1" applyFont="1" applyFill="1" applyBorder="1" applyAlignment="1">
      <alignment horizontal="center"/>
    </xf>
    <xf numFmtId="0" fontId="6" fillId="4" borderId="67" xfId="52" applyFont="1" applyFill="1" applyBorder="1" applyAlignment="1">
      <alignment horizontal="center"/>
    </xf>
    <xf numFmtId="1" fontId="6" fillId="4" borderId="65" xfId="4" applyNumberFormat="1" applyFont="1" applyFill="1" applyBorder="1" applyAlignment="1">
      <alignment horizontal="center"/>
    </xf>
    <xf numFmtId="2" fontId="6" fillId="4" borderId="67" xfId="4" applyNumberFormat="1" applyFont="1" applyFill="1" applyBorder="1"/>
    <xf numFmtId="0" fontId="6" fillId="4" borderId="65" xfId="4" applyFont="1" applyFill="1" applyBorder="1" applyAlignment="1">
      <alignment horizontal="center"/>
    </xf>
    <xf numFmtId="0" fontId="6" fillId="4" borderId="67" xfId="4" applyFont="1" applyFill="1" applyBorder="1" applyAlignment="1">
      <alignment horizontal="center" vertical="center"/>
    </xf>
    <xf numFmtId="171" fontId="6" fillId="4" borderId="233" xfId="4" applyNumberFormat="1" applyFont="1" applyFill="1" applyBorder="1" applyAlignment="1">
      <alignment horizontal="center"/>
    </xf>
    <xf numFmtId="166" fontId="6" fillId="4" borderId="67" xfId="4" applyNumberFormat="1" applyFont="1" applyFill="1" applyBorder="1"/>
    <xf numFmtId="166" fontId="6" fillId="4" borderId="67" xfId="4" applyNumberFormat="1" applyFont="1" applyFill="1" applyBorder="1" applyAlignment="1">
      <alignment horizontal="center"/>
    </xf>
    <xf numFmtId="171" fontId="6" fillId="4" borderId="32" xfId="52" applyNumberFormat="1" applyFont="1" applyFill="1" applyBorder="1" applyAlignment="1">
      <alignment horizontal="center"/>
    </xf>
    <xf numFmtId="0" fontId="6" fillId="4" borderId="34" xfId="52" applyFont="1" applyFill="1" applyBorder="1" applyAlignment="1">
      <alignment horizontal="center"/>
    </xf>
    <xf numFmtId="0" fontId="6" fillId="4" borderId="34" xfId="4" applyFont="1" applyFill="1" applyBorder="1" applyAlignment="1">
      <alignment horizontal="center" vertical="center"/>
    </xf>
    <xf numFmtId="166" fontId="6" fillId="4" borderId="34" xfId="4" applyNumberFormat="1" applyFont="1" applyFill="1" applyBorder="1"/>
    <xf numFmtId="0" fontId="18" fillId="4" borderId="174" xfId="52" applyFont="1" applyFill="1" applyBorder="1"/>
    <xf numFmtId="0" fontId="18" fillId="4" borderId="173" xfId="52" applyFont="1" applyFill="1" applyBorder="1"/>
    <xf numFmtId="0" fontId="18" fillId="4" borderId="213" xfId="52" applyFont="1" applyFill="1" applyBorder="1"/>
    <xf numFmtId="0" fontId="21" fillId="4" borderId="10" xfId="52" applyFont="1" applyFill="1" applyBorder="1" applyAlignment="1">
      <alignment vertical="center"/>
    </xf>
    <xf numFmtId="0" fontId="12" fillId="4" borderId="176" xfId="52" applyFont="1" applyFill="1" applyBorder="1" applyAlignment="1">
      <alignment horizontal="center" vertical="center"/>
    </xf>
    <xf numFmtId="0" fontId="5" fillId="4" borderId="10" xfId="52" applyFill="1" applyBorder="1" applyAlignment="1">
      <alignment horizontal="center" vertical="center"/>
    </xf>
    <xf numFmtId="0" fontId="44" fillId="4" borderId="9" xfId="3" applyFont="1" applyFill="1" applyBorder="1" applyAlignment="1">
      <alignment vertical="center"/>
    </xf>
    <xf numFmtId="3" fontId="5" fillId="4" borderId="176" xfId="52" applyNumberFormat="1" applyFill="1" applyBorder="1" applyAlignment="1">
      <alignment horizontal="center" vertical="center"/>
    </xf>
    <xf numFmtId="0" fontId="5" fillId="4" borderId="14" xfId="52" applyFill="1" applyBorder="1" applyAlignment="1">
      <alignment horizontal="center" vertical="center"/>
    </xf>
    <xf numFmtId="0" fontId="44" fillId="4" borderId="13" xfId="3" applyFont="1" applyFill="1" applyBorder="1" applyAlignment="1">
      <alignment vertical="center"/>
    </xf>
    <xf numFmtId="3" fontId="5" fillId="4" borderId="176" xfId="33" applyNumberFormat="1" applyFont="1" applyFill="1" applyBorder="1" applyAlignment="1">
      <alignment horizontal="center" vertical="center" wrapText="1"/>
    </xf>
    <xf numFmtId="3" fontId="52" fillId="4" borderId="176" xfId="52" applyNumberFormat="1" applyFont="1" applyFill="1" applyBorder="1" applyAlignment="1">
      <alignment horizontal="center" vertical="center"/>
    </xf>
    <xf numFmtId="3" fontId="12" fillId="4" borderId="176" xfId="52" applyNumberFormat="1" applyFont="1" applyFill="1" applyBorder="1" applyAlignment="1">
      <alignment horizontal="center" vertical="center"/>
    </xf>
    <xf numFmtId="165" fontId="6" fillId="4" borderId="34" xfId="52" applyNumberFormat="1" applyFont="1" applyFill="1" applyBorder="1" applyAlignment="1">
      <alignment horizontal="center"/>
    </xf>
    <xf numFmtId="3" fontId="12" fillId="4" borderId="176" xfId="4" applyNumberFormat="1" applyFont="1" applyFill="1" applyBorder="1" applyAlignment="1">
      <alignment horizontal="center" vertical="center"/>
    </xf>
    <xf numFmtId="3" fontId="6" fillId="4" borderId="176" xfId="4" applyNumberFormat="1" applyFont="1" applyFill="1" applyBorder="1" applyAlignment="1">
      <alignment horizontal="center" vertical="center"/>
    </xf>
    <xf numFmtId="3" fontId="6" fillId="4" borderId="176" xfId="33" applyNumberFormat="1" applyFont="1" applyFill="1" applyBorder="1" applyAlignment="1">
      <alignment horizontal="center" vertical="center" wrapText="1"/>
    </xf>
    <xf numFmtId="171" fontId="6" fillId="4" borderId="234" xfId="4" applyNumberFormat="1" applyFont="1" applyFill="1" applyBorder="1" applyAlignment="1">
      <alignment horizontal="center"/>
    </xf>
    <xf numFmtId="0" fontId="6" fillId="4" borderId="37" xfId="4" applyFont="1" applyFill="1" applyBorder="1" applyAlignment="1">
      <alignment horizontal="center"/>
    </xf>
    <xf numFmtId="165" fontId="6" fillId="4" borderId="34" xfId="4" applyNumberFormat="1" applyFont="1" applyFill="1" applyBorder="1" applyAlignment="1">
      <alignment horizontal="center" vertical="center"/>
    </xf>
    <xf numFmtId="0" fontId="44" fillId="4" borderId="154" xfId="3" applyFont="1" applyFill="1" applyBorder="1" applyAlignment="1">
      <alignment vertical="center"/>
    </xf>
    <xf numFmtId="0" fontId="22" fillId="4" borderId="0" xfId="52" applyFont="1" applyFill="1" applyAlignment="1">
      <alignment horizontal="left"/>
    </xf>
    <xf numFmtId="0" fontId="22" fillId="4" borderId="0" xfId="52" applyFont="1" applyFill="1" applyAlignment="1">
      <alignment horizontal="centerContinuous"/>
    </xf>
    <xf numFmtId="0" fontId="6" fillId="4" borderId="0" xfId="33" applyFont="1" applyFill="1" applyAlignment="1">
      <alignment horizontal="center" vertical="center"/>
    </xf>
    <xf numFmtId="171" fontId="6" fillId="4" borderId="214" xfId="52" applyNumberFormat="1" applyFont="1" applyFill="1" applyBorder="1" applyAlignment="1">
      <alignment horizontal="center"/>
    </xf>
    <xf numFmtId="0" fontId="6" fillId="4" borderId="37" xfId="52" applyFont="1" applyFill="1" applyBorder="1" applyAlignment="1">
      <alignment horizontal="center"/>
    </xf>
    <xf numFmtId="165" fontId="6" fillId="4" borderId="37" xfId="4" applyNumberFormat="1" applyFont="1" applyFill="1" applyBorder="1" applyAlignment="1">
      <alignment horizontal="center" vertical="center"/>
    </xf>
    <xf numFmtId="168" fontId="5" fillId="4" borderId="0" xfId="52" applyNumberFormat="1" applyFill="1"/>
    <xf numFmtId="0" fontId="21" fillId="4" borderId="0" xfId="33" applyFont="1" applyFill="1" applyAlignment="1">
      <alignment horizontal="center" vertical="top" wrapText="1"/>
    </xf>
    <xf numFmtId="0" fontId="55" fillId="4" borderId="0" xfId="52" applyFont="1" applyFill="1"/>
    <xf numFmtId="0" fontId="55" fillId="4" borderId="0" xfId="52" applyFont="1" applyFill="1" applyAlignment="1">
      <alignment horizontal="center"/>
    </xf>
    <xf numFmtId="41" fontId="6" fillId="4" borderId="0" xfId="31" applyNumberFormat="1" applyFont="1" applyFill="1" applyAlignment="1">
      <alignment vertical="center"/>
    </xf>
    <xf numFmtId="188" fontId="6" fillId="4" borderId="0" xfId="31" applyNumberFormat="1" applyFont="1" applyFill="1" applyAlignment="1">
      <alignment vertical="center"/>
    </xf>
    <xf numFmtId="41" fontId="5" fillId="4" borderId="0" xfId="52" applyNumberFormat="1" applyFill="1"/>
    <xf numFmtId="188" fontId="5" fillId="4" borderId="0" xfId="52" applyNumberFormat="1" applyFill="1"/>
    <xf numFmtId="43" fontId="5" fillId="4" borderId="0" xfId="52" applyNumberFormat="1" applyFill="1" applyAlignment="1">
      <alignment horizontal="center"/>
    </xf>
    <xf numFmtId="43" fontId="5" fillId="4" borderId="0" xfId="52" applyNumberFormat="1" applyFill="1"/>
    <xf numFmtId="166" fontId="5" fillId="4" borderId="0" xfId="52" applyNumberFormat="1" applyFill="1"/>
    <xf numFmtId="166" fontId="6" fillId="4" borderId="37" xfId="4" applyNumberFormat="1" applyFont="1" applyFill="1" applyBorder="1"/>
    <xf numFmtId="171" fontId="6" fillId="6" borderId="117" xfId="0" applyNumberFormat="1" applyFont="1" applyFill="1" applyBorder="1" applyAlignment="1">
      <alignment horizontal="center" vertical="center" shrinkToFit="1"/>
    </xf>
    <xf numFmtId="218" fontId="69" fillId="4" borderId="174" xfId="42" applyNumberFormat="1" applyFont="1" applyFill="1" applyBorder="1" applyAlignment="1">
      <alignment vertical="center"/>
    </xf>
    <xf numFmtId="41" fontId="69" fillId="4" borderId="213" xfId="42" applyNumberFormat="1" applyFont="1" applyFill="1" applyBorder="1" applyAlignment="1">
      <alignment vertical="center"/>
    </xf>
    <xf numFmtId="0" fontId="31" fillId="5" borderId="0" xfId="10" applyFont="1" applyFill="1" applyAlignment="1">
      <alignment vertical="center"/>
    </xf>
    <xf numFmtId="0" fontId="21" fillId="4" borderId="50" xfId="33" applyFont="1" applyFill="1" applyBorder="1" applyAlignment="1">
      <alignment horizontal="center" vertical="center"/>
    </xf>
    <xf numFmtId="2" fontId="6" fillId="0" borderId="56" xfId="44" applyNumberFormat="1" applyFont="1" applyBorder="1" applyAlignment="1" applyProtection="1">
      <alignment horizontal="center" vertical="center"/>
      <protection locked="0"/>
    </xf>
    <xf numFmtId="219" fontId="6" fillId="0" borderId="56" xfId="44" applyNumberFormat="1" applyFont="1" applyBorder="1" applyAlignment="1" applyProtection="1">
      <alignment vertical="center"/>
      <protection locked="0"/>
    </xf>
    <xf numFmtId="3" fontId="6" fillId="0" borderId="56" xfId="44" applyNumberFormat="1" applyFont="1" applyBorder="1" applyAlignment="1" applyProtection="1">
      <alignment horizontal="right" vertical="center" indent="1"/>
      <protection locked="0"/>
    </xf>
    <xf numFmtId="0" fontId="5" fillId="4" borderId="50" xfId="6" applyFill="1" applyBorder="1" applyAlignment="1">
      <alignment horizontal="center" vertical="center"/>
    </xf>
    <xf numFmtId="0" fontId="97" fillId="4" borderId="50" xfId="6" applyFont="1" applyFill="1" applyBorder="1" applyAlignment="1">
      <alignment horizontal="center" vertical="center"/>
    </xf>
    <xf numFmtId="0" fontId="12" fillId="6" borderId="50" xfId="7" applyFont="1" applyFill="1" applyBorder="1" applyAlignment="1">
      <alignment horizontal="center" vertical="center"/>
    </xf>
    <xf numFmtId="3" fontId="5" fillId="4" borderId="0" xfId="6" applyNumberFormat="1" applyFill="1" applyAlignment="1">
      <alignment horizontal="right" vertical="center" indent="1"/>
    </xf>
    <xf numFmtId="2" fontId="6" fillId="4" borderId="0" xfId="44" applyNumberFormat="1" applyFont="1" applyFill="1" applyAlignment="1" applyProtection="1">
      <alignment horizontal="center" vertical="center"/>
      <protection locked="0"/>
    </xf>
    <xf numFmtId="2" fontId="21" fillId="4" borderId="0" xfId="6" applyNumberFormat="1" applyFont="1" applyFill="1" applyAlignment="1">
      <alignment horizontal="center" vertical="center"/>
    </xf>
    <xf numFmtId="3" fontId="21" fillId="4" borderId="0" xfId="6" applyNumberFormat="1" applyFont="1" applyFill="1" applyAlignment="1">
      <alignment horizontal="right" vertical="center" indent="1"/>
    </xf>
    <xf numFmtId="220" fontId="21" fillId="4" borderId="0" xfId="6" applyNumberFormat="1" applyFont="1" applyFill="1" applyAlignment="1">
      <alignment vertical="center"/>
    </xf>
    <xf numFmtId="0" fontId="118" fillId="4" borderId="50" xfId="44" applyFont="1" applyFill="1" applyBorder="1" applyAlignment="1">
      <alignment horizontal="centerContinuous" vertical="center"/>
    </xf>
    <xf numFmtId="3" fontId="5" fillId="4" borderId="50" xfId="6" applyNumberFormat="1" applyFill="1" applyBorder="1" applyAlignment="1">
      <alignment horizontal="right" vertical="center" indent="1"/>
    </xf>
    <xf numFmtId="220" fontId="6" fillId="4" borderId="50" xfId="45" applyNumberFormat="1" applyFont="1" applyFill="1" applyBorder="1" applyAlignment="1">
      <alignment horizontal="center" vertical="center"/>
    </xf>
    <xf numFmtId="221" fontId="6" fillId="4" borderId="50" xfId="7" applyNumberFormat="1" applyFill="1" applyBorder="1" applyAlignment="1">
      <alignment horizontal="center" vertical="center"/>
    </xf>
    <xf numFmtId="0" fontId="6" fillId="4" borderId="0" xfId="44" applyFont="1" applyFill="1" applyAlignment="1">
      <alignment horizontal="right" vertical="center"/>
    </xf>
    <xf numFmtId="0" fontId="21" fillId="4" borderId="0" xfId="44" applyFont="1" applyFill="1" applyAlignment="1">
      <alignment horizontal="right" vertical="center"/>
    </xf>
    <xf numFmtId="0" fontId="138" fillId="4" borderId="43" xfId="6" applyFont="1" applyFill="1" applyBorder="1" applyAlignment="1">
      <alignment horizontal="center"/>
    </xf>
    <xf numFmtId="0" fontId="138" fillId="4" borderId="0" xfId="6" applyFont="1" applyFill="1" applyAlignment="1">
      <alignment horizontal="center"/>
    </xf>
    <xf numFmtId="0" fontId="6" fillId="3" borderId="38" xfId="1" applyFont="1" applyFill="1" applyBorder="1"/>
    <xf numFmtId="0" fontId="140" fillId="3" borderId="38" xfId="55" applyFont="1" applyFill="1" applyBorder="1"/>
    <xf numFmtId="0" fontId="6" fillId="4" borderId="0" xfId="30" applyFont="1" applyFill="1" applyAlignment="1">
      <alignment horizontal="centerContinuous"/>
    </xf>
    <xf numFmtId="0" fontId="61" fillId="4" borderId="0" xfId="30" applyFont="1" applyFill="1" applyAlignment="1">
      <alignment horizontal="centerContinuous" vertical="center"/>
    </xf>
    <xf numFmtId="0" fontId="61" fillId="4" borderId="0" xfId="30" applyFont="1" applyFill="1" applyAlignment="1">
      <alignment horizontal="right" vertical="center"/>
    </xf>
    <xf numFmtId="0" fontId="76" fillId="4" borderId="0" xfId="30" applyFont="1" applyFill="1" applyAlignment="1">
      <alignment vertical="center"/>
    </xf>
    <xf numFmtId="0" fontId="6" fillId="4" borderId="0" xfId="30" applyFont="1" applyFill="1" applyAlignment="1">
      <alignment vertical="center"/>
    </xf>
    <xf numFmtId="0" fontId="5" fillId="4" borderId="0" xfId="30" applyFill="1"/>
    <xf numFmtId="0" fontId="6" fillId="4" borderId="0" xfId="30" applyFont="1" applyFill="1" applyAlignment="1">
      <alignment horizontal="right" vertical="center"/>
    </xf>
    <xf numFmtId="0" fontId="6" fillId="4" borderId="0" xfId="30" applyFont="1" applyFill="1" applyAlignment="1">
      <alignment horizontal="left" vertical="center" indent="1"/>
    </xf>
    <xf numFmtId="0" fontId="5" fillId="4" borderId="0" xfId="30" applyFill="1" applyAlignment="1">
      <alignment horizontal="left" vertical="center" indent="1"/>
    </xf>
    <xf numFmtId="0" fontId="5" fillId="4" borderId="0" xfId="33" applyFont="1" applyFill="1" applyAlignment="1">
      <alignment horizontal="left" vertical="center" indent="1"/>
    </xf>
    <xf numFmtId="0" fontId="21" fillId="4" borderId="0" xfId="4" applyFont="1" applyFill="1" applyAlignment="1">
      <alignment horizontal="center"/>
    </xf>
    <xf numFmtId="0" fontId="25" fillId="4" borderId="0" xfId="4" applyFont="1" applyFill="1" applyAlignment="1">
      <alignment horizontal="center"/>
    </xf>
    <xf numFmtId="3" fontId="21" fillId="4" borderId="0" xfId="4" applyNumberFormat="1" applyFont="1" applyFill="1" applyAlignment="1">
      <alignment horizontal="center"/>
    </xf>
    <xf numFmtId="0" fontId="141" fillId="4" borderId="0" xfId="33" applyFont="1" applyFill="1" applyAlignment="1">
      <alignment horizontal="right"/>
    </xf>
    <xf numFmtId="0" fontId="141" fillId="4" borderId="0" xfId="33" applyFont="1" applyFill="1" applyAlignment="1">
      <alignment horizontal="center"/>
    </xf>
    <xf numFmtId="0" fontId="141" fillId="4" borderId="0" xfId="33" applyFont="1" applyFill="1"/>
    <xf numFmtId="0" fontId="5" fillId="3" borderId="0" xfId="33" applyFont="1" applyFill="1"/>
    <xf numFmtId="0" fontId="142" fillId="7" borderId="174" xfId="5" applyFont="1" applyFill="1" applyBorder="1" applyAlignment="1">
      <alignment horizontal="centerContinuous" vertical="center"/>
    </xf>
    <xf numFmtId="0" fontId="142" fillId="7" borderId="173" xfId="5" applyFont="1" applyFill="1" applyBorder="1" applyAlignment="1">
      <alignment horizontal="centerContinuous" vertical="center"/>
    </xf>
    <xf numFmtId="0" fontId="5" fillId="7" borderId="213" xfId="33" applyFont="1" applyFill="1" applyBorder="1"/>
    <xf numFmtId="171" fontId="21" fillId="4" borderId="174" xfId="4" applyNumberFormat="1" applyFont="1" applyFill="1" applyBorder="1" applyAlignment="1">
      <alignment horizontal="center" vertical="center"/>
    </xf>
    <xf numFmtId="0" fontId="5" fillId="4" borderId="174" xfId="30" applyFill="1" applyBorder="1" applyAlignment="1">
      <alignment horizontal="right" vertical="center"/>
    </xf>
    <xf numFmtId="0" fontId="5" fillId="4" borderId="173" xfId="30" applyFill="1" applyBorder="1" applyAlignment="1">
      <alignment vertical="center"/>
    </xf>
    <xf numFmtId="0" fontId="5" fillId="4" borderId="173" xfId="33" applyFont="1" applyFill="1" applyBorder="1" applyAlignment="1">
      <alignment vertical="center"/>
    </xf>
    <xf numFmtId="0" fontId="21" fillId="4" borderId="213" xfId="33" applyFont="1" applyFill="1" applyBorder="1" applyAlignment="1">
      <alignment horizontal="center" vertical="center"/>
    </xf>
    <xf numFmtId="0" fontId="61" fillId="4" borderId="0" xfId="44" applyFont="1" applyFill="1" applyAlignment="1">
      <alignment horizontal="centerContinuous" vertical="center"/>
    </xf>
    <xf numFmtId="0" fontId="6" fillId="3" borderId="38" xfId="44" applyFont="1" applyFill="1" applyBorder="1"/>
    <xf numFmtId="0" fontId="21" fillId="4" borderId="0" xfId="44" applyFont="1" applyFill="1" applyAlignment="1">
      <alignment horizontal="centerContinuous" vertical="center"/>
    </xf>
    <xf numFmtId="0" fontId="21" fillId="4" borderId="0" xfId="44" applyFont="1" applyFill="1" applyAlignment="1">
      <alignment horizontal="center" vertical="center"/>
    </xf>
    <xf numFmtId="166" fontId="21" fillId="4" borderId="0" xfId="44" applyNumberFormat="1" applyFont="1" applyFill="1" applyAlignment="1">
      <alignment horizontal="center" vertical="center"/>
    </xf>
    <xf numFmtId="234" fontId="61" fillId="4" borderId="0" xfId="44" applyNumberFormat="1" applyFont="1" applyFill="1" applyAlignment="1">
      <alignment vertical="center"/>
    </xf>
    <xf numFmtId="0" fontId="10" fillId="4" borderId="0" xfId="44" applyFont="1" applyFill="1" applyAlignment="1">
      <alignment vertical="center"/>
    </xf>
    <xf numFmtId="2" fontId="123" fillId="4" borderId="0" xfId="44" applyNumberFormat="1" applyFont="1" applyFill="1" applyAlignment="1">
      <alignment horizontal="center" vertical="center"/>
    </xf>
    <xf numFmtId="0" fontId="143" fillId="4" borderId="0" xfId="44" applyFont="1" applyFill="1"/>
    <xf numFmtId="222" fontId="124" fillId="20" borderId="0" xfId="44" applyNumberFormat="1" applyFont="1" applyFill="1" applyAlignment="1">
      <alignment horizontal="center"/>
    </xf>
    <xf numFmtId="0" fontId="25" fillId="3" borderId="38" xfId="44" applyFont="1" applyFill="1" applyBorder="1"/>
    <xf numFmtId="0" fontId="25" fillId="4" borderId="0" xfId="44" applyFont="1" applyFill="1"/>
    <xf numFmtId="0" fontId="144" fillId="4" borderId="0" xfId="44" applyFont="1" applyFill="1"/>
    <xf numFmtId="0" fontId="6" fillId="3" borderId="38" xfId="47" applyFont="1" applyFill="1" applyBorder="1" applyAlignment="1">
      <alignment horizontal="center"/>
    </xf>
    <xf numFmtId="0" fontId="21" fillId="4" borderId="173" xfId="4" applyFont="1" applyFill="1" applyBorder="1" applyAlignment="1">
      <alignment horizontal="centerContinuous"/>
    </xf>
    <xf numFmtId="3" fontId="21" fillId="4" borderId="176" xfId="4" applyNumberFormat="1" applyFont="1" applyFill="1" applyBorder="1" applyAlignment="1">
      <alignment horizontal="center"/>
    </xf>
    <xf numFmtId="0" fontId="26" fillId="4" borderId="0" xfId="56" applyFill="1"/>
    <xf numFmtId="0" fontId="146" fillId="4" borderId="0" xfId="56" applyFont="1" applyFill="1" applyAlignment="1">
      <alignment horizontal="centerContinuous" vertical="center"/>
    </xf>
    <xf numFmtId="0" fontId="147" fillId="4" borderId="0" xfId="56" applyFont="1" applyFill="1" applyAlignment="1">
      <alignment horizontal="centerContinuous" vertical="center"/>
    </xf>
    <xf numFmtId="0" fontId="26" fillId="3" borderId="38" xfId="56" applyFill="1" applyBorder="1"/>
    <xf numFmtId="0" fontId="26" fillId="4" borderId="0" xfId="56" applyFill="1" applyAlignment="1">
      <alignment horizontal="centerContinuous" vertical="center"/>
    </xf>
    <xf numFmtId="0" fontId="114" fillId="21" borderId="71" xfId="56" applyFont="1" applyFill="1" applyBorder="1" applyAlignment="1">
      <alignment horizontal="centerContinuous" vertical="center"/>
    </xf>
    <xf numFmtId="0" fontId="148" fillId="21" borderId="49" xfId="56" applyFont="1" applyFill="1" applyBorder="1" applyAlignment="1">
      <alignment horizontal="centerContinuous"/>
    </xf>
    <xf numFmtId="0" fontId="148" fillId="21" borderId="72" xfId="56" applyFont="1" applyFill="1" applyBorder="1" applyAlignment="1">
      <alignment horizontal="centerContinuous"/>
    </xf>
    <xf numFmtId="0" fontId="26" fillId="19" borderId="71" xfId="56" applyFill="1" applyBorder="1" applyAlignment="1">
      <alignment horizontal="centerContinuous" vertical="center"/>
    </xf>
    <xf numFmtId="0" fontId="148" fillId="19" borderId="49" xfId="56" applyFont="1" applyFill="1" applyBorder="1" applyAlignment="1">
      <alignment horizontal="centerContinuous" vertical="center"/>
    </xf>
    <xf numFmtId="0" fontId="148" fillId="19" borderId="72" xfId="56" applyFont="1" applyFill="1" applyBorder="1" applyAlignment="1">
      <alignment horizontal="centerContinuous" vertical="center"/>
    </xf>
    <xf numFmtId="0" fontId="26" fillId="4" borderId="40" xfId="56" applyFill="1" applyBorder="1" applyAlignment="1">
      <alignment horizontal="right" vertical="center" indent="1"/>
    </xf>
    <xf numFmtId="0" fontId="26" fillId="4" borderId="0" xfId="56" applyFill="1" applyAlignment="1">
      <alignment vertical="center"/>
    </xf>
    <xf numFmtId="3" fontId="26" fillId="4" borderId="38" xfId="56" applyNumberFormat="1" applyFill="1" applyBorder="1" applyAlignment="1">
      <alignment horizontal="right" vertical="center" indent="1"/>
    </xf>
    <xf numFmtId="0" fontId="26" fillId="4" borderId="38" xfId="56" applyFill="1" applyBorder="1"/>
    <xf numFmtId="2" fontId="26" fillId="4" borderId="38" xfId="56" applyNumberFormat="1" applyFill="1" applyBorder="1" applyAlignment="1">
      <alignment horizontal="right" vertical="center" indent="1"/>
    </xf>
    <xf numFmtId="3" fontId="26" fillId="4" borderId="52" xfId="56" applyNumberFormat="1" applyFill="1" applyBorder="1" applyAlignment="1">
      <alignment horizontal="right" vertical="center" indent="1"/>
    </xf>
    <xf numFmtId="3" fontId="69" fillId="4" borderId="52" xfId="56" applyNumberFormat="1" applyFont="1" applyFill="1" applyBorder="1" applyAlignment="1">
      <alignment horizontal="right" vertical="center" indent="1"/>
    </xf>
    <xf numFmtId="0" fontId="26" fillId="4" borderId="40" xfId="56" applyFill="1" applyBorder="1" applyAlignment="1">
      <alignment horizontal="right" indent="1"/>
    </xf>
    <xf numFmtId="2" fontId="69" fillId="4" borderId="52" xfId="56" applyNumberFormat="1" applyFont="1" applyFill="1" applyBorder="1" applyAlignment="1">
      <alignment horizontal="right" vertical="center" indent="1"/>
    </xf>
    <xf numFmtId="2" fontId="69" fillId="4" borderId="38" xfId="56" applyNumberFormat="1" applyFont="1" applyFill="1" applyBorder="1" applyAlignment="1">
      <alignment horizontal="right" vertical="center" indent="1"/>
    </xf>
    <xf numFmtId="0" fontId="26" fillId="4" borderId="40" xfId="56" applyFill="1" applyBorder="1"/>
    <xf numFmtId="0" fontId="26" fillId="4" borderId="40" xfId="56" applyFill="1" applyBorder="1" applyAlignment="1">
      <alignment horizontal="left" indent="1"/>
    </xf>
    <xf numFmtId="0" fontId="26" fillId="4" borderId="38" xfId="56" applyFill="1" applyBorder="1" applyAlignment="1">
      <alignment horizontal="right" vertical="center" indent="1"/>
    </xf>
    <xf numFmtId="3" fontId="69" fillId="4" borderId="38" xfId="56" applyNumberFormat="1" applyFont="1" applyFill="1" applyBorder="1" applyAlignment="1">
      <alignment horizontal="right" vertical="center" indent="1"/>
    </xf>
    <xf numFmtId="0" fontId="26" fillId="4" borderId="48" xfId="56" applyFill="1" applyBorder="1" applyAlignment="1">
      <alignment horizontal="right" indent="1"/>
    </xf>
    <xf numFmtId="0" fontId="26" fillId="4" borderId="50" xfId="56" applyFill="1" applyBorder="1"/>
    <xf numFmtId="0" fontId="26" fillId="4" borderId="51" xfId="56" applyFill="1" applyBorder="1"/>
    <xf numFmtId="0" fontId="26" fillId="4" borderId="48" xfId="56" applyFill="1" applyBorder="1"/>
    <xf numFmtId="0" fontId="26" fillId="4" borderId="0" xfId="56" applyFill="1" applyAlignment="1">
      <alignment horizontal="right" indent="1"/>
    </xf>
    <xf numFmtId="0" fontId="8" fillId="12" borderId="235" xfId="33" applyFont="1" applyFill="1" applyBorder="1" applyAlignment="1">
      <alignment horizontal="centerContinuous" vertical="center"/>
    </xf>
    <xf numFmtId="0" fontId="8" fillId="12" borderId="236" xfId="33" applyFont="1" applyFill="1" applyBorder="1" applyAlignment="1">
      <alignment horizontal="centerContinuous" vertical="center"/>
    </xf>
    <xf numFmtId="0" fontId="8" fillId="12" borderId="236" xfId="33" applyFont="1" applyFill="1" applyBorder="1" applyAlignment="1">
      <alignment horizontal="centerContinuous"/>
    </xf>
    <xf numFmtId="0" fontId="5" fillId="12" borderId="236" xfId="33" applyFont="1" applyFill="1" applyBorder="1"/>
    <xf numFmtId="0" fontId="9" fillId="12" borderId="235" xfId="44" applyFont="1" applyFill="1" applyBorder="1" applyAlignment="1">
      <alignment horizontal="centerContinuous" vertical="center"/>
    </xf>
    <xf numFmtId="0" fontId="9" fillId="12" borderId="236" xfId="44" applyFont="1" applyFill="1" applyBorder="1" applyAlignment="1">
      <alignment horizontal="centerContinuous"/>
    </xf>
    <xf numFmtId="0" fontId="6" fillId="12" borderId="236" xfId="44" applyFont="1" applyFill="1" applyBorder="1"/>
    <xf numFmtId="0" fontId="145" fillId="12" borderId="235" xfId="56" applyFont="1" applyFill="1" applyBorder="1" applyAlignment="1">
      <alignment horizontal="centerContinuous" vertical="center"/>
    </xf>
    <xf numFmtId="0" fontId="26" fillId="12" borderId="236" xfId="56" applyFill="1" applyBorder="1" applyAlignment="1">
      <alignment horizontal="centerContinuous"/>
    </xf>
    <xf numFmtId="0" fontId="26" fillId="12" borderId="236" xfId="56" applyFill="1" applyBorder="1"/>
    <xf numFmtId="231" fontId="6" fillId="0" borderId="52" xfId="30" applyNumberFormat="1" applyFont="1" applyBorder="1" applyAlignment="1" applyProtection="1">
      <alignment horizontal="right" vertical="center" indent="1"/>
      <protection locked="0"/>
    </xf>
    <xf numFmtId="166" fontId="6" fillId="4" borderId="52" xfId="30" applyNumberFormat="1" applyFont="1" applyFill="1" applyBorder="1" applyAlignment="1">
      <alignment horizontal="center" vertical="center"/>
    </xf>
    <xf numFmtId="2" fontId="6" fillId="0" borderId="52" xfId="30" applyNumberFormat="1" applyFont="1" applyBorder="1" applyAlignment="1" applyProtection="1">
      <alignment horizontal="center" vertical="center"/>
      <protection locked="0"/>
    </xf>
    <xf numFmtId="232" fontId="6" fillId="0" borderId="52" xfId="30" applyNumberFormat="1" applyFont="1" applyBorder="1" applyAlignment="1" applyProtection="1">
      <alignment horizontal="center" vertical="center"/>
      <protection locked="0"/>
    </xf>
    <xf numFmtId="43" fontId="6" fillId="0" borderId="52" xfId="44" applyNumberFormat="1" applyFont="1" applyBorder="1" applyAlignment="1" applyProtection="1">
      <alignment horizontal="left" vertical="center" indent="1"/>
      <protection locked="0"/>
    </xf>
    <xf numFmtId="233" fontId="6" fillId="0" borderId="52" xfId="44" applyNumberFormat="1" applyFont="1" applyBorder="1" applyAlignment="1" applyProtection="1">
      <alignment vertical="center"/>
      <protection locked="0"/>
    </xf>
    <xf numFmtId="234" fontId="6" fillId="0" borderId="52" xfId="44" applyNumberFormat="1" applyFont="1" applyBorder="1" applyAlignment="1" applyProtection="1">
      <alignment vertical="center"/>
      <protection locked="0"/>
    </xf>
    <xf numFmtId="234" fontId="6" fillId="4" borderId="52" xfId="44" applyNumberFormat="1" applyFont="1" applyFill="1" applyBorder="1" applyAlignment="1" applyProtection="1">
      <alignment vertical="center"/>
      <protection locked="0"/>
    </xf>
    <xf numFmtId="43" fontId="6" fillId="0" borderId="52" xfId="44" applyNumberFormat="1" applyFont="1" applyBorder="1" applyAlignment="1" applyProtection="1">
      <alignment horizontal="center" vertical="center"/>
      <protection locked="0"/>
    </xf>
    <xf numFmtId="0" fontId="26" fillId="4" borderId="0" xfId="56" applyFill="1" applyAlignment="1">
      <alignment horizontal="left"/>
    </xf>
    <xf numFmtId="0" fontId="26" fillId="4" borderId="0" xfId="56" applyFill="1" applyAlignment="1">
      <alignment horizontal="centerContinuous"/>
    </xf>
    <xf numFmtId="0" fontId="7" fillId="4" borderId="0" xfId="2" applyFill="1" applyBorder="1" applyAlignment="1" applyProtection="1">
      <alignment horizontal="centerContinuous" vertical="center"/>
    </xf>
    <xf numFmtId="0" fontId="114" fillId="4" borderId="0" xfId="56" applyFont="1" applyFill="1" applyAlignment="1">
      <alignment horizontal="centerContinuous" vertical="center"/>
    </xf>
    <xf numFmtId="0" fontId="148" fillId="4" borderId="0" xfId="56" applyFont="1" applyFill="1" applyAlignment="1">
      <alignment horizontal="centerContinuous"/>
    </xf>
    <xf numFmtId="0" fontId="148" fillId="4" borderId="0" xfId="56" applyFont="1" applyFill="1" applyAlignment="1">
      <alignment horizontal="centerContinuous" vertical="center"/>
    </xf>
    <xf numFmtId="0" fontId="26" fillId="4" borderId="0" xfId="56" applyFill="1" applyAlignment="1">
      <alignment horizontal="right" vertical="center" indent="1"/>
    </xf>
    <xf numFmtId="3" fontId="26" fillId="4" borderId="0" xfId="56" applyNumberFormat="1" applyFill="1" applyAlignment="1">
      <alignment horizontal="right" vertical="center" indent="1"/>
    </xf>
    <xf numFmtId="2" fontId="26" fillId="4" borderId="0" xfId="56" applyNumberFormat="1" applyFill="1" applyAlignment="1">
      <alignment horizontal="right" vertical="center" indent="1"/>
    </xf>
    <xf numFmtId="3" fontId="69" fillId="4" borderId="0" xfId="56" applyNumberFormat="1" applyFont="1" applyFill="1" applyAlignment="1">
      <alignment horizontal="right" vertical="center" indent="1"/>
    </xf>
    <xf numFmtId="2" fontId="69" fillId="4" borderId="0" xfId="56" applyNumberFormat="1" applyFont="1" applyFill="1" applyAlignment="1">
      <alignment horizontal="right" vertical="center" indent="1"/>
    </xf>
    <xf numFmtId="0" fontId="26" fillId="4" borderId="0" xfId="56" applyFill="1" applyAlignment="1">
      <alignment horizontal="left" indent="1"/>
    </xf>
    <xf numFmtId="0" fontId="97" fillId="4" borderId="0" xfId="44" applyFont="1" applyFill="1" applyAlignment="1">
      <alignment vertical="top" wrapText="1"/>
    </xf>
    <xf numFmtId="0" fontId="150" fillId="3" borderId="1" xfId="2" applyFont="1" applyFill="1" applyBorder="1" applyAlignment="1" applyProtection="1">
      <alignment horizontal="center" vertical="center"/>
    </xf>
    <xf numFmtId="0" fontId="150" fillId="3" borderId="0" xfId="2" applyFont="1" applyFill="1" applyBorder="1" applyAlignment="1" applyProtection="1">
      <alignment horizontal="center" vertical="center"/>
    </xf>
    <xf numFmtId="0" fontId="5" fillId="3" borderId="0" xfId="57" applyFill="1" applyProtection="1">
      <protection locked="0"/>
    </xf>
    <xf numFmtId="0" fontId="5" fillId="3" borderId="38" xfId="57" applyFill="1" applyBorder="1"/>
    <xf numFmtId="0" fontId="5" fillId="4" borderId="0" xfId="57" applyFill="1"/>
    <xf numFmtId="0" fontId="5" fillId="3" borderId="0" xfId="57" applyFill="1"/>
    <xf numFmtId="0" fontId="61" fillId="4" borderId="0" xfId="57" applyFont="1" applyFill="1"/>
    <xf numFmtId="0" fontId="61" fillId="4" borderId="0" xfId="57" applyFont="1" applyFill="1" applyAlignment="1">
      <alignment horizontal="right" vertical="center"/>
    </xf>
    <xf numFmtId="0" fontId="63" fillId="4" borderId="0" xfId="57" applyFont="1" applyFill="1" applyAlignment="1">
      <alignment vertical="center"/>
    </xf>
    <xf numFmtId="0" fontId="61" fillId="4" borderId="50" xfId="57" applyFont="1" applyFill="1" applyBorder="1"/>
    <xf numFmtId="0" fontId="61" fillId="4" borderId="0" xfId="57" applyFont="1" applyFill="1" applyAlignment="1">
      <alignment horizontal="center" vertical="center"/>
    </xf>
    <xf numFmtId="0" fontId="6" fillId="4" borderId="0" xfId="57" applyFont="1" applyFill="1" applyAlignment="1">
      <alignment horizontal="center" vertical="center"/>
    </xf>
    <xf numFmtId="3" fontId="61" fillId="4" borderId="0" xfId="57" applyNumberFormat="1" applyFont="1" applyFill="1" applyAlignment="1">
      <alignment horizontal="center" vertical="center"/>
    </xf>
    <xf numFmtId="0" fontId="5" fillId="4" borderId="0" xfId="57" applyFill="1" applyAlignment="1">
      <alignment vertical="center"/>
    </xf>
    <xf numFmtId="0" fontId="61" fillId="4" borderId="50" xfId="57" applyFont="1" applyFill="1" applyBorder="1" applyAlignment="1">
      <alignment horizontal="right" vertical="center"/>
    </xf>
    <xf numFmtId="3" fontId="61" fillId="4" borderId="50" xfId="57" applyNumberFormat="1" applyFont="1" applyFill="1" applyBorder="1" applyAlignment="1">
      <alignment horizontal="center" vertical="center"/>
    </xf>
    <xf numFmtId="3" fontId="61" fillId="4" borderId="50" xfId="57" applyNumberFormat="1" applyFont="1" applyFill="1" applyBorder="1"/>
    <xf numFmtId="3" fontId="61" fillId="4" borderId="0" xfId="57" applyNumberFormat="1" applyFont="1" applyFill="1"/>
    <xf numFmtId="238" fontId="61" fillId="4" borderId="0" xfId="57" applyNumberFormat="1" applyFont="1" applyFill="1" applyAlignment="1">
      <alignment vertical="center"/>
    </xf>
    <xf numFmtId="0" fontId="4" fillId="22" borderId="237" xfId="58" applyFill="1" applyBorder="1" applyAlignment="1">
      <alignment horizontal="left" indent="1"/>
    </xf>
    <xf numFmtId="0" fontId="4" fillId="22" borderId="238" xfId="58" applyFill="1" applyBorder="1"/>
    <xf numFmtId="0" fontId="4" fillId="22" borderId="239" xfId="58" applyFill="1" applyBorder="1" applyAlignment="1">
      <alignment horizontal="left" vertical="center" indent="1"/>
    </xf>
    <xf numFmtId="0" fontId="12" fillId="4" borderId="0" xfId="57" applyFont="1" applyFill="1"/>
    <xf numFmtId="0" fontId="5" fillId="4" borderId="12" xfId="57" applyFill="1" applyBorder="1"/>
    <xf numFmtId="0" fontId="5" fillId="4" borderId="13" xfId="57" applyFill="1" applyBorder="1"/>
    <xf numFmtId="0" fontId="21" fillId="4" borderId="172" xfId="4" applyFont="1" applyFill="1" applyBorder="1" applyAlignment="1">
      <alignment horizontal="center" vertical="center"/>
    </xf>
    <xf numFmtId="0" fontId="6" fillId="4" borderId="213" xfId="4" applyFont="1" applyFill="1" applyBorder="1" applyAlignment="1">
      <alignment horizontal="center" vertical="center"/>
    </xf>
    <xf numFmtId="0" fontId="5" fillId="4" borderId="154" xfId="57" applyFill="1" applyBorder="1" applyAlignment="1">
      <alignment horizontal="center"/>
    </xf>
    <xf numFmtId="0" fontId="5" fillId="4" borderId="121" xfId="57" applyFill="1" applyBorder="1" applyAlignment="1">
      <alignment horizontal="center" vertical="center"/>
    </xf>
    <xf numFmtId="0" fontId="5" fillId="4" borderId="176" xfId="57" applyFill="1" applyBorder="1" applyAlignment="1">
      <alignment horizontal="center"/>
    </xf>
    <xf numFmtId="0" fontId="5" fillId="4" borderId="173" xfId="57" applyFill="1" applyBorder="1" applyAlignment="1">
      <alignment horizontal="center"/>
    </xf>
    <xf numFmtId="0" fontId="5" fillId="4" borderId="176" xfId="57" applyFill="1" applyBorder="1" applyAlignment="1">
      <alignment horizontal="center" vertical="center"/>
    </xf>
    <xf numFmtId="0" fontId="5" fillId="4" borderId="122" xfId="57" applyFill="1" applyBorder="1"/>
    <xf numFmtId="0" fontId="5" fillId="4" borderId="153" xfId="57" applyFill="1" applyBorder="1"/>
    <xf numFmtId="0" fontId="5" fillId="4" borderId="154" xfId="57" applyFill="1" applyBorder="1"/>
    <xf numFmtId="0" fontId="9" fillId="4" borderId="0" xfId="57" applyFont="1" applyFill="1" applyAlignment="1">
      <alignment vertical="center"/>
    </xf>
    <xf numFmtId="0" fontId="4" fillId="22" borderId="240" xfId="58" applyFill="1" applyBorder="1"/>
    <xf numFmtId="0" fontId="4" fillId="22" borderId="0" xfId="58" applyFill="1"/>
    <xf numFmtId="0" fontId="4" fillId="22" borderId="241" xfId="58" applyFill="1" applyBorder="1"/>
    <xf numFmtId="0" fontId="5" fillId="22" borderId="242" xfId="58" applyFont="1" applyFill="1" applyBorder="1" applyAlignment="1">
      <alignment horizontal="left" vertical="center" indent="1"/>
    </xf>
    <xf numFmtId="0" fontId="4" fillId="22" borderId="243" xfId="58" applyFill="1" applyBorder="1"/>
    <xf numFmtId="0" fontId="4" fillId="22" borderId="244" xfId="58" applyFill="1" applyBorder="1"/>
    <xf numFmtId="0" fontId="47" fillId="8" borderId="171" xfId="33" applyFont="1" applyFill="1" applyBorder="1"/>
    <xf numFmtId="0" fontId="128" fillId="8" borderId="174" xfId="4" applyFont="1" applyFill="1" applyBorder="1" applyAlignment="1">
      <alignment horizontal="centerContinuous" vertical="center"/>
    </xf>
    <xf numFmtId="0" fontId="128" fillId="8" borderId="213" xfId="4" applyFont="1" applyFill="1" applyBorder="1" applyAlignment="1">
      <alignment horizontal="centerContinuous" vertical="center"/>
    </xf>
    <xf numFmtId="0" fontId="128" fillId="8" borderId="173" xfId="4" applyFont="1" applyFill="1" applyBorder="1" applyAlignment="1">
      <alignment horizontal="centerContinuous" vertical="center"/>
    </xf>
    <xf numFmtId="0" fontId="47" fillId="8" borderId="172" xfId="7" applyFont="1" applyFill="1" applyBorder="1"/>
    <xf numFmtId="0" fontId="47" fillId="8" borderId="175" xfId="7" applyFont="1" applyFill="1" applyBorder="1"/>
    <xf numFmtId="0" fontId="47" fillId="8" borderId="215" xfId="7" applyFont="1" applyFill="1" applyBorder="1"/>
    <xf numFmtId="0" fontId="128" fillId="8" borderId="215" xfId="4" applyFont="1" applyFill="1" applyBorder="1" applyAlignment="1">
      <alignment horizontal="center" vertical="center"/>
    </xf>
    <xf numFmtId="0" fontId="47" fillId="8" borderId="14" xfId="33" applyFont="1" applyFill="1" applyBorder="1"/>
    <xf numFmtId="0" fontId="47" fillId="8" borderId="171" xfId="4" applyFont="1" applyFill="1" applyBorder="1" applyAlignment="1">
      <alignment horizontal="center" vertical="center"/>
    </xf>
    <xf numFmtId="0" fontId="128" fillId="8" borderId="171" xfId="4" applyFont="1" applyFill="1" applyBorder="1" applyAlignment="1">
      <alignment horizontal="center" vertical="center"/>
    </xf>
    <xf numFmtId="0" fontId="128" fillId="8" borderId="174" xfId="4" applyFont="1" applyFill="1" applyBorder="1" applyAlignment="1">
      <alignment horizontal="center" vertical="center"/>
    </xf>
    <xf numFmtId="0" fontId="47" fillId="8" borderId="122" xfId="7" applyFont="1" applyFill="1" applyBorder="1"/>
    <xf numFmtId="0" fontId="47" fillId="8" borderId="153" xfId="7" applyFont="1" applyFill="1" applyBorder="1"/>
    <xf numFmtId="0" fontId="47" fillId="8" borderId="154" xfId="7" applyFont="1" applyFill="1" applyBorder="1"/>
    <xf numFmtId="0" fontId="128" fillId="8" borderId="154" xfId="4" applyFont="1" applyFill="1" applyBorder="1" applyAlignment="1">
      <alignment horizontal="center" vertical="center"/>
    </xf>
    <xf numFmtId="0" fontId="13" fillId="8" borderId="171" xfId="7" applyFont="1" applyFill="1" applyBorder="1"/>
    <xf numFmtId="0" fontId="13" fillId="8" borderId="174" xfId="4" applyFont="1" applyFill="1" applyBorder="1" applyAlignment="1">
      <alignment horizontal="centerContinuous"/>
    </xf>
    <xf numFmtId="0" fontId="13" fillId="8" borderId="213" xfId="4" applyFont="1" applyFill="1" applyBorder="1" applyAlignment="1">
      <alignment horizontal="centerContinuous"/>
    </xf>
    <xf numFmtId="0" fontId="20" fillId="8" borderId="174" xfId="4" applyFont="1" applyFill="1" applyBorder="1" applyAlignment="1">
      <alignment horizontal="centerContinuous"/>
    </xf>
    <xf numFmtId="0" fontId="20" fillId="8" borderId="213" xfId="4" applyFont="1" applyFill="1" applyBorder="1" applyAlignment="1">
      <alignment horizontal="centerContinuous"/>
    </xf>
    <xf numFmtId="0" fontId="129" fillId="8" borderId="171" xfId="4" applyFont="1" applyFill="1" applyBorder="1" applyAlignment="1">
      <alignment horizontal="center"/>
    </xf>
    <xf numFmtId="0" fontId="13" fillId="8" borderId="173" xfId="4" applyFont="1" applyFill="1" applyBorder="1" applyAlignment="1">
      <alignment horizontal="centerContinuous"/>
    </xf>
    <xf numFmtId="0" fontId="20" fillId="8" borderId="171" xfId="4" applyFont="1" applyFill="1" applyBorder="1" applyAlignment="1">
      <alignment horizontal="center" vertical="center"/>
    </xf>
    <xf numFmtId="0" fontId="13" fillId="8" borderId="121" xfId="44" applyFont="1" applyFill="1" applyBorder="1"/>
    <xf numFmtId="0" fontId="13" fillId="8" borderId="176" xfId="4" applyFont="1" applyFill="1" applyBorder="1" applyAlignment="1">
      <alignment horizontal="center"/>
    </xf>
    <xf numFmtId="0" fontId="13" fillId="8" borderId="176" xfId="4" applyFont="1" applyFill="1" applyBorder="1" applyAlignment="1">
      <alignment horizontal="center" vertical="center"/>
    </xf>
    <xf numFmtId="0" fontId="20" fillId="8" borderId="176" xfId="4" applyFont="1" applyFill="1" applyBorder="1" applyAlignment="1">
      <alignment horizontal="center"/>
    </xf>
    <xf numFmtId="0" fontId="20" fillId="8" borderId="176" xfId="4" applyFont="1" applyFill="1" applyBorder="1" applyAlignment="1">
      <alignment horizontal="center" vertical="center"/>
    </xf>
    <xf numFmtId="0" fontId="129" fillId="8" borderId="121" xfId="4" applyFont="1" applyFill="1" applyBorder="1"/>
    <xf numFmtId="0" fontId="20" fillId="8" borderId="121" xfId="4" applyFont="1" applyFill="1" applyBorder="1" applyAlignment="1">
      <alignment horizontal="center"/>
    </xf>
    <xf numFmtId="0" fontId="20" fillId="8" borderId="174" xfId="4" applyFont="1" applyFill="1" applyBorder="1" applyAlignment="1">
      <alignment horizontal="centerContinuous" vertical="center"/>
    </xf>
    <xf numFmtId="0" fontId="20" fillId="8" borderId="173" xfId="4" applyFont="1" applyFill="1" applyBorder="1" applyAlignment="1">
      <alignment horizontal="centerContinuous" vertical="center"/>
    </xf>
    <xf numFmtId="0" fontId="13" fillId="8" borderId="172" xfId="7" applyFont="1" applyFill="1" applyBorder="1"/>
    <xf numFmtId="0" fontId="13" fillId="8" borderId="175" xfId="4" applyFont="1" applyFill="1" applyBorder="1"/>
    <xf numFmtId="0" fontId="13" fillId="8" borderId="175" xfId="7" applyFont="1" applyFill="1" applyBorder="1"/>
    <xf numFmtId="0" fontId="13" fillId="8" borderId="215" xfId="7" applyFont="1" applyFill="1" applyBorder="1"/>
    <xf numFmtId="0" fontId="20" fillId="8" borderId="215" xfId="4" applyFont="1" applyFill="1" applyBorder="1" applyAlignment="1">
      <alignment horizontal="center" vertical="center"/>
    </xf>
    <xf numFmtId="0" fontId="13" fillId="8" borderId="121" xfId="7" applyFont="1" applyFill="1" applyBorder="1"/>
    <xf numFmtId="0" fontId="20" fillId="8" borderId="174" xfId="4" applyFont="1" applyFill="1" applyBorder="1" applyAlignment="1">
      <alignment horizontal="center" vertical="center"/>
    </xf>
    <xf numFmtId="0" fontId="13" fillId="8" borderId="122" xfId="7" applyFont="1" applyFill="1" applyBorder="1"/>
    <xf numFmtId="0" fontId="13" fillId="8" borderId="153" xfId="4" applyFont="1" applyFill="1" applyBorder="1" applyAlignment="1">
      <alignment horizontal="center" vertical="center"/>
    </xf>
    <xf numFmtId="0" fontId="13" fillId="8" borderId="153" xfId="7" applyFont="1" applyFill="1" applyBorder="1"/>
    <xf numFmtId="0" fontId="13" fillId="8" borderId="154" xfId="7" applyFont="1" applyFill="1" applyBorder="1"/>
    <xf numFmtId="0" fontId="20" fillId="8" borderId="154" xfId="4" applyFont="1" applyFill="1" applyBorder="1" applyAlignment="1">
      <alignment horizontal="center" vertical="center"/>
    </xf>
    <xf numFmtId="0" fontId="13" fillId="8" borderId="171" xfId="4" applyFont="1" applyFill="1" applyBorder="1" applyAlignment="1">
      <alignment horizontal="center"/>
    </xf>
    <xf numFmtId="0" fontId="114" fillId="8" borderId="171" xfId="4" applyFont="1" applyFill="1" applyBorder="1" applyAlignment="1">
      <alignment horizontal="center"/>
    </xf>
    <xf numFmtId="0" fontId="13" fillId="8" borderId="121" xfId="4" applyFont="1" applyFill="1" applyBorder="1"/>
    <xf numFmtId="0" fontId="114" fillId="8" borderId="121" xfId="4" applyFont="1" applyFill="1" applyBorder="1" applyAlignment="1">
      <alignment horizontal="center"/>
    </xf>
    <xf numFmtId="0" fontId="22" fillId="8" borderId="171" xfId="7" applyFont="1" applyFill="1" applyBorder="1" applyAlignment="1">
      <alignment horizontal="centerContinuous"/>
    </xf>
    <xf numFmtId="0" fontId="22" fillId="8" borderId="174" xfId="7" applyFont="1" applyFill="1" applyBorder="1" applyAlignment="1">
      <alignment horizontal="centerContinuous"/>
    </xf>
    <xf numFmtId="0" fontId="6" fillId="8" borderId="173" xfId="7" applyFill="1" applyBorder="1" applyAlignment="1">
      <alignment horizontal="centerContinuous"/>
    </xf>
    <xf numFmtId="0" fontId="6" fillId="8" borderId="213" xfId="7" applyFill="1" applyBorder="1" applyAlignment="1">
      <alignment horizontal="centerContinuous"/>
    </xf>
    <xf numFmtId="0" fontId="22" fillId="8" borderId="173" xfId="7" applyFont="1" applyFill="1" applyBorder="1" applyAlignment="1">
      <alignment horizontal="centerContinuous"/>
    </xf>
    <xf numFmtId="0" fontId="22" fillId="8" borderId="213" xfId="7" applyFont="1" applyFill="1" applyBorder="1" applyAlignment="1">
      <alignment horizontal="centerContinuous"/>
    </xf>
    <xf numFmtId="0" fontId="6" fillId="8" borderId="121" xfId="7" applyFill="1" applyBorder="1"/>
    <xf numFmtId="0" fontId="13" fillId="8" borderId="176" xfId="33" applyFont="1" applyFill="1" applyBorder="1" applyAlignment="1">
      <alignment horizontal="center" vertical="center"/>
    </xf>
    <xf numFmtId="0" fontId="128" fillId="8" borderId="174" xfId="7" applyFont="1" applyFill="1" applyBorder="1" applyAlignment="1">
      <alignment horizontal="centerContinuous"/>
    </xf>
    <xf numFmtId="0" fontId="128" fillId="8" borderId="173" xfId="7" applyFont="1" applyFill="1" applyBorder="1" applyAlignment="1">
      <alignment horizontal="centerContinuous"/>
    </xf>
    <xf numFmtId="0" fontId="128" fillId="8" borderId="213" xfId="7" applyFont="1" applyFill="1" applyBorder="1" applyAlignment="1">
      <alignment horizontal="centerContinuous"/>
    </xf>
    <xf numFmtId="0" fontId="20" fillId="8" borderId="171" xfId="33" applyFont="1" applyFill="1" applyBorder="1" applyAlignment="1">
      <alignment horizontal="center" vertical="top" wrapText="1"/>
    </xf>
    <xf numFmtId="0" fontId="20" fillId="8" borderId="171" xfId="33" applyFont="1" applyFill="1" applyBorder="1" applyAlignment="1">
      <alignment horizontal="center" vertical="center"/>
    </xf>
    <xf numFmtId="0" fontId="20" fillId="8" borderId="171" xfId="33" applyFont="1" applyFill="1" applyBorder="1" applyAlignment="1">
      <alignment horizontal="center" vertical="center" wrapText="1"/>
    </xf>
    <xf numFmtId="0" fontId="13" fillId="8" borderId="14" xfId="7" applyFont="1" applyFill="1" applyBorder="1"/>
    <xf numFmtId="0" fontId="132" fillId="8" borderId="14" xfId="7" applyFont="1" applyFill="1" applyBorder="1" applyAlignment="1">
      <alignment horizontal="center"/>
    </xf>
    <xf numFmtId="0" fontId="13" fillId="8" borderId="213" xfId="7" applyFont="1" applyFill="1" applyBorder="1" applyAlignment="1">
      <alignment horizontal="center" vertical="center"/>
    </xf>
    <xf numFmtId="0" fontId="132" fillId="8" borderId="121" xfId="33" applyFont="1" applyFill="1" applyBorder="1" applyAlignment="1">
      <alignment horizontal="center" vertical="center" wrapText="1"/>
    </xf>
    <xf numFmtId="0" fontId="133" fillId="8" borderId="121" xfId="33" applyFont="1" applyFill="1" applyBorder="1" applyAlignment="1">
      <alignment horizontal="center" vertical="center"/>
    </xf>
    <xf numFmtId="0" fontId="20" fillId="8" borderId="121" xfId="4" applyFont="1" applyFill="1" applyBorder="1" applyAlignment="1">
      <alignment horizontal="center" vertical="center"/>
    </xf>
    <xf numFmtId="0" fontId="23" fillId="8" borderId="171" xfId="50" applyFont="1" applyFill="1" applyBorder="1" applyAlignment="1">
      <alignment horizontal="center" vertical="center"/>
    </xf>
    <xf numFmtId="0" fontId="23" fillId="8" borderId="14" xfId="50" applyFont="1" applyFill="1" applyBorder="1" applyAlignment="1">
      <alignment horizontal="center" vertical="center"/>
    </xf>
    <xf numFmtId="0" fontId="125" fillId="8" borderId="121" xfId="50" applyFont="1" applyFill="1" applyBorder="1" applyAlignment="1">
      <alignment horizontal="center" vertical="center"/>
    </xf>
    <xf numFmtId="0" fontId="66" fillId="8" borderId="227" xfId="4" applyFont="1" applyFill="1" applyBorder="1" applyAlignment="1">
      <alignment horizontal="centerContinuous" vertical="center"/>
    </xf>
    <xf numFmtId="0" fontId="20" fillId="8" borderId="226" xfId="4" applyFont="1" applyFill="1" applyBorder="1" applyAlignment="1">
      <alignment horizontal="centerContinuous" vertical="center"/>
    </xf>
    <xf numFmtId="0" fontId="20" fillId="8" borderId="227" xfId="4" applyFont="1" applyFill="1" applyBorder="1" applyAlignment="1">
      <alignment horizontal="centerContinuous" vertical="center"/>
    </xf>
    <xf numFmtId="0" fontId="20" fillId="8" borderId="228" xfId="4" applyFont="1" applyFill="1" applyBorder="1" applyAlignment="1">
      <alignment horizontal="centerContinuous"/>
    </xf>
    <xf numFmtId="0" fontId="20" fillId="8" borderId="229" xfId="4" applyFont="1" applyFill="1" applyBorder="1" applyAlignment="1">
      <alignment horizontal="center" vertical="center" wrapText="1"/>
    </xf>
    <xf numFmtId="0" fontId="20" fillId="8" borderId="230" xfId="4" applyFont="1" applyFill="1" applyBorder="1" applyAlignment="1">
      <alignment horizontal="center" vertical="center" wrapText="1"/>
    </xf>
    <xf numFmtId="0" fontId="20" fillId="8" borderId="231" xfId="4" applyFont="1" applyFill="1" applyBorder="1" applyAlignment="1">
      <alignment horizontal="center" vertical="center" wrapText="1"/>
    </xf>
    <xf numFmtId="0" fontId="20" fillId="8" borderId="32" xfId="4" applyFont="1" applyFill="1" applyBorder="1" applyAlignment="1">
      <alignment horizontal="center" vertical="center" wrapText="1"/>
    </xf>
    <xf numFmtId="0" fontId="20" fillId="8" borderId="33" xfId="4" applyFont="1" applyFill="1" applyBorder="1" applyAlignment="1">
      <alignment horizontal="center" vertical="center" wrapText="1"/>
    </xf>
    <xf numFmtId="0" fontId="20" fillId="8" borderId="34" xfId="4" applyFont="1" applyFill="1" applyBorder="1" applyAlignment="1">
      <alignment horizontal="center" vertical="center" wrapText="1"/>
    </xf>
    <xf numFmtId="0" fontId="24" fillId="8" borderId="214" xfId="4" applyFont="1" applyFill="1" applyBorder="1" applyAlignment="1">
      <alignment horizontal="center" vertical="center"/>
    </xf>
    <xf numFmtId="0" fontId="24" fillId="8" borderId="36" xfId="4" applyFont="1" applyFill="1" applyBorder="1" applyAlignment="1">
      <alignment horizontal="center" vertical="center"/>
    </xf>
    <xf numFmtId="0" fontId="24" fillId="8" borderId="37" xfId="4" applyFont="1" applyFill="1" applyBorder="1" applyAlignment="1">
      <alignment horizontal="center" vertical="center" wrapText="1"/>
    </xf>
    <xf numFmtId="0" fontId="20" fillId="8" borderId="0" xfId="4" applyFont="1" applyFill="1" applyAlignment="1">
      <alignment horizontal="center" vertical="center" wrapText="1"/>
    </xf>
    <xf numFmtId="0" fontId="24" fillId="8" borderId="153" xfId="4" applyFont="1" applyFill="1" applyBorder="1" applyAlignment="1">
      <alignment horizontal="center" vertical="center" wrapText="1"/>
    </xf>
    <xf numFmtId="0" fontId="7" fillId="4" borderId="0" xfId="2" applyFill="1" applyAlignment="1" applyProtection="1">
      <alignment horizontal="center" vertical="center"/>
    </xf>
    <xf numFmtId="0" fontId="6" fillId="4" borderId="96" xfId="44" applyFont="1" applyFill="1" applyBorder="1" applyAlignment="1">
      <alignment horizontal="center" vertical="center"/>
    </xf>
    <xf numFmtId="0" fontId="6" fillId="4" borderId="88" xfId="44" applyFont="1" applyFill="1" applyBorder="1" applyAlignment="1">
      <alignment horizontal="center" vertical="center"/>
    </xf>
    <xf numFmtId="0" fontId="5" fillId="4" borderId="88" xfId="33" applyFont="1" applyFill="1" applyBorder="1" applyAlignment="1">
      <alignment horizontal="center" vertical="center"/>
    </xf>
    <xf numFmtId="0" fontId="5" fillId="8" borderId="121" xfId="6" applyFill="1" applyBorder="1"/>
    <xf numFmtId="0" fontId="47" fillId="8" borderId="122" xfId="4" applyFont="1" applyFill="1" applyBorder="1" applyAlignment="1">
      <alignment horizontal="centerContinuous"/>
    </xf>
    <xf numFmtId="0" fontId="47" fillId="8" borderId="154" xfId="4" applyFont="1" applyFill="1" applyBorder="1" applyAlignment="1">
      <alignment horizontal="centerContinuous"/>
    </xf>
    <xf numFmtId="0" fontId="128" fillId="8" borderId="122" xfId="4" applyFont="1" applyFill="1" applyBorder="1" applyAlignment="1">
      <alignment horizontal="centerContinuous"/>
    </xf>
    <xf numFmtId="0" fontId="128" fillId="8" borderId="153" xfId="4" applyFont="1" applyFill="1" applyBorder="1" applyAlignment="1">
      <alignment horizontal="centerContinuous"/>
    </xf>
    <xf numFmtId="0" fontId="47" fillId="8" borderId="122" xfId="43" applyFont="1" applyFill="1" applyBorder="1"/>
    <xf numFmtId="0" fontId="47" fillId="8" borderId="0" xfId="43" applyFont="1" applyFill="1"/>
    <xf numFmtId="0" fontId="128" fillId="8" borderId="14" xfId="43" applyFont="1" applyFill="1" applyBorder="1" applyAlignment="1">
      <alignment horizontal="center" vertical="center"/>
    </xf>
    <xf numFmtId="0" fontId="47" fillId="8" borderId="171" xfId="6" applyFont="1" applyFill="1" applyBorder="1"/>
    <xf numFmtId="0" fontId="128" fillId="8" borderId="14" xfId="4" applyFont="1" applyFill="1" applyBorder="1" applyAlignment="1">
      <alignment horizontal="center" vertical="center"/>
    </xf>
    <xf numFmtId="0" fontId="47" fillId="8" borderId="176" xfId="4" applyFont="1" applyFill="1" applyBorder="1" applyAlignment="1">
      <alignment horizontal="center"/>
    </xf>
    <xf numFmtId="0" fontId="47" fillId="8" borderId="176" xfId="4" applyFont="1" applyFill="1" applyBorder="1" applyAlignment="1">
      <alignment horizontal="center" vertical="center"/>
    </xf>
    <xf numFmtId="0" fontId="128" fillId="8" borderId="176" xfId="4" applyFont="1" applyFill="1" applyBorder="1" applyAlignment="1">
      <alignment horizontal="center"/>
    </xf>
    <xf numFmtId="0" fontId="47" fillId="8" borderId="176" xfId="43" applyFont="1" applyFill="1" applyBorder="1" applyAlignment="1">
      <alignment horizontal="center" vertical="center"/>
    </xf>
    <xf numFmtId="0" fontId="128" fillId="8" borderId="121" xfId="43" applyFont="1" applyFill="1" applyBorder="1" applyAlignment="1">
      <alignment horizontal="center"/>
    </xf>
    <xf numFmtId="0" fontId="47" fillId="8" borderId="121" xfId="6" applyFont="1" applyFill="1" applyBorder="1"/>
    <xf numFmtId="0" fontId="128" fillId="8" borderId="121" xfId="4" applyFont="1" applyFill="1" applyBorder="1" applyAlignment="1">
      <alignment horizontal="center"/>
    </xf>
    <xf numFmtId="0" fontId="47" fillId="8" borderId="174" xfId="4" applyFont="1" applyFill="1" applyBorder="1" applyAlignment="1">
      <alignment horizontal="centerContinuous"/>
    </xf>
    <xf numFmtId="0" fontId="47" fillId="8" borderId="213" xfId="4" applyFont="1" applyFill="1" applyBorder="1" applyAlignment="1">
      <alignment horizontal="centerContinuous"/>
    </xf>
    <xf numFmtId="0" fontId="128" fillId="8" borderId="174" xfId="4" applyFont="1" applyFill="1" applyBorder="1" applyAlignment="1">
      <alignment horizontal="centerContinuous"/>
    </xf>
    <xf numFmtId="0" fontId="128" fillId="8" borderId="213" xfId="4" applyFont="1" applyFill="1" applyBorder="1" applyAlignment="1">
      <alignment horizontal="centerContinuous"/>
    </xf>
    <xf numFmtId="0" fontId="128" fillId="8" borderId="172" xfId="43" applyFont="1" applyFill="1" applyBorder="1"/>
    <xf numFmtId="0" fontId="47" fillId="8" borderId="175" xfId="43" applyFont="1" applyFill="1" applyBorder="1"/>
    <xf numFmtId="0" fontId="128" fillId="8" borderId="171" xfId="43" applyFont="1" applyFill="1" applyBorder="1" applyAlignment="1">
      <alignment horizontal="center" vertical="center"/>
    </xf>
    <xf numFmtId="0" fontId="128" fillId="8" borderId="176" xfId="4" applyFont="1" applyFill="1" applyBorder="1" applyAlignment="1">
      <alignment horizontal="center" vertical="center"/>
    </xf>
    <xf numFmtId="0" fontId="128" fillId="8" borderId="121" xfId="43" applyFont="1" applyFill="1" applyBorder="1" applyAlignment="1">
      <alignment horizontal="center" vertical="center"/>
    </xf>
    <xf numFmtId="0" fontId="128" fillId="8" borderId="121" xfId="4" applyFont="1" applyFill="1" applyBorder="1" applyAlignment="1">
      <alignment horizontal="center" vertical="center"/>
    </xf>
    <xf numFmtId="0" fontId="13" fillId="8" borderId="171" xfId="6" applyFont="1" applyFill="1" applyBorder="1"/>
    <xf numFmtId="0" fontId="153" fillId="8" borderId="171" xfId="4" applyFont="1" applyFill="1" applyBorder="1" applyAlignment="1">
      <alignment horizontal="center"/>
    </xf>
    <xf numFmtId="0" fontId="13" fillId="8" borderId="121" xfId="6" applyFont="1" applyFill="1" applyBorder="1"/>
    <xf numFmtId="0" fontId="153" fillId="8" borderId="121" xfId="4" applyFont="1" applyFill="1" applyBorder="1" applyAlignment="1">
      <alignment horizontal="center"/>
    </xf>
    <xf numFmtId="0" fontId="22" fillId="8" borderId="171" xfId="6" applyFont="1" applyFill="1" applyBorder="1" applyAlignment="1">
      <alignment horizontal="centerContinuous"/>
    </xf>
    <xf numFmtId="223" fontId="22" fillId="8" borderId="175" xfId="44" applyNumberFormat="1" applyFont="1" applyFill="1" applyBorder="1" applyAlignment="1">
      <alignment horizontal="center" vertical="center"/>
    </xf>
    <xf numFmtId="223" fontId="22" fillId="8" borderId="215" xfId="44" applyNumberFormat="1" applyFont="1" applyFill="1" applyBorder="1" applyAlignment="1">
      <alignment horizontal="center" vertical="center"/>
    </xf>
    <xf numFmtId="0" fontId="22" fillId="8" borderId="173" xfId="6" applyFont="1" applyFill="1" applyBorder="1" applyAlignment="1">
      <alignment horizontal="centerContinuous"/>
    </xf>
    <xf numFmtId="0" fontId="5" fillId="8" borderId="173" xfId="6" applyFill="1" applyBorder="1" applyAlignment="1">
      <alignment horizontal="centerContinuous"/>
    </xf>
    <xf numFmtId="0" fontId="5" fillId="8" borderId="213" xfId="6" applyFill="1" applyBorder="1" applyAlignment="1">
      <alignment horizontal="centerContinuous"/>
    </xf>
    <xf numFmtId="0" fontId="22" fillId="8" borderId="174" xfId="6" applyFont="1" applyFill="1" applyBorder="1" applyAlignment="1">
      <alignment horizontal="centerContinuous"/>
    </xf>
    <xf numFmtId="0" fontId="22" fillId="8" borderId="213" xfId="6" applyFont="1" applyFill="1" applyBorder="1" applyAlignment="1">
      <alignment horizontal="centerContinuous"/>
    </xf>
    <xf numFmtId="0" fontId="5" fillId="8" borderId="153" xfId="6" applyFill="1" applyBorder="1"/>
    <xf numFmtId="0" fontId="47" fillId="8" borderId="153" xfId="6" applyFont="1" applyFill="1" applyBorder="1" applyAlignment="1">
      <alignment horizontal="center" vertical="center"/>
    </xf>
    <xf numFmtId="0" fontId="47" fillId="8" borderId="154" xfId="6" applyFont="1" applyFill="1" applyBorder="1" applyAlignment="1">
      <alignment horizontal="center" vertical="center"/>
    </xf>
    <xf numFmtId="0" fontId="13" fillId="8" borderId="213" xfId="33" applyFont="1" applyFill="1" applyBorder="1" applyAlignment="1">
      <alignment horizontal="center" vertical="center"/>
    </xf>
    <xf numFmtId="0" fontId="5" fillId="8" borderId="0" xfId="6" applyFill="1"/>
    <xf numFmtId="0" fontId="66" fillId="8" borderId="0" xfId="4" applyFont="1" applyFill="1" applyAlignment="1">
      <alignment horizontal="center"/>
    </xf>
    <xf numFmtId="0" fontId="47" fillId="8" borderId="0" xfId="6" applyFont="1" applyFill="1"/>
    <xf numFmtId="0" fontId="128" fillId="8" borderId="0" xfId="4" applyFont="1" applyFill="1" applyAlignment="1">
      <alignment horizontal="center"/>
    </xf>
    <xf numFmtId="0" fontId="128" fillId="8" borderId="229" xfId="4" applyFont="1" applyFill="1" applyBorder="1" applyAlignment="1">
      <alignment horizontal="center" vertical="center" wrapText="1"/>
    </xf>
    <xf numFmtId="0" fontId="128" fillId="8" borderId="230" xfId="4" applyFont="1" applyFill="1" applyBorder="1" applyAlignment="1">
      <alignment horizontal="center" vertical="center" wrapText="1"/>
    </xf>
    <xf numFmtId="0" fontId="128" fillId="8" borderId="231" xfId="4" applyFont="1" applyFill="1" applyBorder="1" applyAlignment="1">
      <alignment horizontal="center" vertical="center" wrapText="1"/>
    </xf>
    <xf numFmtId="0" fontId="128" fillId="8" borderId="0" xfId="4" applyFont="1" applyFill="1" applyAlignment="1">
      <alignment horizontal="center" vertical="center"/>
    </xf>
    <xf numFmtId="0" fontId="128" fillId="8" borderId="32" xfId="4" applyFont="1" applyFill="1" applyBorder="1" applyAlignment="1">
      <alignment horizontal="center" vertical="center" wrapText="1"/>
    </xf>
    <xf numFmtId="0" fontId="128" fillId="8" borderId="0" xfId="4" applyFont="1" applyFill="1" applyAlignment="1">
      <alignment horizontal="center" vertical="center" wrapText="1"/>
    </xf>
    <xf numFmtId="0" fontId="128" fillId="8" borderId="34" xfId="4" applyFont="1" applyFill="1" applyBorder="1" applyAlignment="1">
      <alignment horizontal="center" vertical="center" wrapText="1"/>
    </xf>
    <xf numFmtId="0" fontId="128" fillId="8" borderId="33" xfId="4" applyFont="1" applyFill="1" applyBorder="1" applyAlignment="1">
      <alignment horizontal="center" vertical="center" wrapText="1"/>
    </xf>
    <xf numFmtId="0" fontId="154" fillId="8" borderId="214" xfId="4" applyFont="1" applyFill="1" applyBorder="1" applyAlignment="1">
      <alignment horizontal="center" vertical="center"/>
    </xf>
    <xf numFmtId="0" fontId="154" fillId="8" borderId="153" xfId="4" applyFont="1" applyFill="1" applyBorder="1" applyAlignment="1">
      <alignment horizontal="center" vertical="center" wrapText="1"/>
    </xf>
    <xf numFmtId="0" fontId="154" fillId="8" borderId="37" xfId="4" applyFont="1" applyFill="1" applyBorder="1" applyAlignment="1">
      <alignment horizontal="center" vertical="center" wrapText="1"/>
    </xf>
    <xf numFmtId="0" fontId="154" fillId="8" borderId="36" xfId="4" applyFont="1" applyFill="1" applyBorder="1" applyAlignment="1">
      <alignment horizontal="center" vertical="center"/>
    </xf>
    <xf numFmtId="0" fontId="128" fillId="8" borderId="36" xfId="4" applyFont="1" applyFill="1" applyBorder="1" applyAlignment="1">
      <alignment horizontal="center" vertical="center"/>
    </xf>
    <xf numFmtId="0" fontId="128" fillId="8" borderId="37" xfId="4" applyFont="1" applyFill="1" applyBorder="1" applyAlignment="1">
      <alignment horizontal="center" vertical="center" wrapText="1"/>
    </xf>
    <xf numFmtId="0" fontId="25" fillId="4" borderId="171" xfId="8" applyFont="1" applyFill="1" applyBorder="1" applyAlignment="1">
      <alignment vertical="center"/>
    </xf>
    <xf numFmtId="168" fontId="27" fillId="4" borderId="171" xfId="45" applyNumberFormat="1" applyFont="1" applyFill="1" applyBorder="1" applyAlignment="1">
      <alignment vertical="center"/>
    </xf>
    <xf numFmtId="170" fontId="27" fillId="4" borderId="171" xfId="45" applyNumberFormat="1" applyFont="1" applyFill="1" applyBorder="1" applyAlignment="1">
      <alignment vertical="center"/>
    </xf>
    <xf numFmtId="168" fontId="27" fillId="4" borderId="171" xfId="9" applyNumberFormat="1" applyFont="1" applyFill="1" applyBorder="1" applyAlignment="1">
      <alignment vertical="center"/>
    </xf>
    <xf numFmtId="167" fontId="27" fillId="4" borderId="171" xfId="9" applyNumberFormat="1" applyFont="1" applyFill="1" applyBorder="1" applyAlignment="1">
      <alignment vertical="center"/>
    </xf>
    <xf numFmtId="40" fontId="27" fillId="4" borderId="171" xfId="45" applyNumberFormat="1" applyFont="1" applyFill="1" applyBorder="1" applyAlignment="1">
      <alignment vertical="center"/>
    </xf>
    <xf numFmtId="0" fontId="128" fillId="8" borderId="122" xfId="4" applyFont="1" applyFill="1" applyBorder="1" applyAlignment="1">
      <alignment horizontal="centerContinuous" vertical="center"/>
    </xf>
    <xf numFmtId="0" fontId="128" fillId="8" borderId="154" xfId="4" applyFont="1" applyFill="1" applyBorder="1" applyAlignment="1">
      <alignment horizontal="centerContinuous"/>
    </xf>
    <xf numFmtId="0" fontId="128" fillId="8" borderId="153" xfId="4" applyFont="1" applyFill="1" applyBorder="1" applyAlignment="1">
      <alignment horizontal="centerContinuous" vertical="center"/>
    </xf>
    <xf numFmtId="0" fontId="128" fillId="8" borderId="214" xfId="4" applyFont="1" applyFill="1" applyBorder="1" applyAlignment="1">
      <alignment horizontal="centerContinuous" vertical="center"/>
    </xf>
    <xf numFmtId="0" fontId="128" fillId="8" borderId="36" xfId="4" applyFont="1" applyFill="1" applyBorder="1" applyAlignment="1">
      <alignment horizontal="centerContinuous" vertical="center"/>
    </xf>
    <xf numFmtId="0" fontId="128" fillId="8" borderId="37" xfId="4" applyFont="1" applyFill="1" applyBorder="1" applyAlignment="1">
      <alignment horizontal="centerContinuous"/>
    </xf>
    <xf numFmtId="0" fontId="13" fillId="8" borderId="173" xfId="6" applyFont="1" applyFill="1" applyBorder="1" applyAlignment="1">
      <alignment horizontal="centerContinuous"/>
    </xf>
    <xf numFmtId="0" fontId="22" fillId="8" borderId="122" xfId="4" applyFont="1" applyFill="1" applyBorder="1" applyAlignment="1">
      <alignment horizontal="centerContinuous" vertical="center"/>
    </xf>
    <xf numFmtId="0" fontId="66" fillId="8" borderId="154" xfId="4" applyFont="1" applyFill="1" applyBorder="1" applyAlignment="1">
      <alignment horizontal="centerContinuous"/>
    </xf>
    <xf numFmtId="0" fontId="66" fillId="8" borderId="36" xfId="4" applyFont="1" applyFill="1" applyBorder="1" applyAlignment="1">
      <alignment horizontal="centerContinuous" vertical="center"/>
    </xf>
    <xf numFmtId="0" fontId="66" fillId="8" borderId="153" xfId="4" applyFont="1" applyFill="1" applyBorder="1" applyAlignment="1">
      <alignment horizontal="centerContinuous" vertical="center"/>
    </xf>
    <xf numFmtId="0" fontId="23" fillId="8" borderId="171" xfId="8" applyFont="1" applyFill="1" applyBorder="1" applyAlignment="1">
      <alignment horizontal="center" vertical="center"/>
    </xf>
    <xf numFmtId="0" fontId="6" fillId="8" borderId="0" xfId="4" applyFont="1" applyFill="1"/>
    <xf numFmtId="0" fontId="128" fillId="8" borderId="14" xfId="6" applyFont="1" applyFill="1" applyBorder="1" applyAlignment="1">
      <alignment horizontal="center" vertical="center"/>
    </xf>
    <xf numFmtId="0" fontId="47" fillId="8" borderId="121" xfId="6" applyFont="1" applyFill="1" applyBorder="1" applyAlignment="1">
      <alignment horizontal="center"/>
    </xf>
    <xf numFmtId="0" fontId="47" fillId="8" borderId="121" xfId="4" applyFont="1" applyFill="1" applyBorder="1" applyAlignment="1">
      <alignment horizontal="center"/>
    </xf>
    <xf numFmtId="0" fontId="154" fillId="8" borderId="121" xfId="4" applyFont="1" applyFill="1" applyBorder="1" applyAlignment="1">
      <alignment horizontal="center"/>
    </xf>
    <xf numFmtId="0" fontId="47" fillId="8" borderId="171" xfId="6" applyFont="1" applyFill="1" applyBorder="1" applyAlignment="1">
      <alignment horizontal="center"/>
    </xf>
    <xf numFmtId="0" fontId="47" fillId="8" borderId="171" xfId="6" applyFont="1" applyFill="1" applyBorder="1" applyAlignment="1">
      <alignment horizontal="center" vertical="center"/>
    </xf>
    <xf numFmtId="3" fontId="47" fillId="8" borderId="171" xfId="4" applyNumberFormat="1" applyFont="1" applyFill="1" applyBorder="1" applyAlignment="1">
      <alignment horizontal="right"/>
    </xf>
    <xf numFmtId="166" fontId="47" fillId="8" borderId="171" xfId="6" applyNumberFormat="1" applyFont="1" applyFill="1" applyBorder="1"/>
    <xf numFmtId="199" fontId="47" fillId="8" borderId="215" xfId="45" applyNumberFormat="1" applyFont="1" applyFill="1" applyBorder="1" applyAlignment="1"/>
    <xf numFmtId="220" fontId="47" fillId="8" borderId="171" xfId="45" applyNumberFormat="1" applyFont="1" applyFill="1" applyBorder="1"/>
    <xf numFmtId="0" fontId="22" fillId="8" borderId="172" xfId="6" applyFont="1" applyFill="1" applyBorder="1" applyAlignment="1">
      <alignment horizontal="centerContinuous" vertical="center"/>
    </xf>
    <xf numFmtId="0" fontId="23" fillId="8" borderId="215" xfId="6" applyFont="1" applyFill="1" applyBorder="1" applyAlignment="1">
      <alignment horizontal="centerContinuous" vertical="center"/>
    </xf>
    <xf numFmtId="0" fontId="22" fillId="8" borderId="174" xfId="6" applyFont="1" applyFill="1" applyBorder="1" applyAlignment="1">
      <alignment horizontal="centerContinuous" vertical="center"/>
    </xf>
    <xf numFmtId="0" fontId="23" fillId="8" borderId="213" xfId="6" applyFont="1" applyFill="1" applyBorder="1" applyAlignment="1">
      <alignment horizontal="centerContinuous" vertical="center"/>
    </xf>
    <xf numFmtId="0" fontId="5" fillId="17" borderId="174" xfId="6" applyFill="1" applyBorder="1" applyAlignment="1">
      <alignment horizontal="centerContinuous"/>
    </xf>
    <xf numFmtId="0" fontId="5" fillId="17" borderId="173" xfId="6" applyFill="1" applyBorder="1" applyAlignment="1">
      <alignment horizontal="centerContinuous"/>
    </xf>
    <xf numFmtId="0" fontId="5" fillId="17" borderId="213" xfId="6" applyFill="1" applyBorder="1" applyAlignment="1">
      <alignment horizontal="centerContinuous"/>
    </xf>
    <xf numFmtId="0" fontId="6" fillId="4" borderId="0" xfId="7" applyFill="1" applyAlignment="1">
      <alignment vertical="center"/>
    </xf>
    <xf numFmtId="0" fontId="7" fillId="4" borderId="0" xfId="2" applyFill="1" applyAlignment="1" applyProtection="1">
      <alignment vertical="center"/>
    </xf>
    <xf numFmtId="193" fontId="12" fillId="4" borderId="43" xfId="33" applyNumberFormat="1" applyFont="1" applyFill="1" applyBorder="1" applyAlignment="1">
      <alignment horizontal="right" vertical="center" indent="1"/>
    </xf>
    <xf numFmtId="199" fontId="6" fillId="6" borderId="171" xfId="7" applyNumberFormat="1" applyFill="1" applyBorder="1" applyAlignment="1">
      <alignment vertical="center"/>
    </xf>
    <xf numFmtId="220" fontId="5" fillId="6" borderId="176" xfId="51" applyNumberFormat="1" applyFont="1" applyFill="1" applyBorder="1"/>
    <xf numFmtId="0" fontId="21" fillId="4" borderId="0" xfId="6" applyFont="1" applyFill="1" applyAlignment="1">
      <alignment horizontal="right" indent="1"/>
    </xf>
    <xf numFmtId="2" fontId="21" fillId="4" borderId="0" xfId="6" applyNumberFormat="1" applyFont="1" applyFill="1" applyAlignment="1">
      <alignment horizontal="center"/>
    </xf>
    <xf numFmtId="219" fontId="21" fillId="4" borderId="0" xfId="44" applyNumberFormat="1" applyFont="1" applyFill="1" applyAlignment="1">
      <alignment horizontal="left"/>
    </xf>
    <xf numFmtId="3" fontId="21" fillId="4" borderId="0" xfId="44" applyNumberFormat="1" applyFont="1" applyFill="1" applyAlignment="1">
      <alignment horizontal="center"/>
    </xf>
    <xf numFmtId="220" fontId="21" fillId="4" borderId="0" xfId="44" applyNumberFormat="1" applyFont="1" applyFill="1"/>
    <xf numFmtId="0" fontId="0" fillId="4" borderId="0" xfId="0" applyFill="1" applyAlignment="1">
      <alignment horizontal="left" vertical="center" indent="1"/>
    </xf>
    <xf numFmtId="0" fontId="22" fillId="8" borderId="174" xfId="7" applyFont="1" applyFill="1" applyBorder="1" applyAlignment="1">
      <alignment horizontal="centerContinuous" vertical="center"/>
    </xf>
    <xf numFmtId="0" fontId="23" fillId="8" borderId="213" xfId="7" applyFont="1" applyFill="1" applyBorder="1" applyAlignment="1">
      <alignment horizontal="centerContinuous" vertical="center"/>
    </xf>
    <xf numFmtId="0" fontId="23" fillId="8" borderId="173" xfId="7" applyFont="1" applyFill="1" applyBorder="1" applyAlignment="1">
      <alignment horizontal="centerContinuous" vertical="center"/>
    </xf>
    <xf numFmtId="0" fontId="155" fillId="19" borderId="174" xfId="7" applyFont="1" applyFill="1" applyBorder="1" applyAlignment="1">
      <alignment horizontal="centerContinuous"/>
    </xf>
    <xf numFmtId="0" fontId="155" fillId="19" borderId="173" xfId="7" applyFont="1" applyFill="1" applyBorder="1" applyAlignment="1">
      <alignment horizontal="centerContinuous"/>
    </xf>
    <xf numFmtId="0" fontId="155" fillId="19" borderId="213" xfId="7" applyFont="1" applyFill="1" applyBorder="1" applyAlignment="1">
      <alignment horizontal="centerContinuous"/>
    </xf>
    <xf numFmtId="0" fontId="129" fillId="8" borderId="10" xfId="4" applyFont="1" applyFill="1" applyBorder="1" applyAlignment="1">
      <alignment horizontal="center"/>
    </xf>
    <xf numFmtId="0" fontId="129" fillId="8" borderId="122" xfId="4" applyFont="1" applyFill="1" applyBorder="1"/>
    <xf numFmtId="0" fontId="47" fillId="8" borderId="121" xfId="0" applyFont="1" applyFill="1" applyBorder="1" applyAlignment="1">
      <alignment horizontal="center" vertical="center"/>
    </xf>
    <xf numFmtId="0" fontId="13" fillId="8" borderId="10" xfId="4" applyFont="1" applyFill="1" applyBorder="1" applyAlignment="1">
      <alignment horizontal="center"/>
    </xf>
    <xf numFmtId="0" fontId="13" fillId="8" borderId="121" xfId="21" applyFont="1" applyFill="1" applyBorder="1"/>
    <xf numFmtId="0" fontId="6" fillId="4" borderId="0" xfId="4" applyFont="1" applyFill="1" applyAlignment="1">
      <alignment horizontal="center" vertical="center"/>
    </xf>
    <xf numFmtId="0" fontId="6" fillId="4" borderId="215" xfId="21" applyFont="1" applyFill="1" applyBorder="1"/>
    <xf numFmtId="0" fontId="6" fillId="4" borderId="246" xfId="21" applyFont="1" applyFill="1" applyBorder="1"/>
    <xf numFmtId="0" fontId="6" fillId="4" borderId="122" xfId="21" applyFont="1" applyFill="1" applyBorder="1"/>
    <xf numFmtId="0" fontId="6" fillId="4" borderId="154" xfId="21" applyFont="1" applyFill="1" applyBorder="1"/>
    <xf numFmtId="188" fontId="6" fillId="4" borderId="245" xfId="4" applyNumberFormat="1" applyFont="1" applyFill="1" applyBorder="1" applyAlignment="1">
      <alignment vertical="center"/>
    </xf>
    <xf numFmtId="0" fontId="6" fillId="4" borderId="121" xfId="4" applyFont="1" applyFill="1" applyBorder="1" applyAlignment="1">
      <alignment horizontal="center" vertical="center"/>
    </xf>
    <xf numFmtId="188" fontId="6" fillId="4" borderId="121" xfId="4" applyNumberFormat="1" applyFont="1" applyFill="1" applyBorder="1" applyAlignment="1">
      <alignment vertical="center"/>
    </xf>
    <xf numFmtId="0" fontId="6" fillId="4" borderId="171" xfId="4" applyFont="1" applyFill="1" applyBorder="1" applyAlignment="1">
      <alignment horizontal="center" vertical="center"/>
    </xf>
    <xf numFmtId="0" fontId="6" fillId="4" borderId="172" xfId="4" applyFont="1" applyFill="1" applyBorder="1"/>
    <xf numFmtId="0" fontId="6" fillId="4" borderId="175" xfId="4" applyFont="1" applyFill="1" applyBorder="1"/>
    <xf numFmtId="0" fontId="6" fillId="4" borderId="215" xfId="4" applyFont="1" applyFill="1" applyBorder="1"/>
    <xf numFmtId="0" fontId="6" fillId="4" borderId="245" xfId="4" applyFont="1" applyFill="1" applyBorder="1" applyAlignment="1">
      <alignment horizontal="center" vertical="center"/>
    </xf>
    <xf numFmtId="0" fontId="6" fillId="4" borderId="246" xfId="4" applyFont="1" applyFill="1" applyBorder="1"/>
    <xf numFmtId="0" fontId="6" fillId="4" borderId="153" xfId="4" applyFont="1" applyFill="1" applyBorder="1"/>
    <xf numFmtId="0" fontId="6" fillId="4" borderId="154" xfId="4" applyFont="1" applyFill="1" applyBorder="1"/>
    <xf numFmtId="0" fontId="6" fillId="4" borderId="0" xfId="4" applyFont="1" applyFill="1" applyAlignment="1">
      <alignment horizontal="right" vertical="center"/>
    </xf>
    <xf numFmtId="0" fontId="5" fillId="4" borderId="0" xfId="4" applyFont="1" applyFill="1" applyAlignment="1">
      <alignment horizontal="left" vertical="center" indent="1"/>
    </xf>
    <xf numFmtId="41" fontId="6" fillId="4" borderId="171" xfId="4" applyNumberFormat="1" applyFont="1" applyFill="1" applyBorder="1" applyAlignment="1">
      <alignment vertical="center"/>
    </xf>
    <xf numFmtId="41" fontId="6" fillId="4" borderId="245" xfId="4" applyNumberFormat="1" applyFont="1" applyFill="1" applyBorder="1" applyAlignment="1">
      <alignment vertical="center"/>
    </xf>
    <xf numFmtId="0" fontId="6" fillId="4" borderId="153" xfId="21" applyFont="1" applyFill="1" applyBorder="1"/>
    <xf numFmtId="0" fontId="6" fillId="4" borderId="175" xfId="21" applyFont="1" applyFill="1" applyBorder="1"/>
    <xf numFmtId="0" fontId="6" fillId="14" borderId="175" xfId="31" applyFont="1" applyFill="1" applyBorder="1" applyAlignment="1">
      <alignment horizontal="centerContinuous"/>
    </xf>
    <xf numFmtId="0" fontId="94" fillId="14" borderId="172" xfId="0" applyFont="1" applyFill="1" applyBorder="1" applyAlignment="1">
      <alignment horizontal="centerContinuous" vertical="center"/>
    </xf>
    <xf numFmtId="0" fontId="94" fillId="4" borderId="172" xfId="0" applyFont="1" applyFill="1" applyBorder="1" applyAlignment="1">
      <alignment horizontal="centerContinuous" vertical="center"/>
    </xf>
    <xf numFmtId="0" fontId="6" fillId="4" borderId="175" xfId="31" applyFont="1" applyFill="1" applyBorder="1" applyAlignment="1">
      <alignment horizontal="centerContinuous"/>
    </xf>
    <xf numFmtId="0" fontId="23" fillId="14" borderId="175" xfId="31" applyFont="1" applyFill="1" applyBorder="1" applyAlignment="1">
      <alignment horizontal="centerContinuous"/>
    </xf>
    <xf numFmtId="0" fontId="6" fillId="4" borderId="0" xfId="21" applyFont="1" applyFill="1" applyAlignment="1">
      <alignment horizontal="center"/>
    </xf>
    <xf numFmtId="0" fontId="157" fillId="0" borderId="176" xfId="26" applyFont="1" applyBorder="1" applyAlignment="1" applyProtection="1">
      <alignment horizontal="right" vertical="center" indent="1"/>
      <protection locked="0"/>
    </xf>
    <xf numFmtId="188" fontId="5" fillId="0" borderId="176" xfId="4" applyNumberFormat="1" applyFont="1" applyBorder="1" applyAlignment="1">
      <alignment vertical="center"/>
    </xf>
    <xf numFmtId="200" fontId="5" fillId="0" borderId="176" xfId="4" applyNumberFormat="1" applyFont="1" applyBorder="1" applyAlignment="1">
      <alignment vertical="center"/>
    </xf>
    <xf numFmtId="0" fontId="6" fillId="4" borderId="0" xfId="21" applyFont="1" applyFill="1" applyAlignment="1">
      <alignment horizontal="right"/>
    </xf>
    <xf numFmtId="184" fontId="6" fillId="4" borderId="40" xfId="21" applyNumberFormat="1" applyFont="1" applyFill="1" applyBorder="1" applyAlignment="1">
      <alignment horizontal="center" vertical="center"/>
    </xf>
    <xf numFmtId="185" fontId="6" fillId="0" borderId="52" xfId="21" applyNumberFormat="1" applyFont="1" applyBorder="1" applyAlignment="1" applyProtection="1">
      <alignment horizontal="center" vertical="center"/>
      <protection locked="0"/>
    </xf>
    <xf numFmtId="176" fontId="0" fillId="4" borderId="0" xfId="0" applyNumberFormat="1" applyFill="1" applyAlignment="1">
      <alignment horizontal="right" vertical="center"/>
    </xf>
    <xf numFmtId="179" fontId="0" fillId="4" borderId="0" xfId="0" applyNumberFormat="1" applyFill="1" applyAlignment="1">
      <alignment horizontal="right" vertical="center"/>
    </xf>
    <xf numFmtId="2" fontId="6" fillId="4" borderId="0" xfId="21" applyNumberFormat="1" applyFont="1" applyFill="1"/>
    <xf numFmtId="171" fontId="6" fillId="4" borderId="0" xfId="21" applyNumberFormat="1" applyFont="1" applyFill="1"/>
    <xf numFmtId="0" fontId="6" fillId="6" borderId="153" xfId="4" applyFont="1" applyFill="1" applyBorder="1" applyAlignment="1">
      <alignment vertical="center"/>
    </xf>
    <xf numFmtId="0" fontId="6" fillId="6" borderId="153" xfId="4" applyFont="1" applyFill="1" applyBorder="1"/>
    <xf numFmtId="0" fontId="6" fillId="6" borderId="154" xfId="4" applyFont="1" applyFill="1" applyBorder="1"/>
    <xf numFmtId="188" fontId="6" fillId="6" borderId="245" xfId="4" applyNumberFormat="1" applyFont="1" applyFill="1" applyBorder="1" applyAlignment="1">
      <alignment vertical="center"/>
    </xf>
    <xf numFmtId="40" fontId="27" fillId="4" borderId="176" xfId="9" applyNumberFormat="1" applyFont="1" applyFill="1" applyBorder="1" applyAlignment="1">
      <alignment vertical="center"/>
    </xf>
    <xf numFmtId="40" fontId="21" fillId="4" borderId="176" xfId="9" applyNumberFormat="1" applyFont="1" applyFill="1" applyBorder="1" applyAlignment="1" applyProtection="1">
      <alignment vertical="center"/>
    </xf>
    <xf numFmtId="170" fontId="27" fillId="4" borderId="176" xfId="9" applyNumberFormat="1" applyFont="1" applyFill="1" applyBorder="1" applyAlignment="1">
      <alignment vertical="center"/>
    </xf>
    <xf numFmtId="170" fontId="21" fillId="4" borderId="176" xfId="9" applyNumberFormat="1" applyFont="1" applyFill="1" applyBorder="1" applyAlignment="1" applyProtection="1">
      <alignment vertical="center"/>
    </xf>
    <xf numFmtId="40" fontId="27" fillId="4" borderId="171" xfId="9" applyNumberFormat="1" applyFont="1" applyFill="1" applyBorder="1" applyAlignment="1">
      <alignment vertical="center"/>
    </xf>
    <xf numFmtId="170" fontId="27" fillId="4" borderId="171" xfId="9" applyNumberFormat="1" applyFont="1" applyFill="1" applyBorder="1" applyAlignment="1">
      <alignment vertical="center"/>
    </xf>
    <xf numFmtId="166" fontId="21" fillId="4" borderId="176" xfId="8" applyNumberFormat="1" applyFont="1" applyFill="1" applyBorder="1" applyAlignment="1">
      <alignment vertical="center"/>
    </xf>
    <xf numFmtId="0" fontId="13" fillId="8" borderId="174" xfId="6" applyFont="1" applyFill="1" applyBorder="1" applyAlignment="1">
      <alignment horizontal="centerContinuous" vertical="center"/>
    </xf>
    <xf numFmtId="0" fontId="13" fillId="8" borderId="213" xfId="6" applyFont="1" applyFill="1" applyBorder="1" applyAlignment="1">
      <alignment horizontal="centerContinuous"/>
    </xf>
    <xf numFmtId="0" fontId="0" fillId="4" borderId="175" xfId="4" applyFont="1" applyFill="1" applyBorder="1"/>
    <xf numFmtId="0" fontId="5" fillId="8" borderId="175" xfId="6" applyFill="1" applyBorder="1"/>
    <xf numFmtId="0" fontId="6" fillId="4" borderId="171" xfId="21" applyFont="1" applyFill="1" applyBorder="1"/>
    <xf numFmtId="0" fontId="21" fillId="2" borderId="174" xfId="4" applyFont="1" applyFill="1" applyBorder="1" applyAlignment="1">
      <alignment horizontal="centerContinuous" vertical="center"/>
    </xf>
    <xf numFmtId="0" fontId="21" fillId="2" borderId="213" xfId="4" applyFont="1" applyFill="1" applyBorder="1" applyAlignment="1">
      <alignment horizontal="centerContinuous" vertical="center"/>
    </xf>
    <xf numFmtId="0" fontId="13" fillId="8" borderId="174" xfId="4" applyFont="1" applyFill="1" applyBorder="1"/>
    <xf numFmtId="0" fontId="47" fillId="8" borderId="174" xfId="0" applyFont="1" applyFill="1" applyBorder="1"/>
    <xf numFmtId="0" fontId="47" fillId="8" borderId="173" xfId="26" applyFont="1" applyFill="1" applyBorder="1" applyProtection="1">
      <protection hidden="1"/>
    </xf>
    <xf numFmtId="0" fontId="47" fillId="8" borderId="213" xfId="26" applyFont="1" applyFill="1" applyBorder="1" applyProtection="1">
      <protection hidden="1"/>
    </xf>
    <xf numFmtId="0" fontId="13" fillId="8" borderId="171" xfId="6" applyFont="1" applyFill="1" applyBorder="1" applyAlignment="1">
      <alignment horizontal="centerContinuous" vertical="center"/>
    </xf>
    <xf numFmtId="0" fontId="23" fillId="8" borderId="245" xfId="8" applyFont="1" applyFill="1" applyBorder="1" applyAlignment="1">
      <alignment horizontal="center" vertical="center"/>
    </xf>
    <xf numFmtId="0" fontId="0" fillId="2" borderId="176" xfId="0" applyFill="1" applyBorder="1" applyAlignment="1">
      <alignment vertical="center"/>
    </xf>
    <xf numFmtId="171" fontId="67" fillId="4" borderId="176" xfId="4" applyNumberFormat="1" applyFont="1" applyFill="1" applyBorder="1" applyAlignment="1">
      <alignment horizontal="center" vertical="center"/>
    </xf>
    <xf numFmtId="0" fontId="6" fillId="4" borderId="176" xfId="4" applyFont="1" applyFill="1" applyBorder="1" applyAlignment="1">
      <alignment vertical="center"/>
    </xf>
    <xf numFmtId="0" fontId="0" fillId="4" borderId="174" xfId="0" applyFill="1" applyBorder="1" applyAlignment="1">
      <alignment vertical="center"/>
    </xf>
    <xf numFmtId="0" fontId="44" fillId="4" borderId="173" xfId="26" applyFont="1" applyFill="1" applyBorder="1" applyAlignment="1" applyProtection="1">
      <alignment vertical="center"/>
      <protection hidden="1"/>
    </xf>
    <xf numFmtId="0" fontId="44" fillId="4" borderId="213" xfId="26" applyFont="1" applyFill="1" applyBorder="1" applyAlignment="1" applyProtection="1">
      <alignment vertical="center"/>
      <protection hidden="1"/>
    </xf>
    <xf numFmtId="166" fontId="21" fillId="4" borderId="176" xfId="4" applyNumberFormat="1" applyFont="1" applyFill="1" applyBorder="1" applyAlignment="1">
      <alignment horizontal="center" vertical="center"/>
    </xf>
    <xf numFmtId="41" fontId="21" fillId="2" borderId="176" xfId="0" applyNumberFormat="1" applyFont="1" applyFill="1" applyBorder="1" applyAlignment="1">
      <alignment vertical="center"/>
    </xf>
    <xf numFmtId="41" fontId="21" fillId="2" borderId="176" xfId="31" applyNumberFormat="1" applyFont="1" applyFill="1" applyBorder="1" applyAlignment="1">
      <alignment vertical="center"/>
    </xf>
    <xf numFmtId="0" fontId="6" fillId="4" borderId="174" xfId="26" applyFill="1" applyBorder="1" applyProtection="1">
      <protection hidden="1"/>
    </xf>
    <xf numFmtId="0" fontId="44" fillId="4" borderId="154" xfId="26" applyFont="1" applyFill="1" applyBorder="1" applyProtection="1">
      <protection hidden="1"/>
    </xf>
    <xf numFmtId="0" fontId="129" fillId="8" borderId="172" xfId="4" applyFont="1" applyFill="1" applyBorder="1" applyAlignment="1">
      <alignment horizontal="center"/>
    </xf>
    <xf numFmtId="0" fontId="0" fillId="2" borderId="245" xfId="0" applyFill="1" applyBorder="1" applyAlignment="1">
      <alignment vertical="center"/>
    </xf>
    <xf numFmtId="40" fontId="6" fillId="4" borderId="0" xfId="4" applyNumberFormat="1" applyFont="1" applyFill="1"/>
    <xf numFmtId="0" fontId="20" fillId="8" borderId="172" xfId="4" applyFont="1" applyFill="1" applyBorder="1" applyAlignment="1">
      <alignment horizontal="centerContinuous" vertical="center"/>
    </xf>
    <xf numFmtId="0" fontId="20" fillId="8" borderId="215" xfId="4" applyFont="1" applyFill="1" applyBorder="1" applyAlignment="1">
      <alignment horizontal="centerContinuous"/>
    </xf>
    <xf numFmtId="0" fontId="13" fillId="8" borderId="174" xfId="6" applyFont="1" applyFill="1" applyBorder="1" applyAlignment="1">
      <alignment horizontal="center" vertical="center"/>
    </xf>
    <xf numFmtId="0" fontId="47" fillId="8" borderId="176" xfId="0" applyFont="1" applyFill="1" applyBorder="1" applyAlignment="1">
      <alignment horizontal="center" vertical="center"/>
    </xf>
    <xf numFmtId="0" fontId="47" fillId="8" borderId="0" xfId="0" applyFont="1" applyFill="1"/>
    <xf numFmtId="166" fontId="6" fillId="4" borderId="176" xfId="4" applyNumberFormat="1" applyFont="1" applyFill="1" applyBorder="1" applyAlignment="1">
      <alignment horizontal="center" vertical="center"/>
    </xf>
    <xf numFmtId="166" fontId="67" fillId="4" borderId="176" xfId="4" applyNumberFormat="1" applyFont="1" applyFill="1" applyBorder="1" applyAlignment="1">
      <alignment horizontal="center" vertical="center"/>
    </xf>
    <xf numFmtId="0" fontId="0" fillId="4" borderId="176" xfId="0" applyFill="1" applyBorder="1" applyAlignment="1">
      <alignment horizontal="center" vertical="center"/>
    </xf>
    <xf numFmtId="0" fontId="44" fillId="4" borderId="176" xfId="26" applyFont="1" applyFill="1" applyBorder="1" applyAlignment="1" applyProtection="1">
      <alignment horizontal="center"/>
      <protection hidden="1"/>
    </xf>
    <xf numFmtId="189" fontId="44" fillId="4" borderId="173" xfId="26" applyNumberFormat="1" applyFont="1" applyFill="1" applyBorder="1" applyAlignment="1" applyProtection="1">
      <alignment horizontal="center" vertical="center"/>
      <protection hidden="1"/>
    </xf>
    <xf numFmtId="0" fontId="44" fillId="4" borderId="176" xfId="26" applyFont="1" applyFill="1" applyBorder="1" applyAlignment="1" applyProtection="1">
      <alignment horizontal="center" vertical="center"/>
      <protection hidden="1"/>
    </xf>
    <xf numFmtId="192" fontId="0" fillId="4" borderId="176" xfId="0" applyNumberFormat="1" applyFill="1" applyBorder="1" applyAlignment="1">
      <alignment horizontal="center" vertical="center"/>
    </xf>
    <xf numFmtId="171" fontId="0" fillId="4" borderId="176" xfId="0" applyNumberFormat="1" applyFill="1" applyBorder="1" applyAlignment="1">
      <alignment horizontal="center" vertical="center"/>
    </xf>
    <xf numFmtId="191" fontId="0" fillId="4" borderId="176" xfId="0" applyNumberFormat="1" applyFill="1" applyBorder="1" applyAlignment="1">
      <alignment horizontal="center" vertical="center"/>
    </xf>
    <xf numFmtId="165" fontId="21" fillId="4" borderId="176" xfId="4" applyNumberFormat="1" applyFont="1" applyFill="1" applyBorder="1" applyAlignment="1">
      <alignment horizontal="center"/>
    </xf>
    <xf numFmtId="0" fontId="24" fillId="8" borderId="151" xfId="4" applyFont="1" applyFill="1" applyBorder="1" applyAlignment="1">
      <alignment horizontal="center" vertical="center"/>
    </xf>
    <xf numFmtId="0" fontId="24" fillId="8" borderId="247" xfId="4" applyFont="1" applyFill="1" applyBorder="1" applyAlignment="1">
      <alignment horizontal="center" vertical="center"/>
    </xf>
    <xf numFmtId="0" fontId="24" fillId="8" borderId="152" xfId="4" applyFont="1" applyFill="1" applyBorder="1" applyAlignment="1">
      <alignment horizontal="center" vertical="center"/>
    </xf>
    <xf numFmtId="172" fontId="6" fillId="4" borderId="229" xfId="4" applyNumberFormat="1" applyFont="1" applyFill="1" applyBorder="1" applyAlignment="1">
      <alignment horizontal="center" vertical="center"/>
    </xf>
    <xf numFmtId="0" fontId="6" fillId="4" borderId="230" xfId="4" applyFont="1" applyFill="1" applyBorder="1" applyAlignment="1">
      <alignment horizontal="center" vertical="center"/>
    </xf>
    <xf numFmtId="0" fontId="6" fillId="4" borderId="231" xfId="4" applyFont="1" applyFill="1" applyBorder="1" applyAlignment="1">
      <alignment vertical="center"/>
    </xf>
    <xf numFmtId="189" fontId="44" fillId="4" borderId="176" xfId="26" applyNumberFormat="1" applyFont="1" applyFill="1" applyBorder="1" applyAlignment="1" applyProtection="1">
      <alignment horizontal="center" vertical="center"/>
      <protection hidden="1"/>
    </xf>
    <xf numFmtId="0" fontId="128" fillId="8" borderId="174" xfId="4" applyFont="1" applyFill="1" applyBorder="1"/>
    <xf numFmtId="0" fontId="47" fillId="8" borderId="213" xfId="4" applyFont="1" applyFill="1" applyBorder="1"/>
    <xf numFmtId="0" fontId="47" fillId="8" borderId="176" xfId="21" applyFont="1" applyFill="1" applyBorder="1"/>
    <xf numFmtId="0" fontId="0" fillId="4" borderId="174" xfId="0" applyFill="1" applyBorder="1"/>
    <xf numFmtId="0" fontId="44" fillId="4" borderId="173" xfId="26" applyFont="1" applyFill="1" applyBorder="1" applyProtection="1">
      <protection hidden="1"/>
    </xf>
    <xf numFmtId="0" fontId="44" fillId="4" borderId="213" xfId="26" applyFont="1" applyFill="1" applyBorder="1" applyProtection="1">
      <protection hidden="1"/>
    </xf>
    <xf numFmtId="0" fontId="6" fillId="4" borderId="176" xfId="21" applyFont="1" applyFill="1" applyBorder="1"/>
    <xf numFmtId="188" fontId="21" fillId="2" borderId="176" xfId="0" applyNumberFormat="1" applyFont="1" applyFill="1" applyBorder="1" applyAlignment="1">
      <alignment vertical="center"/>
    </xf>
    <xf numFmtId="188" fontId="21" fillId="2" borderId="176" xfId="4" applyNumberFormat="1" applyFont="1" applyFill="1" applyBorder="1"/>
    <xf numFmtId="188" fontId="21" fillId="2" borderId="176" xfId="31" applyNumberFormat="1" applyFont="1" applyFill="1" applyBorder="1" applyAlignment="1">
      <alignment vertical="center"/>
    </xf>
    <xf numFmtId="0" fontId="13" fillId="8" borderId="171" xfId="21" applyFont="1" applyFill="1" applyBorder="1"/>
    <xf numFmtId="172" fontId="6" fillId="4" borderId="214" xfId="4" applyNumberFormat="1" applyFont="1" applyFill="1" applyBorder="1" applyAlignment="1">
      <alignment horizontal="center" vertical="center"/>
    </xf>
    <xf numFmtId="0" fontId="5" fillId="4" borderId="27" xfId="6" applyFill="1" applyBorder="1"/>
    <xf numFmtId="0" fontId="96" fillId="14" borderId="173" xfId="0" applyFont="1" applyFill="1" applyBorder="1" applyAlignment="1">
      <alignment horizontal="centerContinuous"/>
    </xf>
    <xf numFmtId="0" fontId="13" fillId="8" borderId="229" xfId="4" applyFont="1" applyFill="1" applyBorder="1" applyAlignment="1">
      <alignment horizontal="center" vertical="center" wrapText="1"/>
    </xf>
    <xf numFmtId="0" fontId="13" fillId="8" borderId="230" xfId="4" applyFont="1" applyFill="1" applyBorder="1" applyAlignment="1">
      <alignment horizontal="center" vertical="center" wrapText="1"/>
    </xf>
    <xf numFmtId="0" fontId="13" fillId="8" borderId="231" xfId="4" applyFont="1" applyFill="1" applyBorder="1" applyAlignment="1">
      <alignment horizontal="center" vertical="center" wrapText="1"/>
    </xf>
    <xf numFmtId="0" fontId="13" fillId="8" borderId="32" xfId="4" applyFont="1" applyFill="1" applyBorder="1" applyAlignment="1">
      <alignment horizontal="center" vertical="center" wrapText="1"/>
    </xf>
    <xf numFmtId="0" fontId="13" fillId="8" borderId="0" xfId="4" applyFont="1" applyFill="1" applyAlignment="1">
      <alignment horizontal="center" vertical="center" wrapText="1"/>
    </xf>
    <xf numFmtId="0" fontId="13" fillId="8" borderId="34" xfId="4" applyFont="1" applyFill="1" applyBorder="1" applyAlignment="1">
      <alignment horizontal="center" vertical="center" wrapText="1"/>
    </xf>
    <xf numFmtId="0" fontId="13" fillId="8" borderId="33" xfId="4" applyFont="1" applyFill="1" applyBorder="1" applyAlignment="1">
      <alignment horizontal="center" vertical="center" wrapText="1"/>
    </xf>
    <xf numFmtId="0" fontId="0" fillId="2" borderId="176" xfId="0" applyFill="1" applyBorder="1" applyAlignment="1">
      <alignment horizontal="center" vertical="center"/>
    </xf>
    <xf numFmtId="0" fontId="5" fillId="4" borderId="173" xfId="6" applyFill="1" applyBorder="1"/>
    <xf numFmtId="223" fontId="22" fillId="8" borderId="176" xfId="44" applyNumberFormat="1" applyFont="1" applyFill="1" applyBorder="1" applyAlignment="1">
      <alignment horizontal="center" vertical="center"/>
    </xf>
    <xf numFmtId="0" fontId="22" fillId="8" borderId="176" xfId="44" applyFont="1" applyFill="1" applyBorder="1" applyAlignment="1">
      <alignment horizontal="center" vertical="center"/>
    </xf>
    <xf numFmtId="0" fontId="22" fillId="8" borderId="174" xfId="52" applyFont="1" applyFill="1" applyBorder="1" applyAlignment="1">
      <alignment horizontal="centerContinuous"/>
    </xf>
    <xf numFmtId="0" fontId="5" fillId="8" borderId="173" xfId="52" applyFill="1" applyBorder="1" applyAlignment="1">
      <alignment horizontal="centerContinuous"/>
    </xf>
    <xf numFmtId="0" fontId="5" fillId="8" borderId="213" xfId="52" applyFill="1" applyBorder="1" applyAlignment="1">
      <alignment horizontal="centerContinuous"/>
    </xf>
    <xf numFmtId="223" fontId="19" fillId="8" borderId="174" xfId="44" applyNumberFormat="1" applyFont="1" applyFill="1" applyBorder="1" applyAlignment="1">
      <alignment horizontal="centerContinuous" vertical="center"/>
    </xf>
    <xf numFmtId="223" fontId="19" fillId="8" borderId="213" xfId="44" applyNumberFormat="1" applyFont="1" applyFill="1" applyBorder="1" applyAlignment="1">
      <alignment horizontal="centerContinuous" vertical="center"/>
    </xf>
    <xf numFmtId="0" fontId="22" fillId="8" borderId="174" xfId="52" applyFont="1" applyFill="1" applyBorder="1" applyAlignment="1">
      <alignment horizontal="centerContinuous" vertical="center"/>
    </xf>
    <xf numFmtId="0" fontId="23" fillId="8" borderId="213" xfId="52" applyFont="1" applyFill="1" applyBorder="1" applyAlignment="1">
      <alignment horizontal="centerContinuous" vertical="center"/>
    </xf>
    <xf numFmtId="0" fontId="5" fillId="4" borderId="175" xfId="52" applyFill="1" applyBorder="1"/>
    <xf numFmtId="0" fontId="20" fillId="8" borderId="173" xfId="4" applyFont="1" applyFill="1" applyBorder="1" applyAlignment="1">
      <alignment horizontal="centerContinuous"/>
    </xf>
    <xf numFmtId="0" fontId="24" fillId="8" borderId="122" xfId="4" applyFont="1" applyFill="1" applyBorder="1" applyAlignment="1">
      <alignment horizontal="center" vertical="center"/>
    </xf>
    <xf numFmtId="0" fontId="24" fillId="8" borderId="37" xfId="4" applyFont="1" applyFill="1" applyBorder="1" applyAlignment="1">
      <alignment horizontal="center" vertical="center"/>
    </xf>
    <xf numFmtId="0" fontId="13" fillId="8" borderId="65" xfId="4" applyFont="1" applyFill="1" applyBorder="1" applyAlignment="1">
      <alignment horizontal="center" vertical="center" wrapText="1"/>
    </xf>
    <xf numFmtId="0" fontId="13" fillId="8" borderId="67" xfId="4" applyFont="1" applyFill="1" applyBorder="1" applyAlignment="1">
      <alignment horizontal="center" vertical="center" wrapText="1"/>
    </xf>
    <xf numFmtId="0" fontId="6" fillId="4" borderId="13" xfId="52" applyFont="1" applyFill="1" applyBorder="1"/>
    <xf numFmtId="0" fontId="13" fillId="8" borderId="8" xfId="4" applyFont="1" applyFill="1" applyBorder="1" applyAlignment="1">
      <alignment horizontal="center" vertical="center" wrapText="1"/>
    </xf>
    <xf numFmtId="0" fontId="13" fillId="8" borderId="12" xfId="4" applyFont="1" applyFill="1" applyBorder="1" applyAlignment="1">
      <alignment horizontal="center" vertical="center" wrapText="1"/>
    </xf>
    <xf numFmtId="0" fontId="13" fillId="8" borderId="37" xfId="4" applyFont="1" applyFill="1" applyBorder="1" applyAlignment="1">
      <alignment horizontal="center" vertical="center" wrapText="1"/>
    </xf>
    <xf numFmtId="0" fontId="47" fillId="8" borderId="8" xfId="52" applyFont="1" applyFill="1" applyBorder="1"/>
    <xf numFmtId="0" fontId="47" fillId="8" borderId="11" xfId="52" applyFont="1" applyFill="1" applyBorder="1"/>
    <xf numFmtId="0" fontId="47" fillId="8" borderId="9" xfId="52" applyFont="1" applyFill="1" applyBorder="1"/>
    <xf numFmtId="0" fontId="128" fillId="8" borderId="9" xfId="4" applyFont="1" applyFill="1" applyBorder="1" applyAlignment="1">
      <alignment horizontal="center" vertical="center"/>
    </xf>
    <xf numFmtId="0" fontId="47" fillId="8" borderId="10" xfId="4" applyFont="1" applyFill="1" applyBorder="1" applyAlignment="1">
      <alignment horizontal="center" vertical="center"/>
    </xf>
    <xf numFmtId="0" fontId="128" fillId="8" borderId="10" xfId="4" applyFont="1" applyFill="1" applyBorder="1" applyAlignment="1">
      <alignment horizontal="center" vertical="center"/>
    </xf>
    <xf numFmtId="0" fontId="47" fillId="8" borderId="122" xfId="52" applyFont="1" applyFill="1" applyBorder="1"/>
    <xf numFmtId="0" fontId="47" fillId="8" borderId="153" xfId="52" applyFont="1" applyFill="1" applyBorder="1"/>
    <xf numFmtId="0" fontId="47" fillId="8" borderId="154" xfId="52" applyFont="1" applyFill="1" applyBorder="1"/>
    <xf numFmtId="2" fontId="47" fillId="8" borderId="176" xfId="4" applyNumberFormat="1" applyFont="1" applyFill="1" applyBorder="1" applyAlignment="1">
      <alignment horizontal="center" vertical="center"/>
    </xf>
    <xf numFmtId="183" fontId="47" fillId="8" borderId="176" xfId="4" applyNumberFormat="1" applyFont="1" applyFill="1" applyBorder="1" applyAlignment="1">
      <alignment vertical="center"/>
    </xf>
    <xf numFmtId="171" fontId="128" fillId="8" borderId="176" xfId="4" applyNumberFormat="1" applyFont="1" applyFill="1" applyBorder="1" applyAlignment="1">
      <alignment horizontal="center" vertical="center"/>
    </xf>
    <xf numFmtId="0" fontId="47" fillId="8" borderId="121" xfId="52" applyFont="1" applyFill="1" applyBorder="1"/>
    <xf numFmtId="0" fontId="128" fillId="8" borderId="225" xfId="4" applyFont="1" applyFill="1" applyBorder="1" applyAlignment="1">
      <alignment horizontal="center" vertical="center"/>
    </xf>
    <xf numFmtId="0" fontId="47" fillId="8" borderId="176" xfId="52" applyFont="1" applyFill="1" applyBorder="1"/>
    <xf numFmtId="0" fontId="128" fillId="8" borderId="224" xfId="4" applyFont="1" applyFill="1" applyBorder="1" applyAlignment="1">
      <alignment horizontal="center" vertical="center"/>
    </xf>
    <xf numFmtId="0" fontId="20" fillId="8" borderId="10" xfId="4" applyFont="1" applyFill="1" applyBorder="1" applyAlignment="1">
      <alignment horizontal="center" vertical="center"/>
    </xf>
    <xf numFmtId="0" fontId="47" fillId="8" borderId="11" xfId="4" applyFont="1" applyFill="1" applyBorder="1"/>
    <xf numFmtId="0" fontId="47" fillId="8" borderId="153" xfId="4" applyFont="1" applyFill="1" applyBorder="1" applyAlignment="1">
      <alignment horizontal="center" vertical="center"/>
    </xf>
    <xf numFmtId="224" fontId="47" fillId="8" borderId="176" xfId="4" applyNumberFormat="1" applyFont="1" applyFill="1" applyBorder="1" applyAlignment="1">
      <alignment horizontal="center" vertical="center"/>
    </xf>
    <xf numFmtId="185" fontId="47" fillId="8" borderId="176" xfId="4" applyNumberFormat="1" applyFont="1" applyFill="1" applyBorder="1" applyAlignment="1">
      <alignment vertical="center"/>
    </xf>
    <xf numFmtId="2" fontId="128" fillId="8" borderId="176" xfId="4" applyNumberFormat="1" applyFont="1" applyFill="1" applyBorder="1" applyAlignment="1">
      <alignment horizontal="center" vertical="center"/>
    </xf>
    <xf numFmtId="0" fontId="47" fillId="8" borderId="176" xfId="4" applyFont="1" applyFill="1" applyBorder="1"/>
    <xf numFmtId="166" fontId="128" fillId="8" borderId="176" xfId="4" applyNumberFormat="1" applyFont="1" applyFill="1" applyBorder="1" applyAlignment="1">
      <alignment horizontal="center"/>
    </xf>
    <xf numFmtId="0" fontId="13" fillId="8" borderId="176" xfId="52" applyFont="1" applyFill="1" applyBorder="1"/>
    <xf numFmtId="0" fontId="153" fillId="8" borderId="10" xfId="4" applyFont="1" applyFill="1" applyBorder="1" applyAlignment="1">
      <alignment horizontal="center"/>
    </xf>
    <xf numFmtId="172" fontId="6" fillId="4" borderId="33" xfId="4" applyNumberFormat="1" applyFont="1" applyFill="1" applyBorder="1"/>
    <xf numFmtId="3" fontId="61" fillId="4" borderId="0" xfId="57" applyNumberFormat="1" applyFont="1" applyFill="1" applyAlignment="1">
      <alignment horizontal="right" vertical="center" indent="1"/>
    </xf>
    <xf numFmtId="3" fontId="63" fillId="0" borderId="249" xfId="57" applyNumberFormat="1" applyFont="1" applyBorder="1" applyAlignment="1" applyProtection="1">
      <alignment horizontal="right" vertical="center" indent="1"/>
      <protection locked="0"/>
    </xf>
    <xf numFmtId="235" fontId="63" fillId="0" borderId="249" xfId="57" applyNumberFormat="1" applyFont="1" applyBorder="1" applyAlignment="1" applyProtection="1">
      <alignment horizontal="center" vertical="center"/>
      <protection locked="0"/>
    </xf>
    <xf numFmtId="0" fontId="63" fillId="0" borderId="249" xfId="57" applyFont="1" applyBorder="1" applyAlignment="1" applyProtection="1">
      <alignment horizontal="center" vertical="center"/>
      <protection locked="0"/>
    </xf>
    <xf numFmtId="3" fontId="61" fillId="4" borderId="249" xfId="57" applyNumberFormat="1" applyFont="1" applyFill="1" applyBorder="1" applyAlignment="1">
      <alignment horizontal="center" vertical="center"/>
    </xf>
    <xf numFmtId="236" fontId="61" fillId="4" borderId="250" xfId="57" applyNumberFormat="1" applyFont="1" applyFill="1" applyBorder="1" applyAlignment="1">
      <alignment horizontal="center" vertical="center"/>
    </xf>
    <xf numFmtId="3" fontId="63" fillId="0" borderId="252" xfId="57" applyNumberFormat="1" applyFont="1" applyBorder="1" applyAlignment="1" applyProtection="1">
      <alignment horizontal="right" vertical="center" indent="1"/>
      <protection locked="0"/>
    </xf>
    <xf numFmtId="235" fontId="63" fillId="0" borderId="252" xfId="57" applyNumberFormat="1" applyFont="1" applyBorder="1" applyAlignment="1" applyProtection="1">
      <alignment horizontal="center" vertical="center"/>
      <protection locked="0"/>
    </xf>
    <xf numFmtId="0" fontId="63" fillId="0" borderId="252" xfId="57" applyFont="1" applyBorder="1" applyAlignment="1" applyProtection="1">
      <alignment horizontal="center" vertical="center"/>
      <protection locked="0"/>
    </xf>
    <xf numFmtId="3" fontId="63" fillId="4" borderId="252" xfId="57" applyNumberFormat="1" applyFont="1" applyFill="1" applyBorder="1" applyAlignment="1">
      <alignment horizontal="right" vertical="center" indent="1"/>
    </xf>
    <xf numFmtId="3" fontId="61" fillId="4" borderId="252" xfId="57" applyNumberFormat="1" applyFont="1" applyFill="1" applyBorder="1" applyAlignment="1">
      <alignment horizontal="center" vertical="center"/>
    </xf>
    <xf numFmtId="236" fontId="61" fillId="4" borderId="253" xfId="57" applyNumberFormat="1" applyFont="1" applyFill="1" applyBorder="1" applyAlignment="1">
      <alignment horizontal="center" vertical="center"/>
    </xf>
    <xf numFmtId="237" fontId="61" fillId="4" borderId="0" xfId="57" applyNumberFormat="1" applyFont="1" applyFill="1" applyAlignment="1">
      <alignment vertical="center"/>
    </xf>
    <xf numFmtId="239" fontId="61" fillId="4" borderId="0" xfId="57" applyNumberFormat="1" applyFont="1" applyFill="1" applyAlignment="1">
      <alignment horizontal="right" vertical="center" indent="1"/>
    </xf>
    <xf numFmtId="0" fontId="5" fillId="4" borderId="246" xfId="21" applyFont="1" applyFill="1" applyBorder="1"/>
    <xf numFmtId="0" fontId="5" fillId="4" borderId="246" xfId="21" applyFont="1" applyFill="1" applyBorder="1" applyAlignment="1">
      <alignment vertical="center"/>
    </xf>
    <xf numFmtId="0" fontId="5" fillId="4" borderId="13" xfId="21" applyFont="1" applyFill="1" applyBorder="1" applyAlignment="1">
      <alignment vertical="center"/>
    </xf>
    <xf numFmtId="0" fontId="5" fillId="4" borderId="0" xfId="21" applyFont="1" applyFill="1"/>
    <xf numFmtId="0" fontId="5" fillId="2" borderId="176" xfId="0" applyFont="1" applyFill="1" applyBorder="1" applyAlignment="1">
      <alignment horizontal="center" vertical="center"/>
    </xf>
    <xf numFmtId="171" fontId="5" fillId="4" borderId="176" xfId="4" applyNumberFormat="1" applyFont="1" applyFill="1" applyBorder="1" applyAlignment="1">
      <alignment horizontal="center" vertical="center"/>
    </xf>
    <xf numFmtId="185" fontId="5" fillId="4" borderId="176" xfId="4" applyNumberFormat="1" applyFont="1" applyFill="1" applyBorder="1" applyAlignment="1">
      <alignment vertical="center"/>
    </xf>
    <xf numFmtId="0" fontId="12" fillId="4" borderId="176" xfId="4" applyFont="1" applyFill="1" applyBorder="1" applyAlignment="1">
      <alignment horizontal="center" vertical="center"/>
    </xf>
    <xf numFmtId="2" fontId="12" fillId="4" borderId="176" xfId="4" applyNumberFormat="1" applyFont="1" applyFill="1" applyBorder="1" applyAlignment="1">
      <alignment horizontal="center" vertical="center"/>
    </xf>
    <xf numFmtId="0" fontId="5" fillId="4" borderId="176" xfId="4" applyFont="1" applyFill="1" applyBorder="1" applyAlignment="1">
      <alignment vertical="center"/>
    </xf>
    <xf numFmtId="0" fontId="5" fillId="4" borderId="174" xfId="0" applyFont="1" applyFill="1" applyBorder="1" applyAlignment="1">
      <alignment vertical="center"/>
    </xf>
    <xf numFmtId="0" fontId="157" fillId="4" borderId="173" xfId="26" applyFont="1" applyFill="1" applyBorder="1" applyAlignment="1" applyProtection="1">
      <alignment vertical="center"/>
      <protection hidden="1"/>
    </xf>
    <xf numFmtId="0" fontId="157" fillId="4" borderId="213" xfId="26" applyFont="1" applyFill="1" applyBorder="1" applyAlignment="1" applyProtection="1">
      <alignment vertical="center"/>
      <protection hidden="1"/>
    </xf>
    <xf numFmtId="0" fontId="5" fillId="4" borderId="176" xfId="21" applyFont="1" applyFill="1" applyBorder="1" applyAlignment="1">
      <alignment vertical="center"/>
    </xf>
    <xf numFmtId="166" fontId="12" fillId="4" borderId="176" xfId="4" applyNumberFormat="1" applyFont="1" applyFill="1" applyBorder="1" applyAlignment="1">
      <alignment horizontal="center" vertical="center"/>
    </xf>
    <xf numFmtId="0" fontId="5" fillId="4" borderId="13" xfId="21" applyFont="1" applyFill="1" applyBorder="1"/>
    <xf numFmtId="0" fontId="47" fillId="8" borderId="32" xfId="4" applyFont="1" applyFill="1" applyBorder="1" applyAlignment="1">
      <alignment horizontal="center" vertical="center" wrapText="1"/>
    </xf>
    <xf numFmtId="0" fontId="47" fillId="8" borderId="0" xfId="4" applyFont="1" applyFill="1" applyAlignment="1">
      <alignment horizontal="center" vertical="center" wrapText="1"/>
    </xf>
    <xf numFmtId="0" fontId="47" fillId="8" borderId="34" xfId="4" applyFont="1" applyFill="1" applyBorder="1" applyAlignment="1">
      <alignment horizontal="center" vertical="center" wrapText="1"/>
    </xf>
    <xf numFmtId="0" fontId="47" fillId="8" borderId="33" xfId="4" applyFont="1" applyFill="1" applyBorder="1" applyAlignment="1">
      <alignment horizontal="center" vertical="center" wrapText="1"/>
    </xf>
    <xf numFmtId="0" fontId="5" fillId="8" borderId="112" xfId="6" applyFill="1" applyBorder="1"/>
    <xf numFmtId="0" fontId="6" fillId="14" borderId="173" xfId="31" applyFont="1" applyFill="1" applyBorder="1" applyAlignment="1">
      <alignment horizontal="centerContinuous"/>
    </xf>
    <xf numFmtId="0" fontId="6" fillId="6" borderId="174" xfId="21" applyFont="1" applyFill="1" applyBorder="1"/>
    <xf numFmtId="0" fontId="6" fillId="6" borderId="173" xfId="21" applyFont="1" applyFill="1" applyBorder="1"/>
    <xf numFmtId="0" fontId="6" fillId="6" borderId="213" xfId="21" applyFont="1" applyFill="1" applyBorder="1"/>
    <xf numFmtId="0" fontId="5" fillId="4" borderId="246" xfId="57" applyFill="1" applyBorder="1"/>
    <xf numFmtId="0" fontId="5" fillId="4" borderId="153" xfId="57" applyFill="1" applyBorder="1" applyAlignment="1">
      <alignment horizontal="centerContinuous"/>
    </xf>
    <xf numFmtId="0" fontId="5" fillId="4" borderId="0" xfId="57" applyFill="1" applyAlignment="1">
      <alignment horizontal="right"/>
    </xf>
    <xf numFmtId="3" fontId="5" fillId="4" borderId="0" xfId="57" applyNumberFormat="1" applyFill="1"/>
    <xf numFmtId="0" fontId="6" fillId="4" borderId="215" xfId="31" applyFont="1" applyFill="1" applyBorder="1" applyAlignment="1">
      <alignment horizontal="centerContinuous"/>
    </xf>
    <xf numFmtId="0" fontId="6" fillId="4" borderId="171" xfId="31" applyFont="1" applyFill="1" applyBorder="1" applyAlignment="1">
      <alignment horizontal="centerContinuous"/>
    </xf>
    <xf numFmtId="0" fontId="6" fillId="4" borderId="13" xfId="4" applyFont="1" applyFill="1" applyBorder="1" applyAlignment="1">
      <alignment horizontal="center" vertical="center"/>
    </xf>
    <xf numFmtId="0" fontId="6" fillId="4" borderId="245" xfId="4" applyFont="1" applyFill="1" applyBorder="1"/>
    <xf numFmtId="0" fontId="6" fillId="4" borderId="245" xfId="21" applyFont="1" applyFill="1" applyBorder="1"/>
    <xf numFmtId="0" fontId="5" fillId="4" borderId="245" xfId="21" applyFont="1" applyFill="1" applyBorder="1"/>
    <xf numFmtId="0" fontId="5" fillId="4" borderId="245" xfId="57" applyFill="1" applyBorder="1"/>
    <xf numFmtId="0" fontId="5" fillId="4" borderId="121" xfId="57" applyFill="1" applyBorder="1" applyAlignment="1">
      <alignment horizontal="center"/>
    </xf>
    <xf numFmtId="240" fontId="5" fillId="4" borderId="0" xfId="57" applyNumberFormat="1" applyFill="1" applyAlignment="1">
      <alignment horizontal="centerContinuous"/>
    </xf>
    <xf numFmtId="0" fontId="5" fillId="4" borderId="0" xfId="57" applyFill="1" applyAlignment="1">
      <alignment horizontal="centerContinuous"/>
    </xf>
    <xf numFmtId="0" fontId="5" fillId="4" borderId="173" xfId="57" applyFill="1" applyBorder="1" applyAlignment="1">
      <alignment horizontal="centerContinuous" vertical="center"/>
    </xf>
    <xf numFmtId="0" fontId="5" fillId="4" borderId="213" xfId="57" applyFill="1" applyBorder="1" applyAlignment="1">
      <alignment horizontal="centerContinuous" vertical="center"/>
    </xf>
    <xf numFmtId="0" fontId="6" fillId="4" borderId="175" xfId="4" applyFont="1" applyFill="1" applyBorder="1" applyAlignment="1">
      <alignment horizontal="center" vertical="center"/>
    </xf>
    <xf numFmtId="0" fontId="6" fillId="4" borderId="153" xfId="4" applyFont="1" applyFill="1" applyBorder="1" applyAlignment="1">
      <alignment horizontal="center" vertical="center"/>
    </xf>
    <xf numFmtId="0" fontId="6" fillId="6" borderId="173" xfId="21" applyFont="1" applyFill="1" applyBorder="1" applyAlignment="1">
      <alignment horizontal="center" vertical="center"/>
    </xf>
    <xf numFmtId="0" fontId="21" fillId="6" borderId="245" xfId="4" applyFont="1" applyFill="1" applyBorder="1" applyAlignment="1">
      <alignment horizontal="center" vertical="center"/>
    </xf>
    <xf numFmtId="3" fontId="21" fillId="6" borderId="153" xfId="4" applyNumberFormat="1" applyFont="1" applyFill="1" applyBorder="1" applyAlignment="1">
      <alignment vertical="center"/>
    </xf>
    <xf numFmtId="0" fontId="21" fillId="6" borderId="153" xfId="4" applyFont="1" applyFill="1" applyBorder="1"/>
    <xf numFmtId="0" fontId="21" fillId="6" borderId="154" xfId="4" applyFont="1" applyFill="1" applyBorder="1"/>
    <xf numFmtId="0" fontId="21" fillId="6" borderId="174" xfId="4" applyFont="1" applyFill="1" applyBorder="1" applyAlignment="1">
      <alignment vertical="center"/>
    </xf>
    <xf numFmtId="0" fontId="6" fillId="4" borderId="172" xfId="4" applyFont="1" applyFill="1" applyBorder="1" applyAlignment="1">
      <alignment vertical="center"/>
    </xf>
    <xf numFmtId="0" fontId="6" fillId="4" borderId="175" xfId="4" applyFont="1" applyFill="1" applyBorder="1" applyAlignment="1">
      <alignment vertical="center"/>
    </xf>
    <xf numFmtId="0" fontId="6" fillId="4" borderId="246" xfId="4" applyFont="1" applyFill="1" applyBorder="1" applyAlignment="1">
      <alignment vertical="center"/>
    </xf>
    <xf numFmtId="0" fontId="6" fillId="4" borderId="122" xfId="4" applyFont="1" applyFill="1" applyBorder="1" applyAlignment="1">
      <alignment vertical="center"/>
    </xf>
    <xf numFmtId="0" fontId="6" fillId="4" borderId="153" xfId="4" applyFont="1" applyFill="1" applyBorder="1" applyAlignment="1">
      <alignment vertical="center"/>
    </xf>
    <xf numFmtId="0" fontId="6" fillId="4" borderId="171" xfId="4" applyFont="1" applyFill="1" applyBorder="1" applyAlignment="1">
      <alignment vertical="center"/>
    </xf>
    <xf numFmtId="0" fontId="6" fillId="4" borderId="245" xfId="4" applyFont="1" applyFill="1" applyBorder="1" applyAlignment="1">
      <alignment vertical="center"/>
    </xf>
    <xf numFmtId="0" fontId="6" fillId="4" borderId="121" xfId="4" applyFont="1" applyFill="1" applyBorder="1" applyAlignment="1">
      <alignment vertical="center"/>
    </xf>
    <xf numFmtId="0" fontId="21" fillId="6" borderId="176" xfId="4" applyFont="1" applyFill="1" applyBorder="1" applyAlignment="1">
      <alignment horizontal="center" vertical="center"/>
    </xf>
    <xf numFmtId="188" fontId="21" fillId="6" borderId="176" xfId="4" applyNumberFormat="1" applyFont="1" applyFill="1" applyBorder="1" applyAlignment="1">
      <alignment vertical="center"/>
    </xf>
    <xf numFmtId="0" fontId="21" fillId="6" borderId="121" xfId="4" applyFont="1" applyFill="1" applyBorder="1" applyAlignment="1">
      <alignment vertical="center"/>
    </xf>
    <xf numFmtId="0" fontId="21" fillId="6" borderId="154" xfId="4" applyFont="1" applyFill="1" applyBorder="1" applyAlignment="1">
      <alignment vertical="center"/>
    </xf>
    <xf numFmtId="0" fontId="6" fillId="4" borderId="171" xfId="4" applyFont="1" applyFill="1" applyBorder="1"/>
    <xf numFmtId="0" fontId="6" fillId="4" borderId="121" xfId="4" applyFont="1" applyFill="1" applyBorder="1"/>
    <xf numFmtId="0" fontId="5" fillId="4" borderId="176" xfId="57" applyFill="1" applyBorder="1"/>
    <xf numFmtId="2" fontId="5" fillId="4" borderId="176" xfId="57" applyNumberFormat="1" applyFill="1" applyBorder="1"/>
    <xf numFmtId="183" fontId="5" fillId="4" borderId="176" xfId="57" applyNumberFormat="1" applyFill="1" applyBorder="1"/>
    <xf numFmtId="241" fontId="5" fillId="4" borderId="176" xfId="57" applyNumberFormat="1" applyFill="1" applyBorder="1"/>
    <xf numFmtId="0" fontId="5" fillId="4" borderId="176" xfId="57" applyFill="1" applyBorder="1" applyAlignment="1">
      <alignment horizontal="left" indent="1"/>
    </xf>
    <xf numFmtId="166" fontId="5" fillId="4" borderId="176" xfId="57" applyNumberFormat="1" applyFill="1" applyBorder="1"/>
    <xf numFmtId="167" fontId="5" fillId="4" borderId="176" xfId="57" applyNumberFormat="1" applyFill="1" applyBorder="1" applyAlignment="1">
      <alignment horizontal="right"/>
    </xf>
    <xf numFmtId="171" fontId="137" fillId="4" borderId="176" xfId="4" applyNumberFormat="1" applyFont="1" applyFill="1" applyBorder="1" applyAlignment="1">
      <alignment horizontal="center"/>
    </xf>
    <xf numFmtId="2" fontId="6" fillId="4" borderId="176" xfId="57" applyNumberFormat="1" applyFont="1" applyFill="1" applyBorder="1" applyAlignment="1">
      <alignment horizontal="center"/>
    </xf>
    <xf numFmtId="240" fontId="5" fillId="4" borderId="172" xfId="57" applyNumberFormat="1" applyFill="1" applyBorder="1" applyAlignment="1">
      <alignment horizontal="centerContinuous"/>
    </xf>
    <xf numFmtId="0" fontId="5" fillId="4" borderId="175" xfId="57" applyFill="1" applyBorder="1" applyAlignment="1">
      <alignment horizontal="centerContinuous"/>
    </xf>
    <xf numFmtId="0" fontId="5" fillId="4" borderId="215" xfId="57" applyFill="1" applyBorder="1"/>
    <xf numFmtId="240" fontId="5" fillId="4" borderId="246" xfId="57" applyNumberFormat="1" applyFill="1" applyBorder="1" applyAlignment="1">
      <alignment horizontal="centerContinuous"/>
    </xf>
    <xf numFmtId="240" fontId="5" fillId="4" borderId="122" xfId="57" applyNumberFormat="1" applyFill="1" applyBorder="1" applyAlignment="1">
      <alignment horizontal="centerContinuous"/>
    </xf>
    <xf numFmtId="0" fontId="5" fillId="4" borderId="0" xfId="21" applyFont="1" applyFill="1" applyAlignment="1">
      <alignment horizontal="right" vertical="center"/>
    </xf>
    <xf numFmtId="176" fontId="5" fillId="4" borderId="0" xfId="0" applyNumberFormat="1" applyFont="1" applyFill="1" applyAlignment="1">
      <alignment horizontal="right" vertical="center"/>
    </xf>
    <xf numFmtId="0" fontId="5" fillId="4" borderId="0" xfId="21" applyFont="1" applyFill="1" applyAlignment="1">
      <alignment vertical="center"/>
    </xf>
    <xf numFmtId="0" fontId="21" fillId="4" borderId="246" xfId="21" applyFont="1" applyFill="1" applyBorder="1"/>
    <xf numFmtId="0" fontId="21" fillId="6" borderId="176" xfId="57" applyFont="1" applyFill="1" applyBorder="1" applyAlignment="1">
      <alignment horizontal="center" vertical="center"/>
    </xf>
    <xf numFmtId="0" fontId="5" fillId="6" borderId="174" xfId="57" applyFill="1" applyBorder="1" applyAlignment="1">
      <alignment horizontal="center" vertical="center"/>
    </xf>
    <xf numFmtId="0" fontId="5" fillId="6" borderId="173" xfId="57" applyFill="1" applyBorder="1" applyAlignment="1">
      <alignment horizontal="center" vertical="center"/>
    </xf>
    <xf numFmtId="0" fontId="5" fillId="6" borderId="213" xfId="57" applyFill="1" applyBorder="1" applyAlignment="1">
      <alignment horizontal="center" vertical="center"/>
    </xf>
    <xf numFmtId="0" fontId="7" fillId="4" borderId="153" xfId="2" applyFill="1" applyBorder="1" applyAlignment="1" applyProtection="1"/>
    <xf numFmtId="188" fontId="21" fillId="4" borderId="121" xfId="4" applyNumberFormat="1" applyFont="1" applyFill="1" applyBorder="1" applyAlignment="1">
      <alignment horizontal="center" vertical="center"/>
    </xf>
    <xf numFmtId="0" fontId="12" fillId="4" borderId="176" xfId="57" applyFont="1" applyFill="1" applyBorder="1" applyAlignment="1">
      <alignment horizontal="center" vertical="center"/>
    </xf>
    <xf numFmtId="3" fontId="5" fillId="4" borderId="176" xfId="57" applyNumberFormat="1" applyFill="1" applyBorder="1" applyAlignment="1">
      <alignment vertical="center"/>
    </xf>
    <xf numFmtId="240" fontId="5" fillId="4" borderId="176" xfId="57" applyNumberFormat="1" applyFill="1" applyBorder="1" applyAlignment="1">
      <alignment horizontal="center" vertical="center"/>
    </xf>
    <xf numFmtId="0" fontId="5" fillId="4" borderId="171" xfId="57" applyFill="1" applyBorder="1" applyAlignment="1">
      <alignment vertical="center"/>
    </xf>
    <xf numFmtId="0" fontId="6" fillId="4" borderId="0" xfId="57" applyFont="1" applyFill="1" applyAlignment="1">
      <alignment horizontal="centerContinuous" vertical="center" shrinkToFit="1"/>
    </xf>
    <xf numFmtId="0" fontId="63" fillId="0" borderId="248" xfId="57" applyFont="1" applyBorder="1" applyAlignment="1" applyProtection="1">
      <alignment horizontal="left" vertical="center" indent="1" shrinkToFit="1"/>
      <protection locked="0"/>
    </xf>
    <xf numFmtId="0" fontId="63" fillId="0" borderId="251" xfId="57" applyFont="1" applyBorder="1" applyAlignment="1" applyProtection="1">
      <alignment horizontal="left" vertical="center" indent="1" shrinkToFit="1"/>
      <protection locked="0"/>
    </xf>
    <xf numFmtId="242" fontId="63" fillId="0" borderId="249" xfId="57" applyNumberFormat="1" applyFont="1" applyBorder="1" applyAlignment="1" applyProtection="1">
      <alignment horizontal="center" vertical="center"/>
      <protection locked="0"/>
    </xf>
    <xf numFmtId="242" fontId="63" fillId="0" borderId="252" xfId="57" applyNumberFormat="1" applyFont="1" applyBorder="1" applyAlignment="1" applyProtection="1">
      <alignment horizontal="center" vertical="center"/>
      <protection locked="0"/>
    </xf>
    <xf numFmtId="176" fontId="5" fillId="4" borderId="176" xfId="57" applyNumberFormat="1" applyFill="1" applyBorder="1" applyAlignment="1">
      <alignment horizontal="right" shrinkToFit="1"/>
    </xf>
    <xf numFmtId="176" fontId="6" fillId="4" borderId="176" xfId="57" applyNumberFormat="1" applyFont="1" applyFill="1" applyBorder="1" applyAlignment="1">
      <alignment horizontal="right" shrinkToFit="1"/>
    </xf>
    <xf numFmtId="0" fontId="7" fillId="4" borderId="43" xfId="2" applyFill="1" applyBorder="1" applyAlignment="1" applyProtection="1"/>
    <xf numFmtId="0" fontId="21" fillId="4" borderId="0" xfId="33" applyFont="1" applyFill="1" applyAlignment="1">
      <alignment horizontal="right" vertical="center"/>
    </xf>
    <xf numFmtId="3" fontId="6" fillId="0" borderId="117" xfId="44" applyNumberFormat="1" applyFont="1" applyBorder="1" applyAlignment="1" applyProtection="1">
      <alignment horizontal="right" vertical="center" indent="1"/>
      <protection locked="0"/>
    </xf>
    <xf numFmtId="210" fontId="76" fillId="4" borderId="0" xfId="33" applyNumberFormat="1" applyFont="1" applyFill="1" applyAlignment="1">
      <alignment horizontal="center" vertical="center" shrinkToFit="1"/>
    </xf>
    <xf numFmtId="193" fontId="6" fillId="6" borderId="117" xfId="44" applyNumberFormat="1" applyFont="1" applyFill="1" applyBorder="1" applyAlignment="1">
      <alignment horizontal="right" vertical="center" indent="1"/>
    </xf>
    <xf numFmtId="3" fontId="6" fillId="6" borderId="117" xfId="44" applyNumberFormat="1" applyFont="1" applyFill="1" applyBorder="1" applyAlignment="1">
      <alignment horizontal="right" vertical="center" indent="1"/>
    </xf>
    <xf numFmtId="178" fontId="6" fillId="0" borderId="117" xfId="44" applyNumberFormat="1" applyFont="1" applyBorder="1" applyAlignment="1" applyProtection="1">
      <alignment horizontal="right" vertical="center" indent="1"/>
      <protection locked="0"/>
    </xf>
    <xf numFmtId="0" fontId="7" fillId="4" borderId="172" xfId="2" applyFill="1" applyBorder="1" applyAlignment="1" applyProtection="1">
      <alignment horizontal="left" indent="1"/>
    </xf>
    <xf numFmtId="0" fontId="0" fillId="4" borderId="246" xfId="0" applyFill="1" applyBorder="1"/>
    <xf numFmtId="0" fontId="0" fillId="4" borderId="246" xfId="4" applyFont="1" applyFill="1" applyBorder="1" applyAlignment="1">
      <alignment horizontal="left" vertical="center" indent="1"/>
    </xf>
    <xf numFmtId="0" fontId="0" fillId="4" borderId="153" xfId="0" applyFill="1" applyBorder="1" applyAlignment="1">
      <alignment vertical="center"/>
    </xf>
    <xf numFmtId="0" fontId="0" fillId="4" borderId="154" xfId="0" applyFill="1" applyBorder="1" applyAlignment="1">
      <alignment vertical="center"/>
    </xf>
    <xf numFmtId="0" fontId="0" fillId="4" borderId="153" xfId="0" applyFill="1" applyBorder="1"/>
    <xf numFmtId="0" fontId="0" fillId="4" borderId="173" xfId="0" applyFill="1" applyBorder="1"/>
    <xf numFmtId="0" fontId="0" fillId="4" borderId="122" xfId="0" applyFill="1" applyBorder="1"/>
    <xf numFmtId="0" fontId="16" fillId="4" borderId="172" xfId="2" applyFont="1" applyFill="1" applyBorder="1" applyAlignment="1" applyProtection="1">
      <alignment horizontal="left" vertical="center" indent="1"/>
    </xf>
    <xf numFmtId="0" fontId="6" fillId="4" borderId="246" xfId="0" applyFont="1" applyFill="1" applyBorder="1" applyAlignment="1">
      <alignment horizontal="center" vertical="center"/>
    </xf>
    <xf numFmtId="0" fontId="21" fillId="6" borderId="173" xfId="31" applyFont="1" applyFill="1" applyBorder="1" applyAlignment="1">
      <alignment horizontal="center" vertical="center"/>
    </xf>
    <xf numFmtId="0" fontId="21" fillId="4" borderId="0" xfId="21" applyFont="1" applyFill="1"/>
    <xf numFmtId="0" fontId="21" fillId="6" borderId="174" xfId="57" applyFont="1" applyFill="1" applyBorder="1" applyAlignment="1">
      <alignment horizontal="centerContinuous" vertical="center"/>
    </xf>
    <xf numFmtId="0" fontId="21" fillId="6" borderId="213" xfId="57" applyFont="1" applyFill="1" applyBorder="1" applyAlignment="1">
      <alignment horizontal="centerContinuous" vertical="center"/>
    </xf>
    <xf numFmtId="0" fontId="6" fillId="0" borderId="117" xfId="57" applyFont="1" applyBorder="1" applyAlignment="1">
      <alignment horizontal="center" vertical="center"/>
    </xf>
    <xf numFmtId="3" fontId="12" fillId="4" borderId="176" xfId="57" applyNumberFormat="1" applyFont="1" applyFill="1" applyBorder="1" applyAlignment="1">
      <alignment horizontal="center" vertical="center"/>
    </xf>
    <xf numFmtId="0" fontId="7" fillId="4" borderId="50" xfId="2" applyFill="1" applyBorder="1" applyAlignment="1" applyProtection="1">
      <alignment horizontal="center" vertical="center"/>
    </xf>
    <xf numFmtId="0" fontId="6" fillId="4" borderId="0" xfId="57" applyFont="1" applyFill="1" applyAlignment="1">
      <alignment horizontal="center"/>
    </xf>
    <xf numFmtId="0" fontId="61" fillId="4" borderId="0" xfId="57" applyFont="1" applyFill="1" applyAlignment="1">
      <alignment horizontal="center"/>
    </xf>
    <xf numFmtId="167" fontId="5" fillId="4" borderId="0" xfId="57" applyNumberFormat="1" applyFill="1"/>
    <xf numFmtId="0" fontId="21" fillId="6" borderId="176" xfId="4" applyFont="1" applyFill="1" applyBorder="1" applyAlignment="1">
      <alignment vertical="center"/>
    </xf>
    <xf numFmtId="0" fontId="53" fillId="6" borderId="176" xfId="57" applyFont="1" applyFill="1" applyBorder="1" applyAlignment="1">
      <alignment horizontal="center" vertical="center"/>
    </xf>
    <xf numFmtId="0" fontId="3" fillId="4" borderId="0" xfId="59" applyFill="1"/>
    <xf numFmtId="0" fontId="3" fillId="5" borderId="0" xfId="59" applyFill="1"/>
    <xf numFmtId="0" fontId="3" fillId="4" borderId="0" xfId="59" applyFill="1" applyAlignment="1">
      <alignment vertical="center"/>
    </xf>
    <xf numFmtId="0" fontId="3" fillId="15" borderId="0" xfId="59" applyFill="1" applyAlignment="1">
      <alignment vertical="center"/>
    </xf>
    <xf numFmtId="0" fontId="3" fillId="15" borderId="0" xfId="59" applyFill="1"/>
    <xf numFmtId="0" fontId="13" fillId="3" borderId="1" xfId="59" applyFont="1" applyFill="1" applyBorder="1" applyAlignment="1">
      <alignment horizontal="left" vertical="center" indent="1"/>
    </xf>
    <xf numFmtId="0" fontId="3" fillId="3" borderId="1" xfId="59" applyFill="1" applyBorder="1" applyAlignment="1">
      <alignment horizontal="left" vertical="center"/>
    </xf>
    <xf numFmtId="0" fontId="3" fillId="19" borderId="0" xfId="59" applyFill="1"/>
    <xf numFmtId="243" fontId="5" fillId="4" borderId="176" xfId="57" applyNumberFormat="1" applyFill="1" applyBorder="1" applyAlignment="1">
      <alignment horizontal="right" shrinkToFit="1"/>
    </xf>
    <xf numFmtId="3" fontId="61" fillId="4" borderId="249" xfId="57" applyNumberFormat="1" applyFont="1" applyFill="1" applyBorder="1" applyAlignment="1" applyProtection="1">
      <alignment horizontal="right" vertical="center" indent="1"/>
      <protection locked="0"/>
    </xf>
    <xf numFmtId="3" fontId="61" fillId="4" borderId="252" xfId="57" applyNumberFormat="1" applyFont="1" applyFill="1" applyBorder="1" applyAlignment="1">
      <alignment horizontal="right" vertical="center" indent="1"/>
    </xf>
    <xf numFmtId="177" fontId="0" fillId="4" borderId="0" xfId="0" applyNumberFormat="1" applyFill="1" applyAlignment="1">
      <alignment horizontal="right" vertical="center" indent="1"/>
    </xf>
    <xf numFmtId="177" fontId="0" fillId="4" borderId="0" xfId="0" applyNumberFormat="1" applyFill="1" applyAlignment="1" applyProtection="1">
      <alignment horizontal="right" vertical="center" indent="1"/>
      <protection locked="0"/>
    </xf>
    <xf numFmtId="0" fontId="6" fillId="4" borderId="0" xfId="4" applyFont="1" applyFill="1" applyAlignment="1">
      <alignment horizontal="left"/>
    </xf>
    <xf numFmtId="0" fontId="50" fillId="11" borderId="169" xfId="3" applyFont="1" applyFill="1" applyBorder="1" applyAlignment="1">
      <alignment horizontal="centerContinuous" vertical="center"/>
    </xf>
    <xf numFmtId="0" fontId="50" fillId="11" borderId="170" xfId="3" applyFont="1" applyFill="1" applyBorder="1" applyAlignment="1">
      <alignment horizontal="centerContinuous" vertical="center"/>
    </xf>
    <xf numFmtId="0" fontId="47" fillId="11" borderId="170" xfId="3" applyFont="1" applyFill="1" applyBorder="1" applyAlignment="1">
      <alignment horizontal="centerContinuous"/>
    </xf>
    <xf numFmtId="0" fontId="47" fillId="11" borderId="170" xfId="3" applyFont="1" applyFill="1" applyBorder="1" applyAlignment="1">
      <alignment horizontal="left"/>
    </xf>
    <xf numFmtId="0" fontId="47" fillId="11" borderId="170" xfId="11" applyFont="1" applyFill="1" applyBorder="1" applyAlignment="1">
      <alignment horizontal="left"/>
    </xf>
    <xf numFmtId="0" fontId="47" fillId="11" borderId="0" xfId="52" applyFont="1" applyFill="1"/>
    <xf numFmtId="0" fontId="46" fillId="11" borderId="211" xfId="21" applyFont="1" applyFill="1" applyBorder="1" applyAlignment="1">
      <alignment horizontal="centerContinuous" vertical="center"/>
    </xf>
    <xf numFmtId="0" fontId="13" fillId="11" borderId="212" xfId="21" applyFont="1" applyFill="1" applyBorder="1" applyAlignment="1">
      <alignment horizontal="centerContinuous"/>
    </xf>
    <xf numFmtId="0" fontId="46" fillId="11" borderId="212" xfId="21" applyFont="1" applyFill="1" applyBorder="1" applyAlignment="1">
      <alignment horizontal="centerContinuous" vertical="center"/>
    </xf>
    <xf numFmtId="0" fontId="13" fillId="11" borderId="212" xfId="21" applyFont="1" applyFill="1" applyBorder="1" applyAlignment="1">
      <alignment horizontal="center"/>
    </xf>
    <xf numFmtId="0" fontId="13" fillId="11" borderId="0" xfId="7" applyFont="1" applyFill="1"/>
    <xf numFmtId="0" fontId="50" fillId="11" borderId="211" xfId="21" applyFont="1" applyFill="1" applyBorder="1" applyAlignment="1">
      <alignment horizontal="centerContinuous" vertical="center"/>
    </xf>
    <xf numFmtId="0" fontId="47" fillId="11" borderId="212" xfId="21" applyFont="1" applyFill="1" applyBorder="1" applyAlignment="1">
      <alignment horizontal="centerContinuous"/>
    </xf>
    <xf numFmtId="0" fontId="50" fillId="11" borderId="212" xfId="21" applyFont="1" applyFill="1" applyBorder="1" applyAlignment="1">
      <alignment horizontal="centerContinuous" vertical="center"/>
    </xf>
    <xf numFmtId="0" fontId="47" fillId="11" borderId="212" xfId="21" applyFont="1" applyFill="1" applyBorder="1"/>
    <xf numFmtId="0" fontId="47" fillId="11" borderId="0" xfId="6" applyFont="1" applyFill="1"/>
    <xf numFmtId="0" fontId="61" fillId="13" borderId="0" xfId="26" applyFont="1" applyFill="1" applyAlignment="1">
      <alignment horizontal="left" vertical="center" indent="1"/>
    </xf>
    <xf numFmtId="0" fontId="13" fillId="11" borderId="39" xfId="21" applyFont="1" applyFill="1" applyBorder="1" applyAlignment="1">
      <alignment horizontal="center"/>
    </xf>
    <xf numFmtId="0" fontId="50" fillId="11" borderId="41" xfId="21" applyFont="1" applyFill="1" applyBorder="1" applyAlignment="1">
      <alignment horizontal="centerContinuous" vertical="center"/>
    </xf>
    <xf numFmtId="0" fontId="50" fillId="11" borderId="39" xfId="21" applyFont="1" applyFill="1" applyBorder="1" applyAlignment="1">
      <alignment horizontal="centerContinuous" vertical="center"/>
    </xf>
    <xf numFmtId="0" fontId="47" fillId="11" borderId="39" xfId="21" applyFont="1" applyFill="1" applyBorder="1" applyAlignment="1">
      <alignment horizontal="centerContinuous"/>
    </xf>
    <xf numFmtId="0" fontId="47" fillId="11" borderId="39" xfId="57" applyFont="1" applyFill="1" applyBorder="1"/>
    <xf numFmtId="177" fontId="58" fillId="4" borderId="52" xfId="0" applyNumberFormat="1" applyFont="1" applyFill="1" applyBorder="1" applyAlignment="1">
      <alignment horizontal="right" vertical="center" indent="1"/>
    </xf>
    <xf numFmtId="0" fontId="6" fillId="6" borderId="245" xfId="4" applyFont="1" applyFill="1" applyBorder="1" applyAlignment="1" applyProtection="1">
      <alignment horizontal="center" vertical="center"/>
      <protection locked="0"/>
    </xf>
    <xf numFmtId="0" fontId="6" fillId="6" borderId="121" xfId="21" applyFont="1" applyFill="1" applyBorder="1" applyAlignment="1" applyProtection="1">
      <alignment horizontal="center" vertical="center"/>
      <protection locked="0"/>
    </xf>
    <xf numFmtId="0" fontId="21" fillId="4" borderId="8" xfId="52" applyFont="1" applyFill="1" applyBorder="1" applyAlignment="1" applyProtection="1">
      <alignment horizontal="center" vertical="center"/>
      <protection locked="0"/>
    </xf>
    <xf numFmtId="0" fontId="21" fillId="4" borderId="174" xfId="52" applyFont="1" applyFill="1" applyBorder="1" applyAlignment="1" applyProtection="1">
      <alignment horizontal="center" vertical="center"/>
      <protection locked="0"/>
    </xf>
    <xf numFmtId="0" fontId="21" fillId="4" borderId="176" xfId="33" applyFont="1" applyFill="1" applyBorder="1" applyAlignment="1" applyProtection="1">
      <alignment horizontal="center" vertical="center"/>
      <protection locked="0"/>
    </xf>
    <xf numFmtId="0" fontId="5" fillId="4" borderId="256" xfId="52" applyFill="1" applyBorder="1"/>
    <xf numFmtId="0" fontId="6" fillId="4" borderId="256" xfId="52" applyFont="1" applyFill="1" applyBorder="1" applyAlignment="1">
      <alignment horizontal="left" vertical="top" indent="2"/>
    </xf>
    <xf numFmtId="0" fontId="5" fillId="4" borderId="257" xfId="52" applyFill="1" applyBorder="1"/>
    <xf numFmtId="0" fontId="5" fillId="4" borderId="1" xfId="52" applyFill="1" applyBorder="1"/>
    <xf numFmtId="227" fontId="6" fillId="4" borderId="1" xfId="31" applyNumberFormat="1" applyFont="1" applyFill="1" applyBorder="1" applyAlignment="1">
      <alignment horizontal="left" vertical="center" wrapText="1" indent="1"/>
    </xf>
    <xf numFmtId="0" fontId="7" fillId="4" borderId="256" xfId="2" applyFill="1" applyBorder="1" applyAlignment="1" applyProtection="1">
      <alignment horizontal="right" vertical="top"/>
    </xf>
    <xf numFmtId="0" fontId="150" fillId="3" borderId="0" xfId="2" applyFont="1" applyFill="1" applyAlignment="1" applyProtection="1">
      <alignment horizontal="center" vertical="center"/>
    </xf>
    <xf numFmtId="188" fontId="62" fillId="13" borderId="49" xfId="26" applyNumberFormat="1" applyFont="1" applyFill="1" applyBorder="1" applyAlignment="1">
      <alignment vertical="center" shrinkToFit="1"/>
    </xf>
    <xf numFmtId="0" fontId="92" fillId="0" borderId="56" xfId="26" applyFont="1" applyBorder="1" applyAlignment="1" applyProtection="1">
      <alignment horizontal="right" vertical="center" indent="1"/>
      <protection locked="0"/>
    </xf>
    <xf numFmtId="0" fontId="21" fillId="23" borderId="246" xfId="21" applyFont="1" applyFill="1" applyBorder="1" applyAlignment="1">
      <alignment horizontal="center"/>
    </xf>
    <xf numFmtId="0" fontId="21" fillId="23" borderId="0" xfId="21" applyFont="1" applyFill="1" applyAlignment="1">
      <alignment horizontal="center"/>
    </xf>
    <xf numFmtId="0" fontId="21" fillId="23" borderId="173" xfId="21" applyFont="1" applyFill="1" applyBorder="1" applyAlignment="1">
      <alignment horizontal="center"/>
    </xf>
    <xf numFmtId="0" fontId="21" fillId="23" borderId="13" xfId="21" applyFont="1" applyFill="1" applyBorder="1" applyAlignment="1">
      <alignment horizontal="center"/>
    </xf>
    <xf numFmtId="0" fontId="6" fillId="4" borderId="13" xfId="21" applyFont="1" applyFill="1" applyBorder="1" applyAlignment="1">
      <alignment horizontal="center" vertical="center"/>
    </xf>
    <xf numFmtId="239" fontId="6" fillId="4" borderId="13" xfId="21" applyNumberFormat="1" applyFont="1" applyFill="1" applyBorder="1" applyAlignment="1">
      <alignment horizontal="center" vertical="center"/>
    </xf>
    <xf numFmtId="0" fontId="6" fillId="4" borderId="0" xfId="4" applyFont="1" applyFill="1" applyAlignment="1">
      <alignment horizontal="left" vertical="center"/>
    </xf>
    <xf numFmtId="0" fontId="5" fillId="4" borderId="0" xfId="4" applyFont="1" applyFill="1" applyAlignment="1">
      <alignment vertical="center"/>
    </xf>
    <xf numFmtId="239" fontId="6" fillId="24" borderId="0" xfId="4" applyNumberFormat="1" applyFont="1" applyFill="1" applyAlignment="1">
      <alignment horizontal="center" vertical="center"/>
    </xf>
    <xf numFmtId="0" fontId="58" fillId="0" borderId="56" xfId="17" applyFont="1" applyFill="1" applyBorder="1" applyAlignment="1" applyProtection="1">
      <alignment vertical="center" wrapText="1"/>
      <protection locked="0"/>
    </xf>
    <xf numFmtId="247" fontId="6" fillId="4" borderId="0" xfId="33" applyNumberFormat="1" applyFont="1" applyFill="1" applyAlignment="1">
      <alignment horizontal="left" vertical="center" indent="1"/>
    </xf>
    <xf numFmtId="244" fontId="6" fillId="4" borderId="52" xfId="4" applyNumberFormat="1" applyFont="1" applyFill="1" applyBorder="1" applyAlignment="1">
      <alignment horizontal="center" vertical="center"/>
    </xf>
    <xf numFmtId="248" fontId="6" fillId="4" borderId="52" xfId="4" applyNumberFormat="1" applyFont="1" applyFill="1" applyBorder="1" applyAlignment="1">
      <alignment horizontal="center" vertical="center"/>
    </xf>
    <xf numFmtId="250" fontId="6" fillId="4" borderId="52" xfId="4" applyNumberFormat="1" applyFont="1" applyFill="1" applyBorder="1" applyAlignment="1">
      <alignment horizontal="center" vertical="center"/>
    </xf>
    <xf numFmtId="251" fontId="6" fillId="4" borderId="52" xfId="4" applyNumberFormat="1" applyFont="1" applyFill="1" applyBorder="1" applyAlignment="1">
      <alignment horizontal="center" vertical="center"/>
    </xf>
    <xf numFmtId="244" fontId="6" fillId="4" borderId="49" xfId="4" applyNumberFormat="1" applyFont="1" applyFill="1" applyBorder="1" applyAlignment="1">
      <alignment horizontal="center" vertical="center"/>
    </xf>
    <xf numFmtId="244" fontId="6" fillId="0" borderId="52" xfId="4" applyNumberFormat="1" applyFont="1" applyBorder="1" applyAlignment="1" applyProtection="1">
      <alignment horizontal="center" vertical="center"/>
      <protection locked="0"/>
    </xf>
    <xf numFmtId="248" fontId="6" fillId="0" borderId="52" xfId="4" applyNumberFormat="1" applyFont="1" applyBorder="1" applyAlignment="1" applyProtection="1">
      <alignment horizontal="center" vertical="center"/>
      <protection locked="0"/>
    </xf>
    <xf numFmtId="250" fontId="6" fillId="0" borderId="52" xfId="4" applyNumberFormat="1" applyFont="1" applyBorder="1" applyAlignment="1" applyProtection="1">
      <alignment horizontal="center" vertical="center"/>
      <protection locked="0"/>
    </xf>
    <xf numFmtId="251" fontId="6" fillId="0" borderId="52" xfId="4" applyNumberFormat="1" applyFont="1" applyBorder="1" applyAlignment="1" applyProtection="1">
      <alignment horizontal="center" vertical="center"/>
      <protection locked="0"/>
    </xf>
    <xf numFmtId="188" fontId="63" fillId="0" borderId="232" xfId="4" applyNumberFormat="1" applyFont="1" applyBorder="1" applyAlignment="1" applyProtection="1">
      <alignment vertical="center"/>
      <protection locked="0"/>
    </xf>
    <xf numFmtId="188" fontId="63" fillId="0" borderId="119" xfId="4" applyNumberFormat="1" applyFont="1" applyBorder="1" applyAlignment="1" applyProtection="1">
      <alignment vertical="center"/>
      <protection locked="0"/>
    </xf>
    <xf numFmtId="200" fontId="63" fillId="0" borderId="118" xfId="4" applyNumberFormat="1" applyFont="1" applyBorder="1" applyAlignment="1" applyProtection="1">
      <alignment vertical="center"/>
      <protection locked="0"/>
    </xf>
    <xf numFmtId="200" fontId="63" fillId="0" borderId="120" xfId="4" applyNumberFormat="1" applyFont="1" applyBorder="1" applyAlignment="1" applyProtection="1">
      <alignment vertical="center"/>
      <protection locked="0"/>
    </xf>
    <xf numFmtId="172" fontId="6" fillId="0" borderId="117" xfId="0" applyNumberFormat="1" applyFont="1" applyBorder="1" applyAlignment="1" applyProtection="1">
      <alignment horizontal="right" vertical="center" indent="1"/>
      <protection locked="0"/>
    </xf>
    <xf numFmtId="172" fontId="21" fillId="0" borderId="117" xfId="0" applyNumberFormat="1" applyFont="1" applyBorder="1" applyAlignment="1" applyProtection="1">
      <alignment horizontal="right" vertical="center" indent="1"/>
      <protection locked="0"/>
    </xf>
    <xf numFmtId="171" fontId="6" fillId="0" borderId="117" xfId="0" applyNumberFormat="1" applyFont="1" applyBorder="1" applyAlignment="1" applyProtection="1">
      <alignment horizontal="center" vertical="center" shrinkToFit="1"/>
      <protection locked="0"/>
    </xf>
    <xf numFmtId="204" fontId="6" fillId="0" borderId="117" xfId="0" applyNumberFormat="1" applyFont="1" applyBorder="1" applyAlignment="1" applyProtection="1">
      <alignment horizontal="center" vertical="center" wrapText="1"/>
      <protection locked="0"/>
    </xf>
    <xf numFmtId="205" fontId="21" fillId="0" borderId="117" xfId="0" applyNumberFormat="1" applyFont="1" applyBorder="1" applyAlignment="1" applyProtection="1">
      <alignment horizontal="center" vertical="center" wrapText="1"/>
      <protection locked="0"/>
    </xf>
    <xf numFmtId="2" fontId="21" fillId="6" borderId="117" xfId="0" applyNumberFormat="1" applyFont="1" applyFill="1" applyBorder="1" applyAlignment="1">
      <alignment horizontal="center" vertical="center" shrinkToFit="1"/>
    </xf>
    <xf numFmtId="166" fontId="5" fillId="0" borderId="31" xfId="34" applyNumberFormat="1" applyFont="1" applyBorder="1" applyAlignment="1" applyProtection="1">
      <alignment horizontal="center" vertical="center"/>
      <protection locked="0"/>
    </xf>
    <xf numFmtId="0" fontId="5" fillId="0" borderId="31" xfId="4" applyFont="1" applyBorder="1" applyAlignment="1" applyProtection="1">
      <alignment horizontal="center" vertical="center"/>
      <protection locked="0"/>
    </xf>
    <xf numFmtId="0" fontId="5" fillId="0" borderId="146" xfId="35" applyBorder="1" applyAlignment="1" applyProtection="1">
      <alignment horizontal="center" vertical="center"/>
      <protection locked="0"/>
    </xf>
    <xf numFmtId="171" fontId="5" fillId="0" borderId="143" xfId="35" applyNumberFormat="1" applyBorder="1" applyAlignment="1" applyProtection="1">
      <alignment horizontal="center" vertical="center"/>
      <protection locked="0"/>
    </xf>
    <xf numFmtId="0" fontId="5" fillId="0" borderId="147" xfId="35" applyBorder="1" applyAlignment="1" applyProtection="1">
      <alignment horizontal="center" vertical="center"/>
      <protection locked="0"/>
    </xf>
    <xf numFmtId="0" fontId="5" fillId="0" borderId="129" xfId="35" applyBorder="1" applyAlignment="1" applyProtection="1">
      <alignment horizontal="center" vertical="center"/>
      <protection locked="0"/>
    </xf>
    <xf numFmtId="0" fontId="5" fillId="0" borderId="148" xfId="35" applyBorder="1" applyAlignment="1" applyProtection="1">
      <alignment horizontal="center" vertical="center"/>
      <protection locked="0"/>
    </xf>
    <xf numFmtId="0" fontId="5" fillId="0" borderId="130" xfId="35" applyBorder="1" applyAlignment="1" applyProtection="1">
      <alignment horizontal="center" vertical="center"/>
      <protection locked="0"/>
    </xf>
    <xf numFmtId="22" fontId="6" fillId="0" borderId="117" xfId="0" applyNumberFormat="1" applyFont="1" applyBorder="1" applyAlignment="1" applyProtection="1">
      <alignment horizontal="center" vertical="center"/>
      <protection locked="0"/>
    </xf>
    <xf numFmtId="199" fontId="6" fillId="0" borderId="117" xfId="27" applyNumberFormat="1" applyFont="1" applyFill="1" applyBorder="1" applyAlignment="1" applyProtection="1">
      <alignment horizontal="left" vertical="center" indent="1"/>
      <protection locked="0"/>
    </xf>
    <xf numFmtId="199" fontId="6" fillId="0" borderId="117" xfId="27" applyNumberFormat="1" applyFont="1" applyFill="1" applyBorder="1" applyAlignment="1" applyProtection="1">
      <alignment vertical="center"/>
      <protection locked="0"/>
    </xf>
    <xf numFmtId="200" fontId="6" fillId="0" borderId="117" xfId="0" applyNumberFormat="1" applyFont="1" applyBorder="1" applyAlignment="1" applyProtection="1">
      <alignment vertical="center"/>
      <protection locked="0"/>
    </xf>
    <xf numFmtId="0" fontId="6" fillId="0" borderId="117" xfId="0" applyFont="1" applyBorder="1" applyAlignment="1" applyProtection="1">
      <alignment horizontal="left" vertical="center"/>
      <protection locked="0"/>
    </xf>
    <xf numFmtId="215" fontId="26" fillId="0" borderId="52" xfId="42" applyNumberFormat="1" applyBorder="1" applyAlignment="1" applyProtection="1">
      <alignment horizontal="center" vertical="center"/>
      <protection locked="0"/>
    </xf>
    <xf numFmtId="215" fontId="26" fillId="4" borderId="52" xfId="42" applyNumberFormat="1" applyFill="1" applyBorder="1" applyAlignment="1" applyProtection="1">
      <alignment horizontal="center" vertical="center"/>
      <protection locked="0"/>
    </xf>
    <xf numFmtId="0" fontId="26" fillId="4" borderId="199" xfId="42" applyFill="1" applyBorder="1" applyAlignment="1" applyProtection="1">
      <alignment vertical="center"/>
      <protection locked="0"/>
    </xf>
    <xf numFmtId="0" fontId="26" fillId="4" borderId="201" xfId="42" applyFill="1" applyBorder="1" applyAlignment="1" applyProtection="1">
      <alignment vertical="center"/>
      <protection locked="0"/>
    </xf>
    <xf numFmtId="0" fontId="26" fillId="4" borderId="203" xfId="42" applyFill="1" applyBorder="1" applyAlignment="1" applyProtection="1">
      <alignment vertical="center"/>
      <protection locked="0"/>
    </xf>
    <xf numFmtId="0" fontId="26" fillId="4" borderId="205" xfId="42" applyFill="1" applyBorder="1" applyAlignment="1" applyProtection="1">
      <alignment vertical="center"/>
      <protection locked="0"/>
    </xf>
    <xf numFmtId="0" fontId="26" fillId="4" borderId="206" xfId="42" applyFill="1" applyBorder="1" applyAlignment="1" applyProtection="1">
      <alignment vertical="center"/>
      <protection locked="0"/>
    </xf>
    <xf numFmtId="0" fontId="26" fillId="4" borderId="207" xfId="42" applyFill="1" applyBorder="1" applyAlignment="1" applyProtection="1">
      <alignment vertical="center"/>
      <protection locked="0"/>
    </xf>
    <xf numFmtId="18" fontId="6" fillId="0" borderId="31" xfId="41" applyNumberFormat="1" applyFont="1" applyBorder="1" applyAlignment="1" applyProtection="1">
      <alignment horizontal="center" vertical="center"/>
      <protection locked="0"/>
    </xf>
    <xf numFmtId="0" fontId="6" fillId="0" borderId="31" xfId="41" applyFont="1" applyBorder="1" applyAlignment="1" applyProtection="1">
      <alignment horizontal="center" vertical="center"/>
      <protection locked="0"/>
    </xf>
    <xf numFmtId="2" fontId="6" fillId="0" borderId="52" xfId="41" applyNumberFormat="1" applyFont="1" applyBorder="1" applyAlignment="1" applyProtection="1">
      <alignment horizontal="right" vertical="center" indent="1"/>
      <protection locked="0"/>
    </xf>
    <xf numFmtId="172" fontId="6" fillId="0" borderId="31" xfId="41" applyNumberFormat="1" applyFont="1" applyBorder="1" applyAlignment="1" applyProtection="1">
      <alignment horizontal="center" vertical="center"/>
      <protection locked="0"/>
    </xf>
    <xf numFmtId="2" fontId="6" fillId="0" borderId="31" xfId="41" applyNumberFormat="1" applyFont="1" applyBorder="1" applyAlignment="1" applyProtection="1">
      <alignment horizontal="center" vertical="center"/>
      <protection locked="0"/>
    </xf>
    <xf numFmtId="3" fontId="26" fillId="0" borderId="52" xfId="56" applyNumberFormat="1" applyBorder="1" applyAlignment="1" applyProtection="1">
      <alignment horizontal="right" vertical="center" indent="1"/>
      <protection locked="0"/>
    </xf>
    <xf numFmtId="2" fontId="26" fillId="0" borderId="52" xfId="56" applyNumberFormat="1" applyBorder="1" applyAlignment="1" applyProtection="1">
      <alignment horizontal="right" vertical="center" indent="1"/>
      <protection locked="0"/>
    </xf>
    <xf numFmtId="0" fontId="26" fillId="0" borderId="52" xfId="56" applyBorder="1" applyAlignment="1" applyProtection="1">
      <alignment horizontal="right" vertical="center" indent="1"/>
      <protection locked="0"/>
    </xf>
    <xf numFmtId="193" fontId="6" fillId="4" borderId="0" xfId="21" applyNumberFormat="1" applyFont="1" applyFill="1"/>
    <xf numFmtId="4" fontId="6" fillId="6" borderId="117" xfId="44" applyNumberFormat="1" applyFont="1" applyFill="1" applyBorder="1" applyAlignment="1">
      <alignment horizontal="right" vertical="center" indent="1"/>
    </xf>
    <xf numFmtId="0" fontId="7" fillId="4" borderId="50" xfId="2" applyFill="1" applyBorder="1" applyAlignment="1" applyProtection="1">
      <alignment horizontal="center"/>
    </xf>
    <xf numFmtId="0" fontId="22" fillId="3" borderId="1" xfId="61" applyFont="1" applyFill="1" applyBorder="1" applyAlignment="1">
      <alignment horizontal="centerContinuous" vertical="center"/>
    </xf>
    <xf numFmtId="0" fontId="7" fillId="4" borderId="50" xfId="2" applyFill="1" applyBorder="1" applyAlignment="1" applyProtection="1"/>
    <xf numFmtId="0" fontId="13" fillId="3" borderId="1" xfId="62" applyFont="1" applyFill="1" applyBorder="1" applyAlignment="1">
      <alignment horizontal="left" vertical="center" indent="1"/>
    </xf>
    <xf numFmtId="0" fontId="160" fillId="8" borderId="174" xfId="4" applyFont="1" applyFill="1" applyBorder="1" applyAlignment="1">
      <alignment horizontal="centerContinuous" vertical="center"/>
    </xf>
    <xf numFmtId="0" fontId="13" fillId="4" borderId="245" xfId="6" applyFont="1" applyFill="1" applyBorder="1" applyAlignment="1">
      <alignment horizontal="left"/>
    </xf>
    <xf numFmtId="0" fontId="13" fillId="8" borderId="172" xfId="4" applyFont="1" applyFill="1" applyBorder="1" applyAlignment="1">
      <alignment horizontal="centerContinuous" vertical="center"/>
    </xf>
    <xf numFmtId="0" fontId="13" fillId="8" borderId="0" xfId="4" applyFont="1" applyFill="1" applyAlignment="1">
      <alignment horizontal="centerContinuous"/>
    </xf>
    <xf numFmtId="0" fontId="13" fillId="8" borderId="215" xfId="4" applyFont="1" applyFill="1" applyBorder="1" applyAlignment="1">
      <alignment horizontal="centerContinuous"/>
    </xf>
    <xf numFmtId="0" fontId="13" fillId="4" borderId="0" xfId="6" applyFont="1" applyFill="1" applyAlignment="1">
      <alignment horizontal="left"/>
    </xf>
    <xf numFmtId="0" fontId="13" fillId="8" borderId="15" xfId="4" applyFont="1" applyFill="1" applyBorder="1" applyAlignment="1">
      <alignment horizontal="right" vertical="center"/>
    </xf>
    <xf numFmtId="0" fontId="6" fillId="0" borderId="52" xfId="4" applyFont="1" applyBorder="1" applyAlignment="1" applyProtection="1">
      <alignment horizontal="center" vertical="center"/>
      <protection locked="0"/>
    </xf>
    <xf numFmtId="0" fontId="150" fillId="8" borderId="19" xfId="2" applyFont="1" applyFill="1" applyBorder="1" applyAlignment="1" applyProtection="1">
      <alignment horizontal="center" vertical="center"/>
    </xf>
    <xf numFmtId="166" fontId="150" fillId="8" borderId="13" xfId="2" applyNumberFormat="1" applyFont="1" applyFill="1" applyBorder="1" applyAlignment="1" applyProtection="1">
      <alignment horizontal="center" vertical="center"/>
    </xf>
    <xf numFmtId="176" fontId="150" fillId="8" borderId="258" xfId="2" applyNumberFormat="1" applyFont="1" applyFill="1" applyBorder="1" applyAlignment="1" applyProtection="1">
      <alignment horizontal="center" vertical="center"/>
    </xf>
    <xf numFmtId="183" fontId="6" fillId="0" borderId="52" xfId="4" applyNumberFormat="1" applyFont="1" applyBorder="1" applyAlignment="1" applyProtection="1">
      <alignment horizontal="center" vertical="center"/>
      <protection locked="0"/>
    </xf>
    <xf numFmtId="183" fontId="150" fillId="8" borderId="19" xfId="2" applyNumberFormat="1" applyFont="1" applyFill="1" applyBorder="1" applyAlignment="1" applyProtection="1">
      <alignment horizontal="center" vertical="center"/>
    </xf>
    <xf numFmtId="183" fontId="150" fillId="8" borderId="13" xfId="2" applyNumberFormat="1" applyFont="1" applyFill="1" applyBorder="1" applyAlignment="1" applyProtection="1">
      <alignment horizontal="center" vertical="center"/>
    </xf>
    <xf numFmtId="186" fontId="6" fillId="0" borderId="52" xfId="4" applyNumberFormat="1" applyFont="1" applyBorder="1" applyAlignment="1" applyProtection="1">
      <alignment horizontal="center" vertical="center"/>
      <protection locked="0"/>
    </xf>
    <xf numFmtId="185" fontId="150" fillId="8" borderId="13" xfId="2" applyNumberFormat="1" applyFont="1" applyFill="1" applyBorder="1" applyAlignment="1" applyProtection="1">
      <alignment horizontal="center" vertical="center"/>
    </xf>
    <xf numFmtId="0" fontId="13" fillId="8" borderId="246" xfId="4" applyFont="1" applyFill="1" applyBorder="1" applyAlignment="1">
      <alignment horizontal="center" vertical="center"/>
    </xf>
    <xf numFmtId="0" fontId="13" fillId="8" borderId="43" xfId="4" applyFont="1" applyFill="1" applyBorder="1" applyAlignment="1">
      <alignment horizontal="center" vertical="center"/>
    </xf>
    <xf numFmtId="171" fontId="6" fillId="4" borderId="246" xfId="4" applyNumberFormat="1" applyFont="1" applyFill="1" applyBorder="1" applyAlignment="1">
      <alignment horizontal="left" indent="1"/>
    </xf>
    <xf numFmtId="166" fontId="6" fillId="4" borderId="233" xfId="4" applyNumberFormat="1" applyFont="1" applyFill="1" applyBorder="1" applyAlignment="1">
      <alignment horizontal="center"/>
    </xf>
    <xf numFmtId="166" fontId="6" fillId="4" borderId="34" xfId="4" applyNumberFormat="1" applyFont="1" applyFill="1" applyBorder="1" applyAlignment="1">
      <alignment horizontal="left" indent="1"/>
    </xf>
    <xf numFmtId="171" fontId="6" fillId="4" borderId="246" xfId="4" applyNumberFormat="1" applyFont="1" applyFill="1" applyBorder="1"/>
    <xf numFmtId="165" fontId="6" fillId="4" borderId="34" xfId="4" applyNumberFormat="1" applyFont="1" applyFill="1" applyBorder="1" applyAlignment="1">
      <alignment horizontal="left" indent="1"/>
    </xf>
    <xf numFmtId="0" fontId="13" fillId="4" borderId="246" xfId="6" applyFont="1" applyFill="1" applyBorder="1"/>
    <xf numFmtId="187" fontId="6" fillId="4" borderId="19" xfId="21" applyNumberFormat="1" applyFont="1" applyFill="1" applyBorder="1" applyAlignment="1">
      <alignment horizontal="left" vertical="center" indent="1"/>
    </xf>
    <xf numFmtId="0" fontId="5" fillId="4" borderId="246" xfId="6" applyFill="1" applyBorder="1"/>
    <xf numFmtId="183" fontId="6" fillId="4" borderId="19" xfId="21" applyNumberFormat="1" applyFont="1" applyFill="1" applyBorder="1" applyAlignment="1">
      <alignment horizontal="left" vertical="center" indent="1"/>
    </xf>
    <xf numFmtId="2" fontId="6" fillId="4" borderId="34" xfId="4" applyNumberFormat="1" applyFont="1" applyFill="1" applyBorder="1" applyAlignment="1">
      <alignment horizontal="left" indent="1"/>
    </xf>
    <xf numFmtId="168" fontId="0" fillId="4" borderId="13" xfId="0" applyNumberFormat="1" applyFill="1" applyBorder="1" applyAlignment="1">
      <alignment horizontal="left" indent="1"/>
    </xf>
    <xf numFmtId="171" fontId="6" fillId="4" borderId="34" xfId="4" applyNumberFormat="1" applyFont="1" applyFill="1" applyBorder="1" applyAlignment="1">
      <alignment horizontal="left" indent="1"/>
    </xf>
    <xf numFmtId="40" fontId="0" fillId="4" borderId="13" xfId="0" applyNumberFormat="1" applyFill="1" applyBorder="1" applyAlignment="1">
      <alignment horizontal="left" indent="1"/>
    </xf>
    <xf numFmtId="168" fontId="0" fillId="4" borderId="13" xfId="4" applyNumberFormat="1" applyFont="1" applyFill="1" applyBorder="1" applyAlignment="1">
      <alignment horizontal="left" indent="1"/>
    </xf>
    <xf numFmtId="0" fontId="6" fillId="4" borderId="233" xfId="4" applyFont="1" applyFill="1" applyBorder="1" applyAlignment="1">
      <alignment horizontal="center" vertical="center"/>
    </xf>
    <xf numFmtId="0" fontId="6" fillId="4" borderId="34" xfId="4" applyFont="1" applyFill="1" applyBorder="1" applyAlignment="1">
      <alignment horizontal="left" indent="1"/>
    </xf>
    <xf numFmtId="0" fontId="6" fillId="4" borderId="233" xfId="4" applyFont="1" applyFill="1" applyBorder="1" applyAlignment="1">
      <alignment horizontal="center"/>
    </xf>
    <xf numFmtId="167" fontId="0" fillId="4" borderId="13" xfId="0" applyNumberFormat="1" applyFill="1" applyBorder="1" applyAlignment="1">
      <alignment horizontal="left" indent="1"/>
    </xf>
    <xf numFmtId="167" fontId="0" fillId="4" borderId="13" xfId="4" applyNumberFormat="1" applyFont="1" applyFill="1" applyBorder="1" applyAlignment="1">
      <alignment horizontal="left" indent="1"/>
    </xf>
    <xf numFmtId="2" fontId="6" fillId="4" borderId="233" xfId="4" applyNumberFormat="1" applyFont="1" applyFill="1" applyBorder="1" applyAlignment="1">
      <alignment horizontal="center" vertical="center"/>
    </xf>
    <xf numFmtId="169" fontId="0" fillId="4" borderId="13" xfId="0" applyNumberFormat="1" applyFill="1" applyBorder="1" applyAlignment="1">
      <alignment horizontal="left" indent="1"/>
    </xf>
    <xf numFmtId="168" fontId="6" fillId="4" borderId="13" xfId="4" applyNumberFormat="1" applyFont="1" applyFill="1" applyBorder="1" applyAlignment="1">
      <alignment horizontal="left" indent="1"/>
    </xf>
    <xf numFmtId="167" fontId="6" fillId="4" borderId="13" xfId="4" applyNumberFormat="1" applyFont="1" applyFill="1" applyBorder="1" applyAlignment="1">
      <alignment horizontal="left" indent="1"/>
    </xf>
    <xf numFmtId="170" fontId="0" fillId="4" borderId="13" xfId="0" applyNumberFormat="1" applyFill="1" applyBorder="1" applyAlignment="1">
      <alignment horizontal="left" indent="1"/>
    </xf>
    <xf numFmtId="40" fontId="6" fillId="4" borderId="13" xfId="4" applyNumberFormat="1" applyFont="1" applyFill="1" applyBorder="1" applyAlignment="1">
      <alignment horizontal="left" indent="1"/>
    </xf>
    <xf numFmtId="169" fontId="6" fillId="4" borderId="13" xfId="4" applyNumberFormat="1" applyFont="1" applyFill="1" applyBorder="1" applyAlignment="1">
      <alignment horizontal="left" indent="1"/>
    </xf>
    <xf numFmtId="1" fontId="6" fillId="4" borderId="246" xfId="4" applyNumberFormat="1" applyFont="1" applyFill="1" applyBorder="1" applyAlignment="1">
      <alignment horizontal="center"/>
    </xf>
    <xf numFmtId="172" fontId="6" fillId="4" borderId="246" xfId="4" applyNumberFormat="1" applyFont="1" applyFill="1" applyBorder="1" applyAlignment="1">
      <alignment horizontal="center" vertical="center"/>
    </xf>
    <xf numFmtId="166" fontId="6" fillId="4" borderId="234" xfId="4" applyNumberFormat="1" applyFont="1" applyFill="1" applyBorder="1" applyAlignment="1">
      <alignment horizontal="center"/>
    </xf>
    <xf numFmtId="172" fontId="6" fillId="4" borderId="122" xfId="4" applyNumberFormat="1" applyFont="1" applyFill="1" applyBorder="1" applyAlignment="1">
      <alignment horizontal="center" vertical="center"/>
    </xf>
    <xf numFmtId="2" fontId="6" fillId="4" borderId="234" xfId="4" applyNumberFormat="1" applyFont="1" applyFill="1" applyBorder="1" applyAlignment="1">
      <alignment horizontal="center" vertical="center"/>
    </xf>
    <xf numFmtId="1" fontId="6" fillId="4" borderId="122" xfId="4" applyNumberFormat="1" applyFont="1" applyFill="1" applyBorder="1" applyAlignment="1">
      <alignment horizontal="center"/>
    </xf>
    <xf numFmtId="0" fontId="6" fillId="4" borderId="234" xfId="4" applyFont="1" applyFill="1" applyBorder="1" applyAlignment="1">
      <alignment horizontal="center"/>
    </xf>
    <xf numFmtId="171" fontId="21" fillId="4" borderId="175" xfId="4" applyNumberFormat="1" applyFont="1" applyFill="1" applyBorder="1" applyAlignment="1">
      <alignment horizontal="center"/>
    </xf>
    <xf numFmtId="165" fontId="6" fillId="4" borderId="175" xfId="4" applyNumberFormat="1" applyFont="1" applyFill="1" applyBorder="1" applyAlignment="1">
      <alignment horizontal="center"/>
    </xf>
    <xf numFmtId="0" fontId="75" fillId="8" borderId="174" xfId="5" applyFont="1" applyFill="1" applyBorder="1" applyAlignment="1">
      <alignment horizontal="centerContinuous" vertical="center"/>
    </xf>
    <xf numFmtId="0" fontId="75" fillId="8" borderId="173" xfId="5" applyFont="1" applyFill="1" applyBorder="1" applyAlignment="1">
      <alignment horizontal="centerContinuous" vertical="center"/>
    </xf>
    <xf numFmtId="0" fontId="75" fillId="8" borderId="213" xfId="5" applyFont="1" applyFill="1" applyBorder="1" applyAlignment="1">
      <alignment horizontal="centerContinuous" vertical="center"/>
    </xf>
    <xf numFmtId="0" fontId="13" fillId="8" borderId="174" xfId="4" applyFont="1" applyFill="1" applyBorder="1" applyAlignment="1">
      <alignment horizontal="centerContinuous" vertical="center"/>
    </xf>
    <xf numFmtId="0" fontId="13" fillId="8" borderId="173" xfId="6" applyFont="1" applyFill="1" applyBorder="1" applyAlignment="1">
      <alignment horizontal="center"/>
    </xf>
    <xf numFmtId="0" fontId="13" fillId="8" borderId="173" xfId="6" applyFont="1" applyFill="1" applyBorder="1" applyAlignment="1">
      <alignment horizontal="centerContinuous" vertical="center"/>
    </xf>
    <xf numFmtId="0" fontId="13" fillId="8" borderId="173" xfId="4" applyFont="1" applyFill="1" applyBorder="1" applyAlignment="1">
      <alignment horizontal="centerContinuous" vertical="center"/>
    </xf>
    <xf numFmtId="0" fontId="13" fillId="8" borderId="173" xfId="4" applyFont="1" applyFill="1" applyBorder="1" applyAlignment="1">
      <alignment horizontal="center"/>
    </xf>
    <xf numFmtId="0" fontId="13" fillId="4" borderId="171" xfId="6" applyFont="1" applyFill="1" applyBorder="1"/>
    <xf numFmtId="0" fontId="13" fillId="4" borderId="215" xfId="6" applyFont="1" applyFill="1" applyBorder="1"/>
    <xf numFmtId="0" fontId="13" fillId="4" borderId="172" xfId="6" applyFont="1" applyFill="1" applyBorder="1"/>
    <xf numFmtId="2" fontId="6" fillId="4" borderId="176" xfId="5" applyNumberFormat="1" applyFont="1" applyFill="1" applyBorder="1" applyAlignment="1">
      <alignment horizontal="center" vertical="center"/>
    </xf>
    <xf numFmtId="0" fontId="47" fillId="4" borderId="245" xfId="6" applyFont="1" applyFill="1" applyBorder="1"/>
    <xf numFmtId="0" fontId="47" fillId="4" borderId="246" xfId="6" applyFont="1" applyFill="1" applyBorder="1"/>
    <xf numFmtId="0" fontId="13" fillId="4" borderId="245" xfId="6" applyFont="1" applyFill="1" applyBorder="1"/>
    <xf numFmtId="183" fontId="6" fillId="4" borderId="176" xfId="4" applyNumberFormat="1" applyFont="1" applyFill="1" applyBorder="1" applyAlignment="1">
      <alignment horizontal="center" vertical="center"/>
    </xf>
    <xf numFmtId="0" fontId="21" fillId="4" borderId="122" xfId="4" applyFont="1" applyFill="1" applyBorder="1" applyAlignment="1">
      <alignment horizontal="left" vertical="center" indent="1"/>
    </xf>
    <xf numFmtId="0" fontId="0" fillId="4" borderId="153" xfId="0" applyFill="1" applyBorder="1" applyAlignment="1">
      <alignment horizontal="right" vertical="center"/>
    </xf>
    <xf numFmtId="170" fontId="6" fillId="4" borderId="153" xfId="4" applyNumberFormat="1" applyFont="1" applyFill="1" applyBorder="1" applyAlignment="1">
      <alignment horizontal="center" vertical="center"/>
    </xf>
    <xf numFmtId="0" fontId="6" fillId="4" borderId="154" xfId="4" applyFont="1" applyFill="1" applyBorder="1" applyAlignment="1">
      <alignment vertical="center"/>
    </xf>
    <xf numFmtId="0" fontId="25" fillId="4" borderId="176" xfId="8" applyFont="1" applyFill="1" applyBorder="1" applyAlignment="1">
      <alignment horizontal="center" vertical="center"/>
    </xf>
    <xf numFmtId="168" fontId="27" fillId="4" borderId="176" xfId="9" applyNumberFormat="1" applyFont="1" applyFill="1" applyBorder="1" applyAlignment="1">
      <alignment horizontal="center" vertical="center"/>
    </xf>
    <xf numFmtId="170" fontId="27" fillId="4" borderId="176" xfId="9" applyNumberFormat="1" applyFont="1" applyFill="1" applyBorder="1" applyAlignment="1">
      <alignment horizontal="center" vertical="center"/>
    </xf>
    <xf numFmtId="0" fontId="6" fillId="4" borderId="245" xfId="4" applyFont="1" applyFill="1" applyBorder="1" applyAlignment="1">
      <alignment horizontal="center"/>
    </xf>
    <xf numFmtId="167" fontId="27" fillId="4" borderId="176" xfId="9" applyNumberFormat="1" applyFont="1" applyFill="1" applyBorder="1" applyAlignment="1">
      <alignment horizontal="center" vertical="center"/>
    </xf>
    <xf numFmtId="40" fontId="27" fillId="4" borderId="176" xfId="9" applyNumberFormat="1" applyFont="1" applyFill="1" applyBorder="1" applyAlignment="1">
      <alignment horizontal="center" vertical="center"/>
    </xf>
    <xf numFmtId="169" fontId="27" fillId="4" borderId="176" xfId="9" applyNumberFormat="1" applyFont="1" applyFill="1" applyBorder="1" applyAlignment="1">
      <alignment horizontal="center" vertical="center"/>
    </xf>
    <xf numFmtId="2" fontId="21" fillId="4" borderId="176" xfId="8" applyNumberFormat="1" applyFont="1" applyFill="1" applyBorder="1" applyAlignment="1">
      <alignment horizontal="center" vertical="center"/>
    </xf>
    <xf numFmtId="168" fontId="21" fillId="4" borderId="176" xfId="9" applyNumberFormat="1" applyFont="1" applyFill="1" applyBorder="1" applyAlignment="1" applyProtection="1">
      <alignment horizontal="center" vertical="center"/>
    </xf>
    <xf numFmtId="170" fontId="21" fillId="4" borderId="176" xfId="9" applyNumberFormat="1" applyFont="1" applyFill="1" applyBorder="1" applyAlignment="1" applyProtection="1">
      <alignment horizontal="center" vertical="center"/>
    </xf>
    <xf numFmtId="167" fontId="21" fillId="4" borderId="176" xfId="9" applyNumberFormat="1" applyFont="1" applyFill="1" applyBorder="1" applyAlignment="1" applyProtection="1">
      <alignment horizontal="center" vertical="center"/>
    </xf>
    <xf numFmtId="40" fontId="21" fillId="4" borderId="176" xfId="9" applyNumberFormat="1" applyFont="1" applyFill="1" applyBorder="1" applyAlignment="1" applyProtection="1">
      <alignment horizontal="center" vertical="center"/>
    </xf>
    <xf numFmtId="169" fontId="21" fillId="4" borderId="176" xfId="9" applyNumberFormat="1" applyFont="1" applyFill="1" applyBorder="1" applyAlignment="1" applyProtection="1">
      <alignment horizontal="center" vertical="center"/>
    </xf>
    <xf numFmtId="0" fontId="6" fillId="4" borderId="121" xfId="4" applyFont="1" applyFill="1" applyBorder="1" applyAlignment="1">
      <alignment horizontal="center"/>
    </xf>
    <xf numFmtId="0" fontId="6" fillId="4" borderId="154" xfId="4" applyFont="1" applyFill="1" applyBorder="1" applyAlignment="1">
      <alignment horizontal="center"/>
    </xf>
    <xf numFmtId="0" fontId="6" fillId="6" borderId="174" xfId="4" applyFont="1" applyFill="1" applyBorder="1" applyAlignment="1">
      <alignment horizontal="centerContinuous"/>
    </xf>
    <xf numFmtId="0" fontId="6" fillId="6" borderId="213" xfId="4" applyFont="1" applyFill="1" applyBorder="1" applyAlignment="1">
      <alignment horizontal="centerContinuous"/>
    </xf>
    <xf numFmtId="0" fontId="6" fillId="4" borderId="174" xfId="4" applyFont="1" applyFill="1" applyBorder="1"/>
    <xf numFmtId="171" fontId="67" fillId="4" borderId="176" xfId="4" applyNumberFormat="1" applyFont="1" applyFill="1" applyBorder="1" applyAlignment="1">
      <alignment horizontal="centerContinuous"/>
    </xf>
    <xf numFmtId="0" fontId="13" fillId="8" borderId="175" xfId="6" applyFont="1" applyFill="1" applyBorder="1" applyAlignment="1">
      <alignment horizontal="centerContinuous"/>
    </xf>
    <xf numFmtId="0" fontId="15" fillId="4" borderId="171" xfId="4" applyFill="1" applyBorder="1" applyAlignment="1">
      <alignment horizontal="center"/>
    </xf>
    <xf numFmtId="0" fontId="6" fillId="4" borderId="173" xfId="4" applyFont="1" applyFill="1" applyBorder="1" applyAlignment="1">
      <alignment horizontal="centerContinuous"/>
    </xf>
    <xf numFmtId="0" fontId="15" fillId="4" borderId="172" xfId="4" applyFill="1" applyBorder="1" applyAlignment="1">
      <alignment horizontal="center"/>
    </xf>
    <xf numFmtId="0" fontId="13" fillId="8" borderId="176" xfId="6" applyFont="1" applyFill="1" applyBorder="1" applyAlignment="1">
      <alignment horizontal="centerContinuous" vertical="center"/>
    </xf>
    <xf numFmtId="0" fontId="15" fillId="4" borderId="121" xfId="4" applyFill="1" applyBorder="1"/>
    <xf numFmtId="0" fontId="6" fillId="4" borderId="176" xfId="4" applyFont="1" applyFill="1" applyBorder="1" applyAlignment="1">
      <alignment horizontal="center" vertical="center" shrinkToFit="1"/>
    </xf>
    <xf numFmtId="0" fontId="15" fillId="4" borderId="122" xfId="4" applyFill="1" applyBorder="1"/>
    <xf numFmtId="0" fontId="6" fillId="4" borderId="174" xfId="21" applyFont="1" applyFill="1" applyBorder="1"/>
    <xf numFmtId="0" fontId="6" fillId="4" borderId="173" xfId="21" applyFont="1" applyFill="1" applyBorder="1"/>
    <xf numFmtId="0" fontId="6" fillId="4" borderId="173" xfId="21" applyFont="1" applyFill="1" applyBorder="1" applyAlignment="1">
      <alignment vertical="center"/>
    </xf>
    <xf numFmtId="0" fontId="6" fillId="4" borderId="213" xfId="21" applyFont="1" applyFill="1" applyBorder="1"/>
    <xf numFmtId="0" fontId="20" fillId="4" borderId="215" xfId="4" applyFont="1" applyFill="1" applyBorder="1" applyAlignment="1">
      <alignment horizontal="centerContinuous"/>
    </xf>
    <xf numFmtId="0" fontId="21" fillId="4" borderId="122" xfId="4" applyFont="1" applyFill="1" applyBorder="1" applyAlignment="1">
      <alignment horizontal="center" vertical="center"/>
    </xf>
    <xf numFmtId="171" fontId="0" fillId="4" borderId="153" xfId="0" applyNumberFormat="1" applyFill="1" applyBorder="1" applyAlignment="1">
      <alignment horizontal="center" vertical="center"/>
    </xf>
    <xf numFmtId="172" fontId="25" fillId="4" borderId="176" xfId="8" applyNumberFormat="1" applyFont="1" applyFill="1" applyBorder="1" applyAlignment="1">
      <alignment horizontal="center" vertical="center"/>
    </xf>
    <xf numFmtId="2" fontId="27" fillId="4" borderId="176" xfId="9" applyNumberFormat="1" applyFont="1" applyFill="1" applyBorder="1" applyAlignment="1">
      <alignment horizontal="center" vertical="center"/>
    </xf>
    <xf numFmtId="171" fontId="27" fillId="4" borderId="176" xfId="9" applyNumberFormat="1" applyFont="1" applyFill="1" applyBorder="1" applyAlignment="1">
      <alignment horizontal="center" vertical="center"/>
    </xf>
    <xf numFmtId="172" fontId="25" fillId="4" borderId="213" xfId="8" applyNumberFormat="1" applyFont="1" applyFill="1" applyBorder="1" applyAlignment="1">
      <alignment horizontal="center" vertical="center"/>
    </xf>
    <xf numFmtId="165" fontId="27" fillId="4" borderId="176" xfId="9" applyNumberFormat="1" applyFont="1" applyFill="1" applyBorder="1" applyAlignment="1">
      <alignment horizontal="center" vertical="center"/>
    </xf>
    <xf numFmtId="166" fontId="27" fillId="4" borderId="176" xfId="9" applyNumberFormat="1" applyFont="1" applyFill="1" applyBorder="1" applyAlignment="1">
      <alignment horizontal="center" vertical="center"/>
    </xf>
    <xf numFmtId="172" fontId="27" fillId="4" borderId="176" xfId="9" applyNumberFormat="1" applyFont="1" applyFill="1" applyBorder="1" applyAlignment="1">
      <alignment horizontal="center" vertical="center"/>
    </xf>
    <xf numFmtId="166" fontId="21" fillId="4" borderId="176" xfId="8" applyNumberFormat="1" applyFont="1" applyFill="1" applyBorder="1" applyAlignment="1">
      <alignment horizontal="center" vertical="center"/>
    </xf>
    <xf numFmtId="2" fontId="21" fillId="4" borderId="176" xfId="9" applyNumberFormat="1" applyFont="1" applyFill="1" applyBorder="1" applyAlignment="1" applyProtection="1">
      <alignment horizontal="center" vertical="center"/>
    </xf>
    <xf numFmtId="171" fontId="21" fillId="4" borderId="176" xfId="9" applyNumberFormat="1" applyFont="1" applyFill="1" applyBorder="1" applyAlignment="1" applyProtection="1">
      <alignment horizontal="center" vertical="center"/>
    </xf>
    <xf numFmtId="166" fontId="21" fillId="4" borderId="213" xfId="8" applyNumberFormat="1" applyFont="1" applyFill="1" applyBorder="1" applyAlignment="1">
      <alignment horizontal="center" vertical="center"/>
    </xf>
    <xf numFmtId="165" fontId="21" fillId="4" borderId="176" xfId="9" applyNumberFormat="1" applyFont="1" applyFill="1" applyBorder="1" applyAlignment="1" applyProtection="1">
      <alignment horizontal="center" vertical="center"/>
    </xf>
    <xf numFmtId="166" fontId="21" fillId="4" borderId="176" xfId="9" applyNumberFormat="1" applyFont="1" applyFill="1" applyBorder="1" applyAlignment="1" applyProtection="1">
      <alignment horizontal="center" vertical="center"/>
    </xf>
    <xf numFmtId="172" fontId="21" fillId="4" borderId="176" xfId="9" applyNumberFormat="1" applyFont="1" applyFill="1" applyBorder="1" applyAlignment="1" applyProtection="1">
      <alignment horizontal="center" vertical="center"/>
    </xf>
    <xf numFmtId="166" fontId="27" fillId="4" borderId="154" xfId="9" applyNumberFormat="1" applyFont="1" applyFill="1" applyBorder="1" applyAlignment="1">
      <alignment horizontal="center" vertical="center"/>
    </xf>
    <xf numFmtId="0" fontId="44" fillId="4" borderId="174" xfId="26" applyFont="1" applyFill="1" applyBorder="1" applyProtection="1">
      <protection hidden="1"/>
    </xf>
    <xf numFmtId="0" fontId="0" fillId="4" borderId="121" xfId="0" applyFill="1" applyBorder="1" applyAlignment="1">
      <alignment horizontal="center" vertical="center" shrinkToFit="1"/>
    </xf>
    <xf numFmtId="166" fontId="67" fillId="4" borderId="176" xfId="4" applyNumberFormat="1" applyFont="1" applyFill="1" applyBorder="1" applyAlignment="1">
      <alignment horizontal="center"/>
    </xf>
    <xf numFmtId="191" fontId="0" fillId="4" borderId="176" xfId="0" applyNumberFormat="1" applyFill="1" applyBorder="1" applyAlignment="1">
      <alignment horizontal="center" vertical="center" shrinkToFit="1"/>
    </xf>
    <xf numFmtId="189" fontId="44" fillId="4" borderId="176" xfId="26" applyNumberFormat="1" applyFont="1" applyFill="1" applyBorder="1" applyAlignment="1" applyProtection="1">
      <alignment horizontal="center" vertical="center" shrinkToFit="1"/>
      <protection hidden="1"/>
    </xf>
    <xf numFmtId="0" fontId="0" fillId="4" borderId="213" xfId="0" applyFill="1" applyBorder="1"/>
    <xf numFmtId="0" fontId="13" fillId="8" borderId="173" xfId="6" applyFont="1" applyFill="1" applyBorder="1" applyAlignment="1">
      <alignment horizontal="center" vertical="center"/>
    </xf>
    <xf numFmtId="0" fontId="13" fillId="8" borderId="173" xfId="6" applyFont="1" applyFill="1" applyBorder="1"/>
    <xf numFmtId="0" fontId="13" fillId="8" borderId="213" xfId="4" applyFont="1" applyFill="1" applyBorder="1" applyAlignment="1">
      <alignment horizontal="centerContinuous" vertical="center"/>
    </xf>
    <xf numFmtId="0" fontId="7" fillId="4" borderId="172" xfId="2" applyFill="1" applyBorder="1" applyAlignment="1" applyProtection="1">
      <alignment horizontal="left" vertical="center" indent="1"/>
    </xf>
    <xf numFmtId="194" fontId="0" fillId="4" borderId="176" xfId="0" applyNumberFormat="1" applyFill="1" applyBorder="1" applyAlignment="1">
      <alignment horizontal="center" vertical="center"/>
    </xf>
    <xf numFmtId="176" fontId="0" fillId="4" borderId="175" xfId="0" applyNumberFormat="1" applyFill="1" applyBorder="1" applyAlignment="1">
      <alignment horizontal="center" vertical="center"/>
    </xf>
    <xf numFmtId="0" fontId="6" fillId="4" borderId="153" xfId="5" applyFont="1" applyFill="1" applyBorder="1" applyAlignment="1">
      <alignment horizontal="right" vertical="center"/>
    </xf>
    <xf numFmtId="40" fontId="0" fillId="4" borderId="153" xfId="0" applyNumberFormat="1" applyFill="1" applyBorder="1" applyAlignment="1">
      <alignment vertical="center"/>
    </xf>
    <xf numFmtId="0" fontId="44" fillId="4" borderId="215" xfId="26" applyFont="1" applyFill="1" applyBorder="1" applyProtection="1">
      <protection hidden="1"/>
    </xf>
    <xf numFmtId="0" fontId="6" fillId="4" borderId="171" xfId="4" applyFont="1" applyFill="1" applyBorder="1" applyAlignment="1">
      <alignment horizontal="center"/>
    </xf>
    <xf numFmtId="0" fontId="44" fillId="4" borderId="171" xfId="26" applyFont="1" applyFill="1" applyBorder="1" applyProtection="1">
      <protection hidden="1"/>
    </xf>
    <xf numFmtId="0" fontId="44" fillId="4" borderId="245" xfId="26" applyFont="1" applyFill="1" applyBorder="1" applyProtection="1">
      <protection hidden="1"/>
    </xf>
    <xf numFmtId="0" fontId="44" fillId="4" borderId="121" xfId="26" applyFont="1" applyFill="1" applyBorder="1" applyProtection="1">
      <protection hidden="1"/>
    </xf>
    <xf numFmtId="0" fontId="6" fillId="4" borderId="0" xfId="63" applyFill="1"/>
    <xf numFmtId="0" fontId="11" fillId="4" borderId="0" xfId="63" applyFont="1" applyFill="1" applyAlignment="1">
      <alignment vertical="center"/>
    </xf>
    <xf numFmtId="0" fontId="6" fillId="11" borderId="0" xfId="63" applyFill="1"/>
    <xf numFmtId="0" fontId="41" fillId="4" borderId="0" xfId="63" applyFont="1" applyFill="1" applyAlignment="1">
      <alignment horizontal="centerContinuous" vertical="center"/>
    </xf>
    <xf numFmtId="0" fontId="42" fillId="4" borderId="0" xfId="61" applyFont="1" applyFill="1" applyAlignment="1">
      <alignment horizontal="left" vertical="center" readingOrder="1"/>
    </xf>
    <xf numFmtId="0" fontId="13" fillId="3" borderId="1" xfId="64" applyFont="1" applyFill="1" applyBorder="1" applyAlignment="1">
      <alignment horizontal="left" vertical="center" indent="1"/>
    </xf>
    <xf numFmtId="0" fontId="43" fillId="4" borderId="0" xfId="61" applyFont="1" applyFill="1" applyAlignment="1">
      <alignment horizontal="left" vertical="center" readingOrder="1"/>
    </xf>
    <xf numFmtId="0" fontId="44" fillId="4" borderId="0" xfId="61" applyFont="1" applyFill="1" applyAlignment="1">
      <alignment horizontal="left" vertical="center" readingOrder="1"/>
    </xf>
    <xf numFmtId="0" fontId="0" fillId="4" borderId="58" xfId="2" applyFont="1" applyFill="1" applyBorder="1" applyAlignment="1" applyProtection="1">
      <alignment horizontal="left" vertical="center" wrapText="1" indent="1"/>
    </xf>
    <xf numFmtId="0" fontId="45" fillId="4" borderId="0" xfId="61" applyFont="1" applyFill="1" applyAlignment="1">
      <alignment horizontal="left" vertical="center" readingOrder="1"/>
    </xf>
    <xf numFmtId="0" fontId="13" fillId="3" borderId="38" xfId="64" applyFont="1" applyFill="1" applyBorder="1" applyAlignment="1">
      <alignment horizontal="left" vertical="center" indent="1"/>
    </xf>
    <xf numFmtId="0" fontId="6" fillId="3" borderId="38" xfId="63" applyFill="1" applyBorder="1"/>
    <xf numFmtId="0" fontId="1" fillId="4" borderId="0" xfId="64" applyFill="1"/>
    <xf numFmtId="0" fontId="1" fillId="5" borderId="0" xfId="64" applyFill="1"/>
    <xf numFmtId="0" fontId="1" fillId="4" borderId="0" xfId="64" applyFill="1" applyAlignment="1">
      <alignment vertical="center"/>
    </xf>
    <xf numFmtId="0" fontId="1" fillId="11" borderId="0" xfId="64" applyFill="1"/>
    <xf numFmtId="0" fontId="39" fillId="2" borderId="0" xfId="0" applyFont="1" applyFill="1" applyAlignment="1">
      <alignment vertical="center"/>
    </xf>
    <xf numFmtId="0" fontId="21" fillId="2" borderId="0" xfId="0" applyFont="1" applyFill="1" applyAlignment="1">
      <alignment vertical="center"/>
    </xf>
    <xf numFmtId="0" fontId="0" fillId="2" borderId="0" xfId="0" applyFill="1" applyAlignment="1">
      <alignment vertical="center"/>
    </xf>
    <xf numFmtId="0" fontId="39" fillId="0" borderId="0" xfId="0" applyFont="1" applyAlignment="1">
      <alignment vertical="center"/>
    </xf>
    <xf numFmtId="0" fontId="21" fillId="0" borderId="0" xfId="0" applyFont="1" applyAlignment="1">
      <alignment vertical="center"/>
    </xf>
    <xf numFmtId="0" fontId="0" fillId="0" borderId="0" xfId="0" applyAlignment="1">
      <alignment vertical="center"/>
    </xf>
    <xf numFmtId="0" fontId="162" fillId="0" borderId="0" xfId="0" applyFont="1"/>
    <xf numFmtId="0" fontId="0" fillId="0" borderId="0" xfId="0" applyAlignment="1">
      <alignment horizontal="right"/>
    </xf>
    <xf numFmtId="0" fontId="0" fillId="4" borderId="220" xfId="0" applyFill="1" applyBorder="1" applyAlignment="1">
      <alignment horizontal="center" vertical="center"/>
    </xf>
    <xf numFmtId="0" fontId="0" fillId="4" borderId="221" xfId="0" applyFill="1" applyBorder="1" applyAlignment="1">
      <alignment horizontal="center" vertical="center"/>
    </xf>
    <xf numFmtId="0" fontId="0" fillId="0" borderId="220" xfId="0" applyBorder="1" applyAlignment="1">
      <alignment horizontal="left" vertical="center" indent="1"/>
    </xf>
    <xf numFmtId="0" fontId="0" fillId="0" borderId="221" xfId="0" applyBorder="1" applyAlignment="1">
      <alignment horizontal="left" vertical="center" indent="1"/>
    </xf>
    <xf numFmtId="0" fontId="0" fillId="0" borderId="222" xfId="0" applyBorder="1" applyAlignment="1">
      <alignment horizontal="left" vertical="center" indent="1"/>
    </xf>
    <xf numFmtId="0" fontId="0" fillId="0" borderId="259" xfId="0" applyBorder="1" applyAlignment="1">
      <alignment horizontal="left" vertical="center" indent="1"/>
    </xf>
    <xf numFmtId="0" fontId="0" fillId="25" borderId="0" xfId="0" applyFill="1"/>
    <xf numFmtId="0" fontId="1" fillId="0" borderId="0" xfId="64"/>
    <xf numFmtId="0" fontId="1" fillId="3" borderId="1" xfId="64" applyFill="1" applyBorder="1" applyAlignment="1">
      <alignment horizontal="left" vertical="center"/>
    </xf>
    <xf numFmtId="0" fontId="0" fillId="0" borderId="0" xfId="0" applyAlignment="1">
      <alignment vertical="top" wrapText="1"/>
    </xf>
    <xf numFmtId="0" fontId="0" fillId="0" borderId="220" xfId="0" applyBorder="1" applyAlignment="1">
      <alignment vertical="center"/>
    </xf>
    <xf numFmtId="0" fontId="0" fillId="0" borderId="222" xfId="0" applyBorder="1" applyAlignment="1">
      <alignment vertical="center"/>
    </xf>
    <xf numFmtId="0" fontId="0" fillId="0" borderId="0" xfId="0" applyAlignment="1">
      <alignment horizontal="center"/>
    </xf>
    <xf numFmtId="0" fontId="0" fillId="0" borderId="0" xfId="0" applyAlignment="1">
      <alignment vertical="center" wrapText="1"/>
    </xf>
    <xf numFmtId="49" fontId="0" fillId="0" borderId="221" xfId="0" applyNumberFormat="1" applyBorder="1" applyAlignment="1">
      <alignment horizontal="left" vertical="center" indent="1"/>
    </xf>
    <xf numFmtId="49" fontId="0" fillId="0" borderId="259" xfId="0" applyNumberFormat="1" applyBorder="1" applyAlignment="1">
      <alignment horizontal="left" vertical="center" indent="1"/>
    </xf>
    <xf numFmtId="0" fontId="166" fillId="2" borderId="0" xfId="0" applyFont="1" applyFill="1" applyAlignment="1">
      <alignment vertical="center"/>
    </xf>
    <xf numFmtId="0" fontId="166" fillId="0" borderId="0" xfId="0" applyFont="1" applyAlignment="1">
      <alignment vertical="center"/>
    </xf>
    <xf numFmtId="0" fontId="0" fillId="0" borderId="0" xfId="0" applyAlignment="1">
      <alignment horizontal="left" vertical="center" indent="1"/>
    </xf>
    <xf numFmtId="49" fontId="0" fillId="0" borderId="0" xfId="0" applyNumberFormat="1" applyAlignment="1">
      <alignment horizontal="left" vertical="center" indent="1"/>
    </xf>
    <xf numFmtId="0" fontId="0" fillId="0" borderId="221" xfId="0" quotePrefix="1" applyBorder="1" applyAlignment="1">
      <alignment horizontal="left" vertical="center" indent="1"/>
    </xf>
    <xf numFmtId="0" fontId="0" fillId="0" borderId="259" xfId="0" quotePrefix="1" applyBorder="1" applyAlignment="1">
      <alignment horizontal="left" vertical="center" indent="1"/>
    </xf>
    <xf numFmtId="0" fontId="1" fillId="19" borderId="0" xfId="64" applyFill="1"/>
    <xf numFmtId="0" fontId="6" fillId="0" borderId="0" xfId="63"/>
    <xf numFmtId="0" fontId="41" fillId="0" borderId="0" xfId="63" applyFont="1" applyAlignment="1">
      <alignment horizontal="centerContinuous" vertical="center"/>
    </xf>
    <xf numFmtId="0" fontId="42" fillId="0" borderId="0" xfId="61" applyFont="1" applyAlignment="1">
      <alignment horizontal="left" vertical="center" readingOrder="1"/>
    </xf>
    <xf numFmtId="0" fontId="6" fillId="3" borderId="1" xfId="63" applyFill="1" applyBorder="1"/>
    <xf numFmtId="0" fontId="168" fillId="0" borderId="0" xfId="0" applyFont="1" applyAlignment="1">
      <alignment vertical="center"/>
    </xf>
    <xf numFmtId="0" fontId="169" fillId="0" borderId="0" xfId="0" applyFont="1" applyAlignment="1">
      <alignment vertical="center"/>
    </xf>
    <xf numFmtId="0" fontId="6" fillId="3" borderId="0" xfId="63" applyFill="1"/>
    <xf numFmtId="0" fontId="0" fillId="26" borderId="172" xfId="0" applyFill="1" applyBorder="1"/>
    <xf numFmtId="0" fontId="6" fillId="26" borderId="175" xfId="63" applyFill="1" applyBorder="1"/>
    <xf numFmtId="0" fontId="170" fillId="26" borderId="175" xfId="0" applyFont="1" applyFill="1" applyBorder="1" applyAlignment="1">
      <alignment horizontal="right" vertical="center"/>
    </xf>
    <xf numFmtId="0" fontId="12" fillId="26" borderId="175" xfId="0" applyFont="1" applyFill="1" applyBorder="1" applyAlignment="1">
      <alignment vertical="center"/>
    </xf>
    <xf numFmtId="0" fontId="6" fillId="26" borderId="215" xfId="63" applyFill="1" applyBorder="1"/>
    <xf numFmtId="0" fontId="0" fillId="26" borderId="122" xfId="0" applyFill="1" applyBorder="1"/>
    <xf numFmtId="0" fontId="6" fillId="26" borderId="153" xfId="63" applyFill="1" applyBorder="1"/>
    <xf numFmtId="0" fontId="171" fillId="26" borderId="153" xfId="0" applyFont="1" applyFill="1" applyBorder="1" applyAlignment="1">
      <alignment horizontal="right" vertical="center"/>
    </xf>
    <xf numFmtId="0" fontId="0" fillId="26" borderId="153" xfId="0" applyFill="1" applyBorder="1" applyAlignment="1">
      <alignment vertical="center"/>
    </xf>
    <xf numFmtId="0" fontId="6" fillId="26" borderId="154" xfId="63" applyFill="1" applyBorder="1"/>
    <xf numFmtId="0" fontId="0" fillId="0" borderId="0" xfId="0" applyAlignment="1">
      <alignment horizontal="center" vertical="center"/>
    </xf>
    <xf numFmtId="0" fontId="6" fillId="0" borderId="0" xfId="63" applyAlignment="1">
      <alignment horizontal="center"/>
    </xf>
    <xf numFmtId="0" fontId="6" fillId="0" borderId="0" xfId="63" applyAlignment="1">
      <alignment vertical="center"/>
    </xf>
    <xf numFmtId="0" fontId="171" fillId="0" borderId="0" xfId="0" applyFont="1" applyAlignment="1">
      <alignment horizontal="right" vertical="top"/>
    </xf>
    <xf numFmtId="0" fontId="0" fillId="0" borderId="0" xfId="0" applyAlignment="1">
      <alignment vertical="top"/>
    </xf>
    <xf numFmtId="0" fontId="0" fillId="0" borderId="178" xfId="0" applyBorder="1" applyAlignment="1">
      <alignment horizontal="center" vertical="center"/>
    </xf>
    <xf numFmtId="0" fontId="55" fillId="0" borderId="0" xfId="0" applyFont="1" applyAlignment="1">
      <alignment horizontal="center" vertical="center"/>
    </xf>
    <xf numFmtId="0" fontId="55" fillId="0" borderId="0" xfId="0" applyFont="1" applyAlignment="1">
      <alignment vertical="center" wrapText="1"/>
    </xf>
    <xf numFmtId="0" fontId="0" fillId="0" borderId="0" xfId="0" applyAlignment="1">
      <alignment horizontal="left" vertical="center"/>
    </xf>
    <xf numFmtId="0" fontId="0" fillId="0" borderId="180" xfId="0" applyBorder="1" applyAlignment="1">
      <alignment vertical="center"/>
    </xf>
    <xf numFmtId="0" fontId="100" fillId="0" borderId="185" xfId="0" applyFont="1" applyBorder="1" applyAlignment="1">
      <alignment vertical="center"/>
    </xf>
    <xf numFmtId="0" fontId="0" fillId="0" borderId="186" xfId="0" applyBorder="1" applyAlignment="1">
      <alignment vertical="center"/>
    </xf>
    <xf numFmtId="0" fontId="0" fillId="0" borderId="195" xfId="0" applyBorder="1" applyAlignment="1">
      <alignment vertical="center"/>
    </xf>
    <xf numFmtId="0" fontId="41" fillId="0" borderId="0" xfId="63" applyFont="1" applyAlignment="1">
      <alignment horizontal="left" indent="1"/>
    </xf>
    <xf numFmtId="0" fontId="175" fillId="0" borderId="0" xfId="0" applyFont="1" applyAlignment="1">
      <alignment horizontal="left" indent="1"/>
    </xf>
    <xf numFmtId="0" fontId="175" fillId="0" borderId="0" xfId="0" applyFont="1" applyAlignment="1">
      <alignment horizontal="left" vertical="center" indent="1"/>
    </xf>
    <xf numFmtId="0" fontId="170" fillId="0" borderId="0" xfId="0" applyFont="1" applyAlignment="1">
      <alignment horizontal="right" vertical="center"/>
    </xf>
    <xf numFmtId="0" fontId="12" fillId="0" borderId="0" xfId="0" applyFont="1" applyAlignment="1">
      <alignment vertical="center"/>
    </xf>
    <xf numFmtId="0" fontId="175" fillId="0" borderId="0" xfId="0" applyFont="1" applyAlignment="1">
      <alignment horizontal="left" vertical="top" indent="1"/>
    </xf>
    <xf numFmtId="0" fontId="171" fillId="0" borderId="0" xfId="0" applyFont="1" applyAlignment="1">
      <alignment horizontal="right" vertical="center"/>
    </xf>
    <xf numFmtId="0" fontId="175" fillId="0" borderId="0" xfId="0" applyFont="1"/>
    <xf numFmtId="0" fontId="0" fillId="0" borderId="180" xfId="63" applyFont="1" applyBorder="1" applyAlignment="1">
      <alignment horizontal="left" indent="1"/>
    </xf>
    <xf numFmtId="0" fontId="6" fillId="0" borderId="181" xfId="63" applyBorder="1"/>
    <xf numFmtId="0" fontId="0" fillId="0" borderId="181" xfId="0" applyBorder="1" applyAlignment="1">
      <alignment vertical="center"/>
    </xf>
    <xf numFmtId="0" fontId="6" fillId="0" borderId="182" xfId="63" applyBorder="1"/>
    <xf numFmtId="0" fontId="177" fillId="0" borderId="185" xfId="0" applyFont="1" applyBorder="1" applyAlignment="1">
      <alignment horizontal="left" indent="2"/>
    </xf>
    <xf numFmtId="0" fontId="6" fillId="0" borderId="186" xfId="63" applyBorder="1"/>
    <xf numFmtId="0" fontId="175" fillId="0" borderId="185" xfId="0" applyFont="1" applyBorder="1" applyAlignment="1">
      <alignment horizontal="left" indent="2"/>
    </xf>
    <xf numFmtId="0" fontId="0" fillId="0" borderId="195" xfId="0" applyBorder="1" applyAlignment="1">
      <alignment horizontal="left" vertical="center" indent="1"/>
    </xf>
    <xf numFmtId="0" fontId="0" fillId="0" borderId="178" xfId="0" applyBorder="1" applyAlignment="1">
      <alignment horizontal="center"/>
    </xf>
    <xf numFmtId="0" fontId="0" fillId="0" borderId="178" xfId="0" applyBorder="1" applyAlignment="1">
      <alignment vertical="center"/>
    </xf>
    <xf numFmtId="0" fontId="0" fillId="0" borderId="196" xfId="0" applyBorder="1" applyAlignment="1">
      <alignment vertical="center"/>
    </xf>
    <xf numFmtId="0" fontId="175" fillId="0" borderId="0" xfId="0" applyFont="1" applyAlignment="1">
      <alignment horizontal="left" indent="2"/>
    </xf>
    <xf numFmtId="0" fontId="175" fillId="0" borderId="0" xfId="0" applyFont="1" applyAlignment="1">
      <alignment horizontal="left" vertical="center" indent="2"/>
    </xf>
    <xf numFmtId="0" fontId="175" fillId="0" borderId="0" xfId="0" applyFont="1" applyAlignment="1">
      <alignment horizontal="left" vertical="top" indent="2"/>
    </xf>
    <xf numFmtId="0" fontId="176" fillId="0" borderId="0" xfId="0" applyFont="1" applyAlignment="1">
      <alignment horizontal="centerContinuous"/>
    </xf>
    <xf numFmtId="0" fontId="6" fillId="0" borderId="0" xfId="63" applyAlignment="1">
      <alignment horizontal="centerContinuous"/>
    </xf>
    <xf numFmtId="0" fontId="170" fillId="0" borderId="0" xfId="0" applyFont="1" applyAlignment="1">
      <alignment horizontal="centerContinuous" vertical="center"/>
    </xf>
    <xf numFmtId="0" fontId="12" fillId="0" borderId="0" xfId="0" applyFont="1" applyAlignment="1">
      <alignment horizontal="centerContinuous" vertical="center"/>
    </xf>
    <xf numFmtId="0" fontId="176" fillId="26" borderId="260" xfId="0" applyFont="1" applyFill="1" applyBorder="1" applyAlignment="1">
      <alignment horizontal="left" vertical="center" indent="2"/>
    </xf>
    <xf numFmtId="0" fontId="21" fillId="26" borderId="266" xfId="63" applyFont="1" applyFill="1" applyBorder="1"/>
    <xf numFmtId="0" fontId="170" fillId="26" borderId="266" xfId="0" applyFont="1" applyFill="1" applyBorder="1" applyAlignment="1">
      <alignment horizontal="right" vertical="center"/>
    </xf>
    <xf numFmtId="0" fontId="12" fillId="26" borderId="266" xfId="0" applyFont="1" applyFill="1" applyBorder="1" applyAlignment="1">
      <alignment vertical="center"/>
    </xf>
    <xf numFmtId="0" fontId="6" fillId="26" borderId="261" xfId="63" applyFill="1" applyBorder="1"/>
    <xf numFmtId="0" fontId="176" fillId="0" borderId="185" xfId="0" applyFont="1" applyBorder="1" applyAlignment="1">
      <alignment horizontal="left" vertical="center" indent="2"/>
    </xf>
    <xf numFmtId="0" fontId="21" fillId="0" borderId="0" xfId="63" applyFont="1"/>
    <xf numFmtId="0" fontId="0" fillId="0" borderId="186" xfId="0" applyBorder="1" applyAlignment="1">
      <alignment vertical="center" wrapText="1"/>
    </xf>
    <xf numFmtId="0" fontId="0" fillId="0" borderId="195" xfId="0" applyBorder="1" applyAlignment="1">
      <alignment horizontal="left" vertical="center" indent="2"/>
    </xf>
    <xf numFmtId="0" fontId="6" fillId="0" borderId="178" xfId="63" applyBorder="1"/>
    <xf numFmtId="0" fontId="6" fillId="0" borderId="196" xfId="63" applyBorder="1"/>
    <xf numFmtId="0" fontId="176" fillId="26" borderId="260" xfId="0" applyFont="1" applyFill="1" applyBorder="1" applyAlignment="1">
      <alignment horizontal="centerContinuous" vertical="center"/>
    </xf>
    <xf numFmtId="0" fontId="21" fillId="26" borderId="266" xfId="63" applyFont="1" applyFill="1" applyBorder="1" applyAlignment="1">
      <alignment horizontal="centerContinuous"/>
    </xf>
    <xf numFmtId="0" fontId="170" fillId="26" borderId="266" xfId="0" applyFont="1" applyFill="1" applyBorder="1" applyAlignment="1">
      <alignment horizontal="centerContinuous" vertical="center"/>
    </xf>
    <xf numFmtId="0" fontId="12" fillId="26" borderId="266" xfId="0" applyFont="1" applyFill="1" applyBorder="1" applyAlignment="1">
      <alignment horizontal="centerContinuous" vertical="center"/>
    </xf>
    <xf numFmtId="0" fontId="6" fillId="26" borderId="261" xfId="63" applyFill="1" applyBorder="1" applyAlignment="1">
      <alignment horizontal="centerContinuous"/>
    </xf>
    <xf numFmtId="0" fontId="175" fillId="0" borderId="185" xfId="0" applyFont="1" applyBorder="1" applyAlignment="1">
      <alignment horizontal="left" indent="5"/>
    </xf>
    <xf numFmtId="0" fontId="138" fillId="0" borderId="0" xfId="0" applyFont="1" applyAlignment="1">
      <alignment horizontal="left" vertical="center" indent="3"/>
    </xf>
    <xf numFmtId="0" fontId="179" fillId="26" borderId="153" xfId="0" applyFont="1" applyFill="1" applyBorder="1" applyAlignment="1">
      <alignment horizontal="right" vertical="center"/>
    </xf>
    <xf numFmtId="0" fontId="21" fillId="26" borderId="153" xfId="0" applyFont="1" applyFill="1" applyBorder="1" applyAlignment="1">
      <alignment vertical="center"/>
    </xf>
    <xf numFmtId="0" fontId="6" fillId="0" borderId="246" xfId="63" applyBorder="1"/>
    <xf numFmtId="0" fontId="181" fillId="0" borderId="0" xfId="0" applyFont="1"/>
    <xf numFmtId="0" fontId="0" fillId="0" borderId="13" xfId="0" applyBorder="1" applyAlignment="1">
      <alignment vertical="center"/>
    </xf>
    <xf numFmtId="0" fontId="183" fillId="0" borderId="0" xfId="0" applyFont="1" applyAlignment="1">
      <alignment horizontal="left" indent="2"/>
    </xf>
    <xf numFmtId="0" fontId="6" fillId="0" borderId="13" xfId="63" applyBorder="1"/>
    <xf numFmtId="0" fontId="0" fillId="0" borderId="122" xfId="0" applyBorder="1" applyAlignment="1">
      <alignment vertical="center"/>
    </xf>
    <xf numFmtId="0" fontId="0" fillId="0" borderId="153" xfId="0" applyBorder="1" applyAlignment="1">
      <alignment vertical="center"/>
    </xf>
    <xf numFmtId="0" fontId="0" fillId="0" borderId="153" xfId="0" applyBorder="1" applyAlignment="1">
      <alignment horizontal="center" vertical="center"/>
    </xf>
    <xf numFmtId="0" fontId="6" fillId="0" borderId="153" xfId="63" applyBorder="1"/>
    <xf numFmtId="0" fontId="6" fillId="0" borderId="154" xfId="63" applyBorder="1"/>
    <xf numFmtId="0" fontId="21" fillId="0" borderId="0" xfId="0" applyFont="1"/>
    <xf numFmtId="0" fontId="181" fillId="0" borderId="0" xfId="0" applyFont="1" applyAlignment="1">
      <alignment horizontal="left"/>
    </xf>
    <xf numFmtId="0" fontId="150" fillId="3" borderId="38" xfId="2" applyFont="1" applyFill="1" applyBorder="1" applyAlignment="1" applyProtection="1">
      <alignment horizontal="center"/>
    </xf>
    <xf numFmtId="0" fontId="7" fillId="6" borderId="7" xfId="2" applyFill="1" applyBorder="1" applyAlignment="1" applyProtection="1">
      <alignment horizontal="left" vertical="center" indent="1"/>
    </xf>
    <xf numFmtId="0" fontId="28" fillId="5" borderId="0" xfId="10" applyFill="1" applyAlignment="1">
      <alignment horizontal="left" vertical="center" indent="1"/>
    </xf>
    <xf numFmtId="0" fontId="31" fillId="5" borderId="0" xfId="10" applyFont="1" applyFill="1" applyAlignment="1">
      <alignment horizontal="center" vertical="center"/>
    </xf>
    <xf numFmtId="0" fontId="14" fillId="6" borderId="5" xfId="14" applyFont="1" applyFill="1" applyBorder="1" applyAlignment="1">
      <alignment horizontal="left" vertical="center" indent="5"/>
    </xf>
    <xf numFmtId="0" fontId="14" fillId="6" borderId="45" xfId="14" applyFont="1" applyFill="1" applyBorder="1" applyAlignment="1">
      <alignment horizontal="left" vertical="center" indent="5"/>
    </xf>
    <xf numFmtId="0" fontId="14" fillId="6" borderId="47" xfId="14" applyFont="1" applyFill="1" applyBorder="1" applyAlignment="1">
      <alignment horizontal="left" vertical="center" indent="5"/>
    </xf>
    <xf numFmtId="0" fontId="6" fillId="5" borderId="38" xfId="12" applyFont="1" applyFill="1" applyBorder="1" applyAlignment="1">
      <alignment horizontal="left" vertical="center" indent="1"/>
    </xf>
    <xf numFmtId="0" fontId="6" fillId="5" borderId="1" xfId="20" applyFont="1" applyFill="1" applyBorder="1" applyAlignment="1" applyProtection="1">
      <alignment horizontal="left" vertical="center" indent="1"/>
    </xf>
    <xf numFmtId="0" fontId="6" fillId="4" borderId="0" xfId="0" applyFont="1" applyFill="1" applyAlignment="1">
      <alignment vertical="top" wrapText="1"/>
    </xf>
    <xf numFmtId="0" fontId="38" fillId="11" borderId="0" xfId="21" applyFont="1" applyFill="1" applyAlignment="1">
      <alignment horizontal="center" vertical="center"/>
    </xf>
    <xf numFmtId="0" fontId="38" fillId="11" borderId="0" xfId="21" applyFont="1" applyFill="1" applyAlignment="1">
      <alignment horizontal="center" vertical="center" wrapText="1"/>
    </xf>
    <xf numFmtId="0" fontId="10" fillId="4" borderId="29" xfId="22" applyNumberFormat="1" applyFont="1" applyFill="1" applyBorder="1" applyAlignment="1" applyProtection="1">
      <alignment horizontal="center" vertical="center"/>
    </xf>
    <xf numFmtId="0" fontId="10" fillId="4" borderId="30" xfId="22" applyNumberFormat="1" applyFont="1" applyFill="1" applyBorder="1" applyAlignment="1" applyProtection="1">
      <alignment horizontal="center" vertical="center"/>
    </xf>
    <xf numFmtId="0" fontId="7" fillId="4" borderId="50" xfId="2" applyFill="1" applyBorder="1" applyAlignment="1" applyProtection="1">
      <alignment horizontal="center"/>
    </xf>
    <xf numFmtId="0" fontId="21" fillId="4" borderId="29" xfId="22" applyNumberFormat="1" applyFont="1" applyFill="1" applyBorder="1" applyAlignment="1" applyProtection="1">
      <alignment horizontal="center" vertical="center"/>
    </xf>
    <xf numFmtId="0" fontId="39" fillId="4" borderId="0" xfId="19" applyFont="1" applyFill="1" applyAlignment="1">
      <alignment horizontal="center" vertical="center"/>
    </xf>
    <xf numFmtId="0" fontId="39" fillId="4" borderId="27" xfId="22" applyNumberFormat="1" applyFont="1" applyFill="1" applyBorder="1" applyAlignment="1" applyProtection="1">
      <alignment horizontal="center" vertical="center"/>
    </xf>
    <xf numFmtId="0" fontId="8" fillId="6" borderId="71"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72" xfId="0" applyFont="1" applyFill="1" applyBorder="1" applyAlignment="1">
      <alignment horizontal="center" vertical="center"/>
    </xf>
    <xf numFmtId="0" fontId="6" fillId="0" borderId="71" xfId="0" applyFont="1" applyBorder="1" applyAlignment="1" applyProtection="1">
      <alignment horizontal="left" vertical="center" indent="1"/>
      <protection locked="0"/>
    </xf>
    <xf numFmtId="0" fontId="6" fillId="0" borderId="49" xfId="0" applyFont="1" applyBorder="1" applyAlignment="1" applyProtection="1">
      <alignment horizontal="left" vertical="center" indent="1"/>
      <protection locked="0"/>
    </xf>
    <xf numFmtId="0" fontId="6" fillId="0" borderId="72" xfId="0" applyFont="1" applyBorder="1" applyAlignment="1" applyProtection="1">
      <alignment horizontal="left" vertical="center" indent="1"/>
      <protection locked="0"/>
    </xf>
    <xf numFmtId="0" fontId="0" fillId="4" borderId="0" xfId="0" applyFill="1" applyAlignment="1" applyProtection="1">
      <alignment horizontal="left" vertical="center" indent="1"/>
      <protection locked="0"/>
    </xf>
    <xf numFmtId="0" fontId="6" fillId="0" borderId="71" xfId="4" applyFont="1" applyBorder="1" applyAlignment="1" applyProtection="1">
      <alignment horizontal="left" vertical="center" indent="1"/>
      <protection locked="0"/>
    </xf>
    <xf numFmtId="0" fontId="6" fillId="0" borderId="49" xfId="4" applyFont="1" applyBorder="1" applyAlignment="1" applyProtection="1">
      <alignment horizontal="left" vertical="center" indent="1"/>
      <protection locked="0"/>
    </xf>
    <xf numFmtId="0" fontId="6" fillId="0" borderId="72" xfId="4" applyFont="1" applyBorder="1" applyAlignment="1" applyProtection="1">
      <alignment horizontal="left" vertical="center" indent="1"/>
      <protection locked="0"/>
    </xf>
    <xf numFmtId="0" fontId="21" fillId="2" borderId="28" xfId="4" applyFont="1" applyFill="1" applyBorder="1" applyAlignment="1">
      <alignment horizontal="center" vertical="center"/>
    </xf>
    <xf numFmtId="0" fontId="21" fillId="2" borderId="30" xfId="4" applyFont="1" applyFill="1" applyBorder="1" applyAlignment="1">
      <alignment horizontal="center" vertical="center"/>
    </xf>
    <xf numFmtId="0" fontId="6" fillId="5" borderId="1" xfId="25" applyFont="1" applyFill="1" applyBorder="1" applyAlignment="1" applyProtection="1">
      <alignment horizontal="left" vertical="center" indent="1"/>
    </xf>
    <xf numFmtId="0" fontId="64" fillId="4" borderId="40" xfId="26" applyFont="1" applyFill="1" applyBorder="1" applyAlignment="1">
      <alignment horizontal="left" vertical="center"/>
    </xf>
    <xf numFmtId="0" fontId="64" fillId="4" borderId="0" xfId="26" applyFont="1" applyFill="1" applyAlignment="1">
      <alignment horizontal="left" vertical="center"/>
    </xf>
    <xf numFmtId="0" fontId="72" fillId="4" borderId="48" xfId="26" applyFont="1" applyFill="1" applyBorder="1" applyAlignment="1">
      <alignment vertical="center"/>
    </xf>
    <xf numFmtId="0" fontId="72" fillId="4" borderId="0" xfId="26" applyFont="1" applyFill="1" applyAlignment="1">
      <alignment vertical="center"/>
    </xf>
    <xf numFmtId="0" fontId="6" fillId="4" borderId="48" xfId="21" applyFont="1" applyFill="1" applyBorder="1" applyAlignment="1">
      <alignment horizontal="center" vertical="center"/>
    </xf>
    <xf numFmtId="0" fontId="6" fillId="4" borderId="50" xfId="21" applyFont="1" applyFill="1" applyBorder="1" applyAlignment="1">
      <alignment horizontal="center" vertical="center"/>
    </xf>
    <xf numFmtId="0" fontId="6" fillId="4" borderId="51" xfId="21" applyFont="1" applyFill="1" applyBorder="1" applyAlignment="1">
      <alignment horizontal="center" vertical="center"/>
    </xf>
    <xf numFmtId="0" fontId="82" fillId="11" borderId="71" xfId="10" applyFont="1" applyFill="1" applyBorder="1" applyAlignment="1">
      <alignment horizontal="center" vertical="center"/>
    </xf>
    <xf numFmtId="0" fontId="82" fillId="11" borderId="49" xfId="10" applyFont="1" applyFill="1" applyBorder="1" applyAlignment="1">
      <alignment horizontal="center" vertical="center"/>
    </xf>
    <xf numFmtId="0" fontId="82" fillId="11" borderId="72" xfId="10" applyFont="1" applyFill="1" applyBorder="1" applyAlignment="1">
      <alignment horizontal="center" vertical="center"/>
    </xf>
    <xf numFmtId="0" fontId="6" fillId="0" borderId="71" xfId="21" applyFont="1" applyBorder="1" applyAlignment="1" applyProtection="1">
      <alignment horizontal="left" vertical="center" indent="1" shrinkToFit="1"/>
      <protection locked="0"/>
    </xf>
    <xf numFmtId="0" fontId="6" fillId="0" borderId="49" xfId="21" applyFont="1" applyBorder="1" applyAlignment="1" applyProtection="1">
      <alignment horizontal="left" vertical="center" indent="1" shrinkToFit="1"/>
      <protection locked="0"/>
    </xf>
    <xf numFmtId="0" fontId="6" fillId="0" borderId="72" xfId="21" applyFont="1" applyBorder="1" applyAlignment="1" applyProtection="1">
      <alignment horizontal="left" vertical="center" indent="1" shrinkToFit="1"/>
      <protection locked="0"/>
    </xf>
    <xf numFmtId="0" fontId="6" fillId="0" borderId="71" xfId="26" applyBorder="1" applyAlignment="1" applyProtection="1">
      <alignment horizontal="left" vertical="center" indent="1" shrinkToFit="1"/>
      <protection locked="0"/>
    </xf>
    <xf numFmtId="0" fontId="6" fillId="0" borderId="49" xfId="26" applyBorder="1" applyAlignment="1" applyProtection="1">
      <alignment horizontal="left" vertical="center" indent="1" shrinkToFit="1"/>
      <protection locked="0"/>
    </xf>
    <xf numFmtId="0" fontId="6" fillId="0" borderId="72" xfId="26" applyBorder="1" applyAlignment="1" applyProtection="1">
      <alignment horizontal="left" vertical="center" indent="1" shrinkToFit="1"/>
      <protection locked="0"/>
    </xf>
    <xf numFmtId="0" fontId="53" fillId="2" borderId="176" xfId="32" applyFont="1" applyFill="1" applyBorder="1" applyAlignment="1">
      <alignment horizontal="center" wrapText="1"/>
    </xf>
    <xf numFmtId="0" fontId="53" fillId="2" borderId="171" xfId="32" applyFont="1" applyFill="1" applyBorder="1" applyAlignment="1">
      <alignment horizontal="center" wrapText="1"/>
    </xf>
    <xf numFmtId="0" fontId="47" fillId="8" borderId="174" xfId="26" applyFont="1" applyFill="1" applyBorder="1" applyAlignment="1" applyProtection="1">
      <alignment horizontal="center"/>
      <protection hidden="1"/>
    </xf>
    <xf numFmtId="0" fontId="47" fillId="8" borderId="173" xfId="26" applyFont="1" applyFill="1" applyBorder="1" applyAlignment="1" applyProtection="1">
      <alignment horizontal="center"/>
      <protection hidden="1"/>
    </xf>
    <xf numFmtId="0" fontId="47" fillId="8" borderId="213" xfId="26" applyFont="1" applyFill="1" applyBorder="1" applyAlignment="1" applyProtection="1">
      <alignment horizontal="center"/>
      <protection hidden="1"/>
    </xf>
    <xf numFmtId="0" fontId="6" fillId="4" borderId="174" xfId="4" applyFont="1" applyFill="1" applyBorder="1" applyAlignment="1">
      <alignment horizontal="center"/>
    </xf>
    <xf numFmtId="0" fontId="6" fillId="4" borderId="213" xfId="4" applyFont="1" applyFill="1" applyBorder="1" applyAlignment="1">
      <alignment horizontal="center"/>
    </xf>
    <xf numFmtId="0" fontId="44" fillId="4" borderId="174" xfId="26" applyFont="1" applyFill="1" applyBorder="1" applyAlignment="1" applyProtection="1">
      <alignment horizontal="center"/>
      <protection hidden="1"/>
    </xf>
    <xf numFmtId="0" fontId="44" fillId="4" borderId="173" xfId="26" applyFont="1" applyFill="1" applyBorder="1" applyAlignment="1" applyProtection="1">
      <alignment horizontal="center"/>
      <protection hidden="1"/>
    </xf>
    <xf numFmtId="0" fontId="44" fillId="4" borderId="213" xfId="26" applyFont="1" applyFill="1" applyBorder="1" applyAlignment="1" applyProtection="1">
      <alignment horizontal="center"/>
      <protection hidden="1"/>
    </xf>
    <xf numFmtId="0" fontId="47" fillId="8" borderId="174" xfId="4" applyFont="1" applyFill="1" applyBorder="1" applyAlignment="1">
      <alignment horizontal="center"/>
    </xf>
    <xf numFmtId="0" fontId="47" fillId="8" borderId="213" xfId="4" applyFont="1" applyFill="1" applyBorder="1" applyAlignment="1">
      <alignment horizontal="center"/>
    </xf>
    <xf numFmtId="0" fontId="21" fillId="6" borderId="172" xfId="4" applyFont="1" applyFill="1" applyBorder="1" applyAlignment="1">
      <alignment horizontal="center" vertical="center" wrapText="1"/>
    </xf>
    <xf numFmtId="0" fontId="21" fillId="6" borderId="215" xfId="4" applyFont="1" applyFill="1" applyBorder="1" applyAlignment="1">
      <alignment horizontal="center" vertical="center" wrapText="1"/>
    </xf>
    <xf numFmtId="0" fontId="21" fillId="6" borderId="122" xfId="4" applyFont="1" applyFill="1" applyBorder="1" applyAlignment="1">
      <alignment horizontal="center" vertical="center" wrapText="1"/>
    </xf>
    <xf numFmtId="0" fontId="21" fillId="6" borderId="154" xfId="4" applyFont="1" applyFill="1" applyBorder="1" applyAlignment="1">
      <alignment horizontal="center" vertical="center" wrapText="1"/>
    </xf>
    <xf numFmtId="0" fontId="21" fillId="6" borderId="174" xfId="21" applyFont="1" applyFill="1" applyBorder="1" applyAlignment="1">
      <alignment horizontal="center"/>
    </xf>
    <xf numFmtId="0" fontId="21" fillId="6" borderId="173" xfId="21" applyFont="1" applyFill="1" applyBorder="1" applyAlignment="1">
      <alignment horizontal="center"/>
    </xf>
    <xf numFmtId="0" fontId="21" fillId="6" borderId="213" xfId="21" applyFont="1" applyFill="1" applyBorder="1" applyAlignment="1">
      <alignment horizontal="center"/>
    </xf>
    <xf numFmtId="0" fontId="21" fillId="6" borderId="172" xfId="31" applyFont="1" applyFill="1" applyBorder="1" applyAlignment="1">
      <alignment horizontal="center" vertical="center"/>
    </xf>
    <xf numFmtId="0" fontId="21" fillId="6" borderId="175" xfId="31" applyFont="1" applyFill="1" applyBorder="1" applyAlignment="1">
      <alignment horizontal="center" vertical="center"/>
    </xf>
    <xf numFmtId="0" fontId="21" fillId="6" borderId="215" xfId="31" applyFont="1" applyFill="1" applyBorder="1" applyAlignment="1">
      <alignment horizontal="center" vertical="center"/>
    </xf>
    <xf numFmtId="0" fontId="21" fillId="6" borderId="122" xfId="31" applyFont="1" applyFill="1" applyBorder="1" applyAlignment="1">
      <alignment horizontal="center" vertical="center"/>
    </xf>
    <xf numFmtId="0" fontId="21" fillId="6" borderId="153" xfId="31" applyFont="1" applyFill="1" applyBorder="1" applyAlignment="1">
      <alignment horizontal="center" vertical="center"/>
    </xf>
    <xf numFmtId="0" fontId="21" fillId="6" borderId="154" xfId="31" applyFont="1" applyFill="1" applyBorder="1" applyAlignment="1">
      <alignment horizontal="center" vertical="center"/>
    </xf>
    <xf numFmtId="0" fontId="61" fillId="4" borderId="0" xfId="57" applyFont="1" applyFill="1" applyAlignment="1">
      <alignment horizontal="center" vertical="center"/>
    </xf>
    <xf numFmtId="0" fontId="7" fillId="4" borderId="153" xfId="2" applyFill="1" applyBorder="1" applyAlignment="1" applyProtection="1"/>
    <xf numFmtId="0" fontId="61" fillId="4" borderId="43" xfId="57" applyFont="1" applyFill="1" applyBorder="1" applyAlignment="1">
      <alignment horizontal="center" vertical="center"/>
    </xf>
    <xf numFmtId="0" fontId="61" fillId="4" borderId="50" xfId="57" applyFont="1" applyFill="1" applyBorder="1" applyAlignment="1">
      <alignment horizontal="center" vertical="center"/>
    </xf>
    <xf numFmtId="0" fontId="61" fillId="4" borderId="43" xfId="57" applyFont="1" applyFill="1" applyBorder="1" applyAlignment="1">
      <alignment horizontal="center" vertical="center" wrapText="1"/>
    </xf>
    <xf numFmtId="0" fontId="61" fillId="4" borderId="50" xfId="57" applyFont="1" applyFill="1" applyBorder="1" applyAlignment="1">
      <alignment horizontal="center" vertical="center" wrapText="1"/>
    </xf>
    <xf numFmtId="0" fontId="6" fillId="5" borderId="38" xfId="12" applyFont="1" applyFill="1" applyBorder="1" applyAlignment="1" applyProtection="1">
      <alignment horizontal="left" vertical="center" indent="1"/>
      <protection locked="0"/>
    </xf>
    <xf numFmtId="3" fontId="61" fillId="4" borderId="0" xfId="57" applyNumberFormat="1" applyFont="1" applyFill="1" applyAlignment="1">
      <alignment horizontal="center" vertical="center"/>
    </xf>
    <xf numFmtId="3" fontId="61" fillId="0" borderId="123" xfId="57" applyNumberFormat="1" applyFont="1" applyBorder="1" applyAlignment="1" applyProtection="1">
      <alignment horizontal="center" vertical="center"/>
      <protection locked="0"/>
    </xf>
    <xf numFmtId="3" fontId="61" fillId="0" borderId="125" xfId="57" applyNumberFormat="1" applyFont="1" applyBorder="1" applyAlignment="1" applyProtection="1">
      <alignment horizontal="center" vertical="center"/>
      <protection locked="0"/>
    </xf>
    <xf numFmtId="0" fontId="61" fillId="4" borderId="0" xfId="57" applyFont="1" applyFill="1" applyAlignment="1">
      <alignment horizontal="center" vertical="center" wrapText="1"/>
    </xf>
    <xf numFmtId="3" fontId="53" fillId="0" borderId="123" xfId="57" applyNumberFormat="1" applyFont="1" applyBorder="1" applyAlignment="1" applyProtection="1">
      <alignment horizontal="center" vertical="center"/>
      <protection locked="0"/>
    </xf>
    <xf numFmtId="3" fontId="53" fillId="0" borderId="125" xfId="57" applyNumberFormat="1" applyFont="1" applyBorder="1" applyAlignment="1" applyProtection="1">
      <alignment horizontal="center" vertical="center"/>
      <protection locked="0"/>
    </xf>
    <xf numFmtId="3" fontId="61" fillId="0" borderId="123" xfId="57" applyNumberFormat="1" applyFont="1" applyBorder="1" applyAlignment="1">
      <alignment horizontal="center" vertical="center"/>
    </xf>
    <xf numFmtId="3" fontId="61" fillId="0" borderId="125" xfId="57" applyNumberFormat="1" applyFont="1" applyBorder="1" applyAlignment="1">
      <alignment horizontal="center" vertical="center"/>
    </xf>
    <xf numFmtId="0" fontId="7" fillId="4" borderId="254" xfId="2" applyFill="1" applyBorder="1" applyAlignment="1" applyProtection="1">
      <alignment horizontal="center" vertical="center"/>
    </xf>
    <xf numFmtId="0" fontId="5" fillId="4" borderId="171" xfId="57" applyFill="1" applyBorder="1" applyAlignment="1">
      <alignment horizontal="center" vertical="center" wrapText="1"/>
    </xf>
    <xf numFmtId="0" fontId="5" fillId="4" borderId="121" xfId="57" applyFill="1" applyBorder="1" applyAlignment="1">
      <alignment horizontal="center" vertical="center" wrapText="1"/>
    </xf>
    <xf numFmtId="0" fontId="21" fillId="6" borderId="174" xfId="31" applyFont="1" applyFill="1" applyBorder="1" applyAlignment="1">
      <alignment horizontal="center" vertical="center"/>
    </xf>
    <xf numFmtId="0" fontId="21" fillId="6" borderId="173" xfId="31" applyFont="1" applyFill="1" applyBorder="1" applyAlignment="1">
      <alignment horizontal="center" vertical="center"/>
    </xf>
    <xf numFmtId="0" fontId="21" fillId="6" borderId="213" xfId="31" applyFont="1" applyFill="1" applyBorder="1" applyAlignment="1">
      <alignment horizontal="center" vertical="center"/>
    </xf>
    <xf numFmtId="0" fontId="6" fillId="6" borderId="174" xfId="31" applyFont="1" applyFill="1" applyBorder="1" applyAlignment="1">
      <alignment horizontal="center"/>
    </xf>
    <xf numFmtId="0" fontId="6" fillId="6" borderId="173" xfId="31" applyFont="1" applyFill="1" applyBorder="1" applyAlignment="1">
      <alignment horizontal="center"/>
    </xf>
    <xf numFmtId="0" fontId="6" fillId="6" borderId="213" xfId="31" applyFont="1" applyFill="1" applyBorder="1" applyAlignment="1">
      <alignment horizontal="center"/>
    </xf>
    <xf numFmtId="0" fontId="21" fillId="6" borderId="174" xfId="57" applyFont="1" applyFill="1" applyBorder="1" applyAlignment="1">
      <alignment horizontal="center" vertical="center"/>
    </xf>
    <xf numFmtId="0" fontId="21" fillId="6" borderId="173" xfId="57" applyFont="1" applyFill="1" applyBorder="1" applyAlignment="1">
      <alignment horizontal="center" vertical="center"/>
    </xf>
    <xf numFmtId="0" fontId="21" fillId="6" borderId="213" xfId="57" applyFont="1" applyFill="1" applyBorder="1" applyAlignment="1">
      <alignment horizontal="center" vertical="center"/>
    </xf>
    <xf numFmtId="0" fontId="12" fillId="6" borderId="174" xfId="57" applyFont="1" applyFill="1" applyBorder="1" applyAlignment="1">
      <alignment horizontal="center" vertical="center"/>
    </xf>
    <xf numFmtId="0" fontId="12" fillId="6" borderId="173" xfId="57" applyFont="1" applyFill="1" applyBorder="1" applyAlignment="1">
      <alignment horizontal="center" vertical="center"/>
    </xf>
    <xf numFmtId="0" fontId="12" fillId="6" borderId="213" xfId="57" applyFont="1" applyFill="1" applyBorder="1" applyAlignment="1">
      <alignment horizontal="center" vertical="center"/>
    </xf>
    <xf numFmtId="0" fontId="76" fillId="4" borderId="43" xfId="6" applyFont="1" applyFill="1" applyBorder="1" applyAlignment="1">
      <alignment horizontal="center" vertical="center"/>
    </xf>
    <xf numFmtId="0" fontId="138" fillId="0" borderId="0" xfId="0" applyFont="1" applyAlignment="1">
      <alignment horizontal="center" vertical="center"/>
    </xf>
    <xf numFmtId="0" fontId="6" fillId="5" borderId="1" xfId="2" applyFont="1" applyFill="1" applyBorder="1" applyAlignment="1" applyProtection="1">
      <alignment horizontal="left" vertical="center" indent="1"/>
    </xf>
    <xf numFmtId="0" fontId="76" fillId="4" borderId="0" xfId="6" applyFont="1" applyFill="1" applyAlignment="1">
      <alignment horizontal="center" vertical="center"/>
    </xf>
    <xf numFmtId="2" fontId="5" fillId="6" borderId="171" xfId="33" applyNumberFormat="1" applyFont="1" applyFill="1" applyBorder="1" applyAlignment="1">
      <alignment horizontal="center" vertical="center"/>
    </xf>
    <xf numFmtId="2" fontId="5" fillId="6" borderId="121" xfId="33" applyNumberFormat="1" applyFont="1" applyFill="1" applyBorder="1" applyAlignment="1">
      <alignment horizontal="center" vertical="center"/>
    </xf>
    <xf numFmtId="0" fontId="13" fillId="8" borderId="172" xfId="4" applyFont="1" applyFill="1" applyBorder="1" applyAlignment="1">
      <alignment horizontal="center" vertical="center"/>
    </xf>
    <xf numFmtId="0" fontId="13" fillId="8" borderId="215" xfId="4" applyFont="1" applyFill="1" applyBorder="1" applyAlignment="1">
      <alignment horizontal="center" vertical="center"/>
    </xf>
    <xf numFmtId="0" fontId="13" fillId="8" borderId="122" xfId="4" applyFont="1" applyFill="1" applyBorder="1" applyAlignment="1">
      <alignment horizontal="center" vertical="center"/>
    </xf>
    <xf numFmtId="0" fontId="13" fillId="8" borderId="154" xfId="4" applyFont="1" applyFill="1" applyBorder="1" applyAlignment="1">
      <alignment horizontal="center" vertical="center"/>
    </xf>
    <xf numFmtId="0" fontId="20" fillId="8" borderId="171" xfId="4" applyFont="1" applyFill="1" applyBorder="1" applyAlignment="1">
      <alignment horizontal="center" vertical="center" wrapText="1"/>
    </xf>
    <xf numFmtId="0" fontId="20" fillId="8" borderId="14" xfId="4" applyFont="1" applyFill="1" applyBorder="1" applyAlignment="1">
      <alignment horizontal="center" vertical="center" wrapText="1"/>
    </xf>
    <xf numFmtId="0" fontId="20" fillId="8" borderId="121" xfId="4" applyFont="1" applyFill="1" applyBorder="1" applyAlignment="1">
      <alignment horizontal="center" vertical="center" wrapText="1"/>
    </xf>
    <xf numFmtId="0" fontId="5" fillId="6" borderId="171" xfId="33" applyFont="1" applyFill="1" applyBorder="1" applyAlignment="1">
      <alignment horizontal="left" vertical="center"/>
    </xf>
    <xf numFmtId="0" fontId="5" fillId="6" borderId="121" xfId="33" applyFont="1" applyFill="1" applyBorder="1" applyAlignment="1">
      <alignment horizontal="left" vertical="center"/>
    </xf>
    <xf numFmtId="2" fontId="6" fillId="6" borderId="171" xfId="7" applyNumberFormat="1" applyFill="1" applyBorder="1" applyAlignment="1">
      <alignment horizontal="center" vertical="center"/>
    </xf>
    <xf numFmtId="2" fontId="6" fillId="6" borderId="121" xfId="7" applyNumberFormat="1" applyFill="1" applyBorder="1" applyAlignment="1">
      <alignment horizontal="center" vertical="center"/>
    </xf>
    <xf numFmtId="171" fontId="6" fillId="6" borderId="171" xfId="7" applyNumberFormat="1" applyFill="1" applyBorder="1" applyAlignment="1">
      <alignment horizontal="right" vertical="center" indent="1"/>
    </xf>
    <xf numFmtId="171" fontId="6" fillId="6" borderId="121" xfId="7" applyNumberFormat="1" applyFill="1" applyBorder="1" applyAlignment="1">
      <alignment horizontal="right" vertical="center" indent="1"/>
    </xf>
    <xf numFmtId="0" fontId="6" fillId="6" borderId="171" xfId="7" applyFill="1" applyBorder="1" applyAlignment="1">
      <alignment horizontal="center"/>
    </xf>
    <xf numFmtId="0" fontId="6" fillId="6" borderId="121" xfId="7" applyFill="1" applyBorder="1" applyAlignment="1">
      <alignment horizontal="center"/>
    </xf>
    <xf numFmtId="0" fontId="22" fillId="19" borderId="172" xfId="7" applyFont="1" applyFill="1" applyBorder="1" applyAlignment="1">
      <alignment horizontal="center" vertical="center"/>
    </xf>
    <xf numFmtId="0" fontId="22" fillId="19" borderId="175" xfId="7" applyFont="1" applyFill="1" applyBorder="1" applyAlignment="1">
      <alignment horizontal="center" vertical="center"/>
    </xf>
    <xf numFmtId="0" fontId="22" fillId="19" borderId="215" xfId="7" applyFont="1" applyFill="1" applyBorder="1" applyAlignment="1">
      <alignment horizontal="center" vertical="center"/>
    </xf>
    <xf numFmtId="0" fontId="22" fillId="19" borderId="122" xfId="7" applyFont="1" applyFill="1" applyBorder="1" applyAlignment="1">
      <alignment horizontal="center" vertical="center"/>
    </xf>
    <xf numFmtId="0" fontId="22" fillId="19" borderId="153" xfId="7" applyFont="1" applyFill="1" applyBorder="1" applyAlignment="1">
      <alignment horizontal="center" vertical="center"/>
    </xf>
    <xf numFmtId="0" fontId="22" fillId="19" borderId="154" xfId="7" applyFont="1" applyFill="1" applyBorder="1" applyAlignment="1">
      <alignment horizontal="center" vertical="center"/>
    </xf>
    <xf numFmtId="199" fontId="6" fillId="6" borderId="171" xfId="7" applyNumberFormat="1" applyFill="1" applyBorder="1" applyAlignment="1">
      <alignment horizontal="center" vertical="center"/>
    </xf>
    <xf numFmtId="199" fontId="6" fillId="6" borderId="121" xfId="7" applyNumberFormat="1" applyFill="1" applyBorder="1" applyAlignment="1">
      <alignment horizontal="center" vertical="center"/>
    </xf>
    <xf numFmtId="220" fontId="6" fillId="6" borderId="171" xfId="7" applyNumberFormat="1" applyFill="1" applyBorder="1" applyAlignment="1">
      <alignment horizontal="center" vertical="center"/>
    </xf>
    <xf numFmtId="220" fontId="6" fillId="6" borderId="121" xfId="7" applyNumberFormat="1" applyFill="1" applyBorder="1" applyAlignment="1">
      <alignment horizontal="center" vertical="center"/>
    </xf>
    <xf numFmtId="193" fontId="5" fillId="0" borderId="71" xfId="33" applyNumberFormat="1" applyFont="1" applyBorder="1" applyAlignment="1">
      <alignment horizontal="right" vertical="center" indent="1"/>
    </xf>
    <xf numFmtId="193" fontId="5" fillId="0" borderId="72" xfId="33" applyNumberFormat="1" applyFont="1" applyBorder="1" applyAlignment="1">
      <alignment horizontal="right" vertical="center" indent="1"/>
    </xf>
    <xf numFmtId="193" fontId="12" fillId="4" borderId="0" xfId="33" applyNumberFormat="1" applyFont="1" applyFill="1" applyAlignment="1">
      <alignment horizontal="right" vertical="center" indent="1" shrinkToFit="1"/>
    </xf>
    <xf numFmtId="0" fontId="77" fillId="6" borderId="71" xfId="2" applyFont="1" applyFill="1" applyBorder="1" applyAlignment="1" applyProtection="1">
      <alignment horizontal="center" vertical="center"/>
    </xf>
    <xf numFmtId="0" fontId="77" fillId="6" borderId="49" xfId="2" applyFont="1" applyFill="1" applyBorder="1" applyAlignment="1" applyProtection="1">
      <alignment horizontal="center" vertical="center"/>
    </xf>
    <xf numFmtId="0" fontId="77" fillId="6" borderId="72" xfId="2" applyFont="1" applyFill="1" applyBorder="1" applyAlignment="1" applyProtection="1">
      <alignment horizontal="center" vertical="center"/>
    </xf>
    <xf numFmtId="0" fontId="6" fillId="5" borderId="38" xfId="12" applyFont="1" applyFill="1" applyBorder="1" applyAlignment="1" applyProtection="1">
      <alignment horizontal="left" vertical="center" indent="1"/>
    </xf>
    <xf numFmtId="0" fontId="0" fillId="4" borderId="0" xfId="0" applyFill="1" applyAlignment="1">
      <alignment horizontal="left" vertical="center" indent="1"/>
    </xf>
    <xf numFmtId="0" fontId="76" fillId="6" borderId="71" xfId="0" applyFont="1" applyFill="1" applyBorder="1" applyAlignment="1">
      <alignment horizontal="center" vertical="center"/>
    </xf>
    <xf numFmtId="0" fontId="76" fillId="6" borderId="49" xfId="0" applyFont="1" applyFill="1" applyBorder="1" applyAlignment="1">
      <alignment horizontal="center" vertical="center"/>
    </xf>
    <xf numFmtId="0" fontId="76" fillId="6" borderId="72" xfId="0" applyFont="1" applyFill="1" applyBorder="1" applyAlignment="1">
      <alignment horizontal="center" vertical="center"/>
    </xf>
    <xf numFmtId="0" fontId="58" fillId="4" borderId="71" xfId="4" applyFont="1" applyFill="1" applyBorder="1" applyAlignment="1" applyProtection="1">
      <alignment horizontal="center" vertical="center"/>
      <protection locked="0"/>
    </xf>
    <xf numFmtId="0" fontId="58" fillId="4" borderId="72" xfId="4" applyFont="1" applyFill="1" applyBorder="1" applyAlignment="1" applyProtection="1">
      <alignment horizontal="center" vertical="center"/>
      <protection locked="0"/>
    </xf>
    <xf numFmtId="0" fontId="21" fillId="4" borderId="0" xfId="4" applyFont="1" applyFill="1" applyAlignment="1">
      <alignment horizontal="center" vertical="center"/>
    </xf>
    <xf numFmtId="0" fontId="76" fillId="4" borderId="0" xfId="33" applyFont="1" applyFill="1" applyAlignment="1">
      <alignment horizontal="center" vertical="center" wrapText="1"/>
    </xf>
    <xf numFmtId="0" fontId="7" fillId="4" borderId="0" xfId="2" applyFill="1" applyAlignment="1" applyProtection="1">
      <alignment vertical="center" wrapText="1"/>
    </xf>
    <xf numFmtId="0" fontId="7" fillId="4" borderId="50" xfId="2" applyFill="1" applyBorder="1" applyAlignment="1" applyProtection="1">
      <alignment vertical="center" wrapText="1"/>
    </xf>
    <xf numFmtId="0" fontId="7" fillId="4" borderId="43" xfId="2" applyFill="1" applyBorder="1" applyAlignment="1" applyProtection="1"/>
    <xf numFmtId="0" fontId="12" fillId="2" borderId="8" xfId="35" applyFont="1" applyFill="1" applyBorder="1" applyAlignment="1">
      <alignment horizontal="center" vertical="center" wrapText="1"/>
    </xf>
    <xf numFmtId="0" fontId="12" fillId="2" borderId="12" xfId="35" applyFont="1" applyFill="1" applyBorder="1" applyAlignment="1">
      <alignment horizontal="center" vertical="center" wrapText="1"/>
    </xf>
    <xf numFmtId="0" fontId="12" fillId="2" borderId="122" xfId="35" applyFont="1" applyFill="1" applyBorder="1" applyAlignment="1">
      <alignment horizontal="center" vertical="center" wrapText="1"/>
    </xf>
    <xf numFmtId="0" fontId="12" fillId="2" borderId="9" xfId="35" applyFont="1" applyFill="1" applyBorder="1" applyAlignment="1">
      <alignment horizontal="center" vertical="center"/>
    </xf>
    <xf numFmtId="0" fontId="12" fillId="2" borderId="10" xfId="35" applyFont="1" applyFill="1" applyBorder="1" applyAlignment="1">
      <alignment horizontal="center" vertical="center"/>
    </xf>
    <xf numFmtId="0" fontId="12" fillId="2" borderId="149" xfId="35" applyFont="1" applyFill="1" applyBorder="1" applyAlignment="1">
      <alignment horizontal="center" vertical="center" wrapText="1"/>
    </xf>
    <xf numFmtId="0" fontId="12" fillId="2" borderId="15" xfId="35" applyFont="1" applyFill="1" applyBorder="1" applyAlignment="1">
      <alignment horizontal="center" vertical="center" wrapText="1"/>
    </xf>
    <xf numFmtId="0" fontId="12" fillId="2" borderId="150" xfId="35" applyFont="1" applyFill="1" applyBorder="1" applyAlignment="1">
      <alignment horizontal="center" vertical="center" wrapText="1"/>
    </xf>
    <xf numFmtId="0" fontId="12" fillId="2" borderId="19" xfId="35" applyFont="1" applyFill="1" applyBorder="1" applyAlignment="1">
      <alignment horizontal="center" vertical="center" wrapText="1"/>
    </xf>
    <xf numFmtId="0" fontId="7" fillId="4" borderId="27" xfId="2" applyFill="1" applyBorder="1" applyAlignment="1" applyProtection="1">
      <alignment horizontal="center" vertical="center"/>
    </xf>
    <xf numFmtId="0" fontId="21" fillId="6" borderId="126" xfId="0" applyFont="1" applyFill="1" applyBorder="1" applyAlignment="1">
      <alignment vertical="center" wrapText="1"/>
    </xf>
    <xf numFmtId="0" fontId="21" fillId="6" borderId="127" xfId="0" applyFont="1" applyFill="1" applyBorder="1" applyAlignment="1">
      <alignment vertical="center"/>
    </xf>
    <xf numFmtId="0" fontId="21" fillId="6" borderId="123" xfId="21" applyFont="1" applyFill="1" applyBorder="1" applyAlignment="1">
      <alignment horizontal="center" vertical="center"/>
    </xf>
    <xf numFmtId="0" fontId="21" fillId="6" borderId="124" xfId="21" applyFont="1" applyFill="1" applyBorder="1" applyAlignment="1">
      <alignment horizontal="center" vertical="center"/>
    </xf>
    <xf numFmtId="0" fontId="21" fillId="6" borderId="125" xfId="21" applyFont="1" applyFill="1" applyBorder="1" applyAlignment="1">
      <alignment horizontal="center" vertical="center"/>
    </xf>
    <xf numFmtId="0" fontId="5" fillId="6" borderId="210" xfId="2" applyFont="1" applyFill="1" applyBorder="1" applyAlignment="1" applyProtection="1">
      <alignment horizontal="left" vertical="center" indent="1"/>
    </xf>
    <xf numFmtId="0" fontId="5" fillId="6" borderId="1" xfId="2" applyFont="1" applyFill="1" applyBorder="1" applyAlignment="1" applyProtection="1">
      <alignment horizontal="left" vertical="center" indent="1"/>
    </xf>
    <xf numFmtId="0" fontId="5" fillId="4" borderId="208" xfId="2" applyFont="1" applyFill="1" applyBorder="1" applyAlignment="1" applyProtection="1">
      <alignment horizontal="left" vertical="center" wrapText="1" indent="1"/>
    </xf>
    <xf numFmtId="0" fontId="5" fillId="4" borderId="209" xfId="2" applyFont="1" applyFill="1" applyBorder="1" applyAlignment="1" applyProtection="1">
      <alignment horizontal="left" vertical="center" wrapText="1" indent="1"/>
    </xf>
    <xf numFmtId="0" fontId="26" fillId="4" borderId="183" xfId="42" applyFill="1" applyBorder="1" applyAlignment="1">
      <alignment horizontal="center"/>
    </xf>
    <xf numFmtId="0" fontId="26" fillId="4" borderId="187" xfId="42" applyFill="1" applyBorder="1" applyAlignment="1">
      <alignment horizontal="center"/>
    </xf>
    <xf numFmtId="215" fontId="26" fillId="0" borderId="71" xfId="42" applyNumberFormat="1" applyBorder="1" applyAlignment="1" applyProtection="1">
      <alignment horizontal="center" vertical="center"/>
      <protection locked="0"/>
    </xf>
    <xf numFmtId="215" fontId="26" fillId="0" borderId="49" xfId="42" applyNumberFormat="1" applyBorder="1" applyAlignment="1" applyProtection="1">
      <alignment horizontal="center" vertical="center"/>
      <protection locked="0"/>
    </xf>
    <xf numFmtId="215" fontId="26" fillId="0" borderId="72" xfId="42" applyNumberFormat="1" applyBorder="1" applyAlignment="1" applyProtection="1">
      <alignment horizontal="center" vertical="center"/>
      <protection locked="0"/>
    </xf>
    <xf numFmtId="0" fontId="57" fillId="4" borderId="42" xfId="11" applyFont="1" applyFill="1" applyBorder="1" applyAlignment="1">
      <alignment horizontal="center" vertical="center" wrapText="1"/>
    </xf>
    <xf numFmtId="0" fontId="57" fillId="4" borderId="43" xfId="11" applyFont="1" applyFill="1" applyBorder="1" applyAlignment="1">
      <alignment horizontal="center" vertical="center" wrapText="1"/>
    </xf>
    <xf numFmtId="0" fontId="57" fillId="4" borderId="44" xfId="11" applyFont="1" applyFill="1" applyBorder="1" applyAlignment="1">
      <alignment horizontal="center" vertical="center" wrapText="1"/>
    </xf>
    <xf numFmtId="0" fontId="57" fillId="4" borderId="48" xfId="11" applyFont="1" applyFill="1" applyBorder="1" applyAlignment="1">
      <alignment horizontal="center" vertical="center" wrapText="1"/>
    </xf>
    <xf numFmtId="0" fontId="57" fillId="4" borderId="50" xfId="11" applyFont="1" applyFill="1" applyBorder="1" applyAlignment="1">
      <alignment horizontal="center" vertical="center" wrapText="1"/>
    </xf>
    <xf numFmtId="0" fontId="57" fillId="4" borderId="51" xfId="11" applyFont="1" applyFill="1" applyBorder="1" applyAlignment="1">
      <alignment horizontal="center" vertical="center" wrapText="1"/>
    </xf>
    <xf numFmtId="0" fontId="57" fillId="4" borderId="71" xfId="11" applyFont="1" applyFill="1" applyBorder="1" applyAlignment="1">
      <alignment horizontal="center" vertical="center"/>
    </xf>
    <xf numFmtId="0" fontId="57" fillId="4" borderId="49" xfId="11" applyFont="1" applyFill="1" applyBorder="1" applyAlignment="1">
      <alignment horizontal="center" vertical="center"/>
    </xf>
    <xf numFmtId="0" fontId="57" fillId="4" borderId="72" xfId="11" applyFont="1" applyFill="1" applyBorder="1" applyAlignment="1">
      <alignment horizontal="center" vertical="center"/>
    </xf>
    <xf numFmtId="0" fontId="116" fillId="4" borderId="71" xfId="11" applyFont="1" applyFill="1" applyBorder="1" applyAlignment="1">
      <alignment horizontal="center" vertical="center"/>
    </xf>
    <xf numFmtId="0" fontId="116" fillId="4" borderId="49" xfId="11" applyFont="1" applyFill="1" applyBorder="1" applyAlignment="1">
      <alignment horizontal="center" vertical="center"/>
    </xf>
    <xf numFmtId="0" fontId="116" fillId="4" borderId="72" xfId="11" applyFont="1" applyFill="1" applyBorder="1" applyAlignment="1">
      <alignment horizontal="center" vertical="center"/>
    </xf>
    <xf numFmtId="0" fontId="114" fillId="7" borderId="180" xfId="42" applyFont="1" applyFill="1" applyBorder="1" applyAlignment="1">
      <alignment horizontal="center" vertical="center"/>
    </xf>
    <xf numFmtId="0" fontId="114" fillId="7" borderId="181" xfId="42" applyFont="1" applyFill="1" applyBorder="1" applyAlignment="1">
      <alignment horizontal="center" vertical="center"/>
    </xf>
    <xf numFmtId="0" fontId="114" fillId="7" borderId="182" xfId="42" applyFont="1" applyFill="1" applyBorder="1" applyAlignment="1">
      <alignment horizontal="center" vertical="center"/>
    </xf>
    <xf numFmtId="0" fontId="114" fillId="7" borderId="185" xfId="42" applyFont="1" applyFill="1" applyBorder="1" applyAlignment="1">
      <alignment horizontal="center" vertical="center"/>
    </xf>
    <xf numFmtId="0" fontId="114" fillId="7" borderId="0" xfId="42" applyFont="1" applyFill="1" applyAlignment="1">
      <alignment horizontal="center" vertical="center"/>
    </xf>
    <xf numFmtId="0" fontId="114" fillId="7" borderId="186" xfId="42" applyFont="1" applyFill="1" applyBorder="1" applyAlignment="1">
      <alignment horizontal="center" vertical="center"/>
    </xf>
    <xf numFmtId="0" fontId="26" fillId="4" borderId="122" xfId="42" applyFill="1" applyBorder="1" applyAlignment="1">
      <alignment horizontal="center"/>
    </xf>
    <xf numFmtId="0" fontId="26" fillId="4" borderId="153" xfId="42" applyFill="1" applyBorder="1" applyAlignment="1">
      <alignment horizontal="center"/>
    </xf>
    <xf numFmtId="0" fontId="26" fillId="4" borderId="190" xfId="42" applyFill="1" applyBorder="1" applyAlignment="1">
      <alignment horizontal="center"/>
    </xf>
    <xf numFmtId="0" fontId="69" fillId="5" borderId="179" xfId="42" applyFont="1" applyFill="1" applyBorder="1" applyAlignment="1">
      <alignment horizontal="center" vertical="center"/>
    </xf>
    <xf numFmtId="0" fontId="69" fillId="5" borderId="184" xfId="42" applyFont="1" applyFill="1" applyBorder="1" applyAlignment="1">
      <alignment horizontal="center" vertical="center"/>
    </xf>
    <xf numFmtId="0" fontId="114" fillId="16" borderId="179" xfId="42" applyFont="1" applyFill="1" applyBorder="1" applyAlignment="1">
      <alignment horizontal="center" vertical="center"/>
    </xf>
    <xf numFmtId="0" fontId="114" fillId="16" borderId="184" xfId="42" applyFont="1" applyFill="1" applyBorder="1" applyAlignment="1">
      <alignment horizontal="center" vertical="center"/>
    </xf>
    <xf numFmtId="0" fontId="114" fillId="7" borderId="179" xfId="42" applyFont="1" applyFill="1" applyBorder="1" applyAlignment="1">
      <alignment horizontal="center" vertical="center"/>
    </xf>
    <xf numFmtId="0" fontId="114" fillId="7" borderId="184" xfId="42" applyFont="1" applyFill="1" applyBorder="1" applyAlignment="1">
      <alignment horizontal="center" vertical="center"/>
    </xf>
    <xf numFmtId="0" fontId="12" fillId="4" borderId="17" xfId="11" applyFont="1" applyFill="1" applyBorder="1" applyAlignment="1">
      <alignment horizontal="center" vertical="center" wrapText="1"/>
    </xf>
    <xf numFmtId="0" fontId="12" fillId="4" borderId="16" xfId="11" applyFont="1" applyFill="1" applyBorder="1" applyAlignment="1">
      <alignment horizontal="center" vertical="center" wrapText="1"/>
    </xf>
    <xf numFmtId="0" fontId="12" fillId="4" borderId="56" xfId="11" applyFont="1" applyFill="1" applyBorder="1" applyAlignment="1">
      <alignment horizontal="center" vertical="center" wrapText="1"/>
    </xf>
    <xf numFmtId="0" fontId="21" fillId="6" borderId="102" xfId="2" applyFont="1" applyFill="1" applyBorder="1" applyAlignment="1" applyProtection="1">
      <alignment horizontal="left" vertical="center" wrapText="1" indent="1"/>
    </xf>
    <xf numFmtId="0" fontId="21" fillId="6" borderId="1" xfId="2" applyFont="1" applyFill="1" applyBorder="1" applyAlignment="1" applyProtection="1">
      <alignment horizontal="left" vertical="center" wrapText="1" indent="1"/>
    </xf>
    <xf numFmtId="0" fontId="13" fillId="3" borderId="1" xfId="10" applyFont="1" applyFill="1" applyBorder="1" applyAlignment="1">
      <alignment horizontal="left" vertical="center" indent="1"/>
    </xf>
    <xf numFmtId="0" fontId="13" fillId="3" borderId="255" xfId="10" applyFont="1" applyFill="1" applyBorder="1" applyAlignment="1">
      <alignment horizontal="left" vertical="center" indent="1"/>
    </xf>
    <xf numFmtId="0" fontId="55" fillId="4" borderId="17" xfId="11" applyFont="1" applyFill="1" applyBorder="1" applyAlignment="1">
      <alignment horizontal="center" vertical="center" wrapText="1"/>
    </xf>
    <xf numFmtId="0" fontId="55" fillId="4" borderId="56" xfId="11" applyFont="1" applyFill="1" applyBorder="1" applyAlignment="1">
      <alignment horizontal="center" vertical="center" wrapText="1"/>
    </xf>
    <xf numFmtId="215" fontId="26" fillId="0" borderId="52" xfId="42" applyNumberFormat="1" applyBorder="1" applyAlignment="1" applyProtection="1">
      <alignment horizontal="center" vertical="center"/>
      <protection locked="0"/>
    </xf>
    <xf numFmtId="0" fontId="7" fillId="4" borderId="40" xfId="2" applyFill="1" applyBorder="1" applyAlignment="1" applyProtection="1">
      <alignment horizontal="center"/>
    </xf>
    <xf numFmtId="0" fontId="7" fillId="4" borderId="0" xfId="2" applyFill="1" applyBorder="1" applyAlignment="1" applyProtection="1">
      <alignment horizontal="center"/>
    </xf>
    <xf numFmtId="0" fontId="115" fillId="4" borderId="188" xfId="42" applyFont="1" applyFill="1" applyBorder="1" applyAlignment="1">
      <alignment horizontal="center" vertical="center" textRotation="90"/>
    </xf>
    <xf numFmtId="0" fontId="115" fillId="4" borderId="189" xfId="42" applyFont="1" applyFill="1" applyBorder="1" applyAlignment="1">
      <alignment horizontal="center" vertical="center" textRotation="90"/>
    </xf>
    <xf numFmtId="215" fontId="69" fillId="4" borderId="17" xfId="42" applyNumberFormat="1" applyFont="1" applyFill="1" applyBorder="1" applyAlignment="1">
      <alignment horizontal="center" vertical="center" shrinkToFit="1"/>
    </xf>
    <xf numFmtId="215" fontId="69" fillId="4" borderId="16" xfId="42" applyNumberFormat="1" applyFont="1" applyFill="1" applyBorder="1" applyAlignment="1">
      <alignment horizontal="center" vertical="center" shrinkToFit="1"/>
    </xf>
    <xf numFmtId="215" fontId="69" fillId="4" borderId="56" xfId="42" applyNumberFormat="1" applyFont="1" applyFill="1" applyBorder="1" applyAlignment="1">
      <alignment horizontal="center" vertical="center" shrinkToFit="1"/>
    </xf>
    <xf numFmtId="215" fontId="69" fillId="4" borderId="0" xfId="42" applyNumberFormat="1" applyFont="1" applyFill="1" applyAlignment="1">
      <alignment horizontal="center" vertical="center" shrinkToFit="1"/>
    </xf>
    <xf numFmtId="217" fontId="26" fillId="4" borderId="17" xfId="42" applyNumberFormat="1" applyFill="1" applyBorder="1" applyAlignment="1">
      <alignment horizontal="center" vertical="center" shrinkToFit="1"/>
    </xf>
    <xf numFmtId="217" fontId="26" fillId="4" borderId="16" xfId="42" applyNumberFormat="1" applyFill="1" applyBorder="1" applyAlignment="1">
      <alignment horizontal="center" vertical="center" shrinkToFit="1"/>
    </xf>
    <xf numFmtId="217" fontId="26" fillId="4" borderId="56" xfId="42" applyNumberFormat="1" applyFill="1" applyBorder="1" applyAlignment="1">
      <alignment horizontal="center" vertical="center" shrinkToFit="1"/>
    </xf>
    <xf numFmtId="0" fontId="6" fillId="5" borderId="38" xfId="2" applyFont="1" applyFill="1" applyBorder="1" applyAlignment="1" applyProtection="1">
      <alignment horizontal="left" vertical="center" indent="1"/>
    </xf>
    <xf numFmtId="0" fontId="0" fillId="4" borderId="42" xfId="44" applyFont="1" applyFill="1" applyBorder="1" applyAlignment="1">
      <alignment horizontal="left" vertical="center" wrapText="1" indent="1"/>
    </xf>
    <xf numFmtId="0" fontId="5" fillId="4" borderId="43" xfId="44" applyFont="1" applyFill="1" applyBorder="1" applyAlignment="1">
      <alignment horizontal="left" vertical="center" wrapText="1" indent="1"/>
    </xf>
    <xf numFmtId="0" fontId="5" fillId="4" borderId="44" xfId="44" applyFont="1" applyFill="1" applyBorder="1" applyAlignment="1">
      <alignment horizontal="left" vertical="center" wrapText="1" indent="1"/>
    </xf>
    <xf numFmtId="0" fontId="5" fillId="4" borderId="40" xfId="44" applyFont="1" applyFill="1" applyBorder="1" applyAlignment="1">
      <alignment horizontal="left" vertical="center" wrapText="1" indent="1"/>
    </xf>
    <xf numFmtId="0" fontId="5" fillId="4" borderId="0" xfId="44" applyFont="1" applyFill="1" applyAlignment="1">
      <alignment horizontal="left" vertical="center" wrapText="1" indent="1"/>
    </xf>
    <xf numFmtId="0" fontId="5" fillId="4" borderId="38" xfId="44" applyFont="1" applyFill="1" applyBorder="1" applyAlignment="1">
      <alignment horizontal="left" vertical="center" wrapText="1" indent="1"/>
    </xf>
    <xf numFmtId="0" fontId="5" fillId="4" borderId="48" xfId="44" applyFont="1" applyFill="1" applyBorder="1" applyAlignment="1">
      <alignment horizontal="left" vertical="center" wrapText="1" indent="1"/>
    </xf>
    <xf numFmtId="0" fontId="5" fillId="4" borderId="50" xfId="44" applyFont="1" applyFill="1" applyBorder="1" applyAlignment="1">
      <alignment horizontal="left" vertical="center" wrapText="1" indent="1"/>
    </xf>
    <xf numFmtId="0" fontId="5" fillId="4" borderId="51" xfId="44" applyFont="1" applyFill="1" applyBorder="1" applyAlignment="1">
      <alignment horizontal="left" vertical="center" wrapText="1" indent="1"/>
    </xf>
    <xf numFmtId="0" fontId="76" fillId="4" borderId="0" xfId="33" applyFont="1" applyFill="1" applyAlignment="1">
      <alignment horizontal="center" vertical="center"/>
    </xf>
    <xf numFmtId="0" fontId="21" fillId="4" borderId="0" xfId="37" applyFont="1" applyFill="1" applyAlignment="1">
      <alignment vertical="center" wrapText="1"/>
    </xf>
    <xf numFmtId="0" fontId="21" fillId="4" borderId="50" xfId="37" applyFont="1" applyFill="1" applyBorder="1" applyAlignment="1">
      <alignment vertical="center" wrapText="1"/>
    </xf>
    <xf numFmtId="249" fontId="6" fillId="4" borderId="128" xfId="33" applyNumberFormat="1" applyFont="1" applyFill="1" applyBorder="1" applyAlignment="1" applyProtection="1">
      <alignment horizontal="left" vertical="center" indent="1"/>
      <protection locked="0"/>
    </xf>
    <xf numFmtId="249" fontId="6" fillId="4" borderId="0" xfId="33" applyNumberFormat="1" applyFont="1" applyFill="1" applyAlignment="1" applyProtection="1">
      <alignment horizontal="left" vertical="center" indent="1"/>
      <protection locked="0"/>
    </xf>
    <xf numFmtId="245" fontId="6" fillId="4" borderId="128" xfId="33" applyNumberFormat="1" applyFont="1" applyFill="1" applyBorder="1" applyAlignment="1">
      <alignment horizontal="left" vertical="center" indent="1"/>
    </xf>
    <xf numFmtId="245" fontId="6" fillId="4" borderId="0" xfId="33" applyNumberFormat="1" applyFont="1" applyFill="1" applyAlignment="1">
      <alignment horizontal="left" vertical="center" indent="1"/>
    </xf>
    <xf numFmtId="246" fontId="6" fillId="4" borderId="128" xfId="33" applyNumberFormat="1" applyFont="1" applyFill="1" applyBorder="1" applyAlignment="1">
      <alignment horizontal="left" vertical="center" indent="1"/>
    </xf>
    <xf numFmtId="246" fontId="6" fillId="4" borderId="0" xfId="33" applyNumberFormat="1" applyFont="1" applyFill="1" applyAlignment="1">
      <alignment horizontal="left" vertical="center" indent="1"/>
    </xf>
    <xf numFmtId="247" fontId="6" fillId="4" borderId="128" xfId="33" applyNumberFormat="1" applyFont="1" applyFill="1" applyBorder="1" applyAlignment="1">
      <alignment horizontal="left" vertical="center" indent="1"/>
    </xf>
    <xf numFmtId="247" fontId="6" fillId="4" borderId="0" xfId="33" applyNumberFormat="1" applyFont="1" applyFill="1" applyAlignment="1">
      <alignment horizontal="left" vertical="center" indent="1"/>
    </xf>
    <xf numFmtId="0" fontId="159" fillId="15" borderId="0" xfId="60" applyFont="1" applyFill="1" applyAlignment="1">
      <alignment horizontal="left" vertical="center" indent="5"/>
    </xf>
    <xf numFmtId="0" fontId="0" fillId="4" borderId="260" xfId="0" applyFill="1" applyBorder="1" applyAlignment="1">
      <alignment horizontal="center" vertical="center"/>
    </xf>
    <xf numFmtId="0" fontId="0" fillId="4" borderId="261" xfId="0" applyFill="1" applyBorder="1" applyAlignment="1">
      <alignment horizontal="center" vertical="center"/>
    </xf>
    <xf numFmtId="0" fontId="161" fillId="11" borderId="0" xfId="21" applyFont="1" applyFill="1" applyAlignment="1">
      <alignment horizontal="center" vertical="center"/>
    </xf>
    <xf numFmtId="0" fontId="0" fillId="4" borderId="216" xfId="0" applyFill="1" applyBorder="1" applyAlignment="1">
      <alignment horizontal="center" vertical="center"/>
    </xf>
    <xf numFmtId="0" fontId="0" fillId="4" borderId="219" xfId="0" applyFill="1" applyBorder="1" applyAlignment="1">
      <alignment horizontal="center" vertical="center"/>
    </xf>
    <xf numFmtId="0" fontId="0" fillId="2" borderId="0" xfId="0" applyFill="1" applyAlignment="1">
      <alignment vertical="top" wrapText="1"/>
    </xf>
    <xf numFmtId="0" fontId="0" fillId="2" borderId="0" xfId="0" applyFill="1" applyAlignment="1">
      <alignment vertical="center" wrapText="1"/>
    </xf>
    <xf numFmtId="0" fontId="14" fillId="0" borderId="174" xfId="63" applyFont="1" applyBorder="1" applyAlignment="1">
      <alignment horizontal="center" vertical="center"/>
    </xf>
    <xf numFmtId="0" fontId="14" fillId="0" borderId="173" xfId="63" applyFont="1" applyBorder="1" applyAlignment="1">
      <alignment horizontal="center" vertical="center"/>
    </xf>
    <xf numFmtId="0" fontId="14" fillId="0" borderId="213" xfId="63" applyFont="1" applyBorder="1" applyAlignment="1">
      <alignment horizontal="center" vertical="center"/>
    </xf>
    <xf numFmtId="0" fontId="102" fillId="0" borderId="0" xfId="63" applyFont="1" applyAlignment="1">
      <alignment horizontal="center" vertical="center"/>
    </xf>
    <xf numFmtId="0" fontId="167" fillId="0" borderId="173" xfId="63" applyFon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wrapText="1"/>
    </xf>
    <xf numFmtId="0" fontId="0" fillId="0" borderId="0" xfId="0" applyAlignment="1">
      <alignment horizontal="center" vertical="center"/>
    </xf>
    <xf numFmtId="0" fontId="0" fillId="0" borderId="180" xfId="0" applyBorder="1" applyAlignment="1">
      <alignment horizontal="center" vertical="center"/>
    </xf>
    <xf numFmtId="0" fontId="0" fillId="0" borderId="182" xfId="0"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0" fontId="12" fillId="4" borderId="262" xfId="0" applyFont="1" applyFill="1" applyBorder="1" applyAlignment="1">
      <alignment horizontal="center" vertical="center"/>
    </xf>
    <xf numFmtId="0" fontId="12" fillId="4" borderId="263" xfId="0" applyFont="1" applyFill="1" applyBorder="1" applyAlignment="1">
      <alignment horizontal="center" vertical="center"/>
    </xf>
    <xf numFmtId="0" fontId="12" fillId="4" borderId="264" xfId="0" applyFont="1" applyFill="1" applyBorder="1" applyAlignment="1">
      <alignment horizontal="center" vertical="center"/>
    </xf>
    <xf numFmtId="0" fontId="12" fillId="4" borderId="265" xfId="0" applyFont="1" applyFill="1" applyBorder="1" applyAlignment="1">
      <alignment horizontal="center" vertical="center"/>
    </xf>
    <xf numFmtId="0" fontId="0" fillId="0" borderId="180" xfId="0" applyBorder="1" applyAlignment="1">
      <alignment horizontal="center" vertical="center" wrapText="1"/>
    </xf>
    <xf numFmtId="0" fontId="0" fillId="0" borderId="0" xfId="0" applyAlignment="1">
      <alignment vertical="center"/>
    </xf>
    <xf numFmtId="0" fontId="0" fillId="0" borderId="181" xfId="0" applyBorder="1" applyAlignment="1">
      <alignment horizontal="center" vertical="center"/>
    </xf>
    <xf numFmtId="0" fontId="0" fillId="0" borderId="178" xfId="0" applyBorder="1" applyAlignment="1">
      <alignment horizontal="center" vertical="center"/>
    </xf>
    <xf numFmtId="0" fontId="55" fillId="0" borderId="181" xfId="0" applyFont="1" applyBorder="1" applyAlignment="1">
      <alignment horizontal="center" vertical="center" wrapText="1"/>
    </xf>
    <xf numFmtId="0" fontId="55" fillId="0" borderId="178" xfId="0" applyFont="1" applyBorder="1" applyAlignment="1">
      <alignment horizontal="center" vertical="center" wrapText="1"/>
    </xf>
    <xf numFmtId="0" fontId="0" fillId="0" borderId="181" xfId="0" applyBorder="1" applyAlignment="1">
      <alignment horizontal="center" vertical="center" wrapText="1"/>
    </xf>
    <xf numFmtId="0" fontId="0" fillId="0" borderId="178" xfId="0" applyBorder="1" applyAlignment="1">
      <alignment horizontal="center" vertical="center" wrapText="1"/>
    </xf>
    <xf numFmtId="0" fontId="21" fillId="4" borderId="262" xfId="0" applyFont="1" applyFill="1" applyBorder="1" applyAlignment="1">
      <alignment horizontal="center" vertical="center"/>
    </xf>
    <xf numFmtId="0" fontId="21" fillId="4" borderId="263" xfId="0" applyFont="1" applyFill="1" applyBorder="1" applyAlignment="1">
      <alignment horizontal="center" vertical="center"/>
    </xf>
    <xf numFmtId="0" fontId="21" fillId="4" borderId="264" xfId="0" applyFont="1" applyFill="1" applyBorder="1" applyAlignment="1">
      <alignment horizontal="center" vertical="center"/>
    </xf>
    <xf numFmtId="0" fontId="21" fillId="4" borderId="265" xfId="0" applyFont="1" applyFill="1" applyBorder="1" applyAlignment="1">
      <alignment horizontal="center" vertical="center"/>
    </xf>
    <xf numFmtId="0" fontId="55" fillId="0" borderId="0" xfId="0" applyFont="1" applyAlignment="1">
      <alignment horizontal="center" vertical="center" wrapText="1"/>
    </xf>
    <xf numFmtId="0" fontId="0" fillId="0" borderId="0" xfId="0" applyAlignment="1">
      <alignment horizontal="left" vertical="center" indent="1"/>
    </xf>
    <xf numFmtId="0" fontId="0" fillId="0" borderId="178" xfId="0" applyBorder="1" applyAlignment="1">
      <alignment horizontal="left" vertical="center" indent="1"/>
    </xf>
    <xf numFmtId="0" fontId="100" fillId="0" borderId="181" xfId="0" applyFont="1" applyBorder="1" applyAlignment="1">
      <alignment horizontal="center"/>
    </xf>
    <xf numFmtId="0" fontId="100" fillId="0" borderId="182" xfId="0" applyFont="1" applyBorder="1" applyAlignment="1">
      <alignment horizontal="center"/>
    </xf>
    <xf numFmtId="0" fontId="174" fillId="26" borderId="172" xfId="0" applyFont="1" applyFill="1" applyBorder="1" applyAlignment="1">
      <alignment horizontal="center" vertical="center"/>
    </xf>
    <xf numFmtId="0" fontId="174" fillId="26" borderId="175" xfId="0" applyFont="1" applyFill="1" applyBorder="1" applyAlignment="1">
      <alignment horizontal="center" vertical="center"/>
    </xf>
    <xf numFmtId="0" fontId="174" fillId="26" borderId="215" xfId="0" applyFont="1" applyFill="1" applyBorder="1" applyAlignment="1">
      <alignment horizontal="center" vertical="center"/>
    </xf>
    <xf numFmtId="0" fontId="174" fillId="26" borderId="122" xfId="0" applyFont="1" applyFill="1" applyBorder="1" applyAlignment="1">
      <alignment horizontal="center" vertical="center"/>
    </xf>
    <xf numFmtId="0" fontId="174" fillId="26" borderId="153" xfId="0" applyFont="1" applyFill="1" applyBorder="1" applyAlignment="1">
      <alignment horizontal="center" vertical="center"/>
    </xf>
    <xf numFmtId="0" fontId="174" fillId="26" borderId="154" xfId="0" applyFont="1" applyFill="1" applyBorder="1" applyAlignment="1">
      <alignment horizontal="center" vertical="center"/>
    </xf>
    <xf numFmtId="0" fontId="41" fillId="0" borderId="178" xfId="63" applyFont="1" applyBorder="1" applyAlignment="1">
      <alignment horizontal="center" vertical="top"/>
    </xf>
    <xf numFmtId="0" fontId="41" fillId="0" borderId="196" xfId="63" applyFont="1" applyBorder="1" applyAlignment="1">
      <alignment horizontal="center" vertical="top"/>
    </xf>
    <xf numFmtId="0" fontId="180" fillId="0" borderId="246" xfId="0" applyFont="1" applyBorder="1" applyAlignment="1">
      <alignment horizontal="center" vertical="top"/>
    </xf>
    <xf numFmtId="0" fontId="180" fillId="0" borderId="0" xfId="0" applyFont="1" applyAlignment="1">
      <alignment horizontal="center" vertical="top"/>
    </xf>
    <xf numFmtId="0" fontId="180" fillId="0" borderId="13" xfId="0" applyFont="1" applyBorder="1" applyAlignment="1">
      <alignment horizontal="center" vertical="top"/>
    </xf>
    <xf numFmtId="0" fontId="0" fillId="0" borderId="172" xfId="0" applyBorder="1" applyAlignment="1">
      <alignment horizontal="center" vertical="center"/>
    </xf>
    <xf numFmtId="0" fontId="0" fillId="0" borderId="175" xfId="0" applyBorder="1" applyAlignment="1">
      <alignment horizontal="center" vertical="center"/>
    </xf>
    <xf numFmtId="0" fontId="0" fillId="0" borderId="215" xfId="0" applyBorder="1" applyAlignment="1">
      <alignment horizontal="center" vertical="center"/>
    </xf>
    <xf numFmtId="0" fontId="38" fillId="11" borderId="0" xfId="21" applyFont="1" applyFill="1" applyAlignment="1">
      <alignment horizontal="left" vertical="center" wrapText="1" indent="1"/>
    </xf>
    <xf numFmtId="0" fontId="38" fillId="11" borderId="0" xfId="21" applyFont="1" applyFill="1" applyAlignment="1">
      <alignment horizontal="left" vertical="center" indent="1"/>
    </xf>
    <xf numFmtId="0" fontId="6" fillId="0" borderId="11" xfId="40" applyNumberFormat="1" applyFont="1" applyFill="1" applyBorder="1" applyAlignment="1" applyProtection="1">
      <alignment horizontal="left" vertical="top" indent="2"/>
    </xf>
    <xf numFmtId="0" fontId="6" fillId="0" borderId="0" xfId="40" applyNumberFormat="1" applyFont="1" applyFill="1" applyBorder="1" applyAlignment="1" applyProtection="1">
      <alignment horizontal="left" vertical="top" indent="2"/>
    </xf>
    <xf numFmtId="0" fontId="6" fillId="0" borderId="28" xfId="40" applyNumberFormat="1" applyFont="1" applyFill="1" applyBorder="1" applyAlignment="1" applyProtection="1">
      <alignment horizontal="center" vertical="top"/>
    </xf>
    <xf numFmtId="0" fontId="6" fillId="0" borderId="30" xfId="40" applyNumberFormat="1" applyFont="1" applyFill="1" applyBorder="1" applyAlignment="1" applyProtection="1">
      <alignment horizontal="center" vertical="top"/>
    </xf>
    <xf numFmtId="0" fontId="6" fillId="0" borderId="29" xfId="40" applyNumberFormat="1" applyFont="1" applyFill="1" applyBorder="1" applyAlignment="1" applyProtection="1">
      <alignment horizontal="left" vertical="top" indent="6"/>
    </xf>
    <xf numFmtId="0" fontId="6" fillId="0" borderId="11" xfId="40" applyNumberFormat="1" applyFont="1" applyFill="1" applyBorder="1" applyAlignment="1" applyProtection="1">
      <alignment horizontal="left" vertical="top" indent="6"/>
    </xf>
    <xf numFmtId="0" fontId="97" fillId="0" borderId="28" xfId="40" applyNumberFormat="1" applyFont="1" applyFill="1" applyBorder="1" applyAlignment="1" applyProtection="1">
      <alignment horizontal="center" vertical="center"/>
    </xf>
    <xf numFmtId="0" fontId="97" fillId="0" borderId="29" xfId="40" applyNumberFormat="1" applyFont="1" applyFill="1" applyBorder="1" applyAlignment="1" applyProtection="1">
      <alignment horizontal="center" vertical="center"/>
    </xf>
    <xf numFmtId="0" fontId="97" fillId="0" borderId="30" xfId="40" applyNumberFormat="1" applyFont="1" applyFill="1" applyBorder="1" applyAlignment="1" applyProtection="1">
      <alignment horizontal="center" vertical="center"/>
    </xf>
    <xf numFmtId="0" fontId="25" fillId="0" borderId="12" xfId="40" applyNumberFormat="1" applyFont="1" applyFill="1" applyBorder="1" applyAlignment="1" applyProtection="1">
      <alignment horizontal="left" vertical="top" wrapText="1" indent="1"/>
    </xf>
    <xf numFmtId="0" fontId="25" fillId="0" borderId="0" xfId="40" applyNumberFormat="1" applyFont="1" applyFill="1" applyBorder="1" applyAlignment="1" applyProtection="1">
      <alignment horizontal="left" vertical="top" wrapText="1" indent="1"/>
    </xf>
    <xf numFmtId="0" fontId="6" fillId="0" borderId="29" xfId="40" applyNumberFormat="1" applyFont="1" applyFill="1" applyBorder="1" applyAlignment="1" applyProtection="1">
      <alignment horizontal="left" vertical="top" indent="2"/>
    </xf>
    <xf numFmtId="0" fontId="103" fillId="11" borderId="0" xfId="1" applyFont="1" applyFill="1" applyAlignment="1">
      <alignment horizontal="center" vertical="center" wrapText="1"/>
    </xf>
    <xf numFmtId="0" fontId="39" fillId="0" borderId="0" xfId="40" applyNumberFormat="1" applyFont="1" applyFill="1" applyBorder="1" applyAlignment="1" applyProtection="1">
      <alignment horizontal="center" vertical="center"/>
    </xf>
    <xf numFmtId="0" fontId="39" fillId="0" borderId="153" xfId="40" applyNumberFormat="1" applyFont="1" applyFill="1" applyBorder="1" applyAlignment="1" applyProtection="1">
      <alignment horizontal="center" vertical="center"/>
    </xf>
    <xf numFmtId="0" fontId="6" fillId="0" borderId="28" xfId="40" applyNumberFormat="1" applyFont="1" applyFill="1" applyBorder="1" applyAlignment="1" applyProtection="1">
      <alignment horizontal="center" vertical="center"/>
    </xf>
    <xf numFmtId="0" fontId="6" fillId="0" borderId="30" xfId="40" applyNumberFormat="1" applyFont="1" applyFill="1" applyBorder="1" applyAlignment="1" applyProtection="1">
      <alignment horizontal="center" vertical="center"/>
    </xf>
    <xf numFmtId="0" fontId="103" fillId="15" borderId="0" xfId="1" applyFont="1" applyFill="1" applyAlignment="1">
      <alignment horizontal="center" vertical="center" wrapText="1"/>
    </xf>
    <xf numFmtId="0" fontId="10" fillId="0" borderId="0" xfId="5" applyFont="1" applyAlignment="1">
      <alignment horizontal="right" vertical="center" indent="1"/>
    </xf>
    <xf numFmtId="0" fontId="6" fillId="4" borderId="128" xfId="4" applyFont="1" applyFill="1" applyBorder="1" applyAlignment="1">
      <alignment horizontal="left" vertical="center" wrapText="1" indent="1"/>
    </xf>
    <xf numFmtId="0" fontId="6" fillId="4" borderId="0" xfId="4" applyFont="1" applyFill="1" applyAlignment="1">
      <alignment horizontal="left" vertical="center" wrapText="1" indent="1"/>
    </xf>
    <xf numFmtId="0" fontId="6" fillId="4" borderId="161" xfId="4" applyFont="1" applyFill="1" applyBorder="1" applyAlignment="1">
      <alignment horizontal="left" vertical="center" wrapText="1" indent="1"/>
    </xf>
    <xf numFmtId="0" fontId="6" fillId="4" borderId="0" xfId="4" applyFont="1" applyFill="1" applyAlignment="1">
      <alignment vertical="center" wrapText="1"/>
    </xf>
    <xf numFmtId="0" fontId="6" fillId="4" borderId="161" xfId="4" applyFont="1" applyFill="1" applyBorder="1" applyAlignment="1">
      <alignment vertical="center" wrapText="1"/>
    </xf>
    <xf numFmtId="0" fontId="145" fillId="0" borderId="17" xfId="56" applyFont="1" applyBorder="1" applyAlignment="1">
      <alignment horizontal="center" vertical="center"/>
    </xf>
    <xf numFmtId="0" fontId="145" fillId="0" borderId="56" xfId="56" applyFont="1" applyBorder="1" applyAlignment="1">
      <alignment horizontal="center" vertical="center"/>
    </xf>
    <xf numFmtId="0" fontId="33" fillId="9" borderId="42" xfId="11" applyFont="1" applyFill="1" applyBorder="1" applyAlignment="1">
      <alignment horizontal="center" vertical="center"/>
    </xf>
    <xf numFmtId="0" fontId="33" fillId="9" borderId="43" xfId="11" applyFont="1" applyFill="1" applyBorder="1" applyAlignment="1">
      <alignment horizontal="center" vertical="center"/>
    </xf>
    <xf numFmtId="0" fontId="33" fillId="9" borderId="44" xfId="11" applyFont="1" applyFill="1" applyBorder="1" applyAlignment="1">
      <alignment horizontal="center" vertical="center"/>
    </xf>
    <xf numFmtId="0" fontId="33" fillId="9" borderId="48" xfId="11" applyFont="1" applyFill="1" applyBorder="1" applyAlignment="1">
      <alignment horizontal="center" vertical="center"/>
    </xf>
    <xf numFmtId="0" fontId="33" fillId="9" borderId="50" xfId="11" applyFont="1" applyFill="1" applyBorder="1" applyAlignment="1">
      <alignment horizontal="center" vertical="center"/>
    </xf>
    <xf numFmtId="0" fontId="33" fillId="9" borderId="51" xfId="11" applyFont="1" applyFill="1" applyBorder="1" applyAlignment="1">
      <alignment horizontal="center" vertical="center"/>
    </xf>
    <xf numFmtId="0" fontId="58" fillId="0" borderId="17" xfId="17" applyFont="1" applyFill="1" applyBorder="1" applyAlignment="1" applyProtection="1">
      <alignment vertical="center" wrapText="1"/>
      <protection locked="0"/>
    </xf>
    <xf numFmtId="0" fontId="58" fillId="0" borderId="56" xfId="17" applyFont="1" applyFill="1" applyBorder="1" applyAlignment="1" applyProtection="1">
      <alignment vertical="center" wrapText="1"/>
      <protection locked="0"/>
    </xf>
    <xf numFmtId="0" fontId="10" fillId="0" borderId="16" xfId="11" applyFont="1" applyBorder="1" applyAlignment="1" applyProtection="1">
      <alignment horizontal="center" vertical="center"/>
      <protection locked="0"/>
    </xf>
    <xf numFmtId="0" fontId="10" fillId="0" borderId="56" xfId="11" applyFont="1" applyBorder="1" applyAlignment="1" applyProtection="1">
      <alignment horizontal="center" vertical="center"/>
      <protection locked="0"/>
    </xf>
    <xf numFmtId="0" fontId="7" fillId="0" borderId="54" xfId="2" applyFill="1" applyBorder="1" applyAlignment="1" applyProtection="1">
      <alignment horizontal="left" vertical="center" wrapText="1" indent="1"/>
      <protection locked="0"/>
    </xf>
    <xf numFmtId="0" fontId="90" fillId="0" borderId="17" xfId="0" applyFont="1" applyBorder="1" applyAlignment="1">
      <alignment vertical="center" wrapText="1"/>
    </xf>
    <xf numFmtId="0" fontId="90" fillId="0" borderId="16" xfId="0" applyFont="1" applyBorder="1" applyAlignment="1">
      <alignment vertical="center" wrapText="1"/>
    </xf>
    <xf numFmtId="0" fontId="90" fillId="0" borderId="56" xfId="0" applyFont="1" applyBorder="1" applyAlignment="1">
      <alignment vertical="center" wrapText="1"/>
    </xf>
    <xf numFmtId="0" fontId="58" fillId="0" borderId="16" xfId="17" applyFont="1" applyFill="1" applyBorder="1" applyAlignment="1" applyProtection="1">
      <alignment vertical="center" wrapText="1"/>
      <protection locked="0"/>
    </xf>
    <xf numFmtId="0" fontId="21" fillId="4" borderId="174" xfId="4" applyFont="1" applyFill="1" applyBorder="1" applyAlignment="1">
      <alignment horizontal="center" vertical="center"/>
    </xf>
    <xf numFmtId="0" fontId="21" fillId="4" borderId="213" xfId="4" applyFont="1" applyFill="1" applyBorder="1" applyAlignment="1">
      <alignment horizontal="center" vertical="center"/>
    </xf>
    <xf numFmtId="0" fontId="6" fillId="4" borderId="174" xfId="4" applyFont="1" applyFill="1" applyBorder="1" applyAlignment="1">
      <alignment horizontal="center" vertical="center"/>
    </xf>
    <xf numFmtId="0" fontId="6" fillId="4" borderId="213" xfId="4" applyFont="1" applyFill="1" applyBorder="1" applyAlignment="1">
      <alignment horizontal="center" vertical="center"/>
    </xf>
    <xf numFmtId="0" fontId="15" fillId="4" borderId="174" xfId="4" applyFill="1" applyBorder="1" applyAlignment="1">
      <alignment horizontal="center" vertical="center"/>
    </xf>
    <xf numFmtId="0" fontId="15" fillId="4" borderId="213" xfId="4" applyFill="1" applyBorder="1" applyAlignment="1">
      <alignment horizontal="center" vertical="center"/>
    </xf>
    <xf numFmtId="0" fontId="15" fillId="4" borderId="172" xfId="4" applyFill="1" applyBorder="1" applyAlignment="1">
      <alignment horizontal="center"/>
    </xf>
    <xf numFmtId="0" fontId="15" fillId="4" borderId="215" xfId="4" applyFill="1" applyBorder="1" applyAlignment="1">
      <alignment horizontal="center"/>
    </xf>
    <xf numFmtId="0" fontId="13" fillId="8" borderId="174" xfId="6" applyFont="1" applyFill="1" applyBorder="1" applyAlignment="1">
      <alignment horizontal="center" vertical="center"/>
    </xf>
    <xf numFmtId="0" fontId="13" fillId="8" borderId="213" xfId="6" applyFont="1" applyFill="1" applyBorder="1" applyAlignment="1">
      <alignment horizontal="center" vertical="center"/>
    </xf>
    <xf numFmtId="0" fontId="6" fillId="4" borderId="174" xfId="4" applyFont="1" applyFill="1" applyBorder="1" applyAlignment="1">
      <alignment horizontal="center" vertical="center" shrinkToFit="1"/>
    </xf>
    <xf numFmtId="0" fontId="6" fillId="4" borderId="213" xfId="4" applyFont="1" applyFill="1" applyBorder="1" applyAlignment="1">
      <alignment horizontal="center" vertical="center" shrinkToFit="1"/>
    </xf>
    <xf numFmtId="0" fontId="15" fillId="4" borderId="122" xfId="4" applyFill="1" applyBorder="1" applyAlignment="1">
      <alignment horizontal="center"/>
    </xf>
    <xf numFmtId="0" fontId="15" fillId="4" borderId="154" xfId="4" applyFill="1" applyBorder="1" applyAlignment="1">
      <alignment horizontal="center"/>
    </xf>
    <xf numFmtId="0" fontId="47" fillId="8" borderId="16" xfId="4" applyFont="1" applyFill="1" applyBorder="1" applyAlignment="1">
      <alignment horizontal="center" vertical="center"/>
    </xf>
    <xf numFmtId="0" fontId="47" fillId="8" borderId="19" xfId="4" applyFont="1" applyFill="1" applyBorder="1" applyAlignment="1">
      <alignment horizontal="center" vertical="center"/>
    </xf>
    <xf numFmtId="0" fontId="51" fillId="8" borderId="16" xfId="4" applyFont="1" applyFill="1" applyBorder="1" applyAlignment="1">
      <alignment horizontal="center" vertical="center"/>
    </xf>
    <xf numFmtId="0" fontId="51" fillId="8" borderId="19" xfId="4" applyFont="1" applyFill="1" applyBorder="1" applyAlignment="1">
      <alignment horizontal="center" vertical="center"/>
    </xf>
    <xf numFmtId="0" fontId="24" fillId="8" borderId="16" xfId="4" applyFont="1" applyFill="1" applyBorder="1" applyAlignment="1">
      <alignment horizontal="center" vertical="center"/>
    </xf>
    <xf numFmtId="0" fontId="24" fillId="8" borderId="19" xfId="4" applyFont="1" applyFill="1" applyBorder="1" applyAlignment="1">
      <alignment horizontal="center" vertical="center"/>
    </xf>
    <xf numFmtId="0" fontId="24" fillId="8" borderId="247" xfId="4" applyFont="1" applyFill="1" applyBorder="1" applyAlignment="1">
      <alignment horizontal="center" vertical="center"/>
    </xf>
    <xf numFmtId="0" fontId="24" fillId="8" borderId="152" xfId="4" applyFont="1" applyFill="1" applyBorder="1" applyAlignment="1">
      <alignment horizontal="center" vertical="center"/>
    </xf>
    <xf numFmtId="167" fontId="27" fillId="4" borderId="176" xfId="9" applyNumberFormat="1" applyFont="1" applyFill="1" applyBorder="1" applyAlignment="1">
      <alignment horizontal="center" vertical="center"/>
    </xf>
    <xf numFmtId="167" fontId="21" fillId="4" borderId="176" xfId="9" applyNumberFormat="1" applyFont="1" applyFill="1" applyBorder="1" applyAlignment="1" applyProtection="1">
      <alignment horizontal="center" vertical="center"/>
    </xf>
    <xf numFmtId="0" fontId="21" fillId="4" borderId="174" xfId="4" applyFont="1" applyFill="1" applyBorder="1" applyAlignment="1">
      <alignment horizontal="center"/>
    </xf>
    <xf numFmtId="0" fontId="21" fillId="4" borderId="173" xfId="4" applyFont="1" applyFill="1" applyBorder="1" applyAlignment="1">
      <alignment horizontal="center"/>
    </xf>
    <xf numFmtId="0" fontId="21" fillId="4" borderId="213" xfId="4" applyFont="1" applyFill="1" applyBorder="1" applyAlignment="1">
      <alignment horizontal="center"/>
    </xf>
    <xf numFmtId="0" fontId="20" fillId="8" borderId="68" xfId="4" applyFont="1" applyFill="1" applyBorder="1" applyAlignment="1">
      <alignment horizontal="center" vertical="center"/>
    </xf>
    <xf numFmtId="0" fontId="20" fillId="8" borderId="69" xfId="4" applyFont="1" applyFill="1" applyBorder="1" applyAlignment="1">
      <alignment horizontal="center" vertical="center"/>
    </xf>
    <xf numFmtId="0" fontId="20" fillId="8" borderId="70" xfId="4" applyFont="1" applyFill="1" applyBorder="1" applyAlignment="1">
      <alignment horizontal="center" vertical="center"/>
    </xf>
    <xf numFmtId="0" fontId="47" fillId="8" borderId="17" xfId="4" applyFont="1" applyFill="1" applyBorder="1" applyAlignment="1">
      <alignment horizontal="center" vertical="center"/>
    </xf>
    <xf numFmtId="0" fontId="47" fillId="8" borderId="18" xfId="4" applyFont="1" applyFill="1" applyBorder="1" applyAlignment="1">
      <alignment horizontal="center" vertical="center"/>
    </xf>
    <xf numFmtId="0" fontId="13" fillId="8" borderId="16" xfId="4" applyFont="1" applyFill="1" applyBorder="1" applyAlignment="1">
      <alignment horizontal="center" vertical="center"/>
    </xf>
    <xf numFmtId="0" fontId="13" fillId="8" borderId="19" xfId="4" applyFont="1" applyFill="1" applyBorder="1" applyAlignment="1">
      <alignment horizontal="center" vertical="center"/>
    </xf>
    <xf numFmtId="0" fontId="0" fillId="4" borderId="174" xfId="0" applyFill="1" applyBorder="1" applyAlignment="1">
      <alignment horizontal="center" vertical="center" shrinkToFit="1"/>
    </xf>
    <xf numFmtId="0" fontId="0" fillId="4" borderId="173" xfId="0" applyFill="1" applyBorder="1" applyAlignment="1">
      <alignment horizontal="center" vertical="center" shrinkToFit="1"/>
    </xf>
    <xf numFmtId="166" fontId="67" fillId="4" borderId="174" xfId="4" applyNumberFormat="1" applyFont="1" applyFill="1" applyBorder="1" applyAlignment="1">
      <alignment horizontal="center"/>
    </xf>
    <xf numFmtId="166" fontId="67" fillId="4" borderId="213" xfId="4" applyNumberFormat="1" applyFont="1" applyFill="1" applyBorder="1" applyAlignment="1">
      <alignment horizontal="center"/>
    </xf>
    <xf numFmtId="0" fontId="0" fillId="4" borderId="174" xfId="0" applyFill="1" applyBorder="1" applyAlignment="1">
      <alignment horizontal="center" vertical="center"/>
    </xf>
    <xf numFmtId="0" fontId="0" fillId="4" borderId="213" xfId="0" applyFill="1" applyBorder="1" applyAlignment="1">
      <alignment horizontal="center" vertical="center"/>
    </xf>
    <xf numFmtId="189" fontId="44" fillId="4" borderId="174" xfId="26" applyNumberFormat="1" applyFont="1" applyFill="1" applyBorder="1" applyAlignment="1" applyProtection="1">
      <alignment horizontal="center" vertical="center"/>
      <protection hidden="1"/>
    </xf>
    <xf numFmtId="189" fontId="44" fillId="4" borderId="213" xfId="26" applyNumberFormat="1" applyFont="1" applyFill="1" applyBorder="1" applyAlignment="1" applyProtection="1">
      <alignment horizontal="center" vertical="center"/>
      <protection hidden="1"/>
    </xf>
    <xf numFmtId="191" fontId="0" fillId="4" borderId="174" xfId="0" applyNumberFormat="1" applyFill="1" applyBorder="1" applyAlignment="1">
      <alignment horizontal="center" vertical="center"/>
    </xf>
    <xf numFmtId="191" fontId="0" fillId="4" borderId="213" xfId="0" applyNumberFormat="1" applyFill="1" applyBorder="1" applyAlignment="1">
      <alignment horizontal="center" vertical="center"/>
    </xf>
    <xf numFmtId="0" fontId="6" fillId="4" borderId="173" xfId="4" applyFont="1" applyFill="1" applyBorder="1" applyAlignment="1">
      <alignment horizontal="center"/>
    </xf>
    <xf numFmtId="189" fontId="44" fillId="4" borderId="174" xfId="26" applyNumberFormat="1" applyFont="1" applyFill="1" applyBorder="1" applyAlignment="1" applyProtection="1">
      <alignment horizontal="center" vertical="center" shrinkToFit="1"/>
      <protection hidden="1"/>
    </xf>
    <xf numFmtId="189" fontId="44" fillId="4" borderId="213" xfId="26" applyNumberFormat="1" applyFont="1" applyFill="1" applyBorder="1" applyAlignment="1" applyProtection="1">
      <alignment horizontal="center" vertical="center" shrinkToFit="1"/>
      <protection hidden="1"/>
    </xf>
    <xf numFmtId="166" fontId="21" fillId="4" borderId="174" xfId="9" applyNumberFormat="1" applyFont="1" applyFill="1" applyBorder="1" applyAlignment="1" applyProtection="1">
      <alignment horizontal="center" vertical="center"/>
    </xf>
    <xf numFmtId="166" fontId="21" fillId="4" borderId="213" xfId="9" applyNumberFormat="1" applyFont="1" applyFill="1" applyBorder="1" applyAlignment="1" applyProtection="1">
      <alignment horizontal="center" vertical="center"/>
    </xf>
    <xf numFmtId="165" fontId="21" fillId="4" borderId="176" xfId="9" applyNumberFormat="1" applyFont="1" applyFill="1" applyBorder="1" applyAlignment="1" applyProtection="1">
      <alignment horizontal="center" vertical="center"/>
    </xf>
    <xf numFmtId="166" fontId="27" fillId="4" borderId="174" xfId="9" applyNumberFormat="1" applyFont="1" applyFill="1" applyBorder="1" applyAlignment="1">
      <alignment horizontal="center" vertical="center"/>
    </xf>
    <xf numFmtId="166" fontId="27" fillId="4" borderId="213" xfId="9" applyNumberFormat="1" applyFont="1" applyFill="1" applyBorder="1" applyAlignment="1">
      <alignment horizontal="center" vertical="center"/>
    </xf>
    <xf numFmtId="165" fontId="27" fillId="4" borderId="176" xfId="9" applyNumberFormat="1" applyFont="1" applyFill="1" applyBorder="1" applyAlignment="1">
      <alignment horizontal="center" vertical="center"/>
    </xf>
    <xf numFmtId="0" fontId="20" fillId="8" borderId="172" xfId="4" applyFont="1" applyFill="1" applyBorder="1" applyAlignment="1">
      <alignment horizontal="center" vertical="center"/>
    </xf>
    <xf numFmtId="0" fontId="20" fillId="8" borderId="175" xfId="4" applyFont="1" applyFill="1" applyBorder="1" applyAlignment="1">
      <alignment horizontal="center" vertical="center"/>
    </xf>
    <xf numFmtId="0" fontId="20" fillId="8" borderId="215" xfId="4" applyFont="1" applyFill="1" applyBorder="1" applyAlignment="1">
      <alignment horizontal="center" vertical="center"/>
    </xf>
    <xf numFmtId="0" fontId="18" fillId="7" borderId="0" xfId="5" applyFont="1" applyFill="1" applyAlignment="1">
      <alignment horizontal="center" vertical="center"/>
    </xf>
    <xf numFmtId="0" fontId="7" fillId="5" borderId="73" xfId="2" applyFill="1" applyBorder="1" applyAlignment="1" applyProtection="1">
      <alignment horizontal="center" vertical="center"/>
    </xf>
    <xf numFmtId="0" fontId="7" fillId="5" borderId="74" xfId="2" applyFill="1" applyBorder="1" applyAlignment="1" applyProtection="1">
      <alignment horizontal="center" vertical="center"/>
    </xf>
    <xf numFmtId="0" fontId="18" fillId="7" borderId="40" xfId="5" applyFont="1" applyFill="1" applyBorder="1" applyAlignment="1">
      <alignment horizontal="center" vertical="center"/>
    </xf>
    <xf numFmtId="167" fontId="21" fillId="4" borderId="31" xfId="9" applyNumberFormat="1" applyFont="1" applyFill="1" applyBorder="1" applyAlignment="1" applyProtection="1">
      <alignment horizontal="center" vertical="center"/>
    </xf>
    <xf numFmtId="167" fontId="27" fillId="4" borderId="31" xfId="9" applyNumberFormat="1" applyFont="1" applyFill="1" applyBorder="1" applyAlignment="1">
      <alignment horizontal="center" vertical="center"/>
    </xf>
    <xf numFmtId="0" fontId="24" fillId="8" borderId="25" xfId="4" applyFont="1" applyFill="1" applyBorder="1" applyAlignment="1">
      <alignment horizontal="center" vertical="center"/>
    </xf>
    <xf numFmtId="0" fontId="24" fillId="8" borderId="26" xfId="4" applyFont="1" applyFill="1" applyBorder="1" applyAlignment="1">
      <alignment horizontal="center" vertical="center"/>
    </xf>
    <xf numFmtId="0" fontId="20" fillId="8" borderId="8" xfId="4" applyFont="1" applyFill="1" applyBorder="1" applyAlignment="1">
      <alignment horizontal="center" vertical="center"/>
    </xf>
    <xf numFmtId="0" fontId="20" fillId="8" borderId="11" xfId="4" applyFont="1" applyFill="1" applyBorder="1" applyAlignment="1">
      <alignment horizontal="center" vertical="center"/>
    </xf>
    <xf numFmtId="0" fontId="20" fillId="8" borderId="9" xfId="4" applyFont="1" applyFill="1" applyBorder="1" applyAlignment="1">
      <alignment horizontal="center" vertical="center"/>
    </xf>
    <xf numFmtId="165" fontId="21" fillId="4" borderId="31" xfId="9" applyNumberFormat="1" applyFont="1" applyFill="1" applyBorder="1" applyAlignment="1" applyProtection="1">
      <alignment horizontal="center" vertical="center"/>
    </xf>
    <xf numFmtId="165" fontId="27" fillId="4" borderId="31" xfId="9" applyNumberFormat="1" applyFont="1" applyFill="1" applyBorder="1" applyAlignment="1">
      <alignment horizontal="center" vertical="center"/>
    </xf>
    <xf numFmtId="166" fontId="27" fillId="4" borderId="28" xfId="9" applyNumberFormat="1" applyFont="1" applyFill="1" applyBorder="1" applyAlignment="1">
      <alignment horizontal="center" vertical="center"/>
    </xf>
    <xf numFmtId="166" fontId="27" fillId="4" borderId="30" xfId="9" applyNumberFormat="1" applyFont="1" applyFill="1" applyBorder="1" applyAlignment="1">
      <alignment horizontal="center" vertical="center"/>
    </xf>
    <xf numFmtId="166" fontId="21" fillId="4" borderId="28" xfId="9" applyNumberFormat="1" applyFont="1" applyFill="1" applyBorder="1" applyAlignment="1" applyProtection="1">
      <alignment horizontal="center" vertical="center"/>
    </xf>
    <xf numFmtId="166" fontId="21" fillId="4" borderId="30" xfId="9" applyNumberFormat="1" applyFont="1" applyFill="1" applyBorder="1" applyAlignment="1" applyProtection="1">
      <alignment horizontal="center" vertical="center"/>
    </xf>
    <xf numFmtId="0" fontId="75" fillId="11" borderId="28" xfId="5" applyFont="1" applyFill="1" applyBorder="1" applyAlignment="1">
      <alignment horizontal="center" vertical="center"/>
    </xf>
    <xf numFmtId="0" fontId="75" fillId="11" borderId="29" xfId="5" applyFont="1" applyFill="1" applyBorder="1" applyAlignment="1">
      <alignment horizontal="center" vertical="center"/>
    </xf>
    <xf numFmtId="0" fontId="75" fillId="11" borderId="30" xfId="5" applyFont="1" applyFill="1" applyBorder="1" applyAlignment="1">
      <alignment horizontal="center" vertical="center"/>
    </xf>
    <xf numFmtId="0" fontId="13" fillId="8" borderId="28" xfId="6" applyFont="1" applyFill="1" applyBorder="1" applyAlignment="1">
      <alignment horizontal="center" vertical="center"/>
    </xf>
    <xf numFmtId="0" fontId="13" fillId="8" borderId="29" xfId="6" applyFont="1" applyFill="1" applyBorder="1" applyAlignment="1">
      <alignment horizontal="center" vertical="center"/>
    </xf>
    <xf numFmtId="0" fontId="13" fillId="8" borderId="30" xfId="6" applyFont="1" applyFill="1" applyBorder="1" applyAlignment="1">
      <alignment horizontal="center" vertical="center"/>
    </xf>
    <xf numFmtId="0" fontId="10" fillId="12" borderId="28" xfId="5" applyFont="1" applyFill="1" applyBorder="1" applyAlignment="1">
      <alignment horizontal="center" vertical="center"/>
    </xf>
    <xf numFmtId="0" fontId="10" fillId="12" borderId="29" xfId="5" applyFont="1" applyFill="1" applyBorder="1" applyAlignment="1">
      <alignment horizontal="center" vertical="center"/>
    </xf>
    <xf numFmtId="0" fontId="10" fillId="12" borderId="30" xfId="5" applyFont="1" applyFill="1" applyBorder="1" applyAlignment="1">
      <alignment horizontal="center" vertical="center"/>
    </xf>
    <xf numFmtId="0" fontId="5" fillId="12" borderId="0" xfId="5" applyFont="1" applyFill="1" applyAlignment="1">
      <alignment horizontal="center" vertical="center"/>
    </xf>
    <xf numFmtId="0" fontId="0" fillId="12" borderId="0" xfId="5" applyFont="1" applyFill="1" applyAlignment="1">
      <alignment horizontal="center" vertical="center"/>
    </xf>
    <xf numFmtId="0" fontId="7" fillId="5" borderId="5" xfId="2" applyFill="1" applyBorder="1" applyAlignment="1" applyProtection="1">
      <alignment horizontal="center" vertical="center"/>
    </xf>
    <xf numFmtId="0" fontId="7" fillId="5" borderId="75" xfId="2" applyFill="1" applyBorder="1" applyAlignment="1" applyProtection="1">
      <alignment horizontal="center" vertical="center"/>
    </xf>
    <xf numFmtId="0" fontId="16" fillId="6" borderId="80" xfId="2" applyFont="1" applyFill="1" applyBorder="1" applyAlignment="1" applyProtection="1">
      <alignment horizontal="left" vertical="center" indent="1"/>
    </xf>
    <xf numFmtId="0" fontId="16" fillId="6" borderId="81" xfId="2" applyFont="1" applyFill="1" applyBorder="1" applyAlignment="1" applyProtection="1">
      <alignment horizontal="left" vertical="center" indent="1"/>
    </xf>
    <xf numFmtId="0" fontId="87" fillId="6" borderId="71" xfId="2" applyFont="1" applyFill="1" applyBorder="1" applyAlignment="1" applyProtection="1">
      <alignment horizontal="left" vertical="center" indent="1"/>
    </xf>
    <xf numFmtId="0" fontId="87" fillId="6" borderId="72" xfId="2" applyFont="1" applyFill="1" applyBorder="1" applyAlignment="1" applyProtection="1">
      <alignment horizontal="left" vertical="center" indent="1"/>
    </xf>
    <xf numFmtId="0" fontId="5" fillId="12" borderId="40" xfId="0" applyFont="1" applyFill="1" applyBorder="1" applyAlignment="1">
      <alignment horizontal="center" vertical="center"/>
    </xf>
    <xf numFmtId="0" fontId="5" fillId="12" borderId="0" xfId="0" applyFont="1" applyFill="1" applyAlignment="1">
      <alignment horizontal="center" vertical="center"/>
    </xf>
    <xf numFmtId="0" fontId="6" fillId="4" borderId="28" xfId="4" applyFont="1" applyFill="1" applyBorder="1" applyAlignment="1">
      <alignment horizontal="center"/>
    </xf>
    <xf numFmtId="0" fontId="6" fillId="4" borderId="30" xfId="4" applyFont="1" applyFill="1" applyBorder="1" applyAlignment="1">
      <alignment horizontal="center"/>
    </xf>
    <xf numFmtId="0" fontId="44" fillId="4" borderId="28" xfId="26" applyFont="1" applyFill="1" applyBorder="1" applyAlignment="1" applyProtection="1">
      <alignment horizontal="center"/>
      <protection hidden="1"/>
    </xf>
    <xf numFmtId="0" fontId="44" fillId="4" borderId="29" xfId="26" applyFont="1" applyFill="1" applyBorder="1" applyAlignment="1" applyProtection="1">
      <alignment horizontal="center"/>
      <protection hidden="1"/>
    </xf>
    <xf numFmtId="0" fontId="44" fillId="4" borderId="30" xfId="26" applyFont="1" applyFill="1" applyBorder="1" applyAlignment="1" applyProtection="1">
      <alignment horizontal="center"/>
      <protection hidden="1"/>
    </xf>
    <xf numFmtId="166" fontId="0" fillId="4" borderId="12" xfId="0" applyNumberFormat="1" applyFill="1" applyBorder="1" applyAlignment="1">
      <alignment horizontal="center"/>
    </xf>
    <xf numFmtId="166" fontId="0" fillId="4" borderId="13" xfId="0" applyNumberFormat="1" applyFill="1" applyBorder="1" applyAlignment="1">
      <alignment horizontal="center"/>
    </xf>
    <xf numFmtId="0" fontId="21" fillId="6" borderId="28" xfId="0" applyFont="1" applyFill="1" applyBorder="1" applyAlignment="1">
      <alignment horizontal="center"/>
    </xf>
    <xf numFmtId="0" fontId="21" fillId="6" borderId="30" xfId="0" applyFont="1" applyFill="1" applyBorder="1" applyAlignment="1">
      <alignment horizontal="center"/>
    </xf>
    <xf numFmtId="0" fontId="21" fillId="4" borderId="83" xfId="0" applyFont="1" applyFill="1" applyBorder="1" applyAlignment="1">
      <alignment horizontal="center"/>
    </xf>
    <xf numFmtId="0" fontId="21" fillId="4" borderId="84" xfId="0" applyFont="1" applyFill="1" applyBorder="1" applyAlignment="1">
      <alignment horizontal="center"/>
    </xf>
    <xf numFmtId="166" fontId="0" fillId="4" borderId="85" xfId="0" applyNumberFormat="1" applyFill="1" applyBorder="1" applyAlignment="1">
      <alignment horizontal="center"/>
    </xf>
    <xf numFmtId="166" fontId="0" fillId="4" borderId="86" xfId="0" applyNumberFormat="1" applyFill="1" applyBorder="1" applyAlignment="1">
      <alignment horizontal="center"/>
    </xf>
    <xf numFmtId="3" fontId="6" fillId="4" borderId="112" xfId="4" applyNumberFormat="1" applyFont="1" applyFill="1" applyBorder="1" applyAlignment="1">
      <alignment horizontal="right" indent="4"/>
    </xf>
    <xf numFmtId="3" fontId="6" fillId="4" borderId="0" xfId="4" applyNumberFormat="1" applyFont="1" applyFill="1" applyAlignment="1">
      <alignment horizontal="right" indent="4"/>
    </xf>
    <xf numFmtId="178" fontId="6" fillId="4" borderId="0" xfId="4" applyNumberFormat="1" applyFont="1" applyFill="1" applyAlignment="1">
      <alignment horizontal="right" indent="4"/>
    </xf>
    <xf numFmtId="0" fontId="21" fillId="6" borderId="8" xfId="21" applyFont="1" applyFill="1" applyBorder="1" applyAlignment="1">
      <alignment horizontal="center" vertical="center"/>
    </xf>
    <xf numFmtId="0" fontId="21" fillId="6" borderId="11" xfId="21" applyFont="1" applyFill="1" applyBorder="1" applyAlignment="1">
      <alignment horizontal="center" vertical="center"/>
    </xf>
    <xf numFmtId="0" fontId="21" fillId="6" borderId="9" xfId="21" applyFont="1" applyFill="1" applyBorder="1" applyAlignment="1">
      <alignment horizontal="center" vertical="center"/>
    </xf>
    <xf numFmtId="0" fontId="21" fillId="6" borderId="21" xfId="21" applyFont="1" applyFill="1" applyBorder="1" applyAlignment="1">
      <alignment horizontal="center" vertical="center"/>
    </xf>
    <xf numFmtId="0" fontId="21" fillId="6" borderId="27" xfId="21" applyFont="1" applyFill="1" applyBorder="1" applyAlignment="1">
      <alignment horizontal="center" vertical="center"/>
    </xf>
    <xf numFmtId="0" fontId="21" fillId="6" borderId="22" xfId="21" applyFont="1" applyFill="1" applyBorder="1" applyAlignment="1">
      <alignment horizontal="center" vertical="center"/>
    </xf>
    <xf numFmtId="0" fontId="21" fillId="6" borderId="10" xfId="0" applyFont="1" applyFill="1" applyBorder="1" applyAlignment="1">
      <alignment horizontal="center" vertical="center"/>
    </xf>
    <xf numFmtId="0" fontId="21" fillId="6" borderId="23" xfId="0" applyFont="1" applyFill="1" applyBorder="1" applyAlignment="1">
      <alignment horizontal="center" vertical="center"/>
    </xf>
    <xf numFmtId="0" fontId="6" fillId="4" borderId="12" xfId="4" applyFont="1" applyFill="1" applyBorder="1" applyAlignment="1">
      <alignment horizontal="center"/>
    </xf>
    <xf numFmtId="0" fontId="6" fillId="4" borderId="13" xfId="4" applyFont="1" applyFill="1" applyBorder="1" applyAlignment="1">
      <alignment horizontal="center"/>
    </xf>
    <xf numFmtId="0" fontId="6" fillId="4" borderId="21" xfId="4" applyFont="1" applyFill="1" applyBorder="1" applyAlignment="1">
      <alignment horizontal="center"/>
    </xf>
    <xf numFmtId="0" fontId="6" fillId="4" borderId="22" xfId="4" applyFont="1" applyFill="1" applyBorder="1" applyAlignment="1">
      <alignment horizontal="center"/>
    </xf>
    <xf numFmtId="0" fontId="6" fillId="4" borderId="8" xfId="4" applyFont="1" applyFill="1" applyBorder="1" applyAlignment="1">
      <alignment horizontal="center"/>
    </xf>
    <xf numFmtId="0" fontId="6" fillId="4" borderId="9" xfId="4" applyFont="1" applyFill="1" applyBorder="1" applyAlignment="1">
      <alignment horizontal="center"/>
    </xf>
    <xf numFmtId="0" fontId="13" fillId="4" borderId="0" xfId="6" applyFont="1" applyFill="1" applyAlignment="1">
      <alignment horizontal="center" vertical="center"/>
    </xf>
    <xf numFmtId="0" fontId="16" fillId="6" borderId="71" xfId="2" applyFont="1" applyFill="1" applyBorder="1" applyAlignment="1" applyProtection="1">
      <alignment horizontal="left" vertical="center" indent="1"/>
    </xf>
    <xf numFmtId="0" fontId="16" fillId="6" borderId="72" xfId="2" applyFont="1" applyFill="1" applyBorder="1" applyAlignment="1" applyProtection="1">
      <alignment horizontal="left" vertical="center" indent="1"/>
    </xf>
    <xf numFmtId="0" fontId="6" fillId="12" borderId="28" xfId="4" applyFont="1" applyFill="1" applyBorder="1" applyAlignment="1">
      <alignment horizontal="center"/>
    </xf>
    <xf numFmtId="0" fontId="6" fillId="12" borderId="29" xfId="4" applyFont="1" applyFill="1" applyBorder="1" applyAlignment="1">
      <alignment horizontal="center"/>
    </xf>
    <xf numFmtId="0" fontId="6" fillId="12" borderId="30" xfId="4" applyFont="1" applyFill="1" applyBorder="1" applyAlignment="1">
      <alignment horizontal="center"/>
    </xf>
    <xf numFmtId="0" fontId="12" fillId="6" borderId="28" xfId="2" applyFont="1" applyFill="1" applyBorder="1" applyAlignment="1" applyProtection="1">
      <alignment horizontal="center" vertical="center"/>
    </xf>
    <xf numFmtId="0" fontId="12" fillId="6" borderId="30" xfId="2" applyFont="1" applyFill="1" applyBorder="1" applyAlignment="1" applyProtection="1">
      <alignment horizontal="center" vertical="center"/>
    </xf>
    <xf numFmtId="183" fontId="6" fillId="13" borderId="8" xfId="26" applyNumberFormat="1" applyFill="1" applyBorder="1" applyAlignment="1" applyProtection="1">
      <alignment horizontal="center" vertical="center"/>
      <protection hidden="1"/>
    </xf>
    <xf numFmtId="183" fontId="6" fillId="13" borderId="9" xfId="26" applyNumberFormat="1" applyFill="1" applyBorder="1" applyAlignment="1" applyProtection="1">
      <alignment horizontal="center" vertical="center"/>
      <protection hidden="1"/>
    </xf>
    <xf numFmtId="184" fontId="6" fillId="13" borderId="12" xfId="26" applyNumberFormat="1" applyFill="1" applyBorder="1" applyAlignment="1" applyProtection="1">
      <alignment horizontal="center" vertical="center"/>
      <protection hidden="1"/>
    </xf>
    <xf numFmtId="184" fontId="6" fillId="13" borderId="13" xfId="26" applyNumberFormat="1" applyFill="1" applyBorder="1" applyAlignment="1" applyProtection="1">
      <alignment horizontal="center" vertical="center"/>
      <protection hidden="1"/>
    </xf>
    <xf numFmtId="0" fontId="5" fillId="12" borderId="40" xfId="5" applyFont="1" applyFill="1" applyBorder="1" applyAlignment="1">
      <alignment horizontal="center" vertical="center"/>
    </xf>
    <xf numFmtId="0" fontId="53" fillId="12" borderId="28" xfId="5" applyFont="1" applyFill="1" applyBorder="1" applyAlignment="1">
      <alignment horizontal="center" vertical="center"/>
    </xf>
    <xf numFmtId="0" fontId="53" fillId="12" borderId="29" xfId="5" applyFont="1" applyFill="1" applyBorder="1" applyAlignment="1">
      <alignment horizontal="center" vertical="center"/>
    </xf>
    <xf numFmtId="0" fontId="53" fillId="12" borderId="30" xfId="5" applyFont="1" applyFill="1" applyBorder="1" applyAlignment="1">
      <alignment horizontal="center" vertical="center"/>
    </xf>
  </cellXfs>
  <cellStyles count="65">
    <cellStyle name="Hyperlink 2" xfId="13" xr:uid="{00000000-0005-0000-0000-000000000000}"/>
    <cellStyle name="Hyperlink 3" xfId="15" xr:uid="{00000000-0005-0000-0000-000001000000}"/>
    <cellStyle name="Hyperlink 4" xfId="25" xr:uid="{00000000-0005-0000-0000-000002000000}"/>
    <cellStyle name="Hyperlink 5" xfId="18" xr:uid="{00000000-0005-0000-0000-000003000000}"/>
    <cellStyle name="Îáű÷íűé_Math" xfId="32" xr:uid="{61849DAD-8DE7-4D9F-820B-FF04B7D67679}"/>
    <cellStyle name="Normal 2" xfId="29" xr:uid="{D2195072-318B-49C3-BBB4-11537FC14403}"/>
    <cellStyle name="Normal 3" xfId="43" xr:uid="{25B15634-8E25-4FF9-8756-FF696D6DE23D}"/>
    <cellStyle name="Normal 3 2" xfId="16" xr:uid="{00000000-0005-0000-0000-000004000000}"/>
    <cellStyle name="Normal 4" xfId="56" xr:uid="{CD87503C-5ECF-45B9-83B7-07C7B419D92D}"/>
    <cellStyle name="Normal_Fill Rate" xfId="35" xr:uid="{B9BE0075-C2E8-4A13-9345-5AAA9F554C89}"/>
    <cellStyle name="Normal_HEBEI RIVER Volume of Cargo Lines" xfId="42" xr:uid="{2B6BD1C3-AF6A-41AC-AD90-09EC08BB322B}"/>
    <cellStyle name="Normal_Mooring Winch Brake Test and Calculators" xfId="1" xr:uid="{00000000-0005-0000-0000-000005000000}"/>
    <cellStyle name="Normal_Mooring Winch Brake Test and Calculators 2" xfId="48" xr:uid="{505FDBAF-F19B-4F19-A1C7-F7D9A3FC9742}"/>
    <cellStyle name="Normal_Mooring Winch Brake Test and Calculators 2 2" xfId="60" xr:uid="{920A34F4-2B08-49DB-B8BD-3865F61D5FA1}"/>
    <cellStyle name="Normal_Mooring Winch Brake Test and Calculators 3" xfId="24" xr:uid="{00000000-0005-0000-0000-000007000000}"/>
    <cellStyle name="Normal_Mooring Winch Brake Test and Calculators 3 2" xfId="63" xr:uid="{03651E6C-6D1B-4FB1-9468-EDE5887205CE}"/>
    <cellStyle name="Normal_PLAN LOADSEBU - FINAL" xfId="44" xr:uid="{8ED8CEAD-88C8-4BBC-A2DF-89878552A5BE}"/>
    <cellStyle name="Normal_WEDGE-SEBU 2" xfId="47" xr:uid="{2F55E426-3E6B-4EC8-8BDD-F0B526E6933C}"/>
    <cellStyle name="Гиперссылка" xfId="2" builtinId="8"/>
    <cellStyle name="Гиперссылка 2" xfId="12" xr:uid="{00000000-0005-0000-0000-000009000000}"/>
    <cellStyle name="Гиперссылка 3" xfId="20" xr:uid="{00000000-0005-0000-0000-00000A000000}"/>
    <cellStyle name="Гиперссылка 4" xfId="17" xr:uid="{00000000-0005-0000-0000-00000B000000}"/>
    <cellStyle name="Гиперссылка 4 2" xfId="49" xr:uid="{2AB5BC74-E1C3-49BE-8659-BE6C00E9B1BA}"/>
    <cellStyle name="Обычный" xfId="0" builtinId="0"/>
    <cellStyle name="Обычный 2" xfId="10" xr:uid="{00000000-0005-0000-0000-00000D000000}"/>
    <cellStyle name="Обычный 2 2" xfId="11" xr:uid="{00000000-0005-0000-0000-00000E000000}"/>
    <cellStyle name="Обычный 2 2 2" xfId="14" xr:uid="{00000000-0005-0000-0000-00000F000000}"/>
    <cellStyle name="Обычный 2 3" xfId="23" xr:uid="{00000000-0005-0000-0000-000010000000}"/>
    <cellStyle name="Обычный 2 4" xfId="57" xr:uid="{372E6F64-8D14-4DF6-9A0D-C32B8A59CB7C}"/>
    <cellStyle name="Обычный 2 5" xfId="59" xr:uid="{9CD71AFD-09E7-4F93-BA87-840BEA60323D}"/>
    <cellStyle name="Обычный 2 6" xfId="62" xr:uid="{22A268B2-6759-4F1D-B417-982B07096974}"/>
    <cellStyle name="Обычный 2 7" xfId="64" xr:uid="{F8FBF41D-8B2A-4C60-A67F-59B9FDF7F614}"/>
    <cellStyle name="Обычный 3" xfId="19" xr:uid="{00000000-0005-0000-0000-000011000000}"/>
    <cellStyle name="Обычный 3 2" xfId="61" xr:uid="{A25A2A01-C5A3-4253-BC95-E1A3EBBF204A}"/>
    <cellStyle name="Обычный 4" xfId="7" xr:uid="{00000000-0005-0000-0000-000012000000}"/>
    <cellStyle name="Обычный 5" xfId="46" xr:uid="{97CB335A-CAFC-483B-95A7-2175B3A9128F}"/>
    <cellStyle name="Обычный 6" xfId="55" xr:uid="{FA0B8AC5-507E-444A-A2FD-6E6030734638}"/>
    <cellStyle name="Обычный 7" xfId="58" xr:uid="{C54EA8B1-5C8D-4E85-B4DD-94B2A285B572}"/>
    <cellStyle name="Обычный_ASTM 2" xfId="26" xr:uid="{00000000-0005-0000-0000-000013000000}"/>
    <cellStyle name="Обычный_ASTM Formulas &amp; Tables" xfId="4" xr:uid="{00000000-0005-0000-0000-000014000000}"/>
    <cellStyle name="Обычный_ASTM T1" xfId="22" xr:uid="{00000000-0005-0000-0000-000015000000}"/>
    <cellStyle name="Обычный_ASTM Tables &amp; Converters" xfId="3" xr:uid="{00000000-0005-0000-0000-000016000000}"/>
    <cellStyle name="Обычный_ASTM Tables &amp; Converters 2" xfId="6" xr:uid="{00000000-0005-0000-0000-000017000000}"/>
    <cellStyle name="Обычный_CARGCALC(Ull report,R.O.B., so on)" xfId="41" xr:uid="{955AA41D-D684-4758-8998-134449E72B0F}"/>
    <cellStyle name="Обычный_CARGO Mate" xfId="21" xr:uid="{00000000-0005-0000-0000-000018000000}"/>
    <cellStyle name="Обычный_Chelsea Cargo V-Ships 2 2" xfId="8" xr:uid="{00000000-0005-0000-0000-000019000000}"/>
    <cellStyle name="Обычный_Chelsea Cargo V-Ships 3" xfId="50" xr:uid="{F1BE28BA-4F2F-4C00-88D8-08912B81F0F2}"/>
    <cellStyle name="Обычный_expfact1" xfId="39" xr:uid="{544BEF73-5B83-4320-87EF-1E571263782D}"/>
    <cellStyle name="Обычный_FDuke Rate" xfId="31" xr:uid="{3CEF7E9D-1EBE-4561-9A4A-A4D8EED94EBB}"/>
    <cellStyle name="Обычный_FHighness Cargo" xfId="30" xr:uid="{86D6C37D-1996-4C89-8F5D-D15CC5BC56D2}"/>
    <cellStyle name="Обычный_GostOld" xfId="34" xr:uid="{5EF6F553-0ACF-43A0-9790-03E6C4B7083F}"/>
    <cellStyle name="Обычный_Line Displacement Calculator" xfId="52" xr:uid="{DC991403-F962-43EC-B768-095150BE0632}"/>
    <cellStyle name="Обычный_Load Enguiry" xfId="33" xr:uid="{4A00AFB0-22E6-42EC-8254-383894A614BF}"/>
    <cellStyle name="Обычный_Master Forms" xfId="53" xr:uid="{0C6F7777-EEC6-4570-AE31-4BF96C54A80B}"/>
    <cellStyle name="Обычный_Pipes" xfId="37" xr:uid="{50213182-8B39-4167-B2D5-F2BDD224F0BE}"/>
    <cellStyle name="Обычный_rob1" xfId="38" xr:uid="{C24F22C1-5226-4AAA-97A0-38642D1CFBEC}"/>
    <cellStyle name="Обычный_ullaflob" xfId="5" xr:uid="{00000000-0005-0000-0000-00001A000000}"/>
    <cellStyle name="Обычный_Лист1" xfId="40" xr:uid="{0CC4E052-002E-45E8-BF32-73FFFA9C5979}"/>
    <cellStyle name="Процентный" xfId="28" builtinId="5"/>
    <cellStyle name="Финансовый" xfId="27" builtinId="3"/>
    <cellStyle name="Финансовый 4" xfId="51" xr:uid="{340365CE-AC17-45E9-840A-EF4193BDC137}"/>
    <cellStyle name="Финансовый_ASTM Tables" xfId="9" xr:uid="{00000000-0005-0000-0000-00001C000000}"/>
    <cellStyle name="Финансовый_ASTM Tables &amp; Converters 2" xfId="45" xr:uid="{D65E76E7-B74B-47C2-8E42-984FDA74DA5C}"/>
    <cellStyle name="Финансовый_Line Displacement Calculator" xfId="54" xr:uid="{88E741D2-BE83-47FE-B876-C3629B8397CF}"/>
    <cellStyle name="Финансовый_Load Enguiry" xfId="36" xr:uid="{20DA6D2D-E9F8-4776-8FA3-368E63299F4E}"/>
  </cellStyles>
  <dxfs count="112">
    <dxf>
      <font>
        <b/>
        <i val="0"/>
        <strike val="0"/>
        <color theme="0"/>
      </font>
      <fill>
        <patternFill>
          <bgColor rgb="FFFF0000"/>
        </patternFill>
      </fill>
    </dxf>
    <dxf>
      <font>
        <strike val="0"/>
      </font>
      <fill>
        <patternFill>
          <bgColor rgb="FFFFFF00"/>
        </patternFill>
      </fill>
    </dxf>
    <dxf>
      <font>
        <b/>
        <i val="0"/>
        <color theme="0"/>
      </font>
      <fill>
        <patternFill>
          <bgColor rgb="FFFF0000"/>
        </patternFill>
      </fill>
    </dxf>
    <dxf>
      <font>
        <b/>
        <i val="0"/>
        <color theme="0"/>
      </font>
      <fill>
        <patternFill>
          <bgColor theme="3" tint="0.39994506668294322"/>
        </patternFill>
      </fill>
    </dxf>
    <dxf>
      <font>
        <b/>
        <i val="0"/>
      </font>
      <fill>
        <patternFill>
          <bgColor rgb="FFFFFF00"/>
        </patternFill>
      </fill>
    </dxf>
    <dxf>
      <font>
        <b/>
        <i val="0"/>
        <color theme="0"/>
      </font>
      <fill>
        <patternFill>
          <bgColor rgb="FFFF0000"/>
        </patternFill>
      </fill>
    </dxf>
    <dxf>
      <font>
        <b/>
        <i val="0"/>
        <color theme="0"/>
      </font>
      <fill>
        <patternFill>
          <bgColor theme="3" tint="0.39994506668294322"/>
        </patternFill>
      </fill>
    </dxf>
    <dxf>
      <font>
        <b/>
        <i val="0"/>
      </font>
      <fill>
        <patternFill>
          <bgColor rgb="FFFFFF00"/>
        </patternFill>
      </fill>
    </dxf>
    <dxf>
      <font>
        <b/>
        <i val="0"/>
        <color theme="0"/>
      </font>
      <fill>
        <patternFill>
          <bgColor rgb="FFFF0000"/>
        </patternFill>
      </fill>
    </dxf>
    <dxf>
      <font>
        <b/>
        <i val="0"/>
        <color theme="0"/>
      </font>
      <fill>
        <patternFill>
          <bgColor theme="3" tint="0.39994506668294322"/>
        </patternFill>
      </fill>
    </dxf>
    <dxf>
      <font>
        <b/>
        <i val="0"/>
      </font>
      <fill>
        <patternFill>
          <bgColor rgb="FFFFFF00"/>
        </patternFill>
      </fill>
    </dxf>
    <dxf>
      <font>
        <b/>
        <i val="0"/>
        <color theme="0"/>
      </font>
      <fill>
        <patternFill>
          <bgColor rgb="FFFF0000"/>
        </patternFill>
      </fill>
    </dxf>
    <dxf>
      <font>
        <b/>
        <i val="0"/>
        <color theme="0"/>
      </font>
      <fill>
        <patternFill>
          <bgColor theme="3" tint="0.39994506668294322"/>
        </patternFill>
      </fill>
    </dxf>
    <dxf>
      <font>
        <b/>
        <i val="0"/>
      </font>
      <fill>
        <patternFill>
          <bgColor rgb="FFFFFF00"/>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strike val="0"/>
        <color rgb="FFFFC000"/>
      </font>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lor rgb="FFFF0000"/>
      </font>
    </dxf>
    <dxf>
      <font>
        <b/>
        <i val="0"/>
        <color theme="4" tint="-0.499984740745262"/>
      </font>
    </dxf>
    <dxf>
      <font>
        <b/>
        <i val="0"/>
        <color rgb="FFFFC000"/>
      </font>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lor rgb="FFFF0000"/>
      </font>
    </dxf>
    <dxf>
      <font>
        <b/>
        <i val="0"/>
        <color theme="4" tint="-0.499984740745262"/>
      </font>
    </dxf>
    <dxf>
      <font>
        <b/>
        <i val="0"/>
        <color rgb="FFFFC000"/>
      </font>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lor rgb="FFFF0000"/>
      </font>
    </dxf>
    <dxf>
      <font>
        <b/>
        <i val="0"/>
        <color theme="4" tint="-0.499984740745262"/>
      </font>
    </dxf>
    <dxf>
      <font>
        <b/>
        <i val="0"/>
        <color rgb="FFFFC000"/>
      </font>
    </dxf>
    <dxf>
      <fill>
        <patternFill>
          <bgColor rgb="FFFF0000"/>
        </patternFill>
      </fill>
    </dxf>
    <dxf>
      <fill>
        <patternFill>
          <bgColor theme="3" tint="0.39994506668294322"/>
        </patternFill>
      </fill>
    </dxf>
    <dxf>
      <fill>
        <patternFill>
          <bgColor rgb="FFFFFF00"/>
        </patternFill>
      </fill>
    </dxf>
    <dxf>
      <font>
        <b/>
        <i val="0"/>
        <condense val="0"/>
        <extend val="0"/>
        <color indexed="9"/>
      </font>
      <fill>
        <patternFill>
          <bgColor indexed="10"/>
        </patternFill>
      </fill>
    </dxf>
    <dxf>
      <fill>
        <patternFill>
          <bgColor theme="3" tint="0.39994506668294322"/>
        </patternFill>
      </fill>
    </dxf>
    <dxf>
      <font>
        <b/>
        <i val="0"/>
        <condense val="0"/>
        <extend val="0"/>
        <color indexed="9"/>
      </font>
      <fill>
        <patternFill>
          <bgColor theme="3" tint="0.39994506668294322"/>
        </patternFill>
      </fill>
    </dxf>
    <dxf>
      <font>
        <b/>
        <i val="0"/>
        <condense val="0"/>
        <extend val="0"/>
        <color indexed="9"/>
      </font>
      <fill>
        <patternFill>
          <bgColor theme="3" tint="0.39994506668294322"/>
        </patternFill>
      </fill>
    </dxf>
    <dxf>
      <font>
        <b/>
        <i val="0"/>
        <condense val="0"/>
        <extend val="0"/>
        <color indexed="9"/>
      </font>
      <fill>
        <patternFill>
          <bgColor theme="3" tint="0.39994506668294322"/>
        </patternFill>
      </fill>
    </dxf>
    <dxf>
      <font>
        <b/>
        <i val="0"/>
        <condense val="0"/>
        <extend val="0"/>
      </font>
      <fill>
        <patternFill>
          <bgColor indexed="13"/>
        </patternFill>
      </fill>
    </dxf>
    <dxf>
      <fill>
        <patternFill>
          <bgColor rgb="FFFF0000"/>
        </patternFill>
      </fill>
    </dxf>
    <dxf>
      <fill>
        <patternFill>
          <bgColor rgb="FFFFFF00"/>
        </patternFill>
      </fill>
    </dxf>
    <dxf>
      <font>
        <b/>
        <i val="0"/>
        <condense val="0"/>
        <extend val="0"/>
        <color indexed="9"/>
      </font>
      <fill>
        <patternFill>
          <bgColor theme="3" tint="0.39994506668294322"/>
        </patternFill>
      </fill>
    </dxf>
    <dxf>
      <fill>
        <patternFill>
          <bgColor theme="3" tint="0.39994506668294322"/>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font>
      <fill>
        <patternFill>
          <bgColor indexed="13"/>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color indexed="9"/>
      </font>
      <fill>
        <patternFill>
          <bgColor rgb="FFFFFF00"/>
        </patternFill>
      </fill>
    </dxf>
    <dxf>
      <font>
        <b/>
        <i val="0"/>
        <condense val="0"/>
        <extend val="0"/>
        <color indexed="9"/>
      </font>
      <fill>
        <patternFill>
          <bgColor indexed="10"/>
        </patternFill>
      </fill>
    </dxf>
    <dxf>
      <font>
        <b/>
        <i val="0"/>
        <condense val="0"/>
        <extend val="0"/>
        <color indexed="9"/>
      </font>
      <fill>
        <patternFill>
          <bgColor theme="3" tint="0.39994506668294322"/>
        </patternFill>
      </fill>
    </dxf>
    <dxf>
      <font>
        <b/>
        <i val="0"/>
        <condense val="0"/>
        <extend val="0"/>
        <color indexed="9"/>
      </font>
      <fill>
        <patternFill>
          <bgColor rgb="FFFFFF00"/>
        </patternFill>
      </fill>
    </dxf>
    <dxf>
      <fill>
        <patternFill>
          <bgColor rgb="FFFFFF00"/>
        </patternFill>
      </fill>
    </dxf>
    <dxf>
      <fill>
        <patternFill>
          <bgColor rgb="FFFFFF00"/>
        </patternFill>
      </fill>
    </dxf>
    <dxf>
      <fill>
        <patternFill>
          <bgColor theme="3" tint="0.39994506668294322"/>
        </patternFill>
      </fill>
    </dxf>
    <dxf>
      <fill>
        <patternFill>
          <bgColor theme="3" tint="0.39994506668294322"/>
        </patternFill>
      </fill>
    </dxf>
    <dxf>
      <fill>
        <patternFill>
          <bgColor rgb="FFFF0000"/>
        </patternFill>
      </fill>
    </dxf>
    <dxf>
      <fill>
        <patternFill>
          <bgColor rgb="FFFF0000"/>
        </patternFill>
      </fill>
    </dxf>
    <dxf>
      <font>
        <b/>
        <i val="0"/>
        <strike val="0"/>
      </font>
    </dxf>
    <dxf>
      <font>
        <b/>
        <i val="0"/>
        <strike val="0"/>
      </font>
    </dxf>
    <dxf>
      <font>
        <condense val="0"/>
        <extend val="0"/>
        <color indexed="22"/>
      </font>
    </dxf>
    <dxf>
      <font>
        <b/>
        <i val="0"/>
      </font>
    </dxf>
    <dxf>
      <font>
        <b/>
        <i val="0"/>
        <condense val="0"/>
        <extend val="0"/>
      </font>
    </dxf>
    <dxf>
      <font>
        <b/>
        <i val="0"/>
        <condense val="0"/>
        <extend val="0"/>
      </font>
    </dxf>
    <dxf>
      <font>
        <b/>
        <i val="0"/>
        <color theme="0"/>
      </font>
      <fill>
        <patternFill>
          <bgColor rgb="FFFF0000"/>
        </patternFill>
      </fill>
    </dxf>
    <dxf>
      <font>
        <b/>
        <i val="0"/>
      </font>
      <fill>
        <patternFill>
          <bgColor theme="0" tint="-0.24994659260841701"/>
        </patternFill>
      </fill>
    </dxf>
    <dxf>
      <font>
        <b/>
        <i val="0"/>
      </font>
      <fill>
        <patternFill>
          <bgColor theme="0" tint="-0.24994659260841701"/>
        </patternFill>
      </fill>
    </dxf>
    <dxf>
      <font>
        <b/>
        <i val="0"/>
      </font>
      <fill>
        <patternFill>
          <bgColor theme="0" tint="-0.24994659260841701"/>
        </patternFill>
      </fill>
    </dxf>
    <dxf>
      <font>
        <b/>
        <i val="0"/>
        <strike val="0"/>
      </font>
    </dxf>
    <dxf>
      <font>
        <b/>
        <i val="0"/>
        <strike val="0"/>
      </font>
    </dxf>
    <dxf>
      <font>
        <condense val="0"/>
        <extend val="0"/>
        <color indexed="9"/>
      </font>
      <fill>
        <patternFill>
          <bgColor indexed="10"/>
        </patternFill>
      </fill>
    </dxf>
    <dxf>
      <font>
        <condense val="0"/>
        <extend val="0"/>
        <color indexed="9"/>
      </font>
      <fill>
        <patternFill>
          <bgColor indexed="10"/>
        </patternFill>
      </fill>
    </dxf>
    <dxf>
      <font>
        <condense val="0"/>
        <extend val="0"/>
        <color indexed="22"/>
      </font>
      <fill>
        <patternFill>
          <bgColor indexed="22"/>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10"/>
      </font>
      <fill>
        <patternFill patternType="solid">
          <bgColor theme="0" tint="-0.14996795556505021"/>
        </patternFill>
      </fill>
    </dxf>
    <dxf>
      <font>
        <condense val="0"/>
        <extend val="0"/>
        <color indexed="9"/>
      </font>
      <fill>
        <patternFill>
          <bgColor indexed="10"/>
        </patternFill>
      </fill>
    </dxf>
    <dxf>
      <font>
        <b/>
        <i val="0"/>
        <strike val="0"/>
      </font>
    </dxf>
    <dxf>
      <font>
        <b/>
        <i val="0"/>
        <strike val="0"/>
      </font>
    </dxf>
    <dxf>
      <font>
        <b val="0"/>
        <i val="0"/>
        <strike val="0"/>
        <color theme="0"/>
      </font>
      <fill>
        <patternFill>
          <bgColor rgb="FFFF0000"/>
        </patternFill>
      </fill>
    </dxf>
    <dxf>
      <font>
        <b val="0"/>
        <i val="0"/>
        <strike val="0"/>
        <color theme="0"/>
      </font>
      <fill>
        <patternFill>
          <bgColor rgb="FFFF0000"/>
        </patternFill>
      </fill>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s>
  <tableStyles count="0" defaultTableStyle="TableStyleMedium2" defaultPivotStyle="PivotStyleLight16"/>
  <colors>
    <mruColors>
      <color rgb="FF008080"/>
      <color rgb="FF005034"/>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Radio" checked="Checked" firstButton="1" fmlaLink="AC104"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firstButton="1" fmlaLink="AC104"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Radio" lockText="1"/>
</file>

<file path=xl/ctrlProps/ctrlProp11.xml><?xml version="1.0" encoding="utf-8"?>
<formControlPr xmlns="http://schemas.microsoft.com/office/spreadsheetml/2009/9/main" objectType="Radio" checked="Checked" lockText="1"/>
</file>

<file path=xl/ctrlProps/ctrlProp12.xml><?xml version="1.0" encoding="utf-8"?>
<formControlPr xmlns="http://schemas.microsoft.com/office/spreadsheetml/2009/9/main" objectType="Radio" lockText="1"/>
</file>

<file path=xl/ctrlProps/ctrlProp13.xml><?xml version="1.0" encoding="utf-8"?>
<formControlPr xmlns="http://schemas.microsoft.com/office/spreadsheetml/2009/9/main" objectType="Radio" checked="Checked" firstButton="1" fmlaLink="$AF$104" lockText="1"/>
</file>

<file path=xl/ctrlProps/ctrlProp14.xml><?xml version="1.0" encoding="utf-8"?>
<formControlPr xmlns="http://schemas.microsoft.com/office/spreadsheetml/2009/9/main" objectType="Radio" lockText="1"/>
</file>

<file path=xl/ctrlProps/ctrlProp15.xml><?xml version="1.0" encoding="utf-8"?>
<formControlPr xmlns="http://schemas.microsoft.com/office/spreadsheetml/2009/9/main" objectType="Drop" dropLines="2" dropStyle="combo" dx="26" fmlaLink="$AF$111" fmlaRange="$AG$112:$AG$113" sel="2" val="0"/>
</file>

<file path=xl/ctrlProps/ctrlProp16.xml><?xml version="1.0" encoding="utf-8"?>
<formControlPr xmlns="http://schemas.microsoft.com/office/spreadsheetml/2009/9/main" objectType="Drop" dropLines="3" dropStyle="combo" dx="26" fmlaLink="$AG$145" fmlaRange="$AH$146:$AH$148" sel="3" val="0"/>
</file>

<file path=xl/ctrlProps/ctrlProp17.xml><?xml version="1.0" encoding="utf-8"?>
<formControlPr xmlns="http://schemas.microsoft.com/office/spreadsheetml/2009/9/main" objectType="Radio" checked="Checked" firstButton="1" fmlaLink="$AG$93" lockText="1"/>
</file>

<file path=xl/ctrlProps/ctrlProp18.xml><?xml version="1.0" encoding="utf-8"?>
<formControlPr xmlns="http://schemas.microsoft.com/office/spreadsheetml/2009/9/main" objectType="Radio" lockText="1"/>
</file>

<file path=xl/ctrlProps/ctrlProp19.xml><?xml version="1.0" encoding="utf-8"?>
<formControlPr xmlns="http://schemas.microsoft.com/office/spreadsheetml/2009/9/main" objectType="Drop" dropLines="3" dropStyle="combo" dx="26" fmlaLink="$AG$98" fmlaRange="$AH$99:$AH$100" sel="1" val="0"/>
</file>

<file path=xl/ctrlProps/ctrlProp20.xml><?xml version="1.0" encoding="utf-8"?>
<formControlPr xmlns="http://schemas.microsoft.com/office/spreadsheetml/2009/9/main" objectType="Drop" dropStyle="combo" dx="26" fmlaLink="$AA$219" fmlaRange="$AB$220:$AB$227" sel="2" val="0"/>
</file>

<file path=xl/ctrlProps/ctrlProp21.xml><?xml version="1.0" encoding="utf-8"?>
<formControlPr xmlns="http://schemas.microsoft.com/office/spreadsheetml/2009/9/main" objectType="Radio" checked="Checked" firstButton="1" fmlaLink="$AA$204" lockText="1"/>
</file>

<file path=xl/ctrlProps/ctrlProp22.xml><?xml version="1.0" encoding="utf-8"?>
<formControlPr xmlns="http://schemas.microsoft.com/office/spreadsheetml/2009/9/main" objectType="Radio" lockText="1"/>
</file>

<file path=xl/ctrlProps/ctrlProp23.xml><?xml version="1.0" encoding="utf-8"?>
<formControlPr xmlns="http://schemas.microsoft.com/office/spreadsheetml/2009/9/main" objectType="Drop" dropLines="3" dropStyle="combo" dx="26" fmlaLink="$AA$210" fmlaRange="$AB$211:$AB$212" sel="1" val="0"/>
</file>

<file path=xl/ctrlProps/ctrlProp24.xml><?xml version="1.0" encoding="utf-8"?>
<formControlPr xmlns="http://schemas.microsoft.com/office/spreadsheetml/2009/9/main" objectType="Drop" dropLines="13" dropStyle="combo" dx="26" fmlaLink="AA113" fmlaRange="AC$103:AC$115" noThreeD="1" sel="8" val="0"/>
</file>

<file path=xl/ctrlProps/ctrlProp25.xml><?xml version="1.0" encoding="utf-8"?>
<formControlPr xmlns="http://schemas.microsoft.com/office/spreadsheetml/2009/9/main" objectType="Drop" dropLines="13" dropStyle="combo" dx="26" fmlaLink="AA106" fmlaRange="AC$103:AC$115" noThreeD="1" sel="4" val="0"/>
</file>

<file path=xl/ctrlProps/ctrlProp26.xml><?xml version="1.0" encoding="utf-8"?>
<formControlPr xmlns="http://schemas.microsoft.com/office/spreadsheetml/2009/9/main" objectType="Drop" dropLines="13" dropStyle="combo" dx="26" fmlaLink="AA108" fmlaRange="AC$103:AC$115" noThreeD="1" sel="6" val="0"/>
</file>

<file path=xl/ctrlProps/ctrlProp27.xml><?xml version="1.0" encoding="utf-8"?>
<formControlPr xmlns="http://schemas.microsoft.com/office/spreadsheetml/2009/9/main" objectType="Drop" dropLines="13" dropStyle="combo" dx="26" fmlaLink="AA110" fmlaRange="AC$103:AC$115" noThreeD="1" sel="7" val="0"/>
</file>

<file path=xl/ctrlProps/ctrlProp28.xml><?xml version="1.0" encoding="utf-8"?>
<formControlPr xmlns="http://schemas.microsoft.com/office/spreadsheetml/2009/9/main" objectType="Radio" checked="Checked" firstButton="1" fmlaLink="F5" lockText="1"/>
</file>

<file path=xl/ctrlProps/ctrlProp29.xml><?xml version="1.0" encoding="utf-8"?>
<formControlPr xmlns="http://schemas.microsoft.com/office/spreadsheetml/2009/9/main" objectType="Radio" lockText="1"/>
</file>

<file path=xl/ctrlProps/ctrlProp30.xml><?xml version="1.0" encoding="utf-8"?>
<formControlPr xmlns="http://schemas.microsoft.com/office/spreadsheetml/2009/9/main" objectType="CheckBox" checked="Checked" fmlaLink="$BA$114" lockText="1" noThreeD="1"/>
</file>

<file path=xl/ctrlProps/ctrlProp31.xml><?xml version="1.0" encoding="utf-8"?>
<formControlPr xmlns="http://schemas.microsoft.com/office/spreadsheetml/2009/9/main" objectType="CheckBox" fmlaLink="$BA$113" lockText="1" noThreeD="1"/>
</file>

<file path=xl/ctrlProps/ctrlProp32.xml><?xml version="1.0" encoding="utf-8"?>
<formControlPr xmlns="http://schemas.microsoft.com/office/spreadsheetml/2009/9/main" objectType="CheckBox" fmlaLink="$BA$112" lockText="1" noThreeD="1"/>
</file>

<file path=xl/ctrlProps/ctrlProp33.xml><?xml version="1.0" encoding="utf-8"?>
<formControlPr xmlns="http://schemas.microsoft.com/office/spreadsheetml/2009/9/main" objectType="CheckBox" checked="Checked" fmlaLink="$BA$117" lockText="1" noThreeD="1"/>
</file>

<file path=xl/ctrlProps/ctrlProp34.xml><?xml version="1.0" encoding="utf-8"?>
<formControlPr xmlns="http://schemas.microsoft.com/office/spreadsheetml/2009/9/main" objectType="CheckBox" fmlaLink="$BA$116" lockText="1" noThreeD="1"/>
</file>

<file path=xl/ctrlProps/ctrlProp35.xml><?xml version="1.0" encoding="utf-8"?>
<formControlPr xmlns="http://schemas.microsoft.com/office/spreadsheetml/2009/9/main" objectType="CheckBox" fmlaLink="$BA$115" lockText="1" noThreeD="1"/>
</file>

<file path=xl/ctrlProps/ctrlProp36.xml><?xml version="1.0" encoding="utf-8"?>
<formControlPr xmlns="http://schemas.microsoft.com/office/spreadsheetml/2009/9/main" objectType="CheckBox" fmlaLink="BA104" lockText="1" noThreeD="1"/>
</file>

<file path=xl/ctrlProps/ctrlProp37.xml><?xml version="1.0" encoding="utf-8"?>
<formControlPr xmlns="http://schemas.microsoft.com/office/spreadsheetml/2009/9/main" objectType="CheckBox" checked="Checked" fmlaLink="BA105" lockText="1" noThreeD="1"/>
</file>

<file path=xl/ctrlProps/ctrlProp38.xml><?xml version="1.0" encoding="utf-8"?>
<formControlPr xmlns="http://schemas.microsoft.com/office/spreadsheetml/2009/9/main" objectType="CheckBox" fmlaLink="BA103" lockText="1" noThreeD="1"/>
</file>

<file path=xl/ctrlProps/ctrlProp39.xml><?xml version="1.0" encoding="utf-8"?>
<formControlPr xmlns="http://schemas.microsoft.com/office/spreadsheetml/2009/9/main" objectType="CheckBox" checked="Checked" fmlaLink="$BA$123" lockText="1" noThreeD="1"/>
</file>

<file path=xl/ctrlProps/ctrlProp40.xml><?xml version="1.0" encoding="utf-8"?>
<formControlPr xmlns="http://schemas.microsoft.com/office/spreadsheetml/2009/9/main" objectType="CheckBox" fmlaLink="$BA$122" lockText="1" noThreeD="1"/>
</file>

<file path=xl/ctrlProps/ctrlProp41.xml><?xml version="1.0" encoding="utf-8"?>
<formControlPr xmlns="http://schemas.microsoft.com/office/spreadsheetml/2009/9/main" objectType="CheckBox" fmlaLink="$BA$121" lockText="1" noThreeD="1"/>
</file>

<file path=xl/ctrlProps/ctrlProp42.xml><?xml version="1.0" encoding="utf-8"?>
<formControlPr xmlns="http://schemas.microsoft.com/office/spreadsheetml/2009/9/main" objectType="CheckBox" fmlaLink="BA107" lockText="1" noThreeD="1"/>
</file>

<file path=xl/ctrlProps/ctrlProp43.xml><?xml version="1.0" encoding="utf-8"?>
<formControlPr xmlns="http://schemas.microsoft.com/office/spreadsheetml/2009/9/main" objectType="CheckBox" checked="Checked" fmlaLink="BA108" lockText="1" noThreeD="1"/>
</file>

<file path=xl/ctrlProps/ctrlProp44.xml><?xml version="1.0" encoding="utf-8"?>
<formControlPr xmlns="http://schemas.microsoft.com/office/spreadsheetml/2009/9/main" objectType="CheckBox" fmlaLink="BA106" lockText="1" noThreeD="1"/>
</file>

<file path=xl/ctrlProps/ctrlProp45.xml><?xml version="1.0" encoding="utf-8"?>
<formControlPr xmlns="http://schemas.microsoft.com/office/spreadsheetml/2009/9/main" objectType="CheckBox" fmlaLink="$BA$110" lockText="1" noThreeD="1"/>
</file>

<file path=xl/ctrlProps/ctrlProp46.xml><?xml version="1.0" encoding="utf-8"?>
<formControlPr xmlns="http://schemas.microsoft.com/office/spreadsheetml/2009/9/main" objectType="CheckBox" checked="Checked" fmlaLink="$BA$111" lockText="1" noThreeD="1"/>
</file>

<file path=xl/ctrlProps/ctrlProp47.xml><?xml version="1.0" encoding="utf-8"?>
<formControlPr xmlns="http://schemas.microsoft.com/office/spreadsheetml/2009/9/main" objectType="CheckBox" fmlaLink="$BA$109" lockText="1" noThreeD="1"/>
</file>

<file path=xl/ctrlProps/ctrlProp48.xml><?xml version="1.0" encoding="utf-8"?>
<formControlPr xmlns="http://schemas.microsoft.com/office/spreadsheetml/2009/9/main" objectType="CheckBox" checked="Checked" fmlaLink="$BA$120" lockText="1" noThreeD="1"/>
</file>

<file path=xl/ctrlProps/ctrlProp49.xml><?xml version="1.0" encoding="utf-8"?>
<formControlPr xmlns="http://schemas.microsoft.com/office/spreadsheetml/2009/9/main" objectType="CheckBox" fmlaLink="$BA$119" lockText="1" noThreeD="1"/>
</file>

<file path=xl/ctrlProps/ctrlProp50.xml><?xml version="1.0" encoding="utf-8"?>
<formControlPr xmlns="http://schemas.microsoft.com/office/spreadsheetml/2009/9/main" objectType="CheckBox" fmlaLink="$BA$118" lockText="1" noThreeD="1"/>
</file>

<file path=xl/ctrlProps/ctrlProp51.xml><?xml version="1.0" encoding="utf-8"?>
<formControlPr xmlns="http://schemas.microsoft.com/office/spreadsheetml/2009/9/main" objectType="CheckBox" fmlaLink="$BA$128" lockText="1" noThreeD="1"/>
</file>

<file path=xl/ctrlProps/ctrlProp52.xml><?xml version="1.0" encoding="utf-8"?>
<formControlPr xmlns="http://schemas.microsoft.com/office/spreadsheetml/2009/9/main" objectType="CheckBox" fmlaLink="$BA$129" lockText="1" noThreeD="1"/>
</file>

<file path=xl/ctrlProps/ctrlProp53.xml><?xml version="1.0" encoding="utf-8"?>
<formControlPr xmlns="http://schemas.microsoft.com/office/spreadsheetml/2009/9/main" objectType="CheckBox" fmlaLink="$BA$130" lockText="1" noThreeD="1"/>
</file>

<file path=xl/ctrlProps/ctrlProp54.xml><?xml version="1.0" encoding="utf-8"?>
<formControlPr xmlns="http://schemas.microsoft.com/office/spreadsheetml/2009/9/main" objectType="CheckBox" fmlaLink="$BA$131" lockText="1" noThreeD="1"/>
</file>

<file path=xl/ctrlProps/ctrlProp55.xml><?xml version="1.0" encoding="utf-8"?>
<formControlPr xmlns="http://schemas.microsoft.com/office/spreadsheetml/2009/9/main" objectType="CheckBox" fmlaLink="$BA$132" lockText="1" noThreeD="1"/>
</file>

<file path=xl/ctrlProps/ctrlProp56.xml><?xml version="1.0" encoding="utf-8"?>
<formControlPr xmlns="http://schemas.microsoft.com/office/spreadsheetml/2009/9/main" objectType="CheckBox" fmlaLink="$BA$133" lockText="1" noThreeD="1"/>
</file>

<file path=xl/ctrlProps/ctrlProp57.xml><?xml version="1.0" encoding="utf-8"?>
<formControlPr xmlns="http://schemas.microsoft.com/office/spreadsheetml/2009/9/main" objectType="CheckBox" fmlaLink="$BA$134" lockText="1" noThreeD="1"/>
</file>

<file path=xl/ctrlProps/ctrlProp58.xml><?xml version="1.0" encoding="utf-8"?>
<formControlPr xmlns="http://schemas.microsoft.com/office/spreadsheetml/2009/9/main" objectType="CheckBox" fmlaLink="$BA$135" lockText="1" noThreeD="1"/>
</file>

<file path=xl/ctrlProps/ctrlProp59.xml><?xml version="1.0" encoding="utf-8"?>
<formControlPr xmlns="http://schemas.microsoft.com/office/spreadsheetml/2009/9/main" objectType="CheckBox" fmlaLink="$BA$136" lockText="1" noThreeD="1"/>
</file>

<file path=xl/ctrlProps/ctrlProp60.xml><?xml version="1.0" encoding="utf-8"?>
<formControlPr xmlns="http://schemas.microsoft.com/office/spreadsheetml/2009/9/main" objectType="CheckBox" fmlaLink="$BA$125" lockText="1" noThreeD="1"/>
</file>

<file path=xl/ctrlProps/ctrlProp61.xml><?xml version="1.0" encoding="utf-8"?>
<formControlPr xmlns="http://schemas.microsoft.com/office/spreadsheetml/2009/9/main" objectType="CheckBox" fmlaLink="$BA$126" lockText="1" noThreeD="1"/>
</file>

<file path=xl/ctrlProps/ctrlProp62.xml><?xml version="1.0" encoding="utf-8"?>
<formControlPr xmlns="http://schemas.microsoft.com/office/spreadsheetml/2009/9/main" objectType="CheckBox" fmlaLink="$BA$127" lockText="1" noThreeD="1"/>
</file>

<file path=xl/ctrlProps/ctrlProp63.xml><?xml version="1.0" encoding="utf-8"?>
<formControlPr xmlns="http://schemas.microsoft.com/office/spreadsheetml/2009/9/main" objectType="Drop" dropLines="2" dropStyle="combo" dx="26" fmlaLink="AB103" fmlaRange="AB104:AB105" noThreeD="1" sel="1" val="0"/>
</file>

<file path=xl/ctrlProps/ctrlProp64.xml><?xml version="1.0" encoding="utf-8"?>
<formControlPr xmlns="http://schemas.microsoft.com/office/spreadsheetml/2009/9/main" objectType="Drop" dropLines="13" dropStyle="combo" dx="26" fmlaLink="AB106" fmlaRange="AD$103:AD$115" noThreeD="1" sel="7" val="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Guidelines - Definitions'!A1"/><Relationship Id="rId13" Type="http://schemas.openxmlformats.org/officeDocument/2006/relationships/hyperlink" Target="#'Guidelines - Bottom Lines'!A1"/><Relationship Id="rId3" Type="http://schemas.openxmlformats.org/officeDocument/2006/relationships/hyperlink" Target="#'ASTM Converter (Tab.1)'!A1"/><Relationship Id="rId7" Type="http://schemas.openxmlformats.org/officeDocument/2006/relationships/image" Target="../media/image6.png"/><Relationship Id="rId12" Type="http://schemas.openxmlformats.org/officeDocument/2006/relationships/hyperlink" Target="#'ASTM Calculator V.W.'!A1"/><Relationship Id="rId2" Type="http://schemas.openxmlformats.org/officeDocument/2006/relationships/image" Target="../media/image4.emf"/><Relationship Id="rId1" Type="http://schemas.openxmlformats.org/officeDocument/2006/relationships/hyperlink" Target="#'Documents Manager'!A1"/><Relationship Id="rId6" Type="http://schemas.openxmlformats.org/officeDocument/2006/relationships/hyperlink" Target="#'Initial&amp;Max. Loading Rate'!A1"/><Relationship Id="rId11" Type="http://schemas.openxmlformats.org/officeDocument/2006/relationships/image" Target="../media/image8.jpeg"/><Relationship Id="rId5" Type="http://schemas.openxmlformats.org/officeDocument/2006/relationships/image" Target="../media/image5.png"/><Relationship Id="rId10" Type="http://schemas.openxmlformats.org/officeDocument/2006/relationships/hyperlink" Target="#'Source - Links'!A1"/><Relationship Id="rId4" Type="http://schemas.openxmlformats.org/officeDocument/2006/relationships/hyperlink" Target="#'ASTM Table Series'!A1"/><Relationship Id="rId9"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png"/></Relationships>
</file>

<file path=xl/drawings/_rels/drawing2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Blended Cargo Calculator'!A1"/><Relationship Id="rId1" Type="http://schemas.openxmlformats.org/officeDocument/2006/relationships/hyperlink" Target="#'Blended Cargo Calculator'!A195"/><Relationship Id="rId4" Type="http://schemas.openxmlformats.org/officeDocument/2006/relationships/image" Target="../media/image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s>
</file>

<file path=xl/drawings/_rels/drawing24.xml.rels><?xml version="1.0" encoding="UTF-8" standalone="yes"?>
<Relationships xmlns="http://schemas.openxmlformats.org/package/2006/relationships"><Relationship Id="rId3" Type="http://schemas.openxmlformats.org/officeDocument/2006/relationships/hyperlink" Target="#'ASTM Shore Line Displacement'!A1"/><Relationship Id="rId2" Type="http://schemas.openxmlformats.org/officeDocument/2006/relationships/image" Target="../media/image6.png"/><Relationship Id="rId1" Type="http://schemas.openxmlformats.org/officeDocument/2006/relationships/hyperlink" Target="#'ASTM Shore Line Displacement'!A150"/><Relationship Id="rId4" Type="http://schemas.openxmlformats.org/officeDocument/2006/relationships/image" Target="../media/image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6.png"/></Relationships>
</file>

<file path=xl/drawings/_rels/drawing31.xml.rels><?xml version="1.0" encoding="UTF-8" standalone="yes"?>
<Relationships xmlns="http://schemas.openxmlformats.org/package/2006/relationships"><Relationship Id="rId1" Type="http://schemas.openxmlformats.org/officeDocument/2006/relationships/image" Target="../media/image6.png"/></Relationships>
</file>

<file path=xl/drawings/_rels/drawing3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6.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6.png"/></Relationships>
</file>

<file path=xl/drawings/_rels/drawing35.xml.rels><?xml version="1.0" encoding="UTF-8" standalone="yes"?>
<Relationships xmlns="http://schemas.openxmlformats.org/package/2006/relationships"><Relationship Id="rId1" Type="http://schemas.openxmlformats.org/officeDocument/2006/relationships/image" Target="../media/image6.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6.png"/></Relationships>
</file>

<file path=xl/drawings/_rels/drawing3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IG Pressure Change'!A1"/><Relationship Id="rId1" Type="http://schemas.openxmlformats.org/officeDocument/2006/relationships/image" Target="../media/image6.png"/><Relationship Id="rId4" Type="http://schemas.openxmlformats.org/officeDocument/2006/relationships/hyperlink" Target="#'Guidelines - IG Pressure'!A1"/></Relationships>
</file>

<file path=xl/drawings/_rels/drawing3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IG Pressure Change (2)'!A1"/><Relationship Id="rId1" Type="http://schemas.openxmlformats.org/officeDocument/2006/relationships/image" Target="../media/image6.png"/><Relationship Id="rId4" Type="http://schemas.openxmlformats.org/officeDocument/2006/relationships/hyperlink" Target="#'Guidelines - IG Pressure'!A1"/></Relationships>
</file>

<file path=xl/drawings/_rels/drawing39.xml.rels><?xml version="1.0" encoding="UTF-8" standalone="yes"?>
<Relationships xmlns="http://schemas.openxmlformats.org/package/2006/relationships"><Relationship Id="rId1" Type="http://schemas.openxmlformats.org/officeDocument/2006/relationships/image" Target="../media/image6.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31.emf"/></Relationships>
</file>

<file path=xl/drawings/_rels/drawing44.xml.rels><?xml version="1.0" encoding="UTF-8" standalone="yes"?>
<Relationships xmlns="http://schemas.openxmlformats.org/package/2006/relationships"><Relationship Id="rId1" Type="http://schemas.openxmlformats.org/officeDocument/2006/relationships/image" Target="../media/image32.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49.xml.rels><?xml version="1.0" encoding="UTF-8" standalone="yes"?>
<Relationships xmlns="http://schemas.openxmlformats.org/package/2006/relationships"><Relationship Id="rId3" Type="http://schemas.openxmlformats.org/officeDocument/2006/relationships/image" Target="../media/image37.emf"/><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emf"/></Relationships>
</file>

<file path=xl/drawings/_rels/drawing50.xml.rels><?xml version="1.0" encoding="UTF-8" standalone="yes"?>
<Relationships xmlns="http://schemas.openxmlformats.org/package/2006/relationships"><Relationship Id="rId1" Type="http://schemas.openxmlformats.org/officeDocument/2006/relationships/image" Target="../media/image39.png"/></Relationships>
</file>

<file path=xl/drawings/_rels/drawing51.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52.xml.rels><?xml version="1.0" encoding="UTF-8" standalone="yes"?>
<Relationships xmlns="http://schemas.openxmlformats.org/package/2006/relationships"><Relationship Id="rId1" Type="http://schemas.openxmlformats.org/officeDocument/2006/relationships/image" Target="../media/image42.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4.xml.rels><?xml version="1.0" encoding="UTF-8" standalone="yes"?>
<Relationships xmlns="http://schemas.openxmlformats.org/package/2006/relationships"><Relationship Id="rId1" Type="http://schemas.openxmlformats.org/officeDocument/2006/relationships/image" Target="../media/image43.emf"/></Relationships>
</file>

<file path=xl/drawings/_rels/drawing55.xml.rels><?xml version="1.0" encoding="UTF-8" standalone="yes"?>
<Relationships xmlns="http://schemas.openxmlformats.org/package/2006/relationships"><Relationship Id="rId1" Type="http://schemas.openxmlformats.org/officeDocument/2006/relationships/image" Target="../media/image44.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45.png"/></Relationships>
</file>

<file path=xl/drawings/_rels/drawing57.xml.rels><?xml version="1.0" encoding="UTF-8" standalone="yes"?>
<Relationships xmlns="http://schemas.openxmlformats.org/package/2006/relationships"><Relationship Id="rId1" Type="http://schemas.openxmlformats.org/officeDocument/2006/relationships/image" Target="../media/image50.gif"/></Relationships>
</file>

<file path=xl/drawings/_rels/drawing58.xml.rels><?xml version="1.0" encoding="UTF-8" standalone="yes"?>
<Relationships xmlns="http://schemas.openxmlformats.org/package/2006/relationships"><Relationship Id="rId3" Type="http://schemas.openxmlformats.org/officeDocument/2006/relationships/image" Target="../media/image53.gif"/><Relationship Id="rId2" Type="http://schemas.openxmlformats.org/officeDocument/2006/relationships/image" Target="../media/image52.png"/><Relationship Id="rId1" Type="http://schemas.openxmlformats.org/officeDocument/2006/relationships/image" Target="../media/image51.jpg"/><Relationship Id="rId6" Type="http://schemas.openxmlformats.org/officeDocument/2006/relationships/image" Target="../media/image56.jpeg"/><Relationship Id="rId5" Type="http://schemas.openxmlformats.org/officeDocument/2006/relationships/image" Target="../media/image55.svg"/><Relationship Id="rId4" Type="http://schemas.openxmlformats.org/officeDocument/2006/relationships/image" Target="../media/image54.png"/></Relationships>
</file>

<file path=xl/drawings/_rels/drawing5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ome!A1"/></Relationships>
</file>

<file path=xl/drawings/_rels/drawing60.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Home!A1"/><Relationship Id="rId1" Type="http://schemas.openxmlformats.org/officeDocument/2006/relationships/image" Target="../media/image57.png"/><Relationship Id="rId5" Type="http://schemas.openxmlformats.org/officeDocument/2006/relationships/image" Target="../media/image3.png"/><Relationship Id="rId4" Type="http://schemas.openxmlformats.org/officeDocument/2006/relationships/image" Target="../media/image58.png"/></Relationships>
</file>

<file path=xl/drawings/_rels/vmlDrawing19.vml.rels><?xml version="1.0" encoding="UTF-8" standalone="yes"?>
<Relationships xmlns="http://schemas.openxmlformats.org/package/2006/relationships"><Relationship Id="rId8" Type="http://schemas.openxmlformats.org/officeDocument/2006/relationships/image" Target="../media/image19.emf"/><Relationship Id="rId13" Type="http://schemas.openxmlformats.org/officeDocument/2006/relationships/image" Target="../media/image24.emf"/><Relationship Id="rId18" Type="http://schemas.openxmlformats.org/officeDocument/2006/relationships/image" Target="../media/image29.emf"/><Relationship Id="rId3" Type="http://schemas.openxmlformats.org/officeDocument/2006/relationships/image" Target="../media/image14.wmf"/><Relationship Id="rId7" Type="http://schemas.openxmlformats.org/officeDocument/2006/relationships/image" Target="../media/image18.emf"/><Relationship Id="rId12" Type="http://schemas.openxmlformats.org/officeDocument/2006/relationships/image" Target="../media/image23.emf"/><Relationship Id="rId17" Type="http://schemas.openxmlformats.org/officeDocument/2006/relationships/image" Target="../media/image28.emf"/><Relationship Id="rId2" Type="http://schemas.openxmlformats.org/officeDocument/2006/relationships/image" Target="../media/image13.emf"/><Relationship Id="rId16" Type="http://schemas.openxmlformats.org/officeDocument/2006/relationships/image" Target="../media/image27.emf"/><Relationship Id="rId1" Type="http://schemas.openxmlformats.org/officeDocument/2006/relationships/image" Target="../media/image12.wmf"/><Relationship Id="rId6" Type="http://schemas.openxmlformats.org/officeDocument/2006/relationships/image" Target="../media/image17.emf"/><Relationship Id="rId11" Type="http://schemas.openxmlformats.org/officeDocument/2006/relationships/image" Target="../media/image22.emf"/><Relationship Id="rId5" Type="http://schemas.openxmlformats.org/officeDocument/2006/relationships/image" Target="../media/image16.emf"/><Relationship Id="rId15" Type="http://schemas.openxmlformats.org/officeDocument/2006/relationships/image" Target="../media/image26.emf"/><Relationship Id="rId10" Type="http://schemas.openxmlformats.org/officeDocument/2006/relationships/image" Target="../media/image21.emf"/><Relationship Id="rId19" Type="http://schemas.openxmlformats.org/officeDocument/2006/relationships/image" Target="../media/image30.emf"/><Relationship Id="rId4" Type="http://schemas.openxmlformats.org/officeDocument/2006/relationships/image" Target="../media/image15.emf"/><Relationship Id="rId9" Type="http://schemas.openxmlformats.org/officeDocument/2006/relationships/image" Target="../media/image20.emf"/><Relationship Id="rId14" Type="http://schemas.openxmlformats.org/officeDocument/2006/relationships/image" Target="../media/image25.emf"/></Relationships>
</file>

<file path=xl/drawings/_rels/vmlDrawing20.vml.rels><?xml version="1.0" encoding="UTF-8" standalone="yes"?>
<Relationships xmlns="http://schemas.openxmlformats.org/package/2006/relationships"><Relationship Id="rId3" Type="http://schemas.openxmlformats.org/officeDocument/2006/relationships/image" Target="../media/image48.wmf"/><Relationship Id="rId2" Type="http://schemas.openxmlformats.org/officeDocument/2006/relationships/image" Target="../media/image47.wmf"/><Relationship Id="rId1" Type="http://schemas.openxmlformats.org/officeDocument/2006/relationships/image" Target="../media/image46.wmf"/><Relationship Id="rId4" Type="http://schemas.openxmlformats.org/officeDocument/2006/relationships/image" Target="../media/image49.wmf"/></Relationships>
</file>

<file path=xl/drawings/drawing1.xml><?xml version="1.0" encoding="utf-8"?>
<xdr:wsDr xmlns:xdr="http://schemas.openxmlformats.org/drawingml/2006/spreadsheetDrawing" xmlns:a="http://schemas.openxmlformats.org/drawingml/2006/main">
  <xdr:twoCellAnchor editAs="oneCell">
    <xdr:from>
      <xdr:col>1</xdr:col>
      <xdr:colOff>971550</xdr:colOff>
      <xdr:row>1</xdr:row>
      <xdr:rowOff>38100</xdr:rowOff>
    </xdr:from>
    <xdr:to>
      <xdr:col>1</xdr:col>
      <xdr:colOff>1466850</xdr:colOff>
      <xdr:row>2</xdr:row>
      <xdr:rowOff>238125</xdr:rowOff>
    </xdr:to>
    <xdr:pic>
      <xdr:nvPicPr>
        <xdr:cNvPr id="2" name="Рисунок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1550" y="200025"/>
          <a:ext cx="4953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487680</xdr:colOff>
      <xdr:row>5</xdr:row>
      <xdr:rowOff>220980</xdr:rowOff>
    </xdr:from>
    <xdr:to>
      <xdr:col>12</xdr:col>
      <xdr:colOff>430701</xdr:colOff>
      <xdr:row>17</xdr:row>
      <xdr:rowOff>55820</xdr:rowOff>
    </xdr:to>
    <xdr:grpSp>
      <xdr:nvGrpSpPr>
        <xdr:cNvPr id="14" name="Группа 13">
          <a:extLst>
            <a:ext uri="{FF2B5EF4-FFF2-40B4-BE49-F238E27FC236}">
              <a16:creationId xmlns:a16="http://schemas.microsoft.com/office/drawing/2014/main" id="{00000000-0008-0000-0000-00000E000000}"/>
            </a:ext>
          </a:extLst>
        </xdr:cNvPr>
        <xdr:cNvGrpSpPr/>
      </xdr:nvGrpSpPr>
      <xdr:grpSpPr>
        <a:xfrm>
          <a:off x="5064443" y="1449705"/>
          <a:ext cx="4510258" cy="3035240"/>
          <a:chOff x="6614160" y="1181100"/>
          <a:chExt cx="4316901" cy="3035240"/>
        </a:xfrm>
      </xdr:grpSpPr>
      <xdr:pic>
        <xdr:nvPicPr>
          <xdr:cNvPr id="13" name="Рисунок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14160" y="1638300"/>
            <a:ext cx="2760920" cy="2578040"/>
          </a:xfrm>
          <a:prstGeom prst="rect">
            <a:avLst/>
          </a:prstGeom>
        </xdr:spPr>
      </xdr:pic>
      <xdr:pic>
        <xdr:nvPicPr>
          <xdr:cNvPr id="3" name="Рисунок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33460" y="1181100"/>
            <a:ext cx="2297601" cy="2243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xdr:col>
      <xdr:colOff>205740</xdr:colOff>
      <xdr:row>4</xdr:row>
      <xdr:rowOff>15240</xdr:rowOff>
    </xdr:from>
    <xdr:to>
      <xdr:col>5</xdr:col>
      <xdr:colOff>396060</xdr:colOff>
      <xdr:row>9</xdr:row>
      <xdr:rowOff>121740</xdr:rowOff>
    </xdr:to>
    <xdr:grpSp>
      <xdr:nvGrpSpPr>
        <xdr:cNvPr id="23" name="Группа 22">
          <a:extLst>
            <a:ext uri="{FF2B5EF4-FFF2-40B4-BE49-F238E27FC236}">
              <a16:creationId xmlns:a16="http://schemas.microsoft.com/office/drawing/2014/main" id="{00000000-0008-0000-0000-000017000000}"/>
            </a:ext>
          </a:extLst>
        </xdr:cNvPr>
        <xdr:cNvGrpSpPr/>
      </xdr:nvGrpSpPr>
      <xdr:grpSpPr>
        <a:xfrm>
          <a:off x="3477578" y="977265"/>
          <a:ext cx="1495245" cy="1440000"/>
          <a:chOff x="3093720" y="2689860"/>
          <a:chExt cx="1440000" cy="1440000"/>
        </a:xfrm>
      </xdr:grpSpPr>
      <xdr:sp macro="" textlink="">
        <xdr:nvSpPr>
          <xdr:cNvPr id="20" name="Rectangle 3">
            <a:extLst>
              <a:ext uri="{FF2B5EF4-FFF2-40B4-BE49-F238E27FC236}">
                <a16:creationId xmlns:a16="http://schemas.microsoft.com/office/drawing/2014/main" id="{00000000-0008-0000-0000-000014000000}"/>
              </a:ext>
            </a:extLst>
          </xdr:cNvPr>
          <xdr:cNvSpPr/>
        </xdr:nvSpPr>
        <xdr:spPr>
          <a:xfrm>
            <a:off x="3093720" y="2689860"/>
            <a:ext cx="1440000" cy="1440000"/>
          </a:xfrm>
          <a:prstGeom prst="rect">
            <a:avLst/>
          </a:prstGeom>
          <a:solidFill>
            <a:srgbClr val="008080"/>
          </a:solidFill>
          <a:ln w="31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1" name="Line 45">
            <a:extLst>
              <a:ext uri="{FF2B5EF4-FFF2-40B4-BE49-F238E27FC236}">
                <a16:creationId xmlns:a16="http://schemas.microsoft.com/office/drawing/2014/main" id="{00000000-0008-0000-0000-000015000000}"/>
              </a:ext>
            </a:extLst>
          </xdr:cNvPr>
          <xdr:cNvSpPr>
            <a:spLocks noChangeAspect="1" noChangeShapeType="1"/>
          </xdr:cNvSpPr>
        </xdr:nvSpPr>
        <xdr:spPr bwMode="auto">
          <a:xfrm>
            <a:off x="3379470" y="3232786"/>
            <a:ext cx="910590" cy="0"/>
          </a:xfrm>
          <a:prstGeom prst="line">
            <a:avLst/>
          </a:prstGeom>
          <a:noFill/>
          <a:ln w="111125">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22" name="Line 46">
            <a:extLst>
              <a:ext uri="{FF2B5EF4-FFF2-40B4-BE49-F238E27FC236}">
                <a16:creationId xmlns:a16="http://schemas.microsoft.com/office/drawing/2014/main" id="{00000000-0008-0000-0000-000016000000}"/>
              </a:ext>
            </a:extLst>
          </xdr:cNvPr>
          <xdr:cNvSpPr>
            <a:spLocks noChangeAspect="1" noChangeShapeType="1"/>
          </xdr:cNvSpPr>
        </xdr:nvSpPr>
        <xdr:spPr bwMode="auto">
          <a:xfrm rot="10800000">
            <a:off x="3402328" y="3612448"/>
            <a:ext cx="880111" cy="0"/>
          </a:xfrm>
          <a:prstGeom prst="line">
            <a:avLst/>
          </a:prstGeom>
          <a:noFill/>
          <a:ln w="111125">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68580</xdr:colOff>
      <xdr:row>4</xdr:row>
      <xdr:rowOff>53340</xdr:rowOff>
    </xdr:from>
    <xdr:to>
      <xdr:col>4</xdr:col>
      <xdr:colOff>533400</xdr:colOff>
      <xdr:row>5</xdr:row>
      <xdr:rowOff>237387</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68930" y="1015365"/>
          <a:ext cx="464820" cy="450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64770</xdr:colOff>
      <xdr:row>15</xdr:row>
      <xdr:rowOff>47624</xdr:rowOff>
    </xdr:from>
    <xdr:to>
      <xdr:col>4</xdr:col>
      <xdr:colOff>514770</xdr:colOff>
      <xdr:row>16</xdr:row>
      <xdr:rowOff>230924</xdr:rowOff>
    </xdr:to>
    <xdr:grpSp>
      <xdr:nvGrpSpPr>
        <xdr:cNvPr id="5" name="Group 4">
          <a:hlinkClick xmlns:r="http://schemas.openxmlformats.org/officeDocument/2006/relationships" r:id="rId3"/>
          <a:extLst>
            <a:ext uri="{FF2B5EF4-FFF2-40B4-BE49-F238E27FC236}">
              <a16:creationId xmlns:a16="http://schemas.microsoft.com/office/drawing/2014/main" id="{00000000-0008-0000-0100-000005000000}"/>
            </a:ext>
          </a:extLst>
        </xdr:cNvPr>
        <xdr:cNvGrpSpPr/>
      </xdr:nvGrpSpPr>
      <xdr:grpSpPr>
        <a:xfrm>
          <a:off x="3136583" y="3943349"/>
          <a:ext cx="450000" cy="450000"/>
          <a:chOff x="2807970" y="1543049"/>
          <a:chExt cx="450000" cy="450000"/>
        </a:xfrm>
      </xdr:grpSpPr>
      <xdr:sp macro="" textlink="">
        <xdr:nvSpPr>
          <xdr:cNvPr id="4" name="Rectangle 3">
            <a:extLst>
              <a:ext uri="{FF2B5EF4-FFF2-40B4-BE49-F238E27FC236}">
                <a16:creationId xmlns:a16="http://schemas.microsoft.com/office/drawing/2014/main" id="{00000000-0008-0000-0100-000004000000}"/>
              </a:ext>
            </a:extLst>
          </xdr:cNvPr>
          <xdr:cNvSpPr/>
        </xdr:nvSpPr>
        <xdr:spPr>
          <a:xfrm>
            <a:off x="2807970" y="1543049"/>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Line 45">
            <a:extLst>
              <a:ext uri="{FF2B5EF4-FFF2-40B4-BE49-F238E27FC236}">
                <a16:creationId xmlns:a16="http://schemas.microsoft.com/office/drawing/2014/main" id="{00000000-0008-0000-0100-000007000000}"/>
              </a:ext>
            </a:extLst>
          </xdr:cNvPr>
          <xdr:cNvSpPr>
            <a:spLocks noChangeAspect="1" noChangeShapeType="1"/>
          </xdr:cNvSpPr>
        </xdr:nvSpPr>
        <xdr:spPr bwMode="auto">
          <a:xfrm>
            <a:off x="2903220" y="1674495"/>
            <a:ext cx="276937" cy="0"/>
          </a:xfrm>
          <a:prstGeom prst="line">
            <a:avLst/>
          </a:prstGeom>
          <a:noFill/>
          <a:ln w="4445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8" name="Line 46">
            <a:extLst>
              <a:ext uri="{FF2B5EF4-FFF2-40B4-BE49-F238E27FC236}">
                <a16:creationId xmlns:a16="http://schemas.microsoft.com/office/drawing/2014/main" id="{00000000-0008-0000-0100-000008000000}"/>
              </a:ext>
            </a:extLst>
          </xdr:cNvPr>
          <xdr:cNvSpPr>
            <a:spLocks noChangeAspect="1" noChangeShapeType="1"/>
          </xdr:cNvSpPr>
        </xdr:nvSpPr>
        <xdr:spPr bwMode="auto">
          <a:xfrm rot="10800000">
            <a:off x="2903220" y="1863657"/>
            <a:ext cx="276937" cy="0"/>
          </a:xfrm>
          <a:prstGeom prst="line">
            <a:avLst/>
          </a:prstGeom>
          <a:noFill/>
          <a:ln w="4445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editAs="oneCell">
    <xdr:from>
      <xdr:col>4</xdr:col>
      <xdr:colOff>68580</xdr:colOff>
      <xdr:row>6</xdr:row>
      <xdr:rowOff>45720</xdr:rowOff>
    </xdr:from>
    <xdr:to>
      <xdr:col>4</xdr:col>
      <xdr:colOff>518580</xdr:colOff>
      <xdr:row>7</xdr:row>
      <xdr:rowOff>229020</xdr:rowOff>
    </xdr:to>
    <xdr:grpSp>
      <xdr:nvGrpSpPr>
        <xdr:cNvPr id="13" name="Группа 12">
          <a:hlinkClick xmlns:r="http://schemas.openxmlformats.org/officeDocument/2006/relationships" r:id="rId4"/>
          <a:extLst>
            <a:ext uri="{FF2B5EF4-FFF2-40B4-BE49-F238E27FC236}">
              <a16:creationId xmlns:a16="http://schemas.microsoft.com/office/drawing/2014/main" id="{00000000-0008-0000-0100-00000D000000}"/>
            </a:ext>
          </a:extLst>
        </xdr:cNvPr>
        <xdr:cNvGrpSpPr/>
      </xdr:nvGrpSpPr>
      <xdr:grpSpPr>
        <a:xfrm>
          <a:off x="3140393" y="1541145"/>
          <a:ext cx="450000" cy="450000"/>
          <a:chOff x="3162300" y="5234940"/>
          <a:chExt cx="450000" cy="450000"/>
        </a:xfrm>
      </xdr:grpSpPr>
      <xdr:sp macro="" textlink="">
        <xdr:nvSpPr>
          <xdr:cNvPr id="6" name="Прямоугольник 5">
            <a:extLst>
              <a:ext uri="{FF2B5EF4-FFF2-40B4-BE49-F238E27FC236}">
                <a16:creationId xmlns:a16="http://schemas.microsoft.com/office/drawing/2014/main" id="{00000000-0008-0000-0100-000006000000}"/>
              </a:ext>
            </a:extLst>
          </xdr:cNvPr>
          <xdr:cNvSpPr/>
        </xdr:nvSpPr>
        <xdr:spPr>
          <a:xfrm>
            <a:off x="3162300" y="5234940"/>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pic>
        <xdr:nvPicPr>
          <xdr:cNvPr id="3" name="Рисунок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5"/>
          <a:srcRect t="9920"/>
          <a:stretch/>
        </xdr:blipFill>
        <xdr:spPr>
          <a:xfrm>
            <a:off x="3192789" y="5257806"/>
            <a:ext cx="406029" cy="415177"/>
          </a:xfrm>
          <a:prstGeom prst="rect">
            <a:avLst/>
          </a:prstGeom>
        </xdr:spPr>
      </xdr:pic>
    </xdr:grpSp>
    <xdr:clientData/>
  </xdr:twoCellAnchor>
  <xdr:twoCellAnchor editAs="oneCell">
    <xdr:from>
      <xdr:col>8</xdr:col>
      <xdr:colOff>57149</xdr:colOff>
      <xdr:row>4</xdr:row>
      <xdr:rowOff>47624</xdr:rowOff>
    </xdr:from>
    <xdr:to>
      <xdr:col>8</xdr:col>
      <xdr:colOff>536152</xdr:colOff>
      <xdr:row>5</xdr:row>
      <xdr:rowOff>259927</xdr:rowOff>
    </xdr:to>
    <xdr:pic>
      <xdr:nvPicPr>
        <xdr:cNvPr id="15" name="Рисунок 24">
          <a:hlinkClick xmlns:r="http://schemas.openxmlformats.org/officeDocument/2006/relationships" r:id="rId6"/>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7">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2933699" y="1543049"/>
          <a:ext cx="479003" cy="479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10</xdr:col>
      <xdr:colOff>66675</xdr:colOff>
      <xdr:row>4</xdr:row>
      <xdr:rowOff>47625</xdr:rowOff>
    </xdr:from>
    <xdr:ext cx="449937" cy="449937"/>
    <xdr:pic>
      <xdr:nvPicPr>
        <xdr:cNvPr id="11" name="Рисунок 14">
          <a:hlinkClick xmlns:r="http://schemas.openxmlformats.org/officeDocument/2006/relationships" r:id="rId8"/>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477375" y="3141345"/>
          <a:ext cx="449937" cy="449937"/>
        </a:xfrm>
        <a:prstGeom prst="rect">
          <a:avLst/>
        </a:prstGeom>
        <a:solidFill>
          <a:schemeClr val="bg1">
            <a:lumMod val="85000"/>
          </a:schemeClr>
        </a:solidFill>
        <a:ln>
          <a:solidFill>
            <a:schemeClr val="tx1">
              <a:lumMod val="50000"/>
              <a:lumOff val="50000"/>
            </a:schemeClr>
          </a:solidFill>
        </a:ln>
      </xdr:spPr>
    </xdr:pic>
    <xdr:clientData/>
  </xdr:oneCellAnchor>
  <xdr:oneCellAnchor>
    <xdr:from>
      <xdr:col>12</xdr:col>
      <xdr:colOff>59055</xdr:colOff>
      <xdr:row>22</xdr:row>
      <xdr:rowOff>49529</xdr:rowOff>
    </xdr:from>
    <xdr:ext cx="450000" cy="450000"/>
    <xdr:pic>
      <xdr:nvPicPr>
        <xdr:cNvPr id="12" name="Picture 1">
          <a:hlinkClick xmlns:r="http://schemas.openxmlformats.org/officeDocument/2006/relationships" r:id="rId10"/>
          <a:extLst>
            <a:ext uri="{FF2B5EF4-FFF2-40B4-BE49-F238E27FC236}">
              <a16:creationId xmlns:a16="http://schemas.microsoft.com/office/drawing/2014/main" id="{00000000-0008-0000-0100-00000C000000}"/>
            </a:ext>
          </a:extLst>
        </xdr:cNvPr>
        <xdr:cNvPicPr preferRelativeResize="0">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469755" y="4743449"/>
          <a:ext cx="450000" cy="450000"/>
        </a:xfrm>
        <a:prstGeom prst="rect">
          <a:avLst/>
        </a:prstGeom>
        <a:ln>
          <a:solidFill>
            <a:schemeClr val="tx1">
              <a:lumMod val="50000"/>
              <a:lumOff val="50000"/>
            </a:schemeClr>
          </a:solidFill>
        </a:ln>
      </xdr:spPr>
    </xdr:pic>
    <xdr:clientData/>
  </xdr:oneCellAnchor>
  <xdr:oneCellAnchor>
    <xdr:from>
      <xdr:col>6</xdr:col>
      <xdr:colOff>57149</xdr:colOff>
      <xdr:row>4</xdr:row>
      <xdr:rowOff>47624</xdr:rowOff>
    </xdr:from>
    <xdr:ext cx="479003" cy="479003"/>
    <xdr:pic>
      <xdr:nvPicPr>
        <xdr:cNvPr id="9" name="Рисунок 24">
          <a:hlinkClick xmlns:r="http://schemas.openxmlformats.org/officeDocument/2006/relationships" r:id="rId12"/>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467849" y="1007744"/>
          <a:ext cx="479003" cy="479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66675</xdr:colOff>
      <xdr:row>4</xdr:row>
      <xdr:rowOff>47625</xdr:rowOff>
    </xdr:from>
    <xdr:ext cx="449937" cy="449937"/>
    <xdr:pic>
      <xdr:nvPicPr>
        <xdr:cNvPr id="10" name="Рисунок 14">
          <a:hlinkClick xmlns:r="http://schemas.openxmlformats.org/officeDocument/2006/relationships" r:id="rId13"/>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830175" y="1007745"/>
          <a:ext cx="449937" cy="449937"/>
        </a:xfrm>
        <a:prstGeom prst="rect">
          <a:avLst/>
        </a:prstGeom>
        <a:solidFill>
          <a:schemeClr val="bg1">
            <a:lumMod val="85000"/>
          </a:schemeClr>
        </a:solidFill>
        <a:ln>
          <a:solidFill>
            <a:schemeClr val="tx1">
              <a:lumMod val="50000"/>
              <a:lumOff val="50000"/>
            </a:schemeClr>
          </a:solidFill>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887730</xdr:colOff>
      <xdr:row>23</xdr:row>
      <xdr:rowOff>0</xdr:rowOff>
    </xdr:from>
    <xdr:to>
      <xdr:col>1</xdr:col>
      <xdr:colOff>1564445</xdr:colOff>
      <xdr:row>25</xdr:row>
      <xdr:rowOff>234763</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87730" y="4922520"/>
          <a:ext cx="676715" cy="7681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xdr:colOff>
      <xdr:row>3</xdr:row>
      <xdr:rowOff>11429</xdr:rowOff>
    </xdr:from>
    <xdr:to>
      <xdr:col>10</xdr:col>
      <xdr:colOff>691516</xdr:colOff>
      <xdr:row>116</xdr:row>
      <xdr:rowOff>144780</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767965" y="704849"/>
          <a:ext cx="7623811" cy="23481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000" b="1" i="0" baseline="0">
            <a:solidFill>
              <a:schemeClr val="dk1"/>
            </a:solidFill>
            <a:effectLst/>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ru-RU" sz="10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endParaRPr>
        </a:p>
        <a:p>
          <a:pPr eaLnBrk="1" fontAlgn="auto" latinLnBrk="0" hangingPunct="1"/>
          <a:r>
            <a:rPr lang="en-US" sz="1100" b="1">
              <a:solidFill>
                <a:schemeClr val="dk1"/>
              </a:solidFill>
              <a:effectLst/>
              <a:latin typeface="Arial" panose="020B0604020202020204" pitchFamily="34" charset="0"/>
              <a:ea typeface="+mn-ea"/>
              <a:cs typeface="Arial" panose="020B0604020202020204" pitchFamily="34" charset="0"/>
            </a:rPr>
            <a:t>11.1.6.1 TABLE 6A - GENERALIZED CRUDE OILS,  </a:t>
          </a:r>
          <a:endParaRPr lang="en-US">
            <a:effectLst/>
            <a:latin typeface="Arial" panose="020B0604020202020204" pitchFamily="34" charset="0"/>
            <a:cs typeface="Arial" panose="020B0604020202020204" pitchFamily="34" charset="0"/>
          </a:endParaRPr>
        </a:p>
        <a:p>
          <a:pPr eaLnBrk="1" fontAlgn="auto" latinLnBrk="0" hangingPunct="1"/>
          <a:r>
            <a:rPr lang="en-US" sz="1100" b="1">
              <a:solidFill>
                <a:schemeClr val="dk1"/>
              </a:solidFill>
              <a:effectLst/>
              <a:latin typeface="Arial" panose="020B0604020202020204" pitchFamily="34" charset="0"/>
              <a:ea typeface="+mn-ea"/>
              <a:cs typeface="Arial" panose="020B0604020202020204" pitchFamily="34" charset="0"/>
            </a:rPr>
            <a:t>              CORRECTION OF VOLUME TO 60°F AGAINST AT GRAVITY AT 60°F</a:t>
          </a:r>
          <a:endParaRPr lang="en-US">
            <a:effectLst/>
            <a:latin typeface="Arial" panose="020B0604020202020204" pitchFamily="34" charset="0"/>
            <a:cs typeface="Arial" panose="020B0604020202020204" pitchFamily="34" charset="0"/>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Increments used in this table for determining volume correction factors are 0.5°F and 0.5°API gravity. </a:t>
          </a:r>
          <a:r>
            <a:rPr lang="en-US" sz="1100" b="1">
              <a:solidFill>
                <a:srgbClr val="FF0000"/>
              </a:solidFill>
              <a:effectLst/>
              <a:latin typeface="Times New Roman" panose="02020603050405020304" pitchFamily="18" charset="0"/>
              <a:ea typeface="+mn-ea"/>
              <a:cs typeface="Times New Roman" panose="02020603050405020304" pitchFamily="18" charset="0"/>
            </a:rPr>
            <a:t>Inter­polation between either temperature or gravity is not intended since there is no practical method of interpola­tion that will produce the accuracy obtainable from the Standard.</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This table must be entered with a known API gravity at 60°F and with an observed temperature.</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050" b="1">
              <a:solidFill>
                <a:schemeClr val="dk1"/>
              </a:solidFill>
              <a:effectLst/>
              <a:latin typeface="Arial" panose="020B0604020202020204" pitchFamily="34" charset="0"/>
              <a:ea typeface="+mn-ea"/>
              <a:cs typeface="Arial" panose="020B0604020202020204" pitchFamily="34" charset="0"/>
            </a:rPr>
            <a:t>Example 1</a:t>
          </a:r>
        </a:p>
        <a:p>
          <a:r>
            <a:rPr lang="en-US" sz="1100">
              <a:solidFill>
                <a:schemeClr val="dk1"/>
              </a:solidFill>
              <a:effectLst/>
              <a:latin typeface="Times New Roman" panose="02020603050405020304" pitchFamily="18" charset="0"/>
              <a:ea typeface="+mn-ea"/>
              <a:cs typeface="Times New Roman" panose="02020603050405020304" pitchFamily="18" charset="0"/>
            </a:rPr>
            <a:t>255 000 barrels of crude oil measured at 71.5°F has a 32.6°API gravity at 60°F. What is the net volume at 60</a:t>
          </a:r>
          <a:r>
            <a:rPr lang="en-US" sz="1100">
              <a:solidFill>
                <a:schemeClr val="dk1"/>
              </a:solidFill>
              <a:effectLst/>
              <a:latin typeface="+mn-lt"/>
              <a:ea typeface="+mn-ea"/>
              <a:cs typeface="+mn-cs"/>
            </a:rPr>
            <a:t>°F</a:t>
          </a:r>
          <a:r>
            <a:rPr lang="en-US" sz="1100">
              <a:solidFill>
                <a:schemeClr val="dk1"/>
              </a:solidFill>
              <a:effectLst/>
              <a:latin typeface="Times New Roman" panose="02020603050405020304" pitchFamily="18" charset="0"/>
              <a:ea typeface="+mn-ea"/>
              <a:cs typeface="Times New Roman" panose="02020603050405020304" pitchFamily="18" charset="0"/>
            </a:rPr>
            <a:t>?</a:t>
          </a:r>
        </a:p>
        <a:p>
          <a:r>
            <a:rPr lang="en-US" sz="1100">
              <a:solidFill>
                <a:schemeClr val="dk1"/>
              </a:solidFill>
              <a:effectLst/>
              <a:latin typeface="Times New Roman" panose="02020603050405020304" pitchFamily="18" charset="0"/>
              <a:ea typeface="+mn-ea"/>
              <a:cs typeface="Times New Roman" panose="02020603050405020304" pitchFamily="18" charset="0"/>
            </a:rPr>
            <a:t>Round 32.6°API to 32.5°API, the nearest 0.5°API increment. </a:t>
          </a:r>
          <a:r>
            <a:rPr lang="en-US" sz="1100" b="1">
              <a:solidFill>
                <a:srgbClr val="FF0000"/>
              </a:solidFill>
              <a:effectLst/>
              <a:latin typeface="Times New Roman" panose="02020603050405020304" pitchFamily="18" charset="0"/>
              <a:ea typeface="+mn-ea"/>
              <a:cs typeface="Times New Roman" panose="02020603050405020304" pitchFamily="18" charset="0"/>
            </a:rPr>
            <a:t>Do not interpolate</a:t>
          </a:r>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a:solidFill>
                <a:schemeClr val="dk1"/>
              </a:solidFill>
              <a:effectLst/>
              <a:latin typeface="Times New Roman" panose="02020603050405020304" pitchFamily="18" charset="0"/>
              <a:ea typeface="+mn-ea"/>
              <a:cs typeface="Times New Roman" panose="02020603050405020304" pitchFamily="18" charset="0"/>
            </a:rPr>
            <a:t>     Enter the table in the column “API Gravity at 60°F,” headed 32.5°API. Read down to an observed “Temperature” of 71.5°F. The volume correction factor is 0.9947. The net volume at 60°F is</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255 000 * 0.9947 = 253 648.5 </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or</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253 649 net barrels of crude oil.</a:t>
          </a:r>
        </a:p>
        <a:p>
          <a:pPr marL="0" indent="0"/>
          <a:r>
            <a:rPr lang="en-US" sz="1050" b="1">
              <a:solidFill>
                <a:schemeClr val="dk1"/>
              </a:solidFill>
              <a:effectLst/>
              <a:latin typeface="Arial" panose="020B0604020202020204" pitchFamily="34" charset="0"/>
              <a:ea typeface="+mn-ea"/>
              <a:cs typeface="Arial" panose="020B0604020202020204" pitchFamily="34" charset="0"/>
            </a:rPr>
            <a:t>Example 2</a:t>
          </a:r>
        </a:p>
        <a:p>
          <a:r>
            <a:rPr lang="en-US" sz="1100">
              <a:solidFill>
                <a:schemeClr val="dk1"/>
              </a:solidFill>
              <a:effectLst/>
              <a:latin typeface="Times New Roman" panose="02020603050405020304" pitchFamily="18" charset="0"/>
              <a:ea typeface="+mn-ea"/>
              <a:cs typeface="Times New Roman" panose="02020603050405020304" pitchFamily="18" charset="0"/>
            </a:rPr>
            <a:t>63 000 barrels of crude oil measured at 46°F has a 32.8°API gravity at 60°F. What is the net volume at 60°F?</a:t>
          </a:r>
        </a:p>
        <a:p>
          <a:r>
            <a:rPr lang="en-US" sz="1100">
              <a:solidFill>
                <a:schemeClr val="dk1"/>
              </a:solidFill>
              <a:effectLst/>
              <a:latin typeface="Times New Roman" panose="02020603050405020304" pitchFamily="18" charset="0"/>
              <a:ea typeface="+mn-ea"/>
              <a:cs typeface="Times New Roman" panose="02020603050405020304" pitchFamily="18" charset="0"/>
            </a:rPr>
            <a:t>Round 32.8°API to 33.0°API, the nearest 0.5°API increment. </a:t>
          </a:r>
          <a:r>
            <a:rPr lang="en-US" sz="1100" b="1">
              <a:solidFill>
                <a:srgbClr val="FF0000"/>
              </a:solidFill>
              <a:effectLst/>
              <a:latin typeface="Times New Roman" panose="02020603050405020304" pitchFamily="18" charset="0"/>
              <a:ea typeface="+mn-ea"/>
              <a:cs typeface="Times New Roman" panose="02020603050405020304" pitchFamily="18" charset="0"/>
            </a:rPr>
            <a:t>Do not interpolate</a:t>
          </a:r>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a:solidFill>
                <a:schemeClr val="dk1"/>
              </a:solidFill>
              <a:effectLst/>
              <a:latin typeface="Times New Roman" panose="02020603050405020304" pitchFamily="18" charset="0"/>
              <a:ea typeface="+mn-ea"/>
              <a:cs typeface="Times New Roman" panose="02020603050405020304" pitchFamily="18" charset="0"/>
            </a:rPr>
            <a:t>     Enter the table in the column “API Gravity at 60°F,” headed </a:t>
          </a:r>
          <a:r>
            <a:rPr lang="ru-RU" sz="1100">
              <a:solidFill>
                <a:schemeClr val="dk1"/>
              </a:solidFill>
              <a:effectLst/>
              <a:latin typeface="Times New Roman" panose="02020603050405020304" pitchFamily="18" charset="0"/>
              <a:ea typeface="+mn-ea"/>
              <a:cs typeface="Times New Roman" panose="02020603050405020304" pitchFamily="18" charset="0"/>
            </a:rPr>
            <a:t>ЗЗ</a:t>
          </a:r>
          <a:r>
            <a:rPr lang="en-US" sz="1100">
              <a:solidFill>
                <a:schemeClr val="dk1"/>
              </a:solidFill>
              <a:effectLst/>
              <a:latin typeface="Times New Roman" panose="02020603050405020304" pitchFamily="18" charset="0"/>
              <a:ea typeface="+mn-ea"/>
              <a:cs typeface="Times New Roman" panose="02020603050405020304" pitchFamily="18" charset="0"/>
            </a:rPr>
            <a:t>.0°</a:t>
          </a:r>
          <a:r>
            <a:rPr lang="ru-RU" sz="1100">
              <a:solidFill>
                <a:schemeClr val="dk1"/>
              </a:solidFill>
              <a:effectLst/>
              <a:latin typeface="Times New Roman" panose="02020603050405020304" pitchFamily="18" charset="0"/>
              <a:ea typeface="+mn-ea"/>
              <a:cs typeface="Times New Roman" panose="02020603050405020304" pitchFamily="18" charset="0"/>
            </a:rPr>
            <a:t>АР</a:t>
          </a:r>
          <a:r>
            <a:rPr lang="en-SG" sz="1100">
              <a:solidFill>
                <a:schemeClr val="dk1"/>
              </a:solidFill>
              <a:effectLst/>
              <a:latin typeface="Times New Roman" panose="02020603050405020304" pitchFamily="18" charset="0"/>
              <a:ea typeface="+mn-ea"/>
              <a:cs typeface="Times New Roman" panose="02020603050405020304" pitchFamily="18" charset="0"/>
            </a:rPr>
            <a:t>I</a:t>
          </a:r>
          <a:r>
            <a:rPr lang="en-US" sz="1100">
              <a:solidFill>
                <a:schemeClr val="dk1"/>
              </a:solidFill>
              <a:effectLst/>
              <a:latin typeface="Times New Roman" panose="02020603050405020304" pitchFamily="18" charset="0"/>
              <a:ea typeface="+mn-ea"/>
              <a:cs typeface="Times New Roman" panose="02020603050405020304" pitchFamily="18" charset="0"/>
            </a:rPr>
            <a:t>. Read down to an observed “Temperature” of 46.0°F. The volume correction factor is 1.0065. The net volume at 60°F is</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63 000 * 1.0065 = 63 409.5 </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or</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63 410 net barrels of crude oil.</a:t>
          </a:r>
        </a:p>
        <a:p>
          <a:pPr algn="ctr"/>
          <a:endParaRPr lang="en-US" sz="1000" b="1" i="0" baseline="0">
            <a:solidFill>
              <a:schemeClr val="dk1"/>
            </a:solidFill>
            <a:effectLst/>
            <a:latin typeface="Times New Roman" panose="02020603050405020304" pitchFamily="18" charset="0"/>
            <a:ea typeface="+mn-ea"/>
            <a:cs typeface="Times New Roman" panose="02020603050405020304" pitchFamily="18" charset="0"/>
          </a:endParaRPr>
        </a:p>
        <a:p>
          <a:pPr algn="ctr"/>
          <a:endParaRPr lang="en-US" sz="1000" b="1" i="0" baseline="0">
            <a:solidFill>
              <a:schemeClr val="dk1"/>
            </a:solidFill>
            <a:effectLst/>
            <a:latin typeface="Times New Roman" panose="02020603050405020304" pitchFamily="18" charset="0"/>
            <a:ea typeface="+mn-ea"/>
            <a:cs typeface="Times New Roman" panose="02020603050405020304" pitchFamily="18"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panose="020B0604020202020204" pitchFamily="34" charset="0"/>
              <a:ea typeface="+mn-ea"/>
              <a:cs typeface="Arial" panose="020B0604020202020204" pitchFamily="34" charset="0"/>
            </a:rPr>
            <a:t>11.1.6.4 TABLE 6B - GENERALIZED PRODUCTS, </a:t>
          </a: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panose="020B0604020202020204" pitchFamily="34" charset="0"/>
              <a:ea typeface="+mn-ea"/>
              <a:cs typeface="Arial" panose="020B0604020202020204" pitchFamily="34" charset="0"/>
            </a:rPr>
            <a:t>              CORRECTION OF VOLUME TO 60°F AGAINST AT GRAVITY AT 60°F</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Increments used in this table for determining volume correction factors are 0.5°F and 0.5°API gravity. </a:t>
          </a:r>
          <a:r>
            <a:rPr lang="en-US" sz="1100" b="1">
              <a:solidFill>
                <a:srgbClr val="FF0000"/>
              </a:solidFill>
              <a:effectLst/>
              <a:latin typeface="Times New Roman" panose="02020603050405020304" pitchFamily="18" charset="0"/>
              <a:ea typeface="+mn-ea"/>
              <a:cs typeface="Times New Roman" panose="02020603050405020304" pitchFamily="18" charset="0"/>
            </a:rPr>
            <a:t>Inter­polation between either temperature or gravity is not intended since there is no practical method of interpola­tion that will produce the accuracy obtainable from the Standard</a:t>
          </a:r>
          <a:r>
            <a:rPr lang="en-US" sz="1100">
              <a:solidFill>
                <a:srgbClr val="FF0000"/>
              </a:solidFill>
              <a:effectLst/>
              <a:latin typeface="Times New Roman" panose="02020603050405020304" pitchFamily="18" charset="0"/>
              <a:ea typeface="+mn-ea"/>
              <a:cs typeface="Times New Roman" panose="02020603050405020304" pitchFamily="18" charset="0"/>
            </a:rPr>
            <a:t>.</a:t>
          </a:r>
        </a:p>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Times New Roman" panose="02020603050405020304" pitchFamily="18" charset="0"/>
              <a:ea typeface="+mn-ea"/>
              <a:cs typeface="Times New Roman" panose="02020603050405020304" pitchFamily="18" charset="0"/>
            </a:rPr>
            <a:t>This table must be entered with a known API gravity at 60°F and with an observed temperature.</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050" b="1">
              <a:solidFill>
                <a:schemeClr val="dk1"/>
              </a:solidFill>
              <a:effectLst/>
              <a:latin typeface="Arial" panose="020B0604020202020204" pitchFamily="34" charset="0"/>
              <a:ea typeface="+mn-ea"/>
              <a:cs typeface="Arial" panose="020B0604020202020204" pitchFamily="34" charset="0"/>
            </a:rPr>
            <a:t>Example 1</a:t>
          </a:r>
        </a:p>
        <a:p>
          <a:r>
            <a:rPr lang="en-US" sz="1100">
              <a:solidFill>
                <a:schemeClr val="dk1"/>
              </a:solidFill>
              <a:effectLst/>
              <a:latin typeface="Times New Roman" panose="02020603050405020304" pitchFamily="18" charset="0"/>
              <a:ea typeface="+mn-ea"/>
              <a:cs typeface="Times New Roman" panose="02020603050405020304" pitchFamily="18" charset="0"/>
            </a:rPr>
            <a:t>70 000 barrels of gasoline measured at 75.5°F has a 61.4°API gravity at 60°F. What is the net volume at 60°F?</a:t>
          </a:r>
        </a:p>
        <a:p>
          <a:r>
            <a:rPr lang="en-US" sz="1100">
              <a:solidFill>
                <a:schemeClr val="dk1"/>
              </a:solidFill>
              <a:effectLst/>
              <a:latin typeface="Times New Roman" panose="02020603050405020304" pitchFamily="18" charset="0"/>
              <a:ea typeface="+mn-ea"/>
              <a:cs typeface="Times New Roman" panose="02020603050405020304" pitchFamily="18" charset="0"/>
            </a:rPr>
            <a:t>Round 61.4°API to 61.5°API, the nearest 0.5°API increment. </a:t>
          </a:r>
          <a:r>
            <a:rPr lang="en-US" sz="1100" b="1">
              <a:solidFill>
                <a:srgbClr val="FF0000"/>
              </a:solidFill>
              <a:effectLst/>
              <a:latin typeface="Times New Roman" panose="02020603050405020304" pitchFamily="18" charset="0"/>
              <a:ea typeface="+mn-ea"/>
              <a:cs typeface="Times New Roman" panose="02020603050405020304" pitchFamily="18" charset="0"/>
            </a:rPr>
            <a:t>Do not interpolate</a:t>
          </a:r>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a:solidFill>
                <a:schemeClr val="dk1"/>
              </a:solidFill>
              <a:effectLst/>
              <a:latin typeface="Times New Roman" panose="02020603050405020304" pitchFamily="18" charset="0"/>
              <a:ea typeface="+mn-ea"/>
              <a:cs typeface="Times New Roman" panose="02020603050405020304" pitchFamily="18" charset="0"/>
            </a:rPr>
            <a:t>     Enter the table in the column “API Gravity at 60°F,” headed 61.5°API. Read down to an observed “Temperature” of 75.5°F. The volume correction factor is 0.9892. The net volume at 60°F is</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70 000 • 0.9892 = 69 244 </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or</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69 244 net barrels of gasoline.</a:t>
          </a:r>
        </a:p>
        <a:p>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050" b="1">
              <a:solidFill>
                <a:schemeClr val="dk1"/>
              </a:solidFill>
              <a:effectLst/>
              <a:latin typeface="Arial" panose="020B0604020202020204" pitchFamily="34" charset="0"/>
              <a:ea typeface="+mn-ea"/>
              <a:cs typeface="Arial" panose="020B0604020202020204" pitchFamily="34" charset="0"/>
            </a:rPr>
            <a:t>Example 2</a:t>
          </a:r>
        </a:p>
        <a:p>
          <a:r>
            <a:rPr lang="en-US" sz="1100">
              <a:solidFill>
                <a:schemeClr val="dk1"/>
              </a:solidFill>
              <a:effectLst/>
              <a:latin typeface="Times New Roman" panose="02020603050405020304" pitchFamily="18" charset="0"/>
              <a:ea typeface="+mn-ea"/>
              <a:cs typeface="Times New Roman" panose="02020603050405020304" pitchFamily="18" charset="0"/>
            </a:rPr>
            <a:t>176 000 barrels of diesel fuel measured at 50°F has a 34.8°API gravity at 60°F. What is the net volume at 60°F?</a:t>
          </a:r>
        </a:p>
        <a:p>
          <a:r>
            <a:rPr lang="en-US" sz="1100">
              <a:solidFill>
                <a:schemeClr val="dk1"/>
              </a:solidFill>
              <a:effectLst/>
              <a:latin typeface="Times New Roman" panose="02020603050405020304" pitchFamily="18" charset="0"/>
              <a:ea typeface="+mn-ea"/>
              <a:cs typeface="Times New Roman" panose="02020603050405020304" pitchFamily="18" charset="0"/>
            </a:rPr>
            <a:t>Round 34.8°API to 35.0°API, the nearest 0.5° API increment. </a:t>
          </a:r>
          <a:r>
            <a:rPr lang="en-US" sz="1100" b="1">
              <a:solidFill>
                <a:srgbClr val="FF0000"/>
              </a:solidFill>
              <a:effectLst/>
              <a:latin typeface="Times New Roman" panose="02020603050405020304" pitchFamily="18" charset="0"/>
              <a:ea typeface="+mn-ea"/>
              <a:cs typeface="Times New Roman" panose="02020603050405020304" pitchFamily="18" charset="0"/>
            </a:rPr>
            <a:t>Do not interpolate</a:t>
          </a:r>
          <a:r>
            <a:rPr lang="en-US" sz="1100">
              <a:solidFill>
                <a:schemeClr val="dk1"/>
              </a:solidFill>
              <a:effectLst/>
              <a:latin typeface="Times New Roman" panose="02020603050405020304" pitchFamily="18" charset="0"/>
              <a:ea typeface="+mn-ea"/>
              <a:cs typeface="Times New Roman" panose="02020603050405020304" pitchFamily="18" charset="0"/>
            </a:rPr>
            <a:t>. </a:t>
          </a:r>
        </a:p>
        <a:p>
          <a:r>
            <a:rPr lang="en-US" sz="1100">
              <a:solidFill>
                <a:schemeClr val="dk1"/>
              </a:solidFill>
              <a:effectLst/>
              <a:latin typeface="Times New Roman" panose="02020603050405020304" pitchFamily="18" charset="0"/>
              <a:ea typeface="+mn-ea"/>
              <a:cs typeface="Times New Roman" panose="02020603050405020304" pitchFamily="18" charset="0"/>
            </a:rPr>
            <a:t>     Enter the table in the column “API Gravity at 60°F,” headed 35.0°API. Read down to an observed “Temperature” of 50°F. The vol­ume correction factor is 1.0046. The net volume at 60°F is</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176 000 • 1.0046 = 176 809.6 </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or</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176 810 net barrels of diesel fuel.</a:t>
          </a:r>
        </a:p>
        <a:p>
          <a:pPr algn="l"/>
          <a:endParaRPr lang="ru-RU" sz="1100">
            <a:solidFill>
              <a:schemeClr val="dk1"/>
            </a:solidFill>
            <a:effectLst/>
            <a:latin typeface="Times New Roman" panose="02020603050405020304" pitchFamily="18" charset="0"/>
            <a:ea typeface="+mn-ea"/>
            <a:cs typeface="Times New Roman" panose="02020603050405020304" pitchFamily="18" charset="0"/>
          </a:endParaRPr>
        </a:p>
        <a:p>
          <a:pPr algn="l"/>
          <a:r>
            <a:rPr lang="en-GB" sz="1100">
              <a:solidFill>
                <a:schemeClr val="dk1"/>
              </a:solidFill>
              <a:effectLst/>
              <a:latin typeface="Times New Roman" panose="02020603050405020304" pitchFamily="18" charset="0"/>
              <a:ea typeface="+mn-ea"/>
              <a:cs typeface="Times New Roman" panose="02020603050405020304" pitchFamily="18" charset="0"/>
            </a:rPr>
            <a:t>--------------------------------------------------------------------------------------------------------------------------------------------------------------</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pPr algn="l"/>
          <a:endParaRPr lang="ru-RU" sz="1100">
            <a:solidFill>
              <a:schemeClr val="dk1"/>
            </a:solidFill>
            <a:effectLst/>
            <a:latin typeface="Times New Roman" panose="02020603050405020304" pitchFamily="18" charset="0"/>
            <a:ea typeface="+mn-ea"/>
            <a:cs typeface="Times New Roman" panose="02020603050405020304" pitchFamily="18" charset="0"/>
          </a:endParaRPr>
        </a:p>
        <a:p>
          <a:pPr eaLnBrk="1" fontAlgn="auto" latinLnBrk="0" hangingPunct="1"/>
          <a:r>
            <a:rPr lang="en-US" sz="1100" b="1">
              <a:solidFill>
                <a:schemeClr val="dk1"/>
              </a:solidFill>
              <a:effectLst/>
              <a:latin typeface="Arial" panose="020B0604020202020204" pitchFamily="34" charset="0"/>
              <a:ea typeface="+mn-ea"/>
              <a:cs typeface="Arial" panose="020B0604020202020204" pitchFamily="34" charset="0"/>
            </a:rPr>
            <a:t>11.1.</a:t>
          </a:r>
          <a:r>
            <a:rPr lang="ru-RU" sz="1100" b="1">
              <a:solidFill>
                <a:schemeClr val="dk1"/>
              </a:solidFill>
              <a:effectLst/>
              <a:latin typeface="Arial" panose="020B0604020202020204" pitchFamily="34" charset="0"/>
              <a:ea typeface="+mn-ea"/>
              <a:cs typeface="Arial" panose="020B0604020202020204" pitchFamily="34" charset="0"/>
            </a:rPr>
            <a:t>24</a:t>
          </a:r>
          <a:r>
            <a:rPr lang="en-US" sz="1100" b="1">
              <a:solidFill>
                <a:schemeClr val="dk1"/>
              </a:solidFill>
              <a:effectLst/>
              <a:latin typeface="Arial" panose="020B0604020202020204" pitchFamily="34" charset="0"/>
              <a:ea typeface="+mn-ea"/>
              <a:cs typeface="Arial" panose="020B0604020202020204" pitchFamily="34" charset="0"/>
            </a:rPr>
            <a:t>.1 TABLE </a:t>
          </a:r>
          <a:r>
            <a:rPr lang="ru-RU" sz="1100" b="1">
              <a:solidFill>
                <a:schemeClr val="dk1"/>
              </a:solidFill>
              <a:effectLst/>
              <a:latin typeface="Arial" panose="020B0604020202020204" pitchFamily="34" charset="0"/>
              <a:ea typeface="+mn-ea"/>
              <a:cs typeface="Arial" panose="020B0604020202020204" pitchFamily="34" charset="0"/>
            </a:rPr>
            <a:t>24</a:t>
          </a:r>
          <a:r>
            <a:rPr lang="en-US" sz="1100" b="1">
              <a:solidFill>
                <a:schemeClr val="dk1"/>
              </a:solidFill>
              <a:effectLst/>
              <a:latin typeface="Arial" panose="020B0604020202020204" pitchFamily="34" charset="0"/>
              <a:ea typeface="+mn-ea"/>
              <a:cs typeface="Arial" panose="020B0604020202020204" pitchFamily="34" charset="0"/>
            </a:rPr>
            <a:t>A - GENERALIZED CRUDE OILS,  </a:t>
          </a:r>
          <a:endParaRPr lang="ru-RU">
            <a:effectLst/>
            <a:latin typeface="Arial" panose="020B0604020202020204" pitchFamily="34" charset="0"/>
            <a:cs typeface="Arial" panose="020B0604020202020204" pitchFamily="34" charset="0"/>
          </a:endParaRPr>
        </a:p>
        <a:p>
          <a:pPr eaLnBrk="1" fontAlgn="auto" latinLnBrk="0" hangingPunct="1"/>
          <a:r>
            <a:rPr lang="en-US" sz="1100" b="1">
              <a:solidFill>
                <a:schemeClr val="dk1"/>
              </a:solidFill>
              <a:effectLst/>
              <a:latin typeface="Arial" panose="020B0604020202020204" pitchFamily="34" charset="0"/>
              <a:ea typeface="+mn-ea"/>
              <a:cs typeface="Arial" panose="020B0604020202020204" pitchFamily="34" charset="0"/>
            </a:rPr>
            <a:t>              CORRECTION OF VOLUME TO 60°F AGAINST </a:t>
          </a:r>
          <a:r>
            <a:rPr lang="en-GB" sz="1100" b="1">
              <a:solidFill>
                <a:schemeClr val="dk1"/>
              </a:solidFill>
              <a:effectLst/>
              <a:latin typeface="Arial" panose="020B0604020202020204" pitchFamily="34" charset="0"/>
              <a:ea typeface="+mn-ea"/>
              <a:cs typeface="Arial" panose="020B0604020202020204" pitchFamily="34" charset="0"/>
            </a:rPr>
            <a:t>RELATIVE</a:t>
          </a:r>
          <a:r>
            <a:rPr lang="en-GB" sz="1100" b="1" baseline="0">
              <a:solidFill>
                <a:schemeClr val="dk1"/>
              </a:solidFill>
              <a:effectLst/>
              <a:latin typeface="Arial" panose="020B0604020202020204" pitchFamily="34" charset="0"/>
              <a:ea typeface="+mn-ea"/>
              <a:cs typeface="Arial" panose="020B0604020202020204" pitchFamily="34" charset="0"/>
            </a:rPr>
            <a:t> DENSITY</a:t>
          </a:r>
          <a:r>
            <a:rPr lang="en-US" sz="1100" b="1">
              <a:solidFill>
                <a:schemeClr val="dk1"/>
              </a:solidFill>
              <a:effectLst/>
              <a:latin typeface="Arial" panose="020B0604020202020204" pitchFamily="34" charset="0"/>
              <a:ea typeface="+mn-ea"/>
              <a:cs typeface="Arial" panose="020B0604020202020204" pitchFamily="34" charset="0"/>
            </a:rPr>
            <a:t> 60/60°F</a:t>
          </a:r>
          <a:endParaRPr lang="ru-RU">
            <a:effectLst/>
            <a:latin typeface="Arial" panose="020B0604020202020204" pitchFamily="34" charset="0"/>
            <a:cs typeface="Arial" panose="020B0604020202020204" pitchFamily="34" charset="0"/>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Increments used in this table for determining volume correction factors are 0.5°F and 0.0020</a:t>
          </a:r>
          <a:r>
            <a:rPr lang="en-US" sz="1100" baseline="0">
              <a:solidFill>
                <a:schemeClr val="dk1"/>
              </a:solidFill>
              <a:effectLst/>
              <a:latin typeface="Times New Roman" panose="02020603050405020304" pitchFamily="18" charset="0"/>
              <a:ea typeface="+mn-ea"/>
              <a:cs typeface="Times New Roman" panose="02020603050405020304" pitchFamily="18" charset="0"/>
            </a:rPr>
            <a:t> relative density</a:t>
          </a:r>
          <a:r>
            <a:rPr lang="en-US" sz="1100">
              <a:solidFill>
                <a:schemeClr val="dk1"/>
              </a:solidFill>
              <a:effectLst/>
              <a:latin typeface="Times New Roman" panose="02020603050405020304" pitchFamily="18" charset="0"/>
              <a:ea typeface="+mn-ea"/>
              <a:cs typeface="Times New Roman" panose="02020603050405020304" pitchFamily="18" charset="0"/>
            </a:rPr>
            <a:t>. </a:t>
          </a:r>
          <a:r>
            <a:rPr lang="en-US" sz="1100" b="1">
              <a:solidFill>
                <a:srgbClr val="FF0000"/>
              </a:solidFill>
              <a:effectLst/>
              <a:latin typeface="Times New Roman" panose="02020603050405020304" pitchFamily="18" charset="0"/>
              <a:ea typeface="+mn-ea"/>
              <a:cs typeface="Times New Roman" panose="02020603050405020304" pitchFamily="18" charset="0"/>
            </a:rPr>
            <a:t>Inter­polation between either temperature or gravity is not intended since there is no practical method of interpola­tion that will produce the accuracy obtainable from the Standard.</a:t>
          </a:r>
          <a:endParaRPr lang="ru-RU">
            <a:solidFill>
              <a:srgbClr val="FF0000"/>
            </a:solidFill>
            <a:effectLst/>
            <a:latin typeface="Times New Roman" panose="02020603050405020304" pitchFamily="18" charset="0"/>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This table must be entered with a known relative density 60/60°F and with an observed temperature.</a:t>
          </a:r>
          <a:endParaRPr lang="ru-RU">
            <a:effectLst/>
            <a:latin typeface="Times New Roman" panose="02020603050405020304" pitchFamily="18" charset="0"/>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 </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r>
            <a:rPr lang="en-US" sz="1050" b="1">
              <a:solidFill>
                <a:schemeClr val="dk1"/>
              </a:solidFill>
              <a:effectLst/>
              <a:latin typeface="Arial" panose="020B0604020202020204" pitchFamily="34" charset="0"/>
              <a:ea typeface="+mn-ea"/>
              <a:cs typeface="Arial" panose="020B0604020202020204" pitchFamily="34" charset="0"/>
            </a:rPr>
            <a:t>Example</a:t>
          </a:r>
          <a:endParaRPr lang="ru-RU" sz="1050" b="1">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225 000 barrels of crude oil measured at 46°F has a relative density 60/60°F of 0.8500. What is the net volume at 60°F?</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     Enter the table in the column "Relative Density 60/60°F," headed 0.8500 relative density. Read down to on observed "Temperature" of 46°F. The volume correction factor is 1.0062. The net volume at 60°F is </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225 000 * 1.0062 = 226 395.0</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or </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226 395 net barrels of crude oil.</a:t>
          </a:r>
        </a:p>
        <a:p>
          <a:endParaRPr lang="en-US" sz="1100">
            <a:solidFill>
              <a:schemeClr val="dk1"/>
            </a:solidFill>
            <a:effectLst/>
            <a:latin typeface="+mn-lt"/>
            <a:ea typeface="+mn-ea"/>
            <a:cs typeface="+mn-cs"/>
          </a:endParaRPr>
        </a:p>
        <a:p>
          <a:pPr algn="l"/>
          <a:endParaRPr lang="ru-RU" sz="1100">
            <a:solidFill>
              <a:schemeClr val="dk1"/>
            </a:solidFill>
            <a:effectLst/>
            <a:latin typeface="Times New Roman" panose="02020603050405020304" pitchFamily="18" charset="0"/>
            <a:ea typeface="+mn-ea"/>
            <a:cs typeface="Times New Roman" panose="02020603050405020304" pitchFamily="18" charset="0"/>
          </a:endParaRPr>
        </a:p>
        <a:p>
          <a:pPr eaLnBrk="1" fontAlgn="auto" latinLnBrk="0" hangingPunct="1"/>
          <a:r>
            <a:rPr lang="en-US" sz="1100" b="1">
              <a:solidFill>
                <a:schemeClr val="dk1"/>
              </a:solidFill>
              <a:effectLst/>
              <a:latin typeface="Arial" panose="020B0604020202020204" pitchFamily="34" charset="0"/>
              <a:ea typeface="+mn-ea"/>
              <a:cs typeface="Arial" panose="020B0604020202020204" pitchFamily="34" charset="0"/>
            </a:rPr>
            <a:t>11.1.</a:t>
          </a:r>
          <a:r>
            <a:rPr lang="ru-RU" sz="1100" b="1">
              <a:solidFill>
                <a:schemeClr val="dk1"/>
              </a:solidFill>
              <a:effectLst/>
              <a:latin typeface="Arial" panose="020B0604020202020204" pitchFamily="34" charset="0"/>
              <a:ea typeface="+mn-ea"/>
              <a:cs typeface="Arial" panose="020B0604020202020204" pitchFamily="34" charset="0"/>
            </a:rPr>
            <a:t>24</a:t>
          </a:r>
          <a:r>
            <a:rPr lang="en-US" sz="1100" b="1">
              <a:solidFill>
                <a:schemeClr val="dk1"/>
              </a:solidFill>
              <a:effectLst/>
              <a:latin typeface="Arial" panose="020B0604020202020204" pitchFamily="34" charset="0"/>
              <a:ea typeface="+mn-ea"/>
              <a:cs typeface="Arial" panose="020B0604020202020204" pitchFamily="34" charset="0"/>
            </a:rPr>
            <a:t>.4 TABLE </a:t>
          </a:r>
          <a:r>
            <a:rPr lang="ru-RU" sz="1100" b="1">
              <a:solidFill>
                <a:schemeClr val="dk1"/>
              </a:solidFill>
              <a:effectLst/>
              <a:latin typeface="Arial" panose="020B0604020202020204" pitchFamily="34" charset="0"/>
              <a:ea typeface="+mn-ea"/>
              <a:cs typeface="Arial" panose="020B0604020202020204" pitchFamily="34" charset="0"/>
            </a:rPr>
            <a:t>24</a:t>
          </a:r>
          <a:r>
            <a:rPr lang="en-US" sz="1100" b="1">
              <a:solidFill>
                <a:schemeClr val="dk1"/>
              </a:solidFill>
              <a:effectLst/>
              <a:latin typeface="Arial" panose="020B0604020202020204" pitchFamily="34" charset="0"/>
              <a:ea typeface="+mn-ea"/>
              <a:cs typeface="Arial" panose="020B0604020202020204" pitchFamily="34" charset="0"/>
            </a:rPr>
            <a:t>B - GENERALIZED CRUDE OILS,  </a:t>
          </a:r>
          <a:endParaRPr lang="ru-RU" sz="1100" b="1">
            <a:solidFill>
              <a:schemeClr val="dk1"/>
            </a:solidFill>
            <a:effectLst/>
            <a:latin typeface="Arial" panose="020B0604020202020204" pitchFamily="34" charset="0"/>
            <a:ea typeface="+mn-ea"/>
            <a:cs typeface="Arial" panose="020B0604020202020204" pitchFamily="34" charset="0"/>
          </a:endParaRPr>
        </a:p>
        <a:p>
          <a:pPr eaLnBrk="1" fontAlgn="auto" latinLnBrk="0" hangingPunct="1"/>
          <a:r>
            <a:rPr lang="en-US" sz="1100" b="1">
              <a:solidFill>
                <a:schemeClr val="dk1"/>
              </a:solidFill>
              <a:effectLst/>
              <a:latin typeface="Arial" panose="020B0604020202020204" pitchFamily="34" charset="0"/>
              <a:ea typeface="+mn-ea"/>
              <a:cs typeface="Arial" panose="020B0604020202020204" pitchFamily="34" charset="0"/>
            </a:rPr>
            <a:t>              CORRECTION OF VOLUME TO 60°F AGAINST </a:t>
          </a:r>
          <a:r>
            <a:rPr lang="en-GB" sz="1100" b="1">
              <a:solidFill>
                <a:schemeClr val="dk1"/>
              </a:solidFill>
              <a:effectLst/>
              <a:latin typeface="Arial" panose="020B0604020202020204" pitchFamily="34" charset="0"/>
              <a:ea typeface="+mn-ea"/>
              <a:cs typeface="Arial" panose="020B0604020202020204" pitchFamily="34" charset="0"/>
            </a:rPr>
            <a:t>RELATIVE DENSITY</a:t>
          </a:r>
          <a:r>
            <a:rPr lang="en-US" sz="1100" b="1">
              <a:solidFill>
                <a:schemeClr val="dk1"/>
              </a:solidFill>
              <a:effectLst/>
              <a:latin typeface="Arial" panose="020B0604020202020204" pitchFamily="34" charset="0"/>
              <a:ea typeface="+mn-ea"/>
              <a:cs typeface="Arial" panose="020B0604020202020204" pitchFamily="34" charset="0"/>
            </a:rPr>
            <a:t> 60/60°F</a:t>
          </a:r>
          <a:endParaRPr lang="ru-RU" sz="1100" b="1">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mn-lt"/>
            <a:ea typeface="+mn-ea"/>
            <a:cs typeface="+mn-cs"/>
          </a:endParaRPr>
        </a:p>
        <a:p>
          <a:r>
            <a:rPr lang="en-US" sz="1100">
              <a:solidFill>
                <a:schemeClr val="dk1"/>
              </a:solidFill>
              <a:effectLst/>
              <a:latin typeface="Times New Roman" panose="02020603050405020304" pitchFamily="18" charset="0"/>
              <a:ea typeface="+mn-ea"/>
              <a:cs typeface="Times New Roman" panose="02020603050405020304" pitchFamily="18" charset="0"/>
            </a:rPr>
            <a:t>Increments used in this table for determining volume correction factors are 0.5°F and 0.0020 relative density. </a:t>
          </a:r>
          <a:r>
            <a:rPr lang="en-US" sz="1100" b="1">
              <a:solidFill>
                <a:srgbClr val="FF0000"/>
              </a:solidFill>
              <a:effectLst/>
              <a:latin typeface="Times New Roman" panose="02020603050405020304" pitchFamily="18" charset="0"/>
              <a:ea typeface="+mn-ea"/>
              <a:cs typeface="Times New Roman" panose="02020603050405020304" pitchFamily="18" charset="0"/>
            </a:rPr>
            <a:t>Inter­polation between either temperature or gravity is not intended since there is no practical method of interpola­tion that will produce the accuracy obtainable from the Standard.</a:t>
          </a:r>
          <a:endParaRPr lang="ru-RU" sz="1100" b="1">
            <a:solidFill>
              <a:srgbClr val="FF0000"/>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This table must be entered with a known relative density 60/60°F and with an observed temperature.</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mn-lt"/>
              <a:ea typeface="+mn-ea"/>
              <a:cs typeface="+mn-cs"/>
            </a:rPr>
            <a:t> </a:t>
          </a:r>
          <a:endParaRPr lang="ru-RU">
            <a:effectLst/>
          </a:endParaRPr>
        </a:p>
        <a:p>
          <a:r>
            <a:rPr lang="en-US" sz="1050" b="1">
              <a:solidFill>
                <a:schemeClr val="dk1"/>
              </a:solidFill>
              <a:effectLst/>
              <a:latin typeface="Arial" panose="020B0604020202020204" pitchFamily="34" charset="0"/>
              <a:ea typeface="+mn-ea"/>
              <a:cs typeface="Arial" panose="020B0604020202020204" pitchFamily="34" charset="0"/>
            </a:rPr>
            <a:t>Example</a:t>
          </a:r>
          <a:endParaRPr lang="ru-RU" sz="1050" b="1">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185 000 barrels of gasoline measured at 85°F has a relative density 60/60°F of 0.7300. What is the net volume at 60°F?</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     Enter the table in the column "Relative Density 60/60°F," headed 0.7300 relative density. Read down to on observed "Temperature" of 85°F. The volume correction factor is 0.9840. The net volume at 60°F is </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185 000 * 0.9840 = 182 040.0</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or </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a:solidFill>
                <a:schemeClr val="dk1"/>
              </a:solidFill>
              <a:effectLst/>
              <a:latin typeface="Times New Roman" panose="02020603050405020304" pitchFamily="18" charset="0"/>
              <a:ea typeface="+mn-ea"/>
              <a:cs typeface="Times New Roman" panose="02020603050405020304" pitchFamily="18" charset="0"/>
            </a:rPr>
            <a:t>182 040 net barrels of gasoline.</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pPr algn="l"/>
          <a:endParaRPr lang="ru-RU" sz="1100">
            <a:solidFill>
              <a:schemeClr val="dk1"/>
            </a:solidFill>
            <a:effectLst/>
            <a:latin typeface="Times New Roman" panose="02020603050405020304" pitchFamily="18" charset="0"/>
            <a:ea typeface="+mn-ea"/>
            <a:cs typeface="Times New Roman" panose="02020603050405020304" pitchFamily="18" charset="0"/>
          </a:endParaRPr>
        </a:p>
        <a:p>
          <a:pPr algn="l"/>
          <a:r>
            <a:rPr lang="en-GB" sz="1100">
              <a:solidFill>
                <a:schemeClr val="dk1"/>
              </a:solidFill>
              <a:effectLst/>
              <a:latin typeface="Times New Roman" panose="02020603050405020304" pitchFamily="18" charset="0"/>
              <a:ea typeface="+mn-ea"/>
              <a:cs typeface="Times New Roman" panose="02020603050405020304" pitchFamily="18" charset="0"/>
            </a:rPr>
            <a:t>--------------------------------------------------------------------------------------------------------------------------------------------------------------</a:t>
          </a:r>
          <a:endParaRPr lang="ru-RU" sz="1100">
            <a:solidFill>
              <a:schemeClr val="dk1"/>
            </a:solidFill>
            <a:effectLst/>
            <a:latin typeface="Times New Roman" panose="02020603050405020304" pitchFamily="18" charset="0"/>
            <a:ea typeface="+mn-ea"/>
            <a:cs typeface="Times New Roman" panose="02020603050405020304" pitchFamily="18" charset="0"/>
          </a:endParaRPr>
        </a:p>
        <a:p>
          <a:pPr algn="l"/>
          <a:endParaRPr lang="ru-RU" sz="1100">
            <a:solidFill>
              <a:schemeClr val="dk1"/>
            </a:solidFill>
            <a:effectLst/>
            <a:latin typeface="Times New Roman" panose="02020603050405020304" pitchFamily="18" charset="0"/>
            <a:ea typeface="+mn-ea"/>
            <a:cs typeface="Times New Roman" panose="02020603050405020304" pitchFamily="18"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panose="020B0604020202020204" pitchFamily="34" charset="0"/>
              <a:ea typeface="+mn-ea"/>
              <a:cs typeface="Arial" panose="020B0604020202020204" pitchFamily="34" charset="0"/>
            </a:rPr>
            <a:t>11.1.54.1 TABLE 54A - Generalized Crude Oils, </a:t>
          </a: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panose="020B0604020202020204" pitchFamily="34" charset="0"/>
              <a:ea typeface="+mn-ea"/>
              <a:cs typeface="Arial" panose="020B0604020202020204" pitchFamily="34" charset="0"/>
            </a:rPr>
            <a:t>                Correction of Volume to 15°C Against Density at 15°C</a:t>
          </a:r>
          <a:endParaRPr lang="en-US" sz="1200" b="1">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100">
              <a:solidFill>
                <a:schemeClr val="dk1"/>
              </a:solidFill>
              <a:effectLst/>
              <a:latin typeface="Times New Roman" panose="02020603050405020304" pitchFamily="18" charset="0"/>
              <a:ea typeface="+mn-ea"/>
              <a:cs typeface="Times New Roman" panose="02020603050405020304" pitchFamily="18" charset="0"/>
            </a:rPr>
            <a:t>Increments used in this table for determining volume correction factors are 0.25°C and 2 kg/m3. </a:t>
          </a:r>
          <a:r>
            <a:rPr lang="en-US" sz="1100" b="1">
              <a:solidFill>
                <a:srgbClr val="FF0000"/>
              </a:solidFill>
              <a:effectLst/>
              <a:latin typeface="Times New Roman" panose="02020603050405020304" pitchFamily="18" charset="0"/>
              <a:ea typeface="+mn-ea"/>
              <a:cs typeface="Times New Roman" panose="02020603050405020304" pitchFamily="18" charset="0"/>
            </a:rPr>
            <a:t>Interpolation between either temperature or density is not intended since there is no practical method of interpolation the will produce the accuracy obtainable from the Stan­dard</a:t>
          </a:r>
          <a:r>
            <a:rPr lang="en-US" sz="1100" b="1">
              <a:solidFill>
                <a:schemeClr val="dk1"/>
              </a:solidFill>
              <a:effectLst/>
              <a:latin typeface="Times New Roman" panose="02020603050405020304" pitchFamily="18" charset="0"/>
              <a:ea typeface="+mn-ea"/>
              <a:cs typeface="Times New Roman" panose="02020603050405020304" pitchFamily="18" charset="0"/>
            </a:rPr>
            <a:t>.</a:t>
          </a:r>
        </a:p>
        <a:p>
          <a:pPr algn="ctr"/>
          <a:r>
            <a:rPr lang="en-US" sz="1100">
              <a:solidFill>
                <a:schemeClr val="dk1"/>
              </a:solidFill>
              <a:effectLst/>
              <a:latin typeface="Times New Roman" panose="02020603050405020304" pitchFamily="18" charset="0"/>
              <a:ea typeface="+mn-ea"/>
              <a:cs typeface="Times New Roman" panose="02020603050405020304" pitchFamily="18" charset="0"/>
            </a:rPr>
            <a:t>This table must</a:t>
          </a:r>
          <a:r>
            <a:rPr lang="en-US" sz="1100" baseline="0">
              <a:solidFill>
                <a:schemeClr val="dk1"/>
              </a:solidFill>
              <a:effectLst/>
              <a:latin typeface="Times New Roman" panose="02020603050405020304" pitchFamily="18" charset="0"/>
              <a:ea typeface="+mn-ea"/>
              <a:cs typeface="Times New Roman" panose="02020603050405020304" pitchFamily="18" charset="0"/>
            </a:rPr>
            <a:t> be entered with known density at 15°C and with an observed temperature.</a:t>
          </a:r>
          <a:r>
            <a:rPr lang="en-US" sz="1100">
              <a:solidFill>
                <a:schemeClr val="dk1"/>
              </a:solidFill>
              <a:effectLst/>
              <a:latin typeface="Times New Roman" panose="02020603050405020304" pitchFamily="18" charset="0"/>
              <a:ea typeface="+mn-ea"/>
              <a:cs typeface="Times New Roman" panose="02020603050405020304" pitchFamily="18" charset="0"/>
            </a:rPr>
            <a:t> </a:t>
          </a: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r>
            <a:rPr lang="en-US" sz="1050" b="1">
              <a:solidFill>
                <a:schemeClr val="dk1"/>
              </a:solidFill>
              <a:effectLst/>
              <a:latin typeface="Arial" panose="020B0604020202020204" pitchFamily="34" charset="0"/>
              <a:ea typeface="+mn-ea"/>
              <a:cs typeface="Arial" panose="020B0604020202020204" pitchFamily="34" charset="0"/>
            </a:rPr>
            <a:t>Example</a:t>
          </a:r>
        </a:p>
        <a:p>
          <a:r>
            <a:rPr lang="en-US" sz="1100" baseline="0">
              <a:solidFill>
                <a:schemeClr val="dk1"/>
              </a:solidFill>
              <a:effectLst/>
              <a:latin typeface="Times New Roman" panose="02020603050405020304" pitchFamily="18" charset="0"/>
              <a:ea typeface="+mn-ea"/>
              <a:cs typeface="Times New Roman" panose="02020603050405020304" pitchFamily="18" charset="0"/>
            </a:rPr>
            <a:t>What is the volume at 15°C of 328 625 cubic meters at 25°C of a crude oil the density of which at 15°C c 0.8324 kg per liter?</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1. Convert 0.8324 kg per liter to standard international. Units. 0.8324 * 1000. = 832.4 kg/m3</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2. Enter the table with the column headed “Density a: 15° C” at 832.0, and note that against observed “Temperature” at 25°C the volume correction factor </a:t>
          </a:r>
          <a:r>
            <a:rPr lang="ru-RU" sz="1100" baseline="0">
              <a:solidFill>
                <a:schemeClr val="dk1"/>
              </a:solidFill>
              <a:effectLst/>
              <a:latin typeface="Times New Roman" panose="02020603050405020304" pitchFamily="18" charset="0"/>
              <a:ea typeface="+mn-ea"/>
              <a:cs typeface="Times New Roman" panose="02020603050405020304" pitchFamily="18" charset="0"/>
            </a:rPr>
            <a:t>в </a:t>
          </a:r>
          <a:r>
            <a:rPr lang="en-US" sz="1100" baseline="0">
              <a:solidFill>
                <a:schemeClr val="dk1"/>
              </a:solidFill>
              <a:effectLst/>
              <a:latin typeface="Times New Roman" panose="02020603050405020304" pitchFamily="18" charset="0"/>
              <a:ea typeface="+mn-ea"/>
              <a:cs typeface="Times New Roman" panose="02020603050405020304" pitchFamily="18" charset="0"/>
            </a:rPr>
            <a:t>0.9911.</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3. Hence one cubic meter of crude oil having a density of 0.8324 kg per liter at 15°C and measured at 25°C occupies a volume of 0.9911 m3.</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4. Then 328 625 cubic meters measured at 25°C occupy a volume at 15°C of</a:t>
          </a:r>
        </a:p>
        <a:p>
          <a:pPr algn="ctr"/>
          <a:r>
            <a:rPr lang="en-US" sz="1100" baseline="0">
              <a:solidFill>
                <a:schemeClr val="dk1"/>
              </a:solidFill>
              <a:effectLst/>
              <a:latin typeface="Times New Roman" panose="02020603050405020304" pitchFamily="18" charset="0"/>
              <a:ea typeface="+mn-ea"/>
              <a:cs typeface="Times New Roman" panose="02020603050405020304" pitchFamily="18" charset="0"/>
            </a:rPr>
            <a:t>328 625 * 0.9911 = 325 700.24</a:t>
          </a:r>
        </a:p>
        <a:p>
          <a:pPr algn="ctr"/>
          <a:r>
            <a:rPr lang="en-US" sz="1100" baseline="0">
              <a:solidFill>
                <a:schemeClr val="dk1"/>
              </a:solidFill>
              <a:effectLst/>
              <a:latin typeface="Times New Roman" panose="02020603050405020304" pitchFamily="18" charset="0"/>
              <a:ea typeface="+mn-ea"/>
              <a:cs typeface="Times New Roman" panose="02020603050405020304" pitchFamily="18" charset="0"/>
            </a:rPr>
            <a:t>or</a:t>
          </a:r>
        </a:p>
        <a:p>
          <a:pPr algn="ctr"/>
          <a:r>
            <a:rPr lang="en-US" sz="1100" baseline="0">
              <a:solidFill>
                <a:schemeClr val="dk1"/>
              </a:solidFill>
              <a:effectLst/>
              <a:latin typeface="Times New Roman" panose="02020603050405020304" pitchFamily="18" charset="0"/>
              <a:ea typeface="+mn-ea"/>
              <a:cs typeface="Times New Roman" panose="02020603050405020304" pitchFamily="18" charset="0"/>
            </a:rPr>
            <a:t>325 700 net cubic meters.</a:t>
          </a:r>
        </a:p>
        <a:p>
          <a:r>
            <a:rPr lang="en-US" sz="1100" baseline="0">
              <a:solidFill>
                <a:schemeClr val="dk1"/>
              </a:solidFill>
              <a:effectLst/>
              <a:latin typeface="Times New Roman" panose="02020603050405020304" pitchFamily="18" charset="0"/>
              <a:ea typeface="+mn-ea"/>
              <a:cs typeface="Times New Roman" panose="02020603050405020304" pitchFamily="18" charset="0"/>
            </a:rPr>
            <a:t>5. </a:t>
          </a:r>
          <a:r>
            <a:rPr lang="en-US" sz="1100" b="1" baseline="0">
              <a:solidFill>
                <a:srgbClr val="FF0000"/>
              </a:solidFill>
              <a:effectLst/>
              <a:latin typeface="Times New Roman" panose="02020603050405020304" pitchFamily="18" charset="0"/>
              <a:ea typeface="+mn-ea"/>
              <a:cs typeface="Times New Roman" panose="02020603050405020304" pitchFamily="18" charset="0"/>
            </a:rPr>
            <a:t>Note that interpolation is not used</a:t>
          </a:r>
          <a:r>
            <a:rPr lang="en-US" sz="1100" baseline="0">
              <a:solidFill>
                <a:schemeClr val="dk1"/>
              </a:solidFill>
              <a:effectLst/>
              <a:latin typeface="Times New Roman" panose="02020603050405020304" pitchFamily="18" charset="0"/>
              <a:ea typeface="+mn-ea"/>
              <a:cs typeface="Times New Roman" panose="02020603050405020304" pitchFamily="18" charset="0"/>
            </a:rPr>
            <a:t>.</a:t>
          </a:r>
        </a:p>
        <a:p>
          <a:pPr algn="l"/>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l"/>
          <a:endParaRPr lang="en-US" sz="1100">
            <a:solidFill>
              <a:schemeClr val="dk1"/>
            </a:solidFill>
            <a:effectLst/>
            <a:latin typeface="Times New Roman" panose="02020603050405020304" pitchFamily="18" charset="0"/>
            <a:ea typeface="+mn-ea"/>
            <a:cs typeface="Times New Roman" panose="02020603050405020304" pitchFamily="18"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panose="020B0604020202020204" pitchFamily="34" charset="0"/>
              <a:ea typeface="+mn-ea"/>
              <a:cs typeface="Arial" panose="020B0604020202020204" pitchFamily="34" charset="0"/>
            </a:rPr>
            <a:t>11.1.54.4 TABLE 54B - Generalized Products, </a:t>
          </a:r>
        </a:p>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Arial" panose="020B0604020202020204" pitchFamily="34" charset="0"/>
              <a:ea typeface="+mn-ea"/>
              <a:cs typeface="Arial" panose="020B0604020202020204" pitchFamily="34" charset="0"/>
            </a:rPr>
            <a:t>                Cor­rection of Volume to 15°C Against Density at 15°C</a:t>
          </a:r>
        </a:p>
        <a:p>
          <a:endParaRPr lang="en-US" sz="1100" baseline="0">
            <a:solidFill>
              <a:schemeClr val="dk1"/>
            </a:solidFill>
            <a:effectLst/>
            <a:latin typeface="Times New Roman" panose="02020603050405020304" pitchFamily="18" charset="0"/>
            <a:ea typeface="+mn-ea"/>
            <a:cs typeface="Times New Roman" panose="02020603050405020304" pitchFamily="18" charset="0"/>
          </a:endParaRPr>
        </a:p>
        <a:p>
          <a:r>
            <a:rPr lang="en-US" sz="1100" baseline="0">
              <a:solidFill>
                <a:schemeClr val="dk1"/>
              </a:solidFill>
              <a:effectLst/>
              <a:latin typeface="Times New Roman" panose="02020603050405020304" pitchFamily="18" charset="0"/>
              <a:ea typeface="+mn-ea"/>
              <a:cs typeface="Times New Roman" panose="02020603050405020304" pitchFamily="18" charset="0"/>
            </a:rPr>
            <a:t>Increments used in this table for determining volume correction factors are 0.25°C and 2 kg/m3. </a:t>
          </a:r>
          <a:r>
            <a:rPr lang="en-US" sz="1100" b="1" baseline="0">
              <a:solidFill>
                <a:srgbClr val="FF0000"/>
              </a:solidFill>
              <a:effectLst/>
              <a:latin typeface="Times New Roman" panose="02020603050405020304" pitchFamily="18" charset="0"/>
              <a:ea typeface="+mn-ea"/>
              <a:cs typeface="Times New Roman" panose="02020603050405020304" pitchFamily="18" charset="0"/>
            </a:rPr>
            <a:t>Interpolator between either temperature or density is not intended since there is no practical method of interpolation the will produce the accuracy obtainable from the Stan­dard</a:t>
          </a:r>
          <a:r>
            <a:rPr lang="en-US" sz="1100" b="1" baseline="0">
              <a:solidFill>
                <a:schemeClr val="dk1"/>
              </a:solidFill>
              <a:effectLst/>
              <a:latin typeface="Times New Roman" panose="02020603050405020304" pitchFamily="18" charset="0"/>
              <a:ea typeface="+mn-ea"/>
              <a:cs typeface="Times New Roman" panose="02020603050405020304" pitchFamily="18" charset="0"/>
            </a:rPr>
            <a:t>.</a:t>
          </a:r>
        </a:p>
        <a:p>
          <a:pPr algn="ctr"/>
          <a:r>
            <a:rPr lang="en-US" sz="1100" baseline="0">
              <a:solidFill>
                <a:schemeClr val="dk1"/>
              </a:solidFill>
              <a:effectLst/>
              <a:latin typeface="Times New Roman" panose="02020603050405020304" pitchFamily="18" charset="0"/>
              <a:ea typeface="+mn-ea"/>
              <a:cs typeface="Times New Roman" panose="02020603050405020304" pitchFamily="18" charset="0"/>
            </a:rPr>
            <a:t>This table must be entered with a known den­sity at 15°C and with an observed temperature.</a:t>
          </a:r>
        </a:p>
        <a:p>
          <a:r>
            <a:rPr lang="en-US" sz="1100" baseline="0">
              <a:solidFill>
                <a:schemeClr val="dk1"/>
              </a:solidFill>
              <a:effectLst/>
              <a:latin typeface="Times New Roman" panose="02020603050405020304" pitchFamily="18" charset="0"/>
              <a:ea typeface="+mn-ea"/>
              <a:cs typeface="Times New Roman" panose="02020603050405020304" pitchFamily="18" charset="0"/>
            </a:rPr>
            <a:t> </a:t>
          </a:r>
        </a:p>
        <a:p>
          <a:pPr marL="0" indent="0"/>
          <a:r>
            <a:rPr lang="en-US" sz="1050" b="1">
              <a:solidFill>
                <a:schemeClr val="dk1"/>
              </a:solidFill>
              <a:effectLst/>
              <a:latin typeface="Arial" panose="020B0604020202020204" pitchFamily="34" charset="0"/>
              <a:ea typeface="+mn-ea"/>
              <a:cs typeface="Arial" panose="020B0604020202020204" pitchFamily="34" charset="0"/>
            </a:rPr>
            <a:t>Example</a:t>
          </a:r>
        </a:p>
        <a:p>
          <a:r>
            <a:rPr lang="en-US" sz="1100" baseline="0">
              <a:solidFill>
                <a:schemeClr val="dk1"/>
              </a:solidFill>
              <a:effectLst/>
              <a:latin typeface="Times New Roman" panose="02020603050405020304" pitchFamily="18" charset="0"/>
              <a:ea typeface="+mn-ea"/>
              <a:cs typeface="Times New Roman" panose="02020603050405020304" pitchFamily="18" charset="0"/>
            </a:rPr>
            <a:t>What is the volume at 15°C of 54 680 cubic meters 30°C of a heating oil the density of which at 15°C at 845.7 kg/m3?</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1. Enter the table with the column headed “Density 15°C” at 846 kg/m3. Note that against observer “Temperature” at 30°C the volume correction factor 0.9875.</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2. Hence one liter of oil having a density of 846.0 kg/m at 15°C and measured at 30°C occupies a volume 0.9875 m3.</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3. Then 54 680 m3 measured at 30°C occupies a volume at 15°C of</a:t>
          </a:r>
        </a:p>
        <a:p>
          <a:pPr algn="ctr"/>
          <a:r>
            <a:rPr lang="en-US" sz="1100" baseline="0">
              <a:solidFill>
                <a:schemeClr val="dk1"/>
              </a:solidFill>
              <a:effectLst/>
              <a:latin typeface="Times New Roman" panose="02020603050405020304" pitchFamily="18" charset="0"/>
              <a:ea typeface="+mn-ea"/>
              <a:cs typeface="Times New Roman" panose="02020603050405020304" pitchFamily="18" charset="0"/>
            </a:rPr>
            <a:t>54 680 * 0.9875 = 53 996.5</a:t>
          </a:r>
        </a:p>
        <a:p>
          <a:pPr algn="ctr"/>
          <a:r>
            <a:rPr lang="en-US" sz="1100" baseline="0">
              <a:solidFill>
                <a:schemeClr val="dk1"/>
              </a:solidFill>
              <a:effectLst/>
              <a:latin typeface="Times New Roman" panose="02020603050405020304" pitchFamily="18" charset="0"/>
              <a:ea typeface="+mn-ea"/>
              <a:cs typeface="Times New Roman" panose="02020603050405020304" pitchFamily="18" charset="0"/>
            </a:rPr>
            <a:t>or</a:t>
          </a:r>
        </a:p>
        <a:p>
          <a:pPr algn="ctr"/>
          <a:r>
            <a:rPr lang="en-US" sz="1100" baseline="0">
              <a:solidFill>
                <a:schemeClr val="dk1"/>
              </a:solidFill>
              <a:effectLst/>
              <a:latin typeface="Times New Roman" panose="02020603050405020304" pitchFamily="18" charset="0"/>
              <a:ea typeface="+mn-ea"/>
              <a:cs typeface="Times New Roman" panose="02020603050405020304" pitchFamily="18" charset="0"/>
            </a:rPr>
            <a:t>53 997 net cubic meters.</a:t>
          </a:r>
        </a:p>
        <a:p>
          <a:pPr lvl="0"/>
          <a:r>
            <a:rPr lang="en-US" sz="1100" baseline="0">
              <a:solidFill>
                <a:schemeClr val="dk1"/>
              </a:solidFill>
              <a:effectLst/>
              <a:latin typeface="Times New Roman" panose="02020603050405020304" pitchFamily="18" charset="0"/>
              <a:ea typeface="+mn-ea"/>
              <a:cs typeface="Times New Roman" panose="02020603050405020304" pitchFamily="18" charset="0"/>
            </a:rPr>
            <a:t>4. </a:t>
          </a:r>
          <a:r>
            <a:rPr lang="en-US" sz="1100" b="1" baseline="0">
              <a:solidFill>
                <a:srgbClr val="FF0000"/>
              </a:solidFill>
              <a:effectLst/>
              <a:latin typeface="Times New Roman" panose="02020603050405020304" pitchFamily="18" charset="0"/>
              <a:ea typeface="+mn-ea"/>
              <a:cs typeface="Times New Roman" panose="02020603050405020304" pitchFamily="18" charset="0"/>
            </a:rPr>
            <a:t>Note that interpolation is not used</a:t>
          </a:r>
          <a:r>
            <a:rPr lang="en-US" sz="1100" baseline="0">
              <a:solidFill>
                <a:schemeClr val="dk1"/>
              </a:solidFill>
              <a:effectLst/>
              <a:latin typeface="Times New Roman" panose="02020603050405020304" pitchFamily="18" charset="0"/>
              <a:ea typeface="+mn-ea"/>
              <a:cs typeface="Times New Roman" panose="02020603050405020304" pitchFamily="18" charset="0"/>
            </a:rPr>
            <a:t>.</a:t>
          </a:r>
        </a:p>
        <a:p>
          <a:pPr algn="l"/>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l"/>
          <a:endParaRPr lang="en-US"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xdr:col>
      <xdr:colOff>887730</xdr:colOff>
      <xdr:row>23</xdr:row>
      <xdr:rowOff>0</xdr:rowOff>
    </xdr:from>
    <xdr:to>
      <xdr:col>1</xdr:col>
      <xdr:colOff>1564445</xdr:colOff>
      <xdr:row>25</xdr:row>
      <xdr:rowOff>234763</xdr:rowOff>
    </xdr:to>
    <xdr:pic>
      <xdr:nvPicPr>
        <xdr:cNvPr id="3" name="Рисунок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887730" y="6027420"/>
          <a:ext cx="676715" cy="7681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xdr:colOff>
      <xdr:row>3</xdr:row>
      <xdr:rowOff>11429</xdr:rowOff>
    </xdr:from>
    <xdr:to>
      <xdr:col>10</xdr:col>
      <xdr:colOff>691516</xdr:colOff>
      <xdr:row>247</xdr:row>
      <xdr:rowOff>15240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2767965" y="704849"/>
          <a:ext cx="7623811" cy="45312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r>
            <a:rPr lang="en-US" sz="900" b="1">
              <a:effectLst/>
              <a:latin typeface="Times New Roman" panose="02020603050405020304" pitchFamily="18" charset="0"/>
              <a:ea typeface="Times New Roman" panose="02020603050405020304" pitchFamily="18" charset="0"/>
            </a:rPr>
          </a:br>
          <a:r>
            <a:rPr lang="en-US" sz="1100" b="1">
              <a:solidFill>
                <a:schemeClr val="dk1"/>
              </a:solidFill>
              <a:effectLst/>
              <a:latin typeface="+mn-lt"/>
              <a:ea typeface="+mn-ea"/>
              <a:cs typeface="Times New Roman" panose="02020603050405020304" pitchFamily="18" charset="0"/>
            </a:rPr>
            <a:t>TABLE 3</a:t>
          </a:r>
          <a:endParaRPr lang="ru-RU" sz="1100" b="1">
            <a:solidFill>
              <a:schemeClr val="dk1"/>
            </a:solidFill>
            <a:effectLst/>
            <a:latin typeface="+mn-lt"/>
            <a:ea typeface="+mn-ea"/>
            <a:cs typeface="Times New Roman" panose="02020603050405020304" pitchFamily="18" charset="0"/>
          </a:endParaRPr>
        </a:p>
        <a:p>
          <a:pPr algn="ctr"/>
          <a:r>
            <a:rPr lang="en-US" sz="1100">
              <a:solidFill>
                <a:schemeClr val="dk1"/>
              </a:solidFill>
              <a:effectLst/>
              <a:latin typeface="+mn-lt"/>
              <a:ea typeface="+mn-ea"/>
              <a:cs typeface="Times New Roman" panose="02020603050405020304" pitchFamily="18" charset="0"/>
            </a:rPr>
            <a:t>API GRAVITY AT 60°F TO RELATIVE DENSITY 60/60°F</a:t>
          </a:r>
          <a:br>
            <a:rPr lang="en-US" sz="1100">
              <a:solidFill>
                <a:schemeClr val="dk1"/>
              </a:solidFill>
              <a:effectLst/>
              <a:latin typeface="+mn-lt"/>
              <a:ea typeface="+mn-ea"/>
              <a:cs typeface="Times New Roman" panose="02020603050405020304" pitchFamily="18" charset="0"/>
            </a:rPr>
          </a:br>
          <a:r>
            <a:rPr lang="en-US" sz="1100">
              <a:solidFill>
                <a:schemeClr val="dk1"/>
              </a:solidFill>
              <a:effectLst/>
              <a:latin typeface="+mn-lt"/>
              <a:ea typeface="+mn-ea"/>
              <a:cs typeface="Times New Roman" panose="02020603050405020304" pitchFamily="18" charset="0"/>
            </a:rPr>
            <a:t>AND TO DENSITY AT 15°C</a:t>
          </a:r>
          <a:endParaRPr lang="ru-RU" sz="1100">
            <a:solidFill>
              <a:schemeClr val="dk1"/>
            </a:solidFill>
            <a:effectLst/>
            <a:latin typeface="+mn-lt"/>
            <a:ea typeface="+mn-ea"/>
            <a:cs typeface="Times New Roman" panose="02020603050405020304" pitchFamily="18" charset="0"/>
          </a:endParaRPr>
        </a:p>
        <a:p>
          <a:pPr algn="ctr"/>
          <a:r>
            <a:rPr lang="en-US" sz="1100">
              <a:solidFill>
                <a:schemeClr val="dk1"/>
              </a:solidFill>
              <a:effectLst/>
              <a:latin typeface="+mn-lt"/>
              <a:ea typeface="+mn-ea"/>
              <a:cs typeface="Times New Roman" panose="02020603050405020304" pitchFamily="18" charset="0"/>
            </a:rPr>
            <a:t>(Density in this table is mass per unit volume at 15°C expressed in kilograms per cubic metre)</a:t>
          </a:r>
          <a:endParaRPr lang="ru-RU" sz="1100">
            <a:solidFill>
              <a:schemeClr val="dk1"/>
            </a:solidFill>
            <a:effectLst/>
            <a:latin typeface="+mn-lt"/>
            <a:ea typeface="+mn-ea"/>
            <a:cs typeface="Times New Roman" panose="02020603050405020304" pitchFamily="18" charset="0"/>
          </a:endParaRPr>
        </a:p>
        <a:p>
          <a:endParaRPr lang="en-US" sz="1100">
            <a:solidFill>
              <a:schemeClr val="dk1"/>
            </a:solidFill>
            <a:effectLst/>
            <a:latin typeface="+mn-lt"/>
            <a:ea typeface="+mn-ea"/>
            <a:cs typeface="Times New Roman" panose="02020603050405020304" pitchFamily="18" charset="0"/>
          </a:endParaRPr>
        </a:p>
        <a:p>
          <a:r>
            <a:rPr lang="en-US" sz="1100">
              <a:solidFill>
                <a:schemeClr val="dk1"/>
              </a:solidFill>
              <a:effectLst/>
              <a:latin typeface="+mn-lt"/>
              <a:ea typeface="+mn-ea"/>
              <a:cs typeface="Times New Roman" panose="02020603050405020304" pitchFamily="18" charset="0"/>
            </a:rPr>
            <a:t>This table gives the values for relative density 60/ 60°F and density at 15°C equivalent to values of API gravity at 60°F in the range from 0 to 85°API. The relation between API gravity and relative density is purely mathematical and is given by the following equation:</a:t>
          </a:r>
          <a:endParaRPr lang="ru-RU" sz="1100">
            <a:solidFill>
              <a:schemeClr val="dk1"/>
            </a:solidFill>
            <a:effectLst/>
            <a:latin typeface="+mn-lt"/>
            <a:ea typeface="+mn-ea"/>
            <a:cs typeface="Times New Roman" panose="02020603050405020304" pitchFamily="18" charset="0"/>
          </a:endParaRPr>
        </a:p>
        <a:p>
          <a:r>
            <a:rPr lang="en-US" sz="1100" b="1">
              <a:solidFill>
                <a:schemeClr val="dk1"/>
              </a:solidFill>
              <a:effectLst/>
              <a:latin typeface="+mn-lt"/>
              <a:ea typeface="+mn-ea"/>
              <a:cs typeface="+mn-cs"/>
            </a:rPr>
            <a:t>		</a:t>
          </a:r>
          <a:r>
            <a:rPr lang="en-US" sz="1100" b="0">
              <a:solidFill>
                <a:schemeClr val="dk1"/>
              </a:solidFill>
              <a:effectLst/>
              <a:latin typeface="+mn-lt"/>
              <a:ea typeface="+mn-ea"/>
              <a:cs typeface="+mn-cs"/>
            </a:rPr>
            <a:t>		141.5</a:t>
          </a:r>
          <a:endParaRPr lang="ru-RU" sz="1100" b="0">
            <a:solidFill>
              <a:schemeClr val="dk1"/>
            </a:solidFill>
            <a:effectLst/>
            <a:latin typeface="+mn-lt"/>
            <a:ea typeface="+mn-ea"/>
            <a:cs typeface="+mn-cs"/>
          </a:endParaRPr>
        </a:p>
        <a:p>
          <a:r>
            <a:rPr lang="en-US" sz="1100" b="0">
              <a:solidFill>
                <a:schemeClr val="dk1"/>
              </a:solidFill>
              <a:effectLst/>
              <a:latin typeface="+mn-lt"/>
              <a:ea typeface="+mn-ea"/>
              <a:cs typeface="+mn-cs"/>
            </a:rPr>
            <a:t>		API gravity at 60°F =  ---------------------------------- 	</a:t>
          </a:r>
          <a:r>
            <a:rPr lang="ru-RU" sz="1100" b="0">
              <a:solidFill>
                <a:schemeClr val="dk1"/>
              </a:solidFill>
              <a:effectLst/>
              <a:latin typeface="+mn-lt"/>
              <a:ea typeface="+mn-ea"/>
              <a:cs typeface="+mn-cs"/>
            </a:rPr>
            <a:t> — </a:t>
          </a:r>
          <a:r>
            <a:rPr lang="en-US" sz="1100" b="0">
              <a:solidFill>
                <a:schemeClr val="dk1"/>
              </a:solidFill>
              <a:effectLst/>
              <a:latin typeface="+mn-lt"/>
              <a:ea typeface="+mn-ea"/>
              <a:cs typeface="+mn-cs"/>
            </a:rPr>
            <a:t>131.5</a:t>
          </a:r>
          <a:endParaRPr lang="ru-RU" sz="1100" b="0">
            <a:solidFill>
              <a:schemeClr val="dk1"/>
            </a:solidFill>
            <a:effectLst/>
            <a:latin typeface="+mn-lt"/>
            <a:ea typeface="+mn-ea"/>
            <a:cs typeface="+mn-cs"/>
          </a:endParaRPr>
        </a:p>
        <a:p>
          <a:r>
            <a:rPr lang="en-US" sz="1100" b="0">
              <a:solidFill>
                <a:schemeClr val="dk1"/>
              </a:solidFill>
              <a:effectLst/>
              <a:latin typeface="+mn-lt"/>
              <a:ea typeface="+mn-ea"/>
              <a:cs typeface="+mn-cs"/>
            </a:rPr>
            <a:t>			            relative density 60/60°F</a:t>
          </a:r>
          <a:endParaRPr lang="ru-RU" sz="1100" b="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This table must be entered with API gravity at 60°F. It is emphasized that the equivalent density is at 15°C (59°F) and not at 60°F.</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What is the density at 15°C of an oil having a gravity of 62.15°API at 60°F?</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62.1°API and note that the equivalent density </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is .................................................................................................................	 730.7 kg/m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62.2°API and note that the equivalent density </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is ................................................................................................................. 	 730.3 kg/m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of 0.4 in density for an increase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0.10°API. Therefore, by simple proportion, an increase in API </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gravity from 62.1 to 62.15°API represents a decrease in density of </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0.5 x 0.4 or ..................................................................................................	 0.2</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the density of oil at 15°C is 730.7 - 0.2 or ...............................................	 730.5</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kg/m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t>
          </a:r>
        </a:p>
        <a:p>
          <a:pPr algn="ctr"/>
          <a:br>
            <a:rPr lang="en-US" sz="1100" b="1">
              <a:solidFill>
                <a:schemeClr val="dk1"/>
              </a:solidFill>
              <a:effectLst/>
              <a:latin typeface="+mn-lt"/>
              <a:ea typeface="+mn-ea"/>
              <a:cs typeface="+mn-cs"/>
            </a:rPr>
          </a:br>
          <a:r>
            <a:rPr lang="en-US" sz="1100" b="1">
              <a:solidFill>
                <a:schemeClr val="dk1"/>
              </a:solidFill>
              <a:effectLst/>
              <a:latin typeface="+mn-lt"/>
              <a:ea typeface="+mn-ea"/>
              <a:cs typeface="+mn-cs"/>
            </a:rPr>
            <a:t>TABLE 4</a:t>
          </a:r>
          <a:endParaRPr lang="ru-RU" sz="1100">
            <a:solidFill>
              <a:schemeClr val="dk1"/>
            </a:solidFill>
            <a:effectLst/>
            <a:latin typeface="+mn-lt"/>
            <a:ea typeface="+mn-ea"/>
            <a:cs typeface="+mn-cs"/>
          </a:endParaRPr>
        </a:p>
        <a:p>
          <a:pPr algn="ctr"/>
          <a:r>
            <a:rPr lang="en-US" sz="1100">
              <a:solidFill>
                <a:schemeClr val="dk1"/>
              </a:solidFill>
              <a:effectLst/>
              <a:latin typeface="+mn-lt"/>
              <a:ea typeface="+mn-ea"/>
              <a:cs typeface="+mn-cs"/>
            </a:rPr>
            <a:t>U.S. GALLONS AT 60°F AND BARRELS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TO LITRES AT 15°C</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number of litres at 15°C equivalent to 1 U.S. gal of oil and to one barrel (42 U.S. gal) of oil, both at 60°F, in the range 0 to 85°API.</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API gravity at 60°F. It is emphasized that the equivalent volume is at 15°C (59°F) </a:t>
          </a:r>
        </a:p>
        <a:p>
          <a:pPr algn="ctr"/>
          <a:r>
            <a:rPr lang="en-US" sz="1100" b="1">
              <a:solidFill>
                <a:schemeClr val="dk1"/>
              </a:solidFill>
              <a:effectLst/>
              <a:latin typeface="+mn-lt"/>
              <a:ea typeface="+mn-ea"/>
              <a:cs typeface="+mn-cs"/>
            </a:rPr>
            <a:t>and not at 60°F.</a:t>
          </a:r>
          <a:endParaRPr lang="ru-RU" sz="1100" b="1">
            <a:solidFill>
              <a:schemeClr val="dk1"/>
            </a:solidFill>
            <a:effectLst/>
            <a:latin typeface="+mn-lt"/>
            <a:ea typeface="+mn-ea"/>
            <a:cs typeface="+mn-cs"/>
          </a:endParaRPr>
        </a:p>
        <a:p>
          <a:pPr algn="ctr"/>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A volume of oil having an API gravity of 22.23 at 60°F is shown as 129 063 U.S. gal at 60°F. </a:t>
          </a:r>
        </a:p>
        <a:p>
          <a:r>
            <a:rPr lang="en-US" sz="1100">
              <a:solidFill>
                <a:schemeClr val="dk1"/>
              </a:solidFill>
              <a:effectLst/>
              <a:latin typeface="+mn-lt"/>
              <a:ea typeface="+mn-ea"/>
              <a:cs typeface="+mn-cs"/>
            </a:rPr>
            <a:t>What is the volume in litres at 15°C?</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in the gravity range 21.2 to 28.6°API, which </a:t>
          </a:r>
        </a:p>
        <a:p>
          <a:r>
            <a:rPr lang="en-US" sz="1100" b="1">
              <a:solidFill>
                <a:schemeClr val="dk1"/>
              </a:solidFill>
              <a:effectLst/>
              <a:latin typeface="+mn-lt"/>
              <a:ea typeface="+mn-ea"/>
              <a:cs typeface="+mn-cs"/>
            </a:rPr>
            <a:t>	    includes the value 22.23 and note that 1 U.S. gal at 60°F is </a:t>
          </a:r>
        </a:p>
        <a:p>
          <a:r>
            <a:rPr lang="en-US" sz="1100" b="1">
              <a:solidFill>
                <a:schemeClr val="dk1"/>
              </a:solidFill>
              <a:effectLst/>
              <a:latin typeface="+mn-lt"/>
              <a:ea typeface="+mn-ea"/>
              <a:cs typeface="+mn-cs"/>
            </a:rPr>
            <a:t>	    equivalent to ...............................................................................................	 3.7838 L at 15°C</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129 063 U.S. gal of this oil have an equivalent volume at </a:t>
          </a:r>
        </a:p>
        <a:p>
          <a:r>
            <a:rPr lang="en-US" sz="1100" b="1">
              <a:solidFill>
                <a:schemeClr val="dk1"/>
              </a:solidFill>
              <a:effectLst/>
              <a:latin typeface="+mn-lt"/>
              <a:ea typeface="+mn-ea"/>
              <a:cs typeface="+mn-cs"/>
            </a:rPr>
            <a:t>	    15°C of 129 063 x 3.7838 or .........................................................................	 488 349 L</a:t>
          </a:r>
          <a:endParaRPr lang="ru-RU"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a:t>
          </a:r>
          <a:endParaRPr lang="ru-RU" b="1">
            <a:effectLst/>
          </a:endParaRPr>
        </a:p>
        <a:p>
          <a:pPr algn="ctr"/>
          <a:br>
            <a:rPr lang="en-US" sz="1100" b="1">
              <a:solidFill>
                <a:schemeClr val="dk1"/>
              </a:solidFill>
              <a:effectLst/>
              <a:latin typeface="+mn-lt"/>
              <a:ea typeface="+mn-ea"/>
              <a:cs typeface="+mn-cs"/>
            </a:rPr>
          </a:br>
          <a:r>
            <a:rPr lang="en-US" sz="1100" b="1">
              <a:solidFill>
                <a:schemeClr val="dk1"/>
              </a:solidFill>
              <a:effectLst/>
              <a:latin typeface="+mn-lt"/>
              <a:ea typeface="+mn-ea"/>
              <a:cs typeface="+mn-cs"/>
            </a:rPr>
            <a:t>TABLE 8</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POUNDS PER U.S. GALLON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U.S. GALLONS AT 60°F PER POUND</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a:t>
          </a:r>
          <a:r>
            <a:rPr lang="en-GB" sz="1100">
              <a:solidFill>
                <a:schemeClr val="dk1"/>
              </a:solidFill>
              <a:effectLst/>
              <a:latin typeface="+mn-lt"/>
              <a:ea typeface="+mn-ea"/>
              <a:cs typeface="+mn-cs"/>
            </a:rPr>
            <a:t>0</a:t>
          </a:r>
          <a:r>
            <a:rPr lang="en-US" sz="1100">
              <a:solidFill>
                <a:schemeClr val="dk1"/>
              </a:solidFill>
              <a:effectLst/>
              <a:latin typeface="+mn-lt"/>
              <a:ea typeface="+mn-ea"/>
              <a:cs typeface="+mn-cs"/>
            </a:rPr>
            <a:t>°F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 in pounds in air of 1 U.S. gal of oil at 60°F and the volume in U.S. gallons at 60°F occupied by 1 lb of oil, for values of API gravity at 60°F in the range 0 to 85°API. This table is intended for use in dealing with relatively small quantities of oil.</a:t>
          </a:r>
          <a:endParaRPr lang="ru-RU" sz="1100">
            <a:solidFill>
              <a:schemeClr val="dk1"/>
            </a:solidFill>
            <a:effectLst/>
            <a:latin typeface="+mn-lt"/>
            <a:ea typeface="+mn-ea"/>
            <a:cs typeface="+mn-cs"/>
          </a:endParaRPr>
        </a:p>
        <a:p>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This table must be entered with API gravity at 60°F. If the volume has been measured at some other temperature the equivalent volume at 60°F must first be found from Table 6.</a:t>
          </a:r>
          <a:endParaRPr lang="ru-RU" sz="1100">
            <a:solidFill>
              <a:schemeClr val="dk1"/>
            </a:solidFill>
            <a:effectLst/>
            <a:latin typeface="+mn-lt"/>
            <a:ea typeface="+mn-ea"/>
            <a:cs typeface="+mn-cs"/>
          </a:endParaRPr>
        </a:p>
        <a:p>
          <a:endParaRPr lang="ru-RU"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EXAMPLES</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1. It is desired to fill drums with exactly 42 U.S. gal of oil measured at 60°F using a weight-filling machine. If the gravity of the oil is 26.29°AP</a:t>
          </a:r>
          <a:r>
            <a:rPr lang="en-GB" sz="1100">
              <a:solidFill>
                <a:schemeClr val="dk1"/>
              </a:solidFill>
              <a:effectLst/>
              <a:latin typeface="+mn-lt"/>
              <a:ea typeface="+mn-ea"/>
              <a:cs typeface="+mn-cs"/>
            </a:rPr>
            <a:t>I</a:t>
          </a:r>
          <a:r>
            <a:rPr lang="en-US" sz="1100">
              <a:solidFill>
                <a:schemeClr val="dk1"/>
              </a:solidFill>
              <a:effectLst/>
              <a:latin typeface="+mn-lt"/>
              <a:ea typeface="+mn-ea"/>
              <a:cs typeface="+mn-cs"/>
            </a:rPr>
            <a:t> at 60°F what weight should be set on the scale of the machine?</a:t>
          </a:r>
          <a:endParaRPr lang="ru-RU" sz="1100">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Enter the table with 26.2°API and note that the weight of 1 U.S. </a:t>
          </a:r>
        </a:p>
        <a:p>
          <a:r>
            <a:rPr lang="en-US" sz="1100" b="1">
              <a:solidFill>
                <a:schemeClr val="dk1"/>
              </a:solidFill>
              <a:effectLst/>
              <a:latin typeface="+mn-lt"/>
              <a:ea typeface="+mn-ea"/>
              <a:cs typeface="+mn-cs"/>
            </a:rPr>
            <a:t>	    gal is ............................................................................................................	7.472</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lb</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Likewise, enter the table with 26.3°API and note that the weight </a:t>
          </a:r>
        </a:p>
        <a:p>
          <a:r>
            <a:rPr lang="en-US" sz="1100" b="1">
              <a:solidFill>
                <a:schemeClr val="dk1"/>
              </a:solidFill>
              <a:effectLst/>
              <a:latin typeface="+mn-lt"/>
              <a:ea typeface="+mn-ea"/>
              <a:cs typeface="+mn-cs"/>
            </a:rPr>
            <a:t>	    of 1 U.S. gal is ..............................................................................................	7.467</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lb</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This represents a decrease in weight of 0.005 lb for an increase of</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GB" sz="1100" b="1">
              <a:solidFill>
                <a:schemeClr val="dk1"/>
              </a:solidFill>
              <a:effectLst/>
              <a:latin typeface="+mn-lt"/>
              <a:ea typeface="+mn-ea"/>
              <a:cs typeface="+mn-cs"/>
            </a:rPr>
            <a:t>    </a:t>
          </a:r>
          <a:r>
            <a:rPr lang="en-US" sz="1100" b="1">
              <a:solidFill>
                <a:schemeClr val="dk1"/>
              </a:solidFill>
              <a:effectLst/>
              <a:latin typeface="+mn-lt"/>
              <a:ea typeface="+mn-ea"/>
              <a:cs typeface="+mn-cs"/>
            </a:rPr>
            <a:t>0.10°API. Therefore, by simple proportion, an increase in</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GB" sz="1100" b="1">
              <a:solidFill>
                <a:schemeClr val="dk1"/>
              </a:solidFill>
              <a:effectLst/>
              <a:latin typeface="+mn-lt"/>
              <a:ea typeface="+mn-ea"/>
              <a:cs typeface="+mn-cs"/>
            </a:rPr>
            <a:t>    </a:t>
          </a:r>
          <a:r>
            <a:rPr lang="en-US" sz="1100" b="1">
              <a:solidFill>
                <a:schemeClr val="dk1"/>
              </a:solidFill>
              <a:effectLst/>
              <a:latin typeface="+mn-lt"/>
              <a:ea typeface="+mn-ea"/>
              <a:cs typeface="+mn-cs"/>
            </a:rPr>
            <a:t>gravity from 26.2 to 26.29°API decreases the weight of one U.S. </a:t>
          </a:r>
        </a:p>
        <a:p>
          <a:r>
            <a:rPr lang="en-US" sz="1100" b="1">
              <a:solidFill>
                <a:schemeClr val="dk1"/>
              </a:solidFill>
              <a:effectLst/>
              <a:latin typeface="+mn-lt"/>
              <a:ea typeface="+mn-ea"/>
              <a:cs typeface="+mn-cs"/>
            </a:rPr>
            <a:t>	    gal by 0.9 x 0.005 or .....................................................................................	0.004</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lb</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Hence, 1 U.S. gal of oil having an API gravity of 26.29 at 60°F </a:t>
          </a:r>
        </a:p>
        <a:p>
          <a:r>
            <a:rPr lang="en-US" sz="1100" b="1">
              <a:solidFill>
                <a:schemeClr val="dk1"/>
              </a:solidFill>
              <a:effectLst/>
              <a:latin typeface="+mn-lt"/>
              <a:ea typeface="+mn-ea"/>
              <a:cs typeface="+mn-cs"/>
            </a:rPr>
            <a:t>	    weighs 7.472 - 0.004 or ................................................................................	7.468</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lb</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Then, 42 U.S. gal of the oil at 60°F weigh 42 x 7.468 or ....................................	313.66 lb</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The weight to be set on the filling machine is therefore .................................. 	313 lb, 1036 oz</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(16 oz/lb x 0.66 = 10.56 which rounds to 1016 oz)</a:t>
          </a:r>
          <a:endParaRPr lang="ru-RU"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2. A quantity of oil having a gravity of 18.86°API at 60°F has been invoiced as 342 lb. </a:t>
          </a:r>
        </a:p>
        <a:p>
          <a:r>
            <a:rPr lang="en-US" sz="1100">
              <a:solidFill>
                <a:schemeClr val="dk1"/>
              </a:solidFill>
              <a:effectLst/>
              <a:latin typeface="+mn-lt"/>
              <a:ea typeface="+mn-ea"/>
              <a:cs typeface="+mn-cs"/>
            </a:rPr>
            <a:t>     What is the volume in U.S. gallons at 60°F?</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18.8°API and note that the volume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occupied by 1 lb is .......................................................................................	0.12755 U.S. gal</a:t>
          </a:r>
          <a:endParaRPr lang="ru-RU" sz="1100" b="1">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Likewise, enter the table with 18.9°API and note that the </a:t>
          </a:r>
        </a:p>
        <a:p>
          <a:r>
            <a:rPr lang="en-US" sz="1100" b="1">
              <a:solidFill>
                <a:schemeClr val="dk1"/>
              </a:solidFill>
              <a:effectLst/>
              <a:latin typeface="+mn-lt"/>
              <a:ea typeface="+mn-ea"/>
              <a:cs typeface="+mn-cs"/>
            </a:rPr>
            <a:t>	    volume occupied by 1 lb is ..........................................................................	0.12764 U.S. gal</a:t>
          </a:r>
        </a:p>
        <a:p>
          <a:r>
            <a:rPr lang="en-US" sz="1100" b="1">
              <a:solidFill>
                <a:schemeClr val="dk1"/>
              </a:solidFill>
              <a:effectLst/>
              <a:latin typeface="+mn-lt"/>
              <a:ea typeface="+mn-ea"/>
              <a:cs typeface="+mn-cs"/>
            </a:rPr>
            <a:t>	This represents an increase in volume of 0.00009 U.S. gal for </a:t>
          </a:r>
        </a:p>
        <a:p>
          <a:r>
            <a:rPr lang="en-US" sz="1100" b="1">
              <a:solidFill>
                <a:schemeClr val="dk1"/>
              </a:solidFill>
              <a:effectLst/>
              <a:latin typeface="+mn-lt"/>
              <a:ea typeface="+mn-ea"/>
              <a:cs typeface="+mn-cs"/>
            </a:rPr>
            <a:t>	    an increase of 0.10°API. Therefore, by simple proportion, an</a:t>
          </a:r>
          <a:endParaRPr lang="ru-RU" sz="1100" b="1">
            <a:solidFill>
              <a:schemeClr val="dk1"/>
            </a:solidFill>
            <a:effectLst/>
            <a:latin typeface="+mn-lt"/>
            <a:ea typeface="+mn-ea"/>
            <a:cs typeface="+mn-cs"/>
          </a:endParaRPr>
        </a:p>
        <a:p>
          <a:r>
            <a:rPr lang="ru-RU">
              <a:effectLst/>
            </a:rPr>
            <a:t> </a:t>
          </a:r>
          <a:r>
            <a:rPr lang="en-GB">
              <a:effectLst/>
            </a:rPr>
            <a:t>	    </a:t>
          </a:r>
          <a:r>
            <a:rPr lang="en-US" sz="1100" b="1">
              <a:solidFill>
                <a:schemeClr val="dk1"/>
              </a:solidFill>
              <a:effectLst/>
              <a:latin typeface="+mn-lt"/>
              <a:ea typeface="+mn-ea"/>
              <a:cs typeface="+mn-cs"/>
            </a:rPr>
            <a:t>increase in gravity from 18.8 to 18.86°API increases the </a:t>
          </a:r>
        </a:p>
        <a:p>
          <a:r>
            <a:rPr lang="en-US" sz="1100" b="1">
              <a:solidFill>
                <a:schemeClr val="dk1"/>
              </a:solidFill>
              <a:effectLst/>
              <a:latin typeface="+mn-lt"/>
              <a:ea typeface="+mn-ea"/>
              <a:cs typeface="+mn-cs"/>
            </a:rPr>
            <a:t>	    volume by 0.6 x 0.00009 or .......................................................................... 	0.00005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1 lb of oil having a gravity of 18.86°API at 60°F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occupies a volume of 0.12755 + 0.00005 or ..................................................	0.12760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342 lb of this oil at 60°F occupy a volume </a:t>
          </a:r>
        </a:p>
        <a:p>
          <a:r>
            <a:rPr lang="en-US" sz="1100" b="1">
              <a:solidFill>
                <a:schemeClr val="dk1"/>
              </a:solidFill>
              <a:effectLst/>
              <a:latin typeface="+mn-lt"/>
              <a:ea typeface="+mn-ea"/>
              <a:cs typeface="+mn-cs"/>
            </a:rPr>
            <a:t>	    of 342 x 0.12760 or ......................................................................................	43.64 U.S. gal</a:t>
          </a:r>
          <a:endParaRPr lang="ru-RU"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br>
            <a:rPr lang="en-US" sz="1100" b="1">
              <a:solidFill>
                <a:schemeClr val="dk1"/>
              </a:solidFill>
              <a:effectLst/>
              <a:latin typeface="+mn-lt"/>
              <a:ea typeface="+mn-ea"/>
              <a:cs typeface="+mn-cs"/>
            </a:rPr>
          </a:br>
          <a:r>
            <a:rPr lang="en-US" sz="1100" b="1">
              <a:solidFill>
                <a:schemeClr val="dk1"/>
              </a:solidFill>
              <a:effectLst/>
              <a:latin typeface="+mn-lt"/>
              <a:ea typeface="+mn-ea"/>
              <a:cs typeface="+mn-cs"/>
            </a:rPr>
            <a:t>=======================================================================================================</a:t>
          </a:r>
          <a:endParaRPr lang="ru-RU">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b="1">
              <a:solidFill>
                <a:schemeClr val="dk1"/>
              </a:solidFill>
              <a:effectLst/>
              <a:latin typeface="+mn-lt"/>
              <a:ea typeface="+mn-ea"/>
              <a:cs typeface="+mn-cs"/>
            </a:rPr>
            <a:t>TABLE 9</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SHORT TONS PER 1000 U.S. GALLONS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PER BARREL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 in short tons in air of 1000 U.S. gal of oil and one barrel (42 U.S. gal) of oil, both at 60°F for values of API gravity at 60°F in the range from 0 to 85°API.</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This table must be entered with API gravity at 60°F; if the volume has been measured at some other temperature, the equivalent volume at 60°F must first be found from TABLE 6.</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When corrected to the standard temperature of 60°F by means of TABLE 6, the volume of a quantity of oil is recorded as 5042 barrels. If the gravity of the oil is 64.53°API at 60°F, what is the weight in short tons?</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64.5°API and note that the weight of</a:t>
          </a:r>
          <a:r>
            <a:rPr lang="ru-RU" sz="1100" b="1">
              <a:solidFill>
                <a:schemeClr val="dk1"/>
              </a:solidFill>
              <a:effectLst/>
              <a:latin typeface="+mn-lt"/>
              <a:ea typeface="+mn-ea"/>
              <a:cs typeface="+mn-cs"/>
            </a:rPr>
            <a:t> </a:t>
          </a:r>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	    one barrel of oil at 60°F is ............................................................................	0.12620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64.6°API and note that the </a:t>
          </a:r>
        </a:p>
        <a:p>
          <a:r>
            <a:rPr lang="en-US" sz="1100" b="1">
              <a:solidFill>
                <a:schemeClr val="dk1"/>
              </a:solidFill>
              <a:effectLst/>
              <a:latin typeface="+mn-lt"/>
              <a:ea typeface="+mn-ea"/>
              <a:cs typeface="+mn-cs"/>
            </a:rPr>
            <a:t>	    weight of one barrel of oil at 60°F is ............................................................	0.12614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in weight of 0.00006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for an increase of 0.10°API. Therefore, by simply propor­tion, </a:t>
          </a:r>
        </a:p>
        <a:p>
          <a:r>
            <a:rPr lang="en-US" sz="1100" b="1">
              <a:solidFill>
                <a:schemeClr val="dk1"/>
              </a:solidFill>
              <a:effectLst/>
              <a:latin typeface="+mn-lt"/>
              <a:ea typeface="+mn-ea"/>
              <a:cs typeface="+mn-cs"/>
            </a:rPr>
            <a:t>	    an increase in gravity from 64.5°API to 64.53°API decreases the weight </a:t>
          </a:r>
        </a:p>
        <a:p>
          <a:r>
            <a:rPr lang="en-US" sz="1100" b="1">
              <a:solidFill>
                <a:schemeClr val="dk1"/>
              </a:solidFill>
              <a:effectLst/>
              <a:latin typeface="+mn-lt"/>
              <a:ea typeface="+mn-ea"/>
              <a:cs typeface="+mn-cs"/>
            </a:rPr>
            <a:t>	    by 0.3 x 0.00006 or ......................................................................................	 0.00002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barrel of oil at 60°F having a gravity of 64.53°F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API at 60°F weighs 0.12620 - 0.00002 or ......................................................	 0.12618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5042 barrels of this oil at 60°F weigh 5042 x 0.12618</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or ................................................................................................................ 	 636.20 short tons</a:t>
          </a:r>
          <a:endParaRPr lang="ru-RU" sz="1100" b="1">
            <a:solidFill>
              <a:schemeClr val="dk1"/>
            </a:solidFill>
            <a:effectLst/>
            <a:latin typeface="+mn-lt"/>
            <a:ea typeface="+mn-ea"/>
            <a:cs typeface="+mn-cs"/>
          </a:endParaRPr>
        </a:p>
        <a:p>
          <a:endParaRPr lang="ru-RU">
            <a:effectLst/>
          </a:endParaRPr>
        </a:p>
        <a:p>
          <a:r>
            <a:rPr lang="en-US" sz="1100" b="1">
              <a:solidFill>
                <a:schemeClr val="dk1"/>
              </a:solidFill>
              <a:effectLst/>
              <a:latin typeface="+mn-lt"/>
              <a:ea typeface="+mn-ea"/>
              <a:cs typeface="+mn-cs"/>
            </a:rPr>
            <a:t>=======================================================================================================</a:t>
          </a:r>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10</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U.S. GALLONS AT 60°F AND BARRELS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PER SHORT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volume in U.S. gallons and in barrels (42 U.S. gal), both at 60°F, which are occupied by one short ton of oil in air for values of API gravity at 60°F in the range 0 to 85°API.</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API gravity at 60°F.</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How many U.S. gallons are occupied by 1216.11 short tons of oil having a gravity of 32.63°API at 60°F?</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Enter the table with 32.6°API and note that the volume </a:t>
          </a:r>
        </a:p>
        <a:p>
          <a:r>
            <a:rPr lang="en-US" sz="1100" b="1">
              <a:solidFill>
                <a:schemeClr val="dk1"/>
              </a:solidFill>
              <a:effectLst/>
              <a:latin typeface="+mn-lt"/>
              <a:ea typeface="+mn-ea"/>
              <a:cs typeface="+mn-cs"/>
            </a:rPr>
            <a:t>	    occupied by one short ton is ........................................................................	278.56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32.7°API and note that the </a:t>
          </a:r>
        </a:p>
        <a:p>
          <a:r>
            <a:rPr lang="en-US" sz="1100" b="1">
              <a:solidFill>
                <a:schemeClr val="dk1"/>
              </a:solidFill>
              <a:effectLst/>
              <a:latin typeface="+mn-lt"/>
              <a:ea typeface="+mn-ea"/>
              <a:cs typeface="+mn-cs"/>
            </a:rPr>
            <a:t>	    volume occupied by one short ton is ...........................................................	 278.73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of 0.17 U.S. gal for an increase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0.10°API. Therefore, by simple proportion, an increase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gravity from 32.6°API to 32.63°API increases the volume by</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0.3x0.17 or ..................................................................................................	0.05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short ton of oil having a gravity of 32.63°API at</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60°F occupies a volume of 278.56 + 0.05 or .................................................	 278.61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1216.11 short tons of this oil at 60°F occupy a volume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1216.11 x 278.61 or …..................................................................................	  338 820 U.S. gal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11</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LONG TONS PER 1000 U.S. GALLONS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PER BARREL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 in long tons in air of 1000 U.S. gal of oil and of one barrel (42 U.S. gal) of oil, both at 60°F, for values of API gravity at 60°F in the range 0 to 85°API.</a:t>
          </a:r>
        </a:p>
        <a:p>
          <a:endParaRPr lang="ru-RU"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API gravity at 60°F; if the volume has been measured at some other temperature, the equivalent volume at 60°F must first be found from TABLE 6.</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When corrected to the standard temperature of 60°F by means of TABLE 6, the volume of a quantity of oil is 2 345 430 U.S. gal. If the gravity of the oil is 61.44°API at 60°F, what is the weight in long tons?</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61.4°API and note that the weight of</a:t>
          </a:r>
        </a:p>
        <a:p>
          <a:r>
            <a:rPr lang="en-US" sz="1100" b="1">
              <a:solidFill>
                <a:schemeClr val="dk1"/>
              </a:solidFill>
              <a:effectLst/>
              <a:latin typeface="+mn-lt"/>
              <a:ea typeface="+mn-ea"/>
              <a:cs typeface="+mn-cs"/>
            </a:rPr>
            <a:t>	    1000 U.S. gal is ............................................................................................	 2.7261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61.5°API and note that the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weight of 1 000 U.S. gal is ............................................................................	 2.7246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in weight of 0.0015 long tons for</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an increase of 0.10°API. Therefore, by simple proportion, </a:t>
          </a:r>
        </a:p>
        <a:p>
          <a:r>
            <a:rPr lang="en-US" sz="1100" b="1">
              <a:solidFill>
                <a:schemeClr val="dk1"/>
              </a:solidFill>
              <a:effectLst/>
              <a:latin typeface="+mn-lt"/>
              <a:ea typeface="+mn-ea"/>
              <a:cs typeface="+mn-cs"/>
            </a:rPr>
            <a:t>	    an increase in gravity from 61.4 to 61.44°API decreases the </a:t>
          </a:r>
        </a:p>
        <a:p>
          <a:r>
            <a:rPr lang="en-US" sz="1100" b="1">
              <a:solidFill>
                <a:schemeClr val="dk1"/>
              </a:solidFill>
              <a:effectLst/>
              <a:latin typeface="+mn-lt"/>
              <a:ea typeface="+mn-ea"/>
              <a:cs typeface="+mn-cs"/>
            </a:rPr>
            <a:t>	</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weight by 0.4 x 0.0015 or ............................................................................	 0.0006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1 000 U.S. gal of oil having a gravity of 61.44°API at </a:t>
          </a:r>
        </a:p>
        <a:p>
          <a:r>
            <a:rPr lang="en-US" sz="1100" b="1">
              <a:solidFill>
                <a:schemeClr val="dk1"/>
              </a:solidFill>
              <a:effectLst/>
              <a:latin typeface="+mn-lt"/>
              <a:ea typeface="+mn-ea"/>
              <a:cs typeface="+mn-cs"/>
            </a:rPr>
            <a:t>	    60°F weigh 2.7261 - 0.0006 or ......................................................................	 2.7255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2 345 430 U.S. gal of this oil at 60°F weigh 2 345.430</a:t>
          </a:r>
          <a:endParaRPr lang="ru-RU" sz="1100" b="1">
            <a:solidFill>
              <a:schemeClr val="dk1"/>
            </a:solidFill>
            <a:effectLst/>
            <a:latin typeface="+mn-lt"/>
            <a:ea typeface="+mn-ea"/>
            <a:cs typeface="+mn-cs"/>
          </a:endParaRPr>
        </a:p>
        <a:p>
          <a:r>
            <a:rPr lang="en-GB" sz="1100" b="1">
              <a:solidFill>
                <a:schemeClr val="dk1"/>
              </a:solidFill>
              <a:effectLst/>
              <a:latin typeface="+mn-lt"/>
              <a:ea typeface="+mn-ea"/>
              <a:cs typeface="+mn-cs"/>
            </a:rPr>
            <a:t>	   </a:t>
          </a:r>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x 2.7255 or ..................................................................................................	 6392.5 long tons</a:t>
          </a:r>
          <a:br>
            <a:rPr lang="ru-RU" sz="1100" b="1">
              <a:solidFill>
                <a:schemeClr val="dk1"/>
              </a:solidFill>
              <a:effectLst/>
              <a:latin typeface="+mn-lt"/>
              <a:ea typeface="+mn-ea"/>
              <a:cs typeface="+mn-cs"/>
            </a:rPr>
          </a:br>
          <a:endParaRPr lang="ru-RU"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a:t>
          </a:r>
          <a:endParaRPr lang="ru-RU">
            <a:effectLst/>
          </a:endParaRPr>
        </a:p>
        <a:p>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12</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U.S. GALLONS AT 60°F AND BARRELS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PER LONG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volumes in U.S. gallons and in barrels (42 U.S. gal) at 60°F, which are occupied by 1 long ton of oil in air for values of API gravity at 60°F in the range from 0 to 85°API.</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API gravity at 60°F.</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How many U.S. gallons are occupied by 1216.11 long tons of oil having a gravity of 32.63°API at 60°F?</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32.6°API and note that the volume occupied </a:t>
          </a:r>
        </a:p>
        <a:p>
          <a:r>
            <a:rPr lang="en-US" sz="1100" b="1">
              <a:solidFill>
                <a:schemeClr val="dk1"/>
              </a:solidFill>
              <a:effectLst/>
              <a:latin typeface="+mn-lt"/>
              <a:ea typeface="+mn-ea"/>
              <a:cs typeface="+mn-cs"/>
            </a:rPr>
            <a:t>	    by one long ton is ........................................................................................	311.98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32.7°API and note that the </a:t>
          </a:r>
        </a:p>
        <a:p>
          <a:r>
            <a:rPr lang="en-US" sz="1100" b="1">
              <a:solidFill>
                <a:schemeClr val="dk1"/>
              </a:solidFill>
              <a:effectLst/>
              <a:latin typeface="+mn-lt"/>
              <a:ea typeface="+mn-ea"/>
              <a:cs typeface="+mn-cs"/>
            </a:rPr>
            <a:t>	    volume occupied by one long ton is .............................................................	 312.17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of 0.19 U.S. gal for an increase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0.10°API. Therefore, by simple proportion, an increase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gravity from 32.6°API to 32.63°API increases the volume by</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0.3x0.19 or ..................................................................................................	 0.06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long ton of oil having a gravity of 32.63°API at 60°F </a:t>
          </a:r>
        </a:p>
        <a:p>
          <a:r>
            <a:rPr lang="en-US" sz="1100" b="1">
              <a:solidFill>
                <a:schemeClr val="dk1"/>
              </a:solidFill>
              <a:effectLst/>
              <a:latin typeface="+mn-lt"/>
              <a:ea typeface="+mn-ea"/>
              <a:cs typeface="+mn-cs"/>
            </a:rPr>
            <a:t>	    occupies a volume of 311.98 + 0.06 or .........................................................	 312.04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1216.11 long tons of this oil at 60°F occupy a volume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1216.11 x 312.04 or ........................................................................................	 378 475 U.S. gal</a:t>
          </a:r>
          <a:endParaRPr lang="ru-RU"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a:t>
          </a:r>
          <a:endParaRPr lang="ru-RU">
            <a:effectLst/>
          </a:endParaRPr>
        </a:p>
        <a:p>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13</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METRIC TONS (TONNES) PER 1000 U.S. GALLONS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PER BARREL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weights in metric tons (tonnes) in air of 1000 U.S. gal of oil and of barrels (42 U.S. gal) of oil, both at 60°F, for values of API gravity at 60°F in the range from 0 to 85°API.</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API gravity at 60°F; if the volume has been measured at some other temperature, the equivalent volume at 60°F must first be found from TABLE 6.</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When corrected to the standard temperature of 60°F by means of TABLE 6, the volume of a quantity of oil is found to be 1 973 205 U.S. gal. If the gravity of the oil is 61.61°API at 60°F, what is the weight in metric tons?</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61.6°API and note that the weight of</a:t>
          </a:r>
        </a:p>
        <a:p>
          <a:r>
            <a:rPr lang="en-US" sz="1100" b="1">
              <a:solidFill>
                <a:schemeClr val="dk1"/>
              </a:solidFill>
              <a:effectLst/>
              <a:latin typeface="+mn-lt"/>
              <a:ea typeface="+mn-ea"/>
              <a:cs typeface="+mn-cs"/>
            </a:rPr>
            <a:t>	    1000 U.S. gal is ............................................................................................	 2.7669 metric ton</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61.7°API and note that the </a:t>
          </a:r>
        </a:p>
        <a:p>
          <a:r>
            <a:rPr lang="en-US" sz="1100" b="1">
              <a:solidFill>
                <a:schemeClr val="dk1"/>
              </a:solidFill>
              <a:effectLst/>
              <a:latin typeface="+mn-lt"/>
              <a:ea typeface="+mn-ea"/>
              <a:cs typeface="+mn-cs"/>
            </a:rPr>
            <a:t>	    weight of 1000 U.S. gal is ............................................................................. 	 2.7655 metric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in weight of 0.0016 metric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for an increase of 0.10°API. Therefore, by simple pro­</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portion, an increase in gravity from 61.6° to 61.6ГАР1</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decreases the weight by 0.1 x 0.0016 or ......................................................	  0.0002 metric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1000 U.S. gal of oil having a gravity of 61.61°API </a:t>
          </a:r>
        </a:p>
        <a:p>
          <a:r>
            <a:rPr lang="en-US" sz="1100" b="1">
              <a:solidFill>
                <a:schemeClr val="dk1"/>
              </a:solidFill>
              <a:effectLst/>
              <a:latin typeface="+mn-lt"/>
              <a:ea typeface="+mn-ea"/>
              <a:cs typeface="+mn-cs"/>
            </a:rPr>
            <a:t>	    at 60°F weigh 2.7669 — 0.0002 or ...............................................................	 2.7667</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metric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1 973 205 U.S. gal of this oil at 60°F weigh 1 973.205</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x 2.7667 or ..................................................................................................	  5459.26 metric tons</a:t>
          </a:r>
          <a:endParaRPr lang="ru-RU"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a:t>
          </a:r>
          <a:endParaRPr lang="ru-RU">
            <a:effectLst/>
          </a:endParaRPr>
        </a:p>
        <a:p>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14</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CUBIC METRES AT 15°C PER SHORT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PER LONG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volume in cubic metres at 15°C which is occupied by one short ton and one long ton of oil in air for values of API gravity at 60°F in the range from 0 to 100°API.</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API gravity at 60°F. It is emphasized that the volumes are at 15°C (59°F) and not at 60°F.</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How many cubic metres at 15°C are occupied by 9341.76 short tons of oil having a gravity of 37.37°API at 60°F?</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37.3°API and note that the volume occupied </a:t>
          </a:r>
        </a:p>
        <a:p>
          <a:r>
            <a:rPr lang="en-US" sz="1100" b="1">
              <a:solidFill>
                <a:schemeClr val="dk1"/>
              </a:solidFill>
              <a:effectLst/>
              <a:latin typeface="+mn-lt"/>
              <a:ea typeface="+mn-ea"/>
              <a:cs typeface="+mn-cs"/>
            </a:rPr>
            <a:t>	    by one short ton of oil is ..............................................................................	 1.084 m3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37.4°API and note that the volume </a:t>
          </a:r>
        </a:p>
        <a:p>
          <a:r>
            <a:rPr lang="en-US" sz="1100" b="1">
              <a:solidFill>
                <a:schemeClr val="dk1"/>
              </a:solidFill>
              <a:effectLst/>
              <a:latin typeface="+mn-lt"/>
              <a:ea typeface="+mn-ea"/>
              <a:cs typeface="+mn-cs"/>
            </a:rPr>
            <a:t>	    occupied by one short ton is ........................................................................	 1.0848 m3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in volume of 0.0006 m3 for an increase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of 0.10°API. Therefore, by simple proportion, an increase in</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gravity from 37.3 to 37.37°API increases the volume by 0.7</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x 0.0006 or 0.0004 m3 .................................................................................	 0.0004 m3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short ton of oil having a gravity of 37.37°API at 60°F </a:t>
          </a:r>
        </a:p>
        <a:p>
          <a:r>
            <a:rPr lang="en-US" sz="1100" b="1">
              <a:solidFill>
                <a:schemeClr val="dk1"/>
              </a:solidFill>
              <a:effectLst/>
              <a:latin typeface="+mn-lt"/>
              <a:ea typeface="+mn-ea"/>
              <a:cs typeface="+mn-cs"/>
            </a:rPr>
            <a:t>	    occupies a volume of 1.0842 + 0.0004 ..........................................................	 1.0846 m3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9341.76 short tons of this oil occupy at 15°C a volume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9341.76 x 1.0846 or .....................................................................................	 10 132.073 m3</a:t>
          </a:r>
          <a:endParaRPr lang="ru-RU" sz="1100" b="1">
            <a:solidFill>
              <a:schemeClr val="dk1"/>
            </a:solidFill>
            <a:effectLst/>
            <a:latin typeface="+mn-lt"/>
            <a:ea typeface="+mn-ea"/>
            <a:cs typeface="+mn-cs"/>
          </a:endParaRPr>
        </a:p>
        <a:p>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endParaRPr lang="en-US"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xdr:col>
      <xdr:colOff>887730</xdr:colOff>
      <xdr:row>23</xdr:row>
      <xdr:rowOff>0</xdr:rowOff>
    </xdr:from>
    <xdr:to>
      <xdr:col>1</xdr:col>
      <xdr:colOff>1564445</xdr:colOff>
      <xdr:row>25</xdr:row>
      <xdr:rowOff>234763</xdr:rowOff>
    </xdr:to>
    <xdr:pic>
      <xdr:nvPicPr>
        <xdr:cNvPr id="3" name="Рисунок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887730" y="5722620"/>
          <a:ext cx="676715" cy="7681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xdr:colOff>
      <xdr:row>3</xdr:row>
      <xdr:rowOff>11429</xdr:rowOff>
    </xdr:from>
    <xdr:to>
      <xdr:col>10</xdr:col>
      <xdr:colOff>691516</xdr:colOff>
      <xdr:row>328</xdr:row>
      <xdr:rowOff>121920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767965" y="704849"/>
          <a:ext cx="7623811" cy="58997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r>
            <a:rPr lang="en-US" sz="1100" b="1">
              <a:effectLst/>
              <a:latin typeface="+mn-lt"/>
              <a:ea typeface="Times New Roman" panose="02020603050405020304" pitchFamily="18" charset="0"/>
            </a:rPr>
          </a:br>
          <a:r>
            <a:rPr lang="en-US" sz="1100" b="1">
              <a:solidFill>
                <a:schemeClr val="dk1"/>
              </a:solidFill>
              <a:effectLst/>
              <a:latin typeface="+mn-lt"/>
              <a:ea typeface="+mn-ea"/>
              <a:cs typeface="+mn-cs"/>
            </a:rPr>
            <a:t>TABLE 21</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RELATIVE DENSITY 60/60°F TO API GRAVITY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TO DENSITY AT 15°F</a:t>
          </a:r>
          <a:endParaRPr lang="ru-RU" sz="1100">
            <a:solidFill>
              <a:schemeClr val="dk1"/>
            </a:solidFill>
            <a:effectLst/>
            <a:latin typeface="+mn-lt"/>
            <a:ea typeface="+mn-ea"/>
            <a:cs typeface="+mn-cs"/>
          </a:endParaRPr>
        </a:p>
        <a:p>
          <a:pPr algn="ctr"/>
          <a:r>
            <a:rPr lang="en-US" sz="1100">
              <a:solidFill>
                <a:schemeClr val="dk1"/>
              </a:solidFill>
              <a:effectLst/>
              <a:latin typeface="+mn-lt"/>
              <a:ea typeface="+mn-ea"/>
              <a:cs typeface="+mn-cs"/>
            </a:rPr>
            <a:t>(Density in this table is mass per unit volume at 15°C</a:t>
          </a:r>
          <a:r>
            <a:rPr lang="ru-RU" sz="1100">
              <a:solidFill>
                <a:schemeClr val="dk1"/>
              </a:solidFill>
              <a:effectLst/>
              <a:latin typeface="+mn-lt"/>
              <a:ea typeface="+mn-ea"/>
              <a:cs typeface="+mn-cs"/>
            </a:rPr>
            <a:t> </a:t>
          </a:r>
          <a:r>
            <a:rPr lang="en-US" sz="1100">
              <a:solidFill>
                <a:schemeClr val="dk1"/>
              </a:solidFill>
              <a:effectLst/>
              <a:latin typeface="+mn-lt"/>
              <a:ea typeface="+mn-ea"/>
              <a:cs typeface="+mn-cs"/>
            </a:rPr>
            <a:t>expressed in kilograms per cubic metre.)</a:t>
          </a:r>
          <a:endParaRPr lang="ru-RU" sz="1100">
            <a:solidFill>
              <a:schemeClr val="dk1"/>
            </a:solidFill>
            <a:effectLst/>
            <a:latin typeface="+mn-lt"/>
            <a:ea typeface="+mn-ea"/>
            <a:cs typeface="+mn-cs"/>
          </a:endParaRPr>
        </a:p>
        <a:p>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values for the density at 15°C and for API gravity at 60°F equivalent to values of relative density 60/60°F in the range from 0.65 to 1.075. The relation between API gravity and relative density is purely mathematical and is given by the following equation:</a:t>
          </a:r>
          <a:endParaRPr lang="ru-RU" sz="1100">
            <a:solidFill>
              <a:schemeClr val="dk1"/>
            </a:solidFill>
            <a:effectLst/>
            <a:latin typeface="+mn-lt"/>
            <a:ea typeface="+mn-ea"/>
            <a:cs typeface="+mn-cs"/>
          </a:endParaRPr>
        </a:p>
        <a:p>
          <a:r>
            <a:rPr lang="ru-RU" sz="1100" b="0">
              <a:solidFill>
                <a:schemeClr val="dk1"/>
              </a:solidFill>
              <a:effectLst/>
              <a:latin typeface="+mn-lt"/>
              <a:ea typeface="+mn-ea"/>
              <a:cs typeface="+mn-cs"/>
            </a:rPr>
            <a:t>		</a:t>
          </a:r>
          <a:r>
            <a:rPr lang="en-US" sz="1100" b="0">
              <a:solidFill>
                <a:schemeClr val="dk1"/>
              </a:solidFill>
              <a:effectLst/>
              <a:latin typeface="+mn-lt"/>
              <a:ea typeface="+mn-ea"/>
              <a:cs typeface="+mn-cs"/>
            </a:rPr>
            <a:t>		141.5</a:t>
          </a:r>
          <a:endParaRPr lang="ru-RU">
            <a:effectLst/>
          </a:endParaRPr>
        </a:p>
        <a:p>
          <a:r>
            <a:rPr lang="en-US" sz="1100" b="0">
              <a:solidFill>
                <a:schemeClr val="dk1"/>
              </a:solidFill>
              <a:effectLst/>
              <a:latin typeface="+mn-lt"/>
              <a:ea typeface="+mn-ea"/>
              <a:cs typeface="+mn-cs"/>
            </a:rPr>
            <a:t>		API gravity at 60°F =  ---------------------------------- 	</a:t>
          </a:r>
          <a:r>
            <a:rPr lang="ru-RU" sz="1100" b="0">
              <a:solidFill>
                <a:schemeClr val="dk1"/>
              </a:solidFill>
              <a:effectLst/>
              <a:latin typeface="+mn-lt"/>
              <a:ea typeface="+mn-ea"/>
              <a:cs typeface="+mn-cs"/>
            </a:rPr>
            <a:t> — </a:t>
          </a:r>
          <a:r>
            <a:rPr lang="en-US" sz="1100" b="0">
              <a:solidFill>
                <a:schemeClr val="dk1"/>
              </a:solidFill>
              <a:effectLst/>
              <a:latin typeface="+mn-lt"/>
              <a:ea typeface="+mn-ea"/>
              <a:cs typeface="+mn-cs"/>
            </a:rPr>
            <a:t>131.5</a:t>
          </a:r>
          <a:endParaRPr lang="ru-RU">
            <a:effectLst/>
          </a:endParaRPr>
        </a:p>
        <a:p>
          <a:r>
            <a:rPr lang="en-US" sz="1100" b="0">
              <a:solidFill>
                <a:schemeClr val="dk1"/>
              </a:solidFill>
              <a:effectLst/>
              <a:latin typeface="+mn-lt"/>
              <a:ea typeface="+mn-ea"/>
              <a:cs typeface="+mn-cs"/>
            </a:rPr>
            <a:t>			            relative density 60/60°F</a:t>
          </a:r>
          <a:endParaRPr lang="ru-RU">
            <a:effectLst/>
          </a:endParaRPr>
        </a:p>
        <a:p>
          <a:endParaRPr lang="ru-RU"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relative density 60/60°F. </a:t>
          </a:r>
          <a:endParaRPr lang="ru-RU"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It is empha­sized that the equivalent density is at 15°C (59°F) and not at 60°F.</a:t>
          </a:r>
          <a:endParaRPr lang="ru-RU" sz="1100">
            <a:solidFill>
              <a:schemeClr val="dk1"/>
            </a:solidFill>
            <a:effectLst/>
            <a:latin typeface="+mn-lt"/>
            <a:ea typeface="+mn-ea"/>
            <a:cs typeface="+mn-cs"/>
          </a:endParaRPr>
        </a:p>
        <a:p>
          <a:endParaRPr lang="ru-RU"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1. What is the density at 15°C of an oil having a relative density 60/60°F of 0.9367?</a:t>
          </a:r>
          <a:endParaRPr lang="ru-RU" sz="1100">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Enter the table with 0.936 relative density and note that the equiva</a:t>
          </a:r>
          <a:r>
            <a:rPr lang="ru-RU" sz="1100" b="1">
              <a:solidFill>
                <a:schemeClr val="dk1"/>
              </a:solidFill>
              <a:effectLst/>
              <a:latin typeface="+mn-lt"/>
              <a:ea typeface="+mn-ea"/>
              <a:cs typeface="+mn-cs"/>
            </a:rPr>
            <a:t>-</a:t>
          </a:r>
          <a:r>
            <a:rPr lang="en-US" sz="1100" b="1">
              <a:solidFill>
                <a:schemeClr val="dk1"/>
              </a:solidFill>
              <a:effectLst/>
              <a:latin typeface="+mn-lt"/>
              <a:ea typeface="+mn-ea"/>
              <a:cs typeface="+mn-cs"/>
            </a:rPr>
            <a:t>­</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lent density at 15°C is </a:t>
          </a:r>
          <a:r>
            <a:rPr lang="en-GB" sz="1100" b="1">
              <a:solidFill>
                <a:schemeClr val="dk1"/>
              </a:solidFill>
              <a:effectLst/>
              <a:latin typeface="+mn-lt"/>
              <a:ea typeface="+mn-ea"/>
              <a:cs typeface="+mn-cs"/>
            </a:rPr>
            <a:t>..................................................................................</a:t>
          </a:r>
          <a:r>
            <a:rPr lang="en-US" sz="1100" b="1">
              <a:solidFill>
                <a:schemeClr val="dk1"/>
              </a:solidFill>
              <a:effectLst/>
              <a:latin typeface="+mn-lt"/>
              <a:ea typeface="+mn-ea"/>
              <a:cs typeface="+mn-cs"/>
            </a:rPr>
            <a:t>	 935.5 kg/m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Likewise, enter the table with 0.937 relative density and note that</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GB" sz="1100" b="1">
              <a:solidFill>
                <a:schemeClr val="dk1"/>
              </a:solidFill>
              <a:effectLst/>
              <a:latin typeface="+mn-lt"/>
              <a:ea typeface="+mn-ea"/>
              <a:cs typeface="+mn-cs"/>
            </a:rPr>
            <a:t>    </a:t>
          </a:r>
          <a:r>
            <a:rPr lang="en-US" sz="1100" b="1">
              <a:solidFill>
                <a:schemeClr val="dk1"/>
              </a:solidFill>
              <a:effectLst/>
              <a:latin typeface="+mn-lt"/>
              <a:ea typeface="+mn-ea"/>
              <a:cs typeface="+mn-cs"/>
            </a:rPr>
            <a:t>the equivalent density at 15°C is .................................................................	 936.5 kg/m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This represents an increase of 1.0 kg/m</a:t>
          </a:r>
          <a:r>
            <a:rPr lang="en-US" sz="1100" b="1" baseline="30000">
              <a:solidFill>
                <a:schemeClr val="dk1"/>
              </a:solidFill>
              <a:effectLst/>
              <a:latin typeface="+mn-lt"/>
              <a:ea typeface="+mn-ea"/>
              <a:cs typeface="+mn-cs"/>
            </a:rPr>
            <a:t>3</a:t>
          </a:r>
          <a:r>
            <a:rPr lang="en-US" sz="1100" b="1">
              <a:solidFill>
                <a:schemeClr val="dk1"/>
              </a:solidFill>
              <a:effectLst/>
              <a:latin typeface="+mn-lt"/>
              <a:ea typeface="+mn-ea"/>
              <a:cs typeface="+mn-cs"/>
            </a:rPr>
            <a:t> in density for an increase</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GB" sz="1100" b="1">
              <a:solidFill>
                <a:schemeClr val="dk1"/>
              </a:solidFill>
              <a:effectLst/>
              <a:latin typeface="+mn-lt"/>
              <a:ea typeface="+mn-ea"/>
              <a:cs typeface="+mn-cs"/>
            </a:rPr>
            <a:t>    </a:t>
          </a:r>
          <a:r>
            <a:rPr lang="en-US" sz="1100" b="1">
              <a:solidFill>
                <a:schemeClr val="dk1"/>
              </a:solidFill>
              <a:effectLst/>
              <a:latin typeface="+mn-lt"/>
              <a:ea typeface="+mn-ea"/>
              <a:cs typeface="+mn-cs"/>
            </a:rPr>
            <a:t>of 0.0010 in relative density. Therefore, by simple proportion, an </a:t>
          </a:r>
        </a:p>
        <a:p>
          <a:r>
            <a:rPr lang="en-US" sz="1100" b="1">
              <a:solidFill>
                <a:schemeClr val="dk1"/>
              </a:solidFill>
              <a:effectLst/>
              <a:latin typeface="+mn-lt"/>
              <a:ea typeface="+mn-ea"/>
              <a:cs typeface="+mn-cs"/>
            </a:rPr>
            <a:t>	    increase in relative density from 0.936 to 0.937 represents an </a:t>
          </a:r>
        </a:p>
        <a:p>
          <a:r>
            <a:rPr lang="en-US" sz="1100" b="1">
              <a:solidFill>
                <a:schemeClr val="dk1"/>
              </a:solidFill>
              <a:effectLst/>
              <a:latin typeface="+mn-lt"/>
              <a:ea typeface="+mn-ea"/>
              <a:cs typeface="+mn-cs"/>
            </a:rPr>
            <a:t>	    increase in density of 0.7 x 1.0 or ................................................................	      0.7 kg/m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Then, the density of the oil at 15°C is 935.5 + 0.7 or ........................................	 936.2 kg/m</a:t>
          </a:r>
          <a:r>
            <a:rPr lang="en-US" sz="1100" b="1" baseline="30000">
              <a:solidFill>
                <a:schemeClr val="dk1"/>
              </a:solidFill>
              <a:effectLst/>
              <a:latin typeface="+mn-lt"/>
              <a:ea typeface="+mn-ea"/>
              <a:cs typeface="+mn-cs"/>
            </a:rPr>
            <a:t>3</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22</a:t>
          </a:r>
          <a:endParaRPr lang="ru-RU" sz="1100">
            <a:solidFill>
              <a:schemeClr val="dk1"/>
            </a:solidFill>
            <a:effectLst/>
            <a:latin typeface="+mn-lt"/>
            <a:ea typeface="+mn-ea"/>
            <a:cs typeface="+mn-cs"/>
          </a:endParaRPr>
        </a:p>
        <a:p>
          <a:pPr algn="ctr"/>
          <a:r>
            <a:rPr lang="en-US" sz="1100">
              <a:solidFill>
                <a:schemeClr val="dk1"/>
              </a:solidFill>
              <a:effectLst/>
              <a:latin typeface="+mn-lt"/>
              <a:ea typeface="+mn-ea"/>
              <a:cs typeface="+mn-cs"/>
            </a:rPr>
            <a:t>U.S. GALLONS AT 60°F TO LITRES AT 15°C</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BARRELS AT 60°F TO CUBIC METRES AT 15°C</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number of litres at 15°C equivalent to 1 U.S. gal, and the number of cubic metres at 15°C equivalent to one barrel (42 U.S. gal), for values of relative density 60/60°F in the range from 0.654 to 1.075.</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relative density 60/60°F. </a:t>
          </a:r>
        </a:p>
        <a:p>
          <a:pPr algn="ctr"/>
          <a:r>
            <a:rPr lang="en-US" sz="1100" b="1">
              <a:solidFill>
                <a:schemeClr val="dk1"/>
              </a:solidFill>
              <a:effectLst/>
              <a:latin typeface="+mn-lt"/>
              <a:ea typeface="+mn-ea"/>
              <a:cs typeface="+mn-cs"/>
            </a:rPr>
            <a:t>It is empha­sized that the volumes in litres and in cubic metres are at 15°C (59°F) and not at 60°F.</a:t>
          </a:r>
        </a:p>
        <a:p>
          <a:pPr algn="ctr"/>
          <a:endParaRPr lang="ru-RU" sz="1100">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A volume of oil having relative density 60/60°F of 0.9209 is shown on a bill of lading as 129 063 barrels at 60°F. What is the volume in cubic metres at 15°C?</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in the relative density range 0.860 to 0.964, which </a:t>
          </a:r>
        </a:p>
        <a:p>
          <a:r>
            <a:rPr lang="en-US" sz="1100" b="1">
              <a:solidFill>
                <a:schemeClr val="dk1"/>
              </a:solidFill>
              <a:effectLst/>
              <a:latin typeface="+mn-lt"/>
              <a:ea typeface="+mn-ea"/>
              <a:cs typeface="+mn-cs"/>
            </a:rPr>
            <a:t>	    includes the value 0.9209, and note that one barrel is equiva­lent to ...........	 0.15892 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129 063 barrels have an equivalent volume at 15°C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129 063 x 0.15892 or ...................................................................................	 20 511 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a:t>
          </a:r>
          <a:endParaRPr lang="ru-RU" b="1">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26</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POUNDS PER U.S. GALLON AT 60°F</a:t>
          </a:r>
          <a:endParaRPr lang="ru-RU" sz="1100">
            <a:solidFill>
              <a:schemeClr val="dk1"/>
            </a:solidFill>
            <a:effectLst/>
            <a:latin typeface="+mn-lt"/>
            <a:ea typeface="+mn-ea"/>
            <a:cs typeface="+mn-cs"/>
          </a:endParaRPr>
        </a:p>
        <a:p>
          <a:pPr algn="ctr"/>
          <a:r>
            <a:rPr lang="en-US" sz="1100">
              <a:solidFill>
                <a:schemeClr val="dk1"/>
              </a:solidFill>
              <a:effectLst/>
              <a:latin typeface="+mn-lt"/>
              <a:ea typeface="+mn-ea"/>
              <a:cs typeface="+mn-cs"/>
            </a:rPr>
            <a:t>AND U.S. GALLONS AT 60°F PER POUND</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RELATIVE DENSITY 60/60°F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 in air in pounds of 1 U.S. gallon of oil at 60°F and the volume in U.S. gallons at 60°F which is occupied by 1 lb of oil, for values of relative density 60/60°F in the range from 0.500 to 1.100. This table is intended principally for use in dealing with relatively small quantities of oil.</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	This table must be entered with relative density 60/60°F; if the volume </a:t>
          </a:r>
        </a:p>
        <a:p>
          <a:r>
            <a:rPr lang="en-US" sz="1100" b="1">
              <a:solidFill>
                <a:schemeClr val="dk1"/>
              </a:solidFill>
              <a:effectLst/>
              <a:latin typeface="+mn-lt"/>
              <a:ea typeface="+mn-ea"/>
              <a:cs typeface="+mn-cs"/>
            </a:rPr>
            <a:t>	has been measured at some other temperature, the equivalent volume at </a:t>
          </a:r>
        </a:p>
        <a:p>
          <a:r>
            <a:rPr lang="en-US" sz="1100" b="1">
              <a:solidFill>
                <a:schemeClr val="dk1"/>
              </a:solidFill>
              <a:effectLst/>
              <a:latin typeface="+mn-lt"/>
              <a:ea typeface="+mn-ea"/>
              <a:cs typeface="+mn-cs"/>
            </a:rPr>
            <a:t>	60°F must first be found from TABLE 24.</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1. It is required to fill drums with exactly 42 U.S. gal (one barrel) of oil measured at 60°F, using a weight filling machine. If the relative density 60/60°F of the oil is 0.8972, what weight should be set on the scale of the machine?</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0.897 relative density and note that the weight </a:t>
          </a:r>
        </a:p>
        <a:p>
          <a:r>
            <a:rPr lang="en-US" sz="1100" b="1">
              <a:solidFill>
                <a:schemeClr val="dk1"/>
              </a:solidFill>
              <a:effectLst/>
              <a:latin typeface="+mn-lt"/>
              <a:ea typeface="+mn-ea"/>
              <a:cs typeface="+mn-cs"/>
            </a:rPr>
            <a:t>	    of 1 U.S. gallon is .........................................................................................	 7.4694 lb</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0.898 relative density and note that</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 weight of 1 U.S. gallon is .......................................................................	 7.4777 lb</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in weight of 0.0085 lb for an increase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of 0.0010 in relative density. Therefore, by simple proportion, </a:t>
          </a:r>
        </a:p>
        <a:p>
          <a:r>
            <a:rPr lang="en-US" sz="1100" b="1">
              <a:solidFill>
                <a:schemeClr val="dk1"/>
              </a:solidFill>
              <a:effectLst/>
              <a:latin typeface="+mn-lt"/>
              <a:ea typeface="+mn-ea"/>
              <a:cs typeface="+mn-cs"/>
            </a:rPr>
            <a:t>	    an increase in relative density from 0.897 to 0.8972 increases the </a:t>
          </a:r>
        </a:p>
        <a:p>
          <a:r>
            <a:rPr lang="en-US" sz="1100" b="1">
              <a:solidFill>
                <a:schemeClr val="dk1"/>
              </a:solidFill>
              <a:effectLst/>
              <a:latin typeface="+mn-lt"/>
              <a:ea typeface="+mn-ea"/>
              <a:cs typeface="+mn-cs"/>
            </a:rPr>
            <a:t>	    weight by 0.2 x 0.0084 or ............................................................................	 0.0017 lb</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1 U. S. gal of oil having a relative density 60 / 60°F of 0.8972 </a:t>
          </a:r>
        </a:p>
        <a:p>
          <a:r>
            <a:rPr lang="en-US" sz="1100" b="1">
              <a:solidFill>
                <a:schemeClr val="dk1"/>
              </a:solidFill>
              <a:effectLst/>
              <a:latin typeface="+mn-lt"/>
              <a:ea typeface="+mn-ea"/>
              <a:cs typeface="+mn-cs"/>
            </a:rPr>
            <a:t>	    weighs 7.4694 + 0.0017 or ...........................................................................	 7.4711 lb</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42 U.S. gal of the oil at 60°F weigh 42 x 7.4711 or ..................................	 313.79 lb</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 weight to be set on the filling machine is therefore ..................................	 313 lb 12</a:t>
          </a:r>
          <a:r>
            <a:rPr lang="en-GB" sz="1100" b="1">
              <a:solidFill>
                <a:schemeClr val="dk1"/>
              </a:solidFill>
              <a:latin typeface="+mn-lt"/>
              <a:ea typeface="+mn-ea"/>
              <a:cs typeface="+mn-cs"/>
            </a:rPr>
            <a:t>¾</a:t>
          </a:r>
          <a:r>
            <a:rPr lang="en-US" sz="1100" b="1">
              <a:solidFill>
                <a:schemeClr val="dk1"/>
              </a:solidFill>
              <a:effectLst/>
              <a:latin typeface="+mn-lt"/>
              <a:ea typeface="+mn-ea"/>
              <a:cs typeface="+mn-cs"/>
            </a:rPr>
            <a:t> oz</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(16 oz/lb x 0.79 = 12.64 oz which rounds to 12</a:t>
          </a:r>
          <a:r>
            <a:rPr lang="en-GB" sz="1100" b="1">
              <a:solidFill>
                <a:schemeClr val="dk1"/>
              </a:solidFill>
              <a:effectLst/>
              <a:latin typeface="+mn-lt"/>
              <a:ea typeface="+mn-ea"/>
              <a:cs typeface="+mn-cs"/>
            </a:rPr>
            <a:t>¾</a:t>
          </a:r>
          <a:r>
            <a:rPr lang="en-US" sz="1100" b="1">
              <a:solidFill>
                <a:schemeClr val="dk1"/>
              </a:solidFill>
              <a:effectLst/>
              <a:latin typeface="+mn-lt"/>
              <a:ea typeface="+mn-ea"/>
              <a:cs typeface="+mn-cs"/>
            </a:rPr>
            <a:t> oz.)</a:t>
          </a:r>
          <a:endParaRPr lang="ru-RU"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br>
            <a:rPr lang="en-US" sz="1100" b="1">
              <a:solidFill>
                <a:schemeClr val="dk1"/>
              </a:solidFill>
              <a:effectLst/>
              <a:latin typeface="+mn-lt"/>
              <a:ea typeface="+mn-ea"/>
              <a:cs typeface="+mn-cs"/>
            </a:rPr>
          </a:br>
          <a:r>
            <a:rPr lang="en-US" sz="1100" b="1">
              <a:solidFill>
                <a:schemeClr val="dk1"/>
              </a:solidFill>
              <a:effectLst/>
              <a:latin typeface="+mn-lt"/>
              <a:ea typeface="+mn-ea"/>
              <a:cs typeface="+mn-cs"/>
            </a:rPr>
            <a:t>=======================================================================================================</a:t>
          </a:r>
          <a:endParaRPr lang="ru-RU">
            <a:effectLst/>
          </a:endParaRPr>
        </a:p>
        <a:p>
          <a:endParaRPr lang="en-US" sz="110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100" b="1">
              <a:solidFill>
                <a:schemeClr val="dk1"/>
              </a:solidFill>
              <a:effectLst/>
              <a:latin typeface="+mn-lt"/>
              <a:ea typeface="+mn-ea"/>
              <a:cs typeface="+mn-cs"/>
            </a:rPr>
            <a:t>TABLE 27</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SHORT TONS PER 1000 U.S. GALLONS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PER BARREL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RELATIVE DENSITY 60/60°F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 in air in short tons of 1000 U.S. gal of oil and of one barrel (42 U.S. gal) of oil, both at 60°F, for values of relative density 60/60°F in the range from 0.650 to 1.075.</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This table must be entered with relative density 60/60°F; if the volume has been measured at some other temperature, the equivalent volume at 60°F must first be found from TABLE 24.</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When corrected to the standard temperature of 60°F by means of TABLE 24, the volume of a quantity of oil is recorded as 121 003 barrels. If the relative density 60/60°F of the oil is 0.7218, what is the weight in short tons?</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0.721 relative density and note that</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 weight of one barrel of oil at 60°F is ......................................................	 0.12604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0.722 relative density and</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note that the weight of one barrel of oil at 60°F is .......................................	0.12621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in weight of 0.00017 short</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tons for an increase of 0.0010 in relative density.</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Therefore, by simple proportion, an increase in rela­tive </a:t>
          </a:r>
        </a:p>
        <a:p>
          <a:r>
            <a:rPr lang="en-US" sz="1100" b="1">
              <a:solidFill>
                <a:schemeClr val="dk1"/>
              </a:solidFill>
              <a:effectLst/>
              <a:latin typeface="+mn-lt"/>
              <a:ea typeface="+mn-ea"/>
              <a:cs typeface="+mn-cs"/>
            </a:rPr>
            <a:t>	    density from 0.721 to 0.7218 increases the weight</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by 0.8 x 0.00017 or ......................................................................................	 0.00014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barrel of oil at 60°F having a relative density</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60/60°F of 0.7218 weighs 0.12604 + 0.00014 or ...........................................	 0.12618 short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121 003 barrels of this oil at 60°F weigh 121 003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x 0.12618 or ................................................................................................	 15 268.2 short tons</a:t>
          </a:r>
          <a:endParaRPr lang="ru-RU" sz="1100" b="1">
            <a:solidFill>
              <a:schemeClr val="dk1"/>
            </a:solidFill>
            <a:effectLst/>
            <a:latin typeface="+mn-lt"/>
            <a:ea typeface="+mn-ea"/>
            <a:cs typeface="+mn-cs"/>
          </a:endParaRPr>
        </a:p>
        <a:p>
          <a:endParaRPr lang="ru-RU">
            <a:effectLst/>
          </a:endParaRPr>
        </a:p>
        <a:p>
          <a:r>
            <a:rPr lang="en-US" sz="1100" b="1">
              <a:solidFill>
                <a:schemeClr val="dk1"/>
              </a:solidFill>
              <a:effectLst/>
              <a:latin typeface="+mn-lt"/>
              <a:ea typeface="+mn-ea"/>
              <a:cs typeface="+mn-cs"/>
            </a:rPr>
            <a:t>=======================================================================================================</a:t>
          </a:r>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28</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U.S. GALLONS AT 60°F AND BARRELS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PER SHORT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RELATIVE DENSITY 60/60°F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volumes in U.S. gallons and in barrels (42 U.S. gal) both at 60°F, which are occupied by one short ton of oil in air for values of relative density 60/60°F in the range from 0.650 to 1.075.</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relative density 60/60°F.</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How many U.S. gallons at 60°F are occupied by 1216.11 short tons of oil having a relative density 60/60°F of 0.8622?</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0.862 relative density and note that the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volume occupied at 60°F by one short ton is ...............................................	 278.65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0.863 relative density and note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that the volume at 60°F occupied by one short ton is ..................................	278.32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of 0.33 U.S. gal for an increase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0.0010 in relative density. Therefore, by simple proportion,</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an increase of relative density from 0.862 to 0.8622 decreases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 volume by 0.2 x 0.33 or ......................................................................... 	 0.07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short ton of oil having a relative density 60/60°F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0.8622 occupies at 60°F a volume of 278.65 - 0.07 or ...................................	278.58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1216.11 short tons of this oil occupy at 60°F a volume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1216.11 x 278.58 or .....................................................................................	338 784 U.S. gal</a:t>
          </a:r>
          <a:endParaRPr lang="ru-RU"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29</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LONG TONS PER 1000 U.S. GALLONS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PER BARREL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RELATIVE DENSITY 60/60°F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 in long tons in air of 1000 U.S. gal of oil and of one barrel (42 U.S. gal), both at 60°F, for values of relative density 60/60°F in the range from 0.65 to 1.075.</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This table must be entered with relative density 60/60°F; if the volume has been measured at some other temperature, the equivalent volume at 60°F must first be found from TABLE 24.</a:t>
          </a:r>
          <a:endParaRPr lang="ru-RU" sz="1100">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When corrected to the standard temperature of 60°F by means of TABLE 24, the volume of a quantity of oils is 2 345 430 U.S. gal. If the relative density 60/60°F of the oil is 0.7335, what is the weight in long tons?</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0.733 relative density and note that the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weight of 1000 U.S. gal is .............................................................................	 2.7240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0.734 relative density and note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that the weight of 1000 U.S. gal is ...............................................................	 2.7278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in weight of 0.0038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for an increase of 0.0010 in relative density. Therefore, </a:t>
          </a:r>
        </a:p>
        <a:p>
          <a:r>
            <a:rPr lang="en-US" sz="1100" b="1">
              <a:solidFill>
                <a:schemeClr val="dk1"/>
              </a:solidFill>
              <a:effectLst/>
              <a:latin typeface="+mn-lt"/>
              <a:ea typeface="+mn-ea"/>
              <a:cs typeface="+mn-cs"/>
            </a:rPr>
            <a:t>	    by simple proportion, an increase in relative density </a:t>
          </a:r>
        </a:p>
        <a:p>
          <a:r>
            <a:rPr lang="en-US" sz="1100" b="1">
              <a:solidFill>
                <a:schemeClr val="dk1"/>
              </a:solidFill>
              <a:effectLst/>
              <a:latin typeface="+mn-lt"/>
              <a:ea typeface="+mn-ea"/>
              <a:cs typeface="+mn-cs"/>
            </a:rPr>
            <a:t>	    from 0.733 to 0.7335 increases the weight by 0.5 x 0.0038 </a:t>
          </a:r>
        </a:p>
        <a:p>
          <a:r>
            <a:rPr lang="en-US" sz="1100" b="1">
              <a:solidFill>
                <a:schemeClr val="dk1"/>
              </a:solidFill>
              <a:effectLst/>
              <a:latin typeface="+mn-lt"/>
              <a:ea typeface="+mn-ea"/>
              <a:cs typeface="+mn-cs"/>
            </a:rPr>
            <a:t>	    or ................................................................................................................ 	 0.0019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1000 U.S. gal of oil having a relative density 60/60°F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of 0.7335 weigh 2.7240 + 0.0019 or .............................................................	 2.7259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2 345 430 U.S. gal of this oil at 60°F weigh 2 345.430</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x 2.7259 or ..................................................................................................	 6393.41 long tons</a:t>
          </a:r>
          <a:endParaRPr lang="ru-RU" sz="1100" b="1">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100" b="1">
              <a:solidFill>
                <a:schemeClr val="dk1"/>
              </a:solidFill>
              <a:effectLst/>
              <a:latin typeface="+mn-lt"/>
              <a:ea typeface="+mn-ea"/>
              <a:cs typeface="+mn-cs"/>
            </a:rPr>
            <a:t>=======================================================================================================</a:t>
          </a:r>
          <a:endParaRPr lang="ru-RU">
            <a:effectLst/>
          </a:endParaRPr>
        </a:p>
        <a:p>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30</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U.S. GALLONS AT 60°F AND BARRELS AT 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PER LONG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RELATIVE DENSITY 60/60°F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volumes in U.S. gallons and barrels (42 U.S. gal), both at 60°F, which are occupied by 1 long ton of oil in air for values of relative density 60/60°F in the range from 0.65 to 1.075.</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relative density 60/60°F.</a:t>
          </a:r>
          <a:endParaRPr lang="ru-RU" sz="1100" b="1">
            <a:solidFill>
              <a:schemeClr val="dk1"/>
            </a:solidFill>
            <a:effectLst/>
            <a:latin typeface="+mn-lt"/>
            <a:ea typeface="+mn-ea"/>
            <a:cs typeface="+mn-cs"/>
          </a:endParaRPr>
        </a:p>
        <a:p>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How many U.S. gal at 60°F are occupied by 1 634.12 long tons of oil having a relative density 60/60°F of 0.8317?</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0.831 relative density and note that the </a:t>
          </a:r>
        </a:p>
        <a:p>
          <a:r>
            <a:rPr lang="en-US" sz="1100" b="1">
              <a:solidFill>
                <a:schemeClr val="dk1"/>
              </a:solidFill>
              <a:effectLst/>
              <a:latin typeface="+mn-lt"/>
              <a:ea typeface="+mn-ea"/>
              <a:cs typeface="+mn-cs"/>
            </a:rPr>
            <a:t>	    volume occupied by 1 long ton is .................................................................	 323.75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0.832 relative density and note </a:t>
          </a:r>
        </a:p>
        <a:p>
          <a:r>
            <a:rPr lang="en-US" sz="1100" b="1">
              <a:solidFill>
                <a:schemeClr val="dk1"/>
              </a:solidFill>
              <a:effectLst/>
              <a:latin typeface="+mn-lt"/>
              <a:ea typeface="+mn-ea"/>
              <a:cs typeface="+mn-cs"/>
            </a:rPr>
            <a:t>	    that the volume occupied by 1 long ton is ...................................................	 323.36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in volume of 0.39 gal for an increase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of 0.0010 in relative density. Therefore, by simple proportion, </a:t>
          </a:r>
        </a:p>
        <a:p>
          <a:r>
            <a:rPr lang="en-US" sz="1100" b="1">
              <a:solidFill>
                <a:schemeClr val="dk1"/>
              </a:solidFill>
              <a:effectLst/>
              <a:latin typeface="+mn-lt"/>
              <a:ea typeface="+mn-ea"/>
              <a:cs typeface="+mn-cs"/>
            </a:rPr>
            <a:t>	    an increase in relative density from 0.831 to 0.8317 decreases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 volume by 0.7 x 0.39 or .........................................................................	 0.27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long ton of oil having a relative density of 0.8317</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occupies a volume of 323.75 — 0.27 or .......................................................	 323.48 U.S. gal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1 634.12 long tons of this oil at 60°F occupy a volume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1634.12 x 323.48 or .....................................................................................	 528 605 U.S. gal</a:t>
          </a:r>
          <a:endParaRPr lang="ru-RU" sz="1100" b="1">
            <a:solidFill>
              <a:schemeClr val="dk1"/>
            </a:solidFill>
            <a:effectLst/>
            <a:latin typeface="+mn-lt"/>
            <a:ea typeface="+mn-ea"/>
            <a:cs typeface="+mn-cs"/>
          </a:endParaRPr>
        </a:p>
        <a:p>
          <a:br>
            <a:rPr lang="en-US" sz="1100" b="1">
              <a:solidFill>
                <a:schemeClr val="dk1"/>
              </a:solidFill>
              <a:effectLst/>
              <a:latin typeface="+mn-lt"/>
              <a:ea typeface="+mn-ea"/>
              <a:cs typeface="+mn-cs"/>
            </a:rPr>
          </a:br>
          <a:r>
            <a:rPr lang="en-US" sz="1100" b="1">
              <a:solidFill>
                <a:schemeClr val="dk1"/>
              </a:solidFill>
              <a:effectLst/>
              <a:latin typeface="+mn-lt"/>
              <a:ea typeface="+mn-ea"/>
              <a:cs typeface="+mn-cs"/>
            </a:rPr>
            <a:t>=======================================================================================================	</a:t>
          </a:r>
          <a:endParaRPr lang="ru-RU">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31</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CUBIC METRES AT 15°C PER SHORT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PER LONG TON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RELATIVE DENSITY 60/60°F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volumes in cubic metres at 15°C which are occupied by 1 short ton and by 1 long ton of oil in air for values of relative density 60/60°F in the range from 0.65 to 1.075.</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relative density 60/60°F.</a:t>
          </a:r>
          <a:endParaRPr lang="ru-RU" sz="1100">
            <a:solidFill>
              <a:schemeClr val="dk1"/>
            </a:solidFill>
            <a:effectLst/>
            <a:latin typeface="+mn-lt"/>
            <a:ea typeface="+mn-ea"/>
            <a:cs typeface="+mn-cs"/>
          </a:endParaRPr>
        </a:p>
        <a:p>
          <a:pPr algn="ctr"/>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How many cubic metres at 15°C are occupied by 9 341.76 long tons of oil having a relative density 60/ 60°F of 0.8377?</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0.837 relative density and note that the </a:t>
          </a:r>
        </a:p>
        <a:p>
          <a:r>
            <a:rPr lang="en-US" sz="1100" b="1">
              <a:solidFill>
                <a:schemeClr val="dk1"/>
              </a:solidFill>
              <a:effectLst/>
              <a:latin typeface="+mn-lt"/>
              <a:ea typeface="+mn-ea"/>
              <a:cs typeface="+mn-cs"/>
            </a:rPr>
            <a:t>	    volume at 15°C occupied by 1 long ton is .....................................................	 1.2161 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0.838 relative density and note that </a:t>
          </a:r>
        </a:p>
        <a:p>
          <a:r>
            <a:rPr lang="en-US" sz="1100" b="1">
              <a:solidFill>
                <a:schemeClr val="dk1"/>
              </a:solidFill>
              <a:effectLst/>
              <a:latin typeface="+mn-lt"/>
              <a:ea typeface="+mn-ea"/>
              <a:cs typeface="+mn-cs"/>
            </a:rPr>
            <a:t>	    the volume at 15°C occupied by 1 long ton is ...............................................	 1.2147 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in volume of 0.0014 m</a:t>
          </a:r>
          <a:r>
            <a:rPr lang="en-US" sz="1100" b="1" baseline="30000">
              <a:solidFill>
                <a:schemeClr val="dk1"/>
              </a:solidFill>
              <a:effectLst/>
              <a:latin typeface="+mn-lt"/>
              <a:ea typeface="+mn-ea"/>
              <a:cs typeface="+mn-cs"/>
            </a:rPr>
            <a:t>3</a:t>
          </a:r>
          <a:r>
            <a:rPr lang="en-US" sz="1100" b="1">
              <a:solidFill>
                <a:schemeClr val="dk1"/>
              </a:solidFill>
              <a:effectLst/>
              <a:latin typeface="+mn-lt"/>
              <a:ea typeface="+mn-ea"/>
              <a:cs typeface="+mn-cs"/>
            </a:rPr>
            <a:t> for an increase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of 0.0010 in relative density. Therefore, by simple proportion,</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an increase in relative density from 0.837 to 0.8377 decreases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 volume by 0.7 x 0.0014 or .....................................................................	 0.001 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one long ton of oil having a relative density 60/60°F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0.8377 occupies at 15°C a volume of 1.2161 - 0.001 or ................................	1.2151 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9 341.76 long tons of this oil occupy at 15°C a volume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9 341.76 x 1.2151 or ....................................................................................	 11 351.173 m</a:t>
          </a:r>
          <a:r>
            <a:rPr lang="en-US" sz="1100" b="1" baseline="30000">
              <a:solidFill>
                <a:schemeClr val="dk1"/>
              </a:solidFill>
              <a:effectLst/>
              <a:latin typeface="+mn-lt"/>
              <a:ea typeface="+mn-ea"/>
              <a:cs typeface="+mn-cs"/>
            </a:rPr>
            <a:t>3</a:t>
          </a:r>
        </a:p>
        <a:p>
          <a:endParaRPr lang="en-US"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a:t>
          </a:r>
          <a:endParaRPr lang="ru-RU">
            <a:effectLst/>
          </a:endParaRPr>
        </a:p>
        <a:p>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51</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DENSITY AT 15°C TO RELATIVE DENSITY 60/60°F</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AND TO API GRAVITY AT 60°F</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 fluid has a density of 761 kg/m</a:t>
          </a:r>
          <a:r>
            <a:rPr lang="en-US" sz="1100" baseline="30000">
              <a:solidFill>
                <a:schemeClr val="dk1"/>
              </a:solidFill>
              <a:effectLst/>
              <a:latin typeface="+mn-lt"/>
              <a:ea typeface="+mn-ea"/>
              <a:cs typeface="+mn-cs"/>
            </a:rPr>
            <a:t>3</a:t>
          </a:r>
          <a:r>
            <a:rPr lang="en-US" sz="1100">
              <a:solidFill>
                <a:schemeClr val="dk1"/>
              </a:solidFill>
              <a:effectLst/>
              <a:latin typeface="+mn-lt"/>
              <a:ea typeface="+mn-ea"/>
              <a:cs typeface="+mn-cs"/>
            </a:rPr>
            <a:t> at 15°C. What is the equivalent API gravity at 60°F?</a:t>
          </a:r>
          <a:endParaRPr lang="ru-RU" sz="1100">
            <a:solidFill>
              <a:schemeClr val="dk1"/>
            </a:solidFill>
            <a:effectLst/>
            <a:latin typeface="+mn-lt"/>
            <a:ea typeface="+mn-ea"/>
            <a:cs typeface="+mn-cs"/>
          </a:endParaRPr>
        </a:p>
        <a:p>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Enter the table, read down the density column to 761 and note that the equivalent API gravity is 54.8.</a:t>
          </a:r>
          <a:endParaRPr lang="ru-RU"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a:t>
          </a:r>
          <a:endParaRPr lang="ru-RU">
            <a:effectLst/>
          </a:endParaRPr>
        </a:p>
        <a:p>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52</a:t>
          </a:r>
          <a:endParaRPr lang="ru-RU" sz="1100" b="1">
            <a:solidFill>
              <a:schemeClr val="dk1"/>
            </a:solidFill>
            <a:effectLst/>
            <a:latin typeface="+mn-lt"/>
            <a:ea typeface="+mn-ea"/>
            <a:cs typeface="+mn-cs"/>
          </a:endParaRPr>
        </a:p>
        <a:p>
          <a:pPr algn="ctr"/>
          <a:r>
            <a:rPr lang="en-US" sz="1100" b="0">
              <a:solidFill>
                <a:schemeClr val="dk1"/>
              </a:solidFill>
              <a:effectLst/>
              <a:latin typeface="+mn-lt"/>
              <a:ea typeface="+mn-ea"/>
              <a:cs typeface="+mn-cs"/>
            </a:rPr>
            <a:t>BARRELS AT 60°F TO CUBIC METRES AT 15°C AND</a:t>
          </a:r>
          <a:br>
            <a:rPr lang="en-US" sz="1100" b="0">
              <a:solidFill>
                <a:schemeClr val="dk1"/>
              </a:solidFill>
              <a:effectLst/>
              <a:latin typeface="+mn-lt"/>
              <a:ea typeface="+mn-ea"/>
              <a:cs typeface="+mn-cs"/>
            </a:rPr>
          </a:br>
          <a:r>
            <a:rPr lang="en-US" sz="1100" b="0">
              <a:solidFill>
                <a:schemeClr val="dk1"/>
              </a:solidFill>
              <a:effectLst/>
              <a:latin typeface="+mn-lt"/>
              <a:ea typeface="+mn-ea"/>
              <a:cs typeface="+mn-cs"/>
            </a:rPr>
            <a:t>CUBIC METRES AT 15°C TO BARRELS AT 60°F</a:t>
          </a:r>
          <a:endParaRPr lang="ru-RU" sz="1100" b="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0">
              <a:solidFill>
                <a:schemeClr val="dk1"/>
              </a:solidFill>
              <a:effectLst/>
              <a:latin typeface="+mn-lt"/>
              <a:ea typeface="+mn-ea"/>
              <a:cs typeface="+mn-cs"/>
            </a:rPr>
            <a:t>216 214.2 barrels of a hydrocarbon liquid at 60°F with a 15°C density of 786 kg/ m</a:t>
          </a:r>
          <a:r>
            <a:rPr lang="en-US" sz="1100" b="0" baseline="30000">
              <a:solidFill>
                <a:schemeClr val="dk1"/>
              </a:solidFill>
              <a:effectLst/>
              <a:latin typeface="+mn-lt"/>
              <a:ea typeface="+mn-ea"/>
              <a:cs typeface="+mn-cs"/>
            </a:rPr>
            <a:t>3</a:t>
          </a:r>
          <a:r>
            <a:rPr lang="en-US" sz="1100" b="0">
              <a:solidFill>
                <a:schemeClr val="dk1"/>
              </a:solidFill>
              <a:effectLst/>
              <a:latin typeface="+mn-lt"/>
              <a:ea typeface="+mn-ea"/>
              <a:cs typeface="+mn-cs"/>
            </a:rPr>
            <a:t> must be expressed in equivalent SI units of cubic metres at 15°C.</a:t>
          </a:r>
          <a:endParaRPr lang="ru-RU" sz="1100" b="0">
            <a:solidFill>
              <a:schemeClr val="dk1"/>
            </a:solidFill>
            <a:effectLst/>
            <a:latin typeface="+mn-lt"/>
            <a:ea typeface="+mn-ea"/>
            <a:cs typeface="+mn-cs"/>
          </a:endParaRPr>
        </a:p>
        <a:p>
          <a:r>
            <a:rPr lang="en-US" sz="1100" b="1">
              <a:solidFill>
                <a:schemeClr val="dk1"/>
              </a:solidFill>
              <a:effectLst/>
              <a:latin typeface="+mn-lt"/>
              <a:ea typeface="+mn-ea"/>
              <a:cs typeface="+mn-cs"/>
            </a:rPr>
            <a:t>	Enter the density column in the range from 780.0 to 798.0 which includes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786.0, read the conversion factor of 0.15890 m</a:t>
          </a:r>
          <a:r>
            <a:rPr lang="en-US" sz="1100" b="1" baseline="30000">
              <a:solidFill>
                <a:schemeClr val="dk1"/>
              </a:solidFill>
              <a:effectLst/>
              <a:latin typeface="+mn-lt"/>
              <a:ea typeface="+mn-ea"/>
              <a:cs typeface="+mn-cs"/>
            </a:rPr>
            <a:t>3</a:t>
          </a:r>
          <a:r>
            <a:rPr lang="en-US" sz="1100" b="1">
              <a:solidFill>
                <a:schemeClr val="dk1"/>
              </a:solidFill>
              <a:effectLst/>
              <a:latin typeface="+mn-lt"/>
              <a:ea typeface="+mn-ea"/>
              <a:cs typeface="+mn-cs"/>
            </a:rPr>
            <a:t> per barrel.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0.15890 x 216 214.2 = 34 551 m</a:t>
          </a:r>
          <a:r>
            <a:rPr lang="en-US" sz="1100" b="1" baseline="30000">
              <a:solidFill>
                <a:schemeClr val="dk1"/>
              </a:solidFill>
              <a:effectLst/>
              <a:latin typeface="+mn-lt"/>
              <a:ea typeface="+mn-ea"/>
              <a:cs typeface="+mn-cs"/>
            </a:rPr>
            <a:t>3</a:t>
          </a:r>
          <a:endParaRPr lang="ru-RU"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br>
            <a:rPr lang="en-US" sz="1100" b="1">
              <a:solidFill>
                <a:schemeClr val="dk1"/>
              </a:solidFill>
              <a:effectLst/>
              <a:latin typeface="+mn-lt"/>
              <a:ea typeface="+mn-ea"/>
              <a:cs typeface="+mn-cs"/>
            </a:rPr>
          </a:br>
          <a:r>
            <a:rPr lang="en-US" sz="1100" b="1">
              <a:solidFill>
                <a:schemeClr val="dk1"/>
              </a:solidFill>
              <a:effectLst/>
              <a:latin typeface="+mn-lt"/>
              <a:ea typeface="+mn-ea"/>
              <a:cs typeface="+mn-cs"/>
            </a:rPr>
            <a:t>=======================================================================================================	</a:t>
          </a:r>
          <a:endParaRPr lang="ru-RU">
            <a:effectLst/>
          </a:endParaRPr>
        </a:p>
        <a:p>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56</a:t>
          </a:r>
          <a:endParaRPr lang="ru-RU" sz="1100">
            <a:solidFill>
              <a:schemeClr val="dk1"/>
            </a:solidFill>
            <a:effectLst/>
            <a:latin typeface="+mn-lt"/>
            <a:ea typeface="+mn-ea"/>
            <a:cs typeface="+mn-cs"/>
          </a:endParaRPr>
        </a:p>
        <a:p>
          <a:pPr algn="ctr"/>
          <a:r>
            <a:rPr lang="en-US" sz="1100">
              <a:solidFill>
                <a:schemeClr val="dk1"/>
              </a:solidFill>
              <a:effectLst/>
              <a:latin typeface="+mn-lt"/>
              <a:ea typeface="+mn-ea"/>
              <a:cs typeface="+mn-cs"/>
            </a:rPr>
            <a:t>KILOGRAMS PER LITRE AT 15°C AND LITRES AT 15°C</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PER METRIC TON AGAINST DENSITY AT 15°C</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algn="ctr"/>
          <a:r>
            <a:rPr lang="en-US" sz="1100">
              <a:solidFill>
                <a:schemeClr val="dk1"/>
              </a:solidFill>
              <a:effectLst/>
              <a:latin typeface="+mn-lt"/>
              <a:ea typeface="+mn-ea"/>
              <a:cs typeface="+mn-cs"/>
            </a:rPr>
            <a:t>(Density in this table is mass per unit volume at 15°C expressed in kilograms per litre.)</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This table gives the weight in air in kilograms of 1 L of oil at 15°C and the volume in litres at 15°C occupied by 1 metric ton in air of oil both for values of density at 15°C in the range 0.500 to 1.100 kg/L.</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When a weight in kilograms is calculated by multiplication of the deter­mined density by the volume in litres at the same temperature, the result is a weight </a:t>
          </a:r>
          <a:r>
            <a:rPr lang="en-US" sz="1100" i="1">
              <a:solidFill>
                <a:schemeClr val="dk1"/>
              </a:solidFill>
              <a:effectLst/>
              <a:latin typeface="+mn-lt"/>
              <a:ea typeface="+mn-ea"/>
              <a:cs typeface="+mn-cs"/>
            </a:rPr>
            <a:t>in vacuo.</a:t>
          </a:r>
          <a:r>
            <a:rPr lang="en-US" sz="1100">
              <a:solidFill>
                <a:schemeClr val="dk1"/>
              </a:solidFill>
              <a:effectLst/>
              <a:latin typeface="+mn-lt"/>
              <a:ea typeface="+mn-ea"/>
              <a:cs typeface="+mn-cs"/>
            </a:rPr>
            <a:t> Such weight, for comparison with direct weighing or for conversion to the corresponding weight in the U.S. system or the British system of measurement, must be corrected for the buoyancy of air. This correction has been incorporated into the values in this table.</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In those countries where metric weights are legally required to be weights </a:t>
          </a:r>
          <a:r>
            <a:rPr lang="en-US" sz="1100" i="1">
              <a:solidFill>
                <a:schemeClr val="dk1"/>
              </a:solidFill>
              <a:effectLst/>
              <a:latin typeface="+mn-lt"/>
              <a:ea typeface="+mn-ea"/>
              <a:cs typeface="+mn-cs"/>
            </a:rPr>
            <a:t>in vacuo</a:t>
          </a:r>
          <a:r>
            <a:rPr lang="en-US" sz="1100">
              <a:solidFill>
                <a:schemeClr val="dk1"/>
              </a:solidFill>
              <a:effectLst/>
              <a:latin typeface="+mn-lt"/>
              <a:ea typeface="+mn-ea"/>
              <a:cs typeface="+mn-cs"/>
            </a:rPr>
            <a:t> (that is, mass), this table should be used only in process that involve direct weighing, as for example, when volumetric quantities are being filled into containers by weight. The table may, however, be used in these countries in conjunction with the following short table which gives factors for the conversion of weight in air to weight </a:t>
          </a:r>
          <a:r>
            <a:rPr lang="en-US" sz="1100" i="1">
              <a:solidFill>
                <a:schemeClr val="dk1"/>
              </a:solidFill>
              <a:effectLst/>
              <a:latin typeface="+mn-lt"/>
              <a:ea typeface="+mn-ea"/>
              <a:cs typeface="+mn-cs"/>
            </a:rPr>
            <a:t>in vacuo</a:t>
          </a:r>
          <a:r>
            <a:rPr lang="en-US" sz="1100">
              <a:solidFill>
                <a:schemeClr val="dk1"/>
              </a:solidFill>
              <a:effectLst/>
              <a:latin typeface="+mn-lt"/>
              <a:ea typeface="+mn-ea"/>
              <a:cs typeface="+mn-cs"/>
            </a:rPr>
            <a:t> and vice versa:</a:t>
          </a:r>
          <a:endParaRPr lang="ru-R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t>
          </a:r>
          <a:r>
            <a:rPr lang="ru-RU" sz="1100">
              <a:solidFill>
                <a:schemeClr val="dk1"/>
              </a:solidFill>
              <a:effectLst/>
              <a:latin typeface="+mn-lt"/>
              <a:ea typeface="+mn-ea"/>
              <a:cs typeface="+mn-cs"/>
            </a:rPr>
            <a:t>В этой таблице приведены вес в килограммах 1 л масла в воздухе при 15°С и объем в литрах при 15°С, занимаемый 1 метрической тонной масла в воздухе, как для значений плотности при 15°С в диапазоне от 0,500 до 1.100 кг/л.</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t>
          </a:r>
          <a:r>
            <a:rPr lang="ru-RU" sz="1100">
              <a:solidFill>
                <a:schemeClr val="dk1"/>
              </a:solidFill>
              <a:effectLst/>
              <a:latin typeface="+mn-lt"/>
              <a:ea typeface="+mn-ea"/>
              <a:cs typeface="+mn-cs"/>
            </a:rPr>
            <a:t>Когда вес в килограммах рассчитывается путем умножения определенной плотности на объем в литрах при той же температуре, результатом является вес </a:t>
          </a:r>
          <a:r>
            <a:rPr lang="ru-RU" sz="1100" b="1" i="1" u="none">
              <a:solidFill>
                <a:schemeClr val="dk1"/>
              </a:solidFill>
              <a:effectLst/>
              <a:latin typeface="+mn-lt"/>
              <a:ea typeface="+mn-ea"/>
              <a:cs typeface="+mn-cs"/>
            </a:rPr>
            <a:t>в вакууме</a:t>
          </a:r>
          <a:r>
            <a:rPr lang="ru-RU" sz="1100">
              <a:solidFill>
                <a:schemeClr val="dk1"/>
              </a:solidFill>
              <a:effectLst/>
              <a:latin typeface="+mn-lt"/>
              <a:ea typeface="+mn-ea"/>
              <a:cs typeface="+mn-cs"/>
            </a:rPr>
            <a:t>. В такой вес для сравнения с прямым взвешиванием или для преобразования в соответствующий вес в американской или британской системе измерения необходимо внести поправку на плавучесть воздуха. Эта поправка была включена в значения в этой таблице.</a:t>
          </a:r>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r>
            <a:rPr lang="ru-RU" sz="1100">
              <a:solidFill>
                <a:schemeClr val="dk1"/>
              </a:solidFill>
              <a:effectLst/>
              <a:latin typeface="+mn-lt"/>
              <a:ea typeface="+mn-ea"/>
              <a:cs typeface="+mn-cs"/>
            </a:rPr>
            <a:t>В тех странах, где по закону метрические гири должны быть гирями </a:t>
          </a:r>
          <a:r>
            <a:rPr lang="ru-RU" sz="1100" b="1" i="1">
              <a:solidFill>
                <a:schemeClr val="dk1"/>
              </a:solidFill>
              <a:effectLst/>
              <a:latin typeface="+mn-lt"/>
              <a:ea typeface="+mn-ea"/>
              <a:cs typeface="+mn-cs"/>
            </a:rPr>
            <a:t>в вакууме </a:t>
          </a:r>
          <a:r>
            <a:rPr lang="ru-RU" sz="1100">
              <a:solidFill>
                <a:schemeClr val="dk1"/>
              </a:solidFill>
              <a:effectLst/>
              <a:latin typeface="+mn-lt"/>
              <a:ea typeface="+mn-ea"/>
              <a:cs typeface="+mn-cs"/>
            </a:rPr>
            <a:t>(то есть массой), эту таблицу следует использовать только в процессах, предполагающих прямое взвешивание, как, например, когда объемные количества загружаются в контейнеры по весу. Однако эта таблица может использоваться в этих странах вместе со следующей краткой таблицей, в которой приведены коэффициенты для пересчета веса в воздухе в вес </a:t>
          </a:r>
          <a:r>
            <a:rPr lang="ru-RU" sz="1100" b="1" i="1" u="none">
              <a:solidFill>
                <a:schemeClr val="dk1"/>
              </a:solidFill>
              <a:effectLst/>
              <a:latin typeface="+mn-lt"/>
              <a:ea typeface="+mn-ea"/>
              <a:cs typeface="+mn-cs"/>
            </a:rPr>
            <a:t>в вакууме </a:t>
          </a:r>
          <a:r>
            <a:rPr lang="ru-RU" sz="1100">
              <a:solidFill>
                <a:schemeClr val="dk1"/>
              </a:solidFill>
              <a:effectLst/>
              <a:latin typeface="+mn-lt"/>
              <a:ea typeface="+mn-ea"/>
              <a:cs typeface="+mn-cs"/>
            </a:rPr>
            <a:t>и наоборот:</a:t>
          </a:r>
          <a:endParaRPr lang="en-GB" sz="1100">
            <a:solidFill>
              <a:schemeClr val="dk1"/>
            </a:solidFill>
            <a:effectLst/>
            <a:latin typeface="+mn-lt"/>
            <a:ea typeface="+mn-ea"/>
            <a:cs typeface="+mn-cs"/>
          </a:endParaRPr>
        </a:p>
        <a:p>
          <a:endParaRPr lang="ru-RU" sz="1100">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EXAMPLES</a:t>
          </a:r>
          <a:endParaRPr lang="ru-RU" sz="1100" i="1">
            <a:solidFill>
              <a:schemeClr val="dk1"/>
            </a:solidFill>
            <a:effectLst/>
            <a:latin typeface="+mn-lt"/>
            <a:ea typeface="+mn-ea"/>
            <a:cs typeface="+mn-cs"/>
          </a:endParaRPr>
        </a:p>
        <a:p>
          <a:r>
            <a:rPr lang="en-US" sz="1100" b="0">
              <a:solidFill>
                <a:schemeClr val="dk1"/>
              </a:solidFill>
              <a:effectLst/>
              <a:latin typeface="+mn-lt"/>
              <a:ea typeface="+mn-ea"/>
              <a:cs typeface="+mn-cs"/>
            </a:rPr>
            <a:t>1. It is required to fill cans with exactly 2 L of an oil measured at 15°C, using a weight-filling machipe. If the density of the oil is 0.8943 kg/L at 15°C, what weight should be set on the scale of the machine?</a:t>
          </a:r>
          <a:endParaRPr lang="ru-RU" sz="1100" b="0">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Enter the table with 0.894 kg/L density and note that the weight of</a:t>
          </a:r>
          <a:endParaRPr lang="ru-RU" sz="1100" b="1">
            <a:solidFill>
              <a:schemeClr val="dk1"/>
            </a:solidFill>
            <a:effectLst/>
            <a:latin typeface="+mn-lt"/>
            <a:ea typeface="+mn-ea"/>
            <a:cs typeface="+mn-cs"/>
          </a:endParaRPr>
        </a:p>
        <a:p>
          <a:r>
            <a:rPr lang="ru-RU" sz="1100" b="1">
              <a:solidFill>
                <a:schemeClr val="dk1"/>
              </a:solidFill>
              <a:effectLst/>
              <a:latin typeface="+mn-lt"/>
              <a:ea typeface="+mn-ea"/>
              <a:cs typeface="+mn-cs"/>
            </a:rPr>
            <a:t>	    </a:t>
          </a:r>
          <a:r>
            <a:rPr lang="en-US" sz="1100" b="1">
              <a:solidFill>
                <a:schemeClr val="dk1"/>
              </a:solidFill>
              <a:effectLst/>
              <a:latin typeface="+mn-lt"/>
              <a:ea typeface="+mn-ea"/>
              <a:cs typeface="+mn-cs"/>
            </a:rPr>
            <a:t>1 L is </a:t>
          </a:r>
          <a:r>
            <a:rPr lang="en-GB" sz="1100" b="1">
              <a:solidFill>
                <a:schemeClr val="dk1"/>
              </a:solidFill>
              <a:effectLst/>
              <a:latin typeface="+mn-lt"/>
              <a:ea typeface="+mn-ea"/>
              <a:cs typeface="+mn-cs"/>
            </a:rPr>
            <a:t>............................................................................................................</a:t>
          </a:r>
          <a:r>
            <a:rPr lang="en-US" sz="1100" b="1">
              <a:solidFill>
                <a:schemeClr val="dk1"/>
              </a:solidFill>
              <a:effectLst/>
              <a:latin typeface="+mn-lt"/>
              <a:ea typeface="+mn-ea"/>
              <a:cs typeface="+mn-cs"/>
            </a:rPr>
            <a:t>	 0.8929 kg</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0.895 kg/L density and note that the </a:t>
          </a:r>
        </a:p>
        <a:p>
          <a:r>
            <a:rPr lang="en-US" sz="1100" b="1">
              <a:solidFill>
                <a:schemeClr val="dk1"/>
              </a:solidFill>
              <a:effectLst/>
              <a:latin typeface="+mn-lt"/>
              <a:ea typeface="+mn-ea"/>
              <a:cs typeface="+mn-cs"/>
            </a:rPr>
            <a:t>	    weight of 1 L is ............................................................................................	 0.8939 kg</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in weight of 0.0010 kg for an increase </a:t>
          </a:r>
        </a:p>
        <a:p>
          <a:r>
            <a:rPr lang="en-US" sz="1100" b="1">
              <a:solidFill>
                <a:schemeClr val="dk1"/>
              </a:solidFill>
              <a:effectLst/>
              <a:latin typeface="+mn-lt"/>
              <a:ea typeface="+mn-ea"/>
              <a:cs typeface="+mn-cs"/>
            </a:rPr>
            <a:t>	    of 0.0010 kg/L in density. Therefore, by simple proportion, an in­crease </a:t>
          </a:r>
        </a:p>
        <a:p>
          <a:r>
            <a:rPr lang="en-US" sz="1100" b="1">
              <a:solidFill>
                <a:schemeClr val="dk1"/>
              </a:solidFill>
              <a:effectLst/>
              <a:latin typeface="+mn-lt"/>
              <a:ea typeface="+mn-ea"/>
              <a:cs typeface="+mn-cs"/>
            </a:rPr>
            <a:t>	    in density from 0.894 to 0.8943 kg/L increases the weight by </a:t>
          </a:r>
        </a:p>
        <a:p>
          <a:r>
            <a:rPr lang="en-US" sz="1100" b="1">
              <a:solidFill>
                <a:schemeClr val="dk1"/>
              </a:solidFill>
              <a:effectLst/>
              <a:latin typeface="+mn-lt"/>
              <a:ea typeface="+mn-ea"/>
              <a:cs typeface="+mn-cs"/>
            </a:rPr>
            <a:t>	    0.3 X 0.0010 or ............................................................................................	 0.0003 kg</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1 L of oil having a density of 0.8943 kg / L at 15°C </a:t>
          </a:r>
        </a:p>
        <a:p>
          <a:r>
            <a:rPr lang="en-US" sz="1100" b="1">
              <a:solidFill>
                <a:schemeClr val="dk1"/>
              </a:solidFill>
              <a:effectLst/>
              <a:latin typeface="+mn-lt"/>
              <a:ea typeface="+mn-ea"/>
              <a:cs typeface="+mn-cs"/>
            </a:rPr>
            <a:t>	    weighs 0.8929 + 0.0003 or ...........................................................................	 0.8932 kg</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2 L of the oil at 15°C weigh 2 x 0.8932 or ...............................................	 1.7864 kg</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 filling machine is therefore set a 1.787 kg.</a:t>
          </a:r>
          <a:endParaRPr lang="ru-RU" sz="1100" b="1">
            <a:solidFill>
              <a:schemeClr val="dk1"/>
            </a:solidFill>
            <a:effectLst/>
            <a:latin typeface="+mn-lt"/>
            <a:ea typeface="+mn-ea"/>
            <a:cs typeface="+mn-cs"/>
          </a:endParaRPr>
        </a:p>
        <a:p>
          <a:endParaRPr lang="ru-RU" sz="1100" b="1">
            <a:solidFill>
              <a:schemeClr val="dk1"/>
            </a:solidFill>
            <a:effectLst/>
            <a:latin typeface="+mn-lt"/>
            <a:ea typeface="+mn-ea"/>
            <a:cs typeface="+mn-cs"/>
          </a:endParaRPr>
        </a:p>
        <a:p>
          <a:r>
            <a:rPr lang="en-US" sz="1100" b="0">
              <a:solidFill>
                <a:schemeClr val="dk1"/>
              </a:solidFill>
              <a:effectLst/>
              <a:latin typeface="+mn-lt"/>
              <a:ea typeface="+mn-ea"/>
              <a:cs typeface="+mn-cs"/>
            </a:rPr>
            <a:t>2. A quantity of oil having a density of 0.9418 kg/L at 15°C has been invoiced as 1368.231 metric tons in air. What is the volume in litres at 15°C?</a:t>
          </a:r>
          <a:endParaRPr lang="ru-RU" sz="1100" b="0">
            <a:solidFill>
              <a:schemeClr val="dk1"/>
            </a:solidFill>
            <a:effectLst/>
            <a:latin typeface="+mn-lt"/>
            <a:ea typeface="+mn-ea"/>
            <a:cs typeface="+mn-cs"/>
          </a:endParaRPr>
        </a:p>
        <a:p>
          <a:r>
            <a:rPr lang="en-US" sz="1100" b="1">
              <a:solidFill>
                <a:schemeClr val="dk1"/>
              </a:solidFill>
              <a:effectLst/>
              <a:latin typeface="+mn-lt"/>
              <a:ea typeface="+mn-ea"/>
              <a:cs typeface="+mn-cs"/>
            </a:rPr>
            <a:t>	Enter the table with 0.941 kg/L density and note that the volume </a:t>
          </a:r>
        </a:p>
        <a:p>
          <a:r>
            <a:rPr lang="en-US" sz="1100" b="1">
              <a:solidFill>
                <a:schemeClr val="dk1"/>
              </a:solidFill>
              <a:effectLst/>
              <a:latin typeface="+mn-lt"/>
              <a:ea typeface="+mn-ea"/>
              <a:cs typeface="+mn-cs"/>
            </a:rPr>
            <a:t>	    occupied by 1 metric ton is ..........................................................................	 1063.9 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Likewise, enter the table with 0.942 kg/L density and note that </a:t>
          </a:r>
        </a:p>
        <a:p>
          <a:r>
            <a:rPr lang="en-US" sz="1100" b="1">
              <a:solidFill>
                <a:schemeClr val="dk1"/>
              </a:solidFill>
              <a:effectLst/>
              <a:latin typeface="+mn-lt"/>
              <a:ea typeface="+mn-ea"/>
              <a:cs typeface="+mn-cs"/>
            </a:rPr>
            <a:t>	    the volume occupied by 1 metric ton is .......................................................	 1062.8 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 decrease in volume of 1.1 L for an increase of</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0.001 kg/L in density. Therefore, by simple proportion, an</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increase in density from 0.941 to 0.9418 kg/L decreases the</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volume by 0.8 x 1.1 or .................................................................................	 0.88 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Hence, 1 metric ton of oil having a density of 0.9418 kg/ L at 15°C </a:t>
          </a:r>
        </a:p>
        <a:p>
          <a:r>
            <a:rPr lang="en-US" sz="1100" b="1">
              <a:solidFill>
                <a:schemeClr val="dk1"/>
              </a:solidFill>
              <a:effectLst/>
              <a:latin typeface="+mn-lt"/>
              <a:ea typeface="+mn-ea"/>
              <a:cs typeface="+mn-cs"/>
            </a:rPr>
            <a:t>	    occupies a volume of 1063.9 - 0.88 or ..........................................................	 1063.02 L</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Then, 1368.231 metric tons of this oil at 15°C occupy a volume of </a:t>
          </a:r>
        </a:p>
        <a:p>
          <a:r>
            <a:rPr lang="en-US" sz="1100" b="1">
              <a:solidFill>
                <a:schemeClr val="dk1"/>
              </a:solidFill>
              <a:effectLst/>
              <a:latin typeface="+mn-lt"/>
              <a:ea typeface="+mn-ea"/>
              <a:cs typeface="+mn-cs"/>
            </a:rPr>
            <a:t>	    1368.231 x 1063.02 or .................................................................................	 1 454 457 L</a:t>
          </a:r>
          <a:endParaRPr lang="ru-RU" sz="1100" b="1">
            <a:solidFill>
              <a:schemeClr val="dk1"/>
            </a:solidFill>
            <a:effectLst/>
            <a:latin typeface="+mn-lt"/>
            <a:ea typeface="+mn-ea"/>
            <a:cs typeface="+mn-cs"/>
          </a:endParaRPr>
        </a:p>
        <a:p>
          <a:pPr algn="ct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	</a:t>
          </a: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TABLE 57</a:t>
          </a:r>
          <a:endParaRPr lang="ru-RU" sz="1100" b="1">
            <a:solidFill>
              <a:schemeClr val="dk1"/>
            </a:solidFill>
            <a:effectLst/>
            <a:latin typeface="+mn-lt"/>
            <a:ea typeface="+mn-ea"/>
            <a:cs typeface="+mn-cs"/>
          </a:endParaRPr>
        </a:p>
        <a:p>
          <a:pPr algn="ctr"/>
          <a:r>
            <a:rPr lang="en-US" sz="1100">
              <a:solidFill>
                <a:schemeClr val="dk1"/>
              </a:solidFill>
              <a:effectLst/>
              <a:latin typeface="+mn-lt"/>
              <a:ea typeface="+mn-ea"/>
              <a:cs typeface="+mn-cs"/>
            </a:rPr>
            <a:t>SHORT TONS AND LONG TONS PER 1000 LITRES AT 15°C</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AGAINST DENSITY AT 15°C</a:t>
          </a:r>
          <a:endParaRPr lang="ru-RU" sz="1100">
            <a:solidFill>
              <a:schemeClr val="dk1"/>
            </a:solidFill>
            <a:effectLst/>
            <a:latin typeface="+mn-lt"/>
            <a:ea typeface="+mn-ea"/>
            <a:cs typeface="+mn-cs"/>
          </a:endParaRPr>
        </a:p>
        <a:p>
          <a:pPr algn="ctr"/>
          <a:r>
            <a:rPr lang="en-US" sz="1100">
              <a:solidFill>
                <a:schemeClr val="dk1"/>
              </a:solidFill>
              <a:effectLst/>
              <a:latin typeface="+mn-lt"/>
              <a:ea typeface="+mn-ea"/>
              <a:cs typeface="+mn-cs"/>
            </a:rPr>
            <a:t>(Density in this table is mass per unit volume at 15°C expressed in kilograms per litre.)</a:t>
          </a:r>
          <a:endParaRPr lang="ru-RU"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table gives the weight in air in short tons and in long tons of 1000 L of oil at 15°C, for values of density at 15°C in the range from 0.500 to 1.100 kg/L.</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The table is expected to be most useful in cases where bulk quantities of oil have been measured in litres at 15°C and it is desired to invoice the oil in short or long tons.</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This table must be entered with density at 15°C; if the volume has been measured at some other temperature, the equivalent volume at 15°C must first be found from Table 54.</a:t>
          </a:r>
          <a:endParaRPr lang="ru-RU" sz="1100" b="1">
            <a:solidFill>
              <a:schemeClr val="dk1"/>
            </a:solidFill>
            <a:effectLst/>
            <a:latin typeface="+mn-lt"/>
            <a:ea typeface="+mn-ea"/>
            <a:cs typeface="+mn-cs"/>
          </a:endParaRPr>
        </a:p>
        <a:p>
          <a:pPr algn="ctr"/>
          <a:endParaRPr lang="en-US" sz="1100" i="1">
            <a:solidFill>
              <a:schemeClr val="dk1"/>
            </a:solidFill>
            <a:effectLst/>
            <a:latin typeface="+mn-lt"/>
            <a:ea typeface="+mn-ea"/>
            <a:cs typeface="+mn-cs"/>
          </a:endParaRPr>
        </a:p>
        <a:p>
          <a:pPr algn="ctr"/>
          <a:r>
            <a:rPr lang="en-US" sz="1100" i="1">
              <a:solidFill>
                <a:schemeClr val="dk1"/>
              </a:solidFill>
              <a:effectLst/>
              <a:latin typeface="+mn-lt"/>
              <a:ea typeface="+mn-ea"/>
              <a:cs typeface="+mn-cs"/>
            </a:rPr>
            <a:t>EXAMPLE</a:t>
          </a:r>
          <a:endParaRPr lang="ru-RU" sz="1100" i="1">
            <a:solidFill>
              <a:schemeClr val="dk1"/>
            </a:solidFill>
            <a:effectLst/>
            <a:latin typeface="+mn-lt"/>
            <a:ea typeface="+mn-ea"/>
            <a:cs typeface="+mn-cs"/>
          </a:endParaRPr>
        </a:p>
        <a:p>
          <a:r>
            <a:rPr lang="en-US" sz="1100">
              <a:solidFill>
                <a:schemeClr val="dk1"/>
              </a:solidFill>
              <a:effectLst/>
              <a:latin typeface="+mn-lt"/>
              <a:ea typeface="+mn-ea"/>
              <a:cs typeface="+mn-cs"/>
            </a:rPr>
            <a:t>When corrected to the standard temperature of 15°C by means of Table 54, the volume of a quantity of oil is found to be </a:t>
          </a:r>
        </a:p>
        <a:p>
          <a:r>
            <a:rPr lang="en-US" sz="1100">
              <a:solidFill>
                <a:schemeClr val="dk1"/>
              </a:solidFill>
              <a:effectLst/>
              <a:latin typeface="+mn-lt"/>
              <a:ea typeface="+mn-ea"/>
              <a:cs typeface="+mn-cs"/>
            </a:rPr>
            <a:t>13 576 303 L. If the density of the oil is 0.8443 kg/L at 15°C, what is the weight in long tons?</a:t>
          </a:r>
          <a:endParaRPr lang="ru-R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Enter the table with 0.844 kg/L density and note that the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weight of 1000 L is .......................................................................................</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0.8296 long tons</a:t>
          </a:r>
          <a:endParaRPr lang="ru-RU"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Likewise, enter the table with 0.845 kg/L density and note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that the weight of 1000 L is ......................................................................... 	0.8306 long tons</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This represents an increase in weight of 0.0010 long tons </a:t>
          </a:r>
        </a:p>
        <a:p>
          <a:r>
            <a:rPr lang="en-US" sz="1100" b="1">
              <a:solidFill>
                <a:schemeClr val="dk1"/>
              </a:solidFill>
              <a:effectLst/>
              <a:latin typeface="+mn-lt"/>
              <a:ea typeface="+mn-ea"/>
              <a:cs typeface="+mn-cs"/>
            </a:rPr>
            <a:t>	    for an increase of 0.0010 kg/L density. Therefore, by </a:t>
          </a:r>
        </a:p>
        <a:p>
          <a:r>
            <a:rPr lang="en-US" sz="1100" b="1">
              <a:solidFill>
                <a:schemeClr val="dk1"/>
              </a:solidFill>
              <a:effectLst/>
              <a:latin typeface="+mn-lt"/>
              <a:ea typeface="+mn-ea"/>
              <a:cs typeface="+mn-cs"/>
            </a:rPr>
            <a:t>	    simple proportion, an increase in density from 0.844 to 0.8443 kg/L </a:t>
          </a:r>
        </a:p>
        <a:p>
          <a:r>
            <a:rPr lang="en-US" sz="1100" b="1">
              <a:solidFill>
                <a:schemeClr val="dk1"/>
              </a:solidFill>
              <a:effectLst/>
              <a:latin typeface="+mn-lt"/>
              <a:ea typeface="+mn-ea"/>
              <a:cs typeface="+mn-cs"/>
            </a:rPr>
            <a:t>	    increases the number of long tons by 0.3 x 0.0010 or ..................................  	0.0003 long tons	</a:t>
          </a:r>
          <a:endParaRPr lang="ru-RU"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Hence, 1000 L of oil having a density of 0.8443 kg/L </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at 15°C weigh 0.8296 + 0.0003 or .................................................................	0.8299 long tons</a:t>
          </a:r>
          <a:endParaRPr lang="ru-RU">
            <a:effectLst/>
          </a:endParaRPr>
        </a:p>
        <a:p>
          <a:r>
            <a:rPr lang="en-US" sz="1100" b="1">
              <a:solidFill>
                <a:schemeClr val="dk1"/>
              </a:solidFill>
              <a:effectLst/>
              <a:latin typeface="+mn-lt"/>
              <a:ea typeface="+mn-ea"/>
              <a:cs typeface="+mn-cs"/>
            </a:rPr>
            <a:t>	Then, 13 576 303 L of this oil at 15°C weigh 13 576.303 x 0.8299 or .................	11 266.97 long tons		</a:t>
          </a:r>
          <a:endParaRPr lang="ru-RU" sz="1100" b="1">
            <a:solidFill>
              <a:schemeClr val="dk1"/>
            </a:solidFill>
            <a:effectLst/>
            <a:latin typeface="+mn-lt"/>
            <a:ea typeface="+mn-ea"/>
            <a:cs typeface="+mn-cs"/>
          </a:endParaRPr>
        </a:p>
        <a:p>
          <a:pPr algn="ctr"/>
          <a:r>
            <a:rPr lang="en-US" sz="1100" b="1">
              <a:solidFill>
                <a:schemeClr val="dk1"/>
              </a:solidFill>
              <a:effectLst/>
              <a:latin typeface="+mn-lt"/>
              <a:ea typeface="+mn-ea"/>
              <a:cs typeface="+mn-cs"/>
            </a:rPr>
            <a:t>=======================================================================================================	</a:t>
          </a:r>
          <a:br>
            <a:rPr lang="en-US" sz="1100" b="1">
              <a:solidFill>
                <a:schemeClr val="dk1"/>
              </a:solidFill>
              <a:effectLst/>
              <a:latin typeface="+mn-lt"/>
              <a:ea typeface="+mn-ea"/>
              <a:cs typeface="+mn-cs"/>
            </a:rPr>
          </a:b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TABLE 58</a:t>
          </a:r>
          <a:endParaRPr lang="ru-RU" sz="1100" b="1">
            <a:solidFill>
              <a:schemeClr val="dk1"/>
            </a:solidFill>
            <a:effectLst/>
            <a:latin typeface="+mn-lt"/>
            <a:ea typeface="+mn-ea"/>
            <a:cs typeface="+mn-cs"/>
          </a:endParaRPr>
        </a:p>
        <a:p>
          <a:pPr algn="ctr"/>
          <a:r>
            <a:rPr lang="en-US" sz="1100" b="0">
              <a:solidFill>
                <a:schemeClr val="dk1"/>
              </a:solidFill>
              <a:effectLst/>
              <a:latin typeface="+mn-lt"/>
              <a:ea typeface="+mn-ea"/>
              <a:cs typeface="+mn-cs"/>
            </a:rPr>
            <a:t>U.S. GALLONS AND BARRELS PER METRIC TON</a:t>
          </a:r>
          <a:br>
            <a:rPr lang="en-US" sz="1100" b="0">
              <a:solidFill>
                <a:schemeClr val="dk1"/>
              </a:solidFill>
              <a:effectLst/>
              <a:latin typeface="+mn-lt"/>
              <a:ea typeface="+mn-ea"/>
              <a:cs typeface="+mn-cs"/>
            </a:rPr>
          </a:br>
          <a:r>
            <a:rPr lang="en-US" sz="1100" b="0">
              <a:solidFill>
                <a:schemeClr val="dk1"/>
              </a:solidFill>
              <a:effectLst/>
              <a:latin typeface="+mn-lt"/>
              <a:ea typeface="+mn-ea"/>
              <a:cs typeface="+mn-cs"/>
            </a:rPr>
            <a:t>AGAINST DENSITY AT 15°C</a:t>
          </a:r>
        </a:p>
        <a:p>
          <a:pPr algn="ctr"/>
          <a:endParaRPr lang="ru-RU" sz="1100" b="0">
            <a:solidFill>
              <a:schemeClr val="dk1"/>
            </a:solidFill>
            <a:effectLst/>
            <a:latin typeface="+mn-lt"/>
            <a:ea typeface="+mn-ea"/>
            <a:cs typeface="+mn-cs"/>
          </a:endParaRPr>
        </a:p>
        <a:p>
          <a:r>
            <a:rPr lang="en-US" sz="1100" b="0">
              <a:solidFill>
                <a:schemeClr val="dk1"/>
              </a:solidFill>
              <a:effectLst/>
              <a:latin typeface="+mn-lt"/>
              <a:ea typeface="+mn-ea"/>
              <a:cs typeface="+mn-cs"/>
            </a:rPr>
            <a:t>31 416.7 metric tons of a hydrocarbon liquid with a 15°C density of 761 kg/m</a:t>
          </a:r>
          <a:r>
            <a:rPr lang="en-US" sz="1100" b="0" baseline="30000">
              <a:solidFill>
                <a:schemeClr val="dk1"/>
              </a:solidFill>
              <a:effectLst/>
              <a:latin typeface="+mn-lt"/>
              <a:ea typeface="+mn-ea"/>
              <a:cs typeface="+mn-cs"/>
            </a:rPr>
            <a:t>3</a:t>
          </a:r>
          <a:r>
            <a:rPr lang="en-US" sz="1100" b="0">
              <a:solidFill>
                <a:schemeClr val="dk1"/>
              </a:solidFill>
              <a:effectLst/>
              <a:latin typeface="+mn-lt"/>
              <a:ea typeface="+mn-ea"/>
              <a:cs typeface="+mn-cs"/>
            </a:rPr>
            <a:t> must be expressed as U.S. barrels at 60°F.</a:t>
          </a:r>
          <a:endParaRPr lang="ru-RU" sz="1100" b="0">
            <a:solidFill>
              <a:schemeClr val="dk1"/>
            </a:solidFill>
            <a:effectLst/>
            <a:latin typeface="+mn-lt"/>
            <a:ea typeface="+mn-ea"/>
            <a:cs typeface="+mn-cs"/>
          </a:endParaRPr>
        </a:p>
        <a:p>
          <a:r>
            <a:rPr lang="en-US" sz="1100" b="1">
              <a:solidFill>
                <a:schemeClr val="dk1"/>
              </a:solidFill>
              <a:effectLst/>
              <a:latin typeface="+mn-lt"/>
              <a:ea typeface="+mn-ea"/>
              <a:cs typeface="+mn-cs"/>
            </a:rPr>
            <a:t>	Enter the density column, read to 761, record the conversion factor of 8.283 barrels per metric ton.</a:t>
          </a:r>
          <a:endParaRPr lang="ru-RU" sz="1100" b="1">
            <a:solidFill>
              <a:schemeClr val="dk1"/>
            </a:solidFill>
            <a:effectLst/>
            <a:latin typeface="+mn-lt"/>
            <a:ea typeface="+mn-ea"/>
            <a:cs typeface="+mn-cs"/>
          </a:endParaRPr>
        </a:p>
        <a:p>
          <a:r>
            <a:rPr lang="en-US" sz="1100" b="1">
              <a:solidFill>
                <a:schemeClr val="dk1"/>
              </a:solidFill>
              <a:effectLst/>
              <a:latin typeface="+mn-lt"/>
              <a:ea typeface="+mn-ea"/>
              <a:cs typeface="+mn-cs"/>
            </a:rPr>
            <a:t>		31 416.7 x 8.283 = 260 225 barrels at 60°F</a:t>
          </a:r>
          <a:endParaRPr lang="ru-RU" sz="1100" b="1">
            <a:solidFill>
              <a:schemeClr val="dk1"/>
            </a:solidFill>
            <a:effectLst/>
            <a:latin typeface="+mn-lt"/>
            <a:ea typeface="+mn-ea"/>
            <a:cs typeface="+mn-cs"/>
          </a:endParaRPr>
        </a:p>
        <a:p>
          <a:br>
            <a:rPr lang="en-US" sz="1100" b="1">
              <a:solidFill>
                <a:schemeClr val="dk1"/>
              </a:solidFill>
              <a:effectLst/>
              <a:latin typeface="+mn-lt"/>
              <a:ea typeface="+mn-ea"/>
              <a:cs typeface="+mn-cs"/>
            </a:rPr>
          </a:br>
          <a:endParaRPr lang="en-US"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1</xdr:col>
      <xdr:colOff>887730</xdr:colOff>
      <xdr:row>23</xdr:row>
      <xdr:rowOff>0</xdr:rowOff>
    </xdr:from>
    <xdr:to>
      <xdr:col>1</xdr:col>
      <xdr:colOff>1564445</xdr:colOff>
      <xdr:row>25</xdr:row>
      <xdr:rowOff>234763</xdr:rowOff>
    </xdr:to>
    <xdr:pic>
      <xdr:nvPicPr>
        <xdr:cNvPr id="3" name="Рисунок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887730" y="5722620"/>
          <a:ext cx="676715" cy="7681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887730</xdr:colOff>
      <xdr:row>23</xdr:row>
      <xdr:rowOff>0</xdr:rowOff>
    </xdr:from>
    <xdr:to>
      <xdr:col>1</xdr:col>
      <xdr:colOff>1564445</xdr:colOff>
      <xdr:row>25</xdr:row>
      <xdr:rowOff>234763</xdr:rowOff>
    </xdr:to>
    <xdr:pic>
      <xdr:nvPicPr>
        <xdr:cNvPr id="3" name="Рисунок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887730" y="4924425"/>
          <a:ext cx="676715" cy="76816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887730</xdr:colOff>
      <xdr:row>23</xdr:row>
      <xdr:rowOff>0</xdr:rowOff>
    </xdr:from>
    <xdr:to>
      <xdr:col>1</xdr:col>
      <xdr:colOff>1564445</xdr:colOff>
      <xdr:row>25</xdr:row>
      <xdr:rowOff>234763</xdr:rowOff>
    </xdr:to>
    <xdr:pic>
      <xdr:nvPicPr>
        <xdr:cNvPr id="5" name="Рисунок 2">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887730" y="6257925"/>
          <a:ext cx="676715" cy="76816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887730</xdr:colOff>
      <xdr:row>23</xdr:row>
      <xdr:rowOff>0</xdr:rowOff>
    </xdr:from>
    <xdr:to>
      <xdr:col>1</xdr:col>
      <xdr:colOff>1564445</xdr:colOff>
      <xdr:row>25</xdr:row>
      <xdr:rowOff>234763</xdr:rowOff>
    </xdr:to>
    <xdr:pic>
      <xdr:nvPicPr>
        <xdr:cNvPr id="2" name="Рисунок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887730" y="6027420"/>
          <a:ext cx="676715" cy="76816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933450</xdr:colOff>
      <xdr:row>23</xdr:row>
      <xdr:rowOff>76200</xdr:rowOff>
    </xdr:from>
    <xdr:to>
      <xdr:col>1</xdr:col>
      <xdr:colOff>1527450</xdr:colOff>
      <xdr:row>25</xdr:row>
      <xdr:rowOff>136800</xdr:rowOff>
    </xdr:to>
    <xdr:grpSp>
      <xdr:nvGrpSpPr>
        <xdr:cNvPr id="3" name="Group 2">
          <a:extLst>
            <a:ext uri="{FF2B5EF4-FFF2-40B4-BE49-F238E27FC236}">
              <a16:creationId xmlns:a16="http://schemas.microsoft.com/office/drawing/2014/main" id="{00000000-0008-0000-0900-000003000000}"/>
            </a:ext>
          </a:extLst>
        </xdr:cNvPr>
        <xdr:cNvGrpSpPr>
          <a:grpSpLocks noChangeAspect="1"/>
        </xdr:cNvGrpSpPr>
      </xdr:nvGrpSpPr>
      <xdr:grpSpPr>
        <a:xfrm>
          <a:off x="933450" y="6105525"/>
          <a:ext cx="594000" cy="594000"/>
          <a:chOff x="2807970" y="1543049"/>
          <a:chExt cx="450000" cy="450000"/>
        </a:xfrm>
      </xdr:grpSpPr>
      <xdr:sp macro="" textlink="">
        <xdr:nvSpPr>
          <xdr:cNvPr id="4" name="Rectangle 3">
            <a:extLst>
              <a:ext uri="{FF2B5EF4-FFF2-40B4-BE49-F238E27FC236}">
                <a16:creationId xmlns:a16="http://schemas.microsoft.com/office/drawing/2014/main" id="{00000000-0008-0000-0900-000004000000}"/>
              </a:ext>
            </a:extLst>
          </xdr:cNvPr>
          <xdr:cNvSpPr/>
        </xdr:nvSpPr>
        <xdr:spPr>
          <a:xfrm>
            <a:off x="2807970" y="1543049"/>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Line 45">
            <a:extLst>
              <a:ext uri="{FF2B5EF4-FFF2-40B4-BE49-F238E27FC236}">
                <a16:creationId xmlns:a16="http://schemas.microsoft.com/office/drawing/2014/main" id="{00000000-0008-0000-0900-000005000000}"/>
              </a:ext>
            </a:extLst>
          </xdr:cNvPr>
          <xdr:cNvSpPr>
            <a:spLocks noChangeAspect="1" noChangeShapeType="1"/>
          </xdr:cNvSpPr>
        </xdr:nvSpPr>
        <xdr:spPr bwMode="auto">
          <a:xfrm>
            <a:off x="2903220" y="1674495"/>
            <a:ext cx="276937" cy="0"/>
          </a:xfrm>
          <a:prstGeom prst="line">
            <a:avLst/>
          </a:prstGeom>
          <a:noFill/>
          <a:ln w="4445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46">
            <a:extLst>
              <a:ext uri="{FF2B5EF4-FFF2-40B4-BE49-F238E27FC236}">
                <a16:creationId xmlns:a16="http://schemas.microsoft.com/office/drawing/2014/main" id="{00000000-0008-0000-0900-000006000000}"/>
              </a:ext>
            </a:extLst>
          </xdr:cNvPr>
          <xdr:cNvSpPr>
            <a:spLocks noChangeAspect="1" noChangeShapeType="1"/>
          </xdr:cNvSpPr>
        </xdr:nvSpPr>
        <xdr:spPr bwMode="auto">
          <a:xfrm rot="10800000">
            <a:off x="2903220" y="1863657"/>
            <a:ext cx="276937" cy="0"/>
          </a:xfrm>
          <a:prstGeom prst="line">
            <a:avLst/>
          </a:prstGeom>
          <a:noFill/>
          <a:ln w="4445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933450</xdr:colOff>
      <xdr:row>23</xdr:row>
      <xdr:rowOff>76200</xdr:rowOff>
    </xdr:from>
    <xdr:to>
      <xdr:col>1</xdr:col>
      <xdr:colOff>1527450</xdr:colOff>
      <xdr:row>26</xdr:row>
      <xdr:rowOff>52980</xdr:rowOff>
    </xdr:to>
    <xdr:grpSp>
      <xdr:nvGrpSpPr>
        <xdr:cNvPr id="2" name="Group 2">
          <a:extLst>
            <a:ext uri="{FF2B5EF4-FFF2-40B4-BE49-F238E27FC236}">
              <a16:creationId xmlns:a16="http://schemas.microsoft.com/office/drawing/2014/main" id="{00000000-0008-0000-0A00-000002000000}"/>
            </a:ext>
          </a:extLst>
        </xdr:cNvPr>
        <xdr:cNvGrpSpPr>
          <a:grpSpLocks noChangeAspect="1"/>
        </xdr:cNvGrpSpPr>
      </xdr:nvGrpSpPr>
      <xdr:grpSpPr>
        <a:xfrm>
          <a:off x="933450" y="6105525"/>
          <a:ext cx="594000" cy="576855"/>
          <a:chOff x="2807970" y="1543049"/>
          <a:chExt cx="450000" cy="450000"/>
        </a:xfrm>
      </xdr:grpSpPr>
      <xdr:sp macro="" textlink="">
        <xdr:nvSpPr>
          <xdr:cNvPr id="3" name="Rectangle 3">
            <a:extLst>
              <a:ext uri="{FF2B5EF4-FFF2-40B4-BE49-F238E27FC236}">
                <a16:creationId xmlns:a16="http://schemas.microsoft.com/office/drawing/2014/main" id="{00000000-0008-0000-0A00-000003000000}"/>
              </a:ext>
            </a:extLst>
          </xdr:cNvPr>
          <xdr:cNvSpPr/>
        </xdr:nvSpPr>
        <xdr:spPr>
          <a:xfrm>
            <a:off x="2807970" y="1543049"/>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Line 45">
            <a:extLst>
              <a:ext uri="{FF2B5EF4-FFF2-40B4-BE49-F238E27FC236}">
                <a16:creationId xmlns:a16="http://schemas.microsoft.com/office/drawing/2014/main" id="{00000000-0008-0000-0A00-000004000000}"/>
              </a:ext>
            </a:extLst>
          </xdr:cNvPr>
          <xdr:cNvSpPr>
            <a:spLocks noChangeAspect="1" noChangeShapeType="1"/>
          </xdr:cNvSpPr>
        </xdr:nvSpPr>
        <xdr:spPr bwMode="auto">
          <a:xfrm>
            <a:off x="2903220" y="1674495"/>
            <a:ext cx="276937" cy="0"/>
          </a:xfrm>
          <a:prstGeom prst="line">
            <a:avLst/>
          </a:prstGeom>
          <a:noFill/>
          <a:ln w="4445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Line 46">
            <a:extLst>
              <a:ext uri="{FF2B5EF4-FFF2-40B4-BE49-F238E27FC236}">
                <a16:creationId xmlns:a16="http://schemas.microsoft.com/office/drawing/2014/main" id="{00000000-0008-0000-0A00-000005000000}"/>
              </a:ext>
            </a:extLst>
          </xdr:cNvPr>
          <xdr:cNvSpPr>
            <a:spLocks noChangeAspect="1" noChangeShapeType="1"/>
          </xdr:cNvSpPr>
        </xdr:nvSpPr>
        <xdr:spPr bwMode="auto">
          <a:xfrm rot="10800000">
            <a:off x="2903220" y="1863657"/>
            <a:ext cx="276937" cy="0"/>
          </a:xfrm>
          <a:prstGeom prst="line">
            <a:avLst/>
          </a:prstGeom>
          <a:noFill/>
          <a:ln w="4445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933450</xdr:colOff>
      <xdr:row>23</xdr:row>
      <xdr:rowOff>76200</xdr:rowOff>
    </xdr:from>
    <xdr:to>
      <xdr:col>1</xdr:col>
      <xdr:colOff>1527450</xdr:colOff>
      <xdr:row>25</xdr:row>
      <xdr:rowOff>136800</xdr:rowOff>
    </xdr:to>
    <xdr:grpSp>
      <xdr:nvGrpSpPr>
        <xdr:cNvPr id="2" name="Group 5">
          <a:extLst>
            <a:ext uri="{FF2B5EF4-FFF2-40B4-BE49-F238E27FC236}">
              <a16:creationId xmlns:a16="http://schemas.microsoft.com/office/drawing/2014/main" id="{00000000-0008-0000-0B00-000002000000}"/>
            </a:ext>
          </a:extLst>
        </xdr:cNvPr>
        <xdr:cNvGrpSpPr>
          <a:grpSpLocks noChangeAspect="1"/>
        </xdr:cNvGrpSpPr>
      </xdr:nvGrpSpPr>
      <xdr:grpSpPr>
        <a:xfrm>
          <a:off x="933450" y="6105525"/>
          <a:ext cx="594000" cy="594000"/>
          <a:chOff x="2807970" y="1543049"/>
          <a:chExt cx="450000" cy="450000"/>
        </a:xfrm>
      </xdr:grpSpPr>
      <xdr:sp macro="" textlink="">
        <xdr:nvSpPr>
          <xdr:cNvPr id="3" name="Rectangle 6">
            <a:extLst>
              <a:ext uri="{FF2B5EF4-FFF2-40B4-BE49-F238E27FC236}">
                <a16:creationId xmlns:a16="http://schemas.microsoft.com/office/drawing/2014/main" id="{00000000-0008-0000-0B00-000003000000}"/>
              </a:ext>
            </a:extLst>
          </xdr:cNvPr>
          <xdr:cNvSpPr/>
        </xdr:nvSpPr>
        <xdr:spPr>
          <a:xfrm>
            <a:off x="2807970" y="1543049"/>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Line 45">
            <a:extLst>
              <a:ext uri="{FF2B5EF4-FFF2-40B4-BE49-F238E27FC236}">
                <a16:creationId xmlns:a16="http://schemas.microsoft.com/office/drawing/2014/main" id="{00000000-0008-0000-0B00-000004000000}"/>
              </a:ext>
            </a:extLst>
          </xdr:cNvPr>
          <xdr:cNvSpPr>
            <a:spLocks noChangeAspect="1" noChangeShapeType="1"/>
          </xdr:cNvSpPr>
        </xdr:nvSpPr>
        <xdr:spPr bwMode="auto">
          <a:xfrm>
            <a:off x="2903220" y="1674495"/>
            <a:ext cx="276937" cy="0"/>
          </a:xfrm>
          <a:prstGeom prst="line">
            <a:avLst/>
          </a:prstGeom>
          <a:noFill/>
          <a:ln w="4445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Line 46">
            <a:extLst>
              <a:ext uri="{FF2B5EF4-FFF2-40B4-BE49-F238E27FC236}">
                <a16:creationId xmlns:a16="http://schemas.microsoft.com/office/drawing/2014/main" id="{00000000-0008-0000-0B00-000005000000}"/>
              </a:ext>
            </a:extLst>
          </xdr:cNvPr>
          <xdr:cNvSpPr>
            <a:spLocks noChangeAspect="1" noChangeShapeType="1"/>
          </xdr:cNvSpPr>
        </xdr:nvSpPr>
        <xdr:spPr bwMode="auto">
          <a:xfrm rot="10800000">
            <a:off x="2903220" y="1863657"/>
            <a:ext cx="276937" cy="0"/>
          </a:xfrm>
          <a:prstGeom prst="line">
            <a:avLst/>
          </a:prstGeom>
          <a:noFill/>
          <a:ln w="4445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933450</xdr:colOff>
      <xdr:row>23</xdr:row>
      <xdr:rowOff>76200</xdr:rowOff>
    </xdr:from>
    <xdr:to>
      <xdr:col>1</xdr:col>
      <xdr:colOff>1527450</xdr:colOff>
      <xdr:row>25</xdr:row>
      <xdr:rowOff>136800</xdr:rowOff>
    </xdr:to>
    <xdr:grpSp>
      <xdr:nvGrpSpPr>
        <xdr:cNvPr id="7" name="Group 6">
          <a:extLst>
            <a:ext uri="{FF2B5EF4-FFF2-40B4-BE49-F238E27FC236}">
              <a16:creationId xmlns:a16="http://schemas.microsoft.com/office/drawing/2014/main" id="{00000000-0008-0000-0C00-000007000000}"/>
            </a:ext>
          </a:extLst>
        </xdr:cNvPr>
        <xdr:cNvGrpSpPr>
          <a:grpSpLocks noChangeAspect="1"/>
        </xdr:cNvGrpSpPr>
      </xdr:nvGrpSpPr>
      <xdr:grpSpPr>
        <a:xfrm>
          <a:off x="933450" y="6105525"/>
          <a:ext cx="594000" cy="594000"/>
          <a:chOff x="2807970" y="1543049"/>
          <a:chExt cx="450000" cy="450000"/>
        </a:xfrm>
      </xdr:grpSpPr>
      <xdr:sp macro="" textlink="">
        <xdr:nvSpPr>
          <xdr:cNvPr id="8" name="Rectangle 7">
            <a:extLst>
              <a:ext uri="{FF2B5EF4-FFF2-40B4-BE49-F238E27FC236}">
                <a16:creationId xmlns:a16="http://schemas.microsoft.com/office/drawing/2014/main" id="{00000000-0008-0000-0C00-000008000000}"/>
              </a:ext>
            </a:extLst>
          </xdr:cNvPr>
          <xdr:cNvSpPr/>
        </xdr:nvSpPr>
        <xdr:spPr>
          <a:xfrm>
            <a:off x="2807970" y="1543049"/>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Line 45">
            <a:extLst>
              <a:ext uri="{FF2B5EF4-FFF2-40B4-BE49-F238E27FC236}">
                <a16:creationId xmlns:a16="http://schemas.microsoft.com/office/drawing/2014/main" id="{00000000-0008-0000-0C00-000009000000}"/>
              </a:ext>
            </a:extLst>
          </xdr:cNvPr>
          <xdr:cNvSpPr>
            <a:spLocks noChangeAspect="1" noChangeShapeType="1"/>
          </xdr:cNvSpPr>
        </xdr:nvSpPr>
        <xdr:spPr bwMode="auto">
          <a:xfrm>
            <a:off x="2903220" y="1674495"/>
            <a:ext cx="276937" cy="0"/>
          </a:xfrm>
          <a:prstGeom prst="line">
            <a:avLst/>
          </a:prstGeom>
          <a:noFill/>
          <a:ln w="4445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10" name="Line 46">
            <a:extLst>
              <a:ext uri="{FF2B5EF4-FFF2-40B4-BE49-F238E27FC236}">
                <a16:creationId xmlns:a16="http://schemas.microsoft.com/office/drawing/2014/main" id="{00000000-0008-0000-0C00-00000A000000}"/>
              </a:ext>
            </a:extLst>
          </xdr:cNvPr>
          <xdr:cNvSpPr>
            <a:spLocks noChangeAspect="1" noChangeShapeType="1"/>
          </xdr:cNvSpPr>
        </xdr:nvSpPr>
        <xdr:spPr bwMode="auto">
          <a:xfrm rot="10800000">
            <a:off x="2903220" y="1863657"/>
            <a:ext cx="276937" cy="0"/>
          </a:xfrm>
          <a:prstGeom prst="line">
            <a:avLst/>
          </a:prstGeom>
          <a:noFill/>
          <a:ln w="4445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933450</xdr:colOff>
      <xdr:row>23</xdr:row>
      <xdr:rowOff>76200</xdr:rowOff>
    </xdr:from>
    <xdr:to>
      <xdr:col>1</xdr:col>
      <xdr:colOff>1527450</xdr:colOff>
      <xdr:row>25</xdr:row>
      <xdr:rowOff>136800</xdr:rowOff>
    </xdr:to>
    <xdr:grpSp>
      <xdr:nvGrpSpPr>
        <xdr:cNvPr id="10" name="Group 9">
          <a:extLst>
            <a:ext uri="{FF2B5EF4-FFF2-40B4-BE49-F238E27FC236}">
              <a16:creationId xmlns:a16="http://schemas.microsoft.com/office/drawing/2014/main" id="{00000000-0008-0000-0D00-00000A000000}"/>
            </a:ext>
          </a:extLst>
        </xdr:cNvPr>
        <xdr:cNvGrpSpPr>
          <a:grpSpLocks noChangeAspect="1"/>
        </xdr:cNvGrpSpPr>
      </xdr:nvGrpSpPr>
      <xdr:grpSpPr>
        <a:xfrm>
          <a:off x="933450" y="6105525"/>
          <a:ext cx="594000" cy="594000"/>
          <a:chOff x="2807970" y="1543049"/>
          <a:chExt cx="450000" cy="450000"/>
        </a:xfrm>
      </xdr:grpSpPr>
      <xdr:sp macro="" textlink="">
        <xdr:nvSpPr>
          <xdr:cNvPr id="11" name="Rectangle 10">
            <a:extLst>
              <a:ext uri="{FF2B5EF4-FFF2-40B4-BE49-F238E27FC236}">
                <a16:creationId xmlns:a16="http://schemas.microsoft.com/office/drawing/2014/main" id="{00000000-0008-0000-0D00-00000B000000}"/>
              </a:ext>
            </a:extLst>
          </xdr:cNvPr>
          <xdr:cNvSpPr/>
        </xdr:nvSpPr>
        <xdr:spPr>
          <a:xfrm>
            <a:off x="2807970" y="1543049"/>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Line 45">
            <a:extLst>
              <a:ext uri="{FF2B5EF4-FFF2-40B4-BE49-F238E27FC236}">
                <a16:creationId xmlns:a16="http://schemas.microsoft.com/office/drawing/2014/main" id="{00000000-0008-0000-0D00-00000C000000}"/>
              </a:ext>
            </a:extLst>
          </xdr:cNvPr>
          <xdr:cNvSpPr>
            <a:spLocks noChangeAspect="1" noChangeShapeType="1"/>
          </xdr:cNvSpPr>
        </xdr:nvSpPr>
        <xdr:spPr bwMode="auto">
          <a:xfrm>
            <a:off x="2903220" y="1674495"/>
            <a:ext cx="276937" cy="0"/>
          </a:xfrm>
          <a:prstGeom prst="line">
            <a:avLst/>
          </a:prstGeom>
          <a:noFill/>
          <a:ln w="4445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13" name="Line 46">
            <a:extLst>
              <a:ext uri="{FF2B5EF4-FFF2-40B4-BE49-F238E27FC236}">
                <a16:creationId xmlns:a16="http://schemas.microsoft.com/office/drawing/2014/main" id="{00000000-0008-0000-0D00-00000D000000}"/>
              </a:ext>
            </a:extLst>
          </xdr:cNvPr>
          <xdr:cNvSpPr>
            <a:spLocks noChangeAspect="1" noChangeShapeType="1"/>
          </xdr:cNvSpPr>
        </xdr:nvSpPr>
        <xdr:spPr bwMode="auto">
          <a:xfrm rot="10800000">
            <a:off x="2903220" y="1863657"/>
            <a:ext cx="276937" cy="0"/>
          </a:xfrm>
          <a:prstGeom prst="line">
            <a:avLst/>
          </a:prstGeom>
          <a:noFill/>
          <a:ln w="4445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933450</xdr:colOff>
      <xdr:row>23</xdr:row>
      <xdr:rowOff>76200</xdr:rowOff>
    </xdr:from>
    <xdr:to>
      <xdr:col>1</xdr:col>
      <xdr:colOff>1527450</xdr:colOff>
      <xdr:row>25</xdr:row>
      <xdr:rowOff>136800</xdr:rowOff>
    </xdr:to>
    <xdr:grpSp>
      <xdr:nvGrpSpPr>
        <xdr:cNvPr id="6" name="Group 5">
          <a:extLst>
            <a:ext uri="{FF2B5EF4-FFF2-40B4-BE49-F238E27FC236}">
              <a16:creationId xmlns:a16="http://schemas.microsoft.com/office/drawing/2014/main" id="{00000000-0008-0000-0E00-000006000000}"/>
            </a:ext>
          </a:extLst>
        </xdr:cNvPr>
        <xdr:cNvGrpSpPr>
          <a:grpSpLocks noChangeAspect="1"/>
        </xdr:cNvGrpSpPr>
      </xdr:nvGrpSpPr>
      <xdr:grpSpPr>
        <a:xfrm>
          <a:off x="933450" y="6105525"/>
          <a:ext cx="594000" cy="594000"/>
          <a:chOff x="2807970" y="1543049"/>
          <a:chExt cx="450000" cy="450000"/>
        </a:xfrm>
      </xdr:grpSpPr>
      <xdr:sp macro="" textlink="">
        <xdr:nvSpPr>
          <xdr:cNvPr id="7" name="Rectangle 6">
            <a:extLst>
              <a:ext uri="{FF2B5EF4-FFF2-40B4-BE49-F238E27FC236}">
                <a16:creationId xmlns:a16="http://schemas.microsoft.com/office/drawing/2014/main" id="{00000000-0008-0000-0E00-000007000000}"/>
              </a:ext>
            </a:extLst>
          </xdr:cNvPr>
          <xdr:cNvSpPr/>
        </xdr:nvSpPr>
        <xdr:spPr>
          <a:xfrm>
            <a:off x="2807970" y="1543049"/>
            <a:ext cx="450000" cy="450000"/>
          </a:xfrm>
          <a:prstGeom prst="rect">
            <a:avLst/>
          </a:prstGeom>
          <a:solidFill>
            <a:srgbClr val="008080"/>
          </a:solidFill>
          <a:ln w="317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Line 45">
            <a:extLst>
              <a:ext uri="{FF2B5EF4-FFF2-40B4-BE49-F238E27FC236}">
                <a16:creationId xmlns:a16="http://schemas.microsoft.com/office/drawing/2014/main" id="{00000000-0008-0000-0E00-000008000000}"/>
              </a:ext>
            </a:extLst>
          </xdr:cNvPr>
          <xdr:cNvSpPr>
            <a:spLocks noChangeAspect="1" noChangeShapeType="1"/>
          </xdr:cNvSpPr>
        </xdr:nvSpPr>
        <xdr:spPr bwMode="auto">
          <a:xfrm>
            <a:off x="2903220" y="1674495"/>
            <a:ext cx="276937" cy="0"/>
          </a:xfrm>
          <a:prstGeom prst="line">
            <a:avLst/>
          </a:prstGeom>
          <a:noFill/>
          <a:ln w="4445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9" name="Line 46">
            <a:extLst>
              <a:ext uri="{FF2B5EF4-FFF2-40B4-BE49-F238E27FC236}">
                <a16:creationId xmlns:a16="http://schemas.microsoft.com/office/drawing/2014/main" id="{00000000-0008-0000-0E00-000009000000}"/>
              </a:ext>
            </a:extLst>
          </xdr:cNvPr>
          <xdr:cNvSpPr>
            <a:spLocks noChangeAspect="1" noChangeShapeType="1"/>
          </xdr:cNvSpPr>
        </xdr:nvSpPr>
        <xdr:spPr bwMode="auto">
          <a:xfrm rot="10800000">
            <a:off x="2903220" y="1863657"/>
            <a:ext cx="276937" cy="0"/>
          </a:xfrm>
          <a:prstGeom prst="line">
            <a:avLst/>
          </a:prstGeom>
          <a:noFill/>
          <a:ln w="4445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904874</xdr:colOff>
      <xdr:row>23</xdr:row>
      <xdr:rowOff>66674</xdr:rowOff>
    </xdr:from>
    <xdr:to>
      <xdr:col>1</xdr:col>
      <xdr:colOff>1552874</xdr:colOff>
      <xdr:row>25</xdr:row>
      <xdr:rowOff>181274</xdr:rowOff>
    </xdr:to>
    <xdr:pic>
      <xdr:nvPicPr>
        <xdr:cNvPr id="2" name="Рисунок 24">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50272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904874</xdr:colOff>
      <xdr:row>25</xdr:row>
      <xdr:rowOff>66674</xdr:rowOff>
    </xdr:from>
    <xdr:to>
      <xdr:col>1</xdr:col>
      <xdr:colOff>1552874</xdr:colOff>
      <xdr:row>27</xdr:row>
      <xdr:rowOff>181274</xdr:rowOff>
    </xdr:to>
    <xdr:pic>
      <xdr:nvPicPr>
        <xdr:cNvPr id="3" name="Рисунок 24">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4495799"/>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904874</xdr:colOff>
      <xdr:row>25</xdr:row>
      <xdr:rowOff>66674</xdr:rowOff>
    </xdr:from>
    <xdr:to>
      <xdr:col>1</xdr:col>
      <xdr:colOff>1552874</xdr:colOff>
      <xdr:row>27</xdr:row>
      <xdr:rowOff>181274</xdr:rowOff>
    </xdr:to>
    <xdr:pic>
      <xdr:nvPicPr>
        <xdr:cNvPr id="3" name="Рисунок 24">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60940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904874</xdr:colOff>
      <xdr:row>25</xdr:row>
      <xdr:rowOff>66674</xdr:rowOff>
    </xdr:from>
    <xdr:to>
      <xdr:col>1</xdr:col>
      <xdr:colOff>1552874</xdr:colOff>
      <xdr:row>27</xdr:row>
      <xdr:rowOff>181274</xdr:rowOff>
    </xdr:to>
    <xdr:pic>
      <xdr:nvPicPr>
        <xdr:cNvPr id="2" name="Рисунок 24">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47605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9525</xdr:colOff>
          <xdr:row>3</xdr:row>
          <xdr:rowOff>123825</xdr:rowOff>
        </xdr:from>
        <xdr:to>
          <xdr:col>7</xdr:col>
          <xdr:colOff>466725</xdr:colOff>
          <xdr:row>4</xdr:row>
          <xdr:rowOff>66675</xdr:rowOff>
        </xdr:to>
        <xdr:sp macro="" textlink="">
          <xdr:nvSpPr>
            <xdr:cNvPr id="163841" name="Option Button 1" hidden="1">
              <a:extLst>
                <a:ext uri="{63B3BB69-23CF-44E3-9099-C40C66FF867C}">
                  <a14:compatExt spid="_x0000_s163841"/>
                </a:ext>
                <a:ext uri="{FF2B5EF4-FFF2-40B4-BE49-F238E27FC236}">
                  <a16:creationId xmlns:a16="http://schemas.microsoft.com/office/drawing/2014/main" id="{00000000-0008-0000-1200-000001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6A - API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xdr:row>
          <xdr:rowOff>76200</xdr:rowOff>
        </xdr:from>
        <xdr:to>
          <xdr:col>7</xdr:col>
          <xdr:colOff>685800</xdr:colOff>
          <xdr:row>5</xdr:row>
          <xdr:rowOff>28575</xdr:rowOff>
        </xdr:to>
        <xdr:sp macro="" textlink="">
          <xdr:nvSpPr>
            <xdr:cNvPr id="163842" name="Option Button 2" hidden="1">
              <a:extLst>
                <a:ext uri="{63B3BB69-23CF-44E3-9099-C40C66FF867C}">
                  <a14:compatExt spid="_x0000_s163842"/>
                </a:ext>
                <a:ext uri="{FF2B5EF4-FFF2-40B4-BE49-F238E27FC236}">
                  <a16:creationId xmlns:a16="http://schemas.microsoft.com/office/drawing/2014/main" id="{00000000-0008-0000-1200-000002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6B - API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xdr:row>
          <xdr:rowOff>38100</xdr:rowOff>
        </xdr:from>
        <xdr:to>
          <xdr:col>7</xdr:col>
          <xdr:colOff>685800</xdr:colOff>
          <xdr:row>5</xdr:row>
          <xdr:rowOff>257175</xdr:rowOff>
        </xdr:to>
        <xdr:sp macro="" textlink="">
          <xdr:nvSpPr>
            <xdr:cNvPr id="163844" name="Option Button 4" hidden="1">
              <a:extLst>
                <a:ext uri="{63B3BB69-23CF-44E3-9099-C40C66FF867C}">
                  <a14:compatExt spid="_x0000_s163844"/>
                </a:ext>
                <a:ext uri="{FF2B5EF4-FFF2-40B4-BE49-F238E27FC236}">
                  <a16:creationId xmlns:a16="http://schemas.microsoft.com/office/drawing/2014/main" id="{00000000-0008-0000-1200-000004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24A - RD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xdr:row>
          <xdr:rowOff>0</xdr:rowOff>
        </xdr:from>
        <xdr:to>
          <xdr:col>7</xdr:col>
          <xdr:colOff>685800</xdr:colOff>
          <xdr:row>6</xdr:row>
          <xdr:rowOff>219075</xdr:rowOff>
        </xdr:to>
        <xdr:sp macro="" textlink="">
          <xdr:nvSpPr>
            <xdr:cNvPr id="163845" name="Option Button 5" hidden="1">
              <a:extLst>
                <a:ext uri="{63B3BB69-23CF-44E3-9099-C40C66FF867C}">
                  <a14:compatExt spid="_x0000_s163845"/>
                </a:ext>
                <a:ext uri="{FF2B5EF4-FFF2-40B4-BE49-F238E27FC236}">
                  <a16:creationId xmlns:a16="http://schemas.microsoft.com/office/drawing/2014/main" id="{00000000-0008-0000-1200-000005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24B - RD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xdr:row>
          <xdr:rowOff>228600</xdr:rowOff>
        </xdr:from>
        <xdr:to>
          <xdr:col>7</xdr:col>
          <xdr:colOff>685800</xdr:colOff>
          <xdr:row>7</xdr:row>
          <xdr:rowOff>180975</xdr:rowOff>
        </xdr:to>
        <xdr:sp macro="" textlink="">
          <xdr:nvSpPr>
            <xdr:cNvPr id="163846" name="Option Button 6" hidden="1">
              <a:extLst>
                <a:ext uri="{63B3BB69-23CF-44E3-9099-C40C66FF867C}">
                  <a14:compatExt spid="_x0000_s163846"/>
                </a:ext>
                <a:ext uri="{FF2B5EF4-FFF2-40B4-BE49-F238E27FC236}">
                  <a16:creationId xmlns:a16="http://schemas.microsoft.com/office/drawing/2014/main" id="{00000000-0008-0000-1200-000006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54A - Dens. / m³ / °C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7</xdr:row>
          <xdr:rowOff>190500</xdr:rowOff>
        </xdr:from>
        <xdr:to>
          <xdr:col>7</xdr:col>
          <xdr:colOff>685800</xdr:colOff>
          <xdr:row>8</xdr:row>
          <xdr:rowOff>142875</xdr:rowOff>
        </xdr:to>
        <xdr:sp macro="" textlink="">
          <xdr:nvSpPr>
            <xdr:cNvPr id="163847" name="Option Button 7" hidden="1">
              <a:extLst>
                <a:ext uri="{63B3BB69-23CF-44E3-9099-C40C66FF867C}">
                  <a14:compatExt spid="_x0000_s163847"/>
                </a:ext>
                <a:ext uri="{FF2B5EF4-FFF2-40B4-BE49-F238E27FC236}">
                  <a16:creationId xmlns:a16="http://schemas.microsoft.com/office/drawing/2014/main" id="{00000000-0008-0000-1200-0000078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54B - Dens. / m³ / °C </a:t>
              </a:r>
            </a:p>
          </xdr:txBody>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editAs="oneCell">
    <xdr:from>
      <xdr:col>1</xdr:col>
      <xdr:colOff>904874</xdr:colOff>
      <xdr:row>25</xdr:row>
      <xdr:rowOff>66674</xdr:rowOff>
    </xdr:from>
    <xdr:to>
      <xdr:col>1</xdr:col>
      <xdr:colOff>1552874</xdr:colOff>
      <xdr:row>27</xdr:row>
      <xdr:rowOff>181274</xdr:rowOff>
    </xdr:to>
    <xdr:pic>
      <xdr:nvPicPr>
        <xdr:cNvPr id="2" name="Рисунок 24">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60940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6</xdr:col>
          <xdr:colOff>9525</xdr:colOff>
          <xdr:row>3</xdr:row>
          <xdr:rowOff>123825</xdr:rowOff>
        </xdr:from>
        <xdr:to>
          <xdr:col>7</xdr:col>
          <xdr:colOff>466725</xdr:colOff>
          <xdr:row>4</xdr:row>
          <xdr:rowOff>66675</xdr:rowOff>
        </xdr:to>
        <xdr:sp macro="" textlink="">
          <xdr:nvSpPr>
            <xdr:cNvPr id="254977" name="Option Button 1" hidden="1">
              <a:extLst>
                <a:ext uri="{63B3BB69-23CF-44E3-9099-C40C66FF867C}">
                  <a14:compatExt spid="_x0000_s254977"/>
                </a:ext>
                <a:ext uri="{FF2B5EF4-FFF2-40B4-BE49-F238E27FC236}">
                  <a16:creationId xmlns:a16="http://schemas.microsoft.com/office/drawing/2014/main" id="{00000000-0008-0000-1300-000001E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6A - API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xdr:row>
          <xdr:rowOff>76200</xdr:rowOff>
        </xdr:from>
        <xdr:to>
          <xdr:col>7</xdr:col>
          <xdr:colOff>685800</xdr:colOff>
          <xdr:row>5</xdr:row>
          <xdr:rowOff>28575</xdr:rowOff>
        </xdr:to>
        <xdr:sp macro="" textlink="">
          <xdr:nvSpPr>
            <xdr:cNvPr id="254978" name="Option Button 2" hidden="1">
              <a:extLst>
                <a:ext uri="{63B3BB69-23CF-44E3-9099-C40C66FF867C}">
                  <a14:compatExt spid="_x0000_s254978"/>
                </a:ext>
                <a:ext uri="{FF2B5EF4-FFF2-40B4-BE49-F238E27FC236}">
                  <a16:creationId xmlns:a16="http://schemas.microsoft.com/office/drawing/2014/main" id="{00000000-0008-0000-1300-000002E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6B - API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xdr:row>
          <xdr:rowOff>38100</xdr:rowOff>
        </xdr:from>
        <xdr:to>
          <xdr:col>7</xdr:col>
          <xdr:colOff>685800</xdr:colOff>
          <xdr:row>5</xdr:row>
          <xdr:rowOff>257175</xdr:rowOff>
        </xdr:to>
        <xdr:sp macro="" textlink="">
          <xdr:nvSpPr>
            <xdr:cNvPr id="254979" name="Option Button 3" hidden="1">
              <a:extLst>
                <a:ext uri="{63B3BB69-23CF-44E3-9099-C40C66FF867C}">
                  <a14:compatExt spid="_x0000_s254979"/>
                </a:ext>
                <a:ext uri="{FF2B5EF4-FFF2-40B4-BE49-F238E27FC236}">
                  <a16:creationId xmlns:a16="http://schemas.microsoft.com/office/drawing/2014/main" id="{00000000-0008-0000-1300-000003E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24A - RD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xdr:row>
          <xdr:rowOff>0</xdr:rowOff>
        </xdr:from>
        <xdr:to>
          <xdr:col>7</xdr:col>
          <xdr:colOff>685800</xdr:colOff>
          <xdr:row>6</xdr:row>
          <xdr:rowOff>219075</xdr:rowOff>
        </xdr:to>
        <xdr:sp macro="" textlink="">
          <xdr:nvSpPr>
            <xdr:cNvPr id="254980" name="Option Button 4" hidden="1">
              <a:extLst>
                <a:ext uri="{63B3BB69-23CF-44E3-9099-C40C66FF867C}">
                  <a14:compatExt spid="_x0000_s254980"/>
                </a:ext>
                <a:ext uri="{FF2B5EF4-FFF2-40B4-BE49-F238E27FC236}">
                  <a16:creationId xmlns:a16="http://schemas.microsoft.com/office/drawing/2014/main" id="{00000000-0008-0000-1300-000004E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24B - RD / Bbls / °F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xdr:row>
          <xdr:rowOff>228600</xdr:rowOff>
        </xdr:from>
        <xdr:to>
          <xdr:col>7</xdr:col>
          <xdr:colOff>685800</xdr:colOff>
          <xdr:row>7</xdr:row>
          <xdr:rowOff>180975</xdr:rowOff>
        </xdr:to>
        <xdr:sp macro="" textlink="">
          <xdr:nvSpPr>
            <xdr:cNvPr id="254981" name="Option Button 5" hidden="1">
              <a:extLst>
                <a:ext uri="{63B3BB69-23CF-44E3-9099-C40C66FF867C}">
                  <a14:compatExt spid="_x0000_s254981"/>
                </a:ext>
                <a:ext uri="{FF2B5EF4-FFF2-40B4-BE49-F238E27FC236}">
                  <a16:creationId xmlns:a16="http://schemas.microsoft.com/office/drawing/2014/main" id="{00000000-0008-0000-1300-000005E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54A - Dens. / m³ / °C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7</xdr:row>
          <xdr:rowOff>190500</xdr:rowOff>
        </xdr:from>
        <xdr:to>
          <xdr:col>7</xdr:col>
          <xdr:colOff>685800</xdr:colOff>
          <xdr:row>8</xdr:row>
          <xdr:rowOff>142875</xdr:rowOff>
        </xdr:to>
        <xdr:sp macro="" textlink="">
          <xdr:nvSpPr>
            <xdr:cNvPr id="254982" name="Option Button 6" hidden="1">
              <a:extLst>
                <a:ext uri="{63B3BB69-23CF-44E3-9099-C40C66FF867C}">
                  <a14:compatExt spid="_x0000_s254982"/>
                </a:ext>
                <a:ext uri="{FF2B5EF4-FFF2-40B4-BE49-F238E27FC236}">
                  <a16:creationId xmlns:a16="http://schemas.microsoft.com/office/drawing/2014/main" id="{00000000-0008-0000-1300-000006E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ASTM T. 54B - Dens. / m³ / °C </a:t>
              </a:r>
            </a:p>
          </xdr:txBody>
        </xdr:sp>
        <xdr:clientData/>
      </xdr:twoCellAnchor>
    </mc:Choice>
    <mc:Fallback/>
  </mc:AlternateContent>
</xdr:wsDr>
</file>

<file path=xl/drawings/drawing21.xml><?xml version="1.0" encoding="utf-8"?>
<xdr:wsDr xmlns:xdr="http://schemas.openxmlformats.org/drawingml/2006/spreadsheetDrawing" xmlns:a="http://schemas.openxmlformats.org/drawingml/2006/main">
  <xdr:twoCellAnchor editAs="oneCell">
    <xdr:from>
      <xdr:col>1</xdr:col>
      <xdr:colOff>904874</xdr:colOff>
      <xdr:row>25</xdr:row>
      <xdr:rowOff>66674</xdr:rowOff>
    </xdr:from>
    <xdr:to>
      <xdr:col>1</xdr:col>
      <xdr:colOff>1552874</xdr:colOff>
      <xdr:row>27</xdr:row>
      <xdr:rowOff>181274</xdr:rowOff>
    </xdr:to>
    <xdr:pic>
      <xdr:nvPicPr>
        <xdr:cNvPr id="2" name="Рисунок 24">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9609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3</xdr:col>
      <xdr:colOff>310515</xdr:colOff>
      <xdr:row>1</xdr:row>
      <xdr:rowOff>47625</xdr:rowOff>
    </xdr:from>
    <xdr:to>
      <xdr:col>3</xdr:col>
      <xdr:colOff>635476</xdr:colOff>
      <xdr:row>1</xdr:row>
      <xdr:rowOff>218185</xdr:rowOff>
    </xdr:to>
    <xdr:sp macro="" textlink="">
      <xdr:nvSpPr>
        <xdr:cNvPr id="2" name="Text Box 23">
          <a:hlinkClick xmlns:r="http://schemas.openxmlformats.org/officeDocument/2006/relationships" r:id="rId1"/>
          <a:extLst>
            <a:ext uri="{FF2B5EF4-FFF2-40B4-BE49-F238E27FC236}">
              <a16:creationId xmlns:a16="http://schemas.microsoft.com/office/drawing/2014/main" id="{00000000-0008-0000-1500-000002000000}"/>
            </a:ext>
          </a:extLst>
        </xdr:cNvPr>
        <xdr:cNvSpPr txBox="1">
          <a:spLocks noChangeArrowheads="1"/>
        </xdr:cNvSpPr>
      </xdr:nvSpPr>
      <xdr:spPr bwMode="auto">
        <a:xfrm>
          <a:off x="3007995" y="207645"/>
          <a:ext cx="324961" cy="170560"/>
        </a:xfrm>
        <a:prstGeom prst="rect">
          <a:avLst/>
        </a:prstGeom>
        <a:noFill/>
        <a:ln>
          <a:noFill/>
        </a:ln>
      </xdr:spPr>
      <xdr:txBody>
        <a:bodyPr wrap="none" lIns="18288" tIns="22860" rIns="0" bIns="0" anchor="t" upright="1">
          <a:spAutoFit/>
        </a:bodyPr>
        <a:lstStyle/>
        <a:p>
          <a:pPr algn="l" rtl="0">
            <a:defRPr sz="1000"/>
          </a:pPr>
          <a:r>
            <a:rPr lang="en-US" sz="1000" b="0" i="0" u="sng" strike="noStrike" baseline="0">
              <a:solidFill>
                <a:schemeClr val="bg1"/>
              </a:solidFill>
              <a:latin typeface="Arial"/>
              <a:cs typeface="Arial"/>
            </a:rPr>
            <a:t>Note </a:t>
          </a:r>
        </a:p>
      </xdr:txBody>
    </xdr:sp>
    <xdr:clientData/>
  </xdr:twoCellAnchor>
  <mc:AlternateContent xmlns:mc="http://schemas.openxmlformats.org/markup-compatibility/2006">
    <mc:Choice xmlns:a14="http://schemas.microsoft.com/office/drawing/2010/main" Requires="a14">
      <xdr:twoCellAnchor editAs="oneCell">
        <xdr:from>
          <xdr:col>5</xdr:col>
          <xdr:colOff>609600</xdr:colOff>
          <xdr:row>3</xdr:row>
          <xdr:rowOff>28575</xdr:rowOff>
        </xdr:from>
        <xdr:to>
          <xdr:col>6</xdr:col>
          <xdr:colOff>409575</xdr:colOff>
          <xdr:row>3</xdr:row>
          <xdr:rowOff>257175</xdr:rowOff>
        </xdr:to>
        <xdr:sp macro="" textlink="">
          <xdr:nvSpPr>
            <xdr:cNvPr id="207873" name="Option Button 1" hidden="1">
              <a:extLst>
                <a:ext uri="{63B3BB69-23CF-44E3-9099-C40C66FF867C}">
                  <a14:compatExt spid="_x0000_s207873"/>
                </a:ext>
                <a:ext uri="{FF2B5EF4-FFF2-40B4-BE49-F238E27FC236}">
                  <a16:creationId xmlns:a16="http://schemas.microsoft.com/office/drawing/2014/main" id="{00000000-0008-0000-1500-000001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API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xdr:row>
          <xdr:rowOff>28575</xdr:rowOff>
        </xdr:from>
        <xdr:to>
          <xdr:col>6</xdr:col>
          <xdr:colOff>952500</xdr:colOff>
          <xdr:row>3</xdr:row>
          <xdr:rowOff>257175</xdr:rowOff>
        </xdr:to>
        <xdr:sp macro="" textlink="">
          <xdr:nvSpPr>
            <xdr:cNvPr id="207874" name="Option Button 2" hidden="1">
              <a:extLst>
                <a:ext uri="{63B3BB69-23CF-44E3-9099-C40C66FF867C}">
                  <a14:compatExt spid="_x0000_s207874"/>
                </a:ext>
                <a:ext uri="{FF2B5EF4-FFF2-40B4-BE49-F238E27FC236}">
                  <a16:creationId xmlns:a16="http://schemas.microsoft.com/office/drawing/2014/main" id="{00000000-0008-0000-1500-0000022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Density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xdr:row>
          <xdr:rowOff>23813</xdr:rowOff>
        </xdr:from>
        <xdr:to>
          <xdr:col>7</xdr:col>
          <xdr:colOff>0</xdr:colOff>
          <xdr:row>4</xdr:row>
          <xdr:rowOff>238125</xdr:rowOff>
        </xdr:to>
        <xdr:sp macro="" textlink="">
          <xdr:nvSpPr>
            <xdr:cNvPr id="207875" name="Drop Down 3" hidden="1">
              <a:extLst>
                <a:ext uri="{63B3BB69-23CF-44E3-9099-C40C66FF867C}">
                  <a14:compatExt spid="_x0000_s207875"/>
                </a:ext>
                <a:ext uri="{FF2B5EF4-FFF2-40B4-BE49-F238E27FC236}">
                  <a16:creationId xmlns:a16="http://schemas.microsoft.com/office/drawing/2014/main" id="{00000000-0008-0000-1500-0000032C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xdr:col>
      <xdr:colOff>7620</xdr:colOff>
      <xdr:row>159</xdr:row>
      <xdr:rowOff>114300</xdr:rowOff>
    </xdr:from>
    <xdr:to>
      <xdr:col>13</xdr:col>
      <xdr:colOff>518160</xdr:colOff>
      <xdr:row>193</xdr:row>
      <xdr:rowOff>7620</xdr:rowOff>
    </xdr:to>
    <xdr:grpSp>
      <xdr:nvGrpSpPr>
        <xdr:cNvPr id="6" name="Группа 5">
          <a:extLst>
            <a:ext uri="{FF2B5EF4-FFF2-40B4-BE49-F238E27FC236}">
              <a16:creationId xmlns:a16="http://schemas.microsoft.com/office/drawing/2014/main" id="{00000000-0008-0000-1500-000006000000}"/>
            </a:ext>
          </a:extLst>
        </xdr:cNvPr>
        <xdr:cNvGrpSpPr/>
      </xdr:nvGrpSpPr>
      <xdr:grpSpPr>
        <a:xfrm>
          <a:off x="2817495" y="29884688"/>
          <a:ext cx="8587740" cy="5398770"/>
          <a:chOff x="2827020" y="17259300"/>
          <a:chExt cx="8275320" cy="5593080"/>
        </a:xfrm>
      </xdr:grpSpPr>
      <xdr:sp macro="" textlink="">
        <xdr:nvSpPr>
          <xdr:cNvPr id="7" name="Прямоугольник 9">
            <a:extLst>
              <a:ext uri="{FF2B5EF4-FFF2-40B4-BE49-F238E27FC236}">
                <a16:creationId xmlns:a16="http://schemas.microsoft.com/office/drawing/2014/main" id="{00000000-0008-0000-1500-000007000000}"/>
              </a:ext>
            </a:extLst>
          </xdr:cNvPr>
          <xdr:cNvSpPr>
            <a:spLocks noChangeArrowheads="1"/>
          </xdr:cNvSpPr>
        </xdr:nvSpPr>
        <xdr:spPr bwMode="auto">
          <a:xfrm>
            <a:off x="2827020" y="17579340"/>
            <a:ext cx="8275320" cy="5273040"/>
          </a:xfrm>
          <a:prstGeom prst="rect">
            <a:avLst/>
          </a:prstGeom>
          <a:solidFill>
            <a:srgbClr val="D9D9D9"/>
          </a:solidFill>
          <a:ln w="9525">
            <a:solidFill>
              <a:srgbClr val="7F7F7F"/>
            </a:solidFill>
            <a:miter lim="800000"/>
            <a:headEnd/>
            <a:tailEnd/>
          </a:ln>
        </xdr:spPr>
        <xdr:txBody>
          <a:bodyPr vertOverflow="clip" wrap="square" lIns="180000" tIns="252000" rIns="180000" bIns="0" anchor="t" upright="1"/>
          <a:lstStyle/>
          <a:p>
            <a:pPr rtl="0"/>
            <a:r>
              <a:rPr lang="en-US" sz="1400" b="1" i="0" baseline="0">
                <a:solidFill>
                  <a:srgbClr val="0F243E"/>
                </a:solidFill>
                <a:effectLst/>
                <a:latin typeface="+mn-lt"/>
                <a:ea typeface="+mn-ea"/>
                <a:cs typeface="+mn-cs"/>
              </a:rPr>
              <a:t>Blended API / Density</a:t>
            </a:r>
          </a:p>
          <a:p>
            <a:pPr rtl="0"/>
            <a:endParaRPr lang="ru-RU">
              <a:effectLst/>
            </a:endParaRPr>
          </a:p>
          <a:p>
            <a:pPr rtl="0"/>
            <a:r>
              <a:rPr lang="en-US" sz="1100" b="1" i="0" baseline="0">
                <a:effectLst/>
                <a:latin typeface="+mn-lt"/>
                <a:ea typeface="+mn-ea"/>
                <a:cs typeface="+mn-cs"/>
              </a:rPr>
              <a:t>Example :  GOV 41,077 at API 38.40 &amp; Temp 104.5,  GSV @ 60F = 40,169 (Table 6A) (GOV=GBbls, GOV=NBbls)</a:t>
            </a:r>
          </a:p>
          <a:p>
            <a:pPr rtl="0"/>
            <a:endParaRPr lang="ru-RU">
              <a:effectLst/>
            </a:endParaRPr>
          </a:p>
          <a:p>
            <a:pPr rtl="0"/>
            <a:r>
              <a:rPr lang="en-US" sz="1100" b="0" i="0" baseline="0">
                <a:effectLst/>
                <a:latin typeface="+mn-lt"/>
                <a:ea typeface="+mn-ea"/>
                <a:cs typeface="+mn-cs"/>
              </a:rPr>
              <a:t>AFTER LOADING 2ND GRADE CARGO,  CHECK TEMP T2(f) &amp; ULLAGE FOR TOTAL VOLUME CARGO (g)</a:t>
            </a:r>
            <a:endParaRPr lang="ru-RU">
              <a:effectLst/>
            </a:endParaRPr>
          </a:p>
          <a:p>
            <a:pPr rtl="0"/>
            <a:endParaRPr lang="en-US" sz="1100" b="1" i="1" baseline="0">
              <a:effectLst/>
              <a:latin typeface="+mn-lt"/>
              <a:ea typeface="+mn-ea"/>
              <a:cs typeface="+mn-cs"/>
            </a:endParaRPr>
          </a:p>
          <a:p>
            <a:pPr rtl="0"/>
            <a:r>
              <a:rPr lang="en-US" sz="1100" b="1" i="1" baseline="0">
                <a:effectLst/>
                <a:latin typeface="+mn-lt"/>
                <a:ea typeface="+mn-ea"/>
                <a:cs typeface="+mn-cs"/>
              </a:rPr>
              <a:t>FOR 1ST CARGO</a:t>
            </a:r>
            <a:r>
              <a:rPr lang="en-US" sz="1100" b="0" i="0" baseline="0">
                <a:effectLst/>
                <a:latin typeface="+mn-lt"/>
                <a:ea typeface="+mn-ea"/>
                <a:cs typeface="+mn-cs"/>
              </a:rPr>
              <a:t> :   API &amp; NBBLS@60F (as original 1st cargo). </a:t>
            </a:r>
            <a:endParaRPr lang="ru-RU">
              <a:effectLst/>
            </a:endParaRPr>
          </a:p>
          <a:p>
            <a:pPr rtl="0"/>
            <a:r>
              <a:rPr lang="en-US" sz="1100" b="0" i="0" baseline="0">
                <a:effectLst/>
                <a:latin typeface="+mn-lt"/>
                <a:ea typeface="+mn-ea"/>
                <a:cs typeface="+mn-cs"/>
              </a:rPr>
              <a:t>Basis on  Final Temp T2(f) and 1st Cargo API(a),  Get VCF(k)  from Table 6A to find GBBls(m) from NBBls.</a:t>
            </a:r>
            <a:endParaRPr lang="ru-RU">
              <a:effectLst/>
            </a:endParaRPr>
          </a:p>
          <a:p>
            <a:pPr rtl="0"/>
            <a:endParaRPr lang="en-US" sz="1100" b="1" i="1" baseline="0">
              <a:effectLst/>
              <a:latin typeface="+mn-lt"/>
              <a:ea typeface="+mn-ea"/>
              <a:cs typeface="+mn-cs"/>
            </a:endParaRPr>
          </a:p>
          <a:p>
            <a:pPr rtl="0"/>
            <a:r>
              <a:rPr lang="en-US" sz="1100" b="1" i="1" baseline="0">
                <a:effectLst/>
                <a:latin typeface="+mn-lt"/>
                <a:ea typeface="+mn-ea"/>
                <a:cs typeface="+mn-cs"/>
              </a:rPr>
              <a:t>FOR 2ND CARGO</a:t>
            </a:r>
            <a:r>
              <a:rPr lang="en-US" sz="1100" b="0" i="0" baseline="0">
                <a:effectLst/>
                <a:latin typeface="+mn-lt"/>
                <a:ea typeface="+mn-ea"/>
                <a:cs typeface="+mn-cs"/>
              </a:rPr>
              <a:t> : Calculate Total Quantity GBbls(g)  by Final Ullage &amp; Final Temp T2(f)</a:t>
            </a:r>
            <a:endParaRPr lang="ru-RU">
              <a:effectLst/>
            </a:endParaRPr>
          </a:p>
          <a:p>
            <a:pPr rtl="0"/>
            <a:r>
              <a:rPr lang="en-US" sz="1100" b="0" i="0" baseline="0">
                <a:effectLst/>
                <a:latin typeface="+mn-lt"/>
                <a:ea typeface="+mn-ea"/>
                <a:cs typeface="+mn-cs"/>
              </a:rPr>
              <a:t>2nd Cargo Quantity in GBbls(n) = Total Quantity GBbls(g) - 1st Cargo GBbls(m) at Final Temp(T2)</a:t>
            </a:r>
            <a:endParaRPr lang="ru-RU">
              <a:effectLst/>
            </a:endParaRPr>
          </a:p>
          <a:p>
            <a:pPr rtl="0"/>
            <a:r>
              <a:rPr lang="en-US" sz="1100" b="0" i="0" baseline="0">
                <a:effectLst/>
                <a:latin typeface="+mn-lt"/>
                <a:ea typeface="+mn-ea"/>
                <a:cs typeface="+mn-cs"/>
              </a:rPr>
              <a:t>NBbls of 2nd Cargo use API of 2nd Cargo(e) &amp; Final Temp(T2)</a:t>
            </a:r>
            <a:endParaRPr lang="ru-RU">
              <a:effectLst/>
            </a:endParaRPr>
          </a:p>
          <a:p>
            <a:pPr rtl="0"/>
            <a:endParaRPr lang="en-US" sz="1100" b="0" i="0" baseline="0">
              <a:effectLst/>
              <a:latin typeface="+mn-lt"/>
              <a:ea typeface="+mn-ea"/>
              <a:cs typeface="+mn-cs"/>
            </a:endParaRPr>
          </a:p>
          <a:p>
            <a:pPr rtl="0"/>
            <a:r>
              <a:rPr lang="en-US" sz="1100" b="0" i="0" baseline="0">
                <a:effectLst/>
                <a:latin typeface="+mn-lt"/>
                <a:ea typeface="+mn-ea"/>
                <a:cs typeface="+mn-cs"/>
              </a:rPr>
              <a:t>FOR COMMINGLED TOTAL CARGO CALCULATION :</a:t>
            </a:r>
            <a:endParaRPr lang="ru-RU">
              <a:effectLst/>
            </a:endParaRPr>
          </a:p>
          <a:p>
            <a:pPr rtl="0"/>
            <a:r>
              <a:rPr lang="en-US" sz="1100" b="0" i="0" baseline="0">
                <a:effectLst/>
                <a:latin typeface="+mn-lt"/>
                <a:ea typeface="+mn-ea"/>
                <a:cs typeface="+mn-cs"/>
              </a:rPr>
              <a:t>Find Avg/Weighted API(w) and use Final Temp(T2) &amp; use find volume from final ullage &amp; Calculate Net Volume@60F as usual.</a:t>
            </a:r>
            <a:endParaRPr lang="ru-RU">
              <a:effectLst/>
            </a:endParaRPr>
          </a:p>
          <a:p>
            <a:pPr rtl="0"/>
            <a:endParaRPr lang="en-US" sz="1100" b="0" i="0" baseline="0">
              <a:effectLst/>
              <a:latin typeface="+mn-lt"/>
              <a:ea typeface="+mn-ea"/>
              <a:cs typeface="+mn-cs"/>
            </a:endParaRPr>
          </a:p>
          <a:p>
            <a:pPr rtl="0"/>
            <a:r>
              <a:rPr lang="en-US" sz="1100" b="0" i="0" baseline="0">
                <a:effectLst/>
                <a:latin typeface="+mn-lt"/>
                <a:ea typeface="+mn-ea"/>
                <a:cs typeface="+mn-cs"/>
              </a:rPr>
              <a:t>(a) API (1)</a:t>
            </a:r>
            <a:endParaRPr lang="ru-RU">
              <a:effectLst/>
            </a:endParaRPr>
          </a:p>
          <a:p>
            <a:pPr rtl="0"/>
            <a:r>
              <a:rPr lang="en-US" sz="1100" b="0" i="0" baseline="0">
                <a:effectLst/>
                <a:latin typeface="+mn-lt"/>
                <a:ea typeface="+mn-ea"/>
                <a:cs typeface="+mn-cs"/>
              </a:rPr>
              <a:t>(b) Temp (T1)</a:t>
            </a:r>
            <a:endParaRPr lang="ru-RU">
              <a:effectLst/>
            </a:endParaRPr>
          </a:p>
          <a:p>
            <a:pPr rtl="0"/>
            <a:r>
              <a:rPr lang="en-US" sz="1100" b="0" i="0" baseline="0">
                <a:effectLst/>
                <a:latin typeface="+mn-lt"/>
                <a:ea typeface="+mn-ea"/>
                <a:cs typeface="+mn-cs"/>
              </a:rPr>
              <a:t>(</a:t>
            </a:r>
            <a:r>
              <a:rPr lang="ru-RU" sz="1100" b="0" i="0" baseline="0">
                <a:effectLst/>
                <a:latin typeface="+mn-lt"/>
                <a:ea typeface="+mn-ea"/>
                <a:cs typeface="+mn-cs"/>
              </a:rPr>
              <a:t>с) </a:t>
            </a:r>
            <a:r>
              <a:rPr lang="en-US" sz="1100" b="0" i="0" baseline="0">
                <a:effectLst/>
                <a:latin typeface="+mn-lt"/>
                <a:ea typeface="+mn-ea"/>
                <a:cs typeface="+mn-cs"/>
              </a:rPr>
              <a:t>GOV (1) </a:t>
            </a:r>
            <a:endParaRPr lang="ru-RU">
              <a:effectLst/>
            </a:endParaRPr>
          </a:p>
          <a:p>
            <a:pPr rtl="0"/>
            <a:r>
              <a:rPr lang="en-US" sz="1100" b="0" i="0" baseline="0">
                <a:effectLst/>
                <a:latin typeface="+mn-lt"/>
                <a:ea typeface="+mn-ea"/>
                <a:cs typeface="+mn-cs"/>
              </a:rPr>
              <a:t>(b) GSV (1) @ 60°F</a:t>
            </a:r>
            <a:endParaRPr lang="ru-RU">
              <a:effectLst/>
            </a:endParaRPr>
          </a:p>
          <a:p>
            <a:pPr rtl="0"/>
            <a:r>
              <a:rPr lang="en-US" sz="1100" b="0" i="0" baseline="0">
                <a:effectLst/>
                <a:latin typeface="+mn-lt"/>
                <a:ea typeface="+mn-ea"/>
                <a:cs typeface="+mn-cs"/>
              </a:rPr>
              <a:t>(e) API (2)</a:t>
            </a:r>
            <a:endParaRPr lang="ru-RU">
              <a:effectLst/>
            </a:endParaRPr>
          </a:p>
          <a:p>
            <a:pPr rtl="0"/>
            <a:r>
              <a:rPr lang="en-US" sz="1100" b="0" i="0" baseline="0">
                <a:effectLst/>
                <a:latin typeface="+mn-lt"/>
                <a:ea typeface="+mn-ea"/>
                <a:cs typeface="+mn-cs"/>
              </a:rPr>
              <a:t>(f) Final Temp (T2)</a:t>
            </a:r>
            <a:endParaRPr lang="ru-RU">
              <a:effectLst/>
            </a:endParaRPr>
          </a:p>
          <a:p>
            <a:pPr rtl="0"/>
            <a:r>
              <a:rPr lang="en-US" sz="1100" b="0" i="0" baseline="0">
                <a:effectLst/>
                <a:latin typeface="+mn-lt"/>
                <a:ea typeface="+mn-ea"/>
                <a:cs typeface="+mn-cs"/>
              </a:rPr>
              <a:t>(g) Total GOV</a:t>
            </a:r>
            <a:endParaRPr lang="ru-RU">
              <a:effectLst/>
            </a:endParaRPr>
          </a:p>
          <a:p>
            <a:pPr rtl="0"/>
            <a:r>
              <a:rPr lang="en-US" sz="1100" b="0" i="0" baseline="0">
                <a:effectLst/>
                <a:latin typeface="+mn-lt"/>
                <a:ea typeface="+mn-ea"/>
                <a:cs typeface="+mn-cs"/>
              </a:rPr>
              <a:t>(k) VCF(1) at Temp(T2)       Table 6A with (a)API(1) &amp; (f)Temp(T2) </a:t>
            </a:r>
            <a:endParaRPr lang="ru-RU">
              <a:effectLst/>
            </a:endParaRPr>
          </a:p>
          <a:p>
            <a:pPr rtl="0"/>
            <a:r>
              <a:rPr lang="en-US" sz="1100" b="0" i="0" baseline="0">
                <a:effectLst/>
                <a:latin typeface="+mn-lt"/>
                <a:ea typeface="+mn-ea"/>
                <a:cs typeface="+mn-cs"/>
              </a:rPr>
              <a:t>(m) GOV(1) at Temp(T2)     (m) = (d) / (k) </a:t>
            </a:r>
            <a:endParaRPr lang="ru-RU">
              <a:effectLst/>
            </a:endParaRPr>
          </a:p>
          <a:p>
            <a:pPr rtl="0"/>
            <a:r>
              <a:rPr lang="en-US" sz="1100" b="0" i="0" baseline="0">
                <a:effectLst/>
                <a:latin typeface="+mn-lt"/>
                <a:ea typeface="+mn-ea"/>
                <a:cs typeface="+mn-cs"/>
              </a:rPr>
              <a:t>(n) GOV ( 2nd Parcel )         (n) = (g) - (m)</a:t>
            </a:r>
            <a:endParaRPr lang="ru-RU">
              <a:effectLst/>
            </a:endParaRPr>
          </a:p>
          <a:p>
            <a:pPr rtl="0"/>
            <a:r>
              <a:rPr lang="en-US" sz="1100" b="0" i="0" baseline="0">
                <a:effectLst/>
                <a:latin typeface="+mn-lt"/>
                <a:ea typeface="+mn-ea"/>
                <a:cs typeface="+mn-cs"/>
              </a:rPr>
              <a:t>(w) Weighted  API                (w) = [(m)*(a)+(n)*(e)] / (g)</a:t>
            </a:r>
            <a:endParaRPr lang="ru-RU">
              <a:effectLst/>
            </a:endParaRPr>
          </a:p>
          <a:p>
            <a:r>
              <a:rPr lang="ru-RU" sz="1100">
                <a:effectLst/>
                <a:latin typeface="+mn-lt"/>
                <a:ea typeface="+mn-ea"/>
                <a:cs typeface="+mn-cs"/>
              </a:rPr>
              <a:t> </a:t>
            </a:r>
          </a:p>
          <a:p>
            <a:pPr algn="l" rtl="0">
              <a:defRPr sz="1000"/>
            </a:pPr>
            <a:endParaRPr lang="ru-RU" sz="1000" b="0" i="0" u="none" strike="noStrike" baseline="0">
              <a:solidFill>
                <a:srgbClr val="000000"/>
              </a:solidFill>
              <a:latin typeface="Arial"/>
              <a:cs typeface="Arial"/>
            </a:endParaRPr>
          </a:p>
          <a:p>
            <a:pPr algn="l" rtl="0">
              <a:defRPr sz="1000"/>
            </a:pPr>
            <a:endParaRPr lang="ru-RU"/>
          </a:p>
        </xdr:txBody>
      </xdr:sp>
      <xdr:sp macro="" textlink="">
        <xdr:nvSpPr>
          <xdr:cNvPr id="8" name="Прямоугольник 10">
            <a:extLst>
              <a:ext uri="{FF2B5EF4-FFF2-40B4-BE49-F238E27FC236}">
                <a16:creationId xmlns:a16="http://schemas.microsoft.com/office/drawing/2014/main" id="{00000000-0008-0000-1500-000008000000}"/>
              </a:ext>
            </a:extLst>
          </xdr:cNvPr>
          <xdr:cNvSpPr>
            <a:spLocks noChangeArrowheads="1"/>
          </xdr:cNvSpPr>
        </xdr:nvSpPr>
        <xdr:spPr bwMode="auto">
          <a:xfrm>
            <a:off x="2827020" y="17259300"/>
            <a:ext cx="8275320" cy="327660"/>
          </a:xfrm>
          <a:prstGeom prst="rect">
            <a:avLst/>
          </a:prstGeom>
          <a:gradFill rotWithShape="1">
            <a:gsLst>
              <a:gs pos="0">
                <a:srgbClr val="23518B"/>
              </a:gs>
              <a:gs pos="100000">
                <a:srgbClr val="4F81BD"/>
              </a:gs>
            </a:gsLst>
            <a:lin ang="0"/>
          </a:gradFill>
          <a:ln w="9525">
            <a:solidFill>
              <a:srgbClr val="7F7F7F"/>
            </a:solidFill>
            <a:miter lim="800000"/>
            <a:headEnd/>
            <a:tailEnd/>
          </a:ln>
        </xdr:spPr>
        <xdr:txBody>
          <a:bodyPr vertOverflow="clip" wrap="square" lIns="180000" tIns="0" rIns="91440" bIns="0" anchor="ctr" upright="1"/>
          <a:lstStyle/>
          <a:p>
            <a:pPr algn="l" rtl="0">
              <a:defRPr sz="1000"/>
            </a:pPr>
            <a:r>
              <a:rPr lang="en-US" sz="1000" b="0" i="0" u="none" strike="noStrike" baseline="0">
                <a:solidFill>
                  <a:srgbClr val="FFFFFF"/>
                </a:solidFill>
                <a:latin typeface="Arial"/>
                <a:cs typeface="Arial"/>
              </a:rPr>
              <a:t>Note:</a:t>
            </a:r>
            <a:endParaRPr lang="ru-RU"/>
          </a:p>
        </xdr:txBody>
      </xdr:sp>
      <xdr:pic>
        <xdr:nvPicPr>
          <xdr:cNvPr id="9" name="Рисунок 9">
            <a:hlinkClick xmlns:r="http://schemas.openxmlformats.org/officeDocument/2006/relationships" r:id="rId2"/>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07133" y="17306293"/>
            <a:ext cx="238070" cy="244362"/>
          </a:xfrm>
          <a:prstGeom prst="rect">
            <a:avLst/>
          </a:prstGeom>
          <a:noFill/>
          <a:ln w="9525">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904874</xdr:colOff>
      <xdr:row>25</xdr:row>
      <xdr:rowOff>66674</xdr:rowOff>
    </xdr:from>
    <xdr:to>
      <xdr:col>1</xdr:col>
      <xdr:colOff>1552874</xdr:colOff>
      <xdr:row>27</xdr:row>
      <xdr:rowOff>181274</xdr:rowOff>
    </xdr:to>
    <xdr:pic>
      <xdr:nvPicPr>
        <xdr:cNvPr id="10" name="Рисунок 24">
          <a:extLst>
            <a:ext uri="{FF2B5EF4-FFF2-40B4-BE49-F238E27FC236}">
              <a16:creationId xmlns:a16="http://schemas.microsoft.com/office/drawing/2014/main" id="{00000000-0008-0000-1500-00000A000000}"/>
            </a:ext>
          </a:extLst>
        </xdr:cNvPr>
        <xdr:cNvPicPr>
          <a:picLocks noChangeAspect="1"/>
        </xdr:cNvPicPr>
      </xdr:nvPicPr>
      <xdr:blipFill>
        <a:blip xmlns:r="http://schemas.openxmlformats.org/officeDocument/2006/relationships" r:embed="rId4">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1608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990600</xdr:colOff>
          <xdr:row>10</xdr:row>
          <xdr:rowOff>219075</xdr:rowOff>
        </xdr:to>
        <xdr:sp macro="" textlink="">
          <xdr:nvSpPr>
            <xdr:cNvPr id="208897" name="Drop Down 1" hidden="1">
              <a:extLst>
                <a:ext uri="{63B3BB69-23CF-44E3-9099-C40C66FF867C}">
                  <a14:compatExt spid="_x0000_s208897"/>
                </a:ext>
                <a:ext uri="{FF2B5EF4-FFF2-40B4-BE49-F238E27FC236}">
                  <a16:creationId xmlns:a16="http://schemas.microsoft.com/office/drawing/2014/main" id="{00000000-0008-0000-1600-0000013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609600</xdr:colOff>
          <xdr:row>3</xdr:row>
          <xdr:rowOff>61913</xdr:rowOff>
        </xdr:from>
        <xdr:to>
          <xdr:col>6</xdr:col>
          <xdr:colOff>557213</xdr:colOff>
          <xdr:row>3</xdr:row>
          <xdr:rowOff>252413</xdr:rowOff>
        </xdr:to>
        <xdr:sp macro="" textlink="">
          <xdr:nvSpPr>
            <xdr:cNvPr id="208898" name="Option Button 2" hidden="1">
              <a:extLst>
                <a:ext uri="{63B3BB69-23CF-44E3-9099-C40C66FF867C}">
                  <a14:compatExt spid="_x0000_s208898"/>
                </a:ext>
                <a:ext uri="{FF2B5EF4-FFF2-40B4-BE49-F238E27FC236}">
                  <a16:creationId xmlns:a16="http://schemas.microsoft.com/office/drawing/2014/main" id="{00000000-0008-0000-1600-0000023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API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457200</xdr:colOff>
          <xdr:row>3</xdr:row>
          <xdr:rowOff>28575</xdr:rowOff>
        </xdr:from>
        <xdr:to>
          <xdr:col>7</xdr:col>
          <xdr:colOff>152400</xdr:colOff>
          <xdr:row>3</xdr:row>
          <xdr:rowOff>257175</xdr:rowOff>
        </xdr:to>
        <xdr:sp macro="" textlink="">
          <xdr:nvSpPr>
            <xdr:cNvPr id="208899" name="Option Button 3" hidden="1">
              <a:extLst>
                <a:ext uri="{63B3BB69-23CF-44E3-9099-C40C66FF867C}">
                  <a14:compatExt spid="_x0000_s208899"/>
                </a:ext>
                <a:ext uri="{FF2B5EF4-FFF2-40B4-BE49-F238E27FC236}">
                  <a16:creationId xmlns:a16="http://schemas.microsoft.com/office/drawing/2014/main" id="{00000000-0008-0000-1600-0000033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Density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xdr:row>
          <xdr:rowOff>23813</xdr:rowOff>
        </xdr:from>
        <xdr:to>
          <xdr:col>7</xdr:col>
          <xdr:colOff>0</xdr:colOff>
          <xdr:row>4</xdr:row>
          <xdr:rowOff>238125</xdr:rowOff>
        </xdr:to>
        <xdr:sp macro="" textlink="">
          <xdr:nvSpPr>
            <xdr:cNvPr id="208900" name="Drop Down 4" hidden="1">
              <a:extLst>
                <a:ext uri="{63B3BB69-23CF-44E3-9099-C40C66FF867C}">
                  <a14:compatExt spid="_x0000_s208900"/>
                </a:ext>
                <a:ext uri="{FF2B5EF4-FFF2-40B4-BE49-F238E27FC236}">
                  <a16:creationId xmlns:a16="http://schemas.microsoft.com/office/drawing/2014/main" id="{00000000-0008-0000-1600-00000430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904874</xdr:colOff>
      <xdr:row>25</xdr:row>
      <xdr:rowOff>66674</xdr:rowOff>
    </xdr:from>
    <xdr:to>
      <xdr:col>1</xdr:col>
      <xdr:colOff>1552874</xdr:colOff>
      <xdr:row>27</xdr:row>
      <xdr:rowOff>211754</xdr:rowOff>
    </xdr:to>
    <xdr:pic>
      <xdr:nvPicPr>
        <xdr:cNvPr id="5" name="Рисунок 2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16851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337185</xdr:colOff>
      <xdr:row>1</xdr:row>
      <xdr:rowOff>40005</xdr:rowOff>
    </xdr:from>
    <xdr:to>
      <xdr:col>3</xdr:col>
      <xdr:colOff>697797</xdr:colOff>
      <xdr:row>1</xdr:row>
      <xdr:rowOff>210565</xdr:rowOff>
    </xdr:to>
    <xdr:sp macro="" textlink="">
      <xdr:nvSpPr>
        <xdr:cNvPr id="8" name="Text Box 18">
          <a:hlinkClick xmlns:r="http://schemas.openxmlformats.org/officeDocument/2006/relationships" r:id="rId1"/>
          <a:extLst>
            <a:ext uri="{FF2B5EF4-FFF2-40B4-BE49-F238E27FC236}">
              <a16:creationId xmlns:a16="http://schemas.microsoft.com/office/drawing/2014/main" id="{00000000-0008-0000-1700-000008000000}"/>
            </a:ext>
          </a:extLst>
        </xdr:cNvPr>
        <xdr:cNvSpPr txBox="1">
          <a:spLocks noChangeArrowheads="1"/>
        </xdr:cNvSpPr>
      </xdr:nvSpPr>
      <xdr:spPr bwMode="auto">
        <a:xfrm>
          <a:off x="3027045" y="207645"/>
          <a:ext cx="360612" cy="1705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US" sz="1000" b="0" i="0" u="sng" strike="noStrike" baseline="0">
              <a:solidFill>
                <a:schemeClr val="bg1"/>
              </a:solidFill>
              <a:latin typeface="Arial"/>
              <a:cs typeface="Arial"/>
            </a:rPr>
            <a:t>Note :</a:t>
          </a:r>
        </a:p>
      </xdr:txBody>
    </xdr:sp>
    <xdr:clientData/>
  </xdr:twoCellAnchor>
  <xdr:twoCellAnchor>
    <xdr:from>
      <xdr:col>3</xdr:col>
      <xdr:colOff>30480</xdr:colOff>
      <xdr:row>3</xdr:row>
      <xdr:rowOff>22860</xdr:rowOff>
    </xdr:from>
    <xdr:to>
      <xdr:col>12</xdr:col>
      <xdr:colOff>1219200</xdr:colOff>
      <xdr:row>6</xdr:row>
      <xdr:rowOff>251460</xdr:rowOff>
    </xdr:to>
    <xdr:sp macro="" textlink="">
      <xdr:nvSpPr>
        <xdr:cNvPr id="10" name="Rectangle 20">
          <a:extLst>
            <a:ext uri="{FF2B5EF4-FFF2-40B4-BE49-F238E27FC236}">
              <a16:creationId xmlns:a16="http://schemas.microsoft.com/office/drawing/2014/main" id="{00000000-0008-0000-1700-00000A000000}"/>
            </a:ext>
          </a:extLst>
        </xdr:cNvPr>
        <xdr:cNvSpPr>
          <a:spLocks noChangeArrowheads="1"/>
        </xdr:cNvSpPr>
      </xdr:nvSpPr>
      <xdr:spPr bwMode="auto">
        <a:xfrm>
          <a:off x="2727960" y="716280"/>
          <a:ext cx="8450580" cy="1028700"/>
        </a:xfrm>
        <a:prstGeom prst="rect">
          <a:avLst/>
        </a:prstGeom>
        <a:noFill/>
        <a:ln w="9525">
          <a:solidFill>
            <a:schemeClr val="bg1">
              <a:lumMod val="50000"/>
            </a:schemeClr>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771668</xdr:colOff>
      <xdr:row>5</xdr:row>
      <xdr:rowOff>43937</xdr:rowOff>
    </xdr:from>
    <xdr:to>
      <xdr:col>12</xdr:col>
      <xdr:colOff>1219200</xdr:colOff>
      <xdr:row>6</xdr:row>
      <xdr:rowOff>193094</xdr:rowOff>
    </xdr:to>
    <xdr:sp macro="" textlink="">
      <xdr:nvSpPr>
        <xdr:cNvPr id="11" name="Freeform 21">
          <a:extLst>
            <a:ext uri="{FF2B5EF4-FFF2-40B4-BE49-F238E27FC236}">
              <a16:creationId xmlns:a16="http://schemas.microsoft.com/office/drawing/2014/main" id="{00000000-0008-0000-1700-00000B000000}"/>
            </a:ext>
          </a:extLst>
        </xdr:cNvPr>
        <xdr:cNvSpPr>
          <a:spLocks/>
        </xdr:cNvSpPr>
      </xdr:nvSpPr>
      <xdr:spPr bwMode="auto">
        <a:xfrm>
          <a:off x="5076968" y="1270757"/>
          <a:ext cx="6101572" cy="415857"/>
        </a:xfrm>
        <a:custGeom>
          <a:avLst/>
          <a:gdLst>
            <a:gd name="T0" fmla="*/ 626 w 626"/>
            <a:gd name="T1" fmla="*/ 0 h 57"/>
            <a:gd name="T2" fmla="*/ 0 w 626"/>
            <a:gd name="T3" fmla="*/ 0 h 57"/>
            <a:gd name="T4" fmla="*/ 27 w 626"/>
            <a:gd name="T5" fmla="*/ 15 h 57"/>
            <a:gd name="T6" fmla="*/ 39 w 626"/>
            <a:gd name="T7" fmla="*/ 36 h 57"/>
            <a:gd name="T8" fmla="*/ 70 w 626"/>
            <a:gd name="T9" fmla="*/ 57 h 57"/>
            <a:gd name="T10" fmla="*/ 626 w 626"/>
            <a:gd name="T11" fmla="*/ 57 h 57"/>
            <a:gd name="T12" fmla="*/ 0 60000 65536"/>
            <a:gd name="T13" fmla="*/ 0 60000 65536"/>
            <a:gd name="T14" fmla="*/ 0 60000 65536"/>
            <a:gd name="T15" fmla="*/ 0 60000 65536"/>
            <a:gd name="T16" fmla="*/ 0 60000 65536"/>
            <a:gd name="T17" fmla="*/ 0 60000 65536"/>
          </a:gdLst>
          <a:ahLst/>
          <a:cxnLst>
            <a:cxn ang="T12">
              <a:pos x="T0" y="T1"/>
            </a:cxn>
            <a:cxn ang="T13">
              <a:pos x="T2" y="T3"/>
            </a:cxn>
            <a:cxn ang="T14">
              <a:pos x="T4" y="T5"/>
            </a:cxn>
            <a:cxn ang="T15">
              <a:pos x="T6" y="T7"/>
            </a:cxn>
            <a:cxn ang="T16">
              <a:pos x="T8" y="T9"/>
            </a:cxn>
            <a:cxn ang="T17">
              <a:pos x="T10" y="T11"/>
            </a:cxn>
          </a:cxnLst>
          <a:rect l="0" t="0" r="r" b="b"/>
          <a:pathLst>
            <a:path w="626" h="57">
              <a:moveTo>
                <a:pt x="626" y="0"/>
              </a:moveTo>
              <a:lnTo>
                <a:pt x="0" y="0"/>
              </a:lnTo>
              <a:lnTo>
                <a:pt x="27" y="15"/>
              </a:lnTo>
              <a:lnTo>
                <a:pt x="39" y="36"/>
              </a:lnTo>
              <a:lnTo>
                <a:pt x="70" y="57"/>
              </a:lnTo>
              <a:lnTo>
                <a:pt x="626" y="57"/>
              </a:lnTo>
            </a:path>
          </a:pathLst>
        </a:custGeom>
        <a:gradFill rotWithShape="1">
          <a:gsLst>
            <a:gs pos="0">
              <a:srgbClr val="33CCCC"/>
            </a:gs>
            <a:gs pos="100000">
              <a:srgbClr val="228787"/>
            </a:gs>
          </a:gsLst>
          <a:lin ang="5400000" scaled="1"/>
        </a:gradFill>
        <a:ln w="6350" cap="flat" cmpd="sng">
          <a:solidFill>
            <a:srgbClr val="000000"/>
          </a:solidFill>
          <a:prstDash val="solid"/>
          <a:round/>
          <a:headEnd type="none" w="med" len="med"/>
          <a:tailEnd type="none" w="med" len="med"/>
        </a:ln>
      </xdr:spPr>
    </xdr:sp>
    <xdr:clientData/>
  </xdr:twoCellAnchor>
  <xdr:twoCellAnchor>
    <xdr:from>
      <xdr:col>3</xdr:col>
      <xdr:colOff>30480</xdr:colOff>
      <xdr:row>4</xdr:row>
      <xdr:rowOff>252271</xdr:rowOff>
    </xdr:from>
    <xdr:to>
      <xdr:col>12</xdr:col>
      <xdr:colOff>1209453</xdr:colOff>
      <xdr:row>6</xdr:row>
      <xdr:rowOff>251460</xdr:rowOff>
    </xdr:to>
    <xdr:sp macro="" textlink="">
      <xdr:nvSpPr>
        <xdr:cNvPr id="12" name="Freeform 22">
          <a:extLst>
            <a:ext uri="{FF2B5EF4-FFF2-40B4-BE49-F238E27FC236}">
              <a16:creationId xmlns:a16="http://schemas.microsoft.com/office/drawing/2014/main" id="{00000000-0008-0000-1700-00000C000000}"/>
            </a:ext>
          </a:extLst>
        </xdr:cNvPr>
        <xdr:cNvSpPr>
          <a:spLocks/>
        </xdr:cNvSpPr>
      </xdr:nvSpPr>
      <xdr:spPr bwMode="auto">
        <a:xfrm>
          <a:off x="2727960" y="1212391"/>
          <a:ext cx="8440833" cy="532589"/>
        </a:xfrm>
        <a:custGeom>
          <a:avLst/>
          <a:gdLst>
            <a:gd name="T0" fmla="*/ 0 w 866"/>
            <a:gd name="T1" fmla="*/ 73 h 73"/>
            <a:gd name="T2" fmla="*/ 0 w 866"/>
            <a:gd name="T3" fmla="*/ 0 h 73"/>
            <a:gd name="T4" fmla="*/ 225 w 866"/>
            <a:gd name="T5" fmla="*/ 0 h 73"/>
            <a:gd name="T6" fmla="*/ 266 w 866"/>
            <a:gd name="T7" fmla="*/ 22 h 73"/>
            <a:gd name="T8" fmla="*/ 279 w 866"/>
            <a:gd name="T9" fmla="*/ 44 h 73"/>
            <a:gd name="T10" fmla="*/ 309 w 866"/>
            <a:gd name="T11" fmla="*/ 64 h 73"/>
            <a:gd name="T12" fmla="*/ 866 w 866"/>
            <a:gd name="T13" fmla="*/ 64 h 73"/>
            <a:gd name="T14" fmla="*/ 866 w 866"/>
            <a:gd name="T15" fmla="*/ 73 h 73"/>
            <a:gd name="T16" fmla="*/ 0 w 866"/>
            <a:gd name="T17" fmla="*/ 73 h 7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0" t="0" r="r" b="b"/>
          <a:pathLst>
            <a:path w="866" h="73">
              <a:moveTo>
                <a:pt x="0" y="73"/>
              </a:moveTo>
              <a:lnTo>
                <a:pt x="0" y="0"/>
              </a:lnTo>
              <a:lnTo>
                <a:pt x="225" y="0"/>
              </a:lnTo>
              <a:lnTo>
                <a:pt x="266" y="22"/>
              </a:lnTo>
              <a:lnTo>
                <a:pt x="279" y="44"/>
              </a:lnTo>
              <a:lnTo>
                <a:pt x="309" y="64"/>
              </a:lnTo>
              <a:lnTo>
                <a:pt x="866" y="64"/>
              </a:lnTo>
              <a:lnTo>
                <a:pt x="866" y="73"/>
              </a:lnTo>
              <a:lnTo>
                <a:pt x="0" y="73"/>
              </a:lnTo>
              <a:close/>
            </a:path>
          </a:pathLst>
        </a:custGeom>
        <a:solidFill>
          <a:srgbClr val="808080"/>
        </a:solidFill>
        <a:ln w="9525" cmpd="sng">
          <a:solidFill>
            <a:srgbClr val="424242"/>
          </a:solidFill>
          <a:round/>
          <a:headEnd type="none" w="med" len="med"/>
          <a:tailEnd type="none" w="med" len="med"/>
        </a:ln>
      </xdr:spPr>
    </xdr:sp>
    <xdr:clientData/>
  </xdr:twoCellAnchor>
  <xdr:twoCellAnchor>
    <xdr:from>
      <xdr:col>4</xdr:col>
      <xdr:colOff>625464</xdr:colOff>
      <xdr:row>4</xdr:row>
      <xdr:rowOff>120947</xdr:rowOff>
    </xdr:from>
    <xdr:to>
      <xdr:col>9</xdr:col>
      <xdr:colOff>81922</xdr:colOff>
      <xdr:row>6</xdr:row>
      <xdr:rowOff>149319</xdr:rowOff>
    </xdr:to>
    <xdr:sp macro="" textlink="">
      <xdr:nvSpPr>
        <xdr:cNvPr id="13" name="Freeform 23">
          <a:extLst>
            <a:ext uri="{FF2B5EF4-FFF2-40B4-BE49-F238E27FC236}">
              <a16:creationId xmlns:a16="http://schemas.microsoft.com/office/drawing/2014/main" id="{00000000-0008-0000-1700-00000D000000}"/>
            </a:ext>
          </a:extLst>
        </xdr:cNvPr>
        <xdr:cNvSpPr>
          <a:spLocks/>
        </xdr:cNvSpPr>
      </xdr:nvSpPr>
      <xdr:spPr bwMode="auto">
        <a:xfrm>
          <a:off x="4930764" y="1081067"/>
          <a:ext cx="3235978" cy="561772"/>
        </a:xfrm>
        <a:custGeom>
          <a:avLst/>
          <a:gdLst>
            <a:gd name="T0" fmla="*/ 0 w 332"/>
            <a:gd name="T1" fmla="*/ 3 h 89"/>
            <a:gd name="T2" fmla="*/ 0 w 332"/>
            <a:gd name="T3" fmla="*/ 3 h 89"/>
            <a:gd name="T4" fmla="*/ 15 w 332"/>
            <a:gd name="T5" fmla="*/ 3 h 89"/>
            <a:gd name="T6" fmla="*/ 93 w 332"/>
            <a:gd name="T7" fmla="*/ 3 h 89"/>
            <a:gd name="T8" fmla="*/ 273 w 332"/>
            <a:gd name="T9" fmla="*/ 3 h 89"/>
            <a:gd name="T10" fmla="*/ 326 w 332"/>
            <a:gd name="T11" fmla="*/ 3 h 89"/>
            <a:gd name="T12" fmla="*/ 332 w 332"/>
            <a:gd name="T13" fmla="*/ 3 h 89"/>
            <a:gd name="T14" fmla="*/ 332 w 332"/>
            <a:gd name="T15" fmla="*/ 0 h 89"/>
            <a:gd name="T16" fmla="*/ 323 w 332"/>
            <a:gd name="T17" fmla="*/ 0 h 89"/>
            <a:gd name="T18" fmla="*/ 270 w 332"/>
            <a:gd name="T19" fmla="*/ 3 h 89"/>
            <a:gd name="T20" fmla="*/ 95 w 332"/>
            <a:gd name="T21" fmla="*/ 3 h 89"/>
            <a:gd name="T22" fmla="*/ 18 w 332"/>
            <a:gd name="T23" fmla="*/ 3 h 89"/>
            <a:gd name="T24" fmla="*/ 0 w 332"/>
            <a:gd name="T25" fmla="*/ 3 h 8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332" h="89">
              <a:moveTo>
                <a:pt x="0" y="10"/>
              </a:moveTo>
              <a:lnTo>
                <a:pt x="0" y="17"/>
              </a:lnTo>
              <a:lnTo>
                <a:pt x="15" y="17"/>
              </a:lnTo>
              <a:lnTo>
                <a:pt x="93" y="89"/>
              </a:lnTo>
              <a:lnTo>
                <a:pt x="273" y="89"/>
              </a:lnTo>
              <a:lnTo>
                <a:pt x="326" y="6"/>
              </a:lnTo>
              <a:lnTo>
                <a:pt x="332" y="6"/>
              </a:lnTo>
              <a:lnTo>
                <a:pt x="332" y="0"/>
              </a:lnTo>
              <a:lnTo>
                <a:pt x="323" y="0"/>
              </a:lnTo>
              <a:lnTo>
                <a:pt x="270" y="82"/>
              </a:lnTo>
              <a:lnTo>
                <a:pt x="95" y="82"/>
              </a:lnTo>
              <a:lnTo>
                <a:pt x="18" y="10"/>
              </a:lnTo>
              <a:lnTo>
                <a:pt x="0" y="10"/>
              </a:lnTo>
              <a:close/>
            </a:path>
          </a:pathLst>
        </a:custGeom>
        <a:gradFill rotWithShape="1">
          <a:gsLst>
            <a:gs pos="0">
              <a:srgbClr val="FF9933"/>
            </a:gs>
            <a:gs pos="63000">
              <a:srgbClr val="764718"/>
            </a:gs>
          </a:gsLst>
          <a:lin ang="0" scaled="1"/>
        </a:gradFill>
        <a:ln w="9525" cap="flat" cmpd="sng">
          <a:solidFill>
            <a:srgbClr val="000000"/>
          </a:solidFill>
          <a:prstDash val="solid"/>
          <a:round/>
          <a:headEnd type="none" w="med" len="med"/>
          <a:tailEnd type="none" w="med" len="med"/>
        </a:ln>
      </xdr:spPr>
    </xdr:sp>
    <xdr:clientData/>
  </xdr:twoCellAnchor>
  <xdr:twoCellAnchor>
    <xdr:from>
      <xdr:col>3</xdr:col>
      <xdr:colOff>1161123</xdr:colOff>
      <xdr:row>3</xdr:row>
      <xdr:rowOff>139592</xdr:rowOff>
    </xdr:from>
    <xdr:to>
      <xdr:col>4</xdr:col>
      <xdr:colOff>625464</xdr:colOff>
      <xdr:row>4</xdr:row>
      <xdr:rowOff>244975</xdr:rowOff>
    </xdr:to>
    <xdr:sp macro="" textlink="">
      <xdr:nvSpPr>
        <xdr:cNvPr id="14" name="Rectangle 24">
          <a:extLst>
            <a:ext uri="{FF2B5EF4-FFF2-40B4-BE49-F238E27FC236}">
              <a16:creationId xmlns:a16="http://schemas.microsoft.com/office/drawing/2014/main" id="{00000000-0008-0000-1700-00000E000000}"/>
            </a:ext>
          </a:extLst>
        </xdr:cNvPr>
        <xdr:cNvSpPr>
          <a:spLocks noChangeArrowheads="1"/>
        </xdr:cNvSpPr>
      </xdr:nvSpPr>
      <xdr:spPr bwMode="auto">
        <a:xfrm>
          <a:off x="3858603" y="833012"/>
          <a:ext cx="1072161" cy="372083"/>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1161123</xdr:colOff>
      <xdr:row>3</xdr:row>
      <xdr:rowOff>241732</xdr:rowOff>
    </xdr:from>
    <xdr:to>
      <xdr:col>4</xdr:col>
      <xdr:colOff>625464</xdr:colOff>
      <xdr:row>4</xdr:row>
      <xdr:rowOff>244975</xdr:rowOff>
    </xdr:to>
    <xdr:sp macro="" textlink="">
      <xdr:nvSpPr>
        <xdr:cNvPr id="15" name="Rectangle 25">
          <a:extLst>
            <a:ext uri="{FF2B5EF4-FFF2-40B4-BE49-F238E27FC236}">
              <a16:creationId xmlns:a16="http://schemas.microsoft.com/office/drawing/2014/main" id="{00000000-0008-0000-1700-00000F000000}"/>
            </a:ext>
          </a:extLst>
        </xdr:cNvPr>
        <xdr:cNvSpPr>
          <a:spLocks noChangeArrowheads="1"/>
        </xdr:cNvSpPr>
      </xdr:nvSpPr>
      <xdr:spPr bwMode="auto">
        <a:xfrm>
          <a:off x="3858603" y="935152"/>
          <a:ext cx="1072161" cy="269943"/>
        </a:xfrm>
        <a:prstGeom prst="rect">
          <a:avLst/>
        </a:prstGeom>
        <a:solidFill>
          <a:srgbClr val="FF9933"/>
        </a:solidFill>
        <a:ln w="19050">
          <a:solidFill>
            <a:srgbClr val="000000"/>
          </a:solidFill>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Temp.1</a:t>
          </a:r>
        </a:p>
      </xdr:txBody>
    </xdr:sp>
    <xdr:clientData/>
  </xdr:twoCellAnchor>
  <xdr:twoCellAnchor>
    <xdr:from>
      <xdr:col>6</xdr:col>
      <xdr:colOff>316278</xdr:colOff>
      <xdr:row>4</xdr:row>
      <xdr:rowOff>62581</xdr:rowOff>
    </xdr:from>
    <xdr:to>
      <xdr:col>8</xdr:col>
      <xdr:colOff>60784</xdr:colOff>
      <xdr:row>4</xdr:row>
      <xdr:rowOff>208496</xdr:rowOff>
    </xdr:to>
    <xdr:sp macro="" textlink="">
      <xdr:nvSpPr>
        <xdr:cNvPr id="16" name="Text Box 26">
          <a:extLst>
            <a:ext uri="{FF2B5EF4-FFF2-40B4-BE49-F238E27FC236}">
              <a16:creationId xmlns:a16="http://schemas.microsoft.com/office/drawing/2014/main" id="{00000000-0008-0000-1700-000010000000}"/>
            </a:ext>
          </a:extLst>
        </xdr:cNvPr>
        <xdr:cNvSpPr txBox="1">
          <a:spLocks noChangeArrowheads="1"/>
        </xdr:cNvSpPr>
      </xdr:nvSpPr>
      <xdr:spPr bwMode="auto">
        <a:xfrm>
          <a:off x="6221778" y="1022701"/>
          <a:ext cx="994186" cy="14591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en-US" sz="1000" b="0" i="0" u="none" strike="noStrike" baseline="0">
              <a:solidFill>
                <a:srgbClr val="000000"/>
              </a:solidFill>
              <a:latin typeface="Arial"/>
              <a:cs typeface="Arial"/>
            </a:rPr>
            <a:t>Temp.1 &gt; Temp.2</a:t>
          </a:r>
        </a:p>
      </xdr:txBody>
    </xdr:sp>
    <xdr:clientData/>
  </xdr:twoCellAnchor>
  <xdr:twoCellAnchor>
    <xdr:from>
      <xdr:col>9</xdr:col>
      <xdr:colOff>62428</xdr:colOff>
      <xdr:row>3</xdr:row>
      <xdr:rowOff>81226</xdr:rowOff>
    </xdr:from>
    <xdr:to>
      <xdr:col>11</xdr:col>
      <xdr:colOff>320040</xdr:colOff>
      <xdr:row>6</xdr:row>
      <xdr:rowOff>90954</xdr:rowOff>
    </xdr:to>
    <xdr:grpSp>
      <xdr:nvGrpSpPr>
        <xdr:cNvPr id="38" name="Группа 37">
          <a:extLst>
            <a:ext uri="{FF2B5EF4-FFF2-40B4-BE49-F238E27FC236}">
              <a16:creationId xmlns:a16="http://schemas.microsoft.com/office/drawing/2014/main" id="{00000000-0008-0000-1700-000026000000}"/>
            </a:ext>
          </a:extLst>
        </xdr:cNvPr>
        <xdr:cNvGrpSpPr/>
      </xdr:nvGrpSpPr>
      <xdr:grpSpPr>
        <a:xfrm>
          <a:off x="8487291" y="776551"/>
          <a:ext cx="1562537" cy="809828"/>
          <a:chOff x="8147248" y="774646"/>
          <a:chExt cx="1507292" cy="809828"/>
        </a:xfrm>
      </xdr:grpSpPr>
      <xdr:sp macro="" textlink="">
        <xdr:nvSpPr>
          <xdr:cNvPr id="18" name="Rectangle 28">
            <a:extLst>
              <a:ext uri="{FF2B5EF4-FFF2-40B4-BE49-F238E27FC236}">
                <a16:creationId xmlns:a16="http://schemas.microsoft.com/office/drawing/2014/main" id="{00000000-0008-0000-1700-000012000000}"/>
              </a:ext>
            </a:extLst>
          </xdr:cNvPr>
          <xdr:cNvSpPr>
            <a:spLocks noChangeArrowheads="1"/>
          </xdr:cNvSpPr>
        </xdr:nvSpPr>
        <xdr:spPr bwMode="auto">
          <a:xfrm>
            <a:off x="8507323" y="1057144"/>
            <a:ext cx="787141" cy="75333"/>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19" name="Rectangle 29">
            <a:extLst>
              <a:ext uri="{FF2B5EF4-FFF2-40B4-BE49-F238E27FC236}">
                <a16:creationId xmlns:a16="http://schemas.microsoft.com/office/drawing/2014/main" id="{00000000-0008-0000-1700-000013000000}"/>
              </a:ext>
            </a:extLst>
          </xdr:cNvPr>
          <xdr:cNvSpPr>
            <a:spLocks noChangeArrowheads="1"/>
          </xdr:cNvSpPr>
        </xdr:nvSpPr>
        <xdr:spPr bwMode="auto">
          <a:xfrm>
            <a:off x="8699922" y="944145"/>
            <a:ext cx="393571" cy="112999"/>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0" name="Rectangle 30">
            <a:extLst>
              <a:ext uri="{FF2B5EF4-FFF2-40B4-BE49-F238E27FC236}">
                <a16:creationId xmlns:a16="http://schemas.microsoft.com/office/drawing/2014/main" id="{00000000-0008-0000-1700-000014000000}"/>
              </a:ext>
            </a:extLst>
          </xdr:cNvPr>
          <xdr:cNvSpPr>
            <a:spLocks noChangeArrowheads="1"/>
          </xdr:cNvSpPr>
        </xdr:nvSpPr>
        <xdr:spPr bwMode="auto">
          <a:xfrm>
            <a:off x="8147248" y="919034"/>
            <a:ext cx="552674" cy="25111"/>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1" name="Rectangle 31">
            <a:extLst>
              <a:ext uri="{FF2B5EF4-FFF2-40B4-BE49-F238E27FC236}">
                <a16:creationId xmlns:a16="http://schemas.microsoft.com/office/drawing/2014/main" id="{00000000-0008-0000-1700-000015000000}"/>
              </a:ext>
            </a:extLst>
          </xdr:cNvPr>
          <xdr:cNvSpPr>
            <a:spLocks noChangeArrowheads="1"/>
          </xdr:cNvSpPr>
        </xdr:nvSpPr>
        <xdr:spPr bwMode="auto">
          <a:xfrm>
            <a:off x="9093492" y="919034"/>
            <a:ext cx="561048" cy="25111"/>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 name="Rectangle 32">
            <a:extLst>
              <a:ext uri="{FF2B5EF4-FFF2-40B4-BE49-F238E27FC236}">
                <a16:creationId xmlns:a16="http://schemas.microsoft.com/office/drawing/2014/main" id="{00000000-0008-0000-1700-000016000000}"/>
              </a:ext>
            </a:extLst>
          </xdr:cNvPr>
          <xdr:cNvSpPr>
            <a:spLocks noChangeArrowheads="1"/>
          </xdr:cNvSpPr>
        </xdr:nvSpPr>
        <xdr:spPr bwMode="auto">
          <a:xfrm>
            <a:off x="8699922" y="875090"/>
            <a:ext cx="393571" cy="6905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3" name="Rectangle 33">
            <a:extLst>
              <a:ext uri="{FF2B5EF4-FFF2-40B4-BE49-F238E27FC236}">
                <a16:creationId xmlns:a16="http://schemas.microsoft.com/office/drawing/2014/main" id="{00000000-0008-0000-1700-000017000000}"/>
              </a:ext>
            </a:extLst>
          </xdr:cNvPr>
          <xdr:cNvSpPr>
            <a:spLocks noChangeArrowheads="1"/>
          </xdr:cNvSpPr>
        </xdr:nvSpPr>
        <xdr:spPr bwMode="auto">
          <a:xfrm>
            <a:off x="8884146" y="774646"/>
            <a:ext cx="33495" cy="100444"/>
          </a:xfrm>
          <a:prstGeom prst="rect">
            <a:avLst/>
          </a:prstGeom>
          <a:noFill/>
          <a:ln w="317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4" name="Freeform 34">
            <a:extLst>
              <a:ext uri="{FF2B5EF4-FFF2-40B4-BE49-F238E27FC236}">
                <a16:creationId xmlns:a16="http://schemas.microsoft.com/office/drawing/2014/main" id="{00000000-0008-0000-1700-000018000000}"/>
              </a:ext>
            </a:extLst>
          </xdr:cNvPr>
          <xdr:cNvSpPr>
            <a:spLocks/>
          </xdr:cNvSpPr>
        </xdr:nvSpPr>
        <xdr:spPr bwMode="auto">
          <a:xfrm>
            <a:off x="8147248" y="1534252"/>
            <a:ext cx="1498918" cy="50222"/>
          </a:xfrm>
          <a:custGeom>
            <a:avLst/>
            <a:gdLst>
              <a:gd name="T0" fmla="*/ 0 w 179"/>
              <a:gd name="T1" fmla="*/ 0 h 8"/>
              <a:gd name="T2" fmla="*/ 0 w 179"/>
              <a:gd name="T3" fmla="*/ 0 h 8"/>
              <a:gd name="T4" fmla="*/ 8 w 179"/>
              <a:gd name="T5" fmla="*/ 8 h 8"/>
              <a:gd name="T6" fmla="*/ 171 w 179"/>
              <a:gd name="T7" fmla="*/ 8 h 8"/>
              <a:gd name="T8" fmla="*/ 179 w 179"/>
              <a:gd name="T9" fmla="*/ 0 h 8"/>
              <a:gd name="T10" fmla="*/ 179 w 179"/>
              <a:gd name="T11" fmla="*/ 0 h 8"/>
              <a:gd name="T12" fmla="*/ 0 w 179"/>
              <a:gd name="T13" fmla="*/ 0 h 8"/>
              <a:gd name="T14" fmla="*/ 0 60000 65536"/>
              <a:gd name="T15" fmla="*/ 0 60000 65536"/>
              <a:gd name="T16" fmla="*/ 0 60000 65536"/>
              <a:gd name="T17" fmla="*/ 0 60000 65536"/>
              <a:gd name="T18" fmla="*/ 0 60000 65536"/>
              <a:gd name="T19" fmla="*/ 0 60000 65536"/>
              <a:gd name="T20" fmla="*/ 0 60000 65536"/>
            </a:gdLst>
            <a:ahLst/>
            <a:cxnLst>
              <a:cxn ang="T14">
                <a:pos x="T0" y="T1"/>
              </a:cxn>
              <a:cxn ang="T15">
                <a:pos x="T2" y="T3"/>
              </a:cxn>
              <a:cxn ang="T16">
                <a:pos x="T4" y="T5"/>
              </a:cxn>
              <a:cxn ang="T17">
                <a:pos x="T6" y="T7"/>
              </a:cxn>
              <a:cxn ang="T18">
                <a:pos x="T8" y="T9"/>
              </a:cxn>
              <a:cxn ang="T19">
                <a:pos x="T10" y="T11"/>
              </a:cxn>
              <a:cxn ang="T20">
                <a:pos x="T12" y="T13"/>
              </a:cxn>
            </a:cxnLst>
            <a:rect l="0" t="0" r="r" b="b"/>
            <a:pathLst>
              <a:path w="179" h="8">
                <a:moveTo>
                  <a:pt x="0" y="0"/>
                </a:moveTo>
                <a:lnTo>
                  <a:pt x="0" y="0"/>
                </a:lnTo>
                <a:lnTo>
                  <a:pt x="8" y="8"/>
                </a:lnTo>
                <a:lnTo>
                  <a:pt x="171" y="8"/>
                </a:lnTo>
                <a:lnTo>
                  <a:pt x="179" y="0"/>
                </a:lnTo>
                <a:lnTo>
                  <a:pt x="0" y="0"/>
                </a:lnTo>
                <a:close/>
              </a:path>
            </a:pathLst>
          </a:custGeom>
          <a:solidFill>
            <a:srgbClr val="000000"/>
          </a:solidFill>
          <a:ln w="9525" cap="flat" cmpd="sng">
            <a:solidFill>
              <a:srgbClr val="000000"/>
            </a:solidFill>
            <a:prstDash val="solid"/>
            <a:round/>
            <a:headEnd type="none" w="med" len="med"/>
            <a:tailEnd type="none" w="med" len="med"/>
          </a:ln>
        </xdr:spPr>
      </xdr:sp>
      <xdr:sp macro="" textlink="">
        <xdr:nvSpPr>
          <xdr:cNvPr id="25" name="Line 35">
            <a:extLst>
              <a:ext uri="{FF2B5EF4-FFF2-40B4-BE49-F238E27FC236}">
                <a16:creationId xmlns:a16="http://schemas.microsoft.com/office/drawing/2014/main" id="{00000000-0008-0000-1700-000019000000}"/>
              </a:ext>
            </a:extLst>
          </xdr:cNvPr>
          <xdr:cNvSpPr>
            <a:spLocks noChangeShapeType="1"/>
          </xdr:cNvSpPr>
        </xdr:nvSpPr>
        <xdr:spPr bwMode="auto">
          <a:xfrm>
            <a:off x="8783660" y="875090"/>
            <a:ext cx="0" cy="182054"/>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36">
            <a:extLst>
              <a:ext uri="{FF2B5EF4-FFF2-40B4-BE49-F238E27FC236}">
                <a16:creationId xmlns:a16="http://schemas.microsoft.com/office/drawing/2014/main" id="{00000000-0008-0000-1700-00001A000000}"/>
              </a:ext>
            </a:extLst>
          </xdr:cNvPr>
          <xdr:cNvSpPr>
            <a:spLocks noChangeShapeType="1"/>
          </xdr:cNvSpPr>
        </xdr:nvSpPr>
        <xdr:spPr bwMode="auto">
          <a:xfrm>
            <a:off x="9009754" y="875090"/>
            <a:ext cx="0" cy="182054"/>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Rectangle 37">
            <a:extLst>
              <a:ext uri="{FF2B5EF4-FFF2-40B4-BE49-F238E27FC236}">
                <a16:creationId xmlns:a16="http://schemas.microsoft.com/office/drawing/2014/main" id="{00000000-0008-0000-1700-00001B000000}"/>
              </a:ext>
            </a:extLst>
          </xdr:cNvPr>
          <xdr:cNvSpPr>
            <a:spLocks noChangeArrowheads="1"/>
          </xdr:cNvSpPr>
        </xdr:nvSpPr>
        <xdr:spPr bwMode="auto">
          <a:xfrm>
            <a:off x="8800408" y="887645"/>
            <a:ext cx="192598" cy="31389"/>
          </a:xfrm>
          <a:prstGeom prst="rect">
            <a:avLst/>
          </a:prstGeom>
          <a:noFill/>
          <a:ln w="317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8" name="Line 38">
            <a:extLst>
              <a:ext uri="{FF2B5EF4-FFF2-40B4-BE49-F238E27FC236}">
                <a16:creationId xmlns:a16="http://schemas.microsoft.com/office/drawing/2014/main" id="{00000000-0008-0000-1700-00001C000000}"/>
              </a:ext>
            </a:extLst>
          </xdr:cNvPr>
          <xdr:cNvSpPr>
            <a:spLocks noChangeShapeType="1"/>
          </xdr:cNvSpPr>
        </xdr:nvSpPr>
        <xdr:spPr bwMode="auto">
          <a:xfrm>
            <a:off x="8850651" y="887645"/>
            <a:ext cx="0" cy="31389"/>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9">
            <a:extLst>
              <a:ext uri="{FF2B5EF4-FFF2-40B4-BE49-F238E27FC236}">
                <a16:creationId xmlns:a16="http://schemas.microsoft.com/office/drawing/2014/main" id="{00000000-0008-0000-1700-00001D000000}"/>
              </a:ext>
            </a:extLst>
          </xdr:cNvPr>
          <xdr:cNvSpPr>
            <a:spLocks noChangeShapeType="1"/>
          </xdr:cNvSpPr>
        </xdr:nvSpPr>
        <xdr:spPr bwMode="auto">
          <a:xfrm>
            <a:off x="8942763" y="887645"/>
            <a:ext cx="0" cy="31389"/>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40">
            <a:extLst>
              <a:ext uri="{FF2B5EF4-FFF2-40B4-BE49-F238E27FC236}">
                <a16:creationId xmlns:a16="http://schemas.microsoft.com/office/drawing/2014/main" id="{00000000-0008-0000-1700-00001E000000}"/>
              </a:ext>
            </a:extLst>
          </xdr:cNvPr>
          <xdr:cNvSpPr>
            <a:spLocks noChangeShapeType="1"/>
          </xdr:cNvSpPr>
        </xdr:nvSpPr>
        <xdr:spPr bwMode="auto">
          <a:xfrm flipH="1" flipV="1">
            <a:off x="8381716" y="944145"/>
            <a:ext cx="125608" cy="11299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41">
            <a:extLst>
              <a:ext uri="{FF2B5EF4-FFF2-40B4-BE49-F238E27FC236}">
                <a16:creationId xmlns:a16="http://schemas.microsoft.com/office/drawing/2014/main" id="{00000000-0008-0000-1700-00001F000000}"/>
              </a:ext>
            </a:extLst>
          </xdr:cNvPr>
          <xdr:cNvSpPr>
            <a:spLocks noChangeShapeType="1"/>
          </xdr:cNvSpPr>
        </xdr:nvSpPr>
        <xdr:spPr bwMode="auto">
          <a:xfrm flipH="1" flipV="1">
            <a:off x="8348220" y="944145"/>
            <a:ext cx="159103" cy="14438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42">
            <a:extLst>
              <a:ext uri="{FF2B5EF4-FFF2-40B4-BE49-F238E27FC236}">
                <a16:creationId xmlns:a16="http://schemas.microsoft.com/office/drawing/2014/main" id="{00000000-0008-0000-1700-000020000000}"/>
              </a:ext>
            </a:extLst>
          </xdr:cNvPr>
          <xdr:cNvSpPr>
            <a:spLocks noChangeShapeType="1"/>
          </xdr:cNvSpPr>
        </xdr:nvSpPr>
        <xdr:spPr bwMode="auto">
          <a:xfrm flipV="1">
            <a:off x="9294465" y="944145"/>
            <a:ext cx="125608" cy="11299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43">
            <a:extLst>
              <a:ext uri="{FF2B5EF4-FFF2-40B4-BE49-F238E27FC236}">
                <a16:creationId xmlns:a16="http://schemas.microsoft.com/office/drawing/2014/main" id="{00000000-0008-0000-1700-000021000000}"/>
              </a:ext>
            </a:extLst>
          </xdr:cNvPr>
          <xdr:cNvSpPr>
            <a:spLocks noChangeShapeType="1"/>
          </xdr:cNvSpPr>
        </xdr:nvSpPr>
        <xdr:spPr bwMode="auto">
          <a:xfrm flipV="1">
            <a:off x="9294465" y="944145"/>
            <a:ext cx="159103" cy="14438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Rectangle 44">
            <a:extLst>
              <a:ext uri="{FF2B5EF4-FFF2-40B4-BE49-F238E27FC236}">
                <a16:creationId xmlns:a16="http://schemas.microsoft.com/office/drawing/2014/main" id="{00000000-0008-0000-1700-000022000000}"/>
              </a:ext>
            </a:extLst>
          </xdr:cNvPr>
          <xdr:cNvSpPr>
            <a:spLocks noChangeArrowheads="1"/>
          </xdr:cNvSpPr>
        </xdr:nvSpPr>
        <xdr:spPr bwMode="auto">
          <a:xfrm>
            <a:off x="9026502" y="887645"/>
            <a:ext cx="50243" cy="31389"/>
          </a:xfrm>
          <a:prstGeom prst="rect">
            <a:avLst/>
          </a:prstGeom>
          <a:noFill/>
          <a:ln w="317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5" name="Rectangle 45">
            <a:extLst>
              <a:ext uri="{FF2B5EF4-FFF2-40B4-BE49-F238E27FC236}">
                <a16:creationId xmlns:a16="http://schemas.microsoft.com/office/drawing/2014/main" id="{00000000-0008-0000-1700-000023000000}"/>
              </a:ext>
            </a:extLst>
          </xdr:cNvPr>
          <xdr:cNvSpPr>
            <a:spLocks noChangeArrowheads="1"/>
          </xdr:cNvSpPr>
        </xdr:nvSpPr>
        <xdr:spPr bwMode="auto">
          <a:xfrm>
            <a:off x="8716669" y="887645"/>
            <a:ext cx="50243" cy="31389"/>
          </a:xfrm>
          <a:prstGeom prst="rect">
            <a:avLst/>
          </a:prstGeom>
          <a:noFill/>
          <a:ln w="317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6" name="Rectangle 46">
            <a:extLst>
              <a:ext uri="{FF2B5EF4-FFF2-40B4-BE49-F238E27FC236}">
                <a16:creationId xmlns:a16="http://schemas.microsoft.com/office/drawing/2014/main" id="{00000000-0008-0000-1700-000024000000}"/>
              </a:ext>
            </a:extLst>
          </xdr:cNvPr>
          <xdr:cNvSpPr>
            <a:spLocks noChangeArrowheads="1"/>
          </xdr:cNvSpPr>
        </xdr:nvSpPr>
        <xdr:spPr bwMode="auto">
          <a:xfrm>
            <a:off x="8147248" y="1132477"/>
            <a:ext cx="1498918" cy="4017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7" name="Rectangle 47">
            <a:extLst>
              <a:ext uri="{FF2B5EF4-FFF2-40B4-BE49-F238E27FC236}">
                <a16:creationId xmlns:a16="http://schemas.microsoft.com/office/drawing/2014/main" id="{00000000-0008-0000-1700-000025000000}"/>
              </a:ext>
            </a:extLst>
          </xdr:cNvPr>
          <xdr:cNvSpPr>
            <a:spLocks noChangeArrowheads="1"/>
          </xdr:cNvSpPr>
        </xdr:nvSpPr>
        <xdr:spPr bwMode="auto">
          <a:xfrm>
            <a:off x="8147248" y="1207810"/>
            <a:ext cx="1498918" cy="313887"/>
          </a:xfrm>
          <a:prstGeom prst="rect">
            <a:avLst/>
          </a:prstGeom>
          <a:solidFill>
            <a:srgbClr val="000000"/>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FFFFFF"/>
                </a:solidFill>
                <a:latin typeface="Arial"/>
                <a:cs typeface="Arial"/>
              </a:rPr>
              <a:t>Temp.2</a:t>
            </a:r>
          </a:p>
        </xdr:txBody>
      </xdr:sp>
    </xdr:grpSp>
    <xdr:clientData/>
  </xdr:twoCellAnchor>
  <mc:AlternateContent xmlns:mc="http://schemas.openxmlformats.org/markup-compatibility/2006">
    <mc:Choice xmlns:a14="http://schemas.microsoft.com/office/drawing/2010/main" Requires="a14">
      <xdr:twoCellAnchor editAs="oneCell">
        <xdr:from>
          <xdr:col>11</xdr:col>
          <xdr:colOff>28575</xdr:colOff>
          <xdr:row>12</xdr:row>
          <xdr:rowOff>0</xdr:rowOff>
        </xdr:from>
        <xdr:to>
          <xdr:col>12</xdr:col>
          <xdr:colOff>485775</xdr:colOff>
          <xdr:row>12</xdr:row>
          <xdr:rowOff>252413</xdr:rowOff>
        </xdr:to>
        <xdr:sp macro="" textlink="">
          <xdr:nvSpPr>
            <xdr:cNvPr id="209921" name="Drop Down 1" hidden="1">
              <a:extLst>
                <a:ext uri="{63B3BB69-23CF-44E3-9099-C40C66FF867C}">
                  <a14:compatExt spid="_x0000_s209921"/>
                </a:ext>
                <a:ext uri="{FF2B5EF4-FFF2-40B4-BE49-F238E27FC236}">
                  <a16:creationId xmlns:a16="http://schemas.microsoft.com/office/drawing/2014/main" id="{00000000-0008-0000-1700-0000013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8</xdr:row>
          <xdr:rowOff>28575</xdr:rowOff>
        </xdr:from>
        <xdr:to>
          <xdr:col>5</xdr:col>
          <xdr:colOff>571500</xdr:colOff>
          <xdr:row>8</xdr:row>
          <xdr:rowOff>190500</xdr:rowOff>
        </xdr:to>
        <xdr:sp macro="" textlink="">
          <xdr:nvSpPr>
            <xdr:cNvPr id="209922" name="Option Button 2" hidden="1">
              <a:extLst>
                <a:ext uri="{63B3BB69-23CF-44E3-9099-C40C66FF867C}">
                  <a14:compatExt spid="_x0000_s209922"/>
                </a:ext>
                <a:ext uri="{FF2B5EF4-FFF2-40B4-BE49-F238E27FC236}">
                  <a16:creationId xmlns:a16="http://schemas.microsoft.com/office/drawing/2014/main" id="{00000000-0008-0000-1700-0000023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API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542925</xdr:colOff>
          <xdr:row>8</xdr:row>
          <xdr:rowOff>28575</xdr:rowOff>
        </xdr:from>
        <xdr:to>
          <xdr:col>6</xdr:col>
          <xdr:colOff>390525</xdr:colOff>
          <xdr:row>8</xdr:row>
          <xdr:rowOff>190500</xdr:rowOff>
        </xdr:to>
        <xdr:sp macro="" textlink="">
          <xdr:nvSpPr>
            <xdr:cNvPr id="209923" name="Option Button 3" hidden="1">
              <a:extLst>
                <a:ext uri="{63B3BB69-23CF-44E3-9099-C40C66FF867C}">
                  <a14:compatExt spid="_x0000_s209923"/>
                </a:ext>
                <a:ext uri="{FF2B5EF4-FFF2-40B4-BE49-F238E27FC236}">
                  <a16:creationId xmlns:a16="http://schemas.microsoft.com/office/drawing/2014/main" id="{00000000-0008-0000-1700-0000033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 Density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xdr:row>
          <xdr:rowOff>257175</xdr:rowOff>
        </xdr:from>
        <xdr:to>
          <xdr:col>9</xdr:col>
          <xdr:colOff>457200</xdr:colOff>
          <xdr:row>8</xdr:row>
          <xdr:rowOff>176213</xdr:rowOff>
        </xdr:to>
        <xdr:sp macro="" textlink="">
          <xdr:nvSpPr>
            <xdr:cNvPr id="209924" name="Drop Down 4" hidden="1">
              <a:extLst>
                <a:ext uri="{63B3BB69-23CF-44E3-9099-C40C66FF867C}">
                  <a14:compatExt spid="_x0000_s209924"/>
                </a:ext>
                <a:ext uri="{FF2B5EF4-FFF2-40B4-BE49-F238E27FC236}">
                  <a16:creationId xmlns:a16="http://schemas.microsoft.com/office/drawing/2014/main" id="{00000000-0008-0000-1700-0000043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904874</xdr:colOff>
      <xdr:row>25</xdr:row>
      <xdr:rowOff>66674</xdr:rowOff>
    </xdr:from>
    <xdr:to>
      <xdr:col>1</xdr:col>
      <xdr:colOff>1552874</xdr:colOff>
      <xdr:row>28</xdr:row>
      <xdr:rowOff>6014</xdr:rowOff>
    </xdr:to>
    <xdr:pic>
      <xdr:nvPicPr>
        <xdr:cNvPr id="44" name="Рисунок 24">
          <a:extLst>
            <a:ext uri="{FF2B5EF4-FFF2-40B4-BE49-F238E27FC236}">
              <a16:creationId xmlns:a16="http://schemas.microsoft.com/office/drawing/2014/main" id="{00000000-0008-0000-1700-00002C000000}"/>
            </a:ext>
          </a:extLst>
        </xdr:cNvPr>
        <xdr:cNvPicPr>
          <a:picLocks noChangeAspect="1"/>
        </xdr:cNvPicPr>
      </xdr:nvPicPr>
      <xdr:blipFill>
        <a:blip xmlns:r="http://schemas.openxmlformats.org/officeDocument/2006/relationships" r:embed="rId2">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13803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3</xdr:col>
      <xdr:colOff>0</xdr:colOff>
      <xdr:row>117</xdr:row>
      <xdr:rowOff>114299</xdr:rowOff>
    </xdr:from>
    <xdr:to>
      <xdr:col>12</xdr:col>
      <xdr:colOff>1013460</xdr:colOff>
      <xdr:row>216</xdr:row>
      <xdr:rowOff>68580</xdr:rowOff>
    </xdr:to>
    <xdr:grpSp>
      <xdr:nvGrpSpPr>
        <xdr:cNvPr id="209964" name="Группа 209963">
          <a:extLst>
            <a:ext uri="{FF2B5EF4-FFF2-40B4-BE49-F238E27FC236}">
              <a16:creationId xmlns:a16="http://schemas.microsoft.com/office/drawing/2014/main" id="{00000000-0008-0000-1700-00002C340300}"/>
            </a:ext>
          </a:extLst>
        </xdr:cNvPr>
        <xdr:cNvGrpSpPr/>
      </xdr:nvGrpSpPr>
      <xdr:grpSpPr>
        <a:xfrm>
          <a:off x="2809875" y="22288499"/>
          <a:ext cx="8585835" cy="16689706"/>
          <a:chOff x="2697480" y="22730459"/>
          <a:chExt cx="8275320" cy="17137381"/>
        </a:xfrm>
      </xdr:grpSpPr>
      <xdr:sp macro="" textlink="">
        <xdr:nvSpPr>
          <xdr:cNvPr id="41" name="Прямоугольник 9">
            <a:extLst>
              <a:ext uri="{FF2B5EF4-FFF2-40B4-BE49-F238E27FC236}">
                <a16:creationId xmlns:a16="http://schemas.microsoft.com/office/drawing/2014/main" id="{00000000-0008-0000-1700-000029000000}"/>
              </a:ext>
            </a:extLst>
          </xdr:cNvPr>
          <xdr:cNvSpPr>
            <a:spLocks noChangeArrowheads="1"/>
          </xdr:cNvSpPr>
        </xdr:nvSpPr>
        <xdr:spPr bwMode="auto">
          <a:xfrm>
            <a:off x="2697480" y="23050500"/>
            <a:ext cx="8275320" cy="16817340"/>
          </a:xfrm>
          <a:prstGeom prst="rect">
            <a:avLst/>
          </a:prstGeom>
          <a:solidFill>
            <a:srgbClr val="D9D9D9"/>
          </a:solidFill>
          <a:ln w="9525">
            <a:solidFill>
              <a:srgbClr val="7F7F7F"/>
            </a:solidFill>
            <a:miter lim="800000"/>
            <a:headEnd/>
            <a:tailEnd/>
          </a:ln>
        </xdr:spPr>
        <xdr:txBody>
          <a:bodyPr vertOverflow="clip" wrap="square" lIns="180000" tIns="252000" rIns="180000" bIns="0" anchor="t" upright="1"/>
          <a:lstStyle/>
          <a:p>
            <a:pPr rtl="0"/>
            <a:r>
              <a:rPr lang="en-US" sz="1600" b="1" i="0" baseline="0">
                <a:effectLst/>
                <a:latin typeface="+mn-lt"/>
                <a:ea typeface="+mn-ea"/>
                <a:cs typeface="+mn-cs"/>
              </a:rPr>
              <a:t>Line Displacement</a:t>
            </a:r>
            <a:endParaRPr lang="ru-RU" sz="1600" b="1">
              <a:effectLst/>
            </a:endParaRPr>
          </a:p>
          <a:p>
            <a:pPr rtl="0"/>
            <a:endParaRPr lang="en-US" sz="1100" b="0" i="0" baseline="0">
              <a:effectLst/>
              <a:latin typeface="+mn-lt"/>
              <a:ea typeface="+mn-ea"/>
              <a:cs typeface="+mn-cs"/>
            </a:endParaRPr>
          </a:p>
          <a:p>
            <a:pPr rtl="0"/>
            <a:r>
              <a:rPr lang="en-US" sz="1100" b="0" i="0" baseline="0">
                <a:effectLst/>
                <a:latin typeface="+mn-lt"/>
                <a:ea typeface="+mn-ea"/>
                <a:cs typeface="+mn-cs"/>
              </a:rPr>
              <a:t>This programme is designed to determine quantity of cargo to be ordered for SHORE LINE DISPLACEMENT at the end of loading where there is difference in shore temperature and ship temperature of cargo.</a:t>
            </a:r>
            <a:endParaRPr lang="ru-RU">
              <a:effectLst/>
            </a:endParaRPr>
          </a:p>
          <a:p>
            <a:pPr rtl="0"/>
            <a:endParaRPr lang="en-US" sz="1100" b="1" i="0" u="sng" baseline="0">
              <a:effectLst/>
              <a:latin typeface="+mn-lt"/>
              <a:ea typeface="+mn-ea"/>
              <a:cs typeface="+mn-cs"/>
            </a:endParaRPr>
          </a:p>
          <a:p>
            <a:pPr rtl="0"/>
            <a:r>
              <a:rPr lang="en-US" sz="1100" b="1" i="0" u="sng" baseline="0">
                <a:effectLst/>
                <a:latin typeface="+mn-lt"/>
                <a:ea typeface="+mn-ea"/>
                <a:cs typeface="+mn-cs"/>
              </a:rPr>
              <a:t>Usual situation for Loading on SBM at Juaymah Port, when vessel will load 2 or 3 Grade of Cargo.  </a:t>
            </a:r>
            <a:endParaRPr lang="ru-RU">
              <a:effectLst/>
            </a:endParaRPr>
          </a:p>
          <a:p>
            <a:pPr rtl="0"/>
            <a:r>
              <a:rPr lang="en-US" sz="1100" b="0" i="0" baseline="0">
                <a:effectLst/>
                <a:latin typeface="+mn-lt"/>
                <a:ea typeface="+mn-ea"/>
                <a:cs typeface="+mn-cs"/>
              </a:rPr>
              <a:t>Before completion of 1st, 2nd and 3rd Cargo, Terminal will request to Stop loading for Line Displacement when Vessel will have in Cargo Tanks free space 200,000 bbls or More ( @ Obs.Temperature ). </a:t>
            </a:r>
            <a:r>
              <a:rPr lang="en-US" sz="1100" b="1" i="1" baseline="0">
                <a:effectLst/>
                <a:latin typeface="+mn-lt"/>
                <a:ea typeface="+mn-ea"/>
                <a:cs typeface="+mn-cs"/>
              </a:rPr>
              <a:t>NOT Less</a:t>
            </a:r>
            <a:r>
              <a:rPr lang="en-US" sz="1100" b="0" i="0" baseline="0">
                <a:effectLst/>
                <a:latin typeface="+mn-lt"/>
                <a:ea typeface="+mn-ea"/>
                <a:cs typeface="+mn-cs"/>
              </a:rPr>
              <a:t>, due to capacity of Shore Underwater Cargo Lines 200,000 bbls, and this volume will be pushed by ANOTHER Cargo. </a:t>
            </a:r>
            <a:endParaRPr lang="ru-RU">
              <a:effectLst/>
            </a:endParaRPr>
          </a:p>
          <a:p>
            <a:pPr rtl="0"/>
            <a:endParaRPr lang="en-US" sz="1100" b="1" i="0" baseline="0">
              <a:effectLst/>
              <a:latin typeface="+mn-lt"/>
              <a:ea typeface="+mn-ea"/>
              <a:cs typeface="+mn-cs"/>
            </a:endParaRPr>
          </a:p>
          <a:p>
            <a:pPr rtl="0"/>
            <a:r>
              <a:rPr lang="en-US" sz="1100" b="1" i="0" baseline="0">
                <a:effectLst/>
                <a:latin typeface="+mn-lt"/>
                <a:ea typeface="+mn-ea"/>
                <a:cs typeface="+mn-cs"/>
              </a:rPr>
              <a:t>Problem</a:t>
            </a:r>
            <a:r>
              <a:rPr lang="en-US" sz="1100" b="0" i="0" baseline="0">
                <a:effectLst/>
                <a:latin typeface="+mn-lt"/>
                <a:ea typeface="+mn-ea"/>
                <a:cs typeface="+mn-cs"/>
              </a:rPr>
              <a:t> : Due to Shore Cargo Line is Underwater - Cargo will COOL.</a:t>
            </a:r>
            <a:endParaRPr lang="ru-RU">
              <a:effectLst/>
            </a:endParaRPr>
          </a:p>
          <a:p>
            <a:pPr rtl="0"/>
            <a:r>
              <a:rPr lang="en-US" sz="1100" b="0" i="0" baseline="0">
                <a:effectLst/>
                <a:latin typeface="+mn-lt"/>
                <a:ea typeface="+mn-ea"/>
                <a:cs typeface="+mn-cs"/>
              </a:rPr>
              <a:t>If you order for Loading 200,000 bbls, Vessel will receive 199,100 bbls due to cooling of cargo in underwater Shore Line. </a:t>
            </a:r>
            <a:endParaRPr lang="ru-RU">
              <a:effectLst/>
            </a:endParaRPr>
          </a:p>
          <a:p>
            <a:pPr rtl="0"/>
            <a:r>
              <a:rPr lang="en-US" sz="1100" b="0" i="0" baseline="0">
                <a:effectLst/>
                <a:latin typeface="+mn-lt"/>
                <a:ea typeface="+mn-ea"/>
                <a:cs typeface="+mn-cs"/>
              </a:rPr>
              <a:t>As result - </a:t>
            </a:r>
            <a:r>
              <a:rPr lang="en-US" sz="1100" b="1" i="0" baseline="0">
                <a:effectLst/>
                <a:latin typeface="+mn-lt"/>
                <a:ea typeface="+mn-ea"/>
                <a:cs typeface="+mn-cs"/>
              </a:rPr>
              <a:t>Short Loading. </a:t>
            </a:r>
            <a:endParaRPr lang="ru-RU">
              <a:effectLst/>
            </a:endParaRPr>
          </a:p>
          <a:p>
            <a:pPr rtl="0"/>
            <a:endParaRPr lang="en-US" sz="1100" b="0" i="0" baseline="0">
              <a:effectLst/>
              <a:latin typeface="+mn-lt"/>
              <a:ea typeface="+mn-ea"/>
              <a:cs typeface="+mn-cs"/>
            </a:endParaRPr>
          </a:p>
          <a:p>
            <a:pPr rtl="0"/>
            <a:r>
              <a:rPr lang="en-US" sz="1100" b="0" i="0" baseline="0">
                <a:effectLst/>
                <a:latin typeface="+mn-lt"/>
                <a:ea typeface="+mn-ea"/>
                <a:cs typeface="+mn-cs"/>
              </a:rPr>
              <a:t>REQUIRED : Calculate Quantity of Cargo for Ordering to Terminal in order to receive 200,000 bbls at Obs.Temperature on the Vessel.</a:t>
            </a:r>
            <a:endParaRPr lang="ru-RU">
              <a:effectLst/>
            </a:endParaRPr>
          </a:p>
          <a:p>
            <a:pPr rtl="0"/>
            <a:r>
              <a:rPr lang="en-US" sz="1100" b="0" i="0" baseline="0">
                <a:effectLst/>
                <a:latin typeface="+mn-lt"/>
                <a:ea typeface="+mn-ea"/>
                <a:cs typeface="+mn-cs"/>
              </a:rPr>
              <a:t>SOLUTION :  Use above programme.</a:t>
            </a:r>
            <a:endParaRPr lang="ru-RU">
              <a:effectLst/>
            </a:endParaRPr>
          </a:p>
          <a:p>
            <a:pPr rtl="0"/>
            <a:r>
              <a:rPr lang="en-US" sz="1100" b="0" i="0" baseline="0">
                <a:effectLst/>
                <a:latin typeface="+mn-lt"/>
                <a:ea typeface="+mn-ea"/>
                <a:cs typeface="+mn-cs"/>
              </a:rPr>
              <a:t>API : Info from Terminal</a:t>
            </a:r>
            <a:endParaRPr lang="ru-RU">
              <a:effectLst/>
            </a:endParaRPr>
          </a:p>
          <a:p>
            <a:pPr rtl="0"/>
            <a:r>
              <a:rPr lang="en-US" sz="1100" b="0" i="0" baseline="0">
                <a:effectLst/>
                <a:latin typeface="+mn-lt"/>
                <a:ea typeface="+mn-ea"/>
                <a:cs typeface="+mn-cs"/>
              </a:rPr>
              <a:t>Shore Temperature of Cargo : info from Terminal. </a:t>
            </a:r>
            <a:endParaRPr lang="ru-RU">
              <a:effectLst/>
            </a:endParaRPr>
          </a:p>
          <a:p>
            <a:pPr rtl="0"/>
            <a:r>
              <a:rPr lang="en-US" sz="1100" b="0" i="0" baseline="0">
                <a:effectLst/>
                <a:latin typeface="+mn-lt"/>
                <a:ea typeface="+mn-ea"/>
                <a:cs typeface="+mn-cs"/>
              </a:rPr>
              <a:t>Vessel's Temperature of Loaded Cargo : Check Temp. of Loaded Cargo in Vessel's Cargo Tanks</a:t>
            </a:r>
            <a:endParaRPr lang="ru-RU">
              <a:effectLst/>
            </a:endParaRPr>
          </a:p>
          <a:p>
            <a:pPr rtl="0"/>
            <a:r>
              <a:rPr lang="en-US" sz="1100" b="0" i="0" baseline="0">
                <a:effectLst/>
                <a:latin typeface="+mn-lt"/>
                <a:ea typeface="+mn-ea"/>
                <a:cs typeface="+mn-cs"/>
              </a:rPr>
              <a:t>Will be loaded on Vessel : Insert quaintity of cargo to be received, after Stoppage for Shore Line Displacement. </a:t>
            </a:r>
            <a:endParaRPr lang="ru-RU">
              <a:effectLst/>
            </a:endParaRPr>
          </a:p>
          <a:p>
            <a:pPr rtl="0"/>
            <a:r>
              <a:rPr lang="en-US" sz="1100" b="0" i="0" u="sng" baseline="0">
                <a:effectLst/>
                <a:latin typeface="+mn-lt"/>
                <a:ea typeface="+mn-ea"/>
                <a:cs typeface="+mn-cs"/>
              </a:rPr>
              <a:t>Example</a:t>
            </a:r>
            <a:r>
              <a:rPr lang="en-US" sz="1100" b="0" i="0" baseline="0">
                <a:effectLst/>
                <a:latin typeface="+mn-lt"/>
                <a:ea typeface="+mn-ea"/>
                <a:cs typeface="+mn-cs"/>
              </a:rPr>
              <a:t> : API = 31.0, Shore Temperature of Cargo = 110°F, Vessel's Temperature of Cargo = 90°F, </a:t>
            </a:r>
            <a:endParaRPr lang="ru-RU">
              <a:effectLst/>
            </a:endParaRPr>
          </a:p>
          <a:p>
            <a:pPr rtl="0"/>
            <a:r>
              <a:rPr lang="en-US" sz="1100" b="0" i="0" baseline="0">
                <a:effectLst/>
                <a:latin typeface="+mn-lt"/>
                <a:ea typeface="+mn-ea"/>
                <a:cs typeface="+mn-cs"/>
              </a:rPr>
              <a:t>Will be loaded on Vessel = 200,000 bbls @90°F.</a:t>
            </a:r>
            <a:endParaRPr lang="ru-RU">
              <a:effectLst/>
            </a:endParaRPr>
          </a:p>
          <a:p>
            <a:pPr rtl="0"/>
            <a:r>
              <a:rPr lang="en-US" sz="1100" b="0" i="0" baseline="0">
                <a:effectLst/>
                <a:latin typeface="+mn-lt"/>
                <a:ea typeface="+mn-ea"/>
                <a:cs typeface="+mn-cs"/>
              </a:rPr>
              <a:t>Quantity for Ordering to Terminal is 201,862 bbls </a:t>
            </a:r>
            <a:endParaRPr lang="ru-RU">
              <a:effectLst/>
            </a:endParaRPr>
          </a:p>
          <a:p>
            <a:pPr rtl="0"/>
            <a:r>
              <a:rPr lang="en-US" sz="1100" b="0" i="0" baseline="0">
                <a:effectLst/>
                <a:latin typeface="+mn-lt"/>
                <a:ea typeface="+mn-ea"/>
                <a:cs typeface="+mn-cs"/>
              </a:rPr>
              <a:t>Pls Note: Volume of Shore Line Displacement Can be Different for Different SBM and Ports</a:t>
            </a:r>
          </a:p>
          <a:p>
            <a:pPr rtl="0"/>
            <a:endParaRPr lang="en-US" sz="1100" b="0" i="0" baseline="0">
              <a:effectLst/>
              <a:latin typeface="+mn-lt"/>
              <a:ea typeface="+mn-ea"/>
              <a:cs typeface="+mn-cs"/>
            </a:endParaRPr>
          </a:p>
          <a:p>
            <a:pPr algn="ctr" rtl="0"/>
            <a:r>
              <a:rPr lang="en-US" sz="1100" b="0" i="0" baseline="0">
                <a:effectLst/>
                <a:latin typeface="+mn-lt"/>
                <a:ea typeface="+mn-ea"/>
                <a:cs typeface="+mn-cs"/>
              </a:rPr>
              <a:t>_________________________________________________________________________________________________________________</a:t>
            </a:r>
          </a:p>
          <a:p>
            <a:pPr rtl="0"/>
            <a:endParaRPr lang="en-US" sz="1100" b="0" i="0" baseline="0">
              <a:effectLst/>
              <a:latin typeface="+mn-lt"/>
              <a:ea typeface="+mn-ea"/>
              <a:cs typeface="+mn-cs"/>
            </a:endParaRPr>
          </a:p>
          <a:p>
            <a:pPr algn="ctr" rtl="0"/>
            <a:r>
              <a:rPr lang="en-GB" sz="1600" b="1">
                <a:effectLst/>
              </a:rPr>
              <a:t>Reducers - Lines displacement in Juaymah - 2024</a:t>
            </a:r>
            <a:endParaRPr lang="ru-RU" sz="1600" b="1">
              <a:effectLst/>
            </a:endParaRPr>
          </a:p>
          <a:p>
            <a:pPr algn="ctr"/>
            <a:endParaRPr lang="en-GB" sz="1400">
              <a:effectLst/>
              <a:latin typeface="+mn-lt"/>
              <a:ea typeface="+mn-ea"/>
              <a:cs typeface="+mn-cs"/>
            </a:endParaRPr>
          </a:p>
          <a:p>
            <a:pPr algn="ctr"/>
            <a:r>
              <a:rPr lang="ru-RU" sz="1400">
                <a:effectLst/>
                <a:latin typeface="+mn-lt"/>
                <a:ea typeface="+mn-ea"/>
                <a:cs typeface="+mn-cs"/>
              </a:rPr>
              <a:t> </a:t>
            </a:r>
            <a:r>
              <a:rPr lang="en-US" sz="1400" b="1">
                <a:effectLst/>
                <a:latin typeface="+mn-lt"/>
                <a:ea typeface="+mn-ea"/>
                <a:cs typeface="+mn-cs"/>
              </a:rPr>
              <a:t>AFTER LOADING</a:t>
            </a:r>
            <a:endParaRPr lang="ru-RU" sz="1000" b="1" i="0" u="none" strike="noStrike" baseline="0">
              <a:solidFill>
                <a:srgbClr val="000000"/>
              </a:solidFill>
              <a:latin typeface="Arial"/>
              <a:cs typeface="Arial"/>
            </a:endParaRPr>
          </a:p>
          <a:p>
            <a:pPr algn="l" rtl="0">
              <a:defRPr sz="1000"/>
            </a:pPr>
            <a:r>
              <a:rPr lang="en-US" sz="1000" b="1">
                <a:effectLst/>
                <a:latin typeface="+mn-lt"/>
                <a:ea typeface="+mn-ea"/>
                <a:cs typeface="+mn-cs"/>
              </a:rPr>
              <a:t>Captain will send by e-mail to:</a:t>
            </a:r>
            <a:r>
              <a:rPr lang="en-US" sz="1000" b="0">
                <a:effectLst/>
                <a:latin typeface="+mn-lt"/>
                <a:ea typeface="+mn-ea"/>
                <a:cs typeface="+mn-cs"/>
              </a:rPr>
              <a:t>	</a:t>
            </a:r>
            <a:r>
              <a:rPr lang="en-US" sz="1000">
                <a:effectLst/>
                <a:latin typeface="+mn-lt"/>
                <a:ea typeface="+mn-ea"/>
                <a:cs typeface="+mn-cs"/>
              </a:rPr>
              <a:t>DS. 30016750.OADESSADSUSHIPPINGGROUPt® Exchange. Aramco. com. sa 	</a:t>
            </a:r>
            <a:endParaRPr lang="en-US" sz="1000" b="0">
              <a:effectLst/>
              <a:latin typeface="+mn-lt"/>
              <a:ea typeface="+mn-ea"/>
              <a:cs typeface="+mn-cs"/>
            </a:endParaRPr>
          </a:p>
          <a:p>
            <a:pPr algn="l" rtl="0">
              <a:defRPr sz="1000"/>
            </a:pPr>
            <a:r>
              <a:rPr lang="en-US" sz="1000" b="0">
                <a:effectLst/>
                <a:latin typeface="+mn-lt"/>
                <a:ea typeface="+mn-ea"/>
                <a:cs typeface="+mn-cs"/>
              </a:rPr>
              <a:t>		</a:t>
            </a:r>
            <a:r>
              <a:rPr lang="en-US" sz="1000" u="none">
                <a:effectLst/>
                <a:latin typeface="+mn-lt"/>
                <a:ea typeface="+mn-ea"/>
                <a:cs typeface="+mn-cs"/>
              </a:rPr>
              <a:t>SRPI LQT(5) ARAMCO. COM </a:t>
            </a:r>
            <a:endParaRPr lang="en-US" sz="1000" b="0" u="none">
              <a:effectLst/>
              <a:latin typeface="+mn-lt"/>
              <a:ea typeface="+mn-ea"/>
              <a:cs typeface="+mn-cs"/>
            </a:endParaRPr>
          </a:p>
          <a:p>
            <a:pPr algn="l" rtl="0">
              <a:defRPr sz="1000"/>
            </a:pPr>
            <a:r>
              <a:rPr lang="en-US" sz="1000" b="0">
                <a:effectLst/>
                <a:latin typeface="+mn-lt"/>
                <a:ea typeface="+mn-ea"/>
                <a:cs typeface="+mn-cs"/>
              </a:rPr>
              <a:t>		AGENT</a:t>
            </a:r>
          </a:p>
          <a:p>
            <a:pPr algn="l" rtl="0">
              <a:defRPr sz="1000"/>
            </a:pPr>
            <a:r>
              <a:rPr lang="en-US" sz="1000" b="1">
                <a:effectLst/>
                <a:latin typeface="+mn-lt"/>
                <a:ea typeface="+mn-ea"/>
                <a:cs typeface="+mn-cs"/>
              </a:rPr>
              <a:t>5 documents :</a:t>
            </a:r>
          </a:p>
          <a:p>
            <a:pPr algn="l" rtl="0">
              <a:defRPr sz="1000"/>
            </a:pPr>
            <a:r>
              <a:rPr lang="en-US" sz="1000">
                <a:effectLst/>
                <a:latin typeface="+mn-lt"/>
                <a:ea typeface="+mn-ea"/>
                <a:cs typeface="+mn-cs"/>
              </a:rPr>
              <a:t>Notice of Readiness		</a:t>
            </a:r>
          </a:p>
          <a:p>
            <a:r>
              <a:rPr lang="en-US" sz="1100">
                <a:effectLst/>
                <a:latin typeface="+mn-lt"/>
                <a:ea typeface="+mn-ea"/>
                <a:cs typeface="+mn-cs"/>
              </a:rPr>
              <a:t>Loading Plan</a:t>
            </a:r>
            <a:endParaRPr lang="ru-RU" sz="1100">
              <a:effectLst/>
              <a:latin typeface="+mn-lt"/>
              <a:ea typeface="+mn-ea"/>
              <a:cs typeface="+mn-cs"/>
            </a:endParaRPr>
          </a:p>
          <a:p>
            <a:r>
              <a:rPr lang="en-US" sz="1100">
                <a:effectLst/>
                <a:latin typeface="+mn-lt"/>
                <a:ea typeface="+mn-ea"/>
                <a:cs typeface="+mn-cs"/>
              </a:rPr>
              <a:t>Aramco Form Ullage report before	</a:t>
            </a:r>
            <a:endParaRPr lang="ru-RU" sz="1100">
              <a:effectLst/>
              <a:latin typeface="+mn-lt"/>
              <a:ea typeface="+mn-ea"/>
              <a:cs typeface="+mn-cs"/>
            </a:endParaRPr>
          </a:p>
          <a:p>
            <a:r>
              <a:rPr lang="en-US" sz="1100">
                <a:effectLst/>
                <a:latin typeface="+mn-lt"/>
                <a:ea typeface="+mn-ea"/>
                <a:cs typeface="+mn-cs"/>
              </a:rPr>
              <a:t>Aramco Form Ullage report after</a:t>
            </a:r>
            <a:endParaRPr lang="ru-RU" sz="1100">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1000">
                <a:effectLst/>
                <a:latin typeface="+mn-lt"/>
                <a:ea typeface="+mn-ea"/>
                <a:cs typeface="+mn-cs"/>
              </a:rPr>
              <a:t>Sample receipt</a:t>
            </a:r>
            <a:endParaRPr lang="ru-RU" sz="1000">
              <a:effectLst/>
              <a:latin typeface="+mn-lt"/>
              <a:ea typeface="+mn-ea"/>
              <a:cs typeface="+mn-cs"/>
            </a:endParaRPr>
          </a:p>
          <a:p>
            <a:pPr algn="l" rtl="0">
              <a:defRPr sz="1000"/>
            </a:pPr>
            <a:endParaRPr lang="en-GB"/>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400" b="1">
                <a:effectLst/>
                <a:latin typeface="+mn-lt"/>
                <a:ea typeface="+mn-ea"/>
                <a:cs typeface="+mn-cs"/>
              </a:rPr>
              <a:t>LOADING OPERATION</a:t>
            </a:r>
            <a:endParaRPr lang="ru-RU" sz="1400" b="1">
              <a:effectLst/>
              <a:latin typeface="+mn-lt"/>
              <a:ea typeface="+mn-ea"/>
              <a:cs typeface="+mn-cs"/>
            </a:endParaRPr>
          </a:p>
          <a:p>
            <a:r>
              <a:rPr lang="en-US" sz="1100" b="1">
                <a:effectLst/>
                <a:latin typeface="+mn-lt"/>
                <a:ea typeface="+mn-ea"/>
                <a:cs typeface="+mn-cs"/>
              </a:rPr>
              <a:t>SPM  </a:t>
            </a:r>
            <a:r>
              <a:rPr lang="ru-RU" sz="1100" b="1">
                <a:effectLst/>
                <a:latin typeface="+mn-lt"/>
                <a:ea typeface="+mn-ea"/>
                <a:cs typeface="+mn-cs"/>
              </a:rPr>
              <a:t>      </a:t>
            </a:r>
            <a:r>
              <a:rPr lang="en-US" sz="1100" b="1">
                <a:effectLst/>
                <a:latin typeface="+mn-lt"/>
                <a:ea typeface="+mn-ea"/>
                <a:cs typeface="+mn-cs"/>
              </a:rPr>
              <a:t>MANIFOLD SIZE </a:t>
            </a:r>
            <a:endParaRPr lang="ru-RU" sz="1100">
              <a:effectLst/>
              <a:latin typeface="+mn-lt"/>
              <a:ea typeface="+mn-ea"/>
              <a:cs typeface="+mn-cs"/>
            </a:endParaRPr>
          </a:p>
          <a:p>
            <a:r>
              <a:rPr lang="en-US" sz="1100" b="1">
                <a:effectLst/>
                <a:latin typeface="+mn-lt"/>
                <a:ea typeface="+mn-ea"/>
                <a:cs typeface="+mn-cs"/>
              </a:rPr>
              <a:t> 31 	20"</a:t>
            </a:r>
            <a:endParaRPr lang="ru-RU" sz="1100">
              <a:effectLst/>
              <a:latin typeface="+mn-lt"/>
              <a:ea typeface="+mn-ea"/>
              <a:cs typeface="+mn-cs"/>
            </a:endParaRPr>
          </a:p>
          <a:p>
            <a:r>
              <a:rPr lang="en-US" sz="1100" b="1">
                <a:effectLst/>
                <a:latin typeface="+mn-lt"/>
                <a:ea typeface="+mn-ea"/>
                <a:cs typeface="+mn-cs"/>
              </a:rPr>
              <a:t> 32 	20"</a:t>
            </a:r>
            <a:endParaRPr lang="ru-RU" sz="1100">
              <a:effectLst/>
              <a:latin typeface="+mn-lt"/>
              <a:ea typeface="+mn-ea"/>
              <a:cs typeface="+mn-cs"/>
            </a:endParaRPr>
          </a:p>
          <a:p>
            <a:r>
              <a:rPr lang="en-US" sz="1100" b="1">
                <a:effectLst/>
                <a:latin typeface="+mn-lt"/>
                <a:ea typeface="+mn-ea"/>
                <a:cs typeface="+mn-cs"/>
              </a:rPr>
              <a:t> 33 	20“</a:t>
            </a:r>
            <a:endParaRPr lang="ru-RU" sz="1100">
              <a:effectLst/>
              <a:latin typeface="+mn-lt"/>
              <a:ea typeface="+mn-ea"/>
              <a:cs typeface="+mn-cs"/>
            </a:endParaRPr>
          </a:p>
          <a:p>
            <a:r>
              <a:rPr lang="en-US" sz="1100" b="1">
                <a:effectLst/>
                <a:latin typeface="+mn-lt"/>
                <a:ea typeface="+mn-ea"/>
                <a:cs typeface="+mn-cs"/>
              </a:rPr>
              <a:t> 34 	16"</a:t>
            </a:r>
            <a:endParaRPr lang="ru-RU" sz="1100">
              <a:effectLst/>
              <a:latin typeface="+mn-lt"/>
              <a:ea typeface="+mn-ea"/>
              <a:cs typeface="+mn-cs"/>
            </a:endParaRPr>
          </a:p>
          <a:p>
            <a:r>
              <a:rPr lang="en-US" sz="1100" b="1">
                <a:effectLst/>
                <a:latin typeface="+mn-lt"/>
                <a:ea typeface="+mn-ea"/>
                <a:cs typeface="+mn-cs"/>
              </a:rPr>
              <a:t> 35 	20"</a:t>
            </a:r>
            <a:endParaRPr lang="ru-RU" sz="1100">
              <a:effectLst/>
              <a:latin typeface="+mn-lt"/>
              <a:ea typeface="+mn-ea"/>
              <a:cs typeface="+mn-cs"/>
            </a:endParaRPr>
          </a:p>
          <a:p>
            <a:r>
              <a:rPr lang="en-US" sz="1100" b="1">
                <a:effectLst/>
                <a:latin typeface="+mn-lt"/>
                <a:ea typeface="+mn-ea"/>
                <a:cs typeface="+mn-cs"/>
              </a:rPr>
              <a:t> 36	16"</a:t>
            </a:r>
            <a:endParaRPr lang="ru-RU" sz="1100">
              <a:effectLst/>
              <a:latin typeface="+mn-lt"/>
              <a:ea typeface="+mn-ea"/>
              <a:cs typeface="+mn-cs"/>
            </a:endParaRPr>
          </a:p>
          <a:p>
            <a:pPr algn="l" rtl="0">
              <a:defRPr sz="1000"/>
            </a:pPr>
            <a:endParaRPr lang="ru-RU"/>
          </a:p>
          <a:p>
            <a:pPr algn="l" rtl="0">
              <a:defRPr sz="1000"/>
            </a:pPr>
            <a:r>
              <a:rPr lang="en-GB"/>
              <a:t>		            </a:t>
            </a:r>
            <a:r>
              <a:rPr lang="en-GB" sz="1600"/>
              <a:t>&lt;     </a:t>
            </a:r>
            <a:r>
              <a:rPr lang="en-GB" sz="1600">
                <a:solidFill>
                  <a:schemeClr val="accent5">
                    <a:lumMod val="75000"/>
                  </a:schemeClr>
                </a:solidFill>
                <a:latin typeface="Wingdings 3" panose="05040102010807070707" pitchFamily="18" charset="2"/>
                <a:ea typeface="+mn-ea"/>
                <a:cs typeface="+mn-cs"/>
              </a:rPr>
              <a:t>Æ</a:t>
            </a:r>
            <a:r>
              <a:rPr lang="en-GB"/>
              <a:t>	</a:t>
            </a:r>
            <a:r>
              <a:rPr lang="en-GB" sz="1200"/>
              <a:t>SHORE STOP </a:t>
            </a:r>
            <a:endParaRPr lang="en-GB">
              <a:latin typeface="Wingdings 3" panose="05040102010807070707" pitchFamily="18" charset="2"/>
            </a:endParaRPr>
          </a:p>
          <a:p>
            <a:pPr algn="l" rtl="0">
              <a:defRPr sz="1000"/>
            </a:pPr>
            <a:r>
              <a:rPr lang="en-GB" sz="1200">
                <a:latin typeface="+mn-lt"/>
                <a:ea typeface="+mn-ea"/>
                <a:cs typeface="+mn-cs"/>
              </a:rPr>
              <a:t>SHORE MAXIMUM/NOMINATION   </a:t>
            </a:r>
            <a:r>
              <a:rPr lang="en-GB" sz="1200" b="1">
                <a:latin typeface="+mn-lt"/>
                <a:ea typeface="+mn-ea"/>
                <a:cs typeface="+mn-cs"/>
              </a:rPr>
              <a:t>?</a:t>
            </a:r>
            <a:r>
              <a:rPr lang="en-GB" sz="1200">
                <a:latin typeface="+mn-lt"/>
                <a:ea typeface="+mn-ea"/>
                <a:cs typeface="+mn-cs"/>
              </a:rPr>
              <a:t>      SHIP REQUEST</a:t>
            </a:r>
          </a:p>
          <a:p>
            <a:pPr algn="l" rtl="0">
              <a:defRPr sz="1000"/>
            </a:pPr>
            <a:r>
              <a:rPr lang="en-GB"/>
              <a:t>		</a:t>
            </a:r>
            <a:r>
              <a:rPr lang="en-GB" baseline="0"/>
              <a:t>            </a:t>
            </a:r>
            <a:r>
              <a:rPr lang="en-GB" sz="1600"/>
              <a:t>&gt;     </a:t>
            </a:r>
            <a:r>
              <a:rPr lang="en-GB" sz="1600">
                <a:solidFill>
                  <a:schemeClr val="accent5">
                    <a:lumMod val="75000"/>
                  </a:schemeClr>
                </a:solidFill>
                <a:latin typeface="Wingdings 3" panose="05040102010807070707" pitchFamily="18" charset="2"/>
                <a:ea typeface="+mn-ea"/>
                <a:cs typeface="+mn-cs"/>
              </a:rPr>
              <a:t>Æ</a:t>
            </a:r>
            <a:r>
              <a:rPr lang="en-GB"/>
              <a:t>	</a:t>
            </a:r>
            <a:r>
              <a:rPr lang="en-GB" sz="1200">
                <a:latin typeface="+mn-lt"/>
                <a:ea typeface="+mn-ea"/>
                <a:cs typeface="+mn-cs"/>
              </a:rPr>
              <a:t>SHIP STOP</a:t>
            </a:r>
          </a:p>
          <a:p>
            <a:pPr algn="l" rtl="0">
              <a:defRPr sz="1000"/>
            </a:pPr>
            <a:r>
              <a:rPr lang="en-GB" sz="1400" b="1"/>
              <a:t>LINE DISPLACEMENT</a:t>
            </a:r>
            <a:r>
              <a:rPr lang="en-GB" sz="1200"/>
              <a:t>  	</a:t>
            </a:r>
            <a:r>
              <a:rPr lang="en-GB" sz="1200" baseline="0"/>
              <a:t>          </a:t>
            </a:r>
            <a:r>
              <a:rPr lang="en-GB" sz="1200" b="1"/>
              <a:t>?</a:t>
            </a:r>
          </a:p>
          <a:p>
            <a:pPr algn="l" rtl="0">
              <a:defRPr sz="1000"/>
            </a:pPr>
            <a:endParaRPr lang="en-GB"/>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en-GB"/>
          </a:p>
          <a:p>
            <a:pPr algn="l" rtl="0">
              <a:defRPr sz="1000"/>
            </a:pPr>
            <a:endParaRPr lang="en-GB"/>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algn="l" rtl="0">
              <a:defRPr sz="1000"/>
            </a:pPr>
            <a:endParaRPr lang="ru-RU"/>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1200" b="0">
                <a:effectLst/>
                <a:latin typeface="+mn-lt"/>
                <a:ea typeface="+mn-ea"/>
                <a:cs typeface="+mn-cs"/>
              </a:rPr>
              <a:t>EXAMPLE-SUGESTION IF IT IS </a:t>
            </a:r>
            <a:r>
              <a:rPr lang="en-US" sz="1200" b="1">
                <a:effectLst/>
                <a:latin typeface="+mn-lt"/>
                <a:ea typeface="+mn-ea"/>
                <a:cs typeface="+mn-cs"/>
              </a:rPr>
              <a:t>SHIP STOP</a:t>
            </a:r>
            <a:endParaRPr lang="ru-RU" sz="1200" b="1">
              <a:effectLst/>
              <a:latin typeface="+mn-lt"/>
              <a:ea typeface="+mn-ea"/>
              <a:cs typeface="+mn-cs"/>
            </a:endParaRPr>
          </a:p>
          <a:p>
            <a:pPr algn="l" rtl="0">
              <a:defRPr sz="1000"/>
            </a:pPr>
            <a:endParaRPr lang="en-GB"/>
          </a:p>
          <a:p>
            <a:r>
              <a:rPr lang="en-US" sz="1100" b="0">
                <a:effectLst/>
                <a:latin typeface="+mn-lt"/>
                <a:ea typeface="+mn-ea"/>
                <a:cs typeface="+mn-cs"/>
              </a:rPr>
              <a:t>_ _ _ _ _ _ _ _ _   </a:t>
            </a:r>
            <a:r>
              <a:rPr lang="en-US" sz="1100" b="1">
                <a:effectLst/>
                <a:latin typeface="+mn-lt"/>
                <a:ea typeface="+mn-ea"/>
                <a:cs typeface="+mn-cs"/>
              </a:rPr>
              <a:t>SHIP REQUEST</a:t>
            </a:r>
            <a:endParaRPr lang="ru-RU" sz="1100" b="1">
              <a:effectLst/>
              <a:latin typeface="+mn-lt"/>
              <a:ea typeface="+mn-ea"/>
              <a:cs typeface="+mn-cs"/>
            </a:endParaRPr>
          </a:p>
          <a:p>
            <a:r>
              <a:rPr lang="en-US" sz="1100" b="1">
                <a:effectLst/>
                <a:latin typeface="+mn-lt"/>
                <a:ea typeface="+mn-ea"/>
                <a:cs typeface="+mn-cs"/>
              </a:rPr>
              <a:t>_____________  LINE DISPLACEMENT</a:t>
            </a:r>
            <a:endParaRPr lang="ru-RU" sz="1100" b="1">
              <a:effectLst/>
              <a:latin typeface="+mn-lt"/>
              <a:ea typeface="+mn-ea"/>
              <a:cs typeface="+mn-cs"/>
            </a:endParaRPr>
          </a:p>
          <a:p>
            <a:r>
              <a:rPr lang="en-US" sz="1100" b="1">
                <a:effectLst/>
                <a:latin typeface="+mn-lt"/>
                <a:ea typeface="+mn-ea"/>
                <a:cs typeface="+mn-cs"/>
              </a:rPr>
              <a:t>	  </a:t>
            </a:r>
            <a:r>
              <a:rPr lang="en-US" sz="1100" b="1" baseline="0">
                <a:effectLst/>
                <a:latin typeface="+mn-lt"/>
                <a:ea typeface="+mn-ea"/>
                <a:cs typeface="+mn-cs"/>
              </a:rPr>
              <a:t>   </a:t>
            </a:r>
            <a:r>
              <a:rPr lang="en-US" sz="1100" b="1">
                <a:effectLst/>
                <a:latin typeface="+mn-lt"/>
                <a:ea typeface="+mn-ea"/>
                <a:cs typeface="+mn-cs"/>
              </a:rPr>
              <a:t>STOP CARGO</a:t>
            </a:r>
            <a:endParaRPr lang="ru-RU" sz="1100" b="1">
              <a:effectLst/>
              <a:latin typeface="+mn-lt"/>
              <a:ea typeface="+mn-ea"/>
              <a:cs typeface="+mn-cs"/>
            </a:endParaRPr>
          </a:p>
          <a:p>
            <a:endParaRPr lang="en-US" sz="1100" b="1">
              <a:effectLst/>
              <a:latin typeface="+mn-lt"/>
              <a:ea typeface="+mn-ea"/>
              <a:cs typeface="+mn-cs"/>
            </a:endParaRPr>
          </a:p>
          <a:p>
            <a:r>
              <a:rPr lang="en-US" sz="1100" b="1">
                <a:effectLst/>
                <a:latin typeface="+mn-lt"/>
                <a:ea typeface="+mn-ea"/>
                <a:cs typeface="+mn-cs"/>
              </a:rPr>
              <a:t>_____________  SAFETY MARGIN</a:t>
            </a:r>
            <a:endParaRPr lang="ru-RU" sz="1100" b="1">
              <a:effectLst/>
              <a:latin typeface="+mn-lt"/>
              <a:ea typeface="+mn-ea"/>
              <a:cs typeface="+mn-cs"/>
            </a:endParaRPr>
          </a:p>
          <a:p>
            <a:r>
              <a:rPr lang="en-US" sz="1100" b="1">
                <a:effectLst/>
                <a:latin typeface="+mn-lt"/>
                <a:ea typeface="+mn-ea"/>
                <a:cs typeface="+mn-cs"/>
              </a:rPr>
              <a:t>	     STOP CARGO</a:t>
            </a:r>
            <a:r>
              <a:rPr lang="en-GB" sz="1100" b="0">
                <a:effectLst/>
                <a:latin typeface="+mn-lt"/>
                <a:ea typeface="+mn-ea"/>
                <a:cs typeface="+mn-cs"/>
              </a:rPr>
              <a:t>			</a:t>
            </a:r>
            <a:r>
              <a:rPr lang="en-US" sz="1100" b="1">
                <a:effectLst/>
                <a:latin typeface="+mn-lt"/>
                <a:ea typeface="+mn-ea"/>
                <a:cs typeface="+mn-cs"/>
              </a:rPr>
              <a:t>4th STEP</a:t>
            </a:r>
            <a:r>
              <a:rPr lang="en-GB" sz="1100" b="0">
                <a:effectLst/>
                <a:latin typeface="+mn-lt"/>
                <a:ea typeface="+mn-ea"/>
                <a:cs typeface="+mn-cs"/>
              </a:rPr>
              <a:t>	</a:t>
            </a:r>
            <a:r>
              <a:rPr lang="en-US" sz="1100" b="1">
                <a:effectLst/>
                <a:latin typeface="+mn-lt"/>
                <a:ea typeface="+mn-ea"/>
                <a:cs typeface="+mn-cs"/>
              </a:rPr>
              <a:t>REPORT PILOT</a:t>
            </a:r>
            <a:endParaRPr lang="ru-RU" sz="1100">
              <a:effectLst/>
              <a:latin typeface="+mn-lt"/>
              <a:ea typeface="+mn-ea"/>
              <a:cs typeface="+mn-cs"/>
            </a:endParaRPr>
          </a:p>
          <a:p>
            <a:endParaRPr lang="en-US" sz="1100" b="1">
              <a:effectLst/>
              <a:latin typeface="+mn-lt"/>
              <a:ea typeface="+mn-ea"/>
              <a:cs typeface="+mn-cs"/>
            </a:endParaRPr>
          </a:p>
          <a:p>
            <a:r>
              <a:rPr lang="en-US" sz="1100" b="1">
                <a:effectLst/>
                <a:latin typeface="+mn-lt"/>
                <a:ea typeface="+mn-ea"/>
                <a:cs typeface="+mn-cs"/>
              </a:rPr>
              <a:t>_____________  10 MINUTES NOTICE</a:t>
            </a:r>
            <a:endParaRPr lang="ru-RU" sz="1100">
              <a:effectLst/>
              <a:latin typeface="+mn-lt"/>
              <a:ea typeface="+mn-ea"/>
              <a:cs typeface="+mn-cs"/>
            </a:endParaRPr>
          </a:p>
          <a:p>
            <a:r>
              <a:rPr lang="en-US" sz="1100" b="1">
                <a:effectLst/>
                <a:latin typeface="+mn-lt"/>
                <a:ea typeface="+mn-ea"/>
                <a:cs typeface="+mn-cs"/>
              </a:rPr>
              <a:t>				3rd STEP</a:t>
            </a:r>
            <a:r>
              <a:rPr lang="en-GB" sz="1100" b="0" baseline="0">
                <a:effectLst/>
                <a:latin typeface="+mn-lt"/>
                <a:ea typeface="+mn-ea"/>
                <a:cs typeface="+mn-cs"/>
              </a:rPr>
              <a:t> 	</a:t>
            </a:r>
            <a:r>
              <a:rPr lang="en-US" sz="1100" b="1">
                <a:effectLst/>
                <a:latin typeface="+mn-lt"/>
                <a:ea typeface="+mn-ea"/>
                <a:cs typeface="+mn-cs"/>
              </a:rPr>
              <a:t>REPORT PILOT</a:t>
            </a:r>
            <a:endParaRPr lang="ru-RU" sz="1100">
              <a:effectLst/>
              <a:latin typeface="+mn-lt"/>
              <a:ea typeface="+mn-ea"/>
              <a:cs typeface="+mn-cs"/>
            </a:endParaRPr>
          </a:p>
          <a:p>
            <a:r>
              <a:rPr lang="en-US" sz="1100">
                <a:effectLst/>
                <a:latin typeface="+mn-lt"/>
                <a:ea typeface="+mn-ea"/>
                <a:cs typeface="+mn-cs"/>
              </a:rPr>
              <a:t>	  REDUCE L/RATE TO 30000Bbls</a:t>
            </a:r>
            <a:r>
              <a:rPr lang="en-GB" sz="1100" baseline="0">
                <a:effectLst/>
                <a:latin typeface="+mn-lt"/>
                <a:ea typeface="+mn-ea"/>
                <a:cs typeface="+mn-cs"/>
              </a:rPr>
              <a:t> 		</a:t>
            </a:r>
            <a:r>
              <a:rPr lang="en-US" sz="1100" b="1">
                <a:effectLst/>
                <a:latin typeface="+mn-lt"/>
                <a:ea typeface="+mn-ea"/>
                <a:cs typeface="+mn-cs"/>
              </a:rPr>
              <a:t>2nd STEP</a:t>
            </a:r>
            <a:r>
              <a:rPr lang="en-US" sz="1100" b="1" baseline="0">
                <a:effectLst/>
                <a:latin typeface="+mn-lt"/>
                <a:ea typeface="+mn-ea"/>
                <a:cs typeface="+mn-cs"/>
              </a:rPr>
              <a:t> 	</a:t>
            </a:r>
            <a:r>
              <a:rPr lang="en-US" sz="1100" b="1">
                <a:effectLst/>
                <a:latin typeface="+mn-lt"/>
                <a:ea typeface="+mn-ea"/>
                <a:cs typeface="+mn-cs"/>
              </a:rPr>
              <a:t>REPORT PILOT</a:t>
            </a:r>
            <a:endParaRPr lang="ru-RU" sz="1100">
              <a:effectLst/>
              <a:latin typeface="+mn-lt"/>
              <a:ea typeface="+mn-ea"/>
              <a:cs typeface="+mn-cs"/>
            </a:endParaRPr>
          </a:p>
          <a:p>
            <a:r>
              <a:rPr lang="en-US" sz="1100">
                <a:effectLst/>
                <a:latin typeface="+mn-lt"/>
                <a:ea typeface="+mn-ea"/>
                <a:cs typeface="+mn-cs"/>
              </a:rPr>
              <a:t>	  REDUCE L/RATE TO 50000Bbls 		</a:t>
            </a:r>
            <a:r>
              <a:rPr lang="en-US" sz="1100" b="1">
                <a:effectLst/>
                <a:latin typeface="+mn-lt"/>
                <a:ea typeface="+mn-ea"/>
                <a:cs typeface="+mn-cs"/>
              </a:rPr>
              <a:t>1st STEP</a:t>
            </a:r>
            <a:r>
              <a:rPr lang="en-GB" sz="1100" b="0" baseline="0">
                <a:effectLst/>
                <a:latin typeface="+mn-lt"/>
                <a:ea typeface="+mn-ea"/>
                <a:cs typeface="+mn-cs"/>
              </a:rPr>
              <a:t> 	</a:t>
            </a:r>
            <a:r>
              <a:rPr lang="en-US" sz="1100" b="1">
                <a:effectLst/>
                <a:latin typeface="+mn-lt"/>
                <a:ea typeface="+mn-ea"/>
                <a:cs typeface="+mn-cs"/>
              </a:rPr>
              <a:t>REPORT PILOT</a:t>
            </a:r>
            <a:endParaRPr lang="ru-RU" sz="1100">
              <a:effectLst/>
              <a:latin typeface="+mn-lt"/>
              <a:ea typeface="+mn-ea"/>
              <a:cs typeface="+mn-cs"/>
            </a:endParaRPr>
          </a:p>
          <a:p>
            <a:pPr algn="l" rtl="0">
              <a:defRPr sz="1000"/>
            </a:pPr>
            <a:endParaRPr lang="en-GB"/>
          </a:p>
          <a:p>
            <a:endParaRPr lang="en-US" sz="1100" b="1">
              <a:effectLst/>
              <a:latin typeface="+mn-lt"/>
              <a:ea typeface="+mn-ea"/>
              <a:cs typeface="+mn-cs"/>
            </a:endParaRPr>
          </a:p>
          <a:p>
            <a:r>
              <a:rPr lang="en-US" sz="1100" b="1">
                <a:effectLst/>
                <a:latin typeface="+mn-lt"/>
                <a:ea typeface="+mn-ea"/>
                <a:cs typeface="+mn-cs"/>
              </a:rPr>
              <a:t>NOTES:</a:t>
            </a:r>
            <a:r>
              <a:rPr lang="en-GB" sz="1100" b="0" baseline="0">
                <a:effectLst/>
                <a:latin typeface="+mn-lt"/>
                <a:ea typeface="+mn-ea"/>
                <a:cs typeface="+mn-cs"/>
              </a:rPr>
              <a:t> 	</a:t>
            </a:r>
            <a:r>
              <a:rPr lang="en-US" sz="1100">
                <a:effectLst/>
                <a:latin typeface="+mn-lt"/>
                <a:ea typeface="+mn-ea"/>
                <a:cs typeface="+mn-cs"/>
              </a:rPr>
              <a:t>Hourly comparison in GSV Bbls</a:t>
            </a:r>
            <a:endParaRPr lang="ru-RU" sz="1100">
              <a:effectLst/>
              <a:latin typeface="+mn-lt"/>
              <a:ea typeface="+mn-ea"/>
              <a:cs typeface="+mn-cs"/>
            </a:endParaRPr>
          </a:p>
          <a:p>
            <a:r>
              <a:rPr lang="en-US" sz="1100">
                <a:effectLst/>
                <a:latin typeface="+mn-lt"/>
                <a:ea typeface="+mn-ea"/>
                <a:cs typeface="+mn-cs"/>
              </a:rPr>
              <a:t>	(More than 10000 Bbls difference, Terminal will stop cargo for investigation)</a:t>
            </a:r>
            <a:endParaRPr lang="ru-RU" sz="1100">
              <a:effectLst/>
              <a:latin typeface="+mn-lt"/>
              <a:ea typeface="+mn-ea"/>
              <a:cs typeface="+mn-cs"/>
            </a:endParaRPr>
          </a:p>
          <a:p>
            <a:r>
              <a:rPr lang="en-US" sz="1100">
                <a:effectLst/>
                <a:latin typeface="+mn-lt"/>
                <a:ea typeface="+mn-ea"/>
                <a:cs typeface="+mn-cs"/>
              </a:rPr>
              <a:t>	</a:t>
            </a:r>
            <a:r>
              <a:rPr lang="en-US" sz="1100" b="1">
                <a:effectLst/>
                <a:latin typeface="+mn-lt"/>
                <a:ea typeface="+mn-ea"/>
                <a:cs typeface="+mn-cs"/>
              </a:rPr>
              <a:t>1/2 Hour before complete cargo secure fire wires</a:t>
            </a:r>
            <a:endParaRPr lang="ru-RU" sz="1100" b="1">
              <a:effectLst/>
              <a:latin typeface="+mn-lt"/>
              <a:ea typeface="+mn-ea"/>
              <a:cs typeface="+mn-cs"/>
            </a:endParaRPr>
          </a:p>
          <a:p>
            <a:r>
              <a:rPr lang="en-US" sz="1100" b="1">
                <a:effectLst/>
                <a:latin typeface="+mn-lt"/>
                <a:ea typeface="+mn-ea"/>
                <a:cs typeface="+mn-cs"/>
              </a:rPr>
              <a:t>	With completion, 1 Hour notice to engine</a:t>
            </a:r>
            <a:endParaRPr lang="ru-RU" sz="1100" b="1">
              <a:effectLst/>
              <a:latin typeface="+mn-lt"/>
              <a:ea typeface="+mn-ea"/>
              <a:cs typeface="+mn-cs"/>
            </a:endParaRPr>
          </a:p>
          <a:p>
            <a:pPr algn="l" rtl="0">
              <a:defRPr sz="1000"/>
            </a:pPr>
            <a:endParaRPr lang="ru-RU"/>
          </a:p>
        </xdr:txBody>
      </xdr:sp>
      <xdr:sp macro="" textlink="">
        <xdr:nvSpPr>
          <xdr:cNvPr id="42" name="Прямоугольник 10">
            <a:extLst>
              <a:ext uri="{FF2B5EF4-FFF2-40B4-BE49-F238E27FC236}">
                <a16:creationId xmlns:a16="http://schemas.microsoft.com/office/drawing/2014/main" id="{00000000-0008-0000-1700-00002A000000}"/>
              </a:ext>
            </a:extLst>
          </xdr:cNvPr>
          <xdr:cNvSpPr>
            <a:spLocks noChangeArrowheads="1"/>
          </xdr:cNvSpPr>
        </xdr:nvSpPr>
        <xdr:spPr bwMode="auto">
          <a:xfrm>
            <a:off x="2697480" y="22730459"/>
            <a:ext cx="8275320" cy="381001"/>
          </a:xfrm>
          <a:prstGeom prst="rect">
            <a:avLst/>
          </a:prstGeom>
          <a:gradFill rotWithShape="1">
            <a:gsLst>
              <a:gs pos="0">
                <a:srgbClr val="23518B"/>
              </a:gs>
              <a:gs pos="100000">
                <a:srgbClr val="4F81BD"/>
              </a:gs>
            </a:gsLst>
            <a:lin ang="0"/>
          </a:gradFill>
          <a:ln w="9525">
            <a:solidFill>
              <a:srgbClr val="7F7F7F"/>
            </a:solidFill>
            <a:miter lim="800000"/>
            <a:headEnd/>
            <a:tailEnd/>
          </a:ln>
        </xdr:spPr>
        <xdr:txBody>
          <a:bodyPr vertOverflow="clip" wrap="square" lIns="180000" tIns="0" rIns="91440" bIns="0" anchor="ctr" upright="1"/>
          <a:lstStyle/>
          <a:p>
            <a:pPr algn="l" rtl="0">
              <a:defRPr sz="1000"/>
            </a:pPr>
            <a:r>
              <a:rPr lang="en-GB" sz="1000" b="0" i="0" u="none" strike="noStrike" baseline="0">
                <a:solidFill>
                  <a:srgbClr val="FFFFFF"/>
                </a:solidFill>
                <a:latin typeface="Arial"/>
                <a:cs typeface="Arial"/>
              </a:rPr>
              <a:t>Note</a:t>
            </a:r>
            <a:r>
              <a:rPr lang="en-US" sz="1000" b="0" i="0" u="none" strike="noStrike" baseline="0">
                <a:solidFill>
                  <a:srgbClr val="FFFFFF"/>
                </a:solidFill>
                <a:latin typeface="Arial"/>
                <a:cs typeface="Arial"/>
              </a:rPr>
              <a:t>:</a:t>
            </a:r>
            <a:endParaRPr lang="ru-RU"/>
          </a:p>
        </xdr:txBody>
      </xdr:sp>
      <xdr:pic>
        <xdr:nvPicPr>
          <xdr:cNvPr id="43" name="Рисунок 9">
            <a:hlinkClick xmlns:r="http://schemas.openxmlformats.org/officeDocument/2006/relationships" r:id="rId3"/>
            <a:extLst>
              <a:ext uri="{FF2B5EF4-FFF2-40B4-BE49-F238E27FC236}">
                <a16:creationId xmlns:a16="http://schemas.microsoft.com/office/drawing/2014/main" id="{00000000-0008-0000-1700-00002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677592" y="22777452"/>
            <a:ext cx="252000" cy="291192"/>
          </a:xfrm>
          <a:prstGeom prst="rect">
            <a:avLst/>
          </a:prstGeom>
          <a:noFill/>
          <a:ln w="9525">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grpSp>
        <xdr:nvGrpSpPr>
          <xdr:cNvPr id="209963" name="Группа 209962">
            <a:extLst>
              <a:ext uri="{FF2B5EF4-FFF2-40B4-BE49-F238E27FC236}">
                <a16:creationId xmlns:a16="http://schemas.microsoft.com/office/drawing/2014/main" id="{00000000-0008-0000-1700-00002B340300}"/>
              </a:ext>
            </a:extLst>
          </xdr:cNvPr>
          <xdr:cNvGrpSpPr/>
        </xdr:nvGrpSpPr>
        <xdr:grpSpPr>
          <a:xfrm>
            <a:off x="2860272" y="32403926"/>
            <a:ext cx="7986451" cy="3631421"/>
            <a:chOff x="2860272" y="32403926"/>
            <a:chExt cx="7986451" cy="3631421"/>
          </a:xfrm>
        </xdr:grpSpPr>
        <xdr:sp macro="" textlink="">
          <xdr:nvSpPr>
            <xdr:cNvPr id="2" name="Блок-схема: магнитный диск 1">
              <a:extLst>
                <a:ext uri="{FF2B5EF4-FFF2-40B4-BE49-F238E27FC236}">
                  <a16:creationId xmlns:a16="http://schemas.microsoft.com/office/drawing/2014/main" id="{00000000-0008-0000-1700-000002000000}"/>
                </a:ext>
              </a:extLst>
            </xdr:cNvPr>
            <xdr:cNvSpPr/>
          </xdr:nvSpPr>
          <xdr:spPr>
            <a:xfrm>
              <a:off x="3040380" y="33588960"/>
              <a:ext cx="609600" cy="66294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3" name="Блок-схема: магнитный диск 2">
              <a:extLst>
                <a:ext uri="{FF2B5EF4-FFF2-40B4-BE49-F238E27FC236}">
                  <a16:creationId xmlns:a16="http://schemas.microsoft.com/office/drawing/2014/main" id="{00000000-0008-0000-1700-000003000000}"/>
                </a:ext>
              </a:extLst>
            </xdr:cNvPr>
            <xdr:cNvSpPr/>
          </xdr:nvSpPr>
          <xdr:spPr>
            <a:xfrm>
              <a:off x="3360420" y="34335720"/>
              <a:ext cx="609600" cy="66294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 name="Блок-схема: магнитный диск 3">
              <a:extLst>
                <a:ext uri="{FF2B5EF4-FFF2-40B4-BE49-F238E27FC236}">
                  <a16:creationId xmlns:a16="http://schemas.microsoft.com/office/drawing/2014/main" id="{00000000-0008-0000-1700-000004000000}"/>
                </a:ext>
              </a:extLst>
            </xdr:cNvPr>
            <xdr:cNvSpPr/>
          </xdr:nvSpPr>
          <xdr:spPr>
            <a:xfrm>
              <a:off x="3787140" y="33390840"/>
              <a:ext cx="609600" cy="662940"/>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5" name="TextBox 4">
              <a:extLst>
                <a:ext uri="{FF2B5EF4-FFF2-40B4-BE49-F238E27FC236}">
                  <a16:creationId xmlns:a16="http://schemas.microsoft.com/office/drawing/2014/main" id="{00000000-0008-0000-1700-000005000000}"/>
                </a:ext>
              </a:extLst>
            </xdr:cNvPr>
            <xdr:cNvSpPr txBox="1"/>
          </xdr:nvSpPr>
          <xdr:spPr>
            <a:xfrm>
              <a:off x="2956560" y="35013900"/>
              <a:ext cx="1021080" cy="267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b="1" kern="1200"/>
                <a:t>SHORE</a:t>
              </a:r>
              <a:r>
                <a:rPr lang="en-GB" sz="1100" b="1" kern="1200" baseline="0"/>
                <a:t> TANKS</a:t>
              </a:r>
              <a:endParaRPr lang="ru-RU" sz="1100" b="1" kern="1200"/>
            </a:p>
          </xdr:txBody>
        </xdr:sp>
        <xdr:sp macro="" textlink="">
          <xdr:nvSpPr>
            <xdr:cNvPr id="6" name="Куб 5">
              <a:extLst>
                <a:ext uri="{FF2B5EF4-FFF2-40B4-BE49-F238E27FC236}">
                  <a16:creationId xmlns:a16="http://schemas.microsoft.com/office/drawing/2014/main" id="{00000000-0008-0000-1700-000006000000}"/>
                </a:ext>
              </a:extLst>
            </xdr:cNvPr>
            <xdr:cNvSpPr/>
          </xdr:nvSpPr>
          <xdr:spPr>
            <a:xfrm>
              <a:off x="5615940" y="33886140"/>
              <a:ext cx="586740" cy="411480"/>
            </a:xfrm>
            <a:prstGeom prst="cube">
              <a:avLst>
                <a:gd name="adj" fmla="val 675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xnSp macro="">
          <xdr:nvCxnSpPr>
            <xdr:cNvPr id="9" name="Прямая соединительная линия 8">
              <a:extLst>
                <a:ext uri="{FF2B5EF4-FFF2-40B4-BE49-F238E27FC236}">
                  <a16:creationId xmlns:a16="http://schemas.microsoft.com/office/drawing/2014/main" id="{00000000-0008-0000-1700-000009000000}"/>
                </a:ext>
              </a:extLst>
            </xdr:cNvPr>
            <xdr:cNvCxnSpPr/>
          </xdr:nvCxnSpPr>
          <xdr:spPr>
            <a:xfrm flipV="1">
              <a:off x="3985260" y="34236660"/>
              <a:ext cx="1607820" cy="647700"/>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Прямая соединительная линия 16">
              <a:extLst>
                <a:ext uri="{FF2B5EF4-FFF2-40B4-BE49-F238E27FC236}">
                  <a16:creationId xmlns:a16="http://schemas.microsoft.com/office/drawing/2014/main" id="{00000000-0008-0000-1700-000011000000}"/>
                </a:ext>
              </a:extLst>
            </xdr:cNvPr>
            <xdr:cNvCxnSpPr>
              <a:endCxn id="6" idx="2"/>
            </xdr:cNvCxnSpPr>
          </xdr:nvCxnSpPr>
          <xdr:spPr>
            <a:xfrm>
              <a:off x="4411980" y="33947100"/>
              <a:ext cx="1203960" cy="283846"/>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9" name="Прямая соединительная линия 38">
              <a:extLst>
                <a:ext uri="{FF2B5EF4-FFF2-40B4-BE49-F238E27FC236}">
                  <a16:creationId xmlns:a16="http://schemas.microsoft.com/office/drawing/2014/main" id="{00000000-0008-0000-1700-000027000000}"/>
                </a:ext>
              </a:extLst>
            </xdr:cNvPr>
            <xdr:cNvCxnSpPr>
              <a:endCxn id="6" idx="2"/>
            </xdr:cNvCxnSpPr>
          </xdr:nvCxnSpPr>
          <xdr:spPr>
            <a:xfrm>
              <a:off x="3665220" y="34122360"/>
              <a:ext cx="1950720" cy="108586"/>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TextBox 51">
              <a:extLst>
                <a:ext uri="{FF2B5EF4-FFF2-40B4-BE49-F238E27FC236}">
                  <a16:creationId xmlns:a16="http://schemas.microsoft.com/office/drawing/2014/main" id="{00000000-0008-0000-1700-000034000000}"/>
                </a:ext>
              </a:extLst>
            </xdr:cNvPr>
            <xdr:cNvSpPr txBox="1"/>
          </xdr:nvSpPr>
          <xdr:spPr>
            <a:xfrm>
              <a:off x="8634845" y="34618352"/>
              <a:ext cx="2152996" cy="328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tx1"/>
                  </a:solidFill>
                  <a:effectLst/>
                  <a:latin typeface="+mn-lt"/>
                  <a:ea typeface="+mn-ea"/>
                  <a:cs typeface="+mn-cs"/>
                </a:rPr>
                <a:t>LOA 330 mts </a:t>
              </a:r>
              <a:r>
                <a:rPr lang="en-US" sz="1100">
                  <a:solidFill>
                    <a:schemeClr val="tx1"/>
                  </a:solidFill>
                  <a:effectLst/>
                  <a:latin typeface="+mn-lt"/>
                  <a:ea typeface="+mn-ea"/>
                  <a:cs typeface="+mn-cs"/>
                </a:rPr>
                <a:t>  </a:t>
              </a:r>
              <a:r>
                <a:rPr lang="en-GB" sz="1600">
                  <a:solidFill>
                    <a:schemeClr val="accent5">
                      <a:lumMod val="75000"/>
                    </a:schemeClr>
                  </a:solidFill>
                  <a:latin typeface="Wingdings 3" panose="05040102010807070707" pitchFamily="18" charset="2"/>
                  <a:ea typeface="+mn-ea"/>
                  <a:cs typeface="+mn-cs"/>
                </a:rPr>
                <a:t>Æ</a:t>
              </a:r>
              <a:r>
                <a:rPr lang="en-US" sz="1100">
                  <a:solidFill>
                    <a:schemeClr val="tx1"/>
                  </a:solidFill>
                  <a:effectLst/>
                  <a:latin typeface="+mn-lt"/>
                  <a:ea typeface="+mn-ea"/>
                  <a:cs typeface="+mn-cs"/>
                </a:rPr>
                <a:t>    </a:t>
              </a:r>
              <a:r>
                <a:rPr lang="en-US" sz="1200" b="1">
                  <a:solidFill>
                    <a:schemeClr val="tx1"/>
                  </a:solidFill>
                  <a:effectLst/>
                  <a:latin typeface="+mn-lt"/>
                  <a:ea typeface="+mn-ea"/>
                  <a:cs typeface="+mn-cs"/>
                </a:rPr>
                <a:t>&lt; 4,95 mts</a:t>
              </a:r>
              <a:endParaRPr lang="ru-RU" b="1">
                <a:effectLst/>
              </a:endParaRPr>
            </a:p>
          </xdr:txBody>
        </xdr:sp>
        <xdr:sp macro="" textlink="">
          <xdr:nvSpPr>
            <xdr:cNvPr id="53" name="TextBox 52">
              <a:extLst>
                <a:ext uri="{FF2B5EF4-FFF2-40B4-BE49-F238E27FC236}">
                  <a16:creationId xmlns:a16="http://schemas.microsoft.com/office/drawing/2014/main" id="{00000000-0008-0000-1700-000035000000}"/>
                </a:ext>
              </a:extLst>
            </xdr:cNvPr>
            <xdr:cNvSpPr txBox="1"/>
          </xdr:nvSpPr>
          <xdr:spPr>
            <a:xfrm>
              <a:off x="9159932" y="34366199"/>
              <a:ext cx="1686791" cy="31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TRIM</a:t>
              </a:r>
              <a:r>
                <a:rPr lang="en-US" sz="1400">
                  <a:solidFill>
                    <a:schemeClr val="tx1"/>
                  </a:solidFill>
                  <a:effectLst/>
                  <a:latin typeface="+mn-lt"/>
                  <a:ea typeface="+mn-ea"/>
                  <a:cs typeface="+mn-cs"/>
                </a:rPr>
                <a:t>  </a:t>
              </a:r>
              <a:r>
                <a:rPr lang="en-US" sz="1400" b="1">
                  <a:solidFill>
                    <a:schemeClr val="tx1"/>
                  </a:solidFill>
                  <a:effectLst/>
                  <a:latin typeface="+mn-lt"/>
                  <a:ea typeface="+mn-ea"/>
                  <a:cs typeface="+mn-cs"/>
                </a:rPr>
                <a:t>&lt; 1.5% LOA</a:t>
              </a:r>
              <a:endParaRPr lang="ru-RU" sz="1400" b="1">
                <a:effectLst/>
              </a:endParaRPr>
            </a:p>
          </xdr:txBody>
        </xdr:sp>
        <xdr:sp macro="" textlink="">
          <xdr:nvSpPr>
            <xdr:cNvPr id="54" name="TextBox 53">
              <a:extLst>
                <a:ext uri="{FF2B5EF4-FFF2-40B4-BE49-F238E27FC236}">
                  <a16:creationId xmlns:a16="http://schemas.microsoft.com/office/drawing/2014/main" id="{00000000-0008-0000-1700-000036000000}"/>
                </a:ext>
              </a:extLst>
            </xdr:cNvPr>
            <xdr:cNvSpPr txBox="1"/>
          </xdr:nvSpPr>
          <xdr:spPr>
            <a:xfrm rot="20270777">
              <a:off x="3939540" y="34579560"/>
              <a:ext cx="1892531" cy="265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b="1" kern="1200"/>
                <a:t>LINE CAPACITY 125000Bbls</a:t>
              </a:r>
              <a:endParaRPr lang="ru-RU" sz="1100" b="1" kern="1200"/>
            </a:p>
          </xdr:txBody>
        </xdr:sp>
        <xdr:sp macro="" textlink="">
          <xdr:nvSpPr>
            <xdr:cNvPr id="55" name="TextBox 54">
              <a:extLst>
                <a:ext uri="{FF2B5EF4-FFF2-40B4-BE49-F238E27FC236}">
                  <a16:creationId xmlns:a16="http://schemas.microsoft.com/office/drawing/2014/main" id="{00000000-0008-0000-1700-000037000000}"/>
                </a:ext>
              </a:extLst>
            </xdr:cNvPr>
            <xdr:cNvSpPr txBox="1"/>
          </xdr:nvSpPr>
          <xdr:spPr>
            <a:xfrm>
              <a:off x="9353205" y="32901130"/>
              <a:ext cx="1418705" cy="7867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GB" sz="1100" b="1" kern="1200"/>
                <a:t>0 STRIGHT LOADING</a:t>
              </a:r>
            </a:p>
            <a:p>
              <a:pPr algn="r"/>
              <a:r>
                <a:rPr lang="en-GB" sz="1100" b="1" kern="1200"/>
                <a:t>66000 Bbls</a:t>
              </a:r>
            </a:p>
            <a:p>
              <a:pPr algn="r"/>
              <a:r>
                <a:rPr lang="en-GB" sz="1100" b="1" u="sng">
                  <a:solidFill>
                    <a:schemeClr val="tx1"/>
                  </a:solidFill>
                  <a:effectLst/>
                  <a:latin typeface="+mn-lt"/>
                  <a:ea typeface="+mn-ea"/>
                  <a:cs typeface="+mn-cs"/>
                </a:rPr>
                <a:t>125000 Bbls</a:t>
              </a:r>
            </a:p>
            <a:p>
              <a:pPr algn="r"/>
              <a:r>
                <a:rPr lang="en-GB" sz="1100" b="1">
                  <a:solidFill>
                    <a:schemeClr val="tx1"/>
                  </a:solidFill>
                  <a:effectLst/>
                  <a:latin typeface="+mn-lt"/>
                  <a:ea typeface="+mn-ea"/>
                  <a:cs typeface="+mn-cs"/>
                </a:rPr>
                <a:t>Total  191000 Bbls</a:t>
              </a:r>
              <a:endParaRPr lang="ru-RU" sz="1100" b="1" kern="1200"/>
            </a:p>
          </xdr:txBody>
        </xdr:sp>
        <xdr:sp macro="" textlink="">
          <xdr:nvSpPr>
            <xdr:cNvPr id="7" name="TextBox 6">
              <a:extLst>
                <a:ext uri="{FF2B5EF4-FFF2-40B4-BE49-F238E27FC236}">
                  <a16:creationId xmlns:a16="http://schemas.microsoft.com/office/drawing/2014/main" id="{00000000-0008-0000-1700-000007000000}"/>
                </a:ext>
              </a:extLst>
            </xdr:cNvPr>
            <xdr:cNvSpPr txBox="1"/>
          </xdr:nvSpPr>
          <xdr:spPr>
            <a:xfrm>
              <a:off x="5692140" y="34328100"/>
              <a:ext cx="729442" cy="267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b="1" kern="1200"/>
                <a:t>Platform</a:t>
              </a:r>
              <a:endParaRPr lang="ru-RU" sz="1100" b="1" kern="1200"/>
            </a:p>
          </xdr:txBody>
        </xdr:sp>
        <xdr:grpSp>
          <xdr:nvGrpSpPr>
            <xdr:cNvPr id="47" name="Группа 46">
              <a:extLst>
                <a:ext uri="{FF2B5EF4-FFF2-40B4-BE49-F238E27FC236}">
                  <a16:creationId xmlns:a16="http://schemas.microsoft.com/office/drawing/2014/main" id="{00000000-0008-0000-1700-00002F000000}"/>
                </a:ext>
              </a:extLst>
            </xdr:cNvPr>
            <xdr:cNvGrpSpPr/>
          </xdr:nvGrpSpPr>
          <xdr:grpSpPr>
            <a:xfrm>
              <a:off x="7581900" y="32455659"/>
              <a:ext cx="533400" cy="315139"/>
              <a:chOff x="8206740" y="32727900"/>
              <a:chExt cx="533400" cy="315139"/>
            </a:xfrm>
          </xdr:grpSpPr>
          <xdr:sp macro="" textlink="">
            <xdr:nvSpPr>
              <xdr:cNvPr id="40" name="Равнобедренный треугольник 39">
                <a:extLst>
                  <a:ext uri="{FF2B5EF4-FFF2-40B4-BE49-F238E27FC236}">
                    <a16:creationId xmlns:a16="http://schemas.microsoft.com/office/drawing/2014/main" id="{00000000-0008-0000-1700-000028000000}"/>
                  </a:ext>
                </a:extLst>
              </xdr:cNvPr>
              <xdr:cNvSpPr/>
            </xdr:nvSpPr>
            <xdr:spPr>
              <a:xfrm>
                <a:off x="8206740" y="32727900"/>
                <a:ext cx="213360" cy="198120"/>
              </a:xfrm>
              <a:prstGeom prst="triangle">
                <a:avLst/>
              </a:prstGeom>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5" name="TextBox 44">
                <a:extLst>
                  <a:ext uri="{FF2B5EF4-FFF2-40B4-BE49-F238E27FC236}">
                    <a16:creationId xmlns:a16="http://schemas.microsoft.com/office/drawing/2014/main" id="{00000000-0008-0000-1700-00002D000000}"/>
                  </a:ext>
                </a:extLst>
              </xdr:cNvPr>
              <xdr:cNvSpPr txBox="1"/>
            </xdr:nvSpPr>
            <xdr:spPr>
              <a:xfrm>
                <a:off x="8435340" y="32855167"/>
                <a:ext cx="3048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GB" sz="1200" b="1" kern="1200"/>
                  <a:t>33</a:t>
                </a:r>
                <a:endParaRPr lang="ru-RU" sz="1200" b="1" kern="1200"/>
              </a:p>
            </xdr:txBody>
          </xdr:sp>
        </xdr:grpSp>
        <xdr:grpSp>
          <xdr:nvGrpSpPr>
            <xdr:cNvPr id="48" name="Группа 47">
              <a:extLst>
                <a:ext uri="{FF2B5EF4-FFF2-40B4-BE49-F238E27FC236}">
                  <a16:creationId xmlns:a16="http://schemas.microsoft.com/office/drawing/2014/main" id="{00000000-0008-0000-1700-000030000000}"/>
                </a:ext>
              </a:extLst>
            </xdr:cNvPr>
            <xdr:cNvGrpSpPr/>
          </xdr:nvGrpSpPr>
          <xdr:grpSpPr>
            <a:xfrm>
              <a:off x="7198822" y="33007070"/>
              <a:ext cx="533400" cy="315139"/>
              <a:chOff x="8206740" y="32727900"/>
              <a:chExt cx="533400" cy="315139"/>
            </a:xfrm>
          </xdr:grpSpPr>
          <xdr:sp macro="" textlink="">
            <xdr:nvSpPr>
              <xdr:cNvPr id="49" name="Равнобедренный треугольник 48">
                <a:extLst>
                  <a:ext uri="{FF2B5EF4-FFF2-40B4-BE49-F238E27FC236}">
                    <a16:creationId xmlns:a16="http://schemas.microsoft.com/office/drawing/2014/main" id="{00000000-0008-0000-1700-000031000000}"/>
                  </a:ext>
                </a:extLst>
              </xdr:cNvPr>
              <xdr:cNvSpPr/>
            </xdr:nvSpPr>
            <xdr:spPr>
              <a:xfrm>
                <a:off x="8206740" y="32727900"/>
                <a:ext cx="213360" cy="198120"/>
              </a:xfrm>
              <a:prstGeom prst="triangle">
                <a:avLst/>
              </a:prstGeom>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50" name="TextBox 49">
                <a:extLst>
                  <a:ext uri="{FF2B5EF4-FFF2-40B4-BE49-F238E27FC236}">
                    <a16:creationId xmlns:a16="http://schemas.microsoft.com/office/drawing/2014/main" id="{00000000-0008-0000-1700-000032000000}"/>
                  </a:ext>
                </a:extLst>
              </xdr:cNvPr>
              <xdr:cNvSpPr txBox="1"/>
            </xdr:nvSpPr>
            <xdr:spPr>
              <a:xfrm>
                <a:off x="8435340" y="32855167"/>
                <a:ext cx="3048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GB" sz="1200" b="1" kern="1200"/>
                  <a:t>32</a:t>
                </a:r>
                <a:endParaRPr lang="ru-RU" sz="1200" b="1" kern="1200"/>
              </a:p>
            </xdr:txBody>
          </xdr:sp>
        </xdr:grpSp>
        <xdr:grpSp>
          <xdr:nvGrpSpPr>
            <xdr:cNvPr id="51" name="Группа 50">
              <a:extLst>
                <a:ext uri="{FF2B5EF4-FFF2-40B4-BE49-F238E27FC236}">
                  <a16:creationId xmlns:a16="http://schemas.microsoft.com/office/drawing/2014/main" id="{00000000-0008-0000-1700-000033000000}"/>
                </a:ext>
              </a:extLst>
            </xdr:cNvPr>
            <xdr:cNvGrpSpPr/>
          </xdr:nvGrpSpPr>
          <xdr:grpSpPr>
            <a:xfrm>
              <a:off x="8591204" y="32804099"/>
              <a:ext cx="534785" cy="315139"/>
              <a:chOff x="8206740" y="32727900"/>
              <a:chExt cx="533400" cy="315139"/>
            </a:xfrm>
          </xdr:grpSpPr>
          <xdr:sp macro="" textlink="">
            <xdr:nvSpPr>
              <xdr:cNvPr id="56" name="Равнобедренный треугольник 55">
                <a:extLst>
                  <a:ext uri="{FF2B5EF4-FFF2-40B4-BE49-F238E27FC236}">
                    <a16:creationId xmlns:a16="http://schemas.microsoft.com/office/drawing/2014/main" id="{00000000-0008-0000-1700-000038000000}"/>
                  </a:ext>
                </a:extLst>
              </xdr:cNvPr>
              <xdr:cNvSpPr/>
            </xdr:nvSpPr>
            <xdr:spPr>
              <a:xfrm>
                <a:off x="8206740" y="32727900"/>
                <a:ext cx="213360" cy="198120"/>
              </a:xfrm>
              <a:prstGeom prst="triangle">
                <a:avLst/>
              </a:prstGeom>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57" name="TextBox 56">
                <a:extLst>
                  <a:ext uri="{FF2B5EF4-FFF2-40B4-BE49-F238E27FC236}">
                    <a16:creationId xmlns:a16="http://schemas.microsoft.com/office/drawing/2014/main" id="{00000000-0008-0000-1700-000039000000}"/>
                  </a:ext>
                </a:extLst>
              </xdr:cNvPr>
              <xdr:cNvSpPr txBox="1"/>
            </xdr:nvSpPr>
            <xdr:spPr>
              <a:xfrm>
                <a:off x="8435340" y="32855167"/>
                <a:ext cx="3048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GB" sz="1200" b="1" kern="1200"/>
                  <a:t>34</a:t>
                </a:r>
                <a:endParaRPr lang="ru-RU" sz="1200" b="1" kern="1200"/>
              </a:p>
            </xdr:txBody>
          </xdr:sp>
        </xdr:grpSp>
        <xdr:grpSp>
          <xdr:nvGrpSpPr>
            <xdr:cNvPr id="58" name="Группа 57">
              <a:extLst>
                <a:ext uri="{FF2B5EF4-FFF2-40B4-BE49-F238E27FC236}">
                  <a16:creationId xmlns:a16="http://schemas.microsoft.com/office/drawing/2014/main" id="{00000000-0008-0000-1700-00003A000000}"/>
                </a:ext>
              </a:extLst>
            </xdr:cNvPr>
            <xdr:cNvGrpSpPr/>
          </xdr:nvGrpSpPr>
          <xdr:grpSpPr>
            <a:xfrm>
              <a:off x="7379624" y="33517609"/>
              <a:ext cx="532015" cy="315139"/>
              <a:chOff x="8206740" y="32727900"/>
              <a:chExt cx="533400" cy="315139"/>
            </a:xfrm>
          </xdr:grpSpPr>
          <xdr:sp macro="" textlink="">
            <xdr:nvSpPr>
              <xdr:cNvPr id="59" name="Равнобедренный треугольник 58">
                <a:extLst>
                  <a:ext uri="{FF2B5EF4-FFF2-40B4-BE49-F238E27FC236}">
                    <a16:creationId xmlns:a16="http://schemas.microsoft.com/office/drawing/2014/main" id="{00000000-0008-0000-1700-00003B000000}"/>
                  </a:ext>
                </a:extLst>
              </xdr:cNvPr>
              <xdr:cNvSpPr/>
            </xdr:nvSpPr>
            <xdr:spPr>
              <a:xfrm>
                <a:off x="8206740" y="32727900"/>
                <a:ext cx="213360" cy="198120"/>
              </a:xfrm>
              <a:prstGeom prst="triangle">
                <a:avLst/>
              </a:prstGeom>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60" name="TextBox 59">
                <a:extLst>
                  <a:ext uri="{FF2B5EF4-FFF2-40B4-BE49-F238E27FC236}">
                    <a16:creationId xmlns:a16="http://schemas.microsoft.com/office/drawing/2014/main" id="{00000000-0008-0000-1700-00003C000000}"/>
                  </a:ext>
                </a:extLst>
              </xdr:cNvPr>
              <xdr:cNvSpPr txBox="1"/>
            </xdr:nvSpPr>
            <xdr:spPr>
              <a:xfrm>
                <a:off x="8435340" y="32855167"/>
                <a:ext cx="3048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GB" sz="1200" b="1" kern="1200"/>
                  <a:t>31</a:t>
                </a:r>
                <a:endParaRPr lang="ru-RU" sz="1200" b="1" kern="1200"/>
              </a:p>
            </xdr:txBody>
          </xdr:sp>
        </xdr:grpSp>
        <xdr:grpSp>
          <xdr:nvGrpSpPr>
            <xdr:cNvPr id="61" name="Группа 60">
              <a:extLst>
                <a:ext uri="{FF2B5EF4-FFF2-40B4-BE49-F238E27FC236}">
                  <a16:creationId xmlns:a16="http://schemas.microsoft.com/office/drawing/2014/main" id="{00000000-0008-0000-1700-00003D000000}"/>
                </a:ext>
              </a:extLst>
            </xdr:cNvPr>
            <xdr:cNvGrpSpPr/>
          </xdr:nvGrpSpPr>
          <xdr:grpSpPr>
            <a:xfrm>
              <a:off x="8124998" y="33681093"/>
              <a:ext cx="533400" cy="316524"/>
              <a:chOff x="8206740" y="32727900"/>
              <a:chExt cx="533400" cy="315139"/>
            </a:xfrm>
          </xdr:grpSpPr>
          <xdr:sp macro="" textlink="">
            <xdr:nvSpPr>
              <xdr:cNvPr id="62" name="Равнобедренный треугольник 61">
                <a:extLst>
                  <a:ext uri="{FF2B5EF4-FFF2-40B4-BE49-F238E27FC236}">
                    <a16:creationId xmlns:a16="http://schemas.microsoft.com/office/drawing/2014/main" id="{00000000-0008-0000-1700-00003E000000}"/>
                  </a:ext>
                </a:extLst>
              </xdr:cNvPr>
              <xdr:cNvSpPr/>
            </xdr:nvSpPr>
            <xdr:spPr>
              <a:xfrm>
                <a:off x="8206740" y="32727900"/>
                <a:ext cx="213360" cy="198120"/>
              </a:xfrm>
              <a:prstGeom prst="triangle">
                <a:avLst/>
              </a:prstGeom>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63" name="TextBox 62">
                <a:extLst>
                  <a:ext uri="{FF2B5EF4-FFF2-40B4-BE49-F238E27FC236}">
                    <a16:creationId xmlns:a16="http://schemas.microsoft.com/office/drawing/2014/main" id="{00000000-0008-0000-1700-00003F000000}"/>
                  </a:ext>
                </a:extLst>
              </xdr:cNvPr>
              <xdr:cNvSpPr txBox="1"/>
            </xdr:nvSpPr>
            <xdr:spPr>
              <a:xfrm>
                <a:off x="8435340" y="32855167"/>
                <a:ext cx="3048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GB" sz="1200" b="1" kern="1200"/>
                  <a:t>35</a:t>
                </a:r>
                <a:endParaRPr lang="ru-RU" sz="1200" b="1" kern="1200"/>
              </a:p>
            </xdr:txBody>
          </xdr:sp>
        </xdr:grpSp>
        <xdr:grpSp>
          <xdr:nvGrpSpPr>
            <xdr:cNvPr id="209920" name="Группа 209919">
              <a:extLst>
                <a:ext uri="{FF2B5EF4-FFF2-40B4-BE49-F238E27FC236}">
                  <a16:creationId xmlns:a16="http://schemas.microsoft.com/office/drawing/2014/main" id="{00000000-0008-0000-1700-000000340300}"/>
                </a:ext>
              </a:extLst>
            </xdr:cNvPr>
            <xdr:cNvGrpSpPr/>
          </xdr:nvGrpSpPr>
          <xdr:grpSpPr>
            <a:xfrm>
              <a:off x="9166860" y="33855660"/>
              <a:ext cx="533400" cy="315139"/>
              <a:chOff x="8206740" y="32727900"/>
              <a:chExt cx="533400" cy="315139"/>
            </a:xfrm>
          </xdr:grpSpPr>
          <xdr:sp macro="" textlink="">
            <xdr:nvSpPr>
              <xdr:cNvPr id="209925" name="Равнобедренный треугольник 209924">
                <a:extLst>
                  <a:ext uri="{FF2B5EF4-FFF2-40B4-BE49-F238E27FC236}">
                    <a16:creationId xmlns:a16="http://schemas.microsoft.com/office/drawing/2014/main" id="{00000000-0008-0000-1700-000005340300}"/>
                  </a:ext>
                </a:extLst>
              </xdr:cNvPr>
              <xdr:cNvSpPr/>
            </xdr:nvSpPr>
            <xdr:spPr>
              <a:xfrm>
                <a:off x="8206740" y="32727900"/>
                <a:ext cx="213360" cy="198120"/>
              </a:xfrm>
              <a:prstGeom prst="triangle">
                <a:avLst/>
              </a:prstGeom>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209926" name="TextBox 209925">
                <a:extLst>
                  <a:ext uri="{FF2B5EF4-FFF2-40B4-BE49-F238E27FC236}">
                    <a16:creationId xmlns:a16="http://schemas.microsoft.com/office/drawing/2014/main" id="{00000000-0008-0000-1700-000006340300}"/>
                  </a:ext>
                </a:extLst>
              </xdr:cNvPr>
              <xdr:cNvSpPr txBox="1"/>
            </xdr:nvSpPr>
            <xdr:spPr>
              <a:xfrm>
                <a:off x="8435340" y="32855167"/>
                <a:ext cx="3048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GB" sz="1200" b="1" kern="1200"/>
                  <a:t>36</a:t>
                </a:r>
                <a:endParaRPr lang="ru-RU" sz="1200" b="1" kern="1200"/>
              </a:p>
            </xdr:txBody>
          </xdr:sp>
        </xdr:grpSp>
        <xdr:cxnSp macro="">
          <xdr:nvCxnSpPr>
            <xdr:cNvPr id="209927" name="Прямая соединительная линия 209926">
              <a:extLst>
                <a:ext uri="{FF2B5EF4-FFF2-40B4-BE49-F238E27FC236}">
                  <a16:creationId xmlns:a16="http://schemas.microsoft.com/office/drawing/2014/main" id="{00000000-0008-0000-1700-000007340300}"/>
                </a:ext>
              </a:extLst>
            </xdr:cNvPr>
            <xdr:cNvCxnSpPr>
              <a:stCxn id="6" idx="5"/>
              <a:endCxn id="40" idx="2"/>
            </xdr:cNvCxnSpPr>
          </xdr:nvCxnSpPr>
          <xdr:spPr>
            <a:xfrm flipV="1">
              <a:off x="6202680" y="32653423"/>
              <a:ext cx="1379220" cy="1298942"/>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09929" name="Прямая соединительная линия 209928">
              <a:extLst>
                <a:ext uri="{FF2B5EF4-FFF2-40B4-BE49-F238E27FC236}">
                  <a16:creationId xmlns:a16="http://schemas.microsoft.com/office/drawing/2014/main" id="{00000000-0008-0000-1700-000009340300}"/>
                </a:ext>
              </a:extLst>
            </xdr:cNvPr>
            <xdr:cNvCxnSpPr>
              <a:stCxn id="6" idx="5"/>
              <a:endCxn id="49" idx="2"/>
            </xdr:cNvCxnSpPr>
          </xdr:nvCxnSpPr>
          <xdr:spPr>
            <a:xfrm flipV="1">
              <a:off x="6202680" y="33206219"/>
              <a:ext cx="996142" cy="746146"/>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09932" name="Прямая соединительная линия 209931">
              <a:extLst>
                <a:ext uri="{FF2B5EF4-FFF2-40B4-BE49-F238E27FC236}">
                  <a16:creationId xmlns:a16="http://schemas.microsoft.com/office/drawing/2014/main" id="{00000000-0008-0000-1700-00000C340300}"/>
                </a:ext>
              </a:extLst>
            </xdr:cNvPr>
            <xdr:cNvCxnSpPr>
              <a:stCxn id="6" idx="5"/>
              <a:endCxn id="56" idx="2"/>
            </xdr:cNvCxnSpPr>
          </xdr:nvCxnSpPr>
          <xdr:spPr>
            <a:xfrm flipV="1">
              <a:off x="6202680" y="33001863"/>
              <a:ext cx="2388524" cy="950502"/>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09938" name="Прямая соединительная линия 209937">
              <a:extLst>
                <a:ext uri="{FF2B5EF4-FFF2-40B4-BE49-F238E27FC236}">
                  <a16:creationId xmlns:a16="http://schemas.microsoft.com/office/drawing/2014/main" id="{00000000-0008-0000-1700-000012340300}"/>
                </a:ext>
              </a:extLst>
            </xdr:cNvPr>
            <xdr:cNvCxnSpPr>
              <a:endCxn id="59" idx="2"/>
            </xdr:cNvCxnSpPr>
          </xdr:nvCxnSpPr>
          <xdr:spPr>
            <a:xfrm flipV="1">
              <a:off x="6127173" y="33716758"/>
              <a:ext cx="1252451" cy="397982"/>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09941" name="Прямая соединительная линия 209940">
              <a:extLst>
                <a:ext uri="{FF2B5EF4-FFF2-40B4-BE49-F238E27FC236}">
                  <a16:creationId xmlns:a16="http://schemas.microsoft.com/office/drawing/2014/main" id="{00000000-0008-0000-1700-000015340300}"/>
                </a:ext>
              </a:extLst>
            </xdr:cNvPr>
            <xdr:cNvCxnSpPr>
              <a:endCxn id="62" idx="2"/>
            </xdr:cNvCxnSpPr>
          </xdr:nvCxnSpPr>
          <xdr:spPr>
            <a:xfrm flipV="1">
              <a:off x="6067598" y="33880598"/>
              <a:ext cx="2057400" cy="228600"/>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09944" name="Прямая соединительная линия 209943">
              <a:extLst>
                <a:ext uri="{FF2B5EF4-FFF2-40B4-BE49-F238E27FC236}">
                  <a16:creationId xmlns:a16="http://schemas.microsoft.com/office/drawing/2014/main" id="{00000000-0008-0000-1700-000018340300}"/>
                </a:ext>
              </a:extLst>
            </xdr:cNvPr>
            <xdr:cNvCxnSpPr>
              <a:stCxn id="6" idx="4"/>
              <a:endCxn id="209925" idx="2"/>
            </xdr:cNvCxnSpPr>
          </xdr:nvCxnSpPr>
          <xdr:spPr>
            <a:xfrm flipV="1">
              <a:off x="5924548" y="34053780"/>
              <a:ext cx="3242312" cy="177166"/>
            </a:xfrm>
            <a:prstGeom prst="line">
              <a:avLst/>
            </a:prstGeom>
            <a:ln w="38100">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09952" name="TextBox 209951">
              <a:extLst>
                <a:ext uri="{FF2B5EF4-FFF2-40B4-BE49-F238E27FC236}">
                  <a16:creationId xmlns:a16="http://schemas.microsoft.com/office/drawing/2014/main" id="{00000000-0008-0000-1700-000020340300}"/>
                </a:ext>
              </a:extLst>
            </xdr:cNvPr>
            <xdr:cNvSpPr txBox="1"/>
          </xdr:nvSpPr>
          <xdr:spPr>
            <a:xfrm rot="19096058">
              <a:off x="6707337" y="32676291"/>
              <a:ext cx="1039908" cy="251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000" b="0" kern="1200"/>
                <a:t>LC 66000 Bbls</a:t>
              </a:r>
              <a:endParaRPr lang="ru-RU" sz="1000" b="0" kern="1200"/>
            </a:p>
          </xdr:txBody>
        </xdr:sp>
        <xdr:sp macro="" textlink="">
          <xdr:nvSpPr>
            <xdr:cNvPr id="209953" name="TextBox 209952">
              <a:extLst>
                <a:ext uri="{FF2B5EF4-FFF2-40B4-BE49-F238E27FC236}">
                  <a16:creationId xmlns:a16="http://schemas.microsoft.com/office/drawing/2014/main" id="{00000000-0008-0000-1700-000021340300}"/>
                </a:ext>
              </a:extLst>
            </xdr:cNvPr>
            <xdr:cNvSpPr txBox="1"/>
          </xdr:nvSpPr>
          <xdr:spPr>
            <a:xfrm rot="19564568">
              <a:off x="6478045" y="33351700"/>
              <a:ext cx="1041293" cy="251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000" b="0" kern="1200"/>
                <a:t>LC 44000 Bbls</a:t>
              </a:r>
              <a:endParaRPr lang="ru-RU" sz="1000" b="0" kern="1200"/>
            </a:p>
          </xdr:txBody>
        </xdr:sp>
        <xdr:sp macro="" textlink="">
          <xdr:nvSpPr>
            <xdr:cNvPr id="209954" name="TextBox 209953">
              <a:extLst>
                <a:ext uri="{FF2B5EF4-FFF2-40B4-BE49-F238E27FC236}">
                  <a16:creationId xmlns:a16="http://schemas.microsoft.com/office/drawing/2014/main" id="{00000000-0008-0000-1700-000022340300}"/>
                </a:ext>
              </a:extLst>
            </xdr:cNvPr>
            <xdr:cNvSpPr txBox="1"/>
          </xdr:nvSpPr>
          <xdr:spPr>
            <a:xfrm rot="20322880">
              <a:off x="7794920" y="33104396"/>
              <a:ext cx="1041292" cy="250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000" b="0" kern="1200"/>
                <a:t>LC 86000 Bbls</a:t>
              </a:r>
              <a:endParaRPr lang="ru-RU" sz="1000" b="0" kern="1200"/>
            </a:p>
          </xdr:txBody>
        </xdr:sp>
        <xdr:sp macro="" textlink="">
          <xdr:nvSpPr>
            <xdr:cNvPr id="209955" name="TextBox 209954">
              <a:extLst>
                <a:ext uri="{FF2B5EF4-FFF2-40B4-BE49-F238E27FC236}">
                  <a16:creationId xmlns:a16="http://schemas.microsoft.com/office/drawing/2014/main" id="{00000000-0008-0000-1700-000023340300}"/>
                </a:ext>
              </a:extLst>
            </xdr:cNvPr>
            <xdr:cNvSpPr txBox="1"/>
          </xdr:nvSpPr>
          <xdr:spPr>
            <a:xfrm rot="21357769">
              <a:off x="8256277" y="34058281"/>
              <a:ext cx="1039907" cy="250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000" b="0" kern="1200"/>
                <a:t>LC 86000 Bbls</a:t>
              </a:r>
              <a:endParaRPr lang="ru-RU" sz="1000" b="0" kern="1200"/>
            </a:p>
          </xdr:txBody>
        </xdr:sp>
        <xdr:sp macro="" textlink="">
          <xdr:nvSpPr>
            <xdr:cNvPr id="209956" name="TextBox 209955">
              <a:extLst>
                <a:ext uri="{FF2B5EF4-FFF2-40B4-BE49-F238E27FC236}">
                  <a16:creationId xmlns:a16="http://schemas.microsoft.com/office/drawing/2014/main" id="{00000000-0008-0000-1700-000024340300}"/>
                </a:ext>
              </a:extLst>
            </xdr:cNvPr>
            <xdr:cNvSpPr txBox="1"/>
          </xdr:nvSpPr>
          <xdr:spPr>
            <a:xfrm rot="21357769">
              <a:off x="7292000" y="33883715"/>
              <a:ext cx="1039907" cy="250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000" b="0" kern="1200"/>
                <a:t>LC 58000 Bbls</a:t>
              </a:r>
              <a:endParaRPr lang="ru-RU" sz="1000" b="0" kern="1200"/>
            </a:p>
          </xdr:txBody>
        </xdr:sp>
        <xdr:sp macro="" textlink="">
          <xdr:nvSpPr>
            <xdr:cNvPr id="209957" name="TextBox 209956">
              <a:extLst>
                <a:ext uri="{FF2B5EF4-FFF2-40B4-BE49-F238E27FC236}">
                  <a16:creationId xmlns:a16="http://schemas.microsoft.com/office/drawing/2014/main" id="{00000000-0008-0000-1700-000025340300}"/>
                </a:ext>
              </a:extLst>
            </xdr:cNvPr>
            <xdr:cNvSpPr txBox="1"/>
          </xdr:nvSpPr>
          <xdr:spPr>
            <a:xfrm rot="20812612">
              <a:off x="6798782" y="33743782"/>
              <a:ext cx="1039908" cy="250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000" b="0" kern="1200"/>
                <a:t>LC 24000 Bbls</a:t>
              </a:r>
              <a:endParaRPr lang="ru-RU" sz="1000" b="0" kern="1200"/>
            </a:p>
          </xdr:txBody>
        </xdr:sp>
        <xdr:sp macro="" textlink="">
          <xdr:nvSpPr>
            <xdr:cNvPr id="209960" name="TextBox 209959">
              <a:extLst>
                <a:ext uri="{FF2B5EF4-FFF2-40B4-BE49-F238E27FC236}">
                  <a16:creationId xmlns:a16="http://schemas.microsoft.com/office/drawing/2014/main" id="{00000000-0008-0000-1700-000028340300}"/>
                </a:ext>
              </a:extLst>
            </xdr:cNvPr>
            <xdr:cNvSpPr txBox="1"/>
          </xdr:nvSpPr>
          <xdr:spPr>
            <a:xfrm>
              <a:off x="9314412" y="32403926"/>
              <a:ext cx="142009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000" b="1" kern="1200"/>
                <a:t>GSV</a:t>
              </a:r>
              <a:r>
                <a:rPr lang="en-GB" sz="2000" b="1" kern="1200" baseline="0"/>
                <a:t> Bbls</a:t>
              </a:r>
            </a:p>
          </xdr:txBody>
        </xdr:sp>
        <xdr:sp macro="" textlink="">
          <xdr:nvSpPr>
            <xdr:cNvPr id="209962" name="TextBox 209961">
              <a:extLst>
                <a:ext uri="{FF2B5EF4-FFF2-40B4-BE49-F238E27FC236}">
                  <a16:creationId xmlns:a16="http://schemas.microsoft.com/office/drawing/2014/main" id="{00000000-0008-0000-1700-00002A340300}"/>
                </a:ext>
              </a:extLst>
            </xdr:cNvPr>
            <xdr:cNvSpPr txBox="1"/>
          </xdr:nvSpPr>
          <xdr:spPr>
            <a:xfrm>
              <a:off x="2860272" y="35426334"/>
              <a:ext cx="767056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GB" sz="1100" b="1" i="0">
                  <a:solidFill>
                    <a:schemeClr val="tx1"/>
                  </a:solidFill>
                  <a:effectLst/>
                  <a:latin typeface="+mn-lt"/>
                  <a:ea typeface="+mn-ea"/>
                  <a:cs typeface="+mn-cs"/>
                </a:rPr>
                <a:t>Gross Standard Volume (GSV)</a:t>
              </a:r>
              <a:r>
                <a:rPr lang="en-GB" sz="1100">
                  <a:solidFill>
                    <a:schemeClr val="tx1"/>
                  </a:solidFill>
                  <a:effectLst/>
                  <a:latin typeface="+mn-lt"/>
                  <a:ea typeface="+mn-ea"/>
                  <a:cs typeface="+mn-cs"/>
                </a:rPr>
                <a:t> </a:t>
              </a:r>
              <a:r>
                <a:rPr lang="en-GB" sz="1100" b="0" i="0">
                  <a:solidFill>
                    <a:schemeClr val="tx1"/>
                  </a:solidFill>
                  <a:effectLst/>
                  <a:latin typeface="+mn-lt"/>
                  <a:ea typeface="+mn-ea"/>
                  <a:cs typeface="+mn-cs"/>
                </a:rPr>
                <a:t>   The Gross Observed Volume (GOV) multiplied by the Volume Correction Factor (VCF). </a:t>
              </a:r>
            </a:p>
            <a:p>
              <a:pPr algn="l"/>
              <a:r>
                <a:rPr lang="en-GB" sz="1100" b="0" i="0">
                  <a:solidFill>
                    <a:schemeClr val="tx1"/>
                  </a:solidFill>
                  <a:effectLst/>
                  <a:latin typeface="+mn-lt"/>
                  <a:ea typeface="+mn-ea"/>
                  <a:cs typeface="+mn-cs"/>
                </a:rPr>
                <a:t>This may be either</a:t>
              </a:r>
              <a:r>
                <a:rPr lang="en-GB" sz="1100">
                  <a:solidFill>
                    <a:schemeClr val="tx1"/>
                  </a:solidFill>
                  <a:effectLst/>
                  <a:latin typeface="+mn-lt"/>
                  <a:ea typeface="+mn-ea"/>
                  <a:cs typeface="+mn-cs"/>
                </a:rPr>
                <a:t> </a:t>
              </a:r>
              <a:r>
                <a:rPr lang="en-GB" sz="1100" b="0" i="0">
                  <a:solidFill>
                    <a:schemeClr val="tx1"/>
                  </a:solidFill>
                  <a:effectLst/>
                  <a:latin typeface="+mn-lt"/>
                  <a:ea typeface="+mn-ea"/>
                  <a:cs typeface="+mn-cs"/>
                </a:rPr>
                <a:t> the volume in a tank or correction Factor (VCF). This may be either the volume in a tank or the</a:t>
              </a:r>
              <a:r>
                <a:rPr lang="en-GB" sz="1100">
                  <a:solidFill>
                    <a:schemeClr val="tx1"/>
                  </a:solidFill>
                  <a:effectLst/>
                  <a:latin typeface="+mn-lt"/>
                  <a:ea typeface="+mn-ea"/>
                  <a:cs typeface="+mn-cs"/>
                </a:rPr>
                <a:t> </a:t>
              </a:r>
              <a:r>
                <a:rPr lang="en-GB" sz="1100" b="0" i="0">
                  <a:solidFill>
                    <a:schemeClr val="tx1"/>
                  </a:solidFill>
                  <a:effectLst/>
                  <a:latin typeface="+mn-lt"/>
                  <a:ea typeface="+mn-ea"/>
                  <a:cs typeface="+mn-cs"/>
                </a:rPr>
                <a:t>difference between the volumes before and after a transfer</a:t>
              </a:r>
              <a:endParaRPr lang="en-GB" sz="1100" b="1" kern="1200"/>
            </a:p>
          </xdr:txBody>
        </xdr:sp>
      </xdr:grpSp>
    </xdr:grp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904874</xdr:colOff>
      <xdr:row>25</xdr:row>
      <xdr:rowOff>66674</xdr:rowOff>
    </xdr:from>
    <xdr:to>
      <xdr:col>1</xdr:col>
      <xdr:colOff>1552874</xdr:colOff>
      <xdr:row>27</xdr:row>
      <xdr:rowOff>181274</xdr:rowOff>
    </xdr:to>
    <xdr:pic>
      <xdr:nvPicPr>
        <xdr:cNvPr id="3" name="Рисунок 24">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60940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50272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5</xdr:col>
          <xdr:colOff>0</xdr:colOff>
          <xdr:row>20</xdr:row>
          <xdr:rowOff>9525</xdr:rowOff>
        </xdr:from>
        <xdr:to>
          <xdr:col>5</xdr:col>
          <xdr:colOff>747713</xdr:colOff>
          <xdr:row>20</xdr:row>
          <xdr:rowOff>228600</xdr:rowOff>
        </xdr:to>
        <xdr:sp macro="" textlink="">
          <xdr:nvSpPr>
            <xdr:cNvPr id="184326" name="Drop Down 6" hidden="1">
              <a:extLst>
                <a:ext uri="{63B3BB69-23CF-44E3-9099-C40C66FF867C}">
                  <a14:compatExt spid="_x0000_s184326"/>
                </a:ext>
                <a:ext uri="{FF2B5EF4-FFF2-40B4-BE49-F238E27FC236}">
                  <a16:creationId xmlns:a16="http://schemas.microsoft.com/office/drawing/2014/main" id="{00000000-0008-0000-1900-000006D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9525</xdr:rowOff>
        </xdr:from>
        <xdr:to>
          <xdr:col>5</xdr:col>
          <xdr:colOff>747713</xdr:colOff>
          <xdr:row>8</xdr:row>
          <xdr:rowOff>228600</xdr:rowOff>
        </xdr:to>
        <xdr:sp macro="" textlink="">
          <xdr:nvSpPr>
            <xdr:cNvPr id="184327" name="Drop Down 7" hidden="1">
              <a:extLst>
                <a:ext uri="{63B3BB69-23CF-44E3-9099-C40C66FF867C}">
                  <a14:compatExt spid="_x0000_s184327"/>
                </a:ext>
                <a:ext uri="{FF2B5EF4-FFF2-40B4-BE49-F238E27FC236}">
                  <a16:creationId xmlns:a16="http://schemas.microsoft.com/office/drawing/2014/main" id="{00000000-0008-0000-1900-000007D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5</xdr:col>
          <xdr:colOff>747713</xdr:colOff>
          <xdr:row>9</xdr:row>
          <xdr:rowOff>228600</xdr:rowOff>
        </xdr:to>
        <xdr:sp macro="" textlink="">
          <xdr:nvSpPr>
            <xdr:cNvPr id="184328" name="Drop Down 8" hidden="1">
              <a:extLst>
                <a:ext uri="{63B3BB69-23CF-44E3-9099-C40C66FF867C}">
                  <a14:compatExt spid="_x0000_s184328"/>
                </a:ext>
                <a:ext uri="{FF2B5EF4-FFF2-40B4-BE49-F238E27FC236}">
                  <a16:creationId xmlns:a16="http://schemas.microsoft.com/office/drawing/2014/main" id="{00000000-0008-0000-1900-000008D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xdr:row>
          <xdr:rowOff>9525</xdr:rowOff>
        </xdr:from>
        <xdr:to>
          <xdr:col>5</xdr:col>
          <xdr:colOff>747713</xdr:colOff>
          <xdr:row>10</xdr:row>
          <xdr:rowOff>228600</xdr:rowOff>
        </xdr:to>
        <xdr:sp macro="" textlink="">
          <xdr:nvSpPr>
            <xdr:cNvPr id="184329" name="Drop Down 9" hidden="1">
              <a:extLst>
                <a:ext uri="{63B3BB69-23CF-44E3-9099-C40C66FF867C}">
                  <a14:compatExt spid="_x0000_s184329"/>
                </a:ext>
                <a:ext uri="{FF2B5EF4-FFF2-40B4-BE49-F238E27FC236}">
                  <a16:creationId xmlns:a16="http://schemas.microsoft.com/office/drawing/2014/main" id="{00000000-0008-0000-1900-000009D0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50272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5</xdr:col>
          <xdr:colOff>138113</xdr:colOff>
          <xdr:row>3</xdr:row>
          <xdr:rowOff>252413</xdr:rowOff>
        </xdr:from>
        <xdr:to>
          <xdr:col>6</xdr:col>
          <xdr:colOff>61913</xdr:colOff>
          <xdr:row>5</xdr:row>
          <xdr:rowOff>23813</xdr:rowOff>
        </xdr:to>
        <xdr:sp macro="" textlink="">
          <xdr:nvSpPr>
            <xdr:cNvPr id="179201" name="Option Button 1" hidden="1">
              <a:extLst>
                <a:ext uri="{63B3BB69-23CF-44E3-9099-C40C66FF867C}">
                  <a14:compatExt spid="_x0000_s179201"/>
                </a:ext>
                <a:ext uri="{FF2B5EF4-FFF2-40B4-BE49-F238E27FC236}">
                  <a16:creationId xmlns:a16="http://schemas.microsoft.com/office/drawing/2014/main" id="{00000000-0008-0000-1A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M3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3</xdr:row>
          <xdr:rowOff>257175</xdr:rowOff>
        </xdr:from>
        <xdr:to>
          <xdr:col>7</xdr:col>
          <xdr:colOff>52388</xdr:colOff>
          <xdr:row>5</xdr:row>
          <xdr:rowOff>14288</xdr:rowOff>
        </xdr:to>
        <xdr:sp macro="" textlink="">
          <xdr:nvSpPr>
            <xdr:cNvPr id="179202" name="Option Button 2" hidden="1">
              <a:extLst>
                <a:ext uri="{63B3BB69-23CF-44E3-9099-C40C66FF867C}">
                  <a14:compatExt spid="_x0000_s179202"/>
                </a:ext>
                <a:ext uri="{FF2B5EF4-FFF2-40B4-BE49-F238E27FC236}">
                  <a16:creationId xmlns:a16="http://schemas.microsoft.com/office/drawing/2014/main" id="{00000000-0008-0000-1A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ru-RU" sz="800" b="0" i="0" u="none" strike="noStrike" baseline="0">
                  <a:solidFill>
                    <a:srgbClr val="000000"/>
                  </a:solidFill>
                  <a:latin typeface="Tahoma"/>
                  <a:ea typeface="Tahoma"/>
                  <a:cs typeface="Tahoma"/>
                </a:rPr>
                <a:t>Bbls</a:t>
              </a:r>
            </a:p>
          </xdr:txBody>
        </xdr:sp>
        <xdr:clientData/>
      </xdr:twoCellAnchor>
    </mc:Choice>
    <mc:Fallback/>
  </mc:AlternateContent>
</xdr:wsDr>
</file>

<file path=xl/drawings/drawing28.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47605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47605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47605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0</xdr:colOff>
          <xdr:row>25</xdr:row>
          <xdr:rowOff>138113</xdr:rowOff>
        </xdr:from>
        <xdr:to>
          <xdr:col>26</xdr:col>
          <xdr:colOff>76200</xdr:colOff>
          <xdr:row>27</xdr:row>
          <xdr:rowOff>0</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1E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23</xdr:row>
          <xdr:rowOff>138113</xdr:rowOff>
        </xdr:from>
        <xdr:to>
          <xdr:col>26</xdr:col>
          <xdr:colOff>76200</xdr:colOff>
          <xdr:row>25</xdr:row>
          <xdr:rowOff>0</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1E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21</xdr:row>
          <xdr:rowOff>138113</xdr:rowOff>
        </xdr:from>
        <xdr:to>
          <xdr:col>26</xdr:col>
          <xdr:colOff>76200</xdr:colOff>
          <xdr:row>23</xdr:row>
          <xdr:rowOff>0</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1E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609600</xdr:colOff>
          <xdr:row>25</xdr:row>
          <xdr:rowOff>123825</xdr:rowOff>
        </xdr:from>
        <xdr:to>
          <xdr:col>13</xdr:col>
          <xdr:colOff>1266825</xdr:colOff>
          <xdr:row>27</xdr:row>
          <xdr:rowOff>9525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1E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609600</xdr:colOff>
          <xdr:row>23</xdr:row>
          <xdr:rowOff>123825</xdr:rowOff>
        </xdr:from>
        <xdr:to>
          <xdr:col>13</xdr:col>
          <xdr:colOff>1266825</xdr:colOff>
          <xdr:row>25</xdr:row>
          <xdr:rowOff>9525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1E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609600</xdr:colOff>
          <xdr:row>21</xdr:row>
          <xdr:rowOff>123825</xdr:rowOff>
        </xdr:from>
        <xdr:to>
          <xdr:col>13</xdr:col>
          <xdr:colOff>1266825</xdr:colOff>
          <xdr:row>23</xdr:row>
          <xdr:rowOff>9525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1E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447675</xdr:colOff>
          <xdr:row>23</xdr:row>
          <xdr:rowOff>114300</xdr:rowOff>
        </xdr:from>
        <xdr:to>
          <xdr:col>29</xdr:col>
          <xdr:colOff>1204913</xdr:colOff>
          <xdr:row>25</xdr:row>
          <xdr:rowOff>0</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1E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447675</xdr:colOff>
          <xdr:row>25</xdr:row>
          <xdr:rowOff>114300</xdr:rowOff>
        </xdr:from>
        <xdr:to>
          <xdr:col>29</xdr:col>
          <xdr:colOff>1204913</xdr:colOff>
          <xdr:row>27</xdr:row>
          <xdr:rowOff>0</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1E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447675</xdr:colOff>
          <xdr:row>21</xdr:row>
          <xdr:rowOff>114300</xdr:rowOff>
        </xdr:from>
        <xdr:to>
          <xdr:col>29</xdr:col>
          <xdr:colOff>1204913</xdr:colOff>
          <xdr:row>23</xdr:row>
          <xdr:rowOff>0</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1E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304800</xdr:colOff>
          <xdr:row>25</xdr:row>
          <xdr:rowOff>123825</xdr:rowOff>
        </xdr:from>
        <xdr:to>
          <xdr:col>11</xdr:col>
          <xdr:colOff>771525</xdr:colOff>
          <xdr:row>27</xdr:row>
          <xdr:rowOff>9525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1E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304800</xdr:colOff>
          <xdr:row>23</xdr:row>
          <xdr:rowOff>123825</xdr:rowOff>
        </xdr:from>
        <xdr:to>
          <xdr:col>11</xdr:col>
          <xdr:colOff>771525</xdr:colOff>
          <xdr:row>25</xdr:row>
          <xdr:rowOff>9525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1E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304800</xdr:colOff>
          <xdr:row>21</xdr:row>
          <xdr:rowOff>123825</xdr:rowOff>
        </xdr:from>
        <xdr:to>
          <xdr:col>11</xdr:col>
          <xdr:colOff>771525</xdr:colOff>
          <xdr:row>23</xdr:row>
          <xdr:rowOff>9525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1E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581025</xdr:colOff>
          <xdr:row>23</xdr:row>
          <xdr:rowOff>114300</xdr:rowOff>
        </xdr:from>
        <xdr:to>
          <xdr:col>28</xdr:col>
          <xdr:colOff>1243013</xdr:colOff>
          <xdr:row>25</xdr:row>
          <xdr:rowOff>0</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1E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581025</xdr:colOff>
          <xdr:row>25</xdr:row>
          <xdr:rowOff>114300</xdr:rowOff>
        </xdr:from>
        <xdr:to>
          <xdr:col>28</xdr:col>
          <xdr:colOff>1243013</xdr:colOff>
          <xdr:row>27</xdr:row>
          <xdr:rowOff>0</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1E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581025</xdr:colOff>
          <xdr:row>21</xdr:row>
          <xdr:rowOff>114300</xdr:rowOff>
        </xdr:from>
        <xdr:to>
          <xdr:col>28</xdr:col>
          <xdr:colOff>1243013</xdr:colOff>
          <xdr:row>23</xdr:row>
          <xdr:rowOff>0</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1E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557213</xdr:colOff>
          <xdr:row>23</xdr:row>
          <xdr:rowOff>123825</xdr:rowOff>
        </xdr:from>
        <xdr:to>
          <xdr:col>27</xdr:col>
          <xdr:colOff>1204913</xdr:colOff>
          <xdr:row>25</xdr:row>
          <xdr:rowOff>9525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1E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557213</xdr:colOff>
          <xdr:row>25</xdr:row>
          <xdr:rowOff>123825</xdr:rowOff>
        </xdr:from>
        <xdr:to>
          <xdr:col>27</xdr:col>
          <xdr:colOff>1204913</xdr:colOff>
          <xdr:row>27</xdr:row>
          <xdr:rowOff>9525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1E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557213</xdr:colOff>
          <xdr:row>21</xdr:row>
          <xdr:rowOff>123825</xdr:rowOff>
        </xdr:from>
        <xdr:to>
          <xdr:col>27</xdr:col>
          <xdr:colOff>1204913</xdr:colOff>
          <xdr:row>23</xdr:row>
          <xdr:rowOff>9525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1E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595313</xdr:colOff>
          <xdr:row>25</xdr:row>
          <xdr:rowOff>123825</xdr:rowOff>
        </xdr:from>
        <xdr:to>
          <xdr:col>12</xdr:col>
          <xdr:colOff>1247775</xdr:colOff>
          <xdr:row>27</xdr:row>
          <xdr:rowOff>9525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1E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595313</xdr:colOff>
          <xdr:row>23</xdr:row>
          <xdr:rowOff>123825</xdr:rowOff>
        </xdr:from>
        <xdr:to>
          <xdr:col>12</xdr:col>
          <xdr:colOff>1247775</xdr:colOff>
          <xdr:row>25</xdr:row>
          <xdr:rowOff>9525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1E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595313</xdr:colOff>
          <xdr:row>21</xdr:row>
          <xdr:rowOff>123825</xdr:rowOff>
        </xdr:from>
        <xdr:to>
          <xdr:col>12</xdr:col>
          <xdr:colOff>1247775</xdr:colOff>
          <xdr:row>23</xdr:row>
          <xdr:rowOff>9525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1E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23813</xdr:colOff>
          <xdr:row>4</xdr:row>
          <xdr:rowOff>114300</xdr:rowOff>
        </xdr:from>
        <xdr:to>
          <xdr:col>22</xdr:col>
          <xdr:colOff>23813</xdr:colOff>
          <xdr:row>6</xdr:row>
          <xdr:rowOff>0</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1E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23813</xdr:colOff>
          <xdr:row>7</xdr:row>
          <xdr:rowOff>23813</xdr:rowOff>
        </xdr:from>
        <xdr:to>
          <xdr:col>23</xdr:col>
          <xdr:colOff>9525</xdr:colOff>
          <xdr:row>8</xdr:row>
          <xdr:rowOff>0</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1E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9</xdr:row>
          <xdr:rowOff>0</xdr:rowOff>
        </xdr:from>
        <xdr:to>
          <xdr:col>24</xdr:col>
          <xdr:colOff>100013</xdr:colOff>
          <xdr:row>10</xdr:row>
          <xdr:rowOff>0</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1E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771525</xdr:colOff>
          <xdr:row>4</xdr:row>
          <xdr:rowOff>128588</xdr:rowOff>
        </xdr:from>
        <xdr:to>
          <xdr:col>13</xdr:col>
          <xdr:colOff>457200</xdr:colOff>
          <xdr:row>6</xdr:row>
          <xdr:rowOff>14288</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1E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771525</xdr:colOff>
          <xdr:row>6</xdr:row>
          <xdr:rowOff>128588</xdr:rowOff>
        </xdr:from>
        <xdr:to>
          <xdr:col>13</xdr:col>
          <xdr:colOff>457200</xdr:colOff>
          <xdr:row>8</xdr:row>
          <xdr:rowOff>14288</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1E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771525</xdr:colOff>
          <xdr:row>8</xdr:row>
          <xdr:rowOff>128588</xdr:rowOff>
        </xdr:from>
        <xdr:to>
          <xdr:col>13</xdr:col>
          <xdr:colOff>457200</xdr:colOff>
          <xdr:row>10</xdr:row>
          <xdr:rowOff>14288</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1E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16</xdr:row>
          <xdr:rowOff>104775</xdr:rowOff>
        </xdr:from>
        <xdr:to>
          <xdr:col>10</xdr:col>
          <xdr:colOff>28575</xdr:colOff>
          <xdr:row>18</xdr:row>
          <xdr:rowOff>9525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1E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16</xdr:row>
          <xdr:rowOff>100013</xdr:rowOff>
        </xdr:from>
        <xdr:to>
          <xdr:col>8</xdr:col>
          <xdr:colOff>28575</xdr:colOff>
          <xdr:row>18</xdr:row>
          <xdr:rowOff>0</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1E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100013</xdr:rowOff>
        </xdr:from>
        <xdr:to>
          <xdr:col>6</xdr:col>
          <xdr:colOff>28575</xdr:colOff>
          <xdr:row>18</xdr:row>
          <xdr:rowOff>0</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1E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66675</xdr:colOff>
          <xdr:row>5</xdr:row>
          <xdr:rowOff>100013</xdr:rowOff>
        </xdr:from>
        <xdr:to>
          <xdr:col>22</xdr:col>
          <xdr:colOff>28575</xdr:colOff>
          <xdr:row>7</xdr:row>
          <xdr:rowOff>0</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1E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66675</xdr:colOff>
          <xdr:row>5</xdr:row>
          <xdr:rowOff>100013</xdr:rowOff>
        </xdr:from>
        <xdr:to>
          <xdr:col>24</xdr:col>
          <xdr:colOff>28575</xdr:colOff>
          <xdr:row>7</xdr:row>
          <xdr:rowOff>0</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1E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66675</xdr:colOff>
          <xdr:row>5</xdr:row>
          <xdr:rowOff>100013</xdr:rowOff>
        </xdr:from>
        <xdr:to>
          <xdr:col>26</xdr:col>
          <xdr:colOff>28575</xdr:colOff>
          <xdr:row>7</xdr:row>
          <xdr:rowOff>0</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1E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editAs="oneCell">
    <xdr:from>
      <xdr:col>1</xdr:col>
      <xdr:colOff>904874</xdr:colOff>
      <xdr:row>44</xdr:row>
      <xdr:rowOff>66674</xdr:rowOff>
    </xdr:from>
    <xdr:to>
      <xdr:col>1</xdr:col>
      <xdr:colOff>1552874</xdr:colOff>
      <xdr:row>46</xdr:row>
      <xdr:rowOff>181274</xdr:rowOff>
    </xdr:to>
    <xdr:pic>
      <xdr:nvPicPr>
        <xdr:cNvPr id="6" name="Рисунок 24">
          <a:extLst>
            <a:ext uri="{FF2B5EF4-FFF2-40B4-BE49-F238E27FC236}">
              <a16:creationId xmlns:a16="http://schemas.microsoft.com/office/drawing/2014/main" id="{00000000-0008-0000-1E00-000006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66274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63607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464820</xdr:colOff>
      <xdr:row>24</xdr:row>
      <xdr:rowOff>60960</xdr:rowOff>
    </xdr:from>
    <xdr:to>
      <xdr:col>6</xdr:col>
      <xdr:colOff>2453640</xdr:colOff>
      <xdr:row>31</xdr:row>
      <xdr:rowOff>160020</xdr:rowOff>
    </xdr:to>
    <xdr:grpSp>
      <xdr:nvGrpSpPr>
        <xdr:cNvPr id="3" name="Group 33">
          <a:extLst>
            <a:ext uri="{FF2B5EF4-FFF2-40B4-BE49-F238E27FC236}">
              <a16:creationId xmlns:a16="http://schemas.microsoft.com/office/drawing/2014/main" id="{00000000-0008-0000-1F00-000003000000}"/>
            </a:ext>
          </a:extLst>
        </xdr:cNvPr>
        <xdr:cNvGrpSpPr>
          <a:grpSpLocks/>
        </xdr:cNvGrpSpPr>
      </xdr:nvGrpSpPr>
      <xdr:grpSpPr bwMode="auto">
        <a:xfrm>
          <a:off x="3536633" y="6356985"/>
          <a:ext cx="3293745" cy="1965960"/>
          <a:chOff x="86" y="436"/>
          <a:chExt cx="332" cy="199"/>
        </a:xfrm>
      </xdr:grpSpPr>
      <xdr:sp macro="" textlink="">
        <xdr:nvSpPr>
          <xdr:cNvPr id="4" name="Rectangle 5">
            <a:extLst>
              <a:ext uri="{FF2B5EF4-FFF2-40B4-BE49-F238E27FC236}">
                <a16:creationId xmlns:a16="http://schemas.microsoft.com/office/drawing/2014/main" id="{00000000-0008-0000-1F00-000004000000}"/>
              </a:ext>
            </a:extLst>
          </xdr:cNvPr>
          <xdr:cNvSpPr>
            <a:spLocks noChangeArrowheads="1"/>
          </xdr:cNvSpPr>
        </xdr:nvSpPr>
        <xdr:spPr bwMode="auto">
          <a:xfrm>
            <a:off x="142" y="436"/>
            <a:ext cx="8" cy="1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3">
            <a:extLst>
              <a:ext uri="{FF2B5EF4-FFF2-40B4-BE49-F238E27FC236}">
                <a16:creationId xmlns:a16="http://schemas.microsoft.com/office/drawing/2014/main" id="{00000000-0008-0000-1F00-000005000000}"/>
              </a:ext>
            </a:extLst>
          </xdr:cNvPr>
          <xdr:cNvSpPr>
            <a:spLocks noChangeArrowheads="1"/>
          </xdr:cNvSpPr>
        </xdr:nvSpPr>
        <xdr:spPr bwMode="auto">
          <a:xfrm>
            <a:off x="86" y="452"/>
            <a:ext cx="331" cy="183"/>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6" name="Line 4">
            <a:extLst>
              <a:ext uri="{FF2B5EF4-FFF2-40B4-BE49-F238E27FC236}">
                <a16:creationId xmlns:a16="http://schemas.microsoft.com/office/drawing/2014/main" id="{00000000-0008-0000-1F00-000006000000}"/>
              </a:ext>
            </a:extLst>
          </xdr:cNvPr>
          <xdr:cNvSpPr>
            <a:spLocks noChangeShapeType="1"/>
          </xdr:cNvSpPr>
        </xdr:nvSpPr>
        <xdr:spPr bwMode="auto">
          <a:xfrm>
            <a:off x="86" y="610"/>
            <a:ext cx="33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1F00-000007000000}"/>
              </a:ext>
            </a:extLst>
          </xdr:cNvPr>
          <xdr:cNvSpPr>
            <a:spLocks noChangeShapeType="1"/>
          </xdr:cNvSpPr>
        </xdr:nvSpPr>
        <xdr:spPr bwMode="auto">
          <a:xfrm>
            <a:off x="146" y="450"/>
            <a:ext cx="0" cy="41"/>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1F00-000008000000}"/>
              </a:ext>
            </a:extLst>
          </xdr:cNvPr>
          <xdr:cNvSpPr>
            <a:spLocks noChangeShapeType="1"/>
          </xdr:cNvSpPr>
        </xdr:nvSpPr>
        <xdr:spPr bwMode="auto">
          <a:xfrm>
            <a:off x="87" y="486"/>
            <a:ext cx="59" cy="0"/>
          </a:xfrm>
          <a:prstGeom prst="line">
            <a:avLst/>
          </a:prstGeom>
          <a:noFill/>
          <a:ln w="6350">
            <a:solidFill>
              <a:srgbClr val="000000"/>
            </a:solidFill>
            <a:round/>
            <a:headEnd type="arrow" w="med" len="med"/>
            <a:tailEnd type="arrow" w="med" len="med"/>
          </a:ln>
          <a:extLst>
            <a:ext uri="{909E8E84-426E-40DD-AFC4-6F175D3DCCD1}">
              <a14:hiddenFill xmlns:a14="http://schemas.microsoft.com/office/drawing/2010/main">
                <a:noFill/>
              </a14:hiddenFill>
            </a:ext>
          </a:extLst>
        </xdr:spPr>
      </xdr:sp>
      <xdr:sp macro="" textlink="">
        <xdr:nvSpPr>
          <xdr:cNvPr id="9" name="Text Box 8">
            <a:extLst>
              <a:ext uri="{FF2B5EF4-FFF2-40B4-BE49-F238E27FC236}">
                <a16:creationId xmlns:a16="http://schemas.microsoft.com/office/drawing/2014/main" id="{00000000-0008-0000-1F00-000009000000}"/>
              </a:ext>
            </a:extLst>
          </xdr:cNvPr>
          <xdr:cNvSpPr txBox="1">
            <a:spLocks noChangeArrowheads="1"/>
          </xdr:cNvSpPr>
        </xdr:nvSpPr>
        <xdr:spPr bwMode="auto">
          <a:xfrm>
            <a:off x="109" y="468"/>
            <a:ext cx="10" cy="19"/>
          </a:xfrm>
          <a:prstGeom prst="rect">
            <a:avLst/>
          </a:prstGeom>
          <a:noFill/>
          <a:ln w="9525">
            <a:noFill/>
            <a:miter lim="800000"/>
            <a:headEnd/>
            <a:tailEnd/>
          </a:ln>
        </xdr:spPr>
        <xdr:txBody>
          <a:bodyPr wrap="none" lIns="18288" tIns="22860" rIns="0" bIns="0" anchor="t" upright="1">
            <a:spAutoFit/>
          </a:bodyPr>
          <a:lstStyle/>
          <a:p>
            <a:pPr algn="l" rtl="1">
              <a:defRPr sz="1000"/>
            </a:pPr>
            <a:r>
              <a:rPr lang="en-SG" sz="1000" b="0" i="0" strike="noStrike">
                <a:solidFill>
                  <a:srgbClr val="000000"/>
                </a:solidFill>
                <a:latin typeface="Arial Cyr"/>
              </a:rPr>
              <a:t>Y</a:t>
            </a:r>
          </a:p>
        </xdr:txBody>
      </xdr:sp>
      <xdr:sp macro="" textlink="">
        <xdr:nvSpPr>
          <xdr:cNvPr id="10" name="Line 9">
            <a:extLst>
              <a:ext uri="{FF2B5EF4-FFF2-40B4-BE49-F238E27FC236}">
                <a16:creationId xmlns:a16="http://schemas.microsoft.com/office/drawing/2014/main" id="{00000000-0008-0000-1F00-00000A000000}"/>
              </a:ext>
            </a:extLst>
          </xdr:cNvPr>
          <xdr:cNvSpPr>
            <a:spLocks noChangeShapeType="1"/>
          </xdr:cNvSpPr>
        </xdr:nvSpPr>
        <xdr:spPr bwMode="auto">
          <a:xfrm>
            <a:off x="86" y="591"/>
            <a:ext cx="332" cy="0"/>
          </a:xfrm>
          <a:prstGeom prst="line">
            <a:avLst/>
          </a:prstGeom>
          <a:noFill/>
          <a:ln w="6350">
            <a:solidFill>
              <a:srgbClr val="000000"/>
            </a:solidFill>
            <a:round/>
            <a:headEnd type="arrow" w="med" len="med"/>
            <a:tailEnd type="arrow" w="med" len="med"/>
          </a:ln>
          <a:extLst>
            <a:ext uri="{909E8E84-426E-40DD-AFC4-6F175D3DCCD1}">
              <a14:hiddenFill xmlns:a14="http://schemas.microsoft.com/office/drawing/2010/main">
                <a:noFill/>
              </a14:hiddenFill>
            </a:ext>
          </a:extLst>
        </xdr:spPr>
      </xdr:sp>
      <xdr:sp macro="" textlink="">
        <xdr:nvSpPr>
          <xdr:cNvPr id="11" name="Text Box 10">
            <a:extLst>
              <a:ext uri="{FF2B5EF4-FFF2-40B4-BE49-F238E27FC236}">
                <a16:creationId xmlns:a16="http://schemas.microsoft.com/office/drawing/2014/main" id="{00000000-0008-0000-1F00-00000B000000}"/>
              </a:ext>
            </a:extLst>
          </xdr:cNvPr>
          <xdr:cNvSpPr txBox="1">
            <a:spLocks noChangeArrowheads="1"/>
          </xdr:cNvSpPr>
        </xdr:nvSpPr>
        <xdr:spPr bwMode="auto">
          <a:xfrm>
            <a:off x="228" y="572"/>
            <a:ext cx="9" cy="19"/>
          </a:xfrm>
          <a:prstGeom prst="rect">
            <a:avLst/>
          </a:prstGeom>
          <a:noFill/>
          <a:ln w="9525">
            <a:noFill/>
            <a:miter lim="800000"/>
            <a:headEnd/>
            <a:tailEnd/>
          </a:ln>
        </xdr:spPr>
        <xdr:txBody>
          <a:bodyPr wrap="none" lIns="18288" tIns="22860" rIns="0" bIns="0" anchor="t" upright="1">
            <a:spAutoFit/>
          </a:bodyPr>
          <a:lstStyle/>
          <a:p>
            <a:pPr algn="l" rtl="1">
              <a:defRPr sz="1000"/>
            </a:pPr>
            <a:r>
              <a:rPr lang="en-SG" sz="1000" b="0" i="0" strike="noStrike">
                <a:solidFill>
                  <a:srgbClr val="000000"/>
                </a:solidFill>
                <a:latin typeface="Arial Cyr"/>
              </a:rPr>
              <a:t>L</a:t>
            </a:r>
          </a:p>
        </xdr:txBody>
      </xdr:sp>
      <xdr:sp macro="" textlink="">
        <xdr:nvSpPr>
          <xdr:cNvPr id="12" name="Freeform 11">
            <a:extLst>
              <a:ext uri="{FF2B5EF4-FFF2-40B4-BE49-F238E27FC236}">
                <a16:creationId xmlns:a16="http://schemas.microsoft.com/office/drawing/2014/main" id="{00000000-0008-0000-1F00-00000C000000}"/>
              </a:ext>
            </a:extLst>
          </xdr:cNvPr>
          <xdr:cNvSpPr>
            <a:spLocks/>
          </xdr:cNvSpPr>
        </xdr:nvSpPr>
        <xdr:spPr bwMode="auto">
          <a:xfrm>
            <a:off x="459" y="447"/>
            <a:ext cx="366" cy="168"/>
          </a:xfrm>
          <a:custGeom>
            <a:avLst/>
            <a:gdLst>
              <a:gd name="T0" fmla="*/ 366 w 366"/>
              <a:gd name="T1" fmla="*/ 168 h 168"/>
              <a:gd name="T2" fmla="*/ 366 w 366"/>
              <a:gd name="T3" fmla="*/ 6 h 168"/>
              <a:gd name="T4" fmla="*/ 244 w 366"/>
              <a:gd name="T5" fmla="*/ 0 h 168"/>
              <a:gd name="T6" fmla="*/ 123 w 366"/>
              <a:gd name="T7" fmla="*/ 0 h 168"/>
              <a:gd name="T8" fmla="*/ 1 w 366"/>
              <a:gd name="T9" fmla="*/ 6 h 168"/>
              <a:gd name="T10" fmla="*/ 0 w 366"/>
              <a:gd name="T11" fmla="*/ 168 h 168"/>
              <a:gd name="T12" fmla="*/ 0 60000 65536"/>
              <a:gd name="T13" fmla="*/ 0 60000 65536"/>
              <a:gd name="T14" fmla="*/ 0 60000 65536"/>
              <a:gd name="T15" fmla="*/ 0 60000 65536"/>
              <a:gd name="T16" fmla="*/ 0 60000 65536"/>
              <a:gd name="T17" fmla="*/ 0 60000 65536"/>
              <a:gd name="T18" fmla="*/ 0 w 366"/>
              <a:gd name="T19" fmla="*/ 0 h 168"/>
              <a:gd name="T20" fmla="*/ 366 w 366"/>
              <a:gd name="T21" fmla="*/ 168 h 168"/>
            </a:gdLst>
            <a:ahLst/>
            <a:cxnLst>
              <a:cxn ang="T12">
                <a:pos x="T0" y="T1"/>
              </a:cxn>
              <a:cxn ang="T13">
                <a:pos x="T2" y="T3"/>
              </a:cxn>
              <a:cxn ang="T14">
                <a:pos x="T4" y="T5"/>
              </a:cxn>
              <a:cxn ang="T15">
                <a:pos x="T6" y="T7"/>
              </a:cxn>
              <a:cxn ang="T16">
                <a:pos x="T8" y="T9"/>
              </a:cxn>
              <a:cxn ang="T17">
                <a:pos x="T10" y="T11"/>
              </a:cxn>
            </a:cxnLst>
            <a:rect l="T18" t="T19" r="T20" b="T21"/>
            <a:pathLst>
              <a:path w="366" h="168">
                <a:moveTo>
                  <a:pt x="366" y="168"/>
                </a:moveTo>
                <a:lnTo>
                  <a:pt x="366" y="6"/>
                </a:lnTo>
                <a:lnTo>
                  <a:pt x="244" y="0"/>
                </a:lnTo>
                <a:lnTo>
                  <a:pt x="123" y="0"/>
                </a:lnTo>
                <a:lnTo>
                  <a:pt x="1" y="6"/>
                </a:lnTo>
                <a:lnTo>
                  <a:pt x="0" y="168"/>
                </a:lnTo>
              </a:path>
            </a:pathLst>
          </a:custGeom>
          <a:noFill/>
          <a:ln w="19050">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3" name="Freeform 12">
            <a:extLst>
              <a:ext uri="{FF2B5EF4-FFF2-40B4-BE49-F238E27FC236}">
                <a16:creationId xmlns:a16="http://schemas.microsoft.com/office/drawing/2014/main" id="{00000000-0008-0000-1F00-00000D000000}"/>
              </a:ext>
            </a:extLst>
          </xdr:cNvPr>
          <xdr:cNvSpPr>
            <a:spLocks/>
          </xdr:cNvSpPr>
        </xdr:nvSpPr>
        <xdr:spPr bwMode="auto">
          <a:xfrm>
            <a:off x="492" y="451"/>
            <a:ext cx="304" cy="159"/>
          </a:xfrm>
          <a:custGeom>
            <a:avLst/>
            <a:gdLst>
              <a:gd name="T0" fmla="*/ 0 w 304"/>
              <a:gd name="T1" fmla="*/ 0 h 159"/>
              <a:gd name="T2" fmla="*/ 0 w 304"/>
              <a:gd name="T3" fmla="*/ 133 h 159"/>
              <a:gd name="T4" fmla="*/ 29 w 304"/>
              <a:gd name="T5" fmla="*/ 159 h 159"/>
              <a:gd name="T6" fmla="*/ 272 w 304"/>
              <a:gd name="T7" fmla="*/ 159 h 159"/>
              <a:gd name="T8" fmla="*/ 304 w 304"/>
              <a:gd name="T9" fmla="*/ 133 h 159"/>
              <a:gd name="T10" fmla="*/ 304 w 304"/>
              <a:gd name="T11" fmla="*/ 0 h 159"/>
              <a:gd name="T12" fmla="*/ 0 60000 65536"/>
              <a:gd name="T13" fmla="*/ 0 60000 65536"/>
              <a:gd name="T14" fmla="*/ 0 60000 65536"/>
              <a:gd name="T15" fmla="*/ 0 60000 65536"/>
              <a:gd name="T16" fmla="*/ 0 60000 65536"/>
              <a:gd name="T17" fmla="*/ 0 60000 65536"/>
              <a:gd name="T18" fmla="*/ 0 w 304"/>
              <a:gd name="T19" fmla="*/ 0 h 159"/>
              <a:gd name="T20" fmla="*/ 304 w 304"/>
              <a:gd name="T21" fmla="*/ 159 h 159"/>
            </a:gdLst>
            <a:ahLst/>
            <a:cxnLst>
              <a:cxn ang="T12">
                <a:pos x="T0" y="T1"/>
              </a:cxn>
              <a:cxn ang="T13">
                <a:pos x="T2" y="T3"/>
              </a:cxn>
              <a:cxn ang="T14">
                <a:pos x="T4" y="T5"/>
              </a:cxn>
              <a:cxn ang="T15">
                <a:pos x="T6" y="T7"/>
              </a:cxn>
              <a:cxn ang="T16">
                <a:pos x="T8" y="T9"/>
              </a:cxn>
              <a:cxn ang="T17">
                <a:pos x="T10" y="T11"/>
              </a:cxn>
            </a:cxnLst>
            <a:rect l="T18" t="T19" r="T20" b="T21"/>
            <a:pathLst>
              <a:path w="304" h="159">
                <a:moveTo>
                  <a:pt x="0" y="0"/>
                </a:moveTo>
                <a:lnTo>
                  <a:pt x="0" y="133"/>
                </a:lnTo>
                <a:lnTo>
                  <a:pt x="29" y="159"/>
                </a:lnTo>
                <a:lnTo>
                  <a:pt x="272" y="159"/>
                </a:lnTo>
                <a:lnTo>
                  <a:pt x="304" y="133"/>
                </a:lnTo>
                <a:lnTo>
                  <a:pt x="304" y="0"/>
                </a:lnTo>
              </a:path>
            </a:pathLst>
          </a:custGeom>
          <a:noFill/>
          <a:ln w="19050">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4" name="Line 13">
            <a:extLst>
              <a:ext uri="{FF2B5EF4-FFF2-40B4-BE49-F238E27FC236}">
                <a16:creationId xmlns:a16="http://schemas.microsoft.com/office/drawing/2014/main" id="{00000000-0008-0000-1F00-00000E000000}"/>
              </a:ext>
            </a:extLst>
          </xdr:cNvPr>
          <xdr:cNvSpPr>
            <a:spLocks noChangeShapeType="1"/>
          </xdr:cNvSpPr>
        </xdr:nvSpPr>
        <xdr:spPr bwMode="auto">
          <a:xfrm>
            <a:off x="581" y="447"/>
            <a:ext cx="0" cy="163"/>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14">
            <a:extLst>
              <a:ext uri="{FF2B5EF4-FFF2-40B4-BE49-F238E27FC236}">
                <a16:creationId xmlns:a16="http://schemas.microsoft.com/office/drawing/2014/main" id="{00000000-0008-0000-1F00-00000F000000}"/>
              </a:ext>
            </a:extLst>
          </xdr:cNvPr>
          <xdr:cNvSpPr>
            <a:spLocks noChangeShapeType="1"/>
          </xdr:cNvSpPr>
        </xdr:nvSpPr>
        <xdr:spPr bwMode="auto">
          <a:xfrm>
            <a:off x="703" y="448"/>
            <a:ext cx="0" cy="16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15">
            <a:extLst>
              <a:ext uri="{FF2B5EF4-FFF2-40B4-BE49-F238E27FC236}">
                <a16:creationId xmlns:a16="http://schemas.microsoft.com/office/drawing/2014/main" id="{00000000-0008-0000-1F00-000010000000}"/>
              </a:ext>
            </a:extLst>
          </xdr:cNvPr>
          <xdr:cNvSpPr>
            <a:spLocks noChangeShapeType="1"/>
          </xdr:cNvSpPr>
        </xdr:nvSpPr>
        <xdr:spPr bwMode="auto">
          <a:xfrm>
            <a:off x="642" y="610"/>
            <a:ext cx="0" cy="24"/>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8">
            <a:extLst>
              <a:ext uri="{FF2B5EF4-FFF2-40B4-BE49-F238E27FC236}">
                <a16:creationId xmlns:a16="http://schemas.microsoft.com/office/drawing/2014/main" id="{00000000-0008-0000-1F00-000011000000}"/>
              </a:ext>
            </a:extLst>
          </xdr:cNvPr>
          <xdr:cNvSpPr>
            <a:spLocks noChangeShapeType="1"/>
          </xdr:cNvSpPr>
        </xdr:nvSpPr>
        <xdr:spPr bwMode="auto">
          <a:xfrm>
            <a:off x="483" y="635"/>
            <a:ext cx="318"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Arc 19">
            <a:extLst>
              <a:ext uri="{FF2B5EF4-FFF2-40B4-BE49-F238E27FC236}">
                <a16:creationId xmlns:a16="http://schemas.microsoft.com/office/drawing/2014/main" id="{00000000-0008-0000-1F00-000012000000}"/>
              </a:ext>
            </a:extLst>
          </xdr:cNvPr>
          <xdr:cNvSpPr>
            <a:spLocks/>
          </xdr:cNvSpPr>
        </xdr:nvSpPr>
        <xdr:spPr bwMode="auto">
          <a:xfrm flipH="1" flipV="1">
            <a:off x="459" y="614"/>
            <a:ext cx="24" cy="2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19050">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9" name="Arc 20">
            <a:extLst>
              <a:ext uri="{FF2B5EF4-FFF2-40B4-BE49-F238E27FC236}">
                <a16:creationId xmlns:a16="http://schemas.microsoft.com/office/drawing/2014/main" id="{00000000-0008-0000-1F00-000013000000}"/>
              </a:ext>
            </a:extLst>
          </xdr:cNvPr>
          <xdr:cNvSpPr>
            <a:spLocks/>
          </xdr:cNvSpPr>
        </xdr:nvSpPr>
        <xdr:spPr bwMode="auto">
          <a:xfrm flipV="1">
            <a:off x="801" y="614"/>
            <a:ext cx="24" cy="2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19050">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0" name="Rectangle 21">
            <a:extLst>
              <a:ext uri="{FF2B5EF4-FFF2-40B4-BE49-F238E27FC236}">
                <a16:creationId xmlns:a16="http://schemas.microsoft.com/office/drawing/2014/main" id="{00000000-0008-0000-1F00-000014000000}"/>
              </a:ext>
            </a:extLst>
          </xdr:cNvPr>
          <xdr:cNvSpPr>
            <a:spLocks noChangeArrowheads="1"/>
          </xdr:cNvSpPr>
        </xdr:nvSpPr>
        <xdr:spPr bwMode="auto">
          <a:xfrm>
            <a:off x="533" y="433"/>
            <a:ext cx="8" cy="1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1" name="Rectangle 22">
            <a:extLst>
              <a:ext uri="{FF2B5EF4-FFF2-40B4-BE49-F238E27FC236}">
                <a16:creationId xmlns:a16="http://schemas.microsoft.com/office/drawing/2014/main" id="{00000000-0008-0000-1F00-000015000000}"/>
              </a:ext>
            </a:extLst>
          </xdr:cNvPr>
          <xdr:cNvSpPr>
            <a:spLocks noChangeArrowheads="1"/>
          </xdr:cNvSpPr>
        </xdr:nvSpPr>
        <xdr:spPr bwMode="auto">
          <a:xfrm>
            <a:off x="638" y="431"/>
            <a:ext cx="8" cy="1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2" name="Rectangle 23">
            <a:extLst>
              <a:ext uri="{FF2B5EF4-FFF2-40B4-BE49-F238E27FC236}">
                <a16:creationId xmlns:a16="http://schemas.microsoft.com/office/drawing/2014/main" id="{00000000-0008-0000-1F00-000016000000}"/>
              </a:ext>
            </a:extLst>
          </xdr:cNvPr>
          <xdr:cNvSpPr>
            <a:spLocks noChangeArrowheads="1"/>
          </xdr:cNvSpPr>
        </xdr:nvSpPr>
        <xdr:spPr bwMode="auto">
          <a:xfrm>
            <a:off x="745" y="433"/>
            <a:ext cx="8" cy="16"/>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3" name="Line 24">
            <a:extLst>
              <a:ext uri="{FF2B5EF4-FFF2-40B4-BE49-F238E27FC236}">
                <a16:creationId xmlns:a16="http://schemas.microsoft.com/office/drawing/2014/main" id="{00000000-0008-0000-1F00-000017000000}"/>
              </a:ext>
            </a:extLst>
          </xdr:cNvPr>
          <xdr:cNvSpPr>
            <a:spLocks noChangeShapeType="1"/>
          </xdr:cNvSpPr>
        </xdr:nvSpPr>
        <xdr:spPr bwMode="auto">
          <a:xfrm>
            <a:off x="749" y="449"/>
            <a:ext cx="0" cy="160"/>
          </a:xfrm>
          <a:prstGeom prst="line">
            <a:avLst/>
          </a:prstGeom>
          <a:noFill/>
          <a:ln w="6350">
            <a:solidFill>
              <a:srgbClr val="000000"/>
            </a:solidFill>
            <a:round/>
            <a:headEnd type="arrow" w="med" len="med"/>
            <a:tailEnd type="arrow" w="med" len="med"/>
          </a:ln>
          <a:extLst>
            <a:ext uri="{909E8E84-426E-40DD-AFC4-6F175D3DCCD1}">
              <a14:hiddenFill xmlns:a14="http://schemas.microsoft.com/office/drawing/2010/main">
                <a:noFill/>
              </a14:hiddenFill>
            </a:ext>
          </a:extLst>
        </xdr:spPr>
      </xdr:sp>
      <xdr:sp macro="" textlink="">
        <xdr:nvSpPr>
          <xdr:cNvPr id="24" name="Line 26">
            <a:extLst>
              <a:ext uri="{FF2B5EF4-FFF2-40B4-BE49-F238E27FC236}">
                <a16:creationId xmlns:a16="http://schemas.microsoft.com/office/drawing/2014/main" id="{00000000-0008-0000-1F00-000018000000}"/>
              </a:ext>
            </a:extLst>
          </xdr:cNvPr>
          <xdr:cNvSpPr>
            <a:spLocks noChangeShapeType="1"/>
          </xdr:cNvSpPr>
        </xdr:nvSpPr>
        <xdr:spPr bwMode="auto">
          <a:xfrm>
            <a:off x="521" y="569"/>
            <a:ext cx="0" cy="41"/>
          </a:xfrm>
          <a:prstGeom prst="line">
            <a:avLst/>
          </a:prstGeom>
          <a:noFill/>
          <a:ln w="63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7">
            <a:extLst>
              <a:ext uri="{FF2B5EF4-FFF2-40B4-BE49-F238E27FC236}">
                <a16:creationId xmlns:a16="http://schemas.microsoft.com/office/drawing/2014/main" id="{00000000-0008-0000-1F00-000019000000}"/>
              </a:ext>
            </a:extLst>
          </xdr:cNvPr>
          <xdr:cNvSpPr>
            <a:spLocks noChangeShapeType="1"/>
          </xdr:cNvSpPr>
        </xdr:nvSpPr>
        <xdr:spPr bwMode="auto">
          <a:xfrm>
            <a:off x="520" y="585"/>
            <a:ext cx="60" cy="0"/>
          </a:xfrm>
          <a:prstGeom prst="line">
            <a:avLst/>
          </a:prstGeom>
          <a:noFill/>
          <a:ln w="6350">
            <a:solidFill>
              <a:srgbClr val="000000"/>
            </a:solidFill>
            <a:round/>
            <a:headEnd type="arrow" w="med" len="med"/>
            <a:tailEnd type="arrow" w="med" len="med"/>
          </a:ln>
          <a:extLst>
            <a:ext uri="{909E8E84-426E-40DD-AFC4-6F175D3DCCD1}">
              <a14:hiddenFill xmlns:a14="http://schemas.microsoft.com/office/drawing/2010/main">
                <a:noFill/>
              </a14:hiddenFill>
            </a:ext>
          </a:extLst>
        </xdr:spPr>
      </xdr:sp>
      <xdr:sp macro="" textlink="">
        <xdr:nvSpPr>
          <xdr:cNvPr id="26" name="Line 28">
            <a:extLst>
              <a:ext uri="{FF2B5EF4-FFF2-40B4-BE49-F238E27FC236}">
                <a16:creationId xmlns:a16="http://schemas.microsoft.com/office/drawing/2014/main" id="{00000000-0008-0000-1F00-00001A000000}"/>
              </a:ext>
            </a:extLst>
          </xdr:cNvPr>
          <xdr:cNvSpPr>
            <a:spLocks noChangeShapeType="1"/>
          </xdr:cNvSpPr>
        </xdr:nvSpPr>
        <xdr:spPr bwMode="auto">
          <a:xfrm>
            <a:off x="581" y="585"/>
            <a:ext cx="122" cy="0"/>
          </a:xfrm>
          <a:prstGeom prst="line">
            <a:avLst/>
          </a:prstGeom>
          <a:noFill/>
          <a:ln w="6350">
            <a:solidFill>
              <a:srgbClr val="000000"/>
            </a:solidFill>
            <a:round/>
            <a:headEnd type="arrow" w="med" len="med"/>
            <a:tailEnd type="arrow" w="med" len="med"/>
          </a:ln>
          <a:extLst>
            <a:ext uri="{909E8E84-426E-40DD-AFC4-6F175D3DCCD1}">
              <a14:hiddenFill xmlns:a14="http://schemas.microsoft.com/office/drawing/2010/main">
                <a:noFill/>
              </a14:hiddenFill>
            </a:ext>
          </a:extLst>
        </xdr:spPr>
      </xdr:sp>
      <xdr:sp macro="" textlink="">
        <xdr:nvSpPr>
          <xdr:cNvPr id="27" name="Text Box 29">
            <a:extLst>
              <a:ext uri="{FF2B5EF4-FFF2-40B4-BE49-F238E27FC236}">
                <a16:creationId xmlns:a16="http://schemas.microsoft.com/office/drawing/2014/main" id="{00000000-0008-0000-1F00-00001B000000}"/>
              </a:ext>
            </a:extLst>
          </xdr:cNvPr>
          <xdr:cNvSpPr txBox="1">
            <a:spLocks noChangeArrowheads="1"/>
          </xdr:cNvSpPr>
        </xdr:nvSpPr>
        <xdr:spPr bwMode="auto">
          <a:xfrm>
            <a:off x="632" y="565"/>
            <a:ext cx="15" cy="19"/>
          </a:xfrm>
          <a:prstGeom prst="rect">
            <a:avLst/>
          </a:prstGeom>
          <a:noFill/>
          <a:ln w="9525">
            <a:noFill/>
            <a:miter lim="800000"/>
            <a:headEnd/>
            <a:tailEnd/>
          </a:ln>
        </xdr:spPr>
        <xdr:txBody>
          <a:bodyPr wrap="none" lIns="18288" tIns="22860" rIns="0" bIns="0" anchor="t" upright="1">
            <a:spAutoFit/>
          </a:bodyPr>
          <a:lstStyle/>
          <a:p>
            <a:pPr algn="l" rtl="1">
              <a:defRPr sz="1000"/>
            </a:pPr>
            <a:r>
              <a:rPr lang="en-SG" sz="1000" b="0" i="0" strike="noStrike">
                <a:solidFill>
                  <a:srgbClr val="000000"/>
                </a:solidFill>
                <a:latin typeface="Arial Cyr"/>
              </a:rPr>
              <a:t>W</a:t>
            </a:r>
          </a:p>
        </xdr:txBody>
      </xdr:sp>
      <xdr:sp macro="" textlink="">
        <xdr:nvSpPr>
          <xdr:cNvPr id="28" name="Text Box 30">
            <a:extLst>
              <a:ext uri="{FF2B5EF4-FFF2-40B4-BE49-F238E27FC236}">
                <a16:creationId xmlns:a16="http://schemas.microsoft.com/office/drawing/2014/main" id="{00000000-0008-0000-1F00-00001C000000}"/>
              </a:ext>
            </a:extLst>
          </xdr:cNvPr>
          <xdr:cNvSpPr txBox="1">
            <a:spLocks noChangeArrowheads="1"/>
          </xdr:cNvSpPr>
        </xdr:nvSpPr>
        <xdr:spPr bwMode="auto">
          <a:xfrm>
            <a:off x="538" y="564"/>
            <a:ext cx="15" cy="19"/>
          </a:xfrm>
          <a:prstGeom prst="rect">
            <a:avLst/>
          </a:prstGeom>
          <a:noFill/>
          <a:ln w="9525">
            <a:noFill/>
            <a:miter lim="800000"/>
            <a:headEnd/>
            <a:tailEnd/>
          </a:ln>
        </xdr:spPr>
        <xdr:txBody>
          <a:bodyPr wrap="none" lIns="18288" tIns="22860" rIns="0" bIns="0" anchor="t" upright="1">
            <a:spAutoFit/>
          </a:bodyPr>
          <a:lstStyle/>
          <a:p>
            <a:pPr algn="l" rtl="1">
              <a:defRPr sz="1000"/>
            </a:pPr>
            <a:r>
              <a:rPr lang="en-SG" sz="1000" b="0" i="0" strike="noStrike">
                <a:solidFill>
                  <a:srgbClr val="000000"/>
                </a:solidFill>
                <a:latin typeface="Arial Cyr"/>
              </a:rPr>
              <a:t>W</a:t>
            </a:r>
          </a:p>
        </xdr:txBody>
      </xdr:sp>
      <xdr:sp macro="" textlink="">
        <xdr:nvSpPr>
          <xdr:cNvPr id="29" name="Text Box 31">
            <a:extLst>
              <a:ext uri="{FF2B5EF4-FFF2-40B4-BE49-F238E27FC236}">
                <a16:creationId xmlns:a16="http://schemas.microsoft.com/office/drawing/2014/main" id="{00000000-0008-0000-1F00-00001D000000}"/>
              </a:ext>
            </a:extLst>
          </xdr:cNvPr>
          <xdr:cNvSpPr txBox="1">
            <a:spLocks noChangeArrowheads="1"/>
          </xdr:cNvSpPr>
        </xdr:nvSpPr>
        <xdr:spPr bwMode="auto">
          <a:xfrm>
            <a:off x="752" y="521"/>
            <a:ext cx="19" cy="19"/>
          </a:xfrm>
          <a:prstGeom prst="rect">
            <a:avLst/>
          </a:prstGeom>
          <a:noFill/>
          <a:ln w="9525">
            <a:noFill/>
            <a:miter lim="800000"/>
            <a:headEnd/>
            <a:tailEnd/>
          </a:ln>
        </xdr:spPr>
        <xdr:txBody>
          <a:bodyPr wrap="none" lIns="18288" tIns="22860" rIns="0" bIns="0" anchor="t" upright="1">
            <a:spAutoFit/>
          </a:bodyPr>
          <a:lstStyle/>
          <a:p>
            <a:pPr algn="l" rtl="1">
              <a:defRPr sz="1000"/>
            </a:pPr>
            <a:r>
              <a:rPr lang="en-SG" sz="1000" b="0" i="0" strike="noStrike">
                <a:solidFill>
                  <a:srgbClr val="000000"/>
                </a:solidFill>
                <a:latin typeface="Arial Cyr"/>
              </a:rPr>
              <a:t>RH</a:t>
            </a:r>
          </a:p>
        </xdr:txBody>
      </xdr:sp>
    </xdr:grpSp>
    <xdr:clientData/>
  </xdr:twoCellAnchor>
  <xdr:twoCellAnchor editAs="oneCell">
    <xdr:from>
      <xdr:col>5</xdr:col>
      <xdr:colOff>22860</xdr:colOff>
      <xdr:row>8</xdr:row>
      <xdr:rowOff>175260</xdr:rowOff>
    </xdr:from>
    <xdr:to>
      <xdr:col>5</xdr:col>
      <xdr:colOff>662940</xdr:colOff>
      <xdr:row>9</xdr:row>
      <xdr:rowOff>228600</xdr:rowOff>
    </xdr:to>
    <xdr:pic>
      <xdr:nvPicPr>
        <xdr:cNvPr id="30" name="Picture 34">
          <a:extLst>
            <a:ext uri="{FF2B5EF4-FFF2-40B4-BE49-F238E27FC236}">
              <a16:creationId xmlns:a16="http://schemas.microsoft.com/office/drawing/2014/main" id="{00000000-0008-0000-1F00-00001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50920" y="2202180"/>
          <a:ext cx="64008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13803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oneCellAnchor>
    <xdr:from>
      <xdr:col>7</xdr:col>
      <xdr:colOff>262889</xdr:colOff>
      <xdr:row>13</xdr:row>
      <xdr:rowOff>238125</xdr:rowOff>
    </xdr:from>
    <xdr:ext cx="3793067" cy="718507"/>
    <xdr:sp macro="" textlink="">
      <xdr:nvSpPr>
        <xdr:cNvPr id="2" name="Text Box 2">
          <a:extLst>
            <a:ext uri="{FF2B5EF4-FFF2-40B4-BE49-F238E27FC236}">
              <a16:creationId xmlns:a16="http://schemas.microsoft.com/office/drawing/2014/main" id="{00000000-0008-0000-2100-000002000000}"/>
            </a:ext>
          </a:extLst>
        </xdr:cNvPr>
        <xdr:cNvSpPr txBox="1">
          <a:spLocks noChangeArrowheads="1"/>
        </xdr:cNvSpPr>
      </xdr:nvSpPr>
      <xdr:spPr bwMode="auto">
        <a:xfrm>
          <a:off x="7974329" y="3606165"/>
          <a:ext cx="3793067" cy="718507"/>
        </a:xfrm>
        <a:prstGeom prst="rect">
          <a:avLst/>
        </a:prstGeom>
        <a:solidFill>
          <a:schemeClr val="bg1">
            <a:lumMod val="85000"/>
          </a:schemeClr>
        </a:solidFill>
        <a:ln>
          <a:noFill/>
        </a:ln>
      </xdr:spPr>
      <xdr:txBody>
        <a:bodyPr wrap="square" lIns="18288" tIns="22860" rIns="0" bIns="22860" anchor="ctr" upright="1">
          <a:noAutofit/>
        </a:bodyPr>
        <a:lstStyle/>
        <a:p>
          <a:pPr algn="l" rtl="0">
            <a:lnSpc>
              <a:spcPts val="1100"/>
            </a:lnSpc>
            <a:defRPr sz="1000"/>
          </a:pPr>
          <a:r>
            <a:rPr lang="ru-RU" sz="1000" b="0" i="0" u="none" strike="noStrike" baseline="0">
              <a:solidFill>
                <a:srgbClr val="000000"/>
              </a:solidFill>
              <a:latin typeface="Arial Cyr"/>
              <a:cs typeface="Arial Cyr"/>
            </a:rPr>
            <a:t>                          </a:t>
          </a:r>
          <a:r>
            <a:rPr lang="en-US" sz="1000" b="0" i="0" u="none" strike="noStrike" baseline="0">
              <a:solidFill>
                <a:srgbClr val="000000"/>
              </a:solidFill>
              <a:latin typeface="Arial Cyr"/>
              <a:cs typeface="Arial Cyr"/>
            </a:rPr>
            <a:t> </a:t>
          </a:r>
          <a:r>
            <a:rPr lang="ru-RU" sz="1000" b="0" i="0" u="none" strike="noStrike" baseline="0">
              <a:solidFill>
                <a:srgbClr val="000000"/>
              </a:solidFill>
              <a:latin typeface="Arial Cyr"/>
              <a:cs typeface="Arial Cyr"/>
            </a:rPr>
            <a:t>[GOV(1) at (T2)]  x API(1) + GOV(2) x API(2)</a:t>
          </a:r>
        </a:p>
        <a:p>
          <a:pPr algn="l" rtl="0">
            <a:lnSpc>
              <a:spcPts val="1100"/>
            </a:lnSpc>
            <a:defRPr sz="1000"/>
          </a:pPr>
          <a:r>
            <a:rPr lang="ru-RU" sz="1000" b="0" i="0" u="none" strike="noStrike" baseline="0">
              <a:solidFill>
                <a:srgbClr val="000000"/>
              </a:solidFill>
              <a:latin typeface="Arial Cyr"/>
              <a:cs typeface="Arial Cyr"/>
            </a:rPr>
            <a:t>Weighted  API = ------------------------------------------------------------</a:t>
          </a:r>
        </a:p>
        <a:p>
          <a:pPr algn="l" rtl="0">
            <a:lnSpc>
              <a:spcPts val="1000"/>
            </a:lnSpc>
            <a:defRPr sz="1000"/>
          </a:pPr>
          <a:r>
            <a:rPr lang="ru-RU" sz="1000" b="0" i="0" u="none" strike="noStrike" baseline="0">
              <a:solidFill>
                <a:srgbClr val="000000"/>
              </a:solidFill>
              <a:latin typeface="Arial Cyr"/>
              <a:cs typeface="Arial Cyr"/>
            </a:rPr>
            <a:t>                                                 Total  GOV</a:t>
          </a:r>
        </a:p>
      </xdr:txBody>
    </xdr:sp>
    <xdr:clientData/>
  </xdr:oneCellAnchor>
  <xdr:twoCellAnchor editAs="oneCell">
    <xdr:from>
      <xdr:col>1</xdr:col>
      <xdr:colOff>904874</xdr:colOff>
      <xdr:row>30</xdr:row>
      <xdr:rowOff>66674</xdr:rowOff>
    </xdr:from>
    <xdr:to>
      <xdr:col>1</xdr:col>
      <xdr:colOff>1552874</xdr:colOff>
      <xdr:row>32</xdr:row>
      <xdr:rowOff>181274</xdr:rowOff>
    </xdr:to>
    <xdr:pic>
      <xdr:nvPicPr>
        <xdr:cNvPr id="3" name="Рисунок 24">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96861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96861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60940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5</xdr:col>
          <xdr:colOff>0</xdr:colOff>
          <xdr:row>6</xdr:row>
          <xdr:rowOff>47625</xdr:rowOff>
        </xdr:from>
        <xdr:to>
          <xdr:col>5</xdr:col>
          <xdr:colOff>747713</xdr:colOff>
          <xdr:row>7</xdr:row>
          <xdr:rowOff>0</xdr:rowOff>
        </xdr:to>
        <xdr:sp macro="" textlink="">
          <xdr:nvSpPr>
            <xdr:cNvPr id="185345" name="Drop Down 1" hidden="1">
              <a:extLst>
                <a:ext uri="{63B3BB69-23CF-44E3-9099-C40C66FF867C}">
                  <a14:compatExt spid="_x0000_s185345"/>
                </a:ext>
                <a:ext uri="{FF2B5EF4-FFF2-40B4-BE49-F238E27FC236}">
                  <a16:creationId xmlns:a16="http://schemas.microsoft.com/office/drawing/2014/main" id="{00000000-0008-0000-2300-000001D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9525</xdr:rowOff>
        </xdr:from>
        <xdr:to>
          <xdr:col>5</xdr:col>
          <xdr:colOff>747713</xdr:colOff>
          <xdr:row>8</xdr:row>
          <xdr:rowOff>228600</xdr:rowOff>
        </xdr:to>
        <xdr:sp macro="" textlink="">
          <xdr:nvSpPr>
            <xdr:cNvPr id="185346" name="Drop Down 2" hidden="1">
              <a:extLst>
                <a:ext uri="{63B3BB69-23CF-44E3-9099-C40C66FF867C}">
                  <a14:compatExt spid="_x0000_s185346"/>
                </a:ext>
                <a:ext uri="{FF2B5EF4-FFF2-40B4-BE49-F238E27FC236}">
                  <a16:creationId xmlns:a16="http://schemas.microsoft.com/office/drawing/2014/main" id="{00000000-0008-0000-2300-000002D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9</xdr:col>
      <xdr:colOff>373380</xdr:colOff>
      <xdr:row>11</xdr:row>
      <xdr:rowOff>15240</xdr:rowOff>
    </xdr:from>
    <xdr:to>
      <xdr:col>9</xdr:col>
      <xdr:colOff>838200</xdr:colOff>
      <xdr:row>11</xdr:row>
      <xdr:rowOff>236220</xdr:rowOff>
    </xdr:to>
    <xdr:pic>
      <xdr:nvPicPr>
        <xdr:cNvPr id="3" name="Picture 2">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90560" y="2842260"/>
          <a:ext cx="46482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82276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22860</xdr:colOff>
      <xdr:row>4</xdr:row>
      <xdr:rowOff>32656</xdr:rowOff>
    </xdr:from>
    <xdr:to>
      <xdr:col>9</xdr:col>
      <xdr:colOff>350520</xdr:colOff>
      <xdr:row>12</xdr:row>
      <xdr:rowOff>137153</xdr:rowOff>
    </xdr:to>
    <xdr:grpSp>
      <xdr:nvGrpSpPr>
        <xdr:cNvPr id="4" name="Group 12">
          <a:extLst>
            <a:ext uri="{FF2B5EF4-FFF2-40B4-BE49-F238E27FC236}">
              <a16:creationId xmlns:a16="http://schemas.microsoft.com/office/drawing/2014/main" id="{00000000-0008-0000-2400-000004000000}"/>
            </a:ext>
          </a:extLst>
        </xdr:cNvPr>
        <xdr:cNvGrpSpPr>
          <a:grpSpLocks/>
        </xdr:cNvGrpSpPr>
      </xdr:nvGrpSpPr>
      <xdr:grpSpPr bwMode="auto">
        <a:xfrm>
          <a:off x="4032885" y="994681"/>
          <a:ext cx="4566285" cy="2238097"/>
          <a:chOff x="180" y="142"/>
          <a:chExt cx="462" cy="257"/>
        </a:xfrm>
      </xdr:grpSpPr>
      <xdr:sp macro="" textlink="">
        <xdr:nvSpPr>
          <xdr:cNvPr id="5" name="Rectangle 1">
            <a:extLst>
              <a:ext uri="{FF2B5EF4-FFF2-40B4-BE49-F238E27FC236}">
                <a16:creationId xmlns:a16="http://schemas.microsoft.com/office/drawing/2014/main" id="{00000000-0008-0000-2400-000005000000}"/>
              </a:ext>
            </a:extLst>
          </xdr:cNvPr>
          <xdr:cNvSpPr>
            <a:spLocks noChangeArrowheads="1"/>
          </xdr:cNvSpPr>
        </xdr:nvSpPr>
        <xdr:spPr bwMode="auto">
          <a:xfrm>
            <a:off x="180" y="142"/>
            <a:ext cx="215" cy="223"/>
          </a:xfrm>
          <a:prstGeom prst="rect">
            <a:avLst/>
          </a:prstGeom>
          <a:pattFill prst="pct5">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2">
            <a:extLst>
              <a:ext uri="{FF2B5EF4-FFF2-40B4-BE49-F238E27FC236}">
                <a16:creationId xmlns:a16="http://schemas.microsoft.com/office/drawing/2014/main" id="{00000000-0008-0000-2400-000006000000}"/>
              </a:ext>
            </a:extLst>
          </xdr:cNvPr>
          <xdr:cNvSpPr txBox="1">
            <a:spLocks noChangeArrowheads="1"/>
          </xdr:cNvSpPr>
        </xdr:nvSpPr>
        <xdr:spPr bwMode="auto">
          <a:xfrm>
            <a:off x="243" y="217"/>
            <a:ext cx="100" cy="4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ru-RU" sz="1000" b="0" i="0" u="none" strike="noStrike" baseline="0">
                <a:solidFill>
                  <a:srgbClr val="000000"/>
                </a:solidFill>
                <a:latin typeface="Arial"/>
                <a:cs typeface="Arial"/>
              </a:rPr>
              <a:t>IG Pressure</a:t>
            </a:r>
            <a:r>
              <a:rPr lang="en-GB" sz="1000" b="0" i="0" u="none" strike="noStrike" baseline="0">
                <a:solidFill>
                  <a:srgbClr val="000000"/>
                </a:solidFill>
                <a:latin typeface="Arial"/>
                <a:cs typeface="Arial"/>
              </a:rPr>
              <a:t> P</a:t>
            </a:r>
            <a:r>
              <a:rPr lang="en-GB" sz="1000" b="0" i="0" u="none" strike="noStrike" baseline="-25000">
                <a:solidFill>
                  <a:srgbClr val="000000"/>
                </a:solidFill>
                <a:latin typeface="Arial"/>
                <a:cs typeface="Arial"/>
              </a:rPr>
              <a:t>1</a:t>
            </a:r>
            <a:r>
              <a:rPr lang="ru-RU" sz="1000" b="0" i="0" u="none" strike="noStrike" baseline="0">
                <a:solidFill>
                  <a:srgbClr val="000000"/>
                </a:solidFill>
                <a:latin typeface="Arial"/>
                <a:cs typeface="Arial"/>
              </a:rPr>
              <a:t> mm/WG</a:t>
            </a:r>
          </a:p>
        </xdr:txBody>
      </xdr:sp>
      <xdr:sp macro="" textlink="">
        <xdr:nvSpPr>
          <xdr:cNvPr id="7" name="Rectangle 3">
            <a:extLst>
              <a:ext uri="{FF2B5EF4-FFF2-40B4-BE49-F238E27FC236}">
                <a16:creationId xmlns:a16="http://schemas.microsoft.com/office/drawing/2014/main" id="{00000000-0008-0000-2400-000007000000}"/>
              </a:ext>
            </a:extLst>
          </xdr:cNvPr>
          <xdr:cNvSpPr>
            <a:spLocks noChangeArrowheads="1"/>
          </xdr:cNvSpPr>
        </xdr:nvSpPr>
        <xdr:spPr bwMode="auto">
          <a:xfrm>
            <a:off x="427" y="142"/>
            <a:ext cx="215" cy="223"/>
          </a:xfrm>
          <a:prstGeom prst="rect">
            <a:avLst/>
          </a:prstGeom>
          <a:pattFill prst="pct2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8" name="Text Box 4">
            <a:extLst>
              <a:ext uri="{FF2B5EF4-FFF2-40B4-BE49-F238E27FC236}">
                <a16:creationId xmlns:a16="http://schemas.microsoft.com/office/drawing/2014/main" id="{00000000-0008-0000-2400-000008000000}"/>
              </a:ext>
            </a:extLst>
          </xdr:cNvPr>
          <xdr:cNvSpPr txBox="1">
            <a:spLocks noChangeArrowheads="1"/>
          </xdr:cNvSpPr>
        </xdr:nvSpPr>
        <xdr:spPr bwMode="auto">
          <a:xfrm>
            <a:off x="487" y="165"/>
            <a:ext cx="100" cy="4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ru-RU" sz="1000" b="0" i="0" u="none" strike="noStrike" baseline="0">
                <a:solidFill>
                  <a:srgbClr val="000000"/>
                </a:solidFill>
                <a:latin typeface="Arial"/>
                <a:cs typeface="Arial"/>
              </a:rPr>
              <a:t>IG Pressure</a:t>
            </a:r>
            <a:r>
              <a:rPr lang="en-GB" sz="1000" b="0" i="0" u="none" strike="noStrike" baseline="0">
                <a:solidFill>
                  <a:srgbClr val="000000"/>
                </a:solidFill>
                <a:latin typeface="Arial"/>
                <a:cs typeface="Arial"/>
              </a:rPr>
              <a:t> </a:t>
            </a:r>
            <a:r>
              <a:rPr lang="en-GB" sz="1000" b="0" i="0" baseline="0">
                <a:effectLst/>
                <a:latin typeface="+mn-lt"/>
                <a:ea typeface="+mn-ea"/>
                <a:cs typeface="+mn-cs"/>
              </a:rPr>
              <a:t>P</a:t>
            </a:r>
            <a:r>
              <a:rPr lang="en-GB" sz="1000" b="0" i="0" baseline="-25000">
                <a:effectLst/>
                <a:latin typeface="+mn-lt"/>
                <a:ea typeface="+mn-ea"/>
                <a:cs typeface="+mn-cs"/>
              </a:rPr>
              <a:t>2</a:t>
            </a:r>
            <a:endParaRPr lang="ru-RU" sz="1000" b="0" i="0" u="none" strike="noStrike" baseline="0">
              <a:solidFill>
                <a:srgbClr val="000000"/>
              </a:solidFill>
              <a:latin typeface="Arial"/>
              <a:cs typeface="Arial"/>
            </a:endParaRPr>
          </a:p>
          <a:p>
            <a:pPr algn="ctr" rtl="0">
              <a:defRPr sz="1000"/>
            </a:pPr>
            <a:r>
              <a:rPr lang="ru-RU" sz="1000" b="0" i="0" u="none" strike="noStrike" baseline="0">
                <a:solidFill>
                  <a:srgbClr val="000000"/>
                </a:solidFill>
                <a:latin typeface="Arial"/>
                <a:cs typeface="Arial"/>
              </a:rPr>
              <a:t> mm/WG</a:t>
            </a:r>
          </a:p>
        </xdr:txBody>
      </xdr:sp>
      <xdr:sp macro="" textlink="">
        <xdr:nvSpPr>
          <xdr:cNvPr id="9" name="Rectangle 5">
            <a:extLst>
              <a:ext uri="{FF2B5EF4-FFF2-40B4-BE49-F238E27FC236}">
                <a16:creationId xmlns:a16="http://schemas.microsoft.com/office/drawing/2014/main" id="{00000000-0008-0000-2400-000009000000}"/>
              </a:ext>
            </a:extLst>
          </xdr:cNvPr>
          <xdr:cNvSpPr>
            <a:spLocks noChangeArrowheads="1"/>
          </xdr:cNvSpPr>
        </xdr:nvSpPr>
        <xdr:spPr bwMode="auto">
          <a:xfrm>
            <a:off x="427" y="227"/>
            <a:ext cx="215" cy="137"/>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0" name="Text Box 6">
            <a:extLst>
              <a:ext uri="{FF2B5EF4-FFF2-40B4-BE49-F238E27FC236}">
                <a16:creationId xmlns:a16="http://schemas.microsoft.com/office/drawing/2014/main" id="{00000000-0008-0000-2400-00000A000000}"/>
              </a:ext>
            </a:extLst>
          </xdr:cNvPr>
          <xdr:cNvSpPr txBox="1">
            <a:spLocks noChangeArrowheads="1"/>
          </xdr:cNvSpPr>
        </xdr:nvSpPr>
        <xdr:spPr bwMode="auto">
          <a:xfrm>
            <a:off x="228" y="373"/>
            <a:ext cx="128" cy="23"/>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27432" bIns="27432" anchor="ctr" upright="1">
            <a:spAutoFit/>
          </a:bodyPr>
          <a:lstStyle/>
          <a:p>
            <a:pPr algn="ctr" rtl="0">
              <a:defRPr sz="1000"/>
            </a:pPr>
            <a:r>
              <a:rPr lang="ru-RU" sz="1000" b="0" i="0" u="none" strike="noStrike" baseline="0">
                <a:solidFill>
                  <a:srgbClr val="000000"/>
                </a:solidFill>
                <a:latin typeface="Arial"/>
                <a:cs typeface="Arial"/>
              </a:rPr>
              <a:t>COT before Loading</a:t>
            </a:r>
          </a:p>
        </xdr:txBody>
      </xdr:sp>
      <xdr:sp macro="" textlink="">
        <xdr:nvSpPr>
          <xdr:cNvPr id="11" name="Text Box 7">
            <a:extLst>
              <a:ext uri="{FF2B5EF4-FFF2-40B4-BE49-F238E27FC236}">
                <a16:creationId xmlns:a16="http://schemas.microsoft.com/office/drawing/2014/main" id="{00000000-0008-0000-2400-00000B000000}"/>
              </a:ext>
            </a:extLst>
          </xdr:cNvPr>
          <xdr:cNvSpPr txBox="1">
            <a:spLocks noChangeArrowheads="1"/>
          </xdr:cNvSpPr>
        </xdr:nvSpPr>
        <xdr:spPr bwMode="auto">
          <a:xfrm>
            <a:off x="477" y="376"/>
            <a:ext cx="118" cy="23"/>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27432" bIns="27432" anchor="ctr" upright="1">
            <a:spAutoFit/>
          </a:bodyPr>
          <a:lstStyle/>
          <a:p>
            <a:pPr algn="ctr" rtl="0">
              <a:defRPr sz="1000"/>
            </a:pPr>
            <a:r>
              <a:rPr lang="ru-RU" sz="1000" b="0" i="0" u="none" strike="noStrike" baseline="0">
                <a:solidFill>
                  <a:srgbClr val="000000"/>
                </a:solidFill>
                <a:latin typeface="Arial"/>
                <a:cs typeface="Arial"/>
              </a:rPr>
              <a:t>COT After Loading</a:t>
            </a:r>
          </a:p>
        </xdr:txBody>
      </xdr:sp>
    </xdr:grpSp>
    <xdr:clientData/>
  </xdr:twoCellAnchor>
  <xdr:twoCellAnchor>
    <xdr:from>
      <xdr:col>4</xdr:col>
      <xdr:colOff>0</xdr:colOff>
      <xdr:row>99</xdr:row>
      <xdr:rowOff>0</xdr:rowOff>
    </xdr:from>
    <xdr:to>
      <xdr:col>13</xdr:col>
      <xdr:colOff>533400</xdr:colOff>
      <xdr:row>132</xdr:row>
      <xdr:rowOff>53340</xdr:rowOff>
    </xdr:to>
    <xdr:grpSp>
      <xdr:nvGrpSpPr>
        <xdr:cNvPr id="15" name="Группа 14">
          <a:extLst>
            <a:ext uri="{FF2B5EF4-FFF2-40B4-BE49-F238E27FC236}">
              <a16:creationId xmlns:a16="http://schemas.microsoft.com/office/drawing/2014/main" id="{00000000-0008-0000-2400-00000F000000}"/>
            </a:ext>
          </a:extLst>
        </xdr:cNvPr>
        <xdr:cNvGrpSpPr/>
      </xdr:nvGrpSpPr>
      <xdr:grpSpPr>
        <a:xfrm>
          <a:off x="3071813" y="20221575"/>
          <a:ext cx="8601075" cy="5415915"/>
          <a:chOff x="2948940" y="20551140"/>
          <a:chExt cx="8275320" cy="5593080"/>
        </a:xfrm>
      </xdr:grpSpPr>
      <xdr:sp macro="" textlink="">
        <xdr:nvSpPr>
          <xdr:cNvPr id="12" name="Прямоугольник 9">
            <a:extLst>
              <a:ext uri="{FF2B5EF4-FFF2-40B4-BE49-F238E27FC236}">
                <a16:creationId xmlns:a16="http://schemas.microsoft.com/office/drawing/2014/main" id="{00000000-0008-0000-2400-00000C000000}"/>
              </a:ext>
            </a:extLst>
          </xdr:cNvPr>
          <xdr:cNvSpPr>
            <a:spLocks noChangeArrowheads="1"/>
          </xdr:cNvSpPr>
        </xdr:nvSpPr>
        <xdr:spPr bwMode="auto">
          <a:xfrm>
            <a:off x="2948940" y="20871180"/>
            <a:ext cx="8275320" cy="5273040"/>
          </a:xfrm>
          <a:prstGeom prst="rect">
            <a:avLst/>
          </a:prstGeom>
          <a:solidFill>
            <a:srgbClr val="D9D9D9"/>
          </a:solidFill>
          <a:ln w="9525">
            <a:solidFill>
              <a:srgbClr val="7F7F7F"/>
            </a:solidFill>
            <a:miter lim="800000"/>
            <a:headEnd/>
            <a:tailEnd/>
          </a:ln>
        </xdr:spPr>
        <xdr:txBody>
          <a:bodyPr vertOverflow="clip" wrap="square" lIns="180000" tIns="252000" rIns="180000" bIns="0" anchor="t" upright="1"/>
          <a:lstStyle/>
          <a:p>
            <a:pPr rtl="0"/>
            <a:r>
              <a:rPr lang="en-US" sz="1400" b="1" i="0" baseline="0">
                <a:solidFill>
                  <a:srgbClr val="0F243E"/>
                </a:solidFill>
                <a:effectLst/>
                <a:latin typeface="+mn-lt"/>
                <a:ea typeface="+mn-ea"/>
                <a:cs typeface="+mn-cs"/>
              </a:rPr>
              <a:t>Change of IG pressure in C.O.T. without release of IG into the atmosphere.</a:t>
            </a:r>
          </a:p>
          <a:p>
            <a:endParaRPr lang="ru-RU" sz="1100">
              <a:effectLst/>
              <a:latin typeface="+mn-lt"/>
              <a:ea typeface="+mn-ea"/>
              <a:cs typeface="+mn-cs"/>
            </a:endParaRPr>
          </a:p>
          <a:p>
            <a:pPr algn="l" rtl="0">
              <a:defRPr sz="1000"/>
            </a:pPr>
            <a:r>
              <a:rPr lang="en-GB" sz="1100" b="1" i="0" u="none" strike="noStrike" baseline="0">
                <a:solidFill>
                  <a:srgbClr val="000000"/>
                </a:solidFill>
                <a:latin typeface="Arial" panose="020B0604020202020204" pitchFamily="34" charset="0"/>
                <a:cs typeface="Arial" panose="020B0604020202020204" pitchFamily="34" charset="0"/>
              </a:rPr>
              <a:t>Discharging at Port Chiba (Japan). </a:t>
            </a:r>
          </a:p>
          <a:p>
            <a:pPr algn="l" rtl="0">
              <a:defRPr sz="1000"/>
            </a:pPr>
            <a:endParaRPr lang="en-GB" sz="11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Restrictions: </a:t>
            </a: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 Ship's Draft restriction on arrival channel. </a:t>
            </a: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 Max. Airdraft for Arm connections.</a:t>
            </a: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 Prohibition to release IG into the atmosphere.</a:t>
            </a:r>
          </a:p>
          <a:p>
            <a:pPr algn="l" rtl="0">
              <a:defRPr sz="1000"/>
            </a:pPr>
            <a:endParaRPr lang="en-GB" sz="11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In order to meet the air draft requirements for Arms connections, it is necessary to increase the draft after berthing by ballasting cargo tanks with seawater (without releasing IG to atmosphere). </a:t>
            </a:r>
          </a:p>
          <a:p>
            <a:pPr algn="l" rtl="0">
              <a:defRPr sz="1000"/>
            </a:pPr>
            <a:endParaRPr lang="en-GB" sz="11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To calculate </a:t>
            </a: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1. Volume and weight of water ballast. </a:t>
            </a: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2. Max. IG pressure in the cargo tanks after completion of ballasting (without release of IG to atmosphere).</a:t>
            </a:r>
            <a:endParaRPr lang="ru-RU" sz="1100" b="0" i="0" u="none" strike="noStrike" baseline="0">
              <a:solidFill>
                <a:srgbClr val="000000"/>
              </a:solidFill>
              <a:latin typeface="Arial" panose="020B0604020202020204" pitchFamily="34" charset="0"/>
              <a:cs typeface="Arial" panose="020B0604020202020204" pitchFamily="34" charset="0"/>
            </a:endParaRPr>
          </a:p>
        </xdr:txBody>
      </xdr:sp>
      <xdr:sp macro="" textlink="">
        <xdr:nvSpPr>
          <xdr:cNvPr id="13" name="Прямоугольник 10">
            <a:extLst>
              <a:ext uri="{FF2B5EF4-FFF2-40B4-BE49-F238E27FC236}">
                <a16:creationId xmlns:a16="http://schemas.microsoft.com/office/drawing/2014/main" id="{00000000-0008-0000-2400-00000D000000}"/>
              </a:ext>
            </a:extLst>
          </xdr:cNvPr>
          <xdr:cNvSpPr>
            <a:spLocks noChangeArrowheads="1"/>
          </xdr:cNvSpPr>
        </xdr:nvSpPr>
        <xdr:spPr bwMode="auto">
          <a:xfrm>
            <a:off x="2948940" y="20551140"/>
            <a:ext cx="8275320" cy="327660"/>
          </a:xfrm>
          <a:prstGeom prst="rect">
            <a:avLst/>
          </a:prstGeom>
          <a:gradFill rotWithShape="1">
            <a:gsLst>
              <a:gs pos="0">
                <a:srgbClr val="23518B"/>
              </a:gs>
              <a:gs pos="100000">
                <a:srgbClr val="4F81BD"/>
              </a:gs>
            </a:gsLst>
            <a:lin ang="0"/>
          </a:gradFill>
          <a:ln w="9525">
            <a:solidFill>
              <a:srgbClr val="7F7F7F"/>
            </a:solidFill>
            <a:miter lim="800000"/>
            <a:headEnd/>
            <a:tailEnd/>
          </a:ln>
        </xdr:spPr>
        <xdr:txBody>
          <a:bodyPr vertOverflow="clip" wrap="square" lIns="180000" tIns="0" rIns="91440" bIns="0" anchor="ctr" upright="1"/>
          <a:lstStyle/>
          <a:p>
            <a:pPr algn="l" rtl="0">
              <a:defRPr sz="1000"/>
            </a:pPr>
            <a:r>
              <a:rPr lang="en-US" sz="1000" b="0" i="0" u="none" strike="noStrike" baseline="0">
                <a:solidFill>
                  <a:srgbClr val="FFFFFF"/>
                </a:solidFill>
                <a:latin typeface="Arial"/>
                <a:cs typeface="Arial"/>
              </a:rPr>
              <a:t>Note:</a:t>
            </a:r>
            <a:endParaRPr lang="ru-RU"/>
          </a:p>
        </xdr:txBody>
      </xdr:sp>
      <xdr:pic>
        <xdr:nvPicPr>
          <xdr:cNvPr id="14" name="Рисунок 9">
            <a:hlinkClick xmlns:r="http://schemas.openxmlformats.org/officeDocument/2006/relationships" r:id="rId2"/>
            <a:extLst>
              <a:ext uri="{FF2B5EF4-FFF2-40B4-BE49-F238E27FC236}">
                <a16:creationId xmlns:a16="http://schemas.microsoft.com/office/drawing/2014/main" id="{00000000-0008-0000-2400-00000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29053" y="20598133"/>
            <a:ext cx="238070" cy="244362"/>
          </a:xfrm>
          <a:prstGeom prst="rect">
            <a:avLst/>
          </a:prstGeom>
          <a:noFill/>
          <a:ln w="9525">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167640</xdr:colOff>
      <xdr:row>122</xdr:row>
      <xdr:rowOff>0</xdr:rowOff>
    </xdr:from>
    <xdr:to>
      <xdr:col>6</xdr:col>
      <xdr:colOff>205740</xdr:colOff>
      <xdr:row>123</xdr:row>
      <xdr:rowOff>106680</xdr:rowOff>
    </xdr:to>
    <xdr:sp macro="" textlink="">
      <xdr:nvSpPr>
        <xdr:cNvPr id="3" name="TextBox 2">
          <a:hlinkClick xmlns:r="http://schemas.openxmlformats.org/officeDocument/2006/relationships" r:id="rId4"/>
          <a:extLst>
            <a:ext uri="{FF2B5EF4-FFF2-40B4-BE49-F238E27FC236}">
              <a16:creationId xmlns:a16="http://schemas.microsoft.com/office/drawing/2014/main" id="{00000000-0008-0000-2400-000003000000}"/>
            </a:ext>
          </a:extLst>
        </xdr:cNvPr>
        <xdr:cNvSpPr txBox="1"/>
      </xdr:nvSpPr>
      <xdr:spPr>
        <a:xfrm>
          <a:off x="3116580" y="24246840"/>
          <a:ext cx="1920240" cy="274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u="sng">
              <a:solidFill>
                <a:srgbClr val="002060"/>
              </a:solidFill>
            </a:rPr>
            <a:t>Guidelines - IG Pressure</a:t>
          </a:r>
          <a:endParaRPr lang="ru-RU" sz="1100" u="sng">
            <a:solidFill>
              <a:srgbClr val="002060"/>
            </a:solidFill>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5</xdr:col>
      <xdr:colOff>26538</xdr:colOff>
      <xdr:row>4</xdr:row>
      <xdr:rowOff>32656</xdr:rowOff>
    </xdr:from>
    <xdr:to>
      <xdr:col>7</xdr:col>
      <xdr:colOff>106680</xdr:colOff>
      <xdr:row>12</xdr:row>
      <xdr:rowOff>137153</xdr:rowOff>
    </xdr:to>
    <xdr:grpSp>
      <xdr:nvGrpSpPr>
        <xdr:cNvPr id="23" name="Группа 22">
          <a:extLst>
            <a:ext uri="{FF2B5EF4-FFF2-40B4-BE49-F238E27FC236}">
              <a16:creationId xmlns:a16="http://schemas.microsoft.com/office/drawing/2014/main" id="{00000000-0008-0000-2500-000017000000}"/>
            </a:ext>
          </a:extLst>
        </xdr:cNvPr>
        <xdr:cNvGrpSpPr/>
      </xdr:nvGrpSpPr>
      <xdr:grpSpPr>
        <a:xfrm>
          <a:off x="4036563" y="994681"/>
          <a:ext cx="2128017" cy="2238097"/>
          <a:chOff x="6221598" y="992776"/>
          <a:chExt cx="2046102" cy="2238097"/>
        </a:xfrm>
      </xdr:grpSpPr>
      <xdr:sp macro="" textlink="">
        <xdr:nvSpPr>
          <xdr:cNvPr id="24" name="Rectangle 3">
            <a:extLst>
              <a:ext uri="{FF2B5EF4-FFF2-40B4-BE49-F238E27FC236}">
                <a16:creationId xmlns:a16="http://schemas.microsoft.com/office/drawing/2014/main" id="{00000000-0008-0000-2500-000018000000}"/>
              </a:ext>
            </a:extLst>
          </xdr:cNvPr>
          <xdr:cNvSpPr>
            <a:spLocks noChangeArrowheads="1"/>
          </xdr:cNvSpPr>
        </xdr:nvSpPr>
        <xdr:spPr bwMode="auto">
          <a:xfrm>
            <a:off x="6221598" y="992776"/>
            <a:ext cx="2046102" cy="1942006"/>
          </a:xfrm>
          <a:prstGeom prst="rect">
            <a:avLst/>
          </a:prstGeom>
          <a:pattFill prst="pct2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5" name="Text Box 4">
            <a:extLst>
              <a:ext uri="{FF2B5EF4-FFF2-40B4-BE49-F238E27FC236}">
                <a16:creationId xmlns:a16="http://schemas.microsoft.com/office/drawing/2014/main" id="{00000000-0008-0000-2500-000019000000}"/>
              </a:ext>
            </a:extLst>
          </xdr:cNvPr>
          <xdr:cNvSpPr txBox="1">
            <a:spLocks noChangeArrowheads="1"/>
          </xdr:cNvSpPr>
        </xdr:nvSpPr>
        <xdr:spPr bwMode="auto">
          <a:xfrm>
            <a:off x="6792603" y="1193073"/>
            <a:ext cx="951675" cy="39188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ru-RU" sz="1000" b="0" i="0" u="none" strike="noStrike" baseline="0">
                <a:solidFill>
                  <a:srgbClr val="000000"/>
                </a:solidFill>
                <a:latin typeface="Arial"/>
                <a:cs typeface="Arial"/>
              </a:rPr>
              <a:t>IG Pressure</a:t>
            </a:r>
            <a:r>
              <a:rPr lang="en-GB" sz="1000" b="0" i="0" u="none" strike="noStrike" baseline="0">
                <a:solidFill>
                  <a:srgbClr val="000000"/>
                </a:solidFill>
                <a:latin typeface="Arial"/>
                <a:cs typeface="Arial"/>
              </a:rPr>
              <a:t> </a:t>
            </a:r>
            <a:r>
              <a:rPr lang="en-GB" sz="1000" b="0" i="0" baseline="0">
                <a:effectLst/>
                <a:latin typeface="+mn-lt"/>
                <a:ea typeface="+mn-ea"/>
                <a:cs typeface="+mn-cs"/>
              </a:rPr>
              <a:t>P</a:t>
            </a:r>
            <a:r>
              <a:rPr lang="en-GB" sz="1000" b="0" i="0" baseline="-25000">
                <a:effectLst/>
                <a:latin typeface="+mn-lt"/>
                <a:ea typeface="+mn-ea"/>
                <a:cs typeface="+mn-cs"/>
              </a:rPr>
              <a:t>1</a:t>
            </a:r>
            <a:endParaRPr lang="ru-RU" sz="1000" b="0" i="0" u="none" strike="noStrike" baseline="0">
              <a:solidFill>
                <a:srgbClr val="000000"/>
              </a:solidFill>
              <a:latin typeface="Arial"/>
              <a:cs typeface="Arial"/>
            </a:endParaRPr>
          </a:p>
          <a:p>
            <a:pPr algn="ctr" rtl="0">
              <a:defRPr sz="1000"/>
            </a:pPr>
            <a:r>
              <a:rPr lang="ru-RU" sz="1000" b="0" i="0" u="none" strike="noStrike" baseline="0">
                <a:solidFill>
                  <a:srgbClr val="000000"/>
                </a:solidFill>
                <a:latin typeface="Arial"/>
                <a:cs typeface="Arial"/>
              </a:rPr>
              <a:t> mm/WG</a:t>
            </a:r>
          </a:p>
        </xdr:txBody>
      </xdr:sp>
      <xdr:sp macro="" textlink="">
        <xdr:nvSpPr>
          <xdr:cNvPr id="26" name="Rectangle 5">
            <a:extLst>
              <a:ext uri="{FF2B5EF4-FFF2-40B4-BE49-F238E27FC236}">
                <a16:creationId xmlns:a16="http://schemas.microsoft.com/office/drawing/2014/main" id="{00000000-0008-0000-2500-00001A000000}"/>
              </a:ext>
            </a:extLst>
          </xdr:cNvPr>
          <xdr:cNvSpPr>
            <a:spLocks noChangeArrowheads="1"/>
          </xdr:cNvSpPr>
        </xdr:nvSpPr>
        <xdr:spPr bwMode="auto">
          <a:xfrm>
            <a:off x="6221598" y="1748243"/>
            <a:ext cx="2046102" cy="1188000"/>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7" name="Text Box 7">
            <a:extLst>
              <a:ext uri="{FF2B5EF4-FFF2-40B4-BE49-F238E27FC236}">
                <a16:creationId xmlns:a16="http://schemas.microsoft.com/office/drawing/2014/main" id="{00000000-0008-0000-2500-00001B000000}"/>
              </a:ext>
            </a:extLst>
          </xdr:cNvPr>
          <xdr:cNvSpPr txBox="1">
            <a:spLocks noChangeArrowheads="1"/>
          </xdr:cNvSpPr>
        </xdr:nvSpPr>
        <xdr:spPr bwMode="auto">
          <a:xfrm>
            <a:off x="6621302" y="3021868"/>
            <a:ext cx="1275245" cy="209005"/>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27432" bIns="27432" anchor="ctr" upright="1">
            <a:noAutofit/>
          </a:bodyPr>
          <a:lstStyle/>
          <a:p>
            <a:pPr algn="ctr" rtl="0">
              <a:defRPr sz="1000"/>
            </a:pPr>
            <a:r>
              <a:rPr lang="ru-RU" sz="1000" b="0" i="0" u="none" strike="noStrike" baseline="0">
                <a:solidFill>
                  <a:srgbClr val="000000"/>
                </a:solidFill>
                <a:latin typeface="Arial"/>
                <a:cs typeface="Arial"/>
              </a:rPr>
              <a:t>COT </a:t>
            </a:r>
            <a:r>
              <a:rPr lang="en-GB" sz="1000" b="0" i="0" u="none" strike="noStrike" baseline="0">
                <a:solidFill>
                  <a:sysClr val="windowText" lastClr="000000"/>
                </a:solidFill>
                <a:effectLst/>
                <a:latin typeface="+mn-lt"/>
                <a:ea typeface="+mn-ea"/>
                <a:cs typeface="+mn-cs"/>
              </a:rPr>
              <a:t>B</a:t>
            </a:r>
            <a:r>
              <a:rPr lang="ru-RU" sz="1000" b="0" i="0" baseline="0">
                <a:effectLst/>
                <a:latin typeface="+mn-lt"/>
                <a:ea typeface="+mn-ea"/>
                <a:cs typeface="+mn-cs"/>
              </a:rPr>
              <a:t>efore </a:t>
            </a:r>
            <a:r>
              <a:rPr lang="en-GB" sz="1000" b="0" i="0" baseline="0">
                <a:effectLst/>
                <a:latin typeface="+mn-lt"/>
                <a:ea typeface="+mn-ea"/>
                <a:cs typeface="+mn-cs"/>
              </a:rPr>
              <a:t>Discharging</a:t>
            </a:r>
            <a:endParaRPr lang="ru-RU" sz="1000" b="0" i="0" u="none" strike="noStrike" baseline="0">
              <a:solidFill>
                <a:srgbClr val="000000"/>
              </a:solidFill>
              <a:latin typeface="Arial"/>
              <a:cs typeface="Arial"/>
            </a:endParaRPr>
          </a:p>
        </xdr:txBody>
      </xdr:sp>
    </xdr:grpSp>
    <xdr:clientData/>
  </xdr:twoCellAnchor>
  <xdr:twoCellAnchor>
    <xdr:from>
      <xdr:col>7</xdr:col>
      <xdr:colOff>403860</xdr:colOff>
      <xdr:row>4</xdr:row>
      <xdr:rowOff>32656</xdr:rowOff>
    </xdr:from>
    <xdr:to>
      <xdr:col>9</xdr:col>
      <xdr:colOff>346842</xdr:colOff>
      <xdr:row>12</xdr:row>
      <xdr:rowOff>111028</xdr:rowOff>
    </xdr:to>
    <xdr:grpSp>
      <xdr:nvGrpSpPr>
        <xdr:cNvPr id="18" name="Группа 17">
          <a:extLst>
            <a:ext uri="{FF2B5EF4-FFF2-40B4-BE49-F238E27FC236}">
              <a16:creationId xmlns:a16="http://schemas.microsoft.com/office/drawing/2014/main" id="{00000000-0008-0000-2500-000012000000}"/>
            </a:ext>
          </a:extLst>
        </xdr:cNvPr>
        <xdr:cNvGrpSpPr/>
      </xdr:nvGrpSpPr>
      <xdr:grpSpPr>
        <a:xfrm>
          <a:off x="6461760" y="994681"/>
          <a:ext cx="2133732" cy="2211972"/>
          <a:chOff x="3870960" y="992776"/>
          <a:chExt cx="2046102" cy="2211972"/>
        </a:xfrm>
      </xdr:grpSpPr>
      <xdr:sp macro="" textlink="">
        <xdr:nvSpPr>
          <xdr:cNvPr id="19" name="Rectangle 1">
            <a:extLst>
              <a:ext uri="{FF2B5EF4-FFF2-40B4-BE49-F238E27FC236}">
                <a16:creationId xmlns:a16="http://schemas.microsoft.com/office/drawing/2014/main" id="{00000000-0008-0000-2500-000013000000}"/>
              </a:ext>
            </a:extLst>
          </xdr:cNvPr>
          <xdr:cNvSpPr>
            <a:spLocks noChangeArrowheads="1"/>
          </xdr:cNvSpPr>
        </xdr:nvSpPr>
        <xdr:spPr bwMode="auto">
          <a:xfrm>
            <a:off x="3870960" y="992776"/>
            <a:ext cx="2046102" cy="1942006"/>
          </a:xfrm>
          <a:prstGeom prst="rect">
            <a:avLst/>
          </a:prstGeom>
          <a:pattFill prst="pct5">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0" name="Text Box 2">
            <a:extLst>
              <a:ext uri="{FF2B5EF4-FFF2-40B4-BE49-F238E27FC236}">
                <a16:creationId xmlns:a16="http://schemas.microsoft.com/office/drawing/2014/main" id="{00000000-0008-0000-2500-000014000000}"/>
              </a:ext>
            </a:extLst>
          </xdr:cNvPr>
          <xdr:cNvSpPr txBox="1">
            <a:spLocks noChangeArrowheads="1"/>
          </xdr:cNvSpPr>
        </xdr:nvSpPr>
        <xdr:spPr bwMode="auto">
          <a:xfrm>
            <a:off x="4470515" y="1645917"/>
            <a:ext cx="951675" cy="39188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ru-RU" sz="1000" b="0" i="0" u="none" strike="noStrike" baseline="0">
                <a:solidFill>
                  <a:srgbClr val="000000"/>
                </a:solidFill>
                <a:latin typeface="Arial"/>
                <a:cs typeface="Arial"/>
              </a:rPr>
              <a:t>IG Pressure</a:t>
            </a:r>
            <a:r>
              <a:rPr lang="en-GB" sz="1000" b="0" i="0" u="none" strike="noStrike" baseline="0">
                <a:solidFill>
                  <a:srgbClr val="000000"/>
                </a:solidFill>
                <a:latin typeface="Arial"/>
                <a:cs typeface="Arial"/>
              </a:rPr>
              <a:t> P</a:t>
            </a:r>
            <a:r>
              <a:rPr lang="en-GB" sz="1000" b="0" i="0" u="none" strike="noStrike" baseline="-25000">
                <a:solidFill>
                  <a:srgbClr val="000000"/>
                </a:solidFill>
                <a:latin typeface="Arial"/>
                <a:cs typeface="Arial"/>
              </a:rPr>
              <a:t>2</a:t>
            </a:r>
            <a:r>
              <a:rPr lang="ru-RU" sz="1000" b="0" i="0" u="none" strike="noStrike" baseline="0">
                <a:solidFill>
                  <a:srgbClr val="000000"/>
                </a:solidFill>
                <a:latin typeface="Arial"/>
                <a:cs typeface="Arial"/>
              </a:rPr>
              <a:t> mm/WG</a:t>
            </a:r>
          </a:p>
        </xdr:txBody>
      </xdr:sp>
      <xdr:sp macro="" textlink="">
        <xdr:nvSpPr>
          <xdr:cNvPr id="21" name="Text Box 6">
            <a:extLst>
              <a:ext uri="{FF2B5EF4-FFF2-40B4-BE49-F238E27FC236}">
                <a16:creationId xmlns:a16="http://schemas.microsoft.com/office/drawing/2014/main" id="{00000000-0008-0000-2500-000015000000}"/>
              </a:ext>
            </a:extLst>
          </xdr:cNvPr>
          <xdr:cNvSpPr txBox="1">
            <a:spLocks noChangeArrowheads="1"/>
          </xdr:cNvSpPr>
        </xdr:nvSpPr>
        <xdr:spPr bwMode="auto">
          <a:xfrm>
            <a:off x="4223080" y="3004451"/>
            <a:ext cx="1437030" cy="200297"/>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27432" bIns="27432" anchor="ctr" upright="1">
            <a:noAutofit/>
          </a:bodyPr>
          <a:lstStyle/>
          <a:p>
            <a:pPr algn="ctr" rtl="0">
              <a:defRPr sz="1000"/>
            </a:pPr>
            <a:r>
              <a:rPr lang="ru-RU" sz="1000" b="0" i="0" u="none" strike="noStrike" baseline="0">
                <a:solidFill>
                  <a:srgbClr val="000000"/>
                </a:solidFill>
                <a:latin typeface="Arial"/>
                <a:cs typeface="Arial"/>
              </a:rPr>
              <a:t>COT </a:t>
            </a:r>
            <a:r>
              <a:rPr lang="ru-RU" sz="1000" b="0" i="0" baseline="0">
                <a:effectLst/>
                <a:latin typeface="+mn-lt"/>
                <a:ea typeface="+mn-ea"/>
                <a:cs typeface="+mn-cs"/>
              </a:rPr>
              <a:t>After </a:t>
            </a:r>
            <a:r>
              <a:rPr lang="en-GB" sz="1000" b="0" i="0" u="none" strike="noStrike" baseline="0">
                <a:solidFill>
                  <a:srgbClr val="000000"/>
                </a:solidFill>
                <a:latin typeface="Arial"/>
                <a:cs typeface="Arial"/>
              </a:rPr>
              <a:t>Discharging</a:t>
            </a:r>
            <a:endParaRPr lang="ru-RU" sz="1000" b="0" i="0" u="none" strike="noStrike" baseline="0">
              <a:solidFill>
                <a:srgbClr val="000000"/>
              </a:solidFill>
              <a:latin typeface="Arial"/>
              <a:cs typeface="Arial"/>
            </a:endParaRPr>
          </a:p>
        </xdr:txBody>
      </xdr:sp>
    </xdr:grpSp>
    <xdr:clientData/>
  </xdr:twoCellAnchor>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4275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415158</xdr:colOff>
      <xdr:row>10</xdr:row>
      <xdr:rowOff>85996</xdr:rowOff>
    </xdr:from>
    <xdr:to>
      <xdr:col>9</xdr:col>
      <xdr:colOff>358140</xdr:colOff>
      <xdr:row>11</xdr:row>
      <xdr:rowOff>106680</xdr:rowOff>
    </xdr:to>
    <xdr:sp macro="" textlink="">
      <xdr:nvSpPr>
        <xdr:cNvPr id="28" name="Rectangle 5">
          <a:extLst>
            <a:ext uri="{FF2B5EF4-FFF2-40B4-BE49-F238E27FC236}">
              <a16:creationId xmlns:a16="http://schemas.microsoft.com/office/drawing/2014/main" id="{00000000-0008-0000-2500-00001C000000}"/>
            </a:ext>
          </a:extLst>
        </xdr:cNvPr>
        <xdr:cNvSpPr>
          <a:spLocks noChangeArrowheads="1"/>
        </xdr:cNvSpPr>
      </xdr:nvSpPr>
      <xdr:spPr bwMode="auto">
        <a:xfrm>
          <a:off x="6229218" y="2646316"/>
          <a:ext cx="2046102" cy="287384"/>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absolute">
    <xdr:from>
      <xdr:col>4</xdr:col>
      <xdr:colOff>0</xdr:colOff>
      <xdr:row>99</xdr:row>
      <xdr:rowOff>0</xdr:rowOff>
    </xdr:from>
    <xdr:to>
      <xdr:col>13</xdr:col>
      <xdr:colOff>533400</xdr:colOff>
      <xdr:row>132</xdr:row>
      <xdr:rowOff>53340</xdr:rowOff>
    </xdr:to>
    <xdr:grpSp>
      <xdr:nvGrpSpPr>
        <xdr:cNvPr id="5" name="Группа 4">
          <a:extLst>
            <a:ext uri="{FF2B5EF4-FFF2-40B4-BE49-F238E27FC236}">
              <a16:creationId xmlns:a16="http://schemas.microsoft.com/office/drawing/2014/main" id="{00000000-0008-0000-2500-000005000000}"/>
            </a:ext>
          </a:extLst>
        </xdr:cNvPr>
        <xdr:cNvGrpSpPr/>
      </xdr:nvGrpSpPr>
      <xdr:grpSpPr>
        <a:xfrm>
          <a:off x="3071813" y="20221575"/>
          <a:ext cx="8601075" cy="5415915"/>
          <a:chOff x="2948940" y="20551140"/>
          <a:chExt cx="8275320" cy="5593080"/>
        </a:xfrm>
      </xdr:grpSpPr>
      <xdr:sp macro="" textlink="">
        <xdr:nvSpPr>
          <xdr:cNvPr id="12" name="Прямоугольник 9">
            <a:extLst>
              <a:ext uri="{FF2B5EF4-FFF2-40B4-BE49-F238E27FC236}">
                <a16:creationId xmlns:a16="http://schemas.microsoft.com/office/drawing/2014/main" id="{00000000-0008-0000-2500-00000C000000}"/>
              </a:ext>
            </a:extLst>
          </xdr:cNvPr>
          <xdr:cNvSpPr>
            <a:spLocks noChangeArrowheads="1"/>
          </xdr:cNvSpPr>
        </xdr:nvSpPr>
        <xdr:spPr bwMode="auto">
          <a:xfrm>
            <a:off x="2948940" y="20871180"/>
            <a:ext cx="8275320" cy="5273040"/>
          </a:xfrm>
          <a:prstGeom prst="rect">
            <a:avLst/>
          </a:prstGeom>
          <a:solidFill>
            <a:srgbClr val="D9D9D9"/>
          </a:solidFill>
          <a:ln w="9525">
            <a:solidFill>
              <a:srgbClr val="7F7F7F"/>
            </a:solidFill>
            <a:miter lim="800000"/>
            <a:headEnd/>
            <a:tailEnd/>
          </a:ln>
        </xdr:spPr>
        <xdr:txBody>
          <a:bodyPr vertOverflow="clip" wrap="square" lIns="180000" tIns="252000" rIns="180000" bIns="0" anchor="t" upright="1"/>
          <a:lstStyle/>
          <a:p>
            <a:pPr rtl="0"/>
            <a:r>
              <a:rPr lang="en-US" sz="1400" b="1" i="0" baseline="0">
                <a:solidFill>
                  <a:srgbClr val="0F243E"/>
                </a:solidFill>
                <a:effectLst/>
                <a:latin typeface="+mn-lt"/>
                <a:ea typeface="+mn-ea"/>
                <a:cs typeface="+mn-cs"/>
              </a:rPr>
              <a:t>IG Pressure Change in C.O.T. without additional inerting of C.O.T.</a:t>
            </a:r>
          </a:p>
          <a:p>
            <a:endParaRPr lang="ru-RU" sz="1100">
              <a:effectLst/>
              <a:latin typeface="+mn-lt"/>
              <a:ea typeface="+mn-ea"/>
              <a:cs typeface="+mn-cs"/>
            </a:endParaRPr>
          </a:p>
          <a:p>
            <a:pPr algn="l" rtl="0">
              <a:defRPr sz="1000"/>
            </a:pPr>
            <a:endParaRPr lang="en-GB" sz="11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GB" sz="1100" b="0" i="0" u="none" strike="noStrike" baseline="0">
                <a:solidFill>
                  <a:srgbClr val="000000"/>
                </a:solidFill>
                <a:latin typeface="Arial" panose="020B0604020202020204" pitchFamily="34" charset="0"/>
                <a:cs typeface="Arial" panose="020B0604020202020204" pitchFamily="34" charset="0"/>
              </a:rPr>
              <a:t>The calculator is designed to calculate the possibility of completing unloading without additional inerting of the cargo tank in order to prevent the cargo pump from stopping due to low inert gas pressure in the cargo tank.</a:t>
            </a:r>
          </a:p>
          <a:p>
            <a:pPr algn="l" rtl="0">
              <a:defRPr sz="1000"/>
            </a:pPr>
            <a:endParaRPr lang="en-GB" sz="1100" b="0" i="0" u="none" strike="noStrike" baseline="0">
              <a:solidFill>
                <a:srgbClr val="000000"/>
              </a:solidFill>
              <a:latin typeface="Arial" panose="020B0604020202020204" pitchFamily="34" charset="0"/>
              <a:cs typeface="Arial" panose="020B0604020202020204" pitchFamily="34" charset="0"/>
            </a:endParaRPr>
          </a:p>
          <a:p>
            <a:pPr algn="l" rtl="0">
              <a:defRPr sz="1000"/>
            </a:pPr>
            <a:endParaRPr lang="ru-RU" sz="1100" b="0" i="0" u="none" strike="noStrike" baseline="0">
              <a:solidFill>
                <a:srgbClr val="000000"/>
              </a:solidFill>
              <a:latin typeface="Arial" panose="020B0604020202020204" pitchFamily="34" charset="0"/>
              <a:cs typeface="Arial" panose="020B0604020202020204" pitchFamily="34" charset="0"/>
            </a:endParaRPr>
          </a:p>
        </xdr:txBody>
      </xdr:sp>
      <xdr:sp macro="" textlink="">
        <xdr:nvSpPr>
          <xdr:cNvPr id="13" name="Прямоугольник 10">
            <a:extLst>
              <a:ext uri="{FF2B5EF4-FFF2-40B4-BE49-F238E27FC236}">
                <a16:creationId xmlns:a16="http://schemas.microsoft.com/office/drawing/2014/main" id="{00000000-0008-0000-2500-00000D000000}"/>
              </a:ext>
            </a:extLst>
          </xdr:cNvPr>
          <xdr:cNvSpPr>
            <a:spLocks noChangeArrowheads="1"/>
          </xdr:cNvSpPr>
        </xdr:nvSpPr>
        <xdr:spPr bwMode="auto">
          <a:xfrm>
            <a:off x="2948940" y="20551140"/>
            <a:ext cx="8275320" cy="327660"/>
          </a:xfrm>
          <a:prstGeom prst="rect">
            <a:avLst/>
          </a:prstGeom>
          <a:gradFill rotWithShape="1">
            <a:gsLst>
              <a:gs pos="0">
                <a:srgbClr val="23518B"/>
              </a:gs>
              <a:gs pos="100000">
                <a:srgbClr val="4F81BD"/>
              </a:gs>
            </a:gsLst>
            <a:lin ang="0"/>
          </a:gradFill>
          <a:ln w="9525">
            <a:solidFill>
              <a:srgbClr val="7F7F7F"/>
            </a:solidFill>
            <a:miter lim="800000"/>
            <a:headEnd/>
            <a:tailEnd/>
          </a:ln>
        </xdr:spPr>
        <xdr:txBody>
          <a:bodyPr vertOverflow="clip" wrap="square" lIns="180000" tIns="0" rIns="91440" bIns="0" anchor="ctr" upright="1"/>
          <a:lstStyle/>
          <a:p>
            <a:pPr algn="l" rtl="0">
              <a:defRPr sz="1000"/>
            </a:pPr>
            <a:r>
              <a:rPr lang="en-US" sz="1000" b="0" i="0" u="none" strike="noStrike" baseline="0">
                <a:solidFill>
                  <a:srgbClr val="FFFFFF"/>
                </a:solidFill>
                <a:latin typeface="Arial"/>
                <a:cs typeface="Arial"/>
              </a:rPr>
              <a:t>Note:</a:t>
            </a:r>
            <a:endParaRPr lang="ru-RU"/>
          </a:p>
        </xdr:txBody>
      </xdr:sp>
      <xdr:pic>
        <xdr:nvPicPr>
          <xdr:cNvPr id="14" name="Рисунок 9">
            <a:hlinkClick xmlns:r="http://schemas.openxmlformats.org/officeDocument/2006/relationships" r:id="rId2"/>
            <a:extLst>
              <a:ext uri="{FF2B5EF4-FFF2-40B4-BE49-F238E27FC236}">
                <a16:creationId xmlns:a16="http://schemas.microsoft.com/office/drawing/2014/main" id="{00000000-0008-0000-2500-00000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29053" y="20598133"/>
            <a:ext cx="238070" cy="244362"/>
          </a:xfrm>
          <a:prstGeom prst="rect">
            <a:avLst/>
          </a:prstGeom>
          <a:noFill/>
          <a:ln w="9525">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4" name="TextBox 3">
            <a:hlinkClick xmlns:r="http://schemas.openxmlformats.org/officeDocument/2006/relationships" r:id="rId4"/>
            <a:extLst>
              <a:ext uri="{FF2B5EF4-FFF2-40B4-BE49-F238E27FC236}">
                <a16:creationId xmlns:a16="http://schemas.microsoft.com/office/drawing/2014/main" id="{00000000-0008-0000-2500-000004000000}"/>
              </a:ext>
            </a:extLst>
          </xdr:cNvPr>
          <xdr:cNvSpPr txBox="1"/>
        </xdr:nvSpPr>
        <xdr:spPr>
          <a:xfrm>
            <a:off x="3078480" y="22829520"/>
            <a:ext cx="1920240" cy="274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u="sng">
                <a:solidFill>
                  <a:srgbClr val="002060"/>
                </a:solidFill>
              </a:rPr>
              <a:t>Guidelines - IG Pressure</a:t>
            </a:r>
            <a:endParaRPr lang="ru-RU" sz="1100" u="sng">
              <a:solidFill>
                <a:srgbClr val="002060"/>
              </a:solidFill>
            </a:endParaRPr>
          </a:p>
        </xdr:txBody>
      </xdr:sp>
    </xdr:grpSp>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904874</xdr:colOff>
      <xdr:row>30</xdr:row>
      <xdr:rowOff>66674</xdr:rowOff>
    </xdr:from>
    <xdr:to>
      <xdr:col>1</xdr:col>
      <xdr:colOff>1552874</xdr:colOff>
      <xdr:row>32</xdr:row>
      <xdr:rowOff>181274</xdr:rowOff>
    </xdr:to>
    <xdr:pic>
      <xdr:nvPicPr>
        <xdr:cNvPr id="2" name="Рисунок 24">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clrChange>
            <a:clrFrom>
              <a:srgbClr val="535454">
                <a:alpha val="50196"/>
              </a:srgbClr>
            </a:clrFrom>
            <a:clrTo>
              <a:srgbClr val="535454">
                <a:alpha val="0"/>
              </a:srgbClr>
            </a:clrTo>
          </a:clrChange>
          <a:duotone>
            <a:prstClr val="black"/>
            <a:srgbClr val="008080">
              <a:tint val="45000"/>
              <a:satMod val="400000"/>
            </a:srgbClr>
          </a:duotone>
          <a:extLst>
            <a:ext uri="{28A0092B-C50C-407E-A947-70E740481C1C}">
              <a14:useLocalDpi xmlns:a14="http://schemas.microsoft.com/office/drawing/2010/main" val="0"/>
            </a:ext>
          </a:extLst>
        </a:blip>
        <a:srcRect/>
        <a:stretch>
          <a:fillRect/>
        </a:stretch>
      </xdr:blipFill>
      <xdr:spPr bwMode="auto">
        <a:xfrm>
          <a:off x="904874" y="7160894"/>
          <a:ext cx="648000" cy="6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3</xdr:col>
      <xdr:colOff>1905</xdr:colOff>
      <xdr:row>3</xdr:row>
      <xdr:rowOff>11428</xdr:rowOff>
    </xdr:from>
    <xdr:to>
      <xdr:col>10</xdr:col>
      <xdr:colOff>691516</xdr:colOff>
      <xdr:row>125</xdr:row>
      <xdr:rowOff>142874</xdr:rowOff>
    </xdr:to>
    <xdr:sp macro="" textlink="">
      <xdr:nvSpPr>
        <xdr:cNvPr id="2" name="TextBox 1">
          <a:extLst>
            <a:ext uri="{FF2B5EF4-FFF2-40B4-BE49-F238E27FC236}">
              <a16:creationId xmlns:a16="http://schemas.microsoft.com/office/drawing/2014/main" id="{00000000-0008-0000-2700-000002000000}"/>
            </a:ext>
          </a:extLst>
        </xdr:cNvPr>
        <xdr:cNvSpPr txBox="1"/>
      </xdr:nvSpPr>
      <xdr:spPr>
        <a:xfrm>
          <a:off x="2699385" y="704848"/>
          <a:ext cx="7623811" cy="2498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000" b="1" i="0" baseline="0">
            <a:solidFill>
              <a:schemeClr val="dk1"/>
            </a:solidFill>
            <a:effectLst/>
            <a:latin typeface="Arial" pitchFamily="34" charset="0"/>
            <a:ea typeface="+mn-ea"/>
            <a:cs typeface="Arial" pitchFamily="34" charset="0"/>
          </a:endParaRPr>
        </a:p>
        <a:p>
          <a:pPr rtl="0"/>
          <a:endParaRPr lang="en-US" sz="1000" b="1" i="0" baseline="0">
            <a:solidFill>
              <a:schemeClr val="dk1"/>
            </a:solidFill>
            <a:effectLst/>
            <a:latin typeface="Arial" pitchFamily="34" charset="0"/>
            <a:ea typeface="+mn-ea"/>
            <a:cs typeface="Arial"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400" b="1" i="0" u="sng" strike="noStrike" kern="0" cap="none" spc="0" normalizeH="0" baseline="0" noProof="0">
              <a:ln>
                <a:noFill/>
              </a:ln>
              <a:solidFill>
                <a:srgbClr val="000000"/>
              </a:solidFill>
              <a:effectLst/>
              <a:uLnTx/>
              <a:uFillTx/>
              <a:latin typeface="Arial"/>
              <a:ea typeface="+mn-ea"/>
              <a:cs typeface="Arial"/>
            </a:rPr>
            <a:t>DEFINITIONS</a:t>
          </a: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200" b="1" i="0" u="none" strike="noStrike" kern="0" cap="none" spc="0" normalizeH="0" baseline="0" noProof="0">
              <a:ln>
                <a:noFill/>
              </a:ln>
              <a:solidFill>
                <a:srgbClr val="000000"/>
              </a:solidFill>
              <a:effectLst/>
              <a:uLnTx/>
              <a:uFillTx/>
              <a:latin typeface="Arial"/>
              <a:ea typeface="+mn-ea"/>
              <a:cs typeface="Arial"/>
            </a:rPr>
            <a:t>A.P.I. Gravity @60°F:</a:t>
          </a: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The A.P.I. Gravity of an oil is derived from an equation which relies upon the Specific Gravity or Relative Density of the oil. As the equation relies upon a parameter which has no units (as it is a ratio) this parameter also has no units and is only a factor without any scientific meaning. It is believed that it was originally derived for oil trading purposes for price fixing i.e. the higher the A.P.I, the higher the price for the oil.</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200" b="1" i="0" u="none" strike="noStrike" kern="0" cap="none" spc="0" normalizeH="0" baseline="0" noProof="0">
              <a:ln>
                <a:noFill/>
              </a:ln>
              <a:solidFill>
                <a:srgbClr val="000000"/>
              </a:solidFill>
              <a:effectLst/>
              <a:uLnTx/>
              <a:uFillTx/>
              <a:latin typeface="Arial"/>
              <a:ea typeface="+mn-ea"/>
              <a:cs typeface="Arial"/>
            </a:rPr>
            <a:t>DENSITY</a:t>
          </a: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Density is by definition measured in vacuum at 15°C.</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Use tablles 54A or 54B in volumes VII and VIII.</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Density - this parameter is normally recorded at the standard measurement/calculation temperature of 15°C. Its units are reported as either kilograms per litre (kg/ltr) or more correctly kilograms per cubic meter (kg/m3). This parameter gives the ratio of the mass of the oil to its volume albeit that its units record an apparent weight per unit volume. The Density of an oil is normally reported on a certificate of quality to four decimal places as say, 0.8590 kg/ltr. @ 15°C. It is the preferred parameter for the calculation of quantity of the oil cargo.</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Reference to density "in vacuo" and density "in air" is to be specifically avoided.</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The standard parameter of density is only density (to be associated with density "in vacuo") and density "in air" does not exist save for its associated Petroleum Measurement </a:t>
          </a:r>
          <a:r>
            <a:rPr kumimoji="0" lang="en-SG" sz="1000" b="0" i="0" u="sng" strike="noStrike" kern="0" cap="none" spc="0" normalizeH="0" baseline="0" noProof="0">
              <a:ln>
                <a:noFill/>
              </a:ln>
              <a:solidFill>
                <a:srgbClr val="000000"/>
              </a:solidFill>
              <a:effectLst/>
              <a:uLnTx/>
              <a:uFillTx/>
              <a:latin typeface="Arial"/>
              <a:ea typeface="+mn-ea"/>
              <a:cs typeface="Arial"/>
            </a:rPr>
            <a:t>table 56 factor for tonnage calculation/conversion.</a:t>
          </a: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200" b="1" i="0" u="none" strike="noStrike" kern="0" cap="none" spc="0" normalizeH="0" baseline="0" noProof="0">
              <a:ln>
                <a:noFill/>
              </a:ln>
              <a:solidFill>
                <a:srgbClr val="000000"/>
              </a:solidFill>
              <a:effectLst/>
              <a:uLnTx/>
              <a:uFillTx/>
              <a:latin typeface="Arial"/>
              <a:ea typeface="+mn-ea"/>
              <a:cs typeface="Arial"/>
            </a:rPr>
            <a:t>RELATIVE DENSITY 15/4</a:t>
          </a: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Relative Density 15/4 is the density of oil at 15°C/density of fresh water at 4°C.</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Relative Density 15/4 can be treated exactly the same way as density at 15°C as it is almost the same.</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Use tablles 54A or 54B in volumes VII and VIII or convert to API using table 3 in volume XI/XII.</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200" b="1" i="0" u="none" strike="noStrike" kern="0" cap="none" spc="0" normalizeH="0" baseline="0" noProof="0">
              <a:ln>
                <a:noFill/>
              </a:ln>
              <a:solidFill>
                <a:srgbClr val="000000"/>
              </a:solidFill>
              <a:effectLst/>
              <a:uLnTx/>
              <a:uFillTx/>
              <a:latin typeface="Arial"/>
              <a:ea typeface="+mn-ea"/>
              <a:cs typeface="Arial"/>
            </a:rPr>
            <a:t>RELATIVE DENSITY 60/60 (SG)</a:t>
          </a: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Relative Density 60/60 is the density of cargo at 60°F/density of fresh water at 60°F.</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Convert this density at 15°C, or API using table 3 in volume XI/XII.</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1" i="0" u="sng" strike="noStrike" kern="0" cap="none" spc="0" normalizeH="0" baseline="0" noProof="0">
              <a:ln>
                <a:noFill/>
              </a:ln>
              <a:solidFill>
                <a:srgbClr val="000000"/>
              </a:solidFill>
              <a:effectLst/>
              <a:uLnTx/>
              <a:uFillTx/>
              <a:latin typeface="Arial"/>
              <a:ea typeface="+mn-ea"/>
              <a:cs typeface="Arial"/>
            </a:rPr>
            <a:t>Specific Gravity</a:t>
          </a:r>
          <a:r>
            <a:rPr kumimoji="0" lang="en-SG" sz="1000" b="0" i="0" u="none" strike="noStrike" kern="0" cap="none" spc="0" normalizeH="0" baseline="0" noProof="0">
              <a:ln>
                <a:noFill/>
              </a:ln>
              <a:solidFill>
                <a:srgbClr val="000000"/>
              </a:solidFill>
              <a:effectLst/>
              <a:uLnTx/>
              <a:uFillTx/>
              <a:latin typeface="Arial"/>
              <a:ea typeface="+mn-ea"/>
              <a:cs typeface="Arial"/>
            </a:rPr>
            <a:t> - this parameter is more correctly identified and </a:t>
          </a:r>
          <a:r>
            <a:rPr kumimoji="0" lang="en-SG" sz="1000" b="1" i="0" u="sng" strike="noStrike" kern="0" cap="none" spc="0" normalizeH="0" baseline="0" noProof="0">
              <a:ln>
                <a:noFill/>
              </a:ln>
              <a:solidFill>
                <a:srgbClr val="000000"/>
              </a:solidFill>
              <a:effectLst/>
              <a:uLnTx/>
              <a:uFillTx/>
              <a:latin typeface="Arial"/>
              <a:ea typeface="+mn-ea"/>
              <a:cs typeface="Arial"/>
            </a:rPr>
            <a:t>termed Relative Density</a:t>
          </a:r>
          <a:r>
            <a:rPr kumimoji="0" lang="en-SG" sz="1000" b="0" i="0" u="none" strike="noStrike" kern="0" cap="none" spc="0" normalizeH="0" baseline="0" noProof="0">
              <a:ln>
                <a:noFill/>
              </a:ln>
              <a:solidFill>
                <a:srgbClr val="000000"/>
              </a:solidFill>
              <a:effectLst/>
              <a:uLnTx/>
              <a:uFillTx/>
              <a:latin typeface="Arial"/>
              <a:ea typeface="+mn-ea"/>
              <a:cs typeface="Arial"/>
            </a:rPr>
            <a:t>. The parameter has no units as it is the ratio of the Density of oil at a temperature to the Density of water at a temperature (thus the correct terminology of Relative Density). Commonly the recorded temperatures are 60/60°F but alternative temperatures of 15/4°C may also be found. This latter Relative Density is in fact Density @ 15°C given that the Density of water at 4°C is 1.00.</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200" b="1" i="0" u="none" strike="noStrike" kern="0" cap="none" spc="0" normalizeH="0" baseline="0" noProof="0">
              <a:ln>
                <a:noFill/>
              </a:ln>
              <a:solidFill>
                <a:srgbClr val="000000"/>
              </a:solidFill>
              <a:effectLst/>
              <a:uLnTx/>
              <a:uFillTx/>
              <a:latin typeface="Arial"/>
              <a:ea typeface="+mn-ea"/>
              <a:cs typeface="Arial"/>
            </a:rPr>
            <a:t>ASTM Tables</a:t>
          </a: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 Table 5A, 6A, 23A, 24A, 53A, and 54A are ASTM tables for Crude Oils</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 Table 5B, 6B, 23B, 24B, 53B, and 54B are ASTM tables for Petroleum products.</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 Table 5C, 24C and 54C are ASTM tables USING Thermal Expansion Coefficients.</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 Table 5D, 6D, 53D and 54D are ASTM tables for Lubrication Oils.</a:t>
          </a: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 The ODD tables are for converting API, Relative Density or Density into API</a:t>
          </a:r>
          <a:r>
            <a:rPr kumimoji="0" lang="en-SG" sz="1000" b="0" i="0" u="none" strike="noStrike" kern="0" cap="none" spc="0" normalizeH="0" baseline="30000" noProof="0">
              <a:ln>
                <a:noFill/>
              </a:ln>
              <a:solidFill>
                <a:srgbClr val="000000"/>
              </a:solidFill>
              <a:effectLst/>
              <a:uLnTx/>
              <a:uFillTx/>
              <a:latin typeface="Arial"/>
              <a:ea typeface="+mn-ea"/>
              <a:cs typeface="Arial"/>
            </a:rPr>
            <a:t>60</a:t>
          </a:r>
          <a:r>
            <a:rPr kumimoji="0" lang="en-SG" sz="1000" b="0" i="0" u="none" strike="noStrike" kern="0" cap="none" spc="0" normalizeH="0" baseline="0" noProof="0">
              <a:ln>
                <a:noFill/>
              </a:ln>
              <a:solidFill>
                <a:srgbClr val="000000"/>
              </a:solidFill>
              <a:effectLst/>
              <a:uLnTx/>
              <a:uFillTx/>
              <a:latin typeface="Arial"/>
              <a:ea typeface="+mn-ea"/>
              <a:cs typeface="Arial"/>
            </a:rPr>
            <a:t>, RD</a:t>
          </a:r>
          <a:r>
            <a:rPr kumimoji="0" lang="en-SG" sz="1000" b="0" i="0" u="none" strike="noStrike" kern="0" cap="none" spc="0" normalizeH="0" baseline="30000" noProof="0">
              <a:ln>
                <a:noFill/>
              </a:ln>
              <a:solidFill>
                <a:srgbClr val="000000"/>
              </a:solidFill>
              <a:effectLst/>
              <a:uLnTx/>
              <a:uFillTx/>
              <a:latin typeface="Arial"/>
              <a:ea typeface="+mn-ea"/>
              <a:cs typeface="Arial"/>
            </a:rPr>
            <a:t>60</a:t>
          </a:r>
          <a:r>
            <a:rPr kumimoji="0" lang="en-SG" sz="1000" b="0" i="0" u="none" strike="noStrike" kern="0" cap="none" spc="0" normalizeH="0" baseline="0" noProof="0">
              <a:ln>
                <a:noFill/>
              </a:ln>
              <a:solidFill>
                <a:srgbClr val="000000"/>
              </a:solidFill>
              <a:effectLst/>
              <a:uLnTx/>
              <a:uFillTx/>
              <a:latin typeface="Arial"/>
              <a:ea typeface="+mn-ea"/>
              <a:cs typeface="Arial"/>
            </a:rPr>
            <a:t> or DENS</a:t>
          </a:r>
          <a:r>
            <a:rPr kumimoji="0" lang="en-SG" sz="1000" b="0" i="0" u="none" strike="noStrike" kern="0" cap="none" spc="0" normalizeH="0" baseline="30000" noProof="0">
              <a:ln>
                <a:noFill/>
              </a:ln>
              <a:solidFill>
                <a:srgbClr val="000000"/>
              </a:solidFill>
              <a:effectLst/>
              <a:uLnTx/>
              <a:uFillTx/>
              <a:latin typeface="Arial"/>
              <a:ea typeface="+mn-ea"/>
              <a:cs typeface="Arial"/>
            </a:rPr>
            <a:t>15</a:t>
          </a:r>
          <a:r>
            <a:rPr kumimoji="0" lang="en-SG" sz="1000" b="0" i="0" u="none" strike="noStrike" kern="0" cap="none" spc="0" normalizeH="0" baseline="0" noProof="0">
              <a:ln>
                <a:noFill/>
              </a:ln>
              <a:solidFill>
                <a:srgbClr val="000000"/>
              </a:solidFill>
              <a:effectLst/>
              <a:uLnTx/>
              <a:uFillTx/>
              <a:latin typeface="Arial"/>
              <a:ea typeface="+mn-ea"/>
              <a:cs typeface="Arial"/>
            </a:rPr>
            <a:t>.</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If using Table 11 together with API60/60 and Stowfactor Longtons per Barrel, the result will be weight in longtons and in AIR.</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If using Table 13 together with API60/60 and Stowfactor Tonnes per Barrel, the result will be weight in Metric Tons and in AIR.</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kumimoji="0" lang="en-SG" sz="1000" b="0" i="0" u="none" strike="noStrike" kern="0" cap="none" spc="0" normalizeH="0" baseline="0" noProof="0">
              <a:ln>
                <a:noFill/>
              </a:ln>
              <a:solidFill>
                <a:srgbClr val="000000"/>
              </a:solidFill>
              <a:effectLst/>
              <a:uLnTx/>
              <a:uFillTx/>
              <a:latin typeface="Arial"/>
              <a:ea typeface="+mn-ea"/>
              <a:cs typeface="Arial"/>
            </a:rPr>
            <a:t>If converting from VACUUM to AIR do not subtract 1.1 from Dens15/15, always use Table 56 (Dens15 is in Kg/m3, therefore 1.1, and not 0.0011)</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endParaRPr kumimoji="0" lang="en-SG" sz="1000" b="0" i="0" u="none" strike="noStrike" kern="0" cap="none" spc="0" normalizeH="0" baseline="0" noProof="0">
            <a:ln>
              <a:noFill/>
            </a:ln>
            <a:solidFill>
              <a:srgbClr val="000000"/>
            </a:solidFill>
            <a:effectLst/>
            <a:uLnTx/>
            <a:uFillTx/>
            <a:latin typeface="Arial"/>
            <a:ea typeface="+mn-ea"/>
            <a:cs typeface="Arial"/>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400" b="1" i="0" u="sng" strike="noStrike">
              <a:effectLst/>
              <a:latin typeface="Arial" panose="020B0604020202020204" pitchFamily="34" charset="0"/>
            </a:rPr>
            <a:t>Definition of terms used </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API Gravity</a:t>
          </a:r>
          <a:r>
            <a:rPr lang="en-GB"/>
            <a:t> </a:t>
          </a:r>
          <a:r>
            <a:rPr lang="en-GB" sz="1000" b="0" i="0" u="none" strike="noStrike">
              <a:effectLst/>
              <a:latin typeface="Arial" panose="020B0604020202020204" pitchFamily="34" charset="0"/>
            </a:rPr>
            <a:t>   API Gravity is a numerical system used on petroleum and petroleum products correlated to density and relative </a:t>
          </a:r>
          <a:r>
            <a:rPr lang="en-GB"/>
            <a:t> </a:t>
          </a:r>
          <a:r>
            <a:rPr lang="en-GB" sz="1000" b="0" i="0" u="none" strike="noStrike">
              <a:effectLst/>
              <a:latin typeface="Arial" panose="020B0604020202020204" pitchFamily="34" charset="0"/>
            </a:rPr>
            <a:t>density (see API MPMS Chapter 9). The relative density to API relation is: </a:t>
          </a:r>
          <a:r>
            <a:rPr lang="en-GB"/>
            <a:t> </a:t>
          </a:r>
          <a:r>
            <a:rPr lang="en-GB" sz="1000" b="0" i="0" u="none" strike="noStrike">
              <a:effectLst/>
              <a:latin typeface="Arial" panose="020B0604020202020204" pitchFamily="34" charset="0"/>
            </a:rPr>
            <a:t>API Gravity @ 60F = (141.5 divided by relative density @ 60°F/60°F less 131.5</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Automatic Sampler</a:t>
          </a:r>
          <a:r>
            <a:rPr lang="en-GB"/>
            <a:t> </a:t>
          </a:r>
          <a:r>
            <a:rPr lang="en-GB" sz="1000" b="0" i="0" u="none" strike="noStrike">
              <a:effectLst/>
              <a:latin typeface="Arial" panose="020B0604020202020204" pitchFamily="34" charset="0"/>
            </a:rPr>
            <a:t>   An automatic sampler is a device used for obtaining, by automatic means, representative sample from the </a:t>
          </a:r>
          <a:r>
            <a:rPr lang="en-GB"/>
            <a:t> </a:t>
          </a:r>
          <a:r>
            <a:rPr lang="en-GB" sz="1000" b="0" i="0" u="none" strike="noStrike">
              <a:effectLst/>
              <a:latin typeface="Arial" panose="020B0604020202020204" pitchFamily="34" charset="0"/>
            </a:rPr>
            <a:t>fluid flowing in a pipe.</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Crude Oil Washing (COW)</a:t>
          </a:r>
          <a:r>
            <a:rPr lang="en-GB"/>
            <a:t> </a:t>
          </a:r>
          <a:r>
            <a:rPr lang="en-GB" sz="1000" b="0" i="0" u="none" strike="noStrike">
              <a:effectLst/>
              <a:latin typeface="Arial" panose="020B0604020202020204" pitchFamily="34" charset="0"/>
            </a:rPr>
            <a:t>   The use of a high-pressure stream of the crude oil cargo to dislodge or dissolve clingage from the bulkheads, </a:t>
          </a:r>
          <a:r>
            <a:rPr lang="en-GB"/>
            <a:t> </a:t>
          </a:r>
          <a:r>
            <a:rPr lang="en-GB" sz="1000" b="0" i="0" u="none" strike="noStrike">
              <a:effectLst/>
              <a:latin typeface="Arial" panose="020B0604020202020204" pitchFamily="34" charset="0"/>
            </a:rPr>
            <a:t>bottom and internal tank structures of a vessel during discharge operation.</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Density</a:t>
          </a:r>
          <a:r>
            <a:rPr lang="en-GB"/>
            <a:t> </a:t>
          </a:r>
          <a:r>
            <a:rPr lang="en-GB" sz="1000" b="0" i="0" u="none" strike="noStrike">
              <a:effectLst/>
              <a:latin typeface="Arial" panose="020B0604020202020204" pitchFamily="34" charset="0"/>
            </a:rPr>
            <a:t>   The ratio of the mass of a substance to its volume. Since density is dependent on temperature and pressure </a:t>
          </a:r>
          <a:r>
            <a:rPr lang="en-GB"/>
            <a:t> </a:t>
          </a:r>
          <a:r>
            <a:rPr lang="en-GB" sz="1000" b="0" i="0" u="none" strike="noStrike">
              <a:effectLst/>
              <a:latin typeface="Arial" panose="020B0604020202020204" pitchFamily="34" charset="0"/>
            </a:rPr>
            <a:t>these should be stated.</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Free Water (FW)</a:t>
          </a:r>
          <a:r>
            <a:rPr lang="en-GB"/>
            <a:t> </a:t>
          </a:r>
          <a:r>
            <a:rPr lang="en-GB" sz="1000" b="0" i="0" u="none" strike="noStrike">
              <a:effectLst/>
              <a:latin typeface="Arial" panose="020B0604020202020204" pitchFamily="34" charset="0"/>
            </a:rPr>
            <a:t>   The water that exists in a layer. It typically lies beneath the oil.</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Gross Observed Volume (GOV)</a:t>
          </a:r>
          <a:r>
            <a:rPr lang="en-GB"/>
            <a:t> </a:t>
          </a:r>
          <a:r>
            <a:rPr lang="en-GB" sz="1000" b="0" i="0" u="none" strike="noStrike">
              <a:effectLst/>
              <a:latin typeface="Arial" panose="020B0604020202020204" pitchFamily="34" charset="0"/>
            </a:rPr>
            <a:t>   Total Observed Volume (TOV) less Free Water (FW)</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Gross Standard Volume (GSV)</a:t>
          </a:r>
          <a:r>
            <a:rPr lang="en-GB"/>
            <a:t> </a:t>
          </a:r>
          <a:r>
            <a:rPr lang="en-GB" sz="1000" b="0" i="0" u="none" strike="noStrike">
              <a:effectLst/>
              <a:latin typeface="Arial" panose="020B0604020202020204" pitchFamily="34" charset="0"/>
            </a:rPr>
            <a:t>   The Gross Observed Volume (GOV) multiplied by the Volume Correction Factor (VCF). This may be either</a:t>
          </a:r>
          <a:r>
            <a:rPr lang="en-GB"/>
            <a:t> </a:t>
          </a:r>
          <a:r>
            <a:rPr lang="en-GB" sz="1000" b="0" i="0" u="none" strike="noStrike">
              <a:effectLst/>
              <a:latin typeface="Arial" panose="020B0604020202020204" pitchFamily="34" charset="0"/>
            </a:rPr>
            <a:t> the volume in a tank or correction Factor (VCF). This may be either the volume in a tank or the</a:t>
          </a:r>
          <a:r>
            <a:rPr lang="en-GB"/>
            <a:t> </a:t>
          </a:r>
          <a:r>
            <a:rPr lang="en-GB" sz="1000" b="0" i="0" u="none" strike="noStrike">
              <a:effectLst/>
              <a:latin typeface="Arial" panose="020B0604020202020204" pitchFamily="34" charset="0"/>
            </a:rPr>
            <a:t>difference between the volumes before and after a transfer.</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Load On Top (LOT)</a:t>
          </a:r>
          <a:r>
            <a:rPr lang="en-GB"/>
            <a:t> </a:t>
          </a:r>
          <a:r>
            <a:rPr lang="en-GB" sz="1000" b="0" i="0" u="none" strike="noStrike">
              <a:effectLst/>
              <a:latin typeface="Arial" panose="020B0604020202020204" pitchFamily="34" charset="0"/>
            </a:rPr>
            <a:t>   The procedure of commingling the recovered oil slops with the next cargo by loading the cargo on top of the</a:t>
          </a:r>
          <a:r>
            <a:rPr lang="en-GB"/>
            <a:t> </a:t>
          </a:r>
          <a:r>
            <a:rPr lang="en-GB" sz="1000" b="0" i="0" u="none" strike="noStrike">
              <a:effectLst/>
              <a:latin typeface="Arial" panose="020B0604020202020204" pitchFamily="34" charset="0"/>
            </a:rPr>
            <a:t>slops.</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Meter Factor (MF)</a:t>
          </a:r>
          <a:r>
            <a:rPr lang="en-GB"/>
            <a:t> </a:t>
          </a:r>
          <a:r>
            <a:rPr lang="en-GB" sz="1000" b="0" i="0" u="none" strike="noStrike">
              <a:effectLst/>
              <a:latin typeface="Arial" panose="020B0604020202020204" pitchFamily="34" charset="0"/>
            </a:rPr>
            <a:t>   The ratio of the actual volume of liquid passed through a meter to the volume indicated by the meter.</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Net Standard Volume (NSV)</a:t>
          </a:r>
          <a:r>
            <a:rPr lang="en-GB"/>
            <a:t> </a:t>
          </a:r>
          <a:r>
            <a:rPr lang="en-GB" sz="1000" b="0" i="0" u="none" strike="noStrike">
              <a:effectLst/>
              <a:latin typeface="Arial" panose="020B0604020202020204" pitchFamily="34" charset="0"/>
            </a:rPr>
            <a:t>   The Gross Standard Volume (GSV) less Sediment and Water (S+W).</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Observed Reference Height</a:t>
          </a:r>
          <a:r>
            <a:rPr lang="en-GB"/>
            <a:t> </a:t>
          </a:r>
          <a:r>
            <a:rPr lang="en-GB" sz="1000" b="0" i="0" u="none" strike="noStrike">
              <a:effectLst/>
              <a:latin typeface="Arial" panose="020B0604020202020204" pitchFamily="34" charset="0"/>
            </a:rPr>
            <a:t>   Observed reference height is the distance actually measured from the tank bottom or datum plate to the </a:t>
          </a:r>
          <a:r>
            <a:rPr lang="en-GB"/>
            <a:t> </a:t>
          </a:r>
          <a:r>
            <a:rPr lang="en-GB" sz="1000" b="0" i="0" u="none" strike="noStrike">
              <a:effectLst/>
              <a:latin typeface="Arial" panose="020B0604020202020204" pitchFamily="34" charset="0"/>
            </a:rPr>
            <a:t>established reference point.</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On Board Quantity (OBQ)</a:t>
          </a:r>
          <a:r>
            <a:rPr lang="en-GB"/>
            <a:t> </a:t>
          </a:r>
          <a:r>
            <a:rPr lang="en-GB" sz="1000" b="0" i="0" u="none" strike="noStrike">
              <a:effectLst/>
              <a:latin typeface="Arial" panose="020B0604020202020204" pitchFamily="34" charset="0"/>
            </a:rPr>
            <a:t>   All Material in vessel’s cargo tanks and associated lines immediately prior to loading. OBQ quantity may </a:t>
          </a:r>
          <a:r>
            <a:rPr lang="en-GB"/>
            <a:t> </a:t>
          </a:r>
          <a:r>
            <a:rPr lang="en-GB" sz="1000" b="0" i="0" u="none" strike="noStrike">
              <a:effectLst/>
              <a:latin typeface="Arial" panose="020B0604020202020204" pitchFamily="34" charset="0"/>
            </a:rPr>
            <a:t>include any combination of water. oil, LOT slops, oil residue, oil/water emulsions and non-liquid material.</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Outturn Loss</a:t>
          </a:r>
          <a:r>
            <a:rPr lang="en-GB"/>
            <a:t> </a:t>
          </a:r>
          <a:r>
            <a:rPr lang="en-GB" sz="1000" b="0" i="0" u="none" strike="noStrike">
              <a:effectLst/>
              <a:latin typeface="Arial" panose="020B0604020202020204" pitchFamily="34" charset="0"/>
            </a:rPr>
            <a:t>   The difference in Net Standard Volume NSV between the quantity shown on the Bill of Lading and the quantity </a:t>
          </a:r>
          <a:r>
            <a:rPr lang="en-GB"/>
            <a:t> </a:t>
          </a:r>
          <a:r>
            <a:rPr lang="en-GB" sz="1000" b="0" i="0" u="none" strike="noStrike">
              <a:effectLst/>
              <a:latin typeface="Arial" panose="020B0604020202020204" pitchFamily="34" charset="0"/>
            </a:rPr>
            <a:t>shown on the Outturn.</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Reference Height</a:t>
          </a:r>
          <a:r>
            <a:rPr lang="en-GB"/>
            <a:t> </a:t>
          </a:r>
          <a:r>
            <a:rPr lang="en-GB" sz="1000" b="0" i="0" u="none" strike="noStrike">
              <a:effectLst/>
              <a:latin typeface="Arial" panose="020B0604020202020204" pitchFamily="34" charset="0"/>
            </a:rPr>
            <a:t>   Reference height is the distance from the tank bottom and/or datum plate to the established reference</a:t>
          </a:r>
          <a:r>
            <a:rPr lang="en-GB"/>
            <a:t> </a:t>
          </a:r>
          <a:r>
            <a:rPr lang="en-GB" sz="1000" b="0" i="0" u="none" strike="noStrike">
              <a:effectLst/>
              <a:latin typeface="Arial" panose="020B0604020202020204" pitchFamily="34" charset="0"/>
            </a:rPr>
            <a:t>point or mark.</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Remaining On Board (ROB)</a:t>
          </a:r>
          <a:r>
            <a:rPr lang="en-GB"/>
            <a:t> </a:t>
          </a:r>
          <a:r>
            <a:rPr lang="en-GB" sz="1000" b="0" i="0" u="none" strike="noStrike">
              <a:effectLst/>
              <a:latin typeface="Arial" panose="020B0604020202020204" pitchFamily="34" charset="0"/>
            </a:rPr>
            <a:t>   All material in vessel's cargo tanks and associated lines after discharge. excluding vapour. ROB may include </a:t>
          </a:r>
          <a:r>
            <a:rPr lang="en-GB"/>
            <a:t> </a:t>
          </a:r>
          <a:r>
            <a:rPr lang="en-GB" sz="1000" b="0" i="0" u="none" strike="noStrike">
              <a:effectLst/>
              <a:latin typeface="Arial" panose="020B0604020202020204" pitchFamily="34" charset="0"/>
            </a:rPr>
            <a:t>any combination of water, oil, oil residue, oil/water emulsion and non-liquid material.</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Sediment and Water (S &amp; W)</a:t>
          </a:r>
          <a:r>
            <a:rPr lang="en-GB"/>
            <a:t> </a:t>
          </a:r>
          <a:r>
            <a:rPr lang="en-GB" sz="1000" b="0" i="0" u="none" strike="noStrike">
              <a:effectLst/>
              <a:latin typeface="Arial" panose="020B0604020202020204" pitchFamily="34" charset="0"/>
            </a:rPr>
            <a:t>   The non-hydrocarbon solid material and water in suspension within the oil.</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Sediment</a:t>
          </a:r>
          <a:r>
            <a:rPr lang="en-GB"/>
            <a:t> </a:t>
          </a:r>
          <a:r>
            <a:rPr lang="en-GB" sz="1000" b="0" i="0" u="none" strike="noStrike">
              <a:effectLst/>
              <a:latin typeface="Arial" panose="020B0604020202020204" pitchFamily="34" charset="0"/>
            </a:rPr>
            <a:t>   Suspended non-hydrocarbon solids material present within the oil but not in solution.</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Slops</a:t>
          </a:r>
          <a:r>
            <a:rPr lang="en-GB"/>
            <a:t> </a:t>
          </a:r>
          <a:r>
            <a:rPr lang="en-GB" sz="1000" b="0" i="0" u="none" strike="noStrike">
              <a:effectLst/>
              <a:latin typeface="Arial" panose="020B0604020202020204" pitchFamily="34" charset="0"/>
            </a:rPr>
            <a:t>   Material collected after such operations as stripping, tank washing or dirty ballast separation. It may include oil, </a:t>
          </a:r>
          <a:r>
            <a:rPr lang="en-GB"/>
            <a:t> </a:t>
          </a:r>
          <a:r>
            <a:rPr lang="en-GB" sz="1000" b="0" i="0" u="none" strike="noStrike">
              <a:effectLst/>
              <a:latin typeface="Arial" panose="020B0604020202020204" pitchFamily="34" charset="0"/>
            </a:rPr>
            <a:t>free water, suspended sediment and suspended water and is usually contained in a tank or tanks permanently </a:t>
          </a:r>
          <a:r>
            <a:rPr lang="en-GB"/>
            <a:t> </a:t>
          </a:r>
          <a:r>
            <a:rPr lang="en-GB" sz="1000" b="0" i="0" u="none" strike="noStrike">
              <a:effectLst/>
              <a:latin typeface="Arial" panose="020B0604020202020204" pitchFamily="34" charset="0"/>
            </a:rPr>
            <a:t>assigned to hold such material.</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Suspended Water</a:t>
          </a:r>
          <a:r>
            <a:rPr lang="en-GB"/>
            <a:t> </a:t>
          </a:r>
          <a:r>
            <a:rPr lang="en-GB" sz="1000" b="0" i="0" u="none" strike="noStrike">
              <a:effectLst/>
              <a:latin typeface="Arial" panose="020B0604020202020204" pitchFamily="34" charset="0"/>
            </a:rPr>
            <a:t>   The water within the oil which is finely dispersed as small droplets. It may, over a period of time, either collect </a:t>
          </a:r>
          <a:r>
            <a:rPr lang="en-GB"/>
            <a:t> </a:t>
          </a:r>
          <a:r>
            <a:rPr lang="en-GB" sz="1000" b="0" i="0" u="none" strike="noStrike">
              <a:effectLst/>
              <a:latin typeface="Arial" panose="020B0604020202020204" pitchFamily="34" charset="0"/>
            </a:rPr>
            <a:t>as free water or become dissolved water, depending on the condition of temperature and pressure prevailing.</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Total Calculated Volume (TCV)</a:t>
          </a:r>
          <a:r>
            <a:rPr lang="en-GB"/>
            <a:t> </a:t>
          </a:r>
          <a:r>
            <a:rPr lang="en-GB" sz="1000" b="0" i="0" u="none" strike="noStrike">
              <a:effectLst/>
              <a:latin typeface="Arial" panose="020B0604020202020204" pitchFamily="34" charset="0"/>
            </a:rPr>
            <a:t>   The Gross Standard Volume (GSV) plus Free Water (FW)</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Total Delivered Volume (TDV)</a:t>
          </a:r>
          <a:r>
            <a:rPr lang="en-GB"/>
            <a:t> </a:t>
          </a:r>
          <a:r>
            <a:rPr lang="en-GB" sz="1000" b="0" i="0" u="none" strike="noStrike">
              <a:effectLst/>
              <a:latin typeface="Arial" panose="020B0604020202020204" pitchFamily="34" charset="0"/>
            </a:rPr>
            <a:t>   Total Calculated Volume (TCV) on board before discharge less Total Calculated Volume (TCV) ROB.</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Total Received Volume (TRV)</a:t>
          </a:r>
          <a:r>
            <a:rPr lang="en-GB"/>
            <a:t> </a:t>
          </a:r>
          <a:r>
            <a:rPr lang="en-GB" sz="1000" b="0" i="0" u="none" strike="noStrike">
              <a:effectLst/>
              <a:latin typeface="Arial" panose="020B0604020202020204" pitchFamily="34" charset="0"/>
            </a:rPr>
            <a:t>   Total Calculated Volume (TCV) on board after loading less Total Calculated Volume (TCV) OBQ.</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Total Observed Volume (TOV)</a:t>
          </a:r>
          <a:r>
            <a:rPr lang="en-GB"/>
            <a:t> </a:t>
          </a:r>
          <a:r>
            <a:rPr lang="en-GB" sz="1000" b="0" i="0" u="none" strike="noStrike">
              <a:effectLst/>
              <a:latin typeface="Arial" panose="020B0604020202020204" pitchFamily="34" charset="0"/>
            </a:rPr>
            <a:t>   The volume of oil including total water &amp; total sediment measured at the oil temperature and pressure prevailing.</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Vessel Load Ratio (VLR)</a:t>
          </a:r>
          <a:r>
            <a:rPr lang="en-GB"/>
            <a:t> </a:t>
          </a:r>
          <a:r>
            <a:rPr lang="en-GB" sz="1000" b="0" i="0" u="none" strike="noStrike">
              <a:effectLst/>
              <a:latin typeface="Arial" panose="020B0604020202020204" pitchFamily="34" charset="0"/>
            </a:rPr>
            <a:t>   The Total Received Volume (TRV) divided by the quantity (TCV) measured by the shore loading terminal, i.e.</a:t>
          </a:r>
          <a:r>
            <a:rPr lang="en-GB"/>
            <a:t> </a:t>
          </a:r>
          <a:r>
            <a:rPr lang="en-GB" sz="1000" b="0" i="0" u="none" strike="noStrike">
              <a:effectLst/>
              <a:latin typeface="Arial" panose="020B0604020202020204" pitchFamily="34" charset="0"/>
            </a:rPr>
            <a:t>VLR =</a:t>
          </a:r>
          <a:r>
            <a:rPr lang="en-GB"/>
            <a:t> Vessel Total Received Volume (TRV) /  Shore TCV Delivered</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Vessel Discharge Ratio (VDR)</a:t>
          </a:r>
          <a:r>
            <a:rPr lang="en-GB"/>
            <a:t> </a:t>
          </a:r>
          <a:r>
            <a:rPr lang="en-GB" sz="1000" b="0" i="0" u="none" strike="noStrike">
              <a:effectLst/>
              <a:latin typeface="Arial" panose="020B0604020202020204" pitchFamily="34" charset="0"/>
            </a:rPr>
            <a:t>   The Total Delivered Volume (TOV) divided by the quantity (TCV) measured by the shore loading terminal, i.e.</a:t>
          </a:r>
          <a:r>
            <a:rPr lang="en-GB"/>
            <a:t> </a:t>
          </a:r>
          <a:r>
            <a:rPr lang="en-GB" sz="1000" b="0" i="0" u="none" strike="noStrike">
              <a:effectLst/>
              <a:latin typeface="Arial" panose="020B0604020202020204" pitchFamily="34" charset="0"/>
            </a:rPr>
            <a:t>VDR= Vessel Total Delivered Volume (TDV) /  Shore TCV Received </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Vessel’s Experience Factor - Loading (VEFL)</a:t>
          </a:r>
          <a:r>
            <a:rPr lang="en-GB"/>
            <a:t> </a:t>
          </a:r>
          <a:r>
            <a:rPr lang="en-GB" sz="1000" b="0" i="0" u="none" strike="noStrike">
              <a:effectLst/>
              <a:latin typeface="Arial" panose="020B0604020202020204" pitchFamily="34" charset="0"/>
            </a:rPr>
            <a:t>   The mean of the VLRs, over several voyages is called the Vessel’s Experience Factor at Loading (VEFL).</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Vessel’s Experience Factor – Discharge (VEFD)</a:t>
          </a:r>
          <a:r>
            <a:rPr lang="en-GB"/>
            <a:t> </a:t>
          </a:r>
          <a:r>
            <a:rPr lang="en-GB" sz="1000" b="0" i="0" u="none" strike="noStrike">
              <a:effectLst/>
              <a:latin typeface="Arial" panose="020B0604020202020204" pitchFamily="34" charset="0"/>
            </a:rPr>
            <a:t>   The mean of the VDRs. over several voyages is called the Vessel’s Experience Factor at Discharge (VEFD).</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Volume Correction Factor (VCF or Ctl)</a:t>
          </a:r>
          <a:r>
            <a:rPr lang="en-GB"/>
            <a:t> </a:t>
          </a:r>
          <a:r>
            <a:rPr lang="en-GB" sz="1000" b="0" i="0" u="none" strike="noStrike">
              <a:effectLst/>
              <a:latin typeface="Arial" panose="020B0604020202020204" pitchFamily="34" charset="0"/>
            </a:rPr>
            <a:t>   A factor dependent upon the oil API/Density/Relative Density and temperature which corrects oil volumes to</a:t>
          </a:r>
          <a:r>
            <a:rPr lang="en-GB"/>
            <a:t> </a:t>
          </a:r>
          <a:r>
            <a:rPr lang="en-GB" sz="1000" b="0" i="0" u="none" strike="noStrike">
              <a:effectLst/>
              <a:latin typeface="Arial" panose="020B0604020202020204" pitchFamily="34" charset="0"/>
            </a:rPr>
            <a:t>the standard reference temperature. In dynamic measurements this factor is known as Correction for Temperature </a:t>
          </a:r>
          <a:r>
            <a:rPr lang="en-GB"/>
            <a:t> </a:t>
          </a:r>
          <a:r>
            <a:rPr lang="en-GB" sz="1000" b="0" i="0" u="none" strike="noStrike">
              <a:effectLst/>
              <a:latin typeface="Arial" panose="020B0604020202020204" pitchFamily="34" charset="0"/>
            </a:rPr>
            <a:t>on Liquid (Ctl)</a:t>
          </a:r>
          <a:r>
            <a:rPr lang="en-GB"/>
            <a:t> </a:t>
          </a:r>
        </a:p>
        <a:p>
          <a:pPr marL="0" marR="0" lvl="0" indent="0" algn="l" defTabSz="914400" rtl="1" eaLnBrk="1" fontAlgn="auto" latinLnBrk="0" hangingPunct="1">
            <a:lnSpc>
              <a:spcPct val="100000"/>
            </a:lnSpc>
            <a:spcBef>
              <a:spcPts val="0"/>
            </a:spcBef>
            <a:spcAft>
              <a:spcPts val="0"/>
            </a:spcAft>
            <a:buClrTx/>
            <a:buSzTx/>
            <a:buFontTx/>
            <a:buNone/>
            <a:tabLst/>
            <a:defRPr sz="1000"/>
          </a:pPr>
          <a:endParaRPr lang="en-GB" sz="1000" b="1" i="0" u="none" strike="noStrike">
            <a:effectLst/>
            <a:latin typeface="Arial" panose="020B0604020202020204" pitchFamily="34" charset="0"/>
          </a:endParaRPr>
        </a:p>
        <a:p>
          <a:pPr marL="0" marR="0" lvl="0" indent="0" algn="l" defTabSz="914400" rtl="1" eaLnBrk="1" fontAlgn="auto" latinLnBrk="0" hangingPunct="1">
            <a:lnSpc>
              <a:spcPct val="100000"/>
            </a:lnSpc>
            <a:spcBef>
              <a:spcPts val="0"/>
            </a:spcBef>
            <a:spcAft>
              <a:spcPts val="0"/>
            </a:spcAft>
            <a:buClrTx/>
            <a:buSzTx/>
            <a:buFontTx/>
            <a:buNone/>
            <a:tabLst/>
            <a:defRPr sz="1000"/>
          </a:pPr>
          <a:r>
            <a:rPr lang="en-GB" sz="1000" b="1" i="0" u="none" strike="noStrike">
              <a:effectLst/>
              <a:latin typeface="Arial" panose="020B0604020202020204" pitchFamily="34" charset="0"/>
            </a:rPr>
            <a:t>Weight Conversion Factor (WCF)</a:t>
          </a:r>
          <a:r>
            <a:rPr lang="en-GB"/>
            <a:t> </a:t>
          </a:r>
          <a:r>
            <a:rPr lang="en-GB" sz="1000" b="0" i="0" u="none" strike="noStrike">
              <a:effectLst/>
              <a:latin typeface="Arial" panose="020B0604020202020204" pitchFamily="34" charset="0"/>
            </a:rPr>
            <a:t>   A factor, dependent on the API/Density/Relative Density, for converting volume to weight-in-air. Such factors</a:t>
          </a:r>
          <a:r>
            <a:rPr lang="en-GB"/>
            <a:t> </a:t>
          </a:r>
          <a:r>
            <a:rPr lang="en-GB" sz="1000" b="0" i="0" u="none" strike="noStrike">
              <a:effectLst/>
              <a:latin typeface="Arial" panose="020B0604020202020204" pitchFamily="34" charset="0"/>
            </a:rPr>
            <a:t>shall  be obtained from the API-ASTM-IP Petroleum Measurement Tables.</a:t>
          </a:r>
          <a:r>
            <a:rPr lang="en-GB"/>
            <a:t> </a:t>
          </a:r>
          <a:r>
            <a:rPr kumimoji="0" lang="en-SG" sz="1000" b="0" i="0" u="none" strike="noStrike" kern="0" cap="none" spc="0" normalizeH="0" baseline="0" noProof="0">
              <a:ln>
                <a:noFill/>
              </a:ln>
              <a:solidFill>
                <a:srgbClr val="000000"/>
              </a:solidFill>
              <a:effectLst/>
              <a:uLnTx/>
              <a:uFillTx/>
              <a:latin typeface="Arial"/>
              <a:ea typeface="+mn-ea"/>
              <a:cs typeface="Arial"/>
            </a:rPr>
            <a:t> </a:t>
          </a:r>
          <a:endParaRPr lang="en-US" sz="1000">
            <a:latin typeface="Arial" pitchFamily="34" charset="0"/>
            <a:cs typeface="Arial"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3</xdr:col>
      <xdr:colOff>1905</xdr:colOff>
      <xdr:row>3</xdr:row>
      <xdr:rowOff>11428</xdr:rowOff>
    </xdr:from>
    <xdr:to>
      <xdr:col>10</xdr:col>
      <xdr:colOff>691516</xdr:colOff>
      <xdr:row>125</xdr:row>
      <xdr:rowOff>142874</xdr:rowOff>
    </xdr:to>
    <xdr:sp macro="" textlink="">
      <xdr:nvSpPr>
        <xdr:cNvPr id="2" name="TextBox 1">
          <a:extLst>
            <a:ext uri="{FF2B5EF4-FFF2-40B4-BE49-F238E27FC236}">
              <a16:creationId xmlns:a16="http://schemas.microsoft.com/office/drawing/2014/main" id="{00000000-0008-0000-2800-000002000000}"/>
            </a:ext>
          </a:extLst>
        </xdr:cNvPr>
        <xdr:cNvSpPr txBox="1"/>
      </xdr:nvSpPr>
      <xdr:spPr>
        <a:xfrm>
          <a:off x="2699385" y="704848"/>
          <a:ext cx="7623811" cy="2498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000" b="1" i="0" baseline="0">
            <a:solidFill>
              <a:schemeClr val="dk1"/>
            </a:solidFill>
            <a:effectLst/>
            <a:latin typeface="Arial" pitchFamily="34" charset="0"/>
            <a:ea typeface="+mn-ea"/>
            <a:cs typeface="Arial" pitchFamily="34" charset="0"/>
          </a:endParaRPr>
        </a:p>
        <a:p>
          <a:pPr rtl="0"/>
          <a:endParaRPr lang="en-US" sz="1000" b="1" i="0" baseline="0">
            <a:solidFill>
              <a:schemeClr val="dk1"/>
            </a:solidFill>
            <a:effectLst/>
            <a:latin typeface="Arial" pitchFamily="34" charset="0"/>
            <a:ea typeface="+mn-ea"/>
            <a:cs typeface="Arial" pitchFamily="34" charset="0"/>
          </a:endParaRPr>
        </a:p>
        <a:p>
          <a:pPr fontAlgn="base"/>
          <a:r>
            <a:rPr lang="en-GB" sz="1800">
              <a:solidFill>
                <a:schemeClr val="dk1"/>
              </a:solidFill>
              <a:effectLst/>
              <a:latin typeface="Arial" panose="020B0604020202020204" pitchFamily="34" charset="0"/>
              <a:ea typeface="+mn-ea"/>
              <a:cs typeface="Arial" panose="020B0604020202020204" pitchFamily="34" charset="0"/>
            </a:rPr>
            <a:t>Procedure of Calculations Using Density, API &amp; Relative Density</a:t>
          </a:r>
          <a:endParaRPr lang="ru-RU" sz="1400">
            <a:effectLst/>
            <a:latin typeface="Arial" panose="020B0604020202020204" pitchFamily="34" charset="0"/>
            <a:cs typeface="Arial" panose="020B0604020202020204" pitchFamily="34" charset="0"/>
          </a:endParaRPr>
        </a:p>
        <a:p>
          <a:r>
            <a:rPr lang="en-GB" sz="1100">
              <a:solidFill>
                <a:schemeClr val="dk1"/>
              </a:solidFill>
              <a:effectLst/>
              <a:latin typeface="+mn-lt"/>
              <a:ea typeface="+mn-ea"/>
              <a:cs typeface="+mn-cs"/>
            </a:rPr>
            <a:t> </a:t>
          </a:r>
        </a:p>
        <a:p>
          <a:r>
            <a:rPr lang="en-GB" sz="1100" b="1">
              <a:solidFill>
                <a:schemeClr val="dk1"/>
              </a:solidFill>
              <a:effectLst/>
              <a:latin typeface="+mn-lt"/>
              <a:ea typeface="+mn-ea"/>
              <a:cs typeface="+mn-cs"/>
            </a:rPr>
            <a:t>Working with Density at 15°C in air:</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1) Observed Ullage – apply corrections – get Corrected Ullage</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2) Observed Interface – apply corrections – get Corrected Interface</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3) From Corrected Ullage, find Total Observed Volume TOV (in cubic metres)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4) From Corrected Interface, find Volume of Water (in cubic metres)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5) TOV – Water = Gross Observed Volume (GOV) of Cargo (in cubic metres)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6) Use Density at 15°C and Observed Temperature (°C) and find Volume Correction Factor (VCF) from Table 54</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7) Gross Standard Volume (GSV) = GOV x VCF (cubic metres)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8) Weight Correction Factor (WCF) = Density at 15°C in vacuum – 0.0011 (or the Density at 15°C in air)</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9) Weight in Air (Metric Ton) = GSV x WCF(Density at 15°C in air)</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10) Weight in Vaccum (Metric Ton) = GSV x Density at 15°C in vacuum</a:t>
          </a:r>
          <a:endParaRPr lang="ru-RU" sz="1000">
            <a:effectLst/>
          </a:endParaRPr>
        </a:p>
        <a:p>
          <a:pPr fontAlgn="base"/>
          <a:endParaRPr lang="en-GB" sz="1100" b="1">
            <a:solidFill>
              <a:schemeClr val="dk1"/>
            </a:solidFill>
            <a:effectLst/>
            <a:latin typeface="+mn-lt"/>
            <a:ea typeface="+mn-ea"/>
            <a:cs typeface="+mn-cs"/>
          </a:endParaRPr>
        </a:p>
        <a:p>
          <a:pPr fontAlgn="base"/>
          <a:r>
            <a:rPr lang="en-GB" sz="1100" b="1">
              <a:solidFill>
                <a:schemeClr val="dk1"/>
              </a:solidFill>
              <a:effectLst/>
              <a:latin typeface="+mn-lt"/>
              <a:ea typeface="+mn-ea"/>
              <a:cs typeface="+mn-cs"/>
            </a:rPr>
            <a:t>Working with API Gravity at 60°F:</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1) Observed Ullage – apply corrections – get Corrected Ullage</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2) Observed Interface – apply corrections – get Corrected Interface</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3) From Corrected Ullage, find Gross Observed Volume (in US Barrels)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4) From Corrected Interface, find Volume of Water (in US Barrels)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5) GOV – Water = Observed Volume of Cargo (in US Barrels)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6) Use API Gravity at 60°F and Observed Temperature (°F) and find Volume Correction Factor (VCF) from Table 6</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7) Gross Standard Volume (GSV) = Observed Cargo Volume (Barrels) x VCF (in US Barrels)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8) Find Weight Correction Factor (WCF) from Table 13</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9) Weight in Air (Metric Tons) = GSV x WCF</a:t>
          </a:r>
          <a:endParaRPr lang="ru-RU" sz="1000">
            <a:effectLst/>
          </a:endParaRP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Working with Relative Density at 60/60°F:</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1) Observed Ullage – apply corrections – get Corrected Ullage</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2) Observed Interface – apply corrections – get Corrected Interface</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3) From Corrected Ullage, find Gross Observed Volume (in cubic metres)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4) From Corrected Interface, find Volume of Water (in cubic metres)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5) GOV – Water = Observed Volume of Cargo (in cubic metres)</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6) Use Relative Density at 60/60°F and Observed Temperature (°F) and find Volume Correction Factor (VCF) from Table 24</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7) Gross Standard Volume (GSV) = Observed Cargo Volume (m</a:t>
          </a:r>
          <a:r>
            <a:rPr lang="en-GB" sz="1100" baseline="30000">
              <a:solidFill>
                <a:schemeClr val="dk1"/>
              </a:solidFill>
              <a:effectLst/>
              <a:latin typeface="+mn-lt"/>
              <a:ea typeface="+mn-ea"/>
              <a:cs typeface="+mn-cs"/>
            </a:rPr>
            <a:t>3</a:t>
          </a:r>
          <a:r>
            <a:rPr lang="en-GB" sz="1100">
              <a:solidFill>
                <a:schemeClr val="dk1"/>
              </a:solidFill>
              <a:effectLst/>
              <a:latin typeface="+mn-lt"/>
              <a:ea typeface="+mn-ea"/>
              <a:cs typeface="+mn-cs"/>
            </a:rPr>
            <a:t>) x VCF (in m</a:t>
          </a:r>
          <a:r>
            <a:rPr lang="en-GB" sz="1100" baseline="30000">
              <a:solidFill>
                <a:schemeClr val="dk1"/>
              </a:solidFill>
              <a:effectLst/>
              <a:latin typeface="+mn-lt"/>
              <a:ea typeface="+mn-ea"/>
              <a:cs typeface="+mn-cs"/>
            </a:rPr>
            <a:t>3</a:t>
          </a:r>
          <a:r>
            <a:rPr lang="en-GB" sz="1100">
              <a:solidFill>
                <a:schemeClr val="dk1"/>
              </a:solidFill>
              <a:effectLst/>
              <a:latin typeface="+mn-lt"/>
              <a:ea typeface="+mn-ea"/>
              <a:cs typeface="+mn-cs"/>
            </a:rPr>
            <a:t>)</a:t>
          </a:r>
          <a:br>
            <a:rPr lang="en-GB" sz="1100">
              <a:solidFill>
                <a:schemeClr val="dk1"/>
              </a:solidFill>
              <a:effectLst/>
              <a:latin typeface="+mn-lt"/>
              <a:ea typeface="+mn-ea"/>
              <a:cs typeface="+mn-cs"/>
            </a:rPr>
          </a:br>
          <a:r>
            <a:rPr lang="en-GB" sz="1100">
              <a:solidFill>
                <a:schemeClr val="dk1"/>
              </a:solidFill>
              <a:effectLst/>
              <a:latin typeface="+mn-lt"/>
              <a:ea typeface="+mn-ea"/>
              <a:cs typeface="+mn-cs"/>
            </a:rPr>
            <a:t>8) Weight in Air (Metric Ton) = GSV x Relative Density at 60/60°F</a:t>
          </a:r>
          <a:endParaRPr lang="en-US" sz="1000">
            <a:latin typeface="Arial" pitchFamily="34" charset="0"/>
            <a:cs typeface="Arial" pitchFamily="34"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180974</xdr:colOff>
      <xdr:row>2</xdr:row>
      <xdr:rowOff>266694</xdr:rowOff>
    </xdr:from>
    <xdr:to>
      <xdr:col>3</xdr:col>
      <xdr:colOff>8351999</xdr:colOff>
      <xdr:row>948</xdr:row>
      <xdr:rowOff>68580</xdr:rowOff>
    </xdr:to>
    <xdr:sp macro="" textlink="">
      <xdr:nvSpPr>
        <xdr:cNvPr id="2" name="TextBox 1">
          <a:extLst>
            <a:ext uri="{FF2B5EF4-FFF2-40B4-BE49-F238E27FC236}">
              <a16:creationId xmlns:a16="http://schemas.microsoft.com/office/drawing/2014/main" id="{00000000-0008-0000-2900-000002000000}"/>
            </a:ext>
          </a:extLst>
        </xdr:cNvPr>
        <xdr:cNvSpPr txBox="1"/>
      </xdr:nvSpPr>
      <xdr:spPr>
        <a:xfrm>
          <a:off x="2695574" y="693414"/>
          <a:ext cx="8353905" cy="161985966"/>
        </a:xfrm>
        <a:prstGeom prst="rect">
          <a:avLst/>
        </a:prstGeom>
        <a:solidFill>
          <a:schemeClr val="bg1"/>
        </a:solidFill>
        <a:ln w="1270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Arial" panose="020B0604020202020204" pitchFamily="34" charset="0"/>
            <a:cs typeface="Arial" panose="020B0604020202020204" pitchFamily="34" charset="0"/>
          </a:endParaRPr>
        </a:p>
        <a:p>
          <a:r>
            <a:rPr lang="en-US" sz="1800" b="1">
              <a:solidFill>
                <a:schemeClr val="dk1"/>
              </a:solidFill>
              <a:effectLst/>
              <a:latin typeface="+mn-lt"/>
              <a:ea typeface="+mn-ea"/>
              <a:cs typeface="+mn-cs"/>
            </a:rPr>
            <a:t>Calculations </a:t>
          </a:r>
          <a:endParaRPr lang="en-GB" sz="1800" b="1">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600" b="1">
              <a:solidFill>
                <a:schemeClr val="dk1"/>
              </a:solidFill>
              <a:effectLst/>
              <a:latin typeface="+mn-lt"/>
              <a:ea typeface="+mn-ea"/>
              <a:cs typeface="+mn-cs"/>
            </a:rPr>
            <a:t>II.1. DENSITY</a:t>
          </a:r>
          <a:r>
            <a:rPr lang="en-US" sz="1600">
              <a:solidFill>
                <a:schemeClr val="dk1"/>
              </a:solidFill>
              <a:effectLst/>
              <a:latin typeface="+mn-lt"/>
              <a:ea typeface="+mn-ea"/>
              <a:cs typeface="+mn-cs"/>
            </a:rPr>
            <a:t> </a:t>
          </a:r>
          <a:endParaRPr lang="en-GB" sz="16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400" b="1">
              <a:solidFill>
                <a:schemeClr val="dk1"/>
              </a:solidFill>
              <a:effectLst/>
              <a:latin typeface="+mn-lt"/>
              <a:ea typeface="+mn-ea"/>
              <a:cs typeface="+mn-cs"/>
            </a:rPr>
            <a:t>Speaking about density ......</a:t>
          </a:r>
          <a:br>
            <a:rPr lang="en-US" sz="1400">
              <a:solidFill>
                <a:schemeClr val="dk1"/>
              </a:solidFill>
              <a:effectLst/>
              <a:latin typeface="+mn-lt"/>
              <a:ea typeface="+mn-ea"/>
              <a:cs typeface="+mn-cs"/>
            </a:rPr>
          </a:br>
          <a:br>
            <a:rPr lang="en-US" sz="1400">
              <a:solidFill>
                <a:schemeClr val="dk1"/>
              </a:solidFill>
              <a:effectLst/>
              <a:latin typeface="+mn-lt"/>
              <a:ea typeface="+mn-ea"/>
              <a:cs typeface="+mn-cs"/>
            </a:rPr>
          </a:br>
          <a:r>
            <a:rPr lang="en-US" sz="1200">
              <a:solidFill>
                <a:schemeClr val="dk1"/>
              </a:solidFill>
              <a:effectLst/>
              <a:latin typeface="+mn-lt"/>
              <a:ea typeface="+mn-ea"/>
              <a:cs typeface="+mn-cs"/>
            </a:rPr>
            <a:t>All ASTM Tables require a density or equivalent (Relative Density or API) as argument to enter the tables.</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In East European countries density at 20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C is used. In West European countries density at 15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C is often used.</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In other countries an API or even a relative density at 60/60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F is applied.</a:t>
          </a:r>
          <a:endParaRPr lang="en-GB" sz="12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400" b="1">
              <a:solidFill>
                <a:schemeClr val="dk1"/>
              </a:solidFill>
              <a:effectLst/>
              <a:latin typeface="+mn-lt"/>
              <a:ea typeface="+mn-ea"/>
              <a:cs typeface="+mn-cs"/>
            </a:rPr>
            <a:t>II.1.1. Density at t </a:t>
          </a:r>
          <a:r>
            <a:rPr lang="en-US" sz="1400" b="1" baseline="30000">
              <a:solidFill>
                <a:schemeClr val="dk1"/>
              </a:solidFill>
              <a:effectLst/>
              <a:latin typeface="+mn-lt"/>
              <a:ea typeface="+mn-ea"/>
              <a:cs typeface="+mn-cs"/>
            </a:rPr>
            <a:t>o</a:t>
          </a:r>
          <a:r>
            <a:rPr lang="en-US" sz="1400" b="1">
              <a:solidFill>
                <a:schemeClr val="dk1"/>
              </a:solidFill>
              <a:effectLst/>
              <a:latin typeface="+mn-lt"/>
              <a:ea typeface="+mn-ea"/>
              <a:cs typeface="+mn-cs"/>
            </a:rPr>
            <a:t>C.</a:t>
          </a:r>
          <a:r>
            <a:rPr lang="en-US" sz="1400">
              <a:solidFill>
                <a:schemeClr val="dk1"/>
              </a:solidFill>
              <a:effectLst/>
              <a:latin typeface="+mn-lt"/>
              <a:ea typeface="+mn-ea"/>
              <a:cs typeface="+mn-cs"/>
            </a:rPr>
            <a:t> </a:t>
          </a:r>
          <a:endParaRPr lang="en-GB" sz="1400">
            <a:solidFill>
              <a:schemeClr val="dk1"/>
            </a:solidFill>
            <a:effectLst/>
            <a:latin typeface="+mn-lt"/>
            <a:ea typeface="+mn-ea"/>
            <a:cs typeface="+mn-cs"/>
          </a:endParaRPr>
        </a:p>
        <a:p>
          <a:endParaRPr lang="en-GB" sz="1200">
            <a:solidFill>
              <a:schemeClr val="dk1"/>
            </a:solidFill>
            <a:effectLst/>
            <a:latin typeface="+mn-lt"/>
            <a:ea typeface="+mn-ea"/>
            <a:cs typeface="+mn-cs"/>
          </a:endParaRPr>
        </a:p>
        <a:p>
          <a:pPr algn="l"/>
          <a:r>
            <a:rPr lang="en-US" sz="1200" i="1">
              <a:solidFill>
                <a:schemeClr val="dk1"/>
              </a:solidFill>
              <a:effectLst/>
              <a:latin typeface="+mn-lt"/>
              <a:ea typeface="+mn-ea"/>
              <a:cs typeface="+mn-cs"/>
            </a:rPr>
            <a:t>		       </a:t>
          </a:r>
          <a:r>
            <a:rPr lang="en-US" sz="1200" i="1" baseline="0">
              <a:solidFill>
                <a:schemeClr val="dk1"/>
              </a:solidFill>
              <a:effectLst/>
              <a:latin typeface="+mn-lt"/>
              <a:ea typeface="+mn-ea"/>
              <a:cs typeface="+mn-cs"/>
            </a:rPr>
            <a:t>   </a:t>
          </a:r>
          <a:r>
            <a:rPr lang="en-US" sz="1200" i="1">
              <a:solidFill>
                <a:schemeClr val="dk1"/>
              </a:solidFill>
              <a:effectLst/>
              <a:latin typeface="+mn-lt"/>
              <a:ea typeface="+mn-ea"/>
              <a:cs typeface="+mn-cs"/>
            </a:rPr>
            <a:t> mass of a given volume of that product</a:t>
          </a:r>
          <a:endParaRPr lang="en-GB" sz="1200">
            <a:solidFill>
              <a:schemeClr val="dk1"/>
            </a:solidFill>
            <a:effectLst/>
            <a:latin typeface="+mn-lt"/>
            <a:ea typeface="+mn-ea"/>
            <a:cs typeface="+mn-cs"/>
          </a:endParaRPr>
        </a:p>
        <a:p>
          <a:pPr algn="l"/>
          <a:r>
            <a:rPr lang="en-US" sz="1200">
              <a:solidFill>
                <a:schemeClr val="dk1"/>
              </a:solidFill>
              <a:effectLst/>
              <a:latin typeface="+mn-lt"/>
              <a:ea typeface="+mn-ea"/>
              <a:cs typeface="+mn-cs"/>
            </a:rPr>
            <a:t>The density of a product at t °C.  =  </a:t>
          </a:r>
          <a:r>
            <a:rPr lang="en-US" sz="1200" i="1">
              <a:solidFill>
                <a:schemeClr val="dk1"/>
              </a:solidFill>
              <a:effectLst/>
              <a:latin typeface="+mn-lt"/>
              <a:ea typeface="+mn-ea"/>
              <a:cs typeface="+mn-cs"/>
            </a:rPr>
            <a:t>--------------------------------------------------------</a:t>
          </a:r>
          <a:endParaRPr lang="en-GB" sz="1200">
            <a:solidFill>
              <a:schemeClr val="dk1"/>
            </a:solidFill>
            <a:effectLst/>
            <a:latin typeface="+mn-lt"/>
            <a:ea typeface="+mn-ea"/>
            <a:cs typeface="+mn-cs"/>
          </a:endParaRPr>
        </a:p>
        <a:p>
          <a:pPr algn="l"/>
          <a:r>
            <a:rPr lang="en-US" sz="1200" i="1">
              <a:solidFill>
                <a:schemeClr val="dk1"/>
              </a:solidFill>
              <a:effectLst/>
              <a:latin typeface="+mn-lt"/>
              <a:ea typeface="+mn-ea"/>
              <a:cs typeface="+mn-cs"/>
            </a:rPr>
            <a:t>		</a:t>
          </a:r>
          <a:r>
            <a:rPr lang="en-US" sz="1200" i="1" baseline="0">
              <a:solidFill>
                <a:schemeClr val="dk1"/>
              </a:solidFill>
              <a:effectLst/>
              <a:latin typeface="+mn-lt"/>
              <a:ea typeface="+mn-ea"/>
              <a:cs typeface="+mn-cs"/>
            </a:rPr>
            <a:t>              V</a:t>
          </a:r>
          <a:r>
            <a:rPr lang="en-US" sz="1200" i="1">
              <a:solidFill>
                <a:schemeClr val="dk1"/>
              </a:solidFill>
              <a:effectLst/>
              <a:latin typeface="+mn-lt"/>
              <a:ea typeface="+mn-ea"/>
              <a:cs typeface="+mn-cs"/>
            </a:rPr>
            <a:t>olume of that quantity at t°C.</a:t>
          </a:r>
          <a:endParaRPr lang="en-GB" sz="1200">
            <a:solidFill>
              <a:schemeClr val="dk1"/>
            </a:solidFill>
            <a:effectLst/>
            <a:latin typeface="+mn-lt"/>
            <a:ea typeface="+mn-ea"/>
            <a:cs typeface="+mn-cs"/>
          </a:endParaRP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Mass is given in </a:t>
          </a:r>
          <a:r>
            <a:rPr lang="en-US" sz="1200" b="1">
              <a:solidFill>
                <a:schemeClr val="dk1"/>
              </a:solidFill>
              <a:effectLst/>
              <a:latin typeface="+mn-lt"/>
              <a:ea typeface="+mn-ea"/>
              <a:cs typeface="+mn-cs"/>
            </a:rPr>
            <a:t>Kg</a:t>
          </a:r>
          <a:r>
            <a:rPr lang="en-US" sz="1200">
              <a:solidFill>
                <a:schemeClr val="dk1"/>
              </a:solidFill>
              <a:effectLst/>
              <a:latin typeface="+mn-lt"/>
              <a:ea typeface="+mn-ea"/>
              <a:cs typeface="+mn-cs"/>
            </a:rPr>
            <a:t>, volume given in </a:t>
          </a:r>
          <a:r>
            <a:rPr lang="en-US" sz="1200" b="1">
              <a:solidFill>
                <a:schemeClr val="dk1"/>
              </a:solidFill>
              <a:effectLst/>
              <a:latin typeface="+mn-lt"/>
              <a:ea typeface="+mn-ea"/>
              <a:cs typeface="+mn-cs"/>
            </a:rPr>
            <a:t>litres</a:t>
          </a:r>
          <a:r>
            <a:rPr lang="en-US" sz="1200">
              <a:solidFill>
                <a:schemeClr val="dk1"/>
              </a:solidFill>
              <a:effectLst/>
              <a:latin typeface="+mn-lt"/>
              <a:ea typeface="+mn-ea"/>
              <a:cs typeface="+mn-cs"/>
            </a:rPr>
            <a:t> or </a:t>
          </a:r>
          <a:r>
            <a:rPr lang="en-US" sz="1200" b="1">
              <a:solidFill>
                <a:schemeClr val="dk1"/>
              </a:solidFill>
              <a:effectLst/>
              <a:latin typeface="+mn-lt"/>
              <a:ea typeface="+mn-ea"/>
              <a:cs typeface="+mn-cs"/>
            </a:rPr>
            <a:t>m</a:t>
          </a:r>
          <a:r>
            <a:rPr lang="en-US" sz="1200" b="1" baseline="30000">
              <a:solidFill>
                <a:schemeClr val="dk1"/>
              </a:solidFill>
              <a:effectLst/>
              <a:latin typeface="+mn-lt"/>
              <a:ea typeface="+mn-ea"/>
              <a:cs typeface="+mn-cs"/>
            </a:rPr>
            <a:t>3</a:t>
          </a:r>
          <a:r>
            <a:rPr lang="en-US" sz="1200">
              <a:solidFill>
                <a:schemeClr val="dk1"/>
              </a:solidFill>
              <a:effectLst/>
              <a:latin typeface="+mn-lt"/>
              <a:ea typeface="+mn-ea"/>
              <a:cs typeface="+mn-cs"/>
            </a:rPr>
            <a:t>. So the density is expressed in kg/l or kg/m</a:t>
          </a:r>
          <a:r>
            <a:rPr lang="en-US" sz="1200" baseline="30000">
              <a:solidFill>
                <a:schemeClr val="dk1"/>
              </a:solidFill>
              <a:effectLst/>
              <a:latin typeface="+mn-lt"/>
              <a:ea typeface="+mn-ea"/>
              <a:cs typeface="+mn-cs"/>
            </a:rPr>
            <a:t>3</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taking in account that 1 kg/l = 1000 kg/m</a:t>
          </a:r>
          <a:r>
            <a:rPr lang="en-US" sz="1200" baseline="30000">
              <a:solidFill>
                <a:schemeClr val="dk1"/>
              </a:solidFill>
              <a:effectLst/>
              <a:latin typeface="+mn-lt"/>
              <a:ea typeface="+mn-ea"/>
              <a:cs typeface="+mn-cs"/>
            </a:rPr>
            <a:t>3</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Density is also referred to as: </a:t>
          </a:r>
          <a:r>
            <a:rPr lang="en-US" sz="1200" i="1">
              <a:solidFill>
                <a:schemeClr val="dk1"/>
              </a:solidFill>
              <a:effectLst/>
              <a:latin typeface="+mn-lt"/>
              <a:ea typeface="+mn-ea"/>
              <a:cs typeface="+mn-cs"/>
            </a:rPr>
            <a:t>density at t</a:t>
          </a:r>
          <a:r>
            <a:rPr lang="en-US" sz="1200" i="1" baseline="30000">
              <a:solidFill>
                <a:schemeClr val="dk1"/>
              </a:solidFill>
              <a:effectLst/>
              <a:latin typeface="+mn-lt"/>
              <a:ea typeface="+mn-ea"/>
              <a:cs typeface="+mn-cs"/>
            </a:rPr>
            <a:t> o</a:t>
          </a:r>
          <a:r>
            <a:rPr lang="en-US" sz="1200" i="1">
              <a:solidFill>
                <a:schemeClr val="dk1"/>
              </a:solidFill>
              <a:effectLst/>
              <a:latin typeface="+mn-lt"/>
              <a:ea typeface="+mn-ea"/>
              <a:cs typeface="+mn-cs"/>
            </a:rPr>
            <a:t>C.</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b="1">
              <a:solidFill>
                <a:schemeClr val="dk1"/>
              </a:solidFill>
              <a:effectLst/>
              <a:latin typeface="+mn-lt"/>
              <a:ea typeface="+mn-ea"/>
              <a:cs typeface="+mn-cs"/>
            </a:rPr>
            <a:t>Density </a:t>
          </a:r>
          <a:r>
            <a:rPr lang="en-US" sz="1200">
              <a:solidFill>
                <a:schemeClr val="dk1"/>
              </a:solidFill>
              <a:effectLst/>
              <a:latin typeface="+mn-lt"/>
              <a:ea typeface="+mn-ea"/>
              <a:cs typeface="+mn-cs"/>
            </a:rPr>
            <a:t>appears in the following forms:</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density at 15°C.</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 density at 20°C.</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400" b="1">
              <a:solidFill>
                <a:schemeClr val="dk1"/>
              </a:solidFill>
              <a:effectLst/>
              <a:latin typeface="+mn-lt"/>
              <a:ea typeface="+mn-ea"/>
              <a:cs typeface="+mn-cs"/>
            </a:rPr>
            <a:t>II.1.2. Relative density</a:t>
          </a:r>
          <a:r>
            <a:rPr lang="en-US" sz="1400">
              <a:solidFill>
                <a:schemeClr val="dk1"/>
              </a:solidFill>
              <a:effectLst/>
              <a:latin typeface="+mn-lt"/>
              <a:ea typeface="+mn-ea"/>
              <a:cs typeface="+mn-cs"/>
            </a:rPr>
            <a:t> </a:t>
          </a:r>
          <a:endParaRPr lang="en-GB" sz="14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Relative density occurs under the following names: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relative density</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specific gravity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The relative density t1/t2 °C. (or °F.) of a product is the </a:t>
          </a:r>
          <a:r>
            <a:rPr lang="en-US" sz="1200" i="1">
              <a:solidFill>
                <a:schemeClr val="dk1"/>
              </a:solidFill>
              <a:effectLst/>
              <a:latin typeface="+mn-lt"/>
              <a:ea typeface="+mn-ea"/>
              <a:cs typeface="+mn-cs"/>
            </a:rPr>
            <a:t>ratio</a:t>
          </a:r>
          <a:r>
            <a:rPr lang="en-US" sz="1200">
              <a:solidFill>
                <a:schemeClr val="dk1"/>
              </a:solidFill>
              <a:effectLst/>
              <a:latin typeface="+mn-lt"/>
              <a:ea typeface="+mn-ea"/>
              <a:cs typeface="+mn-cs"/>
            </a:rPr>
            <a:t> of the density of that product at t1 °, divided by the density of water   at t2 °.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In formula:</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endParaRPr lang="en-GB" sz="1200">
            <a:solidFill>
              <a:schemeClr val="dk1"/>
            </a:solidFill>
            <a:effectLst/>
            <a:latin typeface="+mn-lt"/>
            <a:ea typeface="+mn-ea"/>
            <a:cs typeface="+mn-cs"/>
          </a:endParaRPr>
        </a:p>
        <a:p>
          <a:r>
            <a:rPr lang="en-US" sz="1200" i="1">
              <a:solidFill>
                <a:schemeClr val="dk1"/>
              </a:solidFill>
              <a:effectLst/>
              <a:latin typeface="+mn-lt"/>
              <a:ea typeface="+mn-ea"/>
              <a:cs typeface="+mn-cs"/>
            </a:rPr>
            <a:t>		                      density of product at t1° </a:t>
          </a:r>
          <a:endParaRPr lang="en-GB" sz="1200">
            <a:solidFill>
              <a:schemeClr val="dk1"/>
            </a:solidFill>
            <a:effectLst/>
            <a:latin typeface="+mn-lt"/>
            <a:ea typeface="+mn-ea"/>
            <a:cs typeface="+mn-cs"/>
          </a:endParaRPr>
        </a:p>
        <a:p>
          <a:r>
            <a:rPr lang="en-US" sz="1200" i="1">
              <a:solidFill>
                <a:schemeClr val="dk1"/>
              </a:solidFill>
              <a:effectLst/>
              <a:latin typeface="+mn-lt"/>
              <a:ea typeface="+mn-ea"/>
              <a:cs typeface="+mn-cs"/>
            </a:rPr>
            <a:t>	relative density t1/t2°  =  -------------------------------------</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r>
            <a:rPr lang="en-US" sz="1200" i="1">
              <a:solidFill>
                <a:schemeClr val="dk1"/>
              </a:solidFill>
              <a:effectLst/>
              <a:latin typeface="+mn-lt"/>
              <a:ea typeface="+mn-ea"/>
              <a:cs typeface="+mn-cs"/>
            </a:rPr>
            <a:t>density of water at t2° </a:t>
          </a:r>
          <a:endParaRPr lang="en-GB" sz="1200">
            <a:solidFill>
              <a:schemeClr val="dk1"/>
            </a:solidFill>
            <a:effectLst/>
            <a:latin typeface="+mn-lt"/>
            <a:ea typeface="+mn-ea"/>
            <a:cs typeface="+mn-cs"/>
          </a:endParaRPr>
        </a:p>
        <a:p>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Both above and below the bar of division the unit is kg/l, so the units will disappear in this formula.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Conclusion: Relative density is a numeric value without unit.</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200" b="1" i="1">
              <a:solidFill>
                <a:schemeClr val="dk1"/>
              </a:solidFill>
              <a:effectLst/>
              <a:latin typeface="+mn-lt"/>
              <a:ea typeface="+mn-ea"/>
              <a:cs typeface="+mn-cs"/>
            </a:rPr>
            <a:t>II.1.2.1. Specific Gravity 60/60</a:t>
          </a:r>
          <a:r>
            <a:rPr lang="en-US" sz="1200" b="1" i="1" baseline="30000">
              <a:solidFill>
                <a:schemeClr val="dk1"/>
              </a:solidFill>
              <a:effectLst/>
              <a:latin typeface="+mn-lt"/>
              <a:ea typeface="+mn-ea"/>
              <a:cs typeface="+mn-cs"/>
            </a:rPr>
            <a:t>o</a:t>
          </a:r>
          <a:r>
            <a:rPr lang="en-US" sz="1200" b="1" i="1">
              <a:solidFill>
                <a:schemeClr val="dk1"/>
              </a:solidFill>
              <a:effectLst/>
              <a:latin typeface="+mn-lt"/>
              <a:ea typeface="+mn-ea"/>
              <a:cs typeface="+mn-cs"/>
            </a:rPr>
            <a:t>F.</a:t>
          </a:r>
          <a:r>
            <a:rPr lang="en-US" sz="1200" b="1">
              <a:solidFill>
                <a:schemeClr val="dk1"/>
              </a:solidFill>
              <a:effectLst/>
              <a:latin typeface="+mn-lt"/>
              <a:ea typeface="+mn-ea"/>
              <a:cs typeface="+mn-cs"/>
            </a:rPr>
            <a:t> </a:t>
          </a:r>
          <a:endParaRPr lang="en-GB" sz="1200" b="1">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b="1">
              <a:solidFill>
                <a:schemeClr val="dk1"/>
              </a:solidFill>
              <a:effectLst/>
              <a:latin typeface="+mn-lt"/>
              <a:ea typeface="+mn-ea"/>
              <a:cs typeface="+mn-cs"/>
            </a:rPr>
            <a:t>This is the old name for the relative density 60/60 °F.</a:t>
          </a:r>
          <a:r>
            <a:rPr lang="en-US" sz="1200">
              <a:solidFill>
                <a:schemeClr val="dk1"/>
              </a:solidFill>
              <a:effectLst/>
              <a:latin typeface="+mn-lt"/>
              <a:ea typeface="+mn-ea"/>
              <a:cs typeface="+mn-cs"/>
            </a:rPr>
            <a:t>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Meaning:</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endParaRPr lang="en-GB" sz="1200">
            <a:solidFill>
              <a:schemeClr val="dk1"/>
            </a:solidFill>
            <a:effectLst/>
            <a:latin typeface="+mn-lt"/>
            <a:ea typeface="+mn-ea"/>
            <a:cs typeface="+mn-cs"/>
          </a:endParaRPr>
        </a:p>
        <a:p>
          <a:r>
            <a:rPr lang="en-US" sz="1200" i="1">
              <a:solidFill>
                <a:schemeClr val="dk1"/>
              </a:solidFill>
              <a:effectLst/>
              <a:latin typeface="+mn-lt"/>
              <a:ea typeface="+mn-ea"/>
              <a:cs typeface="+mn-cs"/>
            </a:rPr>
            <a:t>		                   density of product at 60°</a:t>
          </a:r>
          <a:endParaRPr lang="en-GB" sz="1200">
            <a:solidFill>
              <a:schemeClr val="dk1"/>
            </a:solidFill>
            <a:effectLst/>
            <a:latin typeface="+mn-lt"/>
            <a:ea typeface="+mn-ea"/>
            <a:cs typeface="+mn-cs"/>
          </a:endParaRPr>
        </a:p>
        <a:p>
          <a:r>
            <a:rPr lang="en-US" sz="1200" i="1">
              <a:solidFill>
                <a:schemeClr val="dk1"/>
              </a:solidFill>
              <a:effectLst/>
              <a:latin typeface="+mn-lt"/>
              <a:ea typeface="+mn-ea"/>
              <a:cs typeface="+mn-cs"/>
            </a:rPr>
            <a:t>	relative density 60 /60° = ------------------------------------</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r>
            <a:rPr lang="en-US" sz="1200" i="1">
              <a:solidFill>
                <a:schemeClr val="dk1"/>
              </a:solidFill>
              <a:effectLst/>
              <a:latin typeface="+mn-lt"/>
              <a:ea typeface="+mn-ea"/>
              <a:cs typeface="+mn-cs"/>
            </a:rPr>
            <a:t>density of water at 60°</a:t>
          </a:r>
          <a:endParaRPr lang="en-GB" sz="12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b="1" i="1">
              <a:solidFill>
                <a:schemeClr val="dk1"/>
              </a:solidFill>
              <a:effectLst/>
              <a:latin typeface="+mn-lt"/>
              <a:ea typeface="+mn-ea"/>
              <a:cs typeface="+mn-cs"/>
            </a:rPr>
            <a:t>II.1.2.2. </a:t>
          </a:r>
          <a:endParaRPr lang="en-GB" sz="1200" b="1">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The relative density 15/4 °C. = </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endParaRPr lang="en-GB" sz="1200">
            <a:solidFill>
              <a:schemeClr val="dk1"/>
            </a:solidFill>
            <a:effectLst/>
            <a:latin typeface="+mn-lt"/>
            <a:ea typeface="+mn-ea"/>
            <a:cs typeface="+mn-cs"/>
          </a:endParaRPr>
        </a:p>
        <a:p>
          <a:r>
            <a:rPr lang="en-US" sz="1200" i="1">
              <a:solidFill>
                <a:schemeClr val="dk1"/>
              </a:solidFill>
              <a:effectLst/>
              <a:latin typeface="+mn-lt"/>
              <a:ea typeface="+mn-ea"/>
              <a:cs typeface="+mn-cs"/>
            </a:rPr>
            <a:t>		                 density of product at 15°</a:t>
          </a:r>
          <a:endParaRPr lang="en-GB" sz="1200">
            <a:solidFill>
              <a:schemeClr val="dk1"/>
            </a:solidFill>
            <a:effectLst/>
            <a:latin typeface="+mn-lt"/>
            <a:ea typeface="+mn-ea"/>
            <a:cs typeface="+mn-cs"/>
          </a:endParaRPr>
        </a:p>
        <a:p>
          <a:r>
            <a:rPr lang="en-US" sz="1200" i="1">
              <a:solidFill>
                <a:schemeClr val="dk1"/>
              </a:solidFill>
              <a:effectLst/>
              <a:latin typeface="+mn-lt"/>
              <a:ea typeface="+mn-ea"/>
              <a:cs typeface="+mn-cs"/>
            </a:rPr>
            <a:t>	relative density 15/4° = -------------------------------------</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r>
            <a:rPr lang="en-US" sz="1200" baseline="0">
              <a:solidFill>
                <a:schemeClr val="dk1"/>
              </a:solidFill>
              <a:effectLst/>
              <a:latin typeface="+mn-lt"/>
              <a:ea typeface="+mn-ea"/>
              <a:cs typeface="+mn-cs"/>
            </a:rPr>
            <a:t>                </a:t>
          </a:r>
          <a:r>
            <a:rPr lang="en-US" sz="1200" i="1">
              <a:solidFill>
                <a:schemeClr val="dk1"/>
              </a:solidFill>
              <a:effectLst/>
              <a:latin typeface="+mn-lt"/>
              <a:ea typeface="+mn-ea"/>
              <a:cs typeface="+mn-cs"/>
            </a:rPr>
            <a:t>density of water at 4°</a:t>
          </a:r>
          <a:endParaRPr lang="en-GB" sz="1200">
            <a:solidFill>
              <a:schemeClr val="dk1"/>
            </a:solidFill>
            <a:effectLst/>
            <a:latin typeface="+mn-lt"/>
            <a:ea typeface="+mn-ea"/>
            <a:cs typeface="+mn-cs"/>
          </a:endParaRPr>
        </a:p>
        <a:p>
          <a:br>
            <a:rPr lang="en-US" sz="1200">
              <a:solidFill>
                <a:schemeClr val="dk1"/>
              </a:solidFill>
              <a:effectLst/>
              <a:latin typeface="+mn-lt"/>
              <a:ea typeface="+mn-ea"/>
              <a:cs typeface="+mn-cs"/>
            </a:rPr>
          </a:br>
          <a:r>
            <a:rPr lang="en-US" sz="1200" b="1">
              <a:solidFill>
                <a:schemeClr val="dk1"/>
              </a:solidFill>
              <a:effectLst/>
              <a:latin typeface="+mn-lt"/>
              <a:ea typeface="+mn-ea"/>
              <a:cs typeface="+mn-cs"/>
            </a:rPr>
            <a:t>Since the density of water at 4 °C. is 1, as per definition, the value of the relative density 15/4 °C. is </a:t>
          </a:r>
          <a:r>
            <a:rPr lang="en-US" sz="1200" b="1" i="1">
              <a:solidFill>
                <a:schemeClr val="dk1"/>
              </a:solidFill>
              <a:effectLst/>
              <a:latin typeface="+mn-lt"/>
              <a:ea typeface="+mn-ea"/>
              <a:cs typeface="+mn-cs"/>
            </a:rPr>
            <a:t>numeric</a:t>
          </a:r>
          <a:r>
            <a:rPr lang="en-US" sz="1200" b="1">
              <a:solidFill>
                <a:schemeClr val="dk1"/>
              </a:solidFill>
              <a:effectLst/>
              <a:latin typeface="+mn-lt"/>
              <a:ea typeface="+mn-ea"/>
              <a:cs typeface="+mn-cs"/>
            </a:rPr>
            <a:t> equal to the density     at 15 °C.</a:t>
          </a:r>
          <a:br>
            <a:rPr lang="en-US" sz="1200">
              <a:solidFill>
                <a:schemeClr val="dk1"/>
              </a:solidFill>
              <a:effectLst/>
              <a:latin typeface="+mn-lt"/>
              <a:ea typeface="+mn-ea"/>
              <a:cs typeface="+mn-cs"/>
            </a:rPr>
          </a:br>
          <a:endParaRPr lang="en-GB" sz="1200">
            <a:solidFill>
              <a:schemeClr val="dk1"/>
            </a:solidFill>
            <a:effectLst/>
            <a:latin typeface="+mn-lt"/>
            <a:ea typeface="+mn-ea"/>
            <a:cs typeface="+mn-cs"/>
          </a:endParaRPr>
        </a:p>
        <a:p>
          <a:r>
            <a:rPr lang="en-US" sz="1400" b="1">
              <a:solidFill>
                <a:schemeClr val="dk1"/>
              </a:solidFill>
              <a:effectLst/>
              <a:latin typeface="+mn-lt"/>
              <a:ea typeface="+mn-ea"/>
              <a:cs typeface="+mn-cs"/>
            </a:rPr>
            <a:t>II.1.3. Apparent density</a:t>
          </a:r>
          <a:r>
            <a:rPr lang="en-US" sz="1400">
              <a:solidFill>
                <a:schemeClr val="dk1"/>
              </a:solidFill>
              <a:effectLst/>
              <a:latin typeface="+mn-lt"/>
              <a:ea typeface="+mn-ea"/>
              <a:cs typeface="+mn-cs"/>
            </a:rPr>
            <a:t> </a:t>
          </a:r>
          <a:endParaRPr lang="en-GB" sz="14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This name is used for the density at t °C., corrected for the buoyancy of the displaced air. </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(So called 'density in AIR')</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This apparent density is calculated can be found by means of </a:t>
          </a:r>
          <a:r>
            <a:rPr lang="en-US" sz="1200" i="1">
              <a:solidFill>
                <a:schemeClr val="dk1"/>
              </a:solidFill>
              <a:effectLst/>
              <a:latin typeface="+mn-lt"/>
              <a:ea typeface="+mn-ea"/>
              <a:cs typeface="+mn-cs"/>
            </a:rPr>
            <a:t>W.C.F. table 56</a:t>
          </a:r>
          <a:r>
            <a:rPr lang="en-US" sz="1200">
              <a:solidFill>
                <a:schemeClr val="dk1"/>
              </a:solidFill>
              <a:effectLst/>
              <a:latin typeface="+mn-lt"/>
              <a:ea typeface="+mn-ea"/>
              <a:cs typeface="+mn-cs"/>
            </a:rPr>
            <a:t>. This table is to be entered with the </a:t>
          </a:r>
          <a:r>
            <a:rPr lang="en-US" sz="1200" i="1">
              <a:solidFill>
                <a:schemeClr val="dk1"/>
              </a:solidFill>
              <a:effectLst/>
              <a:latin typeface="+mn-lt"/>
              <a:ea typeface="+mn-ea"/>
              <a:cs typeface="+mn-cs"/>
            </a:rPr>
            <a:t>density at t °C</a:t>
          </a:r>
          <a:r>
            <a:rPr lang="en-US" sz="1200">
              <a:solidFill>
                <a:schemeClr val="dk1"/>
              </a:solidFill>
              <a:effectLst/>
              <a:latin typeface="+mn-lt"/>
              <a:ea typeface="+mn-ea"/>
              <a:cs typeface="+mn-cs"/>
            </a:rPr>
            <a:t>.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The result is the Weight Correction Factor Table 56 or Apparent density. (Note that for mineral products the difference </a:t>
          </a:r>
        </a:p>
        <a:p>
          <a:r>
            <a:rPr lang="en-US" sz="1200">
              <a:solidFill>
                <a:schemeClr val="dk1"/>
              </a:solidFill>
              <a:effectLst/>
              <a:latin typeface="+mn-lt"/>
              <a:ea typeface="+mn-ea"/>
              <a:cs typeface="+mn-cs"/>
            </a:rPr>
            <a:t>is 0.0011 kg/l.) </a:t>
          </a:r>
        </a:p>
        <a:p>
          <a:r>
            <a:rPr lang="en-US" sz="1200">
              <a:solidFill>
                <a:schemeClr val="dk1"/>
              </a:solidFill>
              <a:effectLst/>
              <a:latin typeface="+mn-lt"/>
              <a:ea typeface="+mn-ea"/>
              <a:cs typeface="+mn-cs"/>
            </a:rPr>
            <a:t>For chemical products with a density higher than 1.13 the difference gets less, see EPCA Blue book page 68.</a:t>
          </a:r>
          <a:br>
            <a:rPr lang="en-US" sz="1200">
              <a:solidFill>
                <a:schemeClr val="dk1"/>
              </a:solidFill>
              <a:effectLst/>
              <a:latin typeface="+mn-lt"/>
              <a:ea typeface="+mn-ea"/>
              <a:cs typeface="+mn-cs"/>
            </a:rPr>
          </a:br>
          <a:endParaRPr lang="en-GB" sz="1200">
            <a:solidFill>
              <a:schemeClr val="dk1"/>
            </a:solidFill>
            <a:effectLst/>
            <a:latin typeface="+mn-lt"/>
            <a:ea typeface="+mn-ea"/>
            <a:cs typeface="+mn-cs"/>
          </a:endParaRPr>
        </a:p>
        <a:p>
          <a:r>
            <a:rPr lang="en-US" sz="1400" b="1">
              <a:solidFill>
                <a:schemeClr val="dk1"/>
              </a:solidFill>
              <a:effectLst/>
              <a:latin typeface="+mn-lt"/>
              <a:ea typeface="+mn-ea"/>
              <a:cs typeface="+mn-cs"/>
            </a:rPr>
            <a:t>II.1.4. API - Gravity</a:t>
          </a:r>
          <a:r>
            <a:rPr lang="en-US" sz="1400">
              <a:solidFill>
                <a:schemeClr val="dk1"/>
              </a:solidFill>
              <a:effectLst/>
              <a:latin typeface="+mn-lt"/>
              <a:ea typeface="+mn-ea"/>
              <a:cs typeface="+mn-cs"/>
            </a:rPr>
            <a:t> </a:t>
          </a:r>
          <a:endParaRPr lang="en-GB" sz="14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A.P.I. - gravity is a unit, which is used among others for calculations of Metric or Longtons from US Barrels 60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F. </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API can be calculated from Relative Density 60/60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F. by the following formula:</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endParaRPr lang="en-GB" sz="1200">
            <a:solidFill>
              <a:schemeClr val="dk1"/>
            </a:solidFill>
            <a:effectLst/>
            <a:latin typeface="+mn-lt"/>
            <a:ea typeface="+mn-ea"/>
            <a:cs typeface="+mn-cs"/>
          </a:endParaRPr>
        </a:p>
        <a:p>
          <a:r>
            <a:rPr lang="en-US" sz="1200" i="1">
              <a:solidFill>
                <a:schemeClr val="dk1"/>
              </a:solidFill>
              <a:effectLst/>
              <a:latin typeface="+mn-lt"/>
              <a:ea typeface="+mn-ea"/>
              <a:cs typeface="+mn-cs"/>
            </a:rPr>
            <a:t>		141.5</a:t>
          </a:r>
          <a:endParaRPr lang="en-GB" sz="1200">
            <a:solidFill>
              <a:schemeClr val="dk1"/>
            </a:solidFill>
            <a:effectLst/>
            <a:latin typeface="+mn-lt"/>
            <a:ea typeface="+mn-ea"/>
            <a:cs typeface="+mn-cs"/>
          </a:endParaRPr>
        </a:p>
        <a:p>
          <a:r>
            <a:rPr lang="en-GB" sz="1200">
              <a:solidFill>
                <a:schemeClr val="dk1"/>
              </a:solidFill>
              <a:effectLst/>
              <a:latin typeface="+mn-lt"/>
              <a:ea typeface="+mn-ea"/>
              <a:cs typeface="+mn-cs"/>
            </a:rPr>
            <a:t>	 </a:t>
          </a:r>
          <a:r>
            <a:rPr lang="en-US" sz="1200" i="1">
              <a:solidFill>
                <a:schemeClr val="dk1"/>
              </a:solidFill>
              <a:effectLst/>
              <a:latin typeface="+mn-lt"/>
              <a:ea typeface="+mn-ea"/>
              <a:cs typeface="+mn-cs"/>
            </a:rPr>
            <a:t>API = ---------------------------------------   - 131.5</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r>
            <a:rPr lang="en-US" sz="1200" i="1">
              <a:solidFill>
                <a:schemeClr val="dk1"/>
              </a:solidFill>
              <a:effectLst/>
              <a:latin typeface="+mn-lt"/>
              <a:ea typeface="+mn-ea"/>
              <a:cs typeface="+mn-cs"/>
            </a:rPr>
            <a:t>Rel.Dens. 60/60 </a:t>
          </a:r>
          <a:r>
            <a:rPr lang="en-US" sz="1200" i="1" baseline="30000">
              <a:solidFill>
                <a:schemeClr val="dk1"/>
              </a:solidFill>
              <a:effectLst/>
              <a:latin typeface="+mn-lt"/>
              <a:ea typeface="+mn-ea"/>
              <a:cs typeface="+mn-cs"/>
            </a:rPr>
            <a:t>o</a:t>
          </a:r>
          <a:r>
            <a:rPr lang="en-US" sz="1200" i="1">
              <a:solidFill>
                <a:schemeClr val="dk1"/>
              </a:solidFill>
              <a:effectLst/>
              <a:latin typeface="+mn-lt"/>
              <a:ea typeface="+mn-ea"/>
              <a:cs typeface="+mn-cs"/>
            </a:rPr>
            <a:t>F.</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Of the above mentioned units ONLY the </a:t>
          </a:r>
          <a:r>
            <a:rPr lang="en-US" sz="1200" b="1">
              <a:solidFill>
                <a:schemeClr val="dk1"/>
              </a:solidFill>
              <a:effectLst/>
              <a:latin typeface="+mn-lt"/>
              <a:ea typeface="+mn-ea"/>
              <a:cs typeface="+mn-cs"/>
            </a:rPr>
            <a:t>density at t °C</a:t>
          </a:r>
          <a:r>
            <a:rPr lang="en-US" sz="1200">
              <a:solidFill>
                <a:schemeClr val="dk1"/>
              </a:solidFill>
              <a:effectLst/>
              <a:latin typeface="+mn-lt"/>
              <a:ea typeface="+mn-ea"/>
              <a:cs typeface="+mn-cs"/>
            </a:rPr>
            <a:t>. can be used for calculating mass ("weight"-in-VACUO) out of volume.</a:t>
          </a:r>
          <a:br>
            <a:rPr lang="en-US" sz="1200">
              <a:solidFill>
                <a:schemeClr val="dk1"/>
              </a:solidFill>
              <a:effectLst/>
              <a:latin typeface="+mn-lt"/>
              <a:ea typeface="+mn-ea"/>
              <a:cs typeface="+mn-cs"/>
            </a:rPr>
          </a:br>
          <a:br>
            <a:rPr lang="en-US" sz="1100">
              <a:solidFill>
                <a:schemeClr val="dk1"/>
              </a:solidFill>
              <a:effectLst/>
              <a:latin typeface="+mn-lt"/>
              <a:ea typeface="+mn-ea"/>
              <a:cs typeface="+mn-cs"/>
            </a:rPr>
          </a:br>
          <a:r>
            <a:rPr lang="en-US" sz="1400" b="1">
              <a:solidFill>
                <a:schemeClr val="dk1"/>
              </a:solidFill>
              <a:effectLst/>
              <a:latin typeface="+mn-lt"/>
              <a:ea typeface="+mn-ea"/>
              <a:cs typeface="+mn-cs"/>
            </a:rPr>
            <a:t>II.1.5. Weight Correction Factors</a:t>
          </a:r>
          <a:r>
            <a:rPr lang="en-US" sz="1400">
              <a:solidFill>
                <a:schemeClr val="dk1"/>
              </a:solidFill>
              <a:effectLst/>
              <a:latin typeface="+mn-lt"/>
              <a:ea typeface="+mn-ea"/>
              <a:cs typeface="+mn-cs"/>
            </a:rPr>
            <a:t> </a:t>
          </a:r>
          <a:endParaRPr lang="en-GB" sz="14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Relative density or API cannot be used for direct weight - calculation. Calculations should then be done using a weight correction factor (W.C.F.) All these calculations, using a W.C.F., </a:t>
          </a:r>
          <a:r>
            <a:rPr lang="en-US" sz="1200" b="1">
              <a:solidFill>
                <a:schemeClr val="dk1"/>
              </a:solidFill>
              <a:effectLst/>
              <a:latin typeface="+mn-lt"/>
              <a:ea typeface="+mn-ea"/>
              <a:cs typeface="+mn-cs"/>
            </a:rPr>
            <a:t>result in a weight in AIR</a:t>
          </a:r>
          <a:r>
            <a:rPr lang="en-US" sz="1200">
              <a:solidFill>
                <a:schemeClr val="dk1"/>
              </a:solidFill>
              <a:effectLst/>
              <a:latin typeface="+mn-lt"/>
              <a:ea typeface="+mn-ea"/>
              <a:cs typeface="+mn-cs"/>
            </a:rPr>
            <a:t>.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These W.C.F.'s can be found in:</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ASTM Table 11 (long tons per barrel 60</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F.)</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ASTM Table 13 (metric tons per barrel 60</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F.)</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ASTM Table 29 (longtons per barrel 60</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F.)</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ASTM Table 56 (kg/m</a:t>
          </a:r>
          <a:r>
            <a:rPr lang="en-US" sz="1200" baseline="30000">
              <a:solidFill>
                <a:schemeClr val="dk1"/>
              </a:solidFill>
              <a:effectLst/>
              <a:latin typeface="+mn-lt"/>
              <a:ea typeface="+mn-ea"/>
              <a:cs typeface="+mn-cs"/>
            </a:rPr>
            <a:t>3</a:t>
          </a:r>
          <a:r>
            <a:rPr lang="en-US" sz="1200">
              <a:solidFill>
                <a:schemeClr val="dk1"/>
              </a:solidFill>
              <a:effectLst/>
              <a:latin typeface="+mn-lt"/>
              <a:ea typeface="+mn-ea"/>
              <a:cs typeface="+mn-cs"/>
            </a:rPr>
            <a:t>) (main table of 56)</a:t>
          </a:r>
          <a:br>
            <a:rPr lang="en-US" sz="1200">
              <a:solidFill>
                <a:schemeClr val="dk1"/>
              </a:solidFill>
              <a:effectLst/>
              <a:latin typeface="+mn-lt"/>
              <a:ea typeface="+mn-ea"/>
              <a:cs typeface="+mn-cs"/>
            </a:rPr>
          </a:br>
          <a:endParaRPr lang="en-GB" sz="1200">
            <a:solidFill>
              <a:schemeClr val="dk1"/>
            </a:solidFill>
            <a:effectLst/>
            <a:latin typeface="+mn-lt"/>
            <a:ea typeface="+mn-ea"/>
            <a:cs typeface="+mn-cs"/>
          </a:endParaRPr>
        </a:p>
        <a:p>
          <a:r>
            <a:rPr lang="en-US" sz="1600" b="1">
              <a:solidFill>
                <a:schemeClr val="dk1"/>
              </a:solidFill>
              <a:effectLst/>
              <a:latin typeface="+mn-lt"/>
              <a:ea typeface="+mn-ea"/>
              <a:cs typeface="+mn-cs"/>
            </a:rPr>
            <a:t>II.2. MASS AND WEIGHT</a:t>
          </a:r>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200" b="1">
              <a:solidFill>
                <a:schemeClr val="dk1"/>
              </a:solidFill>
              <a:effectLst/>
              <a:latin typeface="+mn-lt"/>
              <a:ea typeface="+mn-ea"/>
              <a:cs typeface="+mn-cs"/>
            </a:rPr>
            <a:t>		          ISO Nomenclature </a:t>
          </a:r>
        </a:p>
        <a:p>
          <a:r>
            <a:rPr lang="en-US" sz="1200" b="1">
              <a:solidFill>
                <a:schemeClr val="dk1"/>
              </a:solidFill>
              <a:effectLst/>
              <a:latin typeface="+mn-lt"/>
              <a:ea typeface="+mn-ea"/>
              <a:cs typeface="+mn-cs"/>
            </a:rPr>
            <a:t>-------------------------------------------------------------------------------------------------------------------</a:t>
          </a:r>
          <a:r>
            <a:rPr lang="en-US" sz="1200" b="1" baseline="0">
              <a:solidFill>
                <a:schemeClr val="dk1"/>
              </a:solidFill>
              <a:effectLst/>
              <a:latin typeface="+mn-lt"/>
              <a:ea typeface="+mn-ea"/>
              <a:cs typeface="+mn-cs"/>
            </a:rPr>
            <a:t>  </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 		ISO NAME	SPEAKING</a:t>
          </a:r>
        </a:p>
        <a:p>
          <a:pPr marL="0" marR="0" indent="0"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t>
          </a:r>
          <a:r>
            <a:rPr lang="en-US" sz="1200" b="1" baseline="0">
              <a:solidFill>
                <a:schemeClr val="dk1"/>
              </a:solidFill>
              <a:effectLst/>
              <a:latin typeface="+mn-lt"/>
              <a:ea typeface="+mn-ea"/>
              <a:cs typeface="+mn-cs"/>
            </a:rPr>
            <a:t>  </a:t>
          </a:r>
          <a:endParaRPr lang="en-GB" sz="1200">
            <a:effectLst/>
          </a:endParaRPr>
        </a:p>
        <a:p>
          <a:r>
            <a:rPr lang="en-US" sz="1200">
              <a:solidFill>
                <a:schemeClr val="dk1"/>
              </a:solidFill>
              <a:effectLst/>
              <a:latin typeface="+mn-lt"/>
              <a:ea typeface="+mn-ea"/>
              <a:cs typeface="+mn-cs"/>
            </a:rPr>
            <a:t>Quantity in Kg		Mass 	Weight - in - vacuo</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Quantity in Kg 		Weight 	Weight - in - air</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Mass / Volume 		Density at °C. 	Spec.Grav.t/4°C. in vacuo</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Weight / Volume 	W.C.F. 	Spec.Grav.t/4°C. in air</a:t>
          </a:r>
          <a:endParaRPr lang="en-GB" sz="12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t>
          </a:r>
          <a:r>
            <a:rPr lang="en-US" sz="1200" b="1" baseline="0">
              <a:solidFill>
                <a:schemeClr val="dk1"/>
              </a:solidFill>
              <a:effectLst/>
              <a:latin typeface="+mn-lt"/>
              <a:ea typeface="+mn-ea"/>
              <a:cs typeface="+mn-cs"/>
            </a:rPr>
            <a:t>  </a:t>
          </a:r>
          <a:endParaRPr lang="en-GB" sz="1200">
            <a:effectLst/>
          </a:endParaRPr>
        </a:p>
        <a:p>
          <a:r>
            <a:rPr lang="en-US" sz="1200">
              <a:solidFill>
                <a:schemeClr val="dk1"/>
              </a:solidFill>
              <a:effectLst/>
              <a:latin typeface="+mn-lt"/>
              <a:ea typeface="+mn-ea"/>
              <a:cs typeface="+mn-cs"/>
            </a:rPr>
            <a:t>Note: 		</a:t>
          </a:r>
          <a:r>
            <a:rPr lang="en-US" sz="1200" b="1">
              <a:solidFill>
                <a:schemeClr val="dk1"/>
              </a:solidFill>
              <a:effectLst/>
              <a:latin typeface="+mn-lt"/>
              <a:ea typeface="+mn-ea"/>
              <a:cs typeface="+mn-cs"/>
            </a:rPr>
            <a:t>Longtons exist ONLY in Air</a:t>
          </a:r>
          <a:r>
            <a:rPr lang="en-US" sz="1200">
              <a:solidFill>
                <a:schemeClr val="dk1"/>
              </a:solidFill>
              <a:effectLst/>
              <a:latin typeface="+mn-lt"/>
              <a:ea typeface="+mn-ea"/>
              <a:cs typeface="+mn-cs"/>
            </a:rPr>
            <a:t>!!!!!</a:t>
          </a:r>
          <a:endParaRPr lang="en-GB" sz="12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400" b="1">
              <a:solidFill>
                <a:schemeClr val="dk1"/>
              </a:solidFill>
              <a:effectLst/>
              <a:latin typeface="+mn-lt"/>
              <a:ea typeface="+mn-ea"/>
              <a:cs typeface="+mn-cs"/>
            </a:rPr>
            <a:t>II.2.1. Mass</a:t>
          </a:r>
          <a:r>
            <a:rPr lang="en-US" sz="1400">
              <a:solidFill>
                <a:schemeClr val="dk1"/>
              </a:solidFill>
              <a:effectLst/>
              <a:latin typeface="+mn-lt"/>
              <a:ea typeface="+mn-ea"/>
              <a:cs typeface="+mn-cs"/>
            </a:rPr>
            <a:t> </a:t>
          </a:r>
          <a:endParaRPr lang="en-GB" sz="14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The mass of a matter is the quantity of material that this matter exists of. </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This matter is independent from external conditions like attractive power of the earth (place on earth). </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In the oil business this is often mentioned as "VAC", or "Weight-in-vacuo".</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Mass is calculated as follows:</a:t>
          </a:r>
          <a:br>
            <a:rPr lang="en-US" sz="1200">
              <a:solidFill>
                <a:schemeClr val="dk1"/>
              </a:solidFill>
              <a:effectLst/>
              <a:latin typeface="+mn-lt"/>
              <a:ea typeface="+mn-ea"/>
              <a:cs typeface="+mn-cs"/>
            </a:rPr>
          </a:br>
          <a:r>
            <a:rPr lang="en-US" sz="1200" b="1">
              <a:solidFill>
                <a:schemeClr val="dk1"/>
              </a:solidFill>
              <a:effectLst/>
              <a:latin typeface="+mn-lt"/>
              <a:ea typeface="+mn-ea"/>
              <a:cs typeface="+mn-cs"/>
            </a:rPr>
            <a:t>Mass = Volume at t°C. x density at t°C.</a:t>
          </a:r>
          <a:br>
            <a:rPr lang="en-US" sz="1200" b="1">
              <a:solidFill>
                <a:schemeClr val="dk1"/>
              </a:solidFill>
              <a:effectLst/>
              <a:latin typeface="+mn-lt"/>
              <a:ea typeface="+mn-ea"/>
              <a:cs typeface="+mn-cs"/>
            </a:rPr>
          </a:br>
          <a:r>
            <a:rPr lang="en-US" sz="1200" b="0">
              <a:solidFill>
                <a:schemeClr val="dk1"/>
              </a:solidFill>
              <a:effectLst/>
              <a:latin typeface="+mn-lt"/>
              <a:ea typeface="+mn-ea"/>
              <a:cs typeface="+mn-cs"/>
            </a:rPr>
            <a:t>(in kg or metric tonnes</a:t>
          </a:r>
          <a:r>
            <a:rPr lang="en-US" sz="1200" b="1">
              <a:solidFill>
                <a:schemeClr val="dk1"/>
              </a:solidFill>
              <a:effectLst/>
              <a:latin typeface="+mn-lt"/>
              <a:ea typeface="+mn-ea"/>
              <a:cs typeface="+mn-cs"/>
            </a:rPr>
            <a:t> in VAC</a:t>
          </a:r>
          <a:r>
            <a:rPr lang="en-US" sz="1200" b="0">
              <a:solidFill>
                <a:schemeClr val="dk1"/>
              </a:solidFill>
              <a:effectLst/>
              <a:latin typeface="+mn-lt"/>
              <a:ea typeface="+mn-ea"/>
              <a:cs typeface="+mn-cs"/>
            </a:rPr>
            <a:t>)</a:t>
          </a:r>
          <a:endParaRPr lang="en-GB" sz="1200" b="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400" b="1">
              <a:solidFill>
                <a:schemeClr val="dk1"/>
              </a:solidFill>
              <a:effectLst/>
              <a:latin typeface="+mn-lt"/>
              <a:ea typeface="+mn-ea"/>
              <a:cs typeface="+mn-cs"/>
            </a:rPr>
            <a:t>II.2.2. Weight</a:t>
          </a:r>
          <a:r>
            <a:rPr lang="en-US" sz="1400">
              <a:solidFill>
                <a:schemeClr val="dk1"/>
              </a:solidFill>
              <a:effectLst/>
              <a:latin typeface="+mn-lt"/>
              <a:ea typeface="+mn-ea"/>
              <a:cs typeface="+mn-cs"/>
            </a:rPr>
            <a:t> </a:t>
          </a:r>
          <a:endParaRPr lang="en-GB" sz="14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The weight of a product is the weight of that matter weighted in air, taking in account the buoyancy of the displaced air. Often related to as "Weight in Air".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Weight calculation:</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u="sng">
              <a:solidFill>
                <a:schemeClr val="dk1"/>
              </a:solidFill>
              <a:effectLst/>
              <a:latin typeface="+mn-lt"/>
              <a:ea typeface="+mn-ea"/>
              <a:cs typeface="+mn-cs"/>
            </a:rPr>
            <a:t>Metric system:</a:t>
          </a:r>
          <a:br>
            <a:rPr lang="en-US" sz="1200">
              <a:solidFill>
                <a:schemeClr val="dk1"/>
              </a:solidFill>
              <a:effectLst/>
              <a:latin typeface="+mn-lt"/>
              <a:ea typeface="+mn-ea"/>
              <a:cs typeface="+mn-cs"/>
            </a:rPr>
          </a:br>
          <a:r>
            <a:rPr lang="en-US" sz="1200" b="1">
              <a:solidFill>
                <a:schemeClr val="dk1"/>
              </a:solidFill>
              <a:effectLst/>
              <a:latin typeface="+mn-lt"/>
              <a:ea typeface="+mn-ea"/>
              <a:cs typeface="+mn-cs"/>
            </a:rPr>
            <a:t>Weight = volume in m</a:t>
          </a:r>
          <a:r>
            <a:rPr lang="en-US" sz="1200" b="1" baseline="30000">
              <a:solidFill>
                <a:schemeClr val="dk1"/>
              </a:solidFill>
              <a:effectLst/>
              <a:latin typeface="+mn-lt"/>
              <a:ea typeface="+mn-ea"/>
              <a:cs typeface="+mn-cs"/>
            </a:rPr>
            <a:t>3</a:t>
          </a:r>
          <a:r>
            <a:rPr lang="en-US" sz="1200" b="1">
              <a:solidFill>
                <a:schemeClr val="dk1"/>
              </a:solidFill>
              <a:effectLst/>
              <a:latin typeface="+mn-lt"/>
              <a:ea typeface="+mn-ea"/>
              <a:cs typeface="+mn-cs"/>
            </a:rPr>
            <a:t> 15</a:t>
          </a:r>
          <a:r>
            <a:rPr lang="en-US" sz="1200" b="1" baseline="30000">
              <a:solidFill>
                <a:schemeClr val="dk1"/>
              </a:solidFill>
              <a:effectLst/>
              <a:latin typeface="+mn-lt"/>
              <a:ea typeface="+mn-ea"/>
              <a:cs typeface="+mn-cs"/>
            </a:rPr>
            <a:t>o</a:t>
          </a:r>
          <a:r>
            <a:rPr lang="en-US" sz="1200" b="1">
              <a:solidFill>
                <a:schemeClr val="dk1"/>
              </a:solidFill>
              <a:effectLst/>
              <a:latin typeface="+mn-lt"/>
              <a:ea typeface="+mn-ea"/>
              <a:cs typeface="+mn-cs"/>
            </a:rPr>
            <a:t>C. x w.c.f. (table 56)</a:t>
          </a:r>
          <a:br>
            <a:rPr lang="en-US" sz="1200" b="1">
              <a:solidFill>
                <a:schemeClr val="dk1"/>
              </a:solidFill>
              <a:effectLst/>
              <a:latin typeface="+mn-lt"/>
              <a:ea typeface="+mn-ea"/>
              <a:cs typeface="+mn-cs"/>
            </a:rPr>
          </a:br>
          <a:r>
            <a:rPr lang="en-US" sz="1200">
              <a:solidFill>
                <a:schemeClr val="dk1"/>
              </a:solidFill>
              <a:effectLst/>
              <a:latin typeface="+mn-lt"/>
              <a:ea typeface="+mn-ea"/>
              <a:cs typeface="+mn-cs"/>
            </a:rPr>
            <a:t>(in kg or metric tonnes </a:t>
          </a:r>
          <a:r>
            <a:rPr lang="en-US" sz="1200" b="1">
              <a:solidFill>
                <a:schemeClr val="dk1"/>
              </a:solidFill>
              <a:effectLst/>
              <a:latin typeface="+mn-lt"/>
              <a:ea typeface="+mn-ea"/>
              <a:cs typeface="+mn-cs"/>
            </a:rPr>
            <a:t>in AIR</a:t>
          </a:r>
          <a:r>
            <a:rPr lang="en-US" sz="1200">
              <a:solidFill>
                <a:schemeClr val="dk1"/>
              </a:solidFill>
              <a:effectLst/>
              <a:latin typeface="+mn-lt"/>
              <a:ea typeface="+mn-ea"/>
              <a:cs typeface="+mn-cs"/>
            </a:rPr>
            <a:t>)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u="sng">
              <a:solidFill>
                <a:schemeClr val="dk1"/>
              </a:solidFill>
              <a:effectLst/>
              <a:latin typeface="+mn-lt"/>
              <a:ea typeface="+mn-ea"/>
              <a:cs typeface="+mn-cs"/>
            </a:rPr>
            <a:t>Barrel system:</a:t>
          </a:r>
          <a:br>
            <a:rPr lang="en-US" sz="1200">
              <a:solidFill>
                <a:schemeClr val="dk1"/>
              </a:solidFill>
              <a:effectLst/>
              <a:latin typeface="+mn-lt"/>
              <a:ea typeface="+mn-ea"/>
              <a:cs typeface="+mn-cs"/>
            </a:rPr>
          </a:br>
          <a:r>
            <a:rPr lang="en-US" sz="1200" b="1">
              <a:solidFill>
                <a:schemeClr val="dk1"/>
              </a:solidFill>
              <a:effectLst/>
              <a:latin typeface="+mn-lt"/>
              <a:ea typeface="+mn-ea"/>
              <a:cs typeface="+mn-cs"/>
            </a:rPr>
            <a:t>Weight = volume in US Bbls 60</a:t>
          </a:r>
          <a:r>
            <a:rPr lang="en-US" sz="1200" b="1" baseline="30000">
              <a:solidFill>
                <a:schemeClr val="dk1"/>
              </a:solidFill>
              <a:effectLst/>
              <a:latin typeface="+mn-lt"/>
              <a:ea typeface="+mn-ea"/>
              <a:cs typeface="+mn-cs"/>
            </a:rPr>
            <a:t>o</a:t>
          </a:r>
          <a:r>
            <a:rPr lang="en-US" sz="1200" b="1">
              <a:solidFill>
                <a:schemeClr val="dk1"/>
              </a:solidFill>
              <a:effectLst/>
              <a:latin typeface="+mn-lt"/>
              <a:ea typeface="+mn-ea"/>
              <a:cs typeface="+mn-cs"/>
            </a:rPr>
            <a:t>F. x w.c.f. (table 11) </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(in longtons </a:t>
          </a:r>
          <a:r>
            <a:rPr lang="en-US" sz="1200" b="1">
              <a:solidFill>
                <a:schemeClr val="dk1"/>
              </a:solidFill>
              <a:effectLst/>
              <a:latin typeface="+mn-lt"/>
              <a:ea typeface="+mn-ea"/>
              <a:cs typeface="+mn-cs"/>
            </a:rPr>
            <a:t>in AIR</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b="1">
              <a:solidFill>
                <a:schemeClr val="dk1"/>
              </a:solidFill>
              <a:effectLst/>
              <a:latin typeface="+mn-lt"/>
              <a:ea typeface="+mn-ea"/>
              <a:cs typeface="+mn-cs"/>
            </a:rPr>
            <a:t>Weight = volume in US Bbls 60</a:t>
          </a:r>
          <a:r>
            <a:rPr lang="en-US" sz="1200" b="1" baseline="30000">
              <a:solidFill>
                <a:schemeClr val="dk1"/>
              </a:solidFill>
              <a:effectLst/>
              <a:latin typeface="+mn-lt"/>
              <a:ea typeface="+mn-ea"/>
              <a:cs typeface="+mn-cs"/>
            </a:rPr>
            <a:t>o</a:t>
          </a:r>
          <a:r>
            <a:rPr lang="en-US" sz="1200" b="1">
              <a:solidFill>
                <a:schemeClr val="dk1"/>
              </a:solidFill>
              <a:effectLst/>
              <a:latin typeface="+mn-lt"/>
              <a:ea typeface="+mn-ea"/>
              <a:cs typeface="+mn-cs"/>
            </a:rPr>
            <a:t>F. x w.c.f. (table 13)</a:t>
          </a:r>
          <a:br>
            <a:rPr lang="en-US" sz="1200" b="1">
              <a:solidFill>
                <a:schemeClr val="dk1"/>
              </a:solidFill>
              <a:effectLst/>
              <a:latin typeface="+mn-lt"/>
              <a:ea typeface="+mn-ea"/>
              <a:cs typeface="+mn-cs"/>
            </a:rPr>
          </a:br>
          <a:r>
            <a:rPr lang="en-US" sz="1200">
              <a:solidFill>
                <a:schemeClr val="dk1"/>
              </a:solidFill>
              <a:effectLst/>
              <a:latin typeface="+mn-lt"/>
              <a:ea typeface="+mn-ea"/>
              <a:cs typeface="+mn-cs"/>
            </a:rPr>
            <a:t>(in metric tons </a:t>
          </a:r>
          <a:r>
            <a:rPr lang="en-US" sz="1200" b="1">
              <a:solidFill>
                <a:schemeClr val="dk1"/>
              </a:solidFill>
              <a:effectLst/>
              <a:latin typeface="+mn-lt"/>
              <a:ea typeface="+mn-ea"/>
              <a:cs typeface="+mn-cs"/>
            </a:rPr>
            <a:t>in AIR</a:t>
          </a:r>
          <a:r>
            <a:rPr lang="en-US" sz="1200">
              <a:solidFill>
                <a:schemeClr val="dk1"/>
              </a:solidFill>
              <a:effectLst/>
              <a:latin typeface="+mn-lt"/>
              <a:ea typeface="+mn-ea"/>
              <a:cs typeface="+mn-cs"/>
            </a:rPr>
            <a:t>)</a:t>
          </a:r>
          <a:endParaRPr lang="en-GB" sz="12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600" b="1">
              <a:solidFill>
                <a:schemeClr val="dk1"/>
              </a:solidFill>
              <a:effectLst/>
              <a:latin typeface="+mn-lt"/>
              <a:ea typeface="+mn-ea"/>
              <a:cs typeface="+mn-cs"/>
            </a:rPr>
            <a:t>II.3. ASTM CALCULATIONS</a:t>
          </a:r>
          <a:r>
            <a:rPr lang="en-US" sz="1600">
              <a:solidFill>
                <a:schemeClr val="dk1"/>
              </a:solidFill>
              <a:effectLst/>
              <a:latin typeface="+mn-lt"/>
              <a:ea typeface="+mn-ea"/>
              <a:cs typeface="+mn-cs"/>
            </a:rPr>
            <a:t> </a:t>
          </a:r>
          <a:endParaRPr lang="en-GB" sz="16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200">
              <a:solidFill>
                <a:schemeClr val="dk1"/>
              </a:solidFill>
              <a:effectLst/>
              <a:latin typeface="+mn-lt"/>
              <a:ea typeface="+mn-ea"/>
              <a:cs typeface="+mn-cs"/>
            </a:rPr>
            <a:t>The basis of all these calculations is that a volume measured at a certain temperature is corrected to a standard temperature by means of a volume correction factor. This corrected volume is called </a:t>
          </a:r>
          <a:r>
            <a:rPr lang="en-US" sz="1200" i="1">
              <a:solidFill>
                <a:schemeClr val="dk1"/>
              </a:solidFill>
              <a:effectLst/>
              <a:latin typeface="+mn-lt"/>
              <a:ea typeface="+mn-ea"/>
              <a:cs typeface="+mn-cs"/>
            </a:rPr>
            <a:t>Standard Volume</a:t>
          </a:r>
          <a:r>
            <a:rPr lang="en-US" sz="1200">
              <a:solidFill>
                <a:schemeClr val="dk1"/>
              </a:solidFill>
              <a:effectLst/>
              <a:latin typeface="+mn-lt"/>
              <a:ea typeface="+mn-ea"/>
              <a:cs typeface="+mn-cs"/>
            </a:rPr>
            <a:t>.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From this standard volume SAYBOLT calculates </a:t>
          </a:r>
          <a:r>
            <a:rPr lang="en-US" sz="1200" i="1">
              <a:solidFill>
                <a:schemeClr val="dk1"/>
              </a:solidFill>
              <a:effectLst/>
              <a:latin typeface="+mn-lt"/>
              <a:ea typeface="+mn-ea"/>
              <a:cs typeface="+mn-cs"/>
            </a:rPr>
            <a:t>Mass</a:t>
          </a:r>
          <a:r>
            <a:rPr lang="en-US" sz="1200">
              <a:solidFill>
                <a:schemeClr val="dk1"/>
              </a:solidFill>
              <a:effectLst/>
              <a:latin typeface="+mn-lt"/>
              <a:ea typeface="+mn-ea"/>
              <a:cs typeface="+mn-cs"/>
            </a:rPr>
            <a:t> or </a:t>
          </a:r>
          <a:r>
            <a:rPr lang="en-US" sz="1200" i="1">
              <a:solidFill>
                <a:schemeClr val="dk1"/>
              </a:solidFill>
              <a:effectLst/>
              <a:latin typeface="+mn-lt"/>
              <a:ea typeface="+mn-ea"/>
              <a:cs typeface="+mn-cs"/>
            </a:rPr>
            <a:t>Weight</a:t>
          </a:r>
          <a:r>
            <a:rPr lang="en-US" sz="1200">
              <a:solidFill>
                <a:schemeClr val="dk1"/>
              </a:solidFill>
              <a:effectLst/>
              <a:latin typeface="+mn-lt"/>
              <a:ea typeface="+mn-ea"/>
              <a:cs typeface="+mn-cs"/>
            </a:rPr>
            <a:t> by means of a Weight Correction Factor of a Density at this standard temperature.</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In the common used oil calculations two systems are used: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GB" sz="1200" b="1">
              <a:solidFill>
                <a:schemeClr val="dk1"/>
              </a:solidFill>
              <a:effectLst/>
              <a:latin typeface="+mn-lt"/>
              <a:ea typeface="+mn-ea"/>
              <a:cs typeface="+mn-cs"/>
            </a:rPr>
            <a:t>ACTUAL 	VOLUME 		STANDARD 		WCF 	WEIGHT	</a:t>
          </a:r>
          <a:endParaRPr lang="en-US" sz="1200" b="1">
            <a:solidFill>
              <a:schemeClr val="dk1"/>
            </a:solidFill>
            <a:effectLst/>
            <a:latin typeface="+mn-lt"/>
            <a:ea typeface="+mn-ea"/>
            <a:cs typeface="+mn-cs"/>
          </a:endParaRPr>
        </a:p>
        <a:p>
          <a:r>
            <a:rPr lang="en-US" sz="1200" b="1">
              <a:solidFill>
                <a:schemeClr val="dk1"/>
              </a:solidFill>
              <a:effectLst/>
              <a:latin typeface="+mn-lt"/>
              <a:ea typeface="+mn-ea"/>
              <a:cs typeface="+mn-cs"/>
            </a:rPr>
            <a:t>VOLUME	CORRECTION 		VOLUME 			(air)</a:t>
          </a: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     </a:t>
          </a:r>
          <a:r>
            <a:rPr lang="en-US" sz="1200">
              <a:solidFill>
                <a:srgbClr val="FF0000"/>
              </a:solidFill>
              <a:effectLst/>
              <a:latin typeface="+mn-lt"/>
              <a:ea typeface="+mn-ea"/>
              <a:cs typeface="+mn-cs"/>
            </a:rPr>
            <a:t>API</a:t>
          </a:r>
          <a:r>
            <a:rPr lang="en-US" sz="1200">
              <a:solidFill>
                <a:schemeClr val="dk1"/>
              </a:solidFill>
              <a:effectLst/>
              <a:latin typeface="+mn-lt"/>
              <a:ea typeface="+mn-ea"/>
              <a:cs typeface="+mn-cs"/>
            </a:rPr>
            <a:t>  </a:t>
          </a:r>
          <a:r>
            <a:rPr lang="en-GB" sz="1400" b="0">
              <a:solidFill>
                <a:schemeClr val="accent1">
                  <a:lumMod val="75000"/>
                </a:schemeClr>
              </a:solidFill>
              <a:effectLst/>
              <a:latin typeface="+mn-lt"/>
              <a:ea typeface="+mn-ea"/>
              <a:cs typeface="+mn-cs"/>
            </a:rPr>
            <a:t>────</a:t>
          </a:r>
          <a:r>
            <a:rPr lang="en-GB" sz="1200">
              <a:solidFill>
                <a:schemeClr val="accent1">
                  <a:lumMod val="75000"/>
                </a:schemeClr>
              </a:solidFill>
            </a:rPr>
            <a:t>┬</a:t>
          </a:r>
          <a:r>
            <a:rPr lang="en-GB" sz="1400" b="0">
              <a:solidFill>
                <a:schemeClr val="accent1">
                  <a:lumMod val="75000"/>
                </a:schemeClr>
              </a:solidFill>
              <a:effectLst/>
              <a:latin typeface="+mn-lt"/>
              <a:ea typeface="+mn-ea"/>
              <a:cs typeface="+mn-cs"/>
            </a:rPr>
            <a:t>─</a:t>
          </a:r>
          <a:r>
            <a:rPr lang="en-GB" sz="1400" b="0">
              <a:solidFill>
                <a:schemeClr val="dk1"/>
              </a:solidFill>
              <a:effectLst/>
              <a:latin typeface="+mn-lt"/>
              <a:ea typeface="+mn-ea"/>
              <a:cs typeface="+mn-cs"/>
            </a:rPr>
            <a:t> </a:t>
          </a:r>
          <a:r>
            <a:rPr lang="en-US" sz="1200">
              <a:solidFill>
                <a:schemeClr val="dk1"/>
              </a:solidFill>
              <a:effectLst/>
              <a:latin typeface="+mn-lt"/>
              <a:ea typeface="+mn-ea"/>
              <a:cs typeface="+mn-cs"/>
            </a:rPr>
            <a:t>TABLE 6A/B/D </a:t>
          </a:r>
          <a:r>
            <a:rPr lang="en-GB" sz="1400">
              <a:solidFill>
                <a:schemeClr val="accent1">
                  <a:lumMod val="75000"/>
                </a:schemeClr>
              </a:solidFill>
              <a:effectLst/>
              <a:latin typeface="+mn-lt"/>
              <a:ea typeface="+mn-ea"/>
              <a:cs typeface="+mn-cs"/>
            </a:rPr>
            <a:t>─────────</a:t>
          </a:r>
          <a:r>
            <a:rPr lang="en-GB" sz="1200">
              <a:solidFill>
                <a:schemeClr val="dk1"/>
              </a:solidFill>
              <a:effectLst/>
              <a:latin typeface="+mn-lt"/>
              <a:ea typeface="+mn-ea"/>
              <a:cs typeface="+mn-cs"/>
            </a:rPr>
            <a:t> </a:t>
          </a:r>
          <a:r>
            <a:rPr lang="en-US" sz="1200">
              <a:solidFill>
                <a:schemeClr val="dk1"/>
              </a:solidFill>
              <a:effectLst/>
              <a:latin typeface="+mn-lt"/>
              <a:ea typeface="+mn-ea"/>
              <a:cs typeface="+mn-cs"/>
            </a:rPr>
            <a:t>BARRELS 60°F </a:t>
          </a:r>
          <a:r>
            <a:rPr lang="en-GB" sz="1400" b="0">
              <a:solidFill>
                <a:schemeClr val="accent1">
                  <a:lumMod val="75000"/>
                </a:schemeClr>
              </a:solidFill>
              <a:effectLst/>
              <a:latin typeface="+mn-lt"/>
              <a:ea typeface="+mn-ea"/>
              <a:cs typeface="+mn-cs"/>
            </a:rPr>
            <a:t>──</a:t>
          </a:r>
          <a:r>
            <a:rPr lang="en-GB" sz="1200">
              <a:solidFill>
                <a:schemeClr val="accent1">
                  <a:lumMod val="75000"/>
                </a:schemeClr>
              </a:solidFill>
              <a:effectLst/>
              <a:latin typeface="+mn-lt"/>
              <a:ea typeface="+mn-ea"/>
              <a:cs typeface="+mn-cs"/>
            </a:rPr>
            <a:t>┬</a:t>
          </a:r>
          <a:r>
            <a:rPr lang="en-GB" sz="1400" b="0">
              <a:solidFill>
                <a:schemeClr val="accent1">
                  <a:lumMod val="75000"/>
                </a:schemeClr>
              </a:solidFill>
              <a:effectLst/>
              <a:latin typeface="+mn-lt"/>
              <a:ea typeface="+mn-ea"/>
              <a:cs typeface="+mn-cs"/>
            </a:rPr>
            <a:t>──────</a:t>
          </a:r>
          <a:r>
            <a:rPr lang="en-GB" sz="1400" b="1">
              <a:solidFill>
                <a:schemeClr val="accent1">
                  <a:lumMod val="75000"/>
                </a:schemeClr>
              </a:solidFill>
              <a:effectLst/>
              <a:latin typeface="+mn-lt"/>
              <a:ea typeface="+mn-ea"/>
              <a:cs typeface="+mn-cs"/>
            </a:rPr>
            <a:t>	</a:t>
          </a:r>
          <a:r>
            <a:rPr lang="en-US" sz="1200">
              <a:solidFill>
                <a:schemeClr val="dk1"/>
              </a:solidFill>
              <a:effectLst/>
              <a:latin typeface="+mn-lt"/>
              <a:ea typeface="+mn-ea"/>
              <a:cs typeface="+mn-cs"/>
            </a:rPr>
            <a:t>TABLE 11	LONG TONS</a:t>
          </a:r>
        </a:p>
        <a:p>
          <a:r>
            <a:rPr lang="en-US" sz="1400" baseline="0">
              <a:solidFill>
                <a:schemeClr val="accent1">
                  <a:lumMod val="75000"/>
                </a:schemeClr>
              </a:solidFill>
              <a:effectLst/>
              <a:latin typeface="+mn-lt"/>
              <a:ea typeface="+mn-ea"/>
              <a:cs typeface="+mn-cs"/>
            </a:rPr>
            <a:t>                    </a:t>
          </a:r>
          <a:r>
            <a:rPr lang="en-GB" sz="1600">
              <a:solidFill>
                <a:schemeClr val="accent1">
                  <a:lumMod val="75000"/>
                </a:schemeClr>
              </a:solidFill>
              <a:effectLst/>
              <a:latin typeface="+mn-lt"/>
              <a:ea typeface="+mn-ea"/>
              <a:cs typeface="+mn-cs"/>
            </a:rPr>
            <a:t>│</a:t>
          </a:r>
          <a:r>
            <a:rPr lang="en-GB" sz="1400">
              <a:solidFill>
                <a:schemeClr val="dk1"/>
              </a:solidFill>
              <a:effectLst/>
              <a:latin typeface="+mn-lt"/>
              <a:ea typeface="+mn-ea"/>
              <a:cs typeface="+mn-cs"/>
            </a:rPr>
            <a:t>	</a:t>
          </a:r>
          <a:r>
            <a:rPr lang="en-GB" sz="1200">
              <a:solidFill>
                <a:schemeClr val="dk1"/>
              </a:solidFill>
              <a:effectLst/>
              <a:latin typeface="+mn-lt"/>
              <a:ea typeface="+mn-ea"/>
              <a:cs typeface="+mn-cs"/>
            </a:rPr>
            <a:t>		   </a:t>
          </a:r>
          <a:r>
            <a:rPr lang="en-US" sz="1200">
              <a:solidFill>
                <a:schemeClr val="dk1"/>
              </a:solidFill>
              <a:effectLst/>
              <a:latin typeface="+mn-lt"/>
              <a:ea typeface="+mn-ea"/>
              <a:cs typeface="+mn-cs"/>
            </a:rPr>
            <a:t> 	</a:t>
          </a:r>
          <a:r>
            <a:rPr lang="en-US" sz="1400">
              <a:solidFill>
                <a:schemeClr val="dk1"/>
              </a:solidFill>
              <a:effectLst/>
              <a:latin typeface="+mn-lt"/>
              <a:ea typeface="+mn-ea"/>
              <a:cs typeface="+mn-cs"/>
            </a:rPr>
            <a:t>     </a:t>
          </a:r>
          <a:r>
            <a:rPr lang="en-GB" sz="1600">
              <a:solidFill>
                <a:schemeClr val="accent1">
                  <a:lumMod val="75000"/>
                </a:schemeClr>
              </a:solidFill>
              <a:effectLst/>
              <a:latin typeface="+mn-lt"/>
              <a:ea typeface="+mn-ea"/>
              <a:cs typeface="+mn-cs"/>
            </a:rPr>
            <a:t>│</a:t>
          </a:r>
          <a:endParaRPr lang="en-US" sz="1200">
            <a:solidFill>
              <a:schemeClr val="accent1">
                <a:lumMod val="75000"/>
              </a:schemeClr>
            </a:solidFill>
            <a:effectLst/>
            <a:latin typeface="+mn-lt"/>
            <a:ea typeface="+mn-ea"/>
            <a:cs typeface="+mn-cs"/>
          </a:endParaRPr>
        </a:p>
        <a:p>
          <a:r>
            <a:rPr lang="en-US" sz="1200">
              <a:solidFill>
                <a:schemeClr val="dk1"/>
              </a:solidFill>
              <a:effectLst/>
              <a:latin typeface="+mn-lt"/>
              <a:ea typeface="+mn-ea"/>
              <a:cs typeface="+mn-cs"/>
            </a:rPr>
            <a:t>BARRELS</a:t>
          </a:r>
          <a:r>
            <a:rPr lang="en-US" sz="1200" baseline="0">
              <a:solidFill>
                <a:schemeClr val="dk1"/>
              </a:solidFill>
              <a:effectLst/>
              <a:latin typeface="+mn-lt"/>
              <a:ea typeface="+mn-ea"/>
              <a:cs typeface="+mn-cs"/>
            </a:rPr>
            <a:t>       </a:t>
          </a:r>
          <a:r>
            <a:rPr lang="en-US" sz="1400" baseline="0">
              <a:solidFill>
                <a:schemeClr val="accent1">
                  <a:lumMod val="75000"/>
                </a:schemeClr>
              </a:solidFill>
              <a:effectLst/>
              <a:latin typeface="+mn-lt"/>
              <a:ea typeface="+mn-ea"/>
              <a:cs typeface="+mn-cs"/>
            </a:rPr>
            <a:t> </a:t>
          </a:r>
          <a:r>
            <a:rPr lang="en-GB" sz="1400">
              <a:solidFill>
                <a:schemeClr val="accent1">
                  <a:lumMod val="75000"/>
                </a:schemeClr>
              </a:solidFill>
              <a:effectLst/>
              <a:latin typeface="+mn-lt"/>
              <a:ea typeface="+mn-ea"/>
              <a:cs typeface="+mn-cs"/>
            </a:rPr>
            <a:t>│</a:t>
          </a:r>
          <a:r>
            <a:rPr lang="en-US" sz="1600">
              <a:solidFill>
                <a:schemeClr val="dk1"/>
              </a:solidFill>
              <a:effectLst/>
              <a:latin typeface="+mn-lt"/>
              <a:ea typeface="+mn-ea"/>
              <a:cs typeface="+mn-cs"/>
            </a:rPr>
            <a:t>	</a:t>
          </a:r>
          <a:r>
            <a:rPr lang="en-US" sz="1200">
              <a:solidFill>
                <a:schemeClr val="dk1"/>
              </a:solidFill>
              <a:effectLst/>
              <a:latin typeface="+mn-lt"/>
              <a:ea typeface="+mn-ea"/>
              <a:cs typeface="+mn-cs"/>
            </a:rPr>
            <a:t>		      </a:t>
          </a:r>
          <a:r>
            <a:rPr lang="en-GB" sz="1400">
              <a:solidFill>
                <a:schemeClr val="accent1">
                  <a:lumMod val="75000"/>
                </a:schemeClr>
              </a:solidFill>
            </a:rPr>
            <a:t>└</a:t>
          </a:r>
          <a:r>
            <a:rPr lang="en-GB" sz="1400" b="0">
              <a:solidFill>
                <a:schemeClr val="accent1">
                  <a:lumMod val="75000"/>
                </a:schemeClr>
              </a:solidFill>
              <a:effectLst/>
              <a:latin typeface="+mn-lt"/>
              <a:ea typeface="+mn-ea"/>
              <a:cs typeface="+mn-cs"/>
            </a:rPr>
            <a:t>──────</a:t>
          </a:r>
          <a:r>
            <a:rPr lang="en-US" sz="1200">
              <a:solidFill>
                <a:schemeClr val="dk1"/>
              </a:solidFill>
              <a:effectLst/>
              <a:latin typeface="+mn-lt"/>
              <a:ea typeface="+mn-ea"/>
              <a:cs typeface="+mn-cs"/>
            </a:rPr>
            <a:t>	TABLE</a:t>
          </a:r>
          <a:r>
            <a:rPr lang="en-US" sz="1200" baseline="0">
              <a:solidFill>
                <a:schemeClr val="dk1"/>
              </a:solidFill>
              <a:effectLst/>
              <a:latin typeface="+mn-lt"/>
              <a:ea typeface="+mn-ea"/>
              <a:cs typeface="+mn-cs"/>
            </a:rPr>
            <a:t> 13 	METRIC TONS</a:t>
          </a:r>
          <a:endParaRPr lang="en-US" sz="1200">
            <a:solidFill>
              <a:schemeClr val="dk1"/>
            </a:solidFill>
            <a:effectLst/>
            <a:latin typeface="+mn-lt"/>
            <a:ea typeface="+mn-ea"/>
            <a:cs typeface="+mn-cs"/>
          </a:endParaRPr>
        </a:p>
        <a:p>
          <a:r>
            <a:rPr lang="en-GB" sz="1400">
              <a:solidFill>
                <a:schemeClr val="dk1"/>
              </a:solidFill>
              <a:effectLst/>
              <a:latin typeface="+mn-lt"/>
              <a:ea typeface="+mn-ea"/>
              <a:cs typeface="+mn-cs"/>
            </a:rPr>
            <a:t>                    </a:t>
          </a:r>
          <a:r>
            <a:rPr lang="en-GB" sz="1600">
              <a:solidFill>
                <a:schemeClr val="accent1">
                  <a:lumMod val="75000"/>
                </a:schemeClr>
              </a:solidFill>
              <a:effectLst/>
              <a:latin typeface="+mn-lt"/>
              <a:ea typeface="+mn-ea"/>
              <a:cs typeface="+mn-cs"/>
            </a:rPr>
            <a:t>│</a:t>
          </a:r>
          <a:endParaRPr lang="en-US" sz="1200">
            <a:solidFill>
              <a:schemeClr val="accent1">
                <a:lumMod val="75000"/>
              </a:schemeClr>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 </a:t>
          </a:r>
          <a:r>
            <a:rPr lang="en-US" sz="1200">
              <a:solidFill>
                <a:srgbClr val="FF0000"/>
              </a:solidFill>
              <a:effectLst/>
              <a:latin typeface="+mn-lt"/>
              <a:ea typeface="+mn-ea"/>
              <a:cs typeface="+mn-cs"/>
            </a:rPr>
            <a:t>RD 60/60 </a:t>
          </a:r>
          <a:r>
            <a:rPr lang="en-US" sz="1400">
              <a:solidFill>
                <a:srgbClr val="FF0000"/>
              </a:solidFill>
              <a:effectLst/>
              <a:latin typeface="+mn-lt"/>
              <a:ea typeface="+mn-ea"/>
              <a:cs typeface="+mn-cs"/>
            </a:rPr>
            <a:t> </a:t>
          </a:r>
          <a:r>
            <a:rPr lang="en-GB" sz="1600" b="0">
              <a:solidFill>
                <a:schemeClr val="accent1">
                  <a:lumMod val="75000"/>
                </a:schemeClr>
              </a:solidFill>
              <a:effectLst/>
              <a:latin typeface="+mn-lt"/>
              <a:ea typeface="+mn-ea"/>
              <a:cs typeface="+mn-cs"/>
            </a:rPr>
            <a:t>─</a:t>
          </a:r>
          <a:r>
            <a:rPr lang="en-GB" sz="1400" b="0">
              <a:solidFill>
                <a:schemeClr val="accent1">
                  <a:lumMod val="75000"/>
                </a:schemeClr>
              </a:solidFill>
            </a:rPr>
            <a:t>┴</a:t>
          </a:r>
          <a:r>
            <a:rPr lang="en-GB" sz="1600">
              <a:solidFill>
                <a:schemeClr val="accent1">
                  <a:lumMod val="75000"/>
                </a:schemeClr>
              </a:solidFill>
              <a:effectLst/>
              <a:latin typeface="+mn-lt"/>
              <a:ea typeface="+mn-ea"/>
              <a:cs typeface="+mn-cs"/>
            </a:rPr>
            <a:t>─</a:t>
          </a:r>
          <a:r>
            <a:rPr lang="en-GB" sz="1400">
              <a:solidFill>
                <a:schemeClr val="dk1"/>
              </a:solidFill>
              <a:effectLst/>
              <a:latin typeface="+mn-lt"/>
              <a:ea typeface="+mn-ea"/>
              <a:cs typeface="+mn-cs"/>
            </a:rPr>
            <a:t> </a:t>
          </a:r>
          <a:r>
            <a:rPr lang="en-US" sz="1200">
              <a:solidFill>
                <a:sysClr val="windowText" lastClr="000000"/>
              </a:solidFill>
              <a:effectLst/>
              <a:latin typeface="+mn-lt"/>
              <a:ea typeface="+mn-ea"/>
              <a:cs typeface="+mn-cs"/>
            </a:rPr>
            <a:t>TABLE 24A/B/D </a:t>
          </a:r>
          <a:r>
            <a:rPr lang="en-GB" sz="1400">
              <a:solidFill>
                <a:schemeClr val="accent1">
                  <a:lumMod val="75000"/>
                </a:schemeClr>
              </a:solidFill>
              <a:effectLst/>
              <a:latin typeface="+mn-lt"/>
              <a:ea typeface="+mn-ea"/>
              <a:cs typeface="+mn-cs"/>
            </a:rPr>
            <a:t>────────</a:t>
          </a:r>
          <a:r>
            <a:rPr lang="en-GB" sz="1200">
              <a:solidFill>
                <a:schemeClr val="dk1"/>
              </a:solidFill>
              <a:effectLst/>
              <a:latin typeface="+mn-lt"/>
              <a:ea typeface="+mn-ea"/>
              <a:cs typeface="+mn-cs"/>
            </a:rPr>
            <a:t> </a:t>
          </a:r>
          <a:r>
            <a:rPr lang="en-US" sz="1200">
              <a:solidFill>
                <a:schemeClr val="dk1"/>
              </a:solidFill>
              <a:effectLst/>
              <a:latin typeface="+mn-lt"/>
              <a:ea typeface="+mn-ea"/>
              <a:cs typeface="+mn-cs"/>
            </a:rPr>
            <a:t>BARRELS 60°F </a:t>
          </a:r>
          <a:r>
            <a:rPr lang="en-GB" sz="1400" b="0">
              <a:solidFill>
                <a:schemeClr val="accent1">
                  <a:lumMod val="75000"/>
                </a:schemeClr>
              </a:solidFill>
              <a:effectLst/>
              <a:latin typeface="+mn-lt"/>
              <a:ea typeface="+mn-ea"/>
              <a:cs typeface="+mn-cs"/>
            </a:rPr>
            <a:t>─────────</a:t>
          </a:r>
          <a:r>
            <a:rPr lang="en-US" sz="1200">
              <a:solidFill>
                <a:schemeClr val="dk1"/>
              </a:solidFill>
              <a:effectLst/>
              <a:latin typeface="+mn-lt"/>
              <a:ea typeface="+mn-ea"/>
              <a:cs typeface="+mn-cs"/>
            </a:rPr>
            <a:t>	TABLE 29	LONG TONS</a:t>
          </a:r>
          <a:endParaRPr lang="ru-RU" sz="1200">
            <a:effectLst/>
          </a:endParaRPr>
        </a:p>
        <a:p>
          <a:endParaRPr lang="en-US" sz="1100">
            <a:solidFill>
              <a:sysClr val="windowText" lastClr="000000"/>
            </a:solidFill>
            <a:effectLst/>
            <a:latin typeface="+mn-lt"/>
            <a:ea typeface="+mn-ea"/>
            <a:cs typeface="+mn-cs"/>
          </a:endParaRPr>
        </a:p>
        <a:p>
          <a:r>
            <a:rPr lang="en-US" sz="1100">
              <a:solidFill>
                <a:schemeClr val="dk1"/>
              </a:solidFill>
              <a:effectLst/>
              <a:latin typeface="+mn-lt"/>
              <a:ea typeface="+mn-ea"/>
              <a:cs typeface="+mn-cs"/>
            </a:rPr>
            <a:t> </a:t>
          </a:r>
          <a:r>
            <a:rPr lang="en-US" sz="1200">
              <a:solidFill>
                <a:srgbClr val="FF0000"/>
              </a:solidFill>
              <a:effectLst/>
              <a:latin typeface="+mn-lt"/>
              <a:ea typeface="+mn-ea"/>
              <a:cs typeface="+mn-cs"/>
            </a:rPr>
            <a:t>DENS.   </a:t>
          </a:r>
          <a:r>
            <a:rPr lang="en-GB" sz="1600" b="0">
              <a:solidFill>
                <a:schemeClr val="accent1">
                  <a:lumMod val="75000"/>
                </a:schemeClr>
              </a:solidFill>
              <a:effectLst/>
              <a:latin typeface="+mn-lt"/>
              <a:ea typeface="+mn-ea"/>
              <a:cs typeface="+mn-cs"/>
            </a:rPr>
            <a:t>──</a:t>
          </a:r>
          <a:r>
            <a:rPr lang="en-GB" sz="1600">
              <a:solidFill>
                <a:schemeClr val="accent1">
                  <a:lumMod val="75000"/>
                </a:schemeClr>
              </a:solidFill>
            </a:rPr>
            <a:t>┐</a:t>
          </a:r>
          <a:r>
            <a:rPr lang="en-GB" sz="1400">
              <a:solidFill>
                <a:schemeClr val="accent1">
                  <a:lumMod val="75000"/>
                </a:schemeClr>
              </a:solidFill>
              <a:effectLst/>
              <a:latin typeface="+mn-lt"/>
              <a:ea typeface="+mn-ea"/>
              <a:cs typeface="+mn-cs"/>
            </a:rPr>
            <a:t> </a:t>
          </a:r>
          <a:endParaRPr lang="en-US" sz="1400">
            <a:solidFill>
              <a:schemeClr val="accent1">
                <a:lumMod val="75000"/>
              </a:schemeClr>
            </a:solidFill>
            <a:effectLst/>
            <a:latin typeface="+mn-lt"/>
            <a:ea typeface="+mn-ea"/>
            <a:cs typeface="+mn-cs"/>
          </a:endParaRPr>
        </a:p>
        <a:p>
          <a:r>
            <a:rPr lang="en-GB" sz="1400">
              <a:solidFill>
                <a:schemeClr val="dk1"/>
              </a:solidFill>
              <a:effectLst/>
              <a:latin typeface="+mn-lt"/>
              <a:ea typeface="+mn-ea"/>
              <a:cs typeface="+mn-cs"/>
            </a:rPr>
            <a:t>                  </a:t>
          </a:r>
          <a:r>
            <a:rPr lang="en-GB" sz="1600">
              <a:solidFill>
                <a:schemeClr val="accent1">
                  <a:lumMod val="75000"/>
                </a:schemeClr>
              </a:solidFill>
              <a:effectLst/>
              <a:latin typeface="+mn-lt"/>
              <a:ea typeface="+mn-ea"/>
              <a:cs typeface="+mn-cs"/>
            </a:rPr>
            <a:t>│</a:t>
          </a:r>
          <a:endParaRPr lang="ru-RU" sz="1400">
            <a:solidFill>
              <a:schemeClr val="accent1">
                <a:lumMod val="75000"/>
              </a:schemeClr>
            </a:solidFill>
            <a:effectLst/>
          </a:endParaRPr>
        </a:p>
        <a:p>
          <a:pPr eaLnBrk="1" fontAlgn="auto" latinLnBrk="0" hangingPunct="1"/>
          <a:r>
            <a:rPr lang="en-US" sz="1100">
              <a:solidFill>
                <a:schemeClr val="dk1"/>
              </a:solidFill>
              <a:effectLst/>
              <a:latin typeface="+mn-lt"/>
              <a:ea typeface="+mn-ea"/>
              <a:cs typeface="+mn-cs"/>
            </a:rPr>
            <a:t> </a:t>
          </a:r>
          <a:r>
            <a:rPr lang="en-US" sz="1200">
              <a:solidFill>
                <a:schemeClr val="dk1"/>
              </a:solidFill>
              <a:effectLst/>
              <a:latin typeface="+mn-lt"/>
              <a:ea typeface="+mn-ea"/>
              <a:cs typeface="+mn-cs"/>
            </a:rPr>
            <a:t>METRIC </a:t>
          </a:r>
          <a:r>
            <a:rPr lang="en-GB" sz="1400" b="0">
              <a:solidFill>
                <a:schemeClr val="accent1">
                  <a:lumMod val="75000"/>
                </a:schemeClr>
              </a:solidFill>
              <a:effectLst/>
              <a:latin typeface="+mn-lt"/>
              <a:ea typeface="+mn-ea"/>
              <a:cs typeface="+mn-cs"/>
            </a:rPr>
            <a:t>──</a:t>
          </a:r>
          <a:r>
            <a:rPr lang="en-GB" sz="1200" b="0">
              <a:solidFill>
                <a:schemeClr val="accent1">
                  <a:lumMod val="75000"/>
                </a:schemeClr>
              </a:solidFill>
              <a:effectLst/>
              <a:latin typeface="+mn-lt"/>
              <a:ea typeface="+mn-ea"/>
              <a:cs typeface="+mn-cs"/>
            </a:rPr>
            <a:t>┴</a:t>
          </a:r>
          <a:r>
            <a:rPr lang="en-GB" sz="1400">
              <a:solidFill>
                <a:schemeClr val="accent1">
                  <a:lumMod val="75000"/>
                </a:schemeClr>
              </a:solidFill>
              <a:effectLst/>
              <a:latin typeface="+mn-lt"/>
              <a:ea typeface="+mn-ea"/>
              <a:cs typeface="+mn-cs"/>
            </a:rPr>
            <a:t>─ </a:t>
          </a:r>
          <a:r>
            <a:rPr lang="en-US" sz="1200">
              <a:solidFill>
                <a:schemeClr val="dk1"/>
              </a:solidFill>
              <a:effectLst/>
              <a:latin typeface="+mn-lt"/>
              <a:ea typeface="+mn-ea"/>
              <a:cs typeface="+mn-cs"/>
            </a:rPr>
            <a:t>TABLE 54A/B/D </a:t>
          </a:r>
          <a:r>
            <a:rPr lang="en-GB" sz="1400">
              <a:solidFill>
                <a:schemeClr val="accent1">
                  <a:lumMod val="75000"/>
                </a:schemeClr>
              </a:solidFill>
              <a:effectLst/>
              <a:latin typeface="+mn-lt"/>
              <a:ea typeface="+mn-ea"/>
              <a:cs typeface="+mn-cs"/>
            </a:rPr>
            <a:t>─────────</a:t>
          </a:r>
          <a:r>
            <a:rPr lang="en-GB" sz="1200">
              <a:solidFill>
                <a:schemeClr val="dk1"/>
              </a:solidFill>
              <a:effectLst/>
              <a:latin typeface="+mn-lt"/>
              <a:ea typeface="+mn-ea"/>
              <a:cs typeface="+mn-cs"/>
            </a:rPr>
            <a:t> </a:t>
          </a:r>
          <a:r>
            <a:rPr lang="en-US" sz="1200">
              <a:solidFill>
                <a:schemeClr val="dk1"/>
              </a:solidFill>
              <a:effectLst/>
              <a:latin typeface="+mn-lt"/>
              <a:ea typeface="+mn-ea"/>
              <a:cs typeface="+mn-cs"/>
            </a:rPr>
            <a:t>LITRES 60°C </a:t>
          </a:r>
          <a:r>
            <a:rPr lang="en-GB" sz="1400" b="0">
              <a:solidFill>
                <a:schemeClr val="accent1">
                  <a:lumMod val="75000"/>
                </a:schemeClr>
              </a:solidFill>
              <a:effectLst/>
              <a:latin typeface="+mn-lt"/>
              <a:ea typeface="+mn-ea"/>
              <a:cs typeface="+mn-cs"/>
            </a:rPr>
            <a:t>────</a:t>
          </a:r>
          <a:r>
            <a:rPr lang="en-GB" sz="1100">
              <a:solidFill>
                <a:schemeClr val="accent1">
                  <a:lumMod val="75000"/>
                </a:schemeClr>
              </a:solidFill>
              <a:effectLst/>
              <a:latin typeface="+mn-lt"/>
              <a:ea typeface="+mn-ea"/>
              <a:cs typeface="+mn-cs"/>
            </a:rPr>
            <a:t>┬</a:t>
          </a:r>
          <a:r>
            <a:rPr lang="en-GB" sz="1400" b="0">
              <a:solidFill>
                <a:schemeClr val="accent1">
                  <a:lumMod val="75000"/>
                </a:schemeClr>
              </a:solidFill>
              <a:effectLst/>
              <a:latin typeface="+mn-lt"/>
              <a:ea typeface="+mn-ea"/>
              <a:cs typeface="+mn-cs"/>
            </a:rPr>
            <a:t>──────</a:t>
          </a:r>
          <a:r>
            <a:rPr lang="en-US" sz="1200">
              <a:solidFill>
                <a:schemeClr val="dk1"/>
              </a:solidFill>
              <a:effectLst/>
              <a:latin typeface="+mn-lt"/>
              <a:ea typeface="+mn-ea"/>
              <a:cs typeface="+mn-cs"/>
            </a:rPr>
            <a:t>	TABLE 56	METRIC TONS</a:t>
          </a:r>
          <a:endParaRPr lang="ru-RU">
            <a:effectLst/>
          </a:endParaRPr>
        </a:p>
        <a:p>
          <a:r>
            <a:rPr lang="en-US" sz="1100">
              <a:solidFill>
                <a:schemeClr val="dk1"/>
              </a:solidFill>
              <a:effectLst/>
              <a:latin typeface="+mn-lt"/>
              <a:ea typeface="+mn-ea"/>
              <a:cs typeface="+mn-cs"/>
            </a:rPr>
            <a:t>				</a:t>
          </a:r>
          <a:r>
            <a:rPr lang="en-US" sz="1400">
              <a:solidFill>
                <a:schemeClr val="accent1">
                  <a:lumMod val="75000"/>
                </a:schemeClr>
              </a:solidFill>
              <a:effectLst/>
              <a:latin typeface="+mn-lt"/>
              <a:ea typeface="+mn-ea"/>
              <a:cs typeface="+mn-cs"/>
            </a:rPr>
            <a:t>  </a:t>
          </a:r>
          <a:r>
            <a:rPr lang="ru-RU" sz="1400" baseline="0">
              <a:solidFill>
                <a:schemeClr val="accent1">
                  <a:lumMod val="75000"/>
                </a:schemeClr>
              </a:solidFill>
              <a:effectLst/>
              <a:latin typeface="+mn-lt"/>
              <a:ea typeface="+mn-ea"/>
              <a:cs typeface="+mn-cs"/>
            </a:rPr>
            <a:t>   </a:t>
          </a:r>
          <a:r>
            <a:rPr lang="en-US" sz="1400">
              <a:solidFill>
                <a:schemeClr val="accent1">
                  <a:lumMod val="75000"/>
                </a:schemeClr>
              </a:solidFill>
              <a:effectLst/>
              <a:latin typeface="+mn-lt"/>
              <a:ea typeface="+mn-ea"/>
              <a:cs typeface="+mn-cs"/>
            </a:rPr>
            <a:t> </a:t>
          </a:r>
          <a:r>
            <a:rPr lang="en-GB" sz="1400">
              <a:solidFill>
                <a:schemeClr val="accent1">
                  <a:lumMod val="75000"/>
                </a:schemeClr>
              </a:solidFill>
              <a:effectLst/>
              <a:latin typeface="+mn-lt"/>
              <a:ea typeface="+mn-ea"/>
              <a:cs typeface="+mn-cs"/>
            </a:rPr>
            <a:t>│ .................................................. </a:t>
          </a:r>
          <a:r>
            <a:rPr lang="en-GB" sz="1100">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en-GB" sz="1400">
              <a:solidFill>
                <a:schemeClr val="accent1">
                  <a:lumMod val="75000"/>
                </a:schemeClr>
              </a:solidFill>
              <a:effectLst/>
              <a:latin typeface="+mn-lt"/>
              <a:ea typeface="+mn-ea"/>
              <a:cs typeface="+mn-cs"/>
            </a:rPr>
            <a:t>│ 		</a:t>
          </a:r>
          <a:r>
            <a:rPr lang="en-GB" sz="1200">
              <a:solidFill>
                <a:sysClr val="windowText" lastClr="000000"/>
              </a:solidFill>
              <a:effectLst/>
              <a:latin typeface="+mn-lt"/>
              <a:ea typeface="+mn-ea"/>
              <a:cs typeface="+mn-cs"/>
            </a:rPr>
            <a:t>(mass)</a:t>
          </a:r>
          <a:endParaRPr lang="en-US" sz="1100">
            <a:solidFill>
              <a:sysClr val="windowText" lastClr="000000"/>
            </a:solidFill>
            <a:effectLst/>
            <a:latin typeface="+mn-lt"/>
            <a:ea typeface="+mn-ea"/>
            <a:cs typeface="+mn-cs"/>
          </a:endParaRPr>
        </a:p>
        <a:p>
          <a:r>
            <a:rPr lang="en-US" sz="1100">
              <a:solidFill>
                <a:schemeClr val="dk1"/>
              </a:solidFill>
              <a:effectLst/>
              <a:latin typeface="+mn-lt"/>
              <a:ea typeface="+mn-ea"/>
              <a:cs typeface="+mn-cs"/>
            </a:rPr>
            <a:t>				        </a:t>
          </a:r>
          <a:r>
            <a:rPr lang="en-GB" sz="1400">
              <a:solidFill>
                <a:schemeClr val="accent1">
                  <a:lumMod val="75000"/>
                </a:schemeClr>
              </a:solidFill>
              <a:effectLst/>
              <a:latin typeface="+mn-lt"/>
              <a:ea typeface="+mn-ea"/>
              <a:cs typeface="+mn-cs"/>
            </a:rPr>
            <a:t>└</a:t>
          </a:r>
          <a:r>
            <a:rPr lang="en-GB" sz="1400" b="0">
              <a:solidFill>
                <a:schemeClr val="accent1">
                  <a:lumMod val="75000"/>
                </a:schemeClr>
              </a:solidFill>
              <a:effectLst/>
              <a:latin typeface="+mn-lt"/>
              <a:ea typeface="+mn-ea"/>
              <a:cs typeface="+mn-cs"/>
            </a:rPr>
            <a:t>──────</a:t>
          </a:r>
          <a:r>
            <a:rPr lang="en-US" sz="1100">
              <a:solidFill>
                <a:schemeClr val="dk1"/>
              </a:solidFill>
              <a:effectLst/>
              <a:latin typeface="+mn-lt"/>
              <a:ea typeface="+mn-ea"/>
              <a:cs typeface="+mn-cs"/>
            </a:rPr>
            <a:t>	DENS. </a:t>
          </a:r>
          <a:r>
            <a:rPr lang="en-GB" sz="1400" b="0">
              <a:solidFill>
                <a:schemeClr val="accent1">
                  <a:lumMod val="75000"/>
                </a:schemeClr>
              </a:solidFill>
              <a:effectLst/>
              <a:latin typeface="+mn-lt"/>
              <a:ea typeface="+mn-ea"/>
              <a:cs typeface="+mn-cs"/>
            </a:rPr>
            <a:t>─────  </a:t>
          </a:r>
          <a:r>
            <a:rPr lang="en-US" sz="1100" baseline="0">
              <a:solidFill>
                <a:schemeClr val="dk1"/>
              </a:solidFill>
              <a:effectLst/>
              <a:latin typeface="+mn-lt"/>
              <a:ea typeface="+mn-ea"/>
              <a:cs typeface="+mn-cs"/>
            </a:rPr>
            <a:t>METRIC TONS</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r>
            <a:rPr lang="en-US" sz="1200">
              <a:solidFill>
                <a:schemeClr val="dk1"/>
              </a:solidFill>
              <a:effectLst/>
              <a:latin typeface="+mn-lt"/>
              <a:ea typeface="+mn-ea"/>
              <a:cs typeface="+mn-cs"/>
            </a:rPr>
            <a:t>In general SAYBOLT calculates from volume into mass/weight as follows: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Volume and temperature of the product in a vessel or shore tank are measured. This measured volume (</a:t>
          </a:r>
          <a:r>
            <a:rPr lang="en-US" sz="1200" i="1">
              <a:solidFill>
                <a:schemeClr val="dk1"/>
              </a:solidFill>
              <a:effectLst/>
              <a:latin typeface="+mn-lt"/>
              <a:ea typeface="+mn-ea"/>
              <a:cs typeface="+mn-cs"/>
            </a:rPr>
            <a:t>Total Observed Vo-ume) </a:t>
          </a:r>
          <a:r>
            <a:rPr lang="en-US" sz="1200">
              <a:solidFill>
                <a:schemeClr val="dk1"/>
              </a:solidFill>
              <a:effectLst/>
              <a:latin typeface="+mn-lt"/>
              <a:ea typeface="+mn-ea"/>
              <a:cs typeface="+mn-cs"/>
            </a:rPr>
            <a:t>has to be corrected for trim, list, free water, floating roof etc. This corrected volume is called the </a:t>
          </a:r>
          <a:r>
            <a:rPr lang="en-US" sz="1200" i="1">
              <a:solidFill>
                <a:schemeClr val="dk1"/>
              </a:solidFill>
              <a:effectLst/>
              <a:latin typeface="+mn-lt"/>
              <a:ea typeface="+mn-ea"/>
              <a:cs typeface="+mn-cs"/>
            </a:rPr>
            <a:t>Gross Observed Volume</a:t>
          </a:r>
          <a:r>
            <a:rPr lang="en-US" sz="1200">
              <a:solidFill>
                <a:schemeClr val="dk1"/>
              </a:solidFill>
              <a:effectLst/>
              <a:latin typeface="+mn-lt"/>
              <a:ea typeface="+mn-ea"/>
              <a:cs typeface="+mn-cs"/>
            </a:rPr>
            <a:t>. This is the volume that will be corrected to a volume at a standard temperature; the </a:t>
          </a:r>
          <a:r>
            <a:rPr lang="en-US" sz="1200" i="1">
              <a:solidFill>
                <a:schemeClr val="dk1"/>
              </a:solidFill>
              <a:effectLst/>
              <a:latin typeface="+mn-lt"/>
              <a:ea typeface="+mn-ea"/>
              <a:cs typeface="+mn-cs"/>
            </a:rPr>
            <a:t>Gross Standard Volume</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This standard volume can be expressed in:</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Barrels at 60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F.</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Cubic meters at 15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C.</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(Cubic metres at 12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C.)</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(Cubic meters at 20 </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C.)</a:t>
          </a:r>
          <a:endParaRPr lang="en-GB" sz="1200">
            <a:solidFill>
              <a:schemeClr val="dk1"/>
            </a:solidFill>
            <a:effectLst/>
            <a:latin typeface="+mn-lt"/>
            <a:ea typeface="+mn-ea"/>
            <a:cs typeface="+mn-cs"/>
          </a:endParaRPr>
        </a:p>
        <a:p>
          <a:r>
            <a:rPr lang="en-US" sz="1200">
              <a:solidFill>
                <a:schemeClr val="dk1"/>
              </a:solidFill>
              <a:effectLst/>
              <a:latin typeface="+mn-lt"/>
              <a:ea typeface="+mn-ea"/>
              <a:cs typeface="+mn-cs"/>
            </a:rPr>
            <a:t>Be aware that the correct volume unit is used together with the belonging calculating system.</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for instance:</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barrels together with API or RD 60/60</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litres with Density at 15</a:t>
          </a:r>
          <a:r>
            <a:rPr lang="en-US" sz="1200" baseline="30000">
              <a:solidFill>
                <a:schemeClr val="dk1"/>
              </a:solidFill>
              <a:effectLst/>
              <a:latin typeface="+mn-lt"/>
              <a:ea typeface="+mn-ea"/>
              <a:cs typeface="+mn-cs"/>
            </a:rPr>
            <a:t>o</a:t>
          </a:r>
          <a:r>
            <a:rPr lang="en-US" sz="1200">
              <a:solidFill>
                <a:schemeClr val="dk1"/>
              </a:solidFill>
              <a:effectLst/>
              <a:latin typeface="+mn-lt"/>
              <a:ea typeface="+mn-ea"/>
              <a:cs typeface="+mn-cs"/>
            </a:rPr>
            <a:t>C.</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(If calculations are to be performed metric in vacuo, and the observed volume is given in barrels, this should be converted to liters by means of ASTM table 1.) </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200">
              <a:solidFill>
                <a:schemeClr val="dk1"/>
              </a:solidFill>
              <a:effectLst/>
              <a:latin typeface="+mn-lt"/>
              <a:ea typeface="+mn-ea"/>
              <a:cs typeface="+mn-cs"/>
            </a:rPr>
            <a:t>This calculation from Observed volume to Standard volume is done by means of a </a:t>
          </a:r>
          <a:r>
            <a:rPr lang="en-US" sz="1200" i="1">
              <a:solidFill>
                <a:schemeClr val="dk1"/>
              </a:solidFill>
              <a:effectLst/>
              <a:latin typeface="+mn-lt"/>
              <a:ea typeface="+mn-ea"/>
              <a:cs typeface="+mn-cs"/>
            </a:rPr>
            <a:t>Volume Correction Factor</a:t>
          </a:r>
          <a:r>
            <a:rPr lang="en-US" sz="1200">
              <a:solidFill>
                <a:schemeClr val="dk1"/>
              </a:solidFill>
              <a:effectLst/>
              <a:latin typeface="+mn-lt"/>
              <a:ea typeface="+mn-ea"/>
              <a:cs typeface="+mn-cs"/>
            </a:rPr>
            <a:t> or V.C.F..</a:t>
          </a:r>
          <a:br>
            <a:rPr lang="en-US" sz="1200">
              <a:solidFill>
                <a:schemeClr val="dk1"/>
              </a:solidFill>
              <a:effectLst/>
              <a:latin typeface="+mn-lt"/>
              <a:ea typeface="+mn-ea"/>
              <a:cs typeface="+mn-cs"/>
            </a:rPr>
          </a:br>
          <a:r>
            <a:rPr lang="en-US" sz="1200">
              <a:solidFill>
                <a:schemeClr val="dk1"/>
              </a:solidFill>
              <a:effectLst/>
              <a:latin typeface="+mn-lt"/>
              <a:ea typeface="+mn-ea"/>
              <a:cs typeface="+mn-cs"/>
            </a:rPr>
            <a:t>Next the obtained standard volume is multiplied by the density, resulting in </a:t>
          </a:r>
          <a:r>
            <a:rPr lang="en-US" sz="1200" i="1">
              <a:solidFill>
                <a:schemeClr val="dk1"/>
              </a:solidFill>
              <a:effectLst/>
              <a:latin typeface="+mn-lt"/>
              <a:ea typeface="+mn-ea"/>
              <a:cs typeface="+mn-cs"/>
            </a:rPr>
            <a:t>mass</a:t>
          </a:r>
          <a:r>
            <a:rPr lang="en-US" sz="1200">
              <a:solidFill>
                <a:schemeClr val="dk1"/>
              </a:solidFill>
              <a:effectLst/>
              <a:latin typeface="+mn-lt"/>
              <a:ea typeface="+mn-ea"/>
              <a:cs typeface="+mn-cs"/>
            </a:rPr>
            <a:t>, or multiplied by W.C.F., resulting in </a:t>
          </a:r>
          <a:r>
            <a:rPr lang="en-US" sz="1200" i="1">
              <a:solidFill>
                <a:schemeClr val="dk1"/>
              </a:solidFill>
              <a:effectLst/>
              <a:latin typeface="+mn-lt"/>
              <a:ea typeface="+mn-ea"/>
              <a:cs typeface="+mn-cs"/>
            </a:rPr>
            <a:t>weight</a:t>
          </a:r>
          <a:r>
            <a:rPr lang="en-US" sz="1200">
              <a:solidFill>
                <a:schemeClr val="dk1"/>
              </a:solidFill>
              <a:effectLst/>
              <a:latin typeface="+mn-lt"/>
              <a:ea typeface="+mn-ea"/>
              <a:cs typeface="+mn-cs"/>
            </a:rPr>
            <a:t>.</a:t>
          </a:r>
          <a:br>
            <a:rPr lang="en-US" sz="1200">
              <a:solidFill>
                <a:schemeClr val="dk1"/>
              </a:solidFill>
              <a:effectLst/>
              <a:latin typeface="+mn-lt"/>
              <a:ea typeface="+mn-ea"/>
              <a:cs typeface="+mn-cs"/>
            </a:rPr>
          </a:br>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Volume correction factors are divided into three groups, depending on the kind of product:</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br>
            <a:rPr lang="en-US" sz="1050">
              <a:effectLst/>
              <a:latin typeface="Times New Roman" panose="02020603050405020304" pitchFamily="18" charset="0"/>
              <a:ea typeface="Times New Roman" panose="02020603050405020304" pitchFamily="18" charset="0"/>
            </a:rPr>
          </a:b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ASTM Volume Correction Factors</a:t>
          </a:r>
          <a:br>
            <a:rPr lang="en-US" sz="1050">
              <a:effectLst/>
              <a:latin typeface="Times New Roman" panose="02020603050405020304" pitchFamily="18" charset="0"/>
              <a:ea typeface="Times New Roman" panose="02020603050405020304" pitchFamily="18" charset="0"/>
            </a:rPr>
          </a:b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a:t>
          </a:r>
          <a:br>
            <a:rPr lang="en-US" sz="1050">
              <a:effectLst/>
              <a:latin typeface="Times New Roman" panose="02020603050405020304" pitchFamily="18" charset="0"/>
              <a:ea typeface="Times New Roman" panose="02020603050405020304" pitchFamily="18" charset="0"/>
            </a:rPr>
          </a:b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Tables 6-24-54 </a:t>
          </a:r>
          <a:r>
            <a:rPr lang="en-US" sz="1100" b="1">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A</a:t>
          </a: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 : For crude oils </a:t>
          </a:r>
          <a:br>
            <a:rPr lang="en-US" sz="1050">
              <a:effectLst/>
              <a:latin typeface="Times New Roman" panose="02020603050405020304" pitchFamily="18" charset="0"/>
              <a:ea typeface="Times New Roman" panose="02020603050405020304" pitchFamily="18" charset="0"/>
            </a:rPr>
          </a:b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Tables 6-24-54 </a:t>
          </a:r>
          <a:r>
            <a:rPr lang="en-US" sz="1100" b="1">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B</a:t>
          </a: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 : For generalized products; fuel oil, gas oil, kerosene, gasoline, naphtha's</a:t>
          </a:r>
          <a:br>
            <a:rPr lang="en-US" sz="1050">
              <a:effectLst/>
              <a:latin typeface="Times New Roman" panose="02020603050405020304" pitchFamily="18" charset="0"/>
              <a:ea typeface="Times New Roman" panose="02020603050405020304" pitchFamily="18" charset="0"/>
            </a:rPr>
          </a:b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Tables 6-24-54 </a:t>
          </a:r>
          <a:r>
            <a:rPr lang="en-US" sz="1100" b="1">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D</a:t>
          </a:r>
          <a:r>
            <a:rPr lang="en-US" sz="1100">
              <a:solidFill>
                <a:srgbClr val="0000FF"/>
              </a:solidFill>
              <a:effectLst/>
              <a:latin typeface="Arial" panose="020B0604020202020204" pitchFamily="34" charset="0"/>
              <a:ea typeface="Times New Roman" panose="02020603050405020304" pitchFamily="18" charset="0"/>
              <a:cs typeface="Times New Roman" panose="02020603050405020304" pitchFamily="18" charset="0"/>
            </a:rPr>
            <a:t> : For lubricating oils</a:t>
          </a:r>
          <a:br>
            <a:rPr lang="en-US" sz="1050">
              <a:effectLst/>
              <a:latin typeface="Times New Roman" panose="02020603050405020304" pitchFamily="18" charset="0"/>
              <a:ea typeface="Times New Roman" panose="02020603050405020304" pitchFamily="18" charset="0"/>
            </a:rPr>
          </a:br>
          <a:br>
            <a:rPr lang="en-US" sz="1050">
              <a:effectLst/>
              <a:latin typeface="Times New Roman" panose="02020603050405020304" pitchFamily="18" charset="0"/>
              <a:ea typeface="Times New Roman" panose="02020603050405020304" pitchFamily="18" charset="0"/>
            </a:rPr>
          </a:br>
          <a:br>
            <a:rPr lang="en-US" sz="1050">
              <a:effectLst/>
              <a:latin typeface="Times New Roman" panose="02020603050405020304" pitchFamily="18" charset="0"/>
              <a:ea typeface="Times New Roman" panose="02020603050405020304" pitchFamily="18" charset="0"/>
            </a:rPr>
          </a:br>
          <a:r>
            <a:rPr lang="en-US" sz="1200">
              <a:effectLst/>
              <a:latin typeface="+mn-lt"/>
              <a:ea typeface="Times New Roman" panose="02020603050405020304" pitchFamily="18" charset="0"/>
            </a:rPr>
            <a:t>Tables 6 A-B-D give Volume Correction Factors for correcting Barrels at actual temperature to Barrels at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depending on </a:t>
          </a:r>
          <a:r>
            <a:rPr lang="en-US" sz="1200" i="1">
              <a:effectLst/>
              <a:latin typeface="+mn-lt"/>
              <a:ea typeface="Times New Roman" panose="02020603050405020304" pitchFamily="18" charset="0"/>
            </a:rPr>
            <a:t>API</a:t>
          </a:r>
          <a:r>
            <a:rPr lang="en-US" sz="1200">
              <a:effectLst/>
              <a:latin typeface="+mn-lt"/>
              <a:ea typeface="Times New Roman" panose="02020603050405020304" pitchFamily="18" charset="0"/>
            </a:rPr>
            <a:t> at 60</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and temperature in </a:t>
          </a:r>
          <a:r>
            <a:rPr lang="en-US" sz="1200" b="1" baseline="30000">
              <a:effectLst/>
              <a:latin typeface="+mn-lt"/>
              <a:ea typeface="Times New Roman" panose="02020603050405020304" pitchFamily="18" charset="0"/>
            </a:rPr>
            <a:t>o</a:t>
          </a:r>
          <a:r>
            <a:rPr lang="en-US" sz="1200" b="1">
              <a:effectLst/>
              <a:latin typeface="+mn-lt"/>
              <a:ea typeface="Times New Roman" panose="02020603050405020304" pitchFamily="18" charset="0"/>
            </a:rPr>
            <a:t>F</a:t>
          </a:r>
          <a:r>
            <a:rPr lang="en-US" sz="1200">
              <a:effectLst/>
              <a:latin typeface="+mn-lt"/>
              <a:ea typeface="Times New Roman" panose="02020603050405020304" pitchFamily="18" charset="0"/>
            </a:rPr>
            <a:t>.</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Tables 24 A-B-D give Volume Correction Factors for correcting Barrels at actual temperature to Barrels at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depending on </a:t>
          </a:r>
          <a:r>
            <a:rPr lang="en-US" sz="1200" i="1">
              <a:effectLst/>
              <a:latin typeface="+mn-lt"/>
              <a:ea typeface="Times New Roman" panose="02020603050405020304" pitchFamily="18" charset="0"/>
            </a:rPr>
            <a:t>Relative Density</a:t>
          </a:r>
          <a:r>
            <a:rPr lang="en-US" sz="1200">
              <a:effectLst/>
              <a:latin typeface="+mn-lt"/>
              <a:ea typeface="Times New Roman" panose="02020603050405020304" pitchFamily="18" charset="0"/>
            </a:rPr>
            <a:t> 60/60</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and temperature in </a:t>
          </a:r>
          <a:r>
            <a:rPr lang="en-US" sz="1200" b="1" baseline="30000">
              <a:effectLst/>
              <a:latin typeface="+mn-lt"/>
              <a:ea typeface="Times New Roman" panose="02020603050405020304" pitchFamily="18" charset="0"/>
            </a:rPr>
            <a:t>o</a:t>
          </a:r>
          <a:r>
            <a:rPr lang="en-US" sz="1200" b="1">
              <a:effectLst/>
              <a:latin typeface="+mn-lt"/>
              <a:ea typeface="Times New Roman" panose="02020603050405020304" pitchFamily="18" charset="0"/>
            </a:rPr>
            <a:t>F</a:t>
          </a:r>
          <a:r>
            <a:rPr lang="en-US" sz="1200">
              <a:effectLst/>
              <a:latin typeface="+mn-lt"/>
              <a:ea typeface="Times New Roman" panose="02020603050405020304" pitchFamily="18" charset="0"/>
            </a:rPr>
            <a:t>.</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Tables 54 A-B-D give Volume Correction Factors for correcting Litres at actual temperature to Litres at 15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C., depending on </a:t>
          </a:r>
          <a:r>
            <a:rPr lang="en-US" sz="1200" i="1">
              <a:effectLst/>
              <a:latin typeface="+mn-lt"/>
              <a:ea typeface="Times New Roman" panose="02020603050405020304" pitchFamily="18" charset="0"/>
            </a:rPr>
            <a:t>Density</a:t>
          </a:r>
          <a:r>
            <a:rPr lang="en-US" sz="1200">
              <a:effectLst/>
              <a:latin typeface="+mn-lt"/>
              <a:ea typeface="Times New Roman" panose="02020603050405020304" pitchFamily="18" charset="0"/>
            </a:rPr>
            <a:t> at 15</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C. and temperature in </a:t>
          </a:r>
          <a:r>
            <a:rPr lang="en-US" sz="1200" b="1" baseline="30000">
              <a:effectLst/>
              <a:latin typeface="+mn-lt"/>
              <a:ea typeface="Times New Roman" panose="02020603050405020304" pitchFamily="18" charset="0"/>
            </a:rPr>
            <a:t>o</a:t>
          </a:r>
          <a:r>
            <a:rPr lang="en-US" sz="1200" b="1">
              <a:effectLst/>
              <a:latin typeface="+mn-lt"/>
              <a:ea typeface="Times New Roman" panose="02020603050405020304" pitchFamily="18" charset="0"/>
            </a:rPr>
            <a:t>C</a:t>
          </a:r>
          <a:r>
            <a:rPr lang="en-US" sz="1200">
              <a:effectLst/>
              <a:latin typeface="+mn-lt"/>
              <a:ea typeface="Times New Roman" panose="02020603050405020304" pitchFamily="18" charset="0"/>
            </a:rPr>
            <a:t>.</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endParaRPr lang="en-GB" sz="1200">
            <a:effectLst/>
            <a:latin typeface="+mn-lt"/>
            <a:ea typeface="Times New Roman" panose="02020603050405020304" pitchFamily="18" charset="0"/>
          </a:endParaRPr>
        </a:p>
        <a:p>
          <a:r>
            <a:rPr lang="en-US" sz="1050" b="1">
              <a:solidFill>
                <a:srgbClr val="FF0000"/>
              </a:solidFill>
              <a:effectLst/>
              <a:latin typeface="Arial" panose="020B0604020202020204" pitchFamily="34" charset="0"/>
              <a:ea typeface="Times New Roman" panose="02020603050405020304" pitchFamily="18" charset="0"/>
              <a:cs typeface="Times New Roman" panose="02020603050405020304" pitchFamily="18" charset="0"/>
            </a:rPr>
            <a:t>Examples:</a:t>
          </a:r>
          <a:br>
            <a:rPr lang="en-US" sz="1050">
              <a:effectLst/>
              <a:latin typeface="Times New Roman" panose="02020603050405020304" pitchFamily="18" charset="0"/>
              <a:ea typeface="Times New Roman" panose="02020603050405020304" pitchFamily="18" charset="0"/>
            </a:rPr>
          </a:br>
          <a:endParaRPr lang="en-US" sz="1100">
            <a:solidFill>
              <a:schemeClr val="dk1"/>
            </a:solidFill>
            <a:effectLst/>
            <a:latin typeface="+mn-lt"/>
            <a:ea typeface="+mn-ea"/>
            <a:cs typeface="+mn-cs"/>
          </a:endParaRPr>
        </a:p>
        <a:p>
          <a:r>
            <a:rPr lang="en-US" sz="1200" b="1" i="0" u="sng" strike="noStrike">
              <a:solidFill>
                <a:srgbClr val="FF0000"/>
              </a:solidFill>
              <a:effectLst/>
              <a:latin typeface="Arial" panose="020B0604020202020204" pitchFamily="34" charset="0"/>
              <a:cs typeface="Times New Roman" panose="02020603050405020304" pitchFamily="18" charset="0"/>
            </a:rPr>
            <a:t>Gas Oil (metric - vacuo calculation</a:t>
          </a:r>
          <a:r>
            <a:rPr lang="ru-RU" sz="1200" b="1" u="sng">
              <a:solidFill>
                <a:srgbClr val="FF0000"/>
              </a:solidFill>
              <a:effectLst/>
            </a:rPr>
            <a:t>)</a:t>
          </a:r>
          <a:r>
            <a:rPr lang="ru-RU" sz="1200" b="1" u="sng">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Density at 15 </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C. (vacuo)</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0.8421</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Kg/l</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Gross Observed Volume</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6,541,980</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litre</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Temperature</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16.3</a:t>
          </a:r>
          <a:r>
            <a:rPr lang="ru-RU" sz="1000">
              <a:effectLst/>
            </a:rPr>
            <a:t> 	</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C.</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V.C.F. to 15 </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C. (54B)</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0.9989</a:t>
          </a:r>
          <a:r>
            <a:rPr lang="ru-RU" sz="1000">
              <a:effectLst/>
            </a:rPr>
            <a:t> </a:t>
          </a:r>
          <a:r>
            <a:rPr lang="en-US" sz="800" b="0" i="0" u="none" strike="noStrike">
              <a:effectLst/>
              <a:latin typeface="Times New Roman" panose="02020603050405020304" pitchFamily="18" charset="0"/>
            </a:rPr>
            <a:t> </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Gross Standard Volume (6,541,980 x 0.9989)</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6,534,784</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ltr 15</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C.</a:t>
          </a:r>
          <a:r>
            <a:rPr lang="ru-RU" sz="1000">
              <a:effectLst/>
            </a:rPr>
            <a:t> </a:t>
          </a:r>
          <a:r>
            <a:rPr lang="en-US" sz="1000" b="0" i="0" u="none" strike="noStrike">
              <a:solidFill>
                <a:srgbClr val="000000"/>
              </a:solidFill>
              <a:effectLst/>
              <a:latin typeface="Times New Roman" panose="02020603050405020304" pitchFamily="18" charset="0"/>
            </a:rPr>
            <a:t> </a:t>
          </a:r>
          <a:r>
            <a:rPr lang="ru-RU" sz="1000">
              <a:effectLst/>
            </a:rPr>
            <a:t> </a:t>
          </a:r>
          <a:r>
            <a:rPr lang="en-US" sz="800" b="0" i="0" u="none" strike="noStrike">
              <a:effectLst/>
              <a:latin typeface="Times New Roman" panose="02020603050405020304" pitchFamily="18" charset="0"/>
            </a:rPr>
            <a:t> </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Mass (Weight-in-Vacuo) (6,534,784 x 0.8421)</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5,502,942</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kg</a:t>
          </a:r>
          <a:r>
            <a:rPr lang="ru-RU" sz="1000">
              <a:effectLst/>
            </a:rPr>
            <a:t> </a:t>
          </a:r>
          <a:r>
            <a:rPr lang="en-US" sz="1000" b="0" i="0" u="none" strike="noStrike">
              <a:solidFill>
                <a:srgbClr val="000000"/>
              </a:solidFill>
              <a:effectLst/>
              <a:latin typeface="Times New Roman" panose="02020603050405020304" pitchFamily="18" charset="0"/>
            </a:rPr>
            <a:t> </a:t>
          </a:r>
          <a:r>
            <a:rPr lang="ru-RU" sz="1000">
              <a:effectLst/>
            </a:rPr>
            <a:t> </a:t>
          </a:r>
        </a:p>
        <a:p>
          <a:r>
            <a:rPr lang="ru-RU" sz="1000" b="1" i="0" u="none" strike="noStrike">
              <a:solidFill>
                <a:srgbClr val="FF0000"/>
              </a:solidFill>
              <a:effectLst/>
              <a:latin typeface="Arial" panose="020B0604020202020204" pitchFamily="34" charset="0"/>
              <a:cs typeface="Times New Roman" panose="02020603050405020304" pitchFamily="18" charset="0"/>
            </a:rPr>
            <a:t>				</a:t>
          </a:r>
          <a:r>
            <a:rPr lang="en-US" sz="1000" b="1" i="0" u="none" strike="noStrike">
              <a:solidFill>
                <a:srgbClr val="FF0000"/>
              </a:solidFill>
              <a:effectLst/>
              <a:latin typeface="Arial" panose="020B0604020202020204" pitchFamily="34" charset="0"/>
              <a:cs typeface="Times New Roman" panose="02020603050405020304" pitchFamily="18" charset="0"/>
            </a:rPr>
            <a:t>5,502.942</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Mtons</a:t>
          </a:r>
          <a:r>
            <a:rPr lang="ru-RU" sz="1000">
              <a:effectLst/>
            </a:rPr>
            <a:t> </a:t>
          </a:r>
          <a:endParaRPr lang="en-US" sz="1000">
            <a:latin typeface="Arial" panose="020B0604020202020204" pitchFamily="34" charset="0"/>
            <a:cs typeface="Arial" panose="020B0604020202020204" pitchFamily="34" charset="0"/>
          </a:endParaRPr>
        </a:p>
        <a:p>
          <a:endParaRPr lang="ru-RU" sz="1000">
            <a:latin typeface="Arial" panose="020B0604020202020204" pitchFamily="34" charset="0"/>
            <a:cs typeface="Arial" panose="020B0604020202020204" pitchFamily="34" charset="0"/>
          </a:endParaRPr>
        </a:p>
        <a:p>
          <a:r>
            <a:rPr lang="en-US" sz="1200" b="1" i="0" u="sng" strike="noStrike">
              <a:solidFill>
                <a:srgbClr val="FF0000"/>
              </a:solidFill>
              <a:effectLst/>
              <a:latin typeface="Arial" panose="020B0604020202020204" pitchFamily="34" charset="0"/>
              <a:cs typeface="Times New Roman" panose="02020603050405020304" pitchFamily="18" charset="0"/>
            </a:rPr>
            <a:t>Crude Oil (barrel - calculation)</a:t>
          </a:r>
          <a:r>
            <a:rPr lang="ru-RU" sz="1200" u="sng">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API at 60 </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F.</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32</a:t>
          </a:r>
          <a:r>
            <a:rPr lang="ru-RU" sz="1000">
              <a:effectLst/>
            </a:rPr>
            <a:t> </a:t>
          </a:r>
          <a:r>
            <a:rPr lang="en-US" sz="800" b="0" i="0" u="none" strike="noStrike">
              <a:effectLst/>
              <a:latin typeface="Times New Roman" panose="02020603050405020304" pitchFamily="18" charset="0"/>
            </a:rPr>
            <a:t> </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Gross Observed Volume</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543,234</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Barrels</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Temperature</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68.4</a:t>
          </a:r>
          <a:r>
            <a:rPr lang="ru-RU" sz="1000">
              <a:effectLst/>
            </a:rPr>
            <a:t> 	</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F.</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V.C.F. to 60 </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F.</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0.9961</a:t>
          </a:r>
          <a:r>
            <a:rPr lang="ru-RU" sz="1000">
              <a:effectLst/>
            </a:rPr>
            <a:t> </a:t>
          </a:r>
          <a:r>
            <a:rPr lang="en-US" sz="800" b="0" i="0" u="none" strike="noStrike">
              <a:effectLst/>
              <a:latin typeface="Times New Roman" panose="02020603050405020304" pitchFamily="18" charset="0"/>
            </a:rPr>
            <a:t> </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Gross Standard Volume (543,234 x .9961)</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541,115</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Bbls 60</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F.</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Table 11</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0.13512</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Ltons/Bbls 60</a:t>
          </a:r>
          <a:r>
            <a:rPr lang="en-US" sz="1000" b="1" i="0" u="none" strike="noStrike" baseline="30000">
              <a:solidFill>
                <a:srgbClr val="FF0000"/>
              </a:solidFill>
              <a:effectLst/>
              <a:latin typeface="Arial" panose="020B0604020202020204" pitchFamily="34" charset="0"/>
              <a:cs typeface="Times New Roman" panose="02020603050405020304" pitchFamily="18" charset="0"/>
            </a:rPr>
            <a:t>o</a:t>
          </a:r>
          <a:r>
            <a:rPr lang="en-US" sz="1000" b="1" i="0" u="none" strike="noStrike">
              <a:solidFill>
                <a:srgbClr val="FF0000"/>
              </a:solidFill>
              <a:effectLst/>
              <a:latin typeface="Arial" panose="020B0604020202020204" pitchFamily="34" charset="0"/>
              <a:cs typeface="Times New Roman" panose="02020603050405020304" pitchFamily="18" charset="0"/>
            </a:rPr>
            <a:t>F.</a:t>
          </a:r>
          <a:r>
            <a:rPr lang="ru-RU" sz="1000">
              <a:effectLst/>
            </a:rPr>
            <a:t> </a:t>
          </a:r>
        </a:p>
        <a:p>
          <a:r>
            <a:rPr lang="en-US" sz="1000" b="1" i="0" u="none" strike="noStrike">
              <a:solidFill>
                <a:srgbClr val="FF0000"/>
              </a:solidFill>
              <a:effectLst/>
              <a:latin typeface="Arial" panose="020B0604020202020204" pitchFamily="34" charset="0"/>
              <a:cs typeface="Times New Roman" panose="02020603050405020304" pitchFamily="18" charset="0"/>
            </a:rPr>
            <a:t>Weight (in AIR)(541,115 x 0,13512)</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73,115.46</a:t>
          </a:r>
          <a:r>
            <a:rPr lang="ru-RU" sz="1000">
              <a:effectLst/>
            </a:rPr>
            <a:t> 	</a:t>
          </a:r>
          <a:r>
            <a:rPr lang="en-US" sz="1000" b="1" i="0" u="none" strike="noStrike">
              <a:solidFill>
                <a:srgbClr val="FF0000"/>
              </a:solidFill>
              <a:effectLst/>
              <a:latin typeface="Arial" panose="020B0604020202020204" pitchFamily="34" charset="0"/>
              <a:cs typeface="Times New Roman" panose="02020603050405020304" pitchFamily="18" charset="0"/>
            </a:rPr>
            <a:t>Longtons</a:t>
          </a:r>
          <a:r>
            <a:rPr lang="ru-RU" sz="1000">
              <a:effectLst/>
            </a:rPr>
            <a:t> </a:t>
          </a:r>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pPr>
            <a:spcAft>
              <a:spcPts val="0"/>
            </a:spcAft>
          </a:pPr>
          <a:r>
            <a:rPr lang="en-US" sz="900" b="1">
              <a:solidFill>
                <a:srgbClr val="FF0000"/>
              </a:solidFill>
              <a:effectLst/>
              <a:latin typeface="Arial" panose="020B0604020202020204" pitchFamily="34" charset="0"/>
              <a:ea typeface="Times New Roman" panose="02020603050405020304" pitchFamily="18" charset="0"/>
              <a:cs typeface="Times New Roman" panose="02020603050405020304" pitchFamily="18" charset="0"/>
            </a:rPr>
            <a:t>(For more examples see paragraph II.8)</a:t>
          </a:r>
          <a:endParaRPr lang="en-GB" sz="900">
            <a:effectLst/>
            <a:latin typeface="Times New Roman" panose="02020603050405020304" pitchFamily="18" charset="0"/>
            <a:ea typeface="Times New Roman" panose="02020603050405020304" pitchFamily="18" charset="0"/>
          </a:endParaRPr>
        </a:p>
        <a:p>
          <a:pPr>
            <a:spcAft>
              <a:spcPts val="0"/>
            </a:spcAft>
          </a:pPr>
          <a:r>
            <a:rPr lang="en-US" sz="900" b="1">
              <a:solidFill>
                <a:srgbClr val="FF0000"/>
              </a:solidFill>
              <a:effectLst/>
              <a:latin typeface="Arial" panose="020B0604020202020204" pitchFamily="34" charset="0"/>
              <a:ea typeface="Times New Roman" panose="02020603050405020304" pitchFamily="18" charset="0"/>
              <a:cs typeface="Times New Roman" panose="02020603050405020304" pitchFamily="18" charset="0"/>
            </a:rPr>
            <a:t> </a:t>
          </a:r>
          <a:endParaRPr lang="en-GB" sz="900">
            <a:effectLst/>
            <a:latin typeface="Times New Roman" panose="02020603050405020304" pitchFamily="18" charset="0"/>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600" b="1">
              <a:effectLst/>
              <a:latin typeface="+mn-lt"/>
              <a:ea typeface="Times New Roman" panose="02020603050405020304" pitchFamily="18" charset="0"/>
              <a:cs typeface="Times New Roman" panose="02020603050405020304" pitchFamily="18" charset="0"/>
            </a:rPr>
            <a:t>II.4. CONVERSIONS</a:t>
          </a:r>
          <a:r>
            <a:rPr lang="en-US" sz="1600">
              <a:effectLst/>
              <a:latin typeface="+mn-lt"/>
              <a:ea typeface="Times New Roman" panose="02020603050405020304" pitchFamily="18" charset="0"/>
            </a:rPr>
            <a:t> </a:t>
          </a:r>
          <a:endParaRPr lang="en-GB" sz="1600">
            <a:effectLst/>
            <a:latin typeface="+mn-lt"/>
            <a:ea typeface="Times New Roman" panose="02020603050405020304" pitchFamily="18" charset="0"/>
          </a:endParaRPr>
        </a:p>
        <a:p>
          <a:br>
            <a:rPr lang="en-US" sz="900">
              <a:effectLst/>
              <a:latin typeface="Times New Roman" panose="02020603050405020304" pitchFamily="18" charset="0"/>
              <a:ea typeface="Times New Roman" panose="02020603050405020304" pitchFamily="18" charset="0"/>
            </a:rPr>
          </a:br>
          <a:r>
            <a:rPr lang="en-US" sz="1200">
              <a:effectLst/>
              <a:latin typeface="+mn-lt"/>
              <a:ea typeface="Times New Roman" panose="02020603050405020304" pitchFamily="18" charset="0"/>
              <a:cs typeface="Times New Roman" panose="02020603050405020304" pitchFamily="18" charset="0"/>
            </a:rPr>
            <a:t>Saybolt makes a difference between conversions and calculations. </a:t>
          </a:r>
          <a:br>
            <a:rPr lang="en-US" sz="1200">
              <a:effectLst/>
              <a:latin typeface="+mn-lt"/>
              <a:ea typeface="Times New Roman" panose="02020603050405020304" pitchFamily="18" charset="0"/>
            </a:rPr>
          </a:br>
          <a:r>
            <a:rPr lang="en-US" sz="1200">
              <a:effectLst/>
              <a:latin typeface="+mn-lt"/>
              <a:ea typeface="Times New Roman" panose="02020603050405020304" pitchFamily="18" charset="0"/>
              <a:cs typeface="Times New Roman" panose="02020603050405020304" pitchFamily="18" charset="0"/>
            </a:rPr>
            <a:t>A </a:t>
          </a:r>
          <a:r>
            <a:rPr lang="en-US" sz="1200" b="1">
              <a:effectLst/>
              <a:latin typeface="+mn-lt"/>
              <a:ea typeface="Times New Roman" panose="02020603050405020304" pitchFamily="18" charset="0"/>
              <a:cs typeface="Times New Roman" panose="02020603050405020304" pitchFamily="18" charset="0"/>
            </a:rPr>
            <a:t>Calculation</a:t>
          </a:r>
          <a:r>
            <a:rPr lang="en-US" sz="1200">
              <a:effectLst/>
              <a:latin typeface="+mn-lt"/>
              <a:ea typeface="Times New Roman" panose="02020603050405020304" pitchFamily="18" charset="0"/>
              <a:cs typeface="Times New Roman" panose="02020603050405020304" pitchFamily="18" charset="0"/>
            </a:rPr>
            <a:t> is the basic calculation from </a:t>
          </a:r>
          <a:r>
            <a:rPr lang="en-US" sz="1200" u="sng">
              <a:effectLst/>
              <a:latin typeface="+mn-lt"/>
              <a:ea typeface="Times New Roman" panose="02020603050405020304" pitchFamily="18" charset="0"/>
              <a:cs typeface="Times New Roman" panose="02020603050405020304" pitchFamily="18" charset="0"/>
            </a:rPr>
            <a:t>Observed Volume</a:t>
          </a:r>
          <a:r>
            <a:rPr lang="en-US" sz="1200">
              <a:effectLst/>
              <a:latin typeface="+mn-lt"/>
              <a:ea typeface="Times New Roman" panose="02020603050405020304" pitchFamily="18" charset="0"/>
              <a:cs typeface="Times New Roman" panose="02020603050405020304" pitchFamily="18" charset="0"/>
            </a:rPr>
            <a:t> (eventually via </a:t>
          </a:r>
          <a:r>
            <a:rPr lang="en-US" sz="1200" u="sng">
              <a:effectLst/>
              <a:latin typeface="+mn-lt"/>
              <a:ea typeface="Times New Roman" panose="02020603050405020304" pitchFamily="18" charset="0"/>
              <a:cs typeface="Times New Roman" panose="02020603050405020304" pitchFamily="18" charset="0"/>
            </a:rPr>
            <a:t>Standard Volume</a:t>
          </a:r>
          <a:r>
            <a:rPr lang="en-US" sz="1200">
              <a:effectLst/>
              <a:latin typeface="+mn-lt"/>
              <a:ea typeface="Times New Roman" panose="02020603050405020304" pitchFamily="18" charset="0"/>
              <a:cs typeface="Times New Roman" panose="02020603050405020304" pitchFamily="18" charset="0"/>
            </a:rPr>
            <a:t>) to </a:t>
          </a:r>
          <a:r>
            <a:rPr lang="en-US" sz="1200" u="sng">
              <a:effectLst/>
              <a:latin typeface="+mn-lt"/>
              <a:ea typeface="Times New Roman" panose="02020603050405020304" pitchFamily="18" charset="0"/>
              <a:cs typeface="Times New Roman" panose="02020603050405020304" pitchFamily="18" charset="0"/>
            </a:rPr>
            <a:t>Mass or Weight</a:t>
          </a:r>
          <a:r>
            <a:rPr lang="en-US" sz="1200">
              <a:effectLst/>
              <a:latin typeface="+mn-lt"/>
              <a:ea typeface="Times New Roman" panose="02020603050405020304" pitchFamily="18" charset="0"/>
              <a:cs typeface="Times New Roman" panose="02020603050405020304" pitchFamily="18" charset="0"/>
            </a:rPr>
            <a:t>, depending on local regulations.</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cs typeface="Times New Roman" panose="02020603050405020304" pitchFamily="18" charset="0"/>
            </a:rPr>
            <a:t>These basic calculations can be followed by </a:t>
          </a:r>
          <a:r>
            <a:rPr lang="en-US" sz="1200" b="1">
              <a:effectLst/>
              <a:latin typeface="+mn-lt"/>
              <a:ea typeface="Times New Roman" panose="02020603050405020304" pitchFamily="18" charset="0"/>
              <a:cs typeface="Times New Roman" panose="02020603050405020304" pitchFamily="18" charset="0"/>
            </a:rPr>
            <a:t>Conversions</a:t>
          </a:r>
          <a:r>
            <a:rPr lang="en-US" sz="1200">
              <a:effectLst/>
              <a:latin typeface="+mn-lt"/>
              <a:ea typeface="Times New Roman" panose="02020603050405020304" pitchFamily="18" charset="0"/>
              <a:cs typeface="Times New Roman" panose="02020603050405020304" pitchFamily="18" charset="0"/>
            </a:rPr>
            <a:t>, if necessary. Conversions must be regarded as translations from figures to other systems, necessary for comparison to other figures.</a:t>
          </a:r>
          <a:br>
            <a:rPr lang="en-US" sz="1200">
              <a:effectLst/>
              <a:latin typeface="+mn-lt"/>
              <a:ea typeface="Times New Roman" panose="02020603050405020304" pitchFamily="18" charset="0"/>
            </a:rPr>
          </a:br>
          <a:r>
            <a:rPr lang="en-US" sz="1200">
              <a:effectLst/>
              <a:latin typeface="+mn-lt"/>
              <a:ea typeface="Times New Roman" panose="02020603050405020304" pitchFamily="18" charset="0"/>
              <a:cs typeface="Times New Roman" panose="02020603050405020304" pitchFamily="18" charset="0"/>
            </a:rPr>
            <a:t>Conversion factors can be found in ASTM Tables, based on density, API or relative density or fixed factors (ASTM Table 1). </a:t>
          </a:r>
        </a:p>
        <a:p>
          <a:r>
            <a:rPr lang="en-US" sz="1200" b="1">
              <a:effectLst/>
              <a:latin typeface="+mn-lt"/>
              <a:ea typeface="Times New Roman" panose="02020603050405020304" pitchFamily="18" charset="0"/>
              <a:cs typeface="Times New Roman" panose="02020603050405020304" pitchFamily="18" charset="0"/>
            </a:rPr>
            <a:t>Volume conversions must be based on volume! </a:t>
          </a:r>
        </a:p>
        <a:p>
          <a:r>
            <a:rPr lang="en-US" sz="1200" b="1">
              <a:effectLst/>
              <a:latin typeface="+mn-lt"/>
              <a:ea typeface="Times New Roman" panose="02020603050405020304" pitchFamily="18" charset="0"/>
              <a:cs typeface="Times New Roman" panose="02020603050405020304" pitchFamily="18" charset="0"/>
            </a:rPr>
            <a:t>Mass or weight conversions must be based on mass or weight!</a:t>
          </a:r>
          <a:r>
            <a:rPr lang="en-US" sz="1200">
              <a:effectLst/>
              <a:latin typeface="+mn-lt"/>
              <a:ea typeface="Times New Roman" panose="02020603050405020304" pitchFamily="18" charset="0"/>
              <a:cs typeface="Times New Roman" panose="02020603050405020304" pitchFamily="18" charset="0"/>
            </a:rPr>
            <a:t> </a:t>
          </a:r>
          <a:br>
            <a:rPr lang="en-US" sz="900">
              <a:effectLst/>
              <a:latin typeface="Times New Roman" panose="02020603050405020304" pitchFamily="18" charset="0"/>
              <a:ea typeface="Times New Roman" panose="02020603050405020304" pitchFamily="18" charset="0"/>
            </a:rPr>
          </a:br>
          <a:endParaRPr lang="en-US" sz="900">
            <a:effectLst/>
            <a:latin typeface="Times New Roman" panose="02020603050405020304" pitchFamily="18" charset="0"/>
            <a:ea typeface="Times New Roman" panose="02020603050405020304" pitchFamily="18" charset="0"/>
          </a:endParaRPr>
        </a:p>
        <a:p>
          <a:endParaRPr lang="en-US" sz="1000">
            <a:latin typeface="+mj-lt"/>
            <a:cs typeface="Arial" panose="020B0604020202020204" pitchFamily="34" charset="0"/>
          </a:endParaRPr>
        </a:p>
        <a:p>
          <a:r>
            <a:rPr lang="en-GB" sz="1000">
              <a:latin typeface="+mj-lt"/>
              <a:cs typeface="Arial" panose="020B0604020202020204" pitchFamily="34" charset="0"/>
            </a:rPr>
            <a:t>	</a:t>
          </a:r>
          <a:r>
            <a:rPr lang="en-GB" sz="1200">
              <a:latin typeface="+mn-lt"/>
              <a:cs typeface="Arial" panose="020B0604020202020204" pitchFamily="34" charset="0"/>
            </a:rPr>
            <a:t>         </a:t>
          </a:r>
          <a:r>
            <a:rPr lang="en-GB" sz="1200" b="1">
              <a:latin typeface="+mn-lt"/>
              <a:cs typeface="Calibri" panose="020F0502020204030204" pitchFamily="34" charset="0"/>
            </a:rPr>
            <a:t>Calculation	     Conversions</a:t>
          </a:r>
        </a:p>
        <a:p>
          <a:pPr marL="0" marR="0" lvl="0" indent="0" defTabSz="914400" eaLnBrk="1" fontAlgn="auto" latinLnBrk="0" hangingPunct="1">
            <a:lnSpc>
              <a:spcPct val="100000"/>
            </a:lnSpc>
            <a:spcBef>
              <a:spcPts val="0"/>
            </a:spcBef>
            <a:spcAft>
              <a:spcPts val="0"/>
            </a:spcAft>
            <a:buClrTx/>
            <a:buSzTx/>
            <a:buFontTx/>
            <a:buNone/>
            <a:tabLst/>
            <a:defRPr/>
          </a:pPr>
          <a:r>
            <a:rPr lang="en-GB" sz="1200">
              <a:latin typeface="+mn-lt"/>
              <a:cs typeface="Calibri" panose="020F0502020204030204" pitchFamily="34" charset="0"/>
            </a:rPr>
            <a:t>	┌</a:t>
          </a:r>
          <a:r>
            <a:rPr lang="en-GB" sz="1200">
              <a:solidFill>
                <a:schemeClr val="dk1"/>
              </a:solidFill>
              <a:effectLst/>
              <a:latin typeface="+mn-lt"/>
              <a:ea typeface="+mn-ea"/>
              <a:cs typeface="Calibri" panose="020F0502020204030204" pitchFamily="34" charset="0"/>
            </a:rPr>
            <a:t>────────────────</a:t>
          </a:r>
          <a:r>
            <a:rPr lang="en-GB" sz="1200">
              <a:latin typeface="+mn-lt"/>
              <a:cs typeface="Calibri" panose="020F0502020204030204" pitchFamily="34" charset="0"/>
            </a:rPr>
            <a:t>┐</a:t>
          </a:r>
          <a:endParaRPr lang="ru-RU" sz="1200">
            <a:solidFill>
              <a:schemeClr val="dk1"/>
            </a:solidFill>
            <a:latin typeface="+mn-lt"/>
            <a:ea typeface="+mn-ea"/>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latin typeface="+mn-lt"/>
              <a:cs typeface="Calibri" panose="020F0502020204030204" pitchFamily="34" charset="0"/>
            </a:rPr>
            <a:t>	</a:t>
          </a:r>
          <a:r>
            <a:rPr lang="en-GB" sz="1200">
              <a:solidFill>
                <a:schemeClr val="dk1"/>
              </a:solidFill>
              <a:effectLst/>
              <a:latin typeface="+mn-lt"/>
              <a:ea typeface="+mn-ea"/>
              <a:cs typeface="Calibri" panose="020F0502020204030204" pitchFamily="34" charset="0"/>
            </a:rPr>
            <a:t>│ Observed Volume  │</a:t>
          </a:r>
          <a:r>
            <a:rPr lang="en-GB" sz="1200">
              <a:latin typeface="+mn-lt"/>
              <a:cs typeface="Calibri" panose="020F0502020204030204" pitchFamily="34" charset="0"/>
            </a:rPr>
            <a:t> </a:t>
          </a:r>
          <a:r>
            <a:rPr lang="en-GB" sz="1200">
              <a:solidFill>
                <a:schemeClr val="dk1"/>
              </a:solidFill>
              <a:effectLst/>
              <a:latin typeface="+mn-lt"/>
              <a:ea typeface="+mn-ea"/>
              <a:cs typeface="Calibri" panose="020F0502020204030204" pitchFamily="34" charset="0"/>
            </a:rPr>
            <a:t>────</a:t>
          </a:r>
          <a:r>
            <a:rPr lang="en-GB" sz="1200">
              <a:latin typeface="+mn-lt"/>
              <a:cs typeface="Calibri" panose="020F0502020204030204" pitchFamily="34" charset="0"/>
            </a:rPr>
            <a:t>►</a:t>
          </a:r>
          <a:r>
            <a:rPr lang="ru-RU" sz="1200" baseline="0">
              <a:latin typeface="+mn-lt"/>
              <a:cs typeface="Calibri" panose="020F0502020204030204" pitchFamily="34" charset="0"/>
            </a:rPr>
            <a:t> </a:t>
          </a:r>
          <a:r>
            <a:rPr lang="en-GB" sz="1200">
              <a:latin typeface="+mn-lt"/>
              <a:cs typeface="Calibri" panose="020F0502020204030204" pitchFamily="34" charset="0"/>
            </a:rPr>
            <a:t>to actual volume conversions</a:t>
          </a:r>
          <a:endParaRPr lang="en-US" sz="1200">
            <a:latin typeface="+mn-lt"/>
            <a:cs typeface="Calibri" panose="020F0502020204030204" pitchFamily="34" charset="0"/>
          </a:endParaRPr>
        </a:p>
        <a:p>
          <a:r>
            <a:rPr lang="en-US" sz="1200">
              <a:latin typeface="+mn-lt"/>
              <a:cs typeface="Calibri" panose="020F0502020204030204" pitchFamily="34" charset="0"/>
            </a:rPr>
            <a:t>	</a:t>
          </a:r>
          <a:r>
            <a:rPr lang="en-GB" sz="1200">
              <a:latin typeface="+mn-lt"/>
              <a:cs typeface="Calibri" panose="020F0502020204030204" pitchFamily="34" charset="0"/>
            </a:rPr>
            <a:t>└</a:t>
          </a:r>
          <a:r>
            <a:rPr lang="en-GB" sz="1200">
              <a:solidFill>
                <a:schemeClr val="dk1"/>
              </a:solidFill>
              <a:effectLst/>
              <a:latin typeface="+mn-lt"/>
              <a:ea typeface="+mn-ea"/>
              <a:cs typeface="Calibri" panose="020F0502020204030204" pitchFamily="34" charset="0"/>
            </a:rPr>
            <a:t>────────────────</a:t>
          </a:r>
          <a:r>
            <a:rPr lang="en-GB" sz="1200">
              <a:latin typeface="+mn-lt"/>
              <a:cs typeface="Calibri" panose="020F0502020204030204" pitchFamily="34" charset="0"/>
            </a:rPr>
            <a:t>┘	</a:t>
          </a:r>
          <a:r>
            <a:rPr lang="en-GB" sz="1200" baseline="0">
              <a:latin typeface="+mn-lt"/>
              <a:cs typeface="Calibri" panose="020F0502020204030204" pitchFamily="34" charset="0"/>
            </a:rPr>
            <a:t>    </a:t>
          </a:r>
          <a:r>
            <a:rPr lang="ru-RU" sz="1200" baseline="0">
              <a:latin typeface="+mn-lt"/>
              <a:cs typeface="Calibri" panose="020F0502020204030204" pitchFamily="34" charset="0"/>
            </a:rPr>
            <a:t>  </a:t>
          </a:r>
          <a:r>
            <a:rPr lang="en-GB" sz="1200" baseline="0">
              <a:latin typeface="+mn-lt"/>
              <a:cs typeface="Calibri" panose="020F0502020204030204" pitchFamily="34" charset="0"/>
            </a:rPr>
            <a:t> barrels/galllons/cubic feet</a:t>
          </a:r>
        </a:p>
        <a:p>
          <a:r>
            <a:rPr lang="en-GB" sz="1200" baseline="0">
              <a:latin typeface="+mn-lt"/>
              <a:cs typeface="Calibri" panose="020F0502020204030204" pitchFamily="34" charset="0"/>
            </a:rPr>
            <a:t>	                   </a:t>
          </a:r>
          <a:r>
            <a:rPr lang="en-GB" sz="1200">
              <a:solidFill>
                <a:schemeClr val="dk1"/>
              </a:solidFill>
              <a:effectLst/>
              <a:latin typeface="+mn-lt"/>
              <a:ea typeface="+mn-ea"/>
              <a:cs typeface="Calibri" panose="020F0502020204030204" pitchFamily="34" charset="0"/>
            </a:rPr>
            <a:t>│   </a:t>
          </a:r>
          <a:r>
            <a:rPr lang="en-GB" sz="1200" baseline="0">
              <a:latin typeface="+mn-lt"/>
              <a:cs typeface="Calibri" panose="020F0502020204030204" pitchFamily="34" charset="0"/>
            </a:rPr>
            <a:t>		  </a:t>
          </a:r>
          <a:r>
            <a:rPr lang="ru-RU" sz="1200" baseline="0">
              <a:latin typeface="+mn-lt"/>
              <a:cs typeface="Calibri" panose="020F0502020204030204" pitchFamily="34" charset="0"/>
            </a:rPr>
            <a:t>     </a:t>
          </a:r>
          <a:r>
            <a:rPr lang="en-GB" sz="1200" baseline="0">
              <a:latin typeface="+mn-lt"/>
              <a:cs typeface="Calibri" panose="020F0502020204030204" pitchFamily="34" charset="0"/>
            </a:rPr>
            <a:t>litres/cubic metres</a:t>
          </a:r>
          <a:endParaRPr lang="en-US" sz="1200">
            <a:latin typeface="+mn-lt"/>
            <a:cs typeface="Calibri" panose="020F0502020204030204" pitchFamily="34" charset="0"/>
          </a:endParaRPr>
        </a:p>
        <a:p>
          <a:r>
            <a:rPr lang="en-GB" sz="1200" baseline="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   </a:t>
          </a:r>
          <a:r>
            <a:rPr lang="en-GB" sz="1200" baseline="0">
              <a:solidFill>
                <a:schemeClr val="dk1"/>
              </a:solidFill>
              <a:effectLst/>
              <a:latin typeface="+mn-lt"/>
              <a:ea typeface="+mn-ea"/>
              <a:cs typeface="Calibri" panose="020F0502020204030204" pitchFamily="34" charset="0"/>
            </a:rPr>
            <a:t>		   </a:t>
          </a:r>
          <a:r>
            <a:rPr lang="en-US" sz="1200">
              <a:latin typeface="+mn-lt"/>
              <a:cs typeface="Calibri" panose="020F0502020204030204" pitchFamily="34" charset="0"/>
            </a:rPr>
            <a:t>	                  </a:t>
          </a:r>
          <a:r>
            <a:rPr lang="en-GB" sz="1200">
              <a:solidFill>
                <a:schemeClr val="dk1"/>
              </a:solidFill>
              <a:effectLst/>
              <a:latin typeface="+mn-lt"/>
              <a:ea typeface="+mn-ea"/>
              <a:cs typeface="Calibri" panose="020F0502020204030204" pitchFamily="34" charset="0"/>
            </a:rPr>
            <a:t> </a:t>
          </a:r>
          <a:r>
            <a:rPr lang="en-US" sz="1200">
              <a:latin typeface="+mn-lt"/>
              <a:cs typeface="Calibri" panose="020F050202020403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GB" sz="1200" baseline="0">
              <a:solidFill>
                <a:schemeClr val="dk1"/>
              </a:solidFill>
              <a:effectLst/>
              <a:latin typeface="+mn-lt"/>
              <a:ea typeface="+mn-ea"/>
              <a:cs typeface="Calibri" panose="020F0502020204030204" pitchFamily="34" charset="0"/>
            </a:rPr>
            <a:t>	                  </a:t>
          </a:r>
          <a:r>
            <a:rPr lang="en-GB" sz="1200">
              <a:latin typeface="+mn-lt"/>
              <a:cs typeface="Calibri" panose="020F0502020204030204" pitchFamily="34" charset="0"/>
            </a:rPr>
            <a:t>▼</a:t>
          </a:r>
          <a:endParaRPr lang="ru-RU" sz="1200">
            <a:solidFill>
              <a:schemeClr val="dk1"/>
            </a:solidFill>
            <a:latin typeface="+mn-lt"/>
            <a:ea typeface="+mn-ea"/>
            <a:cs typeface="Calibri" panose="020F0502020204030204" pitchFamily="34" charset="0"/>
          </a:endParaRPr>
        </a:p>
        <a:p>
          <a:pPr eaLnBrk="1" fontAlgn="auto" latinLnBrk="0" hangingPunct="1"/>
          <a:r>
            <a:rPr lang="en-GB" sz="1200">
              <a:solidFill>
                <a:schemeClr val="dk1"/>
              </a:solidFill>
              <a:effectLst/>
              <a:latin typeface="+mn-lt"/>
              <a:ea typeface="+mn-ea"/>
              <a:cs typeface="Calibri" panose="020F0502020204030204" pitchFamily="34" charset="0"/>
            </a:rPr>
            <a:t> 	┌────────────────┐</a:t>
          </a:r>
          <a:endParaRPr lang="ru-RU" sz="1200">
            <a:effectLst/>
            <a:latin typeface="+mn-lt"/>
            <a:cs typeface="Calibri" panose="020F0502020204030204" pitchFamily="34" charset="0"/>
          </a:endParaRPr>
        </a:p>
        <a:p>
          <a:pPr eaLnBrk="1" fontAlgn="auto" latinLnBrk="0" hangingPunct="1"/>
          <a:r>
            <a:rPr lang="en-US" sz="120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 Standard Volume   │ ────►</a:t>
          </a:r>
          <a:r>
            <a:rPr lang="ru-RU" sz="1200" baseline="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to standard volume conversions</a:t>
          </a:r>
          <a:endParaRPr lang="ru-RU" sz="1200">
            <a:effectLst/>
            <a:latin typeface="+mn-lt"/>
            <a:cs typeface="Calibri" panose="020F0502020204030204" pitchFamily="34" charset="0"/>
          </a:endParaRPr>
        </a:p>
        <a:p>
          <a:r>
            <a:rPr lang="en-US" sz="120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	</a:t>
          </a:r>
          <a:r>
            <a:rPr lang="en-GB" sz="1200" baseline="0">
              <a:solidFill>
                <a:schemeClr val="dk1"/>
              </a:solidFill>
              <a:effectLst/>
              <a:latin typeface="+mn-lt"/>
              <a:ea typeface="+mn-ea"/>
              <a:cs typeface="Calibri" panose="020F0502020204030204" pitchFamily="34" charset="0"/>
            </a:rPr>
            <a:t>     </a:t>
          </a:r>
          <a:r>
            <a:rPr lang="ru-RU" sz="1200" baseline="0">
              <a:solidFill>
                <a:schemeClr val="dk1"/>
              </a:solidFill>
              <a:effectLst/>
              <a:latin typeface="+mn-lt"/>
              <a:ea typeface="+mn-ea"/>
              <a:cs typeface="Calibri" panose="020F0502020204030204" pitchFamily="34" charset="0"/>
            </a:rPr>
            <a:t>  </a:t>
          </a:r>
          <a:r>
            <a:rPr lang="en-GB" sz="1200" baseline="0">
              <a:solidFill>
                <a:schemeClr val="dk1"/>
              </a:solidFill>
              <a:effectLst/>
              <a:latin typeface="+mn-lt"/>
              <a:ea typeface="+mn-ea"/>
              <a:cs typeface="Calibri" panose="020F0502020204030204" pitchFamily="34" charset="0"/>
            </a:rPr>
            <a:t>barrels/galllons at 60°F</a:t>
          </a:r>
          <a:endParaRPr lang="ru-RU" sz="1200">
            <a:effectLst/>
            <a:latin typeface="+mn-lt"/>
            <a:cs typeface="Calibri" panose="020F0502020204030204" pitchFamily="34" charset="0"/>
          </a:endParaRPr>
        </a:p>
        <a:p>
          <a:r>
            <a:rPr lang="en-GB" sz="1200" baseline="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   </a:t>
          </a:r>
          <a:r>
            <a:rPr lang="en-GB" sz="1200" baseline="0">
              <a:solidFill>
                <a:schemeClr val="dk1"/>
              </a:solidFill>
              <a:effectLst/>
              <a:latin typeface="+mn-lt"/>
              <a:ea typeface="+mn-ea"/>
              <a:cs typeface="Calibri" panose="020F0502020204030204" pitchFamily="34" charset="0"/>
            </a:rPr>
            <a:t>		  </a:t>
          </a:r>
          <a:r>
            <a:rPr lang="ru-RU" sz="1200" baseline="0">
              <a:solidFill>
                <a:schemeClr val="dk1"/>
              </a:solidFill>
              <a:effectLst/>
              <a:latin typeface="+mn-lt"/>
              <a:ea typeface="+mn-ea"/>
              <a:cs typeface="Calibri" panose="020F0502020204030204" pitchFamily="34" charset="0"/>
            </a:rPr>
            <a:t>   </a:t>
          </a:r>
          <a:r>
            <a:rPr lang="en-GB" sz="1200" baseline="0">
              <a:solidFill>
                <a:schemeClr val="dk1"/>
              </a:solidFill>
              <a:effectLst/>
              <a:latin typeface="+mn-lt"/>
              <a:ea typeface="+mn-ea"/>
              <a:cs typeface="Calibri" panose="020F0502020204030204" pitchFamily="34" charset="0"/>
            </a:rPr>
            <a:t>  litres/cubic metres at 15°C</a:t>
          </a:r>
          <a:endParaRPr lang="ru-RU" sz="1200">
            <a:effectLst/>
            <a:latin typeface="+mn-lt"/>
            <a:cs typeface="Calibri" panose="020F0502020204030204" pitchFamily="34" charset="0"/>
          </a:endParaRPr>
        </a:p>
        <a:p>
          <a:r>
            <a:rPr lang="en-GB" sz="1200" baseline="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   </a:t>
          </a:r>
          <a:r>
            <a:rPr lang="en-GB" sz="1200" baseline="0">
              <a:solidFill>
                <a:schemeClr val="dk1"/>
              </a:solidFill>
              <a:effectLst/>
              <a:latin typeface="+mn-lt"/>
              <a:ea typeface="+mn-ea"/>
              <a:cs typeface="Calibri" panose="020F0502020204030204" pitchFamily="34" charset="0"/>
            </a:rPr>
            <a:t>		   </a:t>
          </a:r>
          <a:r>
            <a:rPr lang="en-US" sz="120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 </a:t>
          </a:r>
          <a:r>
            <a:rPr lang="en-US" sz="1200">
              <a:solidFill>
                <a:schemeClr val="dk1"/>
              </a:solidFill>
              <a:effectLst/>
              <a:latin typeface="+mn-lt"/>
              <a:ea typeface="+mn-ea"/>
              <a:cs typeface="Calibri" panose="020F0502020204030204" pitchFamily="34" charset="0"/>
            </a:rPr>
            <a:t>	</a:t>
          </a:r>
          <a:endParaRPr lang="ru-RU" sz="1200">
            <a:effectLst/>
            <a:latin typeface="+mn-lt"/>
            <a:cs typeface="Calibri" panose="020F0502020204030204" pitchFamily="34" charset="0"/>
          </a:endParaRPr>
        </a:p>
        <a:p>
          <a:pPr eaLnBrk="1" fontAlgn="auto" latinLnBrk="0" hangingPunct="1"/>
          <a:r>
            <a:rPr lang="en-GB" sz="1200" baseline="0">
              <a:solidFill>
                <a:schemeClr val="dk1"/>
              </a:solidFill>
              <a:effectLst/>
              <a:latin typeface="+mn-lt"/>
              <a:ea typeface="+mn-ea"/>
              <a:cs typeface="Calibri" panose="020F0502020204030204" pitchFamily="34" charset="0"/>
            </a:rPr>
            <a:t>	                  </a:t>
          </a:r>
          <a:r>
            <a:rPr lang="en-GB" sz="1200">
              <a:solidFill>
                <a:schemeClr val="dk1"/>
              </a:solidFill>
              <a:effectLst/>
              <a:latin typeface="+mn-lt"/>
              <a:ea typeface="+mn-ea"/>
              <a:cs typeface="Calibri" panose="020F0502020204030204" pitchFamily="34" charset="0"/>
            </a:rPr>
            <a:t>▼</a:t>
          </a:r>
          <a:endParaRPr lang="ru-RU" sz="1200">
            <a:effectLst/>
            <a:latin typeface="+mn-lt"/>
            <a:cs typeface="Calibri" panose="020F0502020204030204" pitchFamily="34" charset="0"/>
          </a:endParaRPr>
        </a:p>
        <a:p>
          <a:pPr eaLnBrk="1" fontAlgn="auto" latinLnBrk="0" hangingPunct="1"/>
          <a:r>
            <a:rPr lang="en-GB" sz="1200">
              <a:solidFill>
                <a:schemeClr val="dk1"/>
              </a:solidFill>
              <a:effectLst/>
              <a:latin typeface="+mn-lt"/>
              <a:ea typeface="+mn-ea"/>
              <a:cs typeface="+mn-cs"/>
            </a:rPr>
            <a:t>  	┌────────────────┐</a:t>
          </a:r>
          <a:endParaRPr lang="ru-RU" sz="1200">
            <a:effectLst/>
            <a:latin typeface="+mn-lt"/>
          </a:endParaRPr>
        </a:p>
        <a:p>
          <a:pPr eaLnBrk="1" fontAlgn="auto" latinLnBrk="0" hangingPunct="1"/>
          <a:r>
            <a:rPr lang="en-US" sz="1200">
              <a:solidFill>
                <a:schemeClr val="dk1"/>
              </a:solidFill>
              <a:effectLst/>
              <a:latin typeface="+mn-lt"/>
              <a:ea typeface="+mn-ea"/>
              <a:cs typeface="+mn-cs"/>
            </a:rPr>
            <a:t>	</a:t>
          </a:r>
          <a:r>
            <a:rPr lang="en-GB" sz="1200">
              <a:solidFill>
                <a:schemeClr val="dk1"/>
              </a:solidFill>
              <a:effectLst/>
              <a:latin typeface="+mn-lt"/>
              <a:ea typeface="+mn-ea"/>
              <a:cs typeface="+mn-cs"/>
            </a:rPr>
            <a:t>│    Mass or Weight   │ ────►</a:t>
          </a:r>
          <a:r>
            <a:rPr lang="ru-RU" sz="1200">
              <a:solidFill>
                <a:schemeClr val="dk1"/>
              </a:solidFill>
              <a:effectLst/>
              <a:latin typeface="+mn-lt"/>
              <a:ea typeface="+mn-ea"/>
              <a:cs typeface="+mn-cs"/>
            </a:rPr>
            <a:t> </a:t>
          </a:r>
          <a:r>
            <a:rPr lang="en-GB" sz="1200">
              <a:solidFill>
                <a:schemeClr val="dk1"/>
              </a:solidFill>
              <a:effectLst/>
              <a:latin typeface="+mn-lt"/>
              <a:ea typeface="+mn-ea"/>
              <a:cs typeface="+mn-cs"/>
            </a:rPr>
            <a:t>to mass/weight corrections:</a:t>
          </a:r>
          <a:endParaRPr lang="ru-RU" sz="1200">
            <a:effectLst/>
            <a:latin typeface="+mn-lt"/>
          </a:endParaRPr>
        </a:p>
        <a:p>
          <a:r>
            <a:rPr lang="en-US" sz="1200">
              <a:solidFill>
                <a:schemeClr val="dk1"/>
              </a:solidFill>
              <a:effectLst/>
              <a:latin typeface="+mn-lt"/>
              <a:ea typeface="+mn-ea"/>
              <a:cs typeface="+mn-cs"/>
            </a:rPr>
            <a:t>	</a:t>
          </a:r>
          <a:r>
            <a:rPr lang="en-GB" sz="1200">
              <a:solidFill>
                <a:schemeClr val="dk1"/>
              </a:solidFill>
              <a:effectLst/>
              <a:latin typeface="+mn-lt"/>
              <a:ea typeface="+mn-ea"/>
              <a:cs typeface="+mn-cs"/>
            </a:rPr>
            <a:t>└────────────────┘	</a:t>
          </a:r>
          <a:r>
            <a:rPr lang="en-GB" sz="1200" baseline="0">
              <a:solidFill>
                <a:schemeClr val="dk1"/>
              </a:solidFill>
              <a:effectLst/>
              <a:latin typeface="+mn-lt"/>
              <a:ea typeface="+mn-ea"/>
              <a:cs typeface="+mn-cs"/>
            </a:rPr>
            <a:t>     </a:t>
          </a:r>
          <a:r>
            <a:rPr lang="ru-RU" sz="1200" baseline="0">
              <a:solidFill>
                <a:schemeClr val="dk1"/>
              </a:solidFill>
              <a:effectLst/>
              <a:latin typeface="+mn-lt"/>
              <a:ea typeface="+mn-ea"/>
              <a:cs typeface="+mn-cs"/>
            </a:rPr>
            <a:t>  </a:t>
          </a:r>
          <a:r>
            <a:rPr lang="en-GB" sz="1200" baseline="0">
              <a:solidFill>
                <a:schemeClr val="dk1"/>
              </a:solidFill>
              <a:effectLst/>
              <a:latin typeface="+mn-lt"/>
              <a:ea typeface="+mn-ea"/>
              <a:cs typeface="+mn-cs"/>
            </a:rPr>
            <a:t>vac / air / longtons</a:t>
          </a:r>
          <a:endParaRPr lang="ru-RU" sz="1200">
            <a:effectLst/>
            <a:latin typeface="+mn-lt"/>
          </a:endParaRPr>
        </a:p>
        <a:p>
          <a:r>
            <a:rPr lang="en-GB" sz="1000">
              <a:solidFill>
                <a:schemeClr val="dk1"/>
              </a:solidFill>
              <a:effectLst/>
              <a:latin typeface="+mj-lt"/>
              <a:ea typeface="+mn-ea"/>
              <a:cs typeface="+mn-cs"/>
            </a:rPr>
            <a:t>   </a:t>
          </a:r>
          <a:r>
            <a:rPr lang="en-GB" sz="1000" baseline="0">
              <a:solidFill>
                <a:schemeClr val="dk1"/>
              </a:solidFill>
              <a:effectLst/>
              <a:latin typeface="+mj-lt"/>
              <a:ea typeface="+mn-ea"/>
              <a:cs typeface="+mn-cs"/>
            </a:rPr>
            <a:t>	</a:t>
          </a:r>
          <a:endParaRPr lang="en-US" sz="1000">
            <a:latin typeface="+mj-lt"/>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pPr>
            <a:spcAft>
              <a:spcPts val="0"/>
            </a:spcAft>
          </a:pPr>
          <a:r>
            <a:rPr lang="en-US" sz="1400" b="1">
              <a:effectLst/>
              <a:latin typeface="+mn-lt"/>
              <a:ea typeface="Times New Roman" panose="02020603050405020304" pitchFamily="18" charset="0"/>
              <a:cs typeface="Times New Roman" panose="02020603050405020304" pitchFamily="18" charset="0"/>
            </a:rPr>
            <a:t>II.4.1. Air -&gt; Vacuo</a:t>
          </a:r>
          <a:r>
            <a:rPr lang="en-US" sz="1400">
              <a:effectLst/>
              <a:latin typeface="+mn-lt"/>
              <a:ea typeface="Times New Roman" panose="02020603050405020304" pitchFamily="18" charset="0"/>
            </a:rPr>
            <a:t> </a:t>
          </a:r>
          <a:endParaRPr lang="en-GB" sz="1400">
            <a:effectLst/>
            <a:latin typeface="+mn-lt"/>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Whenever comparisons are made between different figures (air to vac or the other way around), these figures should both be converted to either air or vacuo.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When the Bill of Lading is one of the figures to be compared, the conversions should be made </a:t>
          </a:r>
          <a:r>
            <a:rPr lang="en-US" sz="1200" b="1">
              <a:effectLst/>
              <a:latin typeface="Calibri" panose="020F0502020204030204" pitchFamily="34" charset="0"/>
              <a:ea typeface="Times New Roman" panose="02020603050405020304" pitchFamily="18" charset="0"/>
              <a:cs typeface="Calibri" panose="020F0502020204030204" pitchFamily="34" charset="0"/>
            </a:rPr>
            <a:t>towards</a:t>
          </a:r>
          <a:r>
            <a:rPr lang="en-US" sz="1200">
              <a:effectLst/>
              <a:latin typeface="Calibri" panose="020F0502020204030204" pitchFamily="34" charset="0"/>
              <a:ea typeface="Times New Roman" panose="02020603050405020304" pitchFamily="18" charset="0"/>
              <a:cs typeface="Calibri" panose="020F0502020204030204" pitchFamily="34" charset="0"/>
            </a:rPr>
            <a:t> the Bill of Lading figure.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b="1">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(The Bill of Lading figures should never be converted!)</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These conversions should be done by means of the short tables of Table 56 (Saybolt Petroleum Tables Volume I, page 52).</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(Table 56 consists out of a short table, to be used with conversions from vacuo to air or vice versa, and a main table, giving the W.C.F. in kg/m</a:t>
          </a:r>
          <a:r>
            <a:rPr lang="en-US" sz="1200" baseline="30000">
              <a:effectLst/>
              <a:latin typeface="Calibri" panose="020F0502020204030204" pitchFamily="34" charset="0"/>
              <a:ea typeface="Times New Roman" panose="02020603050405020304" pitchFamily="18" charset="0"/>
              <a:cs typeface="Calibri" panose="020F0502020204030204" pitchFamily="34" charset="0"/>
            </a:rPr>
            <a:t>3</a:t>
          </a:r>
          <a:r>
            <a:rPr lang="en-US" sz="1200">
              <a:effectLst/>
              <a:latin typeface="Calibri" panose="020F0502020204030204" pitchFamily="34" charset="0"/>
              <a:ea typeface="Times New Roman" panose="02020603050405020304" pitchFamily="18" charset="0"/>
              <a:cs typeface="Calibri" panose="020F0502020204030204" pitchFamily="34" charset="0"/>
            </a:rPr>
            <a:t> used to calculate weight in metric tons AIR out of volume [litres or m</a:t>
          </a:r>
          <a:r>
            <a:rPr lang="en-US" sz="1200" baseline="30000">
              <a:effectLst/>
              <a:latin typeface="Calibri" panose="020F0502020204030204" pitchFamily="34" charset="0"/>
              <a:ea typeface="Times New Roman" panose="02020603050405020304" pitchFamily="18" charset="0"/>
              <a:cs typeface="Calibri" panose="020F0502020204030204" pitchFamily="34" charset="0"/>
            </a:rPr>
            <a:t>3</a:t>
          </a:r>
          <a:r>
            <a:rPr lang="en-US" sz="1200">
              <a:effectLst/>
              <a:latin typeface="Calibri" panose="020F0502020204030204" pitchFamily="34" charset="0"/>
              <a:ea typeface="Times New Roman" panose="02020603050405020304" pitchFamily="18" charset="0"/>
              <a:cs typeface="Calibri" panose="020F0502020204030204" pitchFamily="34" charset="0"/>
            </a:rPr>
            <a:t>]).</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Example: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A vessel arrives with a parcel of 30,000.260 mtons in VAC. Outturn density 0.8430 at 15 </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C. The </a:t>
          </a:r>
          <a:r>
            <a:rPr lang="en-US" sz="1200" b="1" u="sng">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Outturn</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 was 29,990.867 mtons in AIR.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Since the outturn is established in AIR a conversion from air to vacuo is needed to make a good comparison between Outturn and Bill of Lading. In order to do so a conversion factor is needed to convert the Outturn from AIR to VAC. This conversion factor can be found in the short table of table 56, using the density at 15 </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C as entry. In the table a correction factor of 1.00125 is found. The outturn in VAC can now be calculated by multiplying :</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29,990.867 x 1.00125 = 30,028.356 Mtons in VAC.</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1200"/>
            </a:spcAft>
          </a:pPr>
          <a:r>
            <a:rPr lang="en-US" sz="1200">
              <a:effectLst/>
              <a:latin typeface="Times New Roman" panose="02020603050405020304" pitchFamily="18" charset="0"/>
              <a:ea typeface="Times New Roman" panose="02020603050405020304" pitchFamily="18" charset="0"/>
            </a:rPr>
            <a:t> </a:t>
          </a:r>
          <a:endParaRPr lang="en-GB" sz="1200">
            <a:effectLst/>
            <a:latin typeface="Times New Roman" panose="02020603050405020304" pitchFamily="18" charset="0"/>
            <a:ea typeface="Times New Roman" panose="02020603050405020304" pitchFamily="18" charset="0"/>
          </a:endParaRPr>
        </a:p>
        <a:p>
          <a:pPr>
            <a:spcAft>
              <a:spcPts val="0"/>
            </a:spcAft>
          </a:pPr>
          <a:r>
            <a:rPr lang="en-US" sz="1400" b="1">
              <a:effectLst/>
              <a:latin typeface="+mn-lt"/>
              <a:ea typeface="Times New Roman" panose="02020603050405020304" pitchFamily="18" charset="0"/>
              <a:cs typeface="Times New Roman" panose="02020603050405020304" pitchFamily="18" charset="0"/>
            </a:rPr>
            <a:t>II.4.2. Longtons &lt;-&gt; Metric Tons</a:t>
          </a:r>
          <a:r>
            <a:rPr lang="en-US" sz="1400">
              <a:effectLst/>
              <a:latin typeface="+mn-lt"/>
              <a:ea typeface="Times New Roman" panose="02020603050405020304" pitchFamily="18" charset="0"/>
            </a:rPr>
            <a:t> </a:t>
          </a:r>
          <a:endParaRPr lang="en-GB" sz="1400">
            <a:effectLst/>
            <a:latin typeface="+mn-lt"/>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These conversions are to be done by means of ASTM Table (Saybolt Petroleum Tables Volume I, page 21).</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A Bill of Lading that has been achieved in Barrels and Longtons points to a Bill of Lading in AIR. When metric tons are converted out of the longtons (using ASTM Table 1) this will also be a figure in AIR. </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(ASTM Table 1; Longtons x 1.01605 = Metric Tons AIR). </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Whenever figures are compared, it is necessary to make sure that the figures have the same unit. (E.g.: Mtons VAC to Mtons VAC, Longtons to Longtons, etc.)</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Longtons can be calculated out of metric tons AIR, using the fixed factor 0.984206 from ASTM Table 1. Conversion from Metric tons in VAC to Longtons should be done as follows:</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 convert the Metric tons in VAC to Metric tons in AIR, using the short table 56.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 now convert the Metric tons in AIR to L-ong-tons using the factor 0.984206 from ASTM table 1.</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1200"/>
            </a:spcAft>
          </a:pPr>
          <a:r>
            <a:rPr lang="en-US" sz="900">
              <a:effectLst/>
              <a:latin typeface="Times New Roman" panose="02020603050405020304" pitchFamily="18" charset="0"/>
              <a:ea typeface="Times New Roman" panose="02020603050405020304" pitchFamily="18" charset="0"/>
            </a:rPr>
            <a:t> </a:t>
          </a:r>
          <a:endParaRPr lang="en-GB" sz="900">
            <a:effectLst/>
            <a:latin typeface="Times New Roman" panose="02020603050405020304" pitchFamily="18" charset="0"/>
            <a:ea typeface="Times New Roman" panose="02020603050405020304" pitchFamily="18" charset="0"/>
          </a:endParaRPr>
        </a:p>
        <a:p>
          <a:pPr>
            <a:spcAft>
              <a:spcPts val="0"/>
            </a:spcAft>
          </a:pPr>
          <a:r>
            <a:rPr lang="en-US" sz="1000" b="1">
              <a:effectLst/>
              <a:latin typeface="Arial" panose="020B0604020202020204" pitchFamily="34" charset="0"/>
              <a:ea typeface="Times New Roman" panose="02020603050405020304" pitchFamily="18" charset="0"/>
              <a:cs typeface="Times New Roman" panose="02020603050405020304" pitchFamily="18" charset="0"/>
            </a:rPr>
            <a:t>II.4.3. API - Relative density - Density</a:t>
          </a:r>
          <a:r>
            <a:rPr lang="en-US" sz="900">
              <a:effectLst/>
              <a:latin typeface="Times New Roman" panose="02020603050405020304" pitchFamily="18" charset="0"/>
              <a:ea typeface="Times New Roman" panose="02020603050405020304" pitchFamily="18" charset="0"/>
            </a:rPr>
            <a:t> </a:t>
          </a:r>
          <a:endParaRPr lang="en-GB" sz="900">
            <a:effectLst/>
            <a:latin typeface="Times New Roman" panose="02020603050405020304" pitchFamily="18" charset="0"/>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200">
              <a:effectLst/>
              <a:latin typeface="+mn-lt"/>
              <a:ea typeface="Times New Roman" panose="02020603050405020304" pitchFamily="18" charset="0"/>
            </a:rPr>
            <a:t>With a lot of crude parcels API is used to calculate the Bill of Lading. For calculations in Europe a density is often required. </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This conversion can be done using ASTM Table 3. Enter this table with API at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and then read the matching density at 15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C. and if necessary the Relative density 60/60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In the same way ASTM table 51 can be used to convert Density at 15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C. to Relative density 60/60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and API.</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ASTM table 21 can be used to convert Relative density 60/60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to API at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or Density at 15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a:t>
          </a:r>
          <a:endParaRPr lang="en-GB" sz="1200">
            <a:effectLst/>
            <a:latin typeface="+mn-lt"/>
            <a:ea typeface="Times New Roman" panose="02020603050405020304" pitchFamily="18" charset="0"/>
          </a:endParaRPr>
        </a:p>
        <a:p>
          <a:pPr>
            <a:spcAft>
              <a:spcPts val="0"/>
            </a:spcAft>
          </a:pPr>
          <a:endParaRPr lang="ru-RU" sz="1200">
            <a:solidFill>
              <a:srgbClr val="FF0000"/>
            </a:solidFill>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Example: </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Bill of Lading - 2,058,484 U.S. Barrels/60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F. </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275,425 Longtons </a:t>
          </a:r>
          <a:endParaRPr lang="en-GB" sz="1200">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Outturn - 280,150.300 Metric Tons (vac)</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API/60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F. : 33.60 </a:t>
          </a:r>
          <a:endParaRPr lang="en-GB" sz="1200">
            <a:effectLst/>
            <a:latin typeface="+mn-lt"/>
            <a:ea typeface="Times New Roman" panose="02020603050405020304" pitchFamily="18" charset="0"/>
          </a:endParaRPr>
        </a:p>
        <a:p>
          <a:pPr>
            <a:spcAft>
              <a:spcPts val="0"/>
            </a:spcAft>
          </a:pPr>
          <a:endParaRPr lang="en-US" sz="1200">
            <a:solidFill>
              <a:srgbClr val="FF0000"/>
            </a:solidFill>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To make a comparison between Bill of Lading and the </a:t>
          </a:r>
          <a:r>
            <a:rPr lang="en-US" sz="1200" b="1" u="sng">
              <a:solidFill>
                <a:srgbClr val="FF0000"/>
              </a:solidFill>
              <a:effectLst/>
              <a:latin typeface="+mn-lt"/>
              <a:ea typeface="Times New Roman" panose="02020603050405020304" pitchFamily="18" charset="0"/>
            </a:rPr>
            <a:t>Outturn</a:t>
          </a:r>
          <a:r>
            <a:rPr lang="en-US" sz="1200">
              <a:solidFill>
                <a:srgbClr val="FF0000"/>
              </a:solidFill>
              <a:effectLst/>
              <a:latin typeface="+mn-lt"/>
              <a:ea typeface="Times New Roman" panose="02020603050405020304" pitchFamily="18" charset="0"/>
            </a:rPr>
            <a:t> the following should be done. </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 Convert API 60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F to Density at 15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C. </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 ASTM Table 3: API = 33.6 =&gt; Density = 0.8566</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 Use density at 15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C to find conversion factor from Vac to Air.</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 ASTM Table 56: Density = </a:t>
          </a:r>
          <a:r>
            <a:rPr lang="ru-RU" sz="1200">
              <a:solidFill>
                <a:srgbClr val="FF0000"/>
              </a:solidFill>
              <a:effectLst/>
              <a:latin typeface="+mn-lt"/>
              <a:ea typeface="Times New Roman" panose="02020603050405020304" pitchFamily="18" charset="0"/>
            </a:rPr>
            <a:t>0</a:t>
          </a:r>
          <a:r>
            <a:rPr lang="en-US" sz="1200">
              <a:solidFill>
                <a:srgbClr val="FF0000"/>
              </a:solidFill>
              <a:effectLst/>
              <a:latin typeface="+mn-lt"/>
              <a:ea typeface="Times New Roman" panose="02020603050405020304" pitchFamily="18" charset="0"/>
            </a:rPr>
            <a:t>.8566 =&gt; Conversion factor = 0.99875. </a:t>
          </a:r>
          <a:endParaRPr lang="en-GB" sz="1200">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 Outturn in VAC to be multi-plied by factor table 56:</a:t>
          </a:r>
          <a:r>
            <a:rPr lang="en-US" sz="1200">
              <a:effectLst/>
              <a:latin typeface="+mn-lt"/>
              <a:ea typeface="Times New Roman" panose="02020603050405020304" pitchFamily="18" charset="0"/>
            </a:rPr>
            <a:t> </a:t>
          </a:r>
          <a:endParaRPr lang="en-GB" sz="1200">
            <a:effectLst/>
            <a:latin typeface="+mn-lt"/>
            <a:ea typeface="Times New Roman" panose="02020603050405020304" pitchFamily="18" charset="0"/>
          </a:endParaRPr>
        </a:p>
        <a:p>
          <a:pPr>
            <a:spcAft>
              <a:spcPts val="0"/>
            </a:spcAft>
          </a:pPr>
          <a:r>
            <a:rPr lang="ru-RU" sz="1200">
              <a:solidFill>
                <a:srgbClr val="FF0000"/>
              </a:solidFill>
              <a:effectLst/>
              <a:latin typeface="+mn-lt"/>
              <a:ea typeface="Times New Roman" panose="02020603050405020304" pitchFamily="18" charset="0"/>
            </a:rPr>
            <a:t>  </a:t>
          </a:r>
          <a:r>
            <a:rPr lang="en-US" sz="1200">
              <a:solidFill>
                <a:srgbClr val="FF0000"/>
              </a:solidFill>
              <a:effectLst/>
              <a:latin typeface="+mn-lt"/>
              <a:ea typeface="Times New Roman" panose="02020603050405020304" pitchFamily="18" charset="0"/>
            </a:rPr>
            <a:t>280,150.300 x 0.99875 = 279,800.112 Metric tons AIR </a:t>
          </a:r>
          <a:endParaRPr lang="en-GB" sz="1200">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 Use ASTM Table 1 for conversion from Mtons to Longtons: 0.984206</a:t>
          </a:r>
          <a:endParaRPr lang="en-GB" sz="1200">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- 279,800.112 x 0.984206 = 275,380.95 Ltons </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Never compare air to vac or vice versa!</a:t>
          </a:r>
          <a:endParaRPr lang="en-GB" sz="1200">
            <a:effectLst/>
            <a:latin typeface="+mn-lt"/>
            <a:ea typeface="Times New Roman" panose="02020603050405020304" pitchFamily="18" charset="0"/>
          </a:endParaRPr>
        </a:p>
        <a:p>
          <a:pPr>
            <a:spcAft>
              <a:spcPts val="1200"/>
            </a:spcAft>
          </a:pPr>
          <a:r>
            <a:rPr lang="en-US" sz="1200">
              <a:effectLst/>
              <a:latin typeface="+mn-lt"/>
              <a:ea typeface="Times New Roman" panose="02020603050405020304" pitchFamily="18" charset="0"/>
            </a:rPr>
            <a:t> </a:t>
          </a:r>
          <a:endParaRPr lang="en-GB" sz="1200">
            <a:effectLst/>
            <a:latin typeface="+mn-lt"/>
            <a:ea typeface="Times New Roman" panose="02020603050405020304" pitchFamily="18" charset="0"/>
          </a:endParaRPr>
        </a:p>
        <a:p>
          <a:pPr>
            <a:spcAft>
              <a:spcPts val="0"/>
            </a:spcAft>
          </a:pPr>
          <a:r>
            <a:rPr lang="en-US" sz="1400" b="1">
              <a:effectLst/>
              <a:latin typeface="+mn-lt"/>
              <a:ea typeface="Times New Roman" panose="02020603050405020304" pitchFamily="18" charset="0"/>
              <a:cs typeface="Times New Roman" panose="02020603050405020304" pitchFamily="18" charset="0"/>
            </a:rPr>
            <a:t>II.4.4. Volume Conversions</a:t>
          </a:r>
          <a:r>
            <a:rPr lang="en-US" sz="1400">
              <a:effectLst/>
              <a:latin typeface="+mn-lt"/>
              <a:ea typeface="Times New Roman" panose="02020603050405020304" pitchFamily="18" charset="0"/>
            </a:rPr>
            <a:t> </a:t>
          </a:r>
          <a:endParaRPr lang="en-GB" sz="1400">
            <a:effectLst/>
            <a:latin typeface="+mn-lt"/>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Conversions from one volume unit to another (e.g. barrels 60°F. to litres 15°C.) should be done on volume basis: </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Barrels 60°F x corr. factor = litres 15 °C. </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1200"/>
            </a:spcAft>
          </a:pPr>
          <a:r>
            <a:rPr lang="en-US" sz="1200">
              <a:effectLst/>
              <a:latin typeface="Calibri" panose="020F0502020204030204" pitchFamily="34" charset="0"/>
              <a:ea typeface="Times New Roman" panose="02020603050405020304" pitchFamily="18" charset="0"/>
              <a:cs typeface="Calibri" panose="020F0502020204030204" pitchFamily="34" charset="0"/>
            </a:rPr>
            <a:t> </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r>
            <a:rPr lang="en-US" sz="1200" i="1">
              <a:effectLst/>
              <a:latin typeface="Calibri" panose="020F0502020204030204" pitchFamily="34" charset="0"/>
              <a:ea typeface="Times New Roman" panose="02020603050405020304" pitchFamily="18" charset="0"/>
              <a:cs typeface="Calibri" panose="020F0502020204030204" pitchFamily="34" charset="0"/>
            </a:rPr>
            <a:t>II.4.4.1. Cubic metres 15°C  to Barrels 60</a:t>
          </a:r>
          <a:r>
            <a:rPr lang="en-US" sz="1200" i="1" baseline="30000">
              <a:effectLst/>
              <a:latin typeface="Calibri" panose="020F0502020204030204" pitchFamily="34" charset="0"/>
              <a:ea typeface="Times New Roman" panose="02020603050405020304" pitchFamily="18" charset="0"/>
              <a:cs typeface="Calibri" panose="020F0502020204030204" pitchFamily="34" charset="0"/>
            </a:rPr>
            <a:t>o</a:t>
          </a:r>
          <a:r>
            <a:rPr lang="en-US" sz="1200" i="1">
              <a:effectLst/>
              <a:latin typeface="Calibri" panose="020F0502020204030204" pitchFamily="34" charset="0"/>
              <a:ea typeface="Times New Roman" panose="02020603050405020304" pitchFamily="18" charset="0"/>
              <a:cs typeface="Calibri" panose="020F0502020204030204" pitchFamily="34" charset="0"/>
            </a:rPr>
            <a:t>F</a:t>
          </a:r>
          <a:r>
            <a:rPr lang="en-US" sz="1200">
              <a:effectLst/>
              <a:latin typeface="Calibri" panose="020F0502020204030204" pitchFamily="34" charset="0"/>
              <a:ea typeface="Times New Roman" panose="02020603050405020304" pitchFamily="18" charset="0"/>
              <a:cs typeface="Calibri" panose="020F0502020204030204" pitchFamily="34" charset="0"/>
            </a:rPr>
            <a:t> </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This conversion is done by one of the ASTM tables:</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Table 4, 21, 22, or 52. Which of these tables must be used is dependent on whether calculations are based on density or API.</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1200"/>
            </a:spcAft>
          </a:pPr>
          <a:r>
            <a:rPr lang="en-US" sz="1200">
              <a:effectLst/>
              <a:latin typeface="Calibri" panose="020F0502020204030204" pitchFamily="34" charset="0"/>
              <a:ea typeface="Times New Roman" panose="02020603050405020304" pitchFamily="18" charset="0"/>
              <a:cs typeface="Calibri" panose="020F0502020204030204" pitchFamily="34" charset="0"/>
            </a:rPr>
            <a:t> </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marL="0" indent="0">
            <a:spcAft>
              <a:spcPts val="0"/>
            </a:spcAft>
          </a:pPr>
          <a:r>
            <a:rPr lang="en-US" sz="1200" i="1">
              <a:solidFill>
                <a:schemeClr val="dk1"/>
              </a:solidFill>
              <a:effectLst/>
              <a:latin typeface="Calibri" panose="020F0502020204030204" pitchFamily="34" charset="0"/>
              <a:ea typeface="Times New Roman" panose="02020603050405020304" pitchFamily="18" charset="0"/>
              <a:cs typeface="Calibri" panose="020F0502020204030204" pitchFamily="34" charset="0"/>
            </a:rPr>
            <a:t>II.4.4.2. Barrels 60°F to Gallons 60°F </a:t>
          </a:r>
          <a:endParaRPr lang="en-GB" sz="1200" i="1">
            <a:solidFill>
              <a:schemeClr val="dk1"/>
            </a:solidFill>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When US Barrels are being converted to US Gallons a fixed factor of 42 is used. (ASTM Table 1: 1 barrel = 42 gallons as per definition). </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1200"/>
            </a:spcAft>
          </a:pPr>
          <a:r>
            <a:rPr lang="en-US" sz="1200">
              <a:effectLst/>
              <a:latin typeface="Calibri" panose="020F0502020204030204" pitchFamily="34" charset="0"/>
              <a:ea typeface="Times New Roman" panose="02020603050405020304" pitchFamily="18" charset="0"/>
              <a:cs typeface="Calibri" panose="020F0502020204030204" pitchFamily="34" charset="0"/>
            </a:rPr>
            <a:t> </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marL="0" indent="0">
            <a:spcAft>
              <a:spcPts val="0"/>
            </a:spcAft>
          </a:pPr>
          <a:r>
            <a:rPr lang="en-US" sz="1200" i="1">
              <a:solidFill>
                <a:schemeClr val="dk1"/>
              </a:solidFill>
              <a:effectLst/>
              <a:latin typeface="Calibri" panose="020F0502020204030204" pitchFamily="34" charset="0"/>
              <a:ea typeface="Times New Roman" panose="02020603050405020304" pitchFamily="18" charset="0"/>
              <a:cs typeface="Calibri" panose="020F0502020204030204" pitchFamily="34" charset="0"/>
            </a:rPr>
            <a:t>II.4.4.3. Cubic metres 15°C to Gallons 60°F. </a:t>
          </a:r>
          <a:endParaRPr lang="en-GB" sz="1200" i="1">
            <a:solidFill>
              <a:schemeClr val="dk1"/>
            </a:solidFill>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When converting Cubic meters at 15 °C. into Barrels at 60 °F. and Gallons at 60 °F. this should be done as follows:</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r>
            <a:rPr lang="en-US" sz="1200">
              <a:effectLst/>
              <a:latin typeface="Calibri" panose="020F0502020204030204" pitchFamily="34" charset="0"/>
              <a:ea typeface="Times New Roman" panose="02020603050405020304" pitchFamily="18" charset="0"/>
              <a:cs typeface="Calibri" panose="020F0502020204030204" pitchFamily="34" charset="0"/>
            </a:rPr>
            <a:t>- multiply cubic meters at 15 °C. by the correction factor from table 52 (Barrels 60°F. per cubic meter 15°C.).</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r>
            <a:rPr lang="en-US" sz="1200">
              <a:effectLst/>
              <a:latin typeface="Calibri" panose="020F0502020204030204" pitchFamily="34" charset="0"/>
              <a:ea typeface="Times New Roman" panose="02020603050405020304" pitchFamily="18" charset="0"/>
              <a:cs typeface="Calibri" panose="020F0502020204030204" pitchFamily="34" charset="0"/>
            </a:rPr>
            <a:t>- then BEFORE rounding the barrel figure, multiply this by 42 in order to get the Gallons at 60°F.</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 now both the Gallon and the Barrel figure can be rounded.</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endParaRPr lang="ru-RU" sz="1200" b="1">
            <a:solidFill>
              <a:srgbClr val="FF0000"/>
            </a:solidFill>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r>
            <a:rPr lang="en-US" sz="1200" b="1">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Example:</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A vessel loaded the following Bill of Lading:</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16,798,715 Litres at 15 </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C.</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14,772,790 Kg (Mass)</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density: 0.8794</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Following conversions are asked:</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Litres at 15 </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C.</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US Barrels at 60</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F.</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US Gallons to 60</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F.</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Metric tons in vac and in air</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Longtons</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Calculation:</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US Barrels 60</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F: factor table 52 = 6.293</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(16,798,715 : 1000) x 6.293 = 105,714.3-14</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US Gallons 60</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F: 42 x 105,714.3-14 = 4,440,001</a:t>
          </a:r>
          <a:r>
            <a:rPr lang="en-US" sz="1200">
              <a:effectLst/>
              <a:latin typeface="Calibri" panose="020F0502020204030204" pitchFamily="34" charset="0"/>
              <a:ea typeface="Times New Roman" panose="02020603050405020304" pitchFamily="18" charset="0"/>
              <a:cs typeface="Calibri" panose="020F0502020204030204" pitchFamily="34" charset="0"/>
            </a:rPr>
            <a:t> </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US Barrels 60</a:t>
          </a:r>
          <a:r>
            <a:rPr lang="en-US" sz="1200" baseline="300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o</a:t>
          </a: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F (rounded): 105,714</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Metric Tons (AIR): Factor table 56 = 0.99875</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pPr>
            <a:spcAft>
              <a:spcPts val="0"/>
            </a:spcAft>
          </a:pP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(14,772,790 x 1000 x 0.99875 = 14,754.324)</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solidFill>
                <a:srgbClr val="FF0000"/>
              </a:solidFill>
              <a:effectLst/>
              <a:latin typeface="Calibri" panose="020F0502020204030204" pitchFamily="34" charset="0"/>
              <a:ea typeface="Times New Roman" panose="02020603050405020304" pitchFamily="18" charset="0"/>
              <a:cs typeface="Calibri" panose="020F0502020204030204" pitchFamily="34" charset="0"/>
            </a:rPr>
            <a:t>Longtons: 14,754.324 x 0.984206 = 14,251.29</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endParaRPr lang="en-US" sz="1000">
            <a:latin typeface="Arial" panose="020B0604020202020204" pitchFamily="34" charset="0"/>
            <a:cs typeface="Arial" panose="020B0604020202020204" pitchFamily="34" charset="0"/>
          </a:endParaRPr>
        </a:p>
        <a:p>
          <a:pPr>
            <a:spcAft>
              <a:spcPts val="0"/>
            </a:spcAft>
          </a:pPr>
          <a:r>
            <a:rPr lang="en-US" sz="1200" b="1">
              <a:effectLst/>
              <a:latin typeface="Arial" panose="020B0604020202020204" pitchFamily="34" charset="0"/>
              <a:ea typeface="Times New Roman" panose="02020603050405020304" pitchFamily="18" charset="0"/>
              <a:cs typeface="Arial" panose="020B0604020202020204" pitchFamily="34" charset="0"/>
            </a:rPr>
            <a:t>Factors and tables</a:t>
          </a:r>
          <a:r>
            <a:rPr lang="en-US" sz="1200">
              <a:effectLst/>
              <a:latin typeface="Arial" panose="020B0604020202020204" pitchFamily="34" charset="0"/>
              <a:ea typeface="Times New Roman" panose="02020603050405020304" pitchFamily="18" charset="0"/>
              <a:cs typeface="Arial" panose="020B0604020202020204" pitchFamily="34" charset="0"/>
            </a:rPr>
            <a:t> </a:t>
          </a:r>
          <a:endParaRPr lang="en-GB" sz="1200">
            <a:effectLst/>
            <a:latin typeface="Arial" panose="020B0604020202020204" pitchFamily="34" charset="0"/>
            <a:ea typeface="Times New Roman" panose="02020603050405020304" pitchFamily="18" charset="0"/>
            <a:cs typeface="Arial" panose="020B0604020202020204" pitchFamily="34" charset="0"/>
          </a:endParaRPr>
        </a:p>
        <a:p>
          <a:endParaRPr lang="en-US" sz="1200">
            <a:latin typeface="Arial" panose="020B0604020202020204" pitchFamily="34" charset="0"/>
            <a:cs typeface="Arial" panose="020B0604020202020204" pitchFamily="34" charset="0"/>
          </a:endParaRPr>
        </a:p>
        <a:p>
          <a:r>
            <a:rPr lang="en-US" sz="1200" b="1" i="1">
              <a:latin typeface="Arial" panose="020B0604020202020204" pitchFamily="34" charset="0"/>
              <a:cs typeface="Arial" panose="020B0604020202020204" pitchFamily="34" charset="0"/>
            </a:rPr>
            <a:t>from </a:t>
          </a:r>
          <a:r>
            <a:rPr lang="ru-RU" sz="1200" b="1" i="1">
              <a:latin typeface="Arial" panose="020B0604020202020204" pitchFamily="34" charset="0"/>
              <a:cs typeface="Arial" panose="020B0604020202020204" pitchFamily="34" charset="0"/>
            </a:rPr>
            <a:t>		</a:t>
          </a:r>
          <a:r>
            <a:rPr lang="en-US" sz="1200" b="1" i="1">
              <a:latin typeface="Arial" panose="020B0604020202020204" pitchFamily="34" charset="0"/>
              <a:cs typeface="Arial" panose="020B0604020202020204" pitchFamily="34" charset="0"/>
            </a:rPr>
            <a:t>to  </a:t>
          </a:r>
          <a:r>
            <a:rPr lang="ru-RU" sz="1200" b="1" i="1">
              <a:latin typeface="Arial" panose="020B0604020202020204" pitchFamily="34" charset="0"/>
              <a:cs typeface="Arial" panose="020B0604020202020204" pitchFamily="34" charset="0"/>
            </a:rPr>
            <a:t>		</a:t>
          </a:r>
          <a:r>
            <a:rPr lang="en-US" sz="1200" b="1" i="1">
              <a:latin typeface="Arial" panose="020B0604020202020204" pitchFamily="34" charset="0"/>
              <a:cs typeface="Arial" panose="020B0604020202020204" pitchFamily="34" charset="0"/>
            </a:rPr>
            <a:t>ASTM table </a:t>
          </a:r>
          <a:r>
            <a:rPr lang="ru-RU" sz="1200" b="1" i="1">
              <a:latin typeface="Arial" panose="020B0604020202020204" pitchFamily="34" charset="0"/>
              <a:cs typeface="Arial" panose="020B0604020202020204" pitchFamily="34" charset="0"/>
            </a:rPr>
            <a:t>	</a:t>
          </a:r>
          <a:r>
            <a:rPr lang="en-US" sz="1200" b="1" i="1">
              <a:latin typeface="Arial" panose="020B0604020202020204" pitchFamily="34" charset="0"/>
              <a:cs typeface="Arial" panose="020B0604020202020204" pitchFamily="34" charset="0"/>
            </a:rPr>
            <a:t>Factor </a:t>
          </a:r>
          <a:endParaRPr lang="ru-RU" sz="1200" b="1" i="1">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Barrels 60</a:t>
          </a:r>
          <a:r>
            <a:rPr lang="ru-RU" sz="1200">
              <a:latin typeface="Arial" panose="020B0604020202020204" pitchFamily="34" charset="0"/>
              <a:cs typeface="Arial" panose="020B0604020202020204" pitchFamily="34" charset="0"/>
            </a:rPr>
            <a:t>°</a:t>
          </a:r>
          <a:r>
            <a:rPr lang="en-US" sz="1200">
              <a:latin typeface="Arial" panose="020B0604020202020204" pitchFamily="34" charset="0"/>
              <a:cs typeface="Arial" panose="020B0604020202020204" pitchFamily="34" charset="0"/>
            </a:rPr>
            <a:t>F.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Gallons 60</a:t>
          </a:r>
          <a:r>
            <a:rPr lang="ru-RU" sz="1200">
              <a:solidFill>
                <a:schemeClr val="dk1"/>
              </a:solidFill>
              <a:effectLst/>
              <a:latin typeface="Arial" panose="020B0604020202020204" pitchFamily="34" charset="0"/>
              <a:ea typeface="+mn-ea"/>
              <a:cs typeface="Arial" panose="020B0604020202020204" pitchFamily="34" charset="0"/>
            </a:rPr>
            <a:t>°</a:t>
          </a:r>
          <a:r>
            <a:rPr lang="en-US" sz="1200">
              <a:latin typeface="Arial" panose="020B0604020202020204" pitchFamily="34" charset="0"/>
              <a:cs typeface="Arial" panose="020B0604020202020204" pitchFamily="34" charset="0"/>
            </a:rPr>
            <a:t>F.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1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42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Metric Tons Air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Longtons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1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0.9842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Longtons (air)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Metric Tons Air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1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1.0161               </a:t>
          </a:r>
          <a:endParaRPr lang="ru-RU" sz="1200">
            <a:latin typeface="Arial" panose="020B0604020202020204" pitchFamily="34" charset="0"/>
            <a:cs typeface="Arial" panose="020B0604020202020204" pitchFamily="34" charset="0"/>
          </a:endParaRPr>
        </a:p>
        <a:p>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Entry Item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API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RD 60/60 &amp; Dens.15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3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API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Barrels 60°F.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Litres 15°C.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4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API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RD 60/60°F.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Density 15°C.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21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RD 60/60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Barrels 60°F.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Litres 15°C.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22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RD 60/60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Density 15°C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API &amp; RD 60/60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51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Density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Litres 15°C.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Barrels 60°F.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52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Density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Metric Tons Vac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Metric Tons Air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56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Density </a:t>
          </a:r>
          <a:endParaRPr lang="ru-RU"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Metric Tons Air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Metric Tons Vac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56 </a:t>
          </a:r>
          <a:r>
            <a:rPr lang="ru-RU" sz="120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Density </a:t>
          </a: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pPr>
            <a:spcAft>
              <a:spcPts val="0"/>
            </a:spcAft>
          </a:pPr>
          <a:r>
            <a:rPr lang="en-US" sz="1600" b="1">
              <a:effectLst/>
              <a:latin typeface="+mn-lt"/>
              <a:ea typeface="Times New Roman" panose="02020603050405020304" pitchFamily="18" charset="0"/>
              <a:cs typeface="Times New Roman" panose="02020603050405020304" pitchFamily="18" charset="0"/>
            </a:rPr>
            <a:t>II.5. GROSS &amp; NET CALCULATIONS</a:t>
          </a:r>
          <a:r>
            <a:rPr lang="en-US" sz="1600">
              <a:effectLst/>
              <a:latin typeface="+mn-lt"/>
              <a:ea typeface="Times New Roman" panose="02020603050405020304" pitchFamily="18" charset="0"/>
            </a:rPr>
            <a:t> </a:t>
          </a:r>
          <a:endParaRPr lang="en-GB" sz="1600">
            <a:effectLst/>
            <a:latin typeface="+mn-lt"/>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200">
              <a:effectLst/>
              <a:latin typeface="+mn-lt"/>
              <a:ea typeface="Times New Roman" panose="02020603050405020304" pitchFamily="18" charset="0"/>
            </a:rPr>
            <a:t>GROSS STANDARD VOLUME: </a:t>
          </a:r>
          <a:endParaRPr lang="en-GB" sz="1200">
            <a:effectLst/>
            <a:latin typeface="+mn-lt"/>
            <a:ea typeface="Times New Roman" panose="02020603050405020304" pitchFamily="18" charset="0"/>
          </a:endParaRPr>
        </a:p>
        <a:p>
          <a:pPr>
            <a:spcAft>
              <a:spcPts val="0"/>
            </a:spcAft>
          </a:pPr>
          <a:r>
            <a:rPr lang="en-US" sz="1200">
              <a:effectLst/>
              <a:latin typeface="+mn-lt"/>
              <a:ea typeface="Times New Roman" panose="02020603050405020304" pitchFamily="18" charset="0"/>
            </a:rPr>
            <a:t>The entire volume of all petroleum liquids, including Sediment and Water but excluding Free water, corrected by the appropriate volume correction factor for the measured temperature and density to a standard reference tem-perature (and in case of metering also corrected for the appropriate pressure correction factor and meter factor).</a:t>
          </a:r>
          <a:endParaRPr lang="en-GB" sz="1200">
            <a:effectLst/>
            <a:latin typeface="+mn-lt"/>
            <a:ea typeface="Times New Roman" panose="02020603050405020304" pitchFamily="18" charset="0"/>
          </a:endParaRPr>
        </a:p>
        <a:p>
          <a:pPr>
            <a:spcAft>
              <a:spcPts val="0"/>
            </a:spcAft>
          </a:pP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NET STANDARD VOLUME: </a:t>
          </a:r>
          <a:endParaRPr lang="en-GB" sz="1200">
            <a:effectLst/>
            <a:latin typeface="+mn-lt"/>
            <a:ea typeface="Times New Roman" panose="02020603050405020304" pitchFamily="18" charset="0"/>
          </a:endParaRPr>
        </a:p>
        <a:p>
          <a:pPr>
            <a:spcAft>
              <a:spcPts val="0"/>
            </a:spcAft>
          </a:pPr>
          <a:r>
            <a:rPr lang="en-US" sz="1200">
              <a:effectLst/>
              <a:latin typeface="+mn-lt"/>
              <a:ea typeface="Times New Roman" panose="02020603050405020304" pitchFamily="18" charset="0"/>
            </a:rPr>
            <a:t>The entire volume of all petroleum liquids excluding suspended Sediments and Water and Free water cor-rected by the appropriate volume correction factor for the measured temperature and density to a standard reference temperature (and in case of metering also corrected for the appropriate pressure correction factor and meter factor).</a:t>
          </a:r>
          <a:endParaRPr lang="en-GB" sz="1200">
            <a:effectLst/>
            <a:latin typeface="+mn-lt"/>
            <a:ea typeface="Times New Roman" panose="02020603050405020304" pitchFamily="18" charset="0"/>
          </a:endParaRPr>
        </a:p>
        <a:p>
          <a:pPr>
            <a:spcAft>
              <a:spcPts val="1200"/>
            </a:spcAft>
          </a:pPr>
          <a:r>
            <a:rPr lang="en-US" sz="900">
              <a:effectLst/>
              <a:latin typeface="Times New Roman" panose="02020603050405020304" pitchFamily="18" charset="0"/>
              <a:ea typeface="Times New Roman" panose="02020603050405020304" pitchFamily="18" charset="0"/>
            </a:rPr>
            <a:t> </a:t>
          </a:r>
          <a:endParaRPr lang="en-GB" sz="900">
            <a:effectLst/>
            <a:latin typeface="Times New Roman" panose="02020603050405020304" pitchFamily="18" charset="0"/>
            <a:ea typeface="Times New Roman" panose="02020603050405020304" pitchFamily="18" charset="0"/>
          </a:endParaRPr>
        </a:p>
        <a:p>
          <a:pPr>
            <a:spcAft>
              <a:spcPts val="0"/>
            </a:spcAft>
          </a:pPr>
          <a:r>
            <a:rPr lang="en-US" sz="1600" b="1">
              <a:effectLst/>
              <a:latin typeface="+mn-lt"/>
              <a:ea typeface="Times New Roman" panose="02020603050405020304" pitchFamily="18" charset="0"/>
              <a:cs typeface="Times New Roman" panose="02020603050405020304" pitchFamily="18" charset="0"/>
            </a:rPr>
            <a:t>II.7. PRODUCTS, LPG AND PETROCHEMICALS</a:t>
          </a:r>
          <a:r>
            <a:rPr lang="en-US" sz="1600">
              <a:effectLst/>
              <a:latin typeface="+mn-lt"/>
              <a:ea typeface="Times New Roman" panose="02020603050405020304" pitchFamily="18" charset="0"/>
            </a:rPr>
            <a:t> </a:t>
          </a:r>
          <a:endParaRPr lang="en-GB" sz="1600">
            <a:effectLst/>
            <a:latin typeface="+mn-lt"/>
            <a:ea typeface="Times New Roman" panose="02020603050405020304" pitchFamily="18" charset="0"/>
          </a:endParaRPr>
        </a:p>
        <a:p>
          <a:pPr>
            <a:spcAft>
              <a:spcPts val="0"/>
            </a:spcAft>
          </a:pPr>
          <a:r>
            <a:rPr lang="en-US" sz="1200">
              <a:effectLst/>
              <a:latin typeface="+mn-lt"/>
              <a:ea typeface="Times New Roman" panose="02020603050405020304" pitchFamily="18" charset="0"/>
            </a:rPr>
            <a:t>The main difference between foregoing calculations and the next groups is that the in most cases only the crude calculations are divided into Gross and Net- Calculations. For products working with Net-calculations is not a common procedure. </a:t>
          </a:r>
          <a:endParaRPr lang="en-GB" sz="1200">
            <a:effectLst/>
            <a:latin typeface="+mn-lt"/>
            <a:ea typeface="Times New Roman" panose="02020603050405020304" pitchFamily="18" charset="0"/>
          </a:endParaRPr>
        </a:p>
        <a:p>
          <a:pPr>
            <a:spcAft>
              <a:spcPts val="1200"/>
            </a:spcAft>
          </a:pPr>
          <a:r>
            <a:rPr lang="en-US" sz="1200">
              <a:effectLst/>
              <a:latin typeface="+mn-lt"/>
              <a:ea typeface="Times New Roman" panose="02020603050405020304" pitchFamily="18" charset="0"/>
            </a:rPr>
            <a:t> </a:t>
          </a:r>
          <a:endParaRPr lang="en-GB" sz="1200">
            <a:effectLst/>
            <a:latin typeface="+mn-lt"/>
            <a:ea typeface="Times New Roman" panose="02020603050405020304" pitchFamily="18" charset="0"/>
          </a:endParaRPr>
        </a:p>
        <a:p>
          <a:pPr>
            <a:spcAft>
              <a:spcPts val="0"/>
            </a:spcAft>
          </a:pPr>
          <a:r>
            <a:rPr lang="en-US" sz="1400" b="1">
              <a:effectLst/>
              <a:latin typeface="+mn-lt"/>
              <a:ea typeface="Times New Roman" panose="02020603050405020304" pitchFamily="18" charset="0"/>
              <a:cs typeface="Times New Roman" panose="02020603050405020304" pitchFamily="18" charset="0"/>
            </a:rPr>
            <a:t>II.7.1. Products</a:t>
          </a:r>
          <a:r>
            <a:rPr lang="en-US" sz="1400">
              <a:effectLst/>
              <a:latin typeface="+mn-lt"/>
              <a:ea typeface="Times New Roman" panose="02020603050405020304" pitchFamily="18" charset="0"/>
            </a:rPr>
            <a:t> </a:t>
          </a:r>
          <a:endParaRPr lang="en-GB" sz="1400">
            <a:effectLst/>
            <a:latin typeface="+mn-lt"/>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200">
              <a:effectLst/>
              <a:latin typeface="+mn-lt"/>
              <a:ea typeface="Times New Roman" panose="02020603050405020304" pitchFamily="18" charset="0"/>
            </a:rPr>
            <a:t>Calculation of refined products such as naphtha, gasoline, kerosene, jet fuel, gas oil and fuel oil does not differ much from the gross crude cal-culations, except that for all these products table 6B, 24B or 54B are used instead of the A-series.</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For lubricating oils another set of tables has been developed: the D-series. (6D, 24D, 54D).</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Another difference is that in product calculations only gross cal- culations are used. Net calculations are usually not performed while working with products. </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b="1">
              <a:solidFill>
                <a:srgbClr val="FF0000"/>
              </a:solidFill>
              <a:effectLst/>
              <a:latin typeface="+mn-lt"/>
              <a:ea typeface="Times New Roman" panose="02020603050405020304" pitchFamily="18" charset="0"/>
            </a:rPr>
            <a:t>Example 1:</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Calculate the </a:t>
          </a:r>
          <a:r>
            <a:rPr lang="en-US" sz="1200" u="sng">
              <a:solidFill>
                <a:srgbClr val="FF0000"/>
              </a:solidFill>
              <a:effectLst/>
              <a:latin typeface="+mn-lt"/>
              <a:ea typeface="Times New Roman" panose="02020603050405020304" pitchFamily="18" charset="0"/>
            </a:rPr>
            <a:t>Mass</a:t>
          </a:r>
          <a:r>
            <a:rPr lang="en-US" sz="1200">
              <a:solidFill>
                <a:srgbClr val="FF0000"/>
              </a:solidFill>
              <a:effectLst/>
              <a:latin typeface="+mn-lt"/>
              <a:ea typeface="Times New Roman" panose="02020603050405020304" pitchFamily="18" charset="0"/>
            </a:rPr>
            <a:t> of a parcel of gas oil with a density of 0.8421 kg/l. The Gross Observed Volume is 23,763,980 litres at a temperature of 17.5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C.</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G.O.V. = 23,763,980 litres</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V.C.F. = </a:t>
          </a:r>
          <a:r>
            <a:rPr lang="en-US" sz="1200" u="sng">
              <a:solidFill>
                <a:srgbClr val="FF0000"/>
              </a:solidFill>
              <a:effectLst/>
              <a:latin typeface="+mn-lt"/>
              <a:ea typeface="Times New Roman" panose="02020603050405020304" pitchFamily="18" charset="0"/>
            </a:rPr>
            <a:t>0.9979</a:t>
          </a:r>
          <a:r>
            <a:rPr lang="en-US" sz="1200">
              <a:solidFill>
                <a:srgbClr val="FF0000"/>
              </a:solidFill>
              <a:effectLst/>
              <a:latin typeface="+mn-lt"/>
              <a:ea typeface="Times New Roman" panose="02020603050405020304" pitchFamily="18" charset="0"/>
            </a:rPr>
            <a:t> x (Table 54B, density .8421 and temp. 17.5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C)</a:t>
          </a:r>
          <a:r>
            <a:rPr lang="en-US" sz="1200">
              <a:effectLst/>
              <a:latin typeface="+mn-lt"/>
              <a:ea typeface="Times New Roman" panose="02020603050405020304" pitchFamily="18" charset="0"/>
            </a:rPr>
            <a:t> </a:t>
          </a:r>
          <a:endParaRPr lang="en-GB" sz="1200">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G.S.V. = 23,714,076 litres at 15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C</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Density= </a:t>
          </a:r>
          <a:r>
            <a:rPr lang="en-US" sz="1200" u="sng">
              <a:solidFill>
                <a:srgbClr val="FF0000"/>
              </a:solidFill>
              <a:effectLst/>
              <a:latin typeface="+mn-lt"/>
              <a:ea typeface="Times New Roman" panose="02020603050405020304" pitchFamily="18" charset="0"/>
            </a:rPr>
            <a:t>0.8421</a:t>
          </a:r>
          <a:r>
            <a:rPr lang="en-US" sz="1200">
              <a:solidFill>
                <a:srgbClr val="FF0000"/>
              </a:solidFill>
              <a:effectLst/>
              <a:latin typeface="+mn-lt"/>
              <a:ea typeface="Times New Roman" panose="02020603050405020304" pitchFamily="18" charset="0"/>
            </a:rPr>
            <a:t> x</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Mass = 19,969.623 Mtons (Weight-in-Vac)</a:t>
          </a:r>
          <a:endParaRPr lang="en-GB" sz="1200">
            <a:effectLst/>
            <a:latin typeface="+mn-lt"/>
            <a:ea typeface="Times New Roman" panose="02020603050405020304" pitchFamily="18" charset="0"/>
          </a:endParaRPr>
        </a:p>
        <a:p>
          <a:pPr>
            <a:spcAft>
              <a:spcPts val="0"/>
            </a:spcAft>
          </a:pPr>
          <a:br>
            <a:rPr lang="en-US" sz="1200">
              <a:effectLst/>
              <a:latin typeface="+mn-lt"/>
              <a:ea typeface="Times New Roman" panose="02020603050405020304" pitchFamily="18" charset="0"/>
            </a:rPr>
          </a:br>
          <a:r>
            <a:rPr lang="en-US" sz="1200" b="1">
              <a:solidFill>
                <a:srgbClr val="FF0000"/>
              </a:solidFill>
              <a:effectLst/>
              <a:latin typeface="+mn-lt"/>
              <a:ea typeface="Times New Roman" panose="02020603050405020304" pitchFamily="18" charset="0"/>
            </a:rPr>
            <a:t>Example 2:</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Calculate the </a:t>
          </a:r>
          <a:r>
            <a:rPr lang="en-US" sz="1200" u="sng">
              <a:solidFill>
                <a:srgbClr val="FF0000"/>
              </a:solidFill>
              <a:effectLst/>
              <a:latin typeface="+mn-lt"/>
              <a:ea typeface="Times New Roman" panose="02020603050405020304" pitchFamily="18" charset="0"/>
            </a:rPr>
            <a:t>Weight</a:t>
          </a:r>
          <a:r>
            <a:rPr lang="en-US" sz="1200">
              <a:solidFill>
                <a:srgbClr val="FF0000"/>
              </a:solidFill>
              <a:effectLst/>
              <a:latin typeface="+mn-lt"/>
              <a:ea typeface="Times New Roman" panose="02020603050405020304" pitchFamily="18" charset="0"/>
            </a:rPr>
            <a:t> in Longtons of a parcel of fuel oil with an API of 18.5. The Gross Observed Volume is 138,344 US barrels at a temperature of 136.5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F.</a:t>
          </a:r>
          <a:br>
            <a:rPr lang="en-US" sz="1200">
              <a:effectLst/>
              <a:latin typeface="+mn-lt"/>
              <a:ea typeface="Times New Roman" panose="02020603050405020304" pitchFamily="18" charset="0"/>
            </a:rPr>
          </a:b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G.O.V. = 138,344 US Barrels</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V.C.F. </a:t>
          </a:r>
          <a:r>
            <a:rPr lang="ru-RU" sz="1200">
              <a:solidFill>
                <a:srgbClr val="FF0000"/>
              </a:solidFill>
              <a:effectLst/>
              <a:latin typeface="+mn-lt"/>
              <a:ea typeface="Times New Roman" panose="02020603050405020304" pitchFamily="18" charset="0"/>
            </a:rPr>
            <a:t> </a:t>
          </a:r>
          <a:r>
            <a:rPr lang="en-US" sz="1200">
              <a:solidFill>
                <a:srgbClr val="FF0000"/>
              </a:solidFill>
              <a:effectLst/>
              <a:latin typeface="+mn-lt"/>
              <a:ea typeface="Times New Roman" panose="02020603050405020304" pitchFamily="18" charset="0"/>
            </a:rPr>
            <a:t>= </a:t>
          </a:r>
          <a:r>
            <a:rPr lang="en-US" sz="1200" u="sng">
              <a:solidFill>
                <a:srgbClr val="FF0000"/>
              </a:solidFill>
              <a:effectLst/>
              <a:latin typeface="+mn-lt"/>
              <a:ea typeface="Times New Roman" panose="02020603050405020304" pitchFamily="18" charset="0"/>
            </a:rPr>
            <a:t>0.9689</a:t>
          </a:r>
          <a:r>
            <a:rPr lang="en-US" sz="1200">
              <a:solidFill>
                <a:srgbClr val="FF0000"/>
              </a:solidFill>
              <a:effectLst/>
              <a:latin typeface="+mn-lt"/>
              <a:ea typeface="Times New Roman" panose="02020603050405020304" pitchFamily="18" charset="0"/>
            </a:rPr>
            <a:t> x (Table 6B, API 18.5 and temp. 136.5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F)</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G.S.V. </a:t>
          </a:r>
          <a:r>
            <a:rPr lang="ru-RU" sz="1200">
              <a:solidFill>
                <a:srgbClr val="FF0000"/>
              </a:solidFill>
              <a:effectLst/>
              <a:latin typeface="+mn-lt"/>
              <a:ea typeface="Times New Roman" panose="02020603050405020304" pitchFamily="18" charset="0"/>
            </a:rPr>
            <a:t> </a:t>
          </a:r>
          <a:r>
            <a:rPr lang="en-US" sz="1200">
              <a:solidFill>
                <a:srgbClr val="FF0000"/>
              </a:solidFill>
              <a:effectLst/>
              <a:latin typeface="+mn-lt"/>
              <a:ea typeface="Times New Roman" panose="02020603050405020304" pitchFamily="18" charset="0"/>
            </a:rPr>
            <a:t>= 134,042 US Barrels at 60 </a:t>
          </a:r>
          <a:r>
            <a:rPr lang="en-US" sz="1200" baseline="30000">
              <a:solidFill>
                <a:srgbClr val="FF0000"/>
              </a:solidFill>
              <a:effectLst/>
              <a:latin typeface="+mn-lt"/>
              <a:ea typeface="Times New Roman" panose="02020603050405020304" pitchFamily="18" charset="0"/>
            </a:rPr>
            <a:t>o</a:t>
          </a:r>
          <a:r>
            <a:rPr lang="en-US" sz="1200">
              <a:solidFill>
                <a:srgbClr val="FF0000"/>
              </a:solidFill>
              <a:effectLst/>
              <a:latin typeface="+mn-lt"/>
              <a:ea typeface="Times New Roman" panose="02020603050405020304" pitchFamily="18" charset="0"/>
            </a:rPr>
            <a:t>F</a:t>
          </a:r>
          <a:br>
            <a:rPr lang="en-US" sz="1200">
              <a:effectLst/>
              <a:latin typeface="+mn-lt"/>
              <a:ea typeface="Times New Roman" panose="02020603050405020304" pitchFamily="18" charset="0"/>
            </a:rPr>
          </a:br>
          <a:r>
            <a:rPr lang="en-US" sz="1200">
              <a:solidFill>
                <a:srgbClr val="FF0000"/>
              </a:solidFill>
              <a:effectLst/>
              <a:latin typeface="+mn-lt"/>
              <a:ea typeface="Times New Roman" panose="02020603050405020304" pitchFamily="18" charset="0"/>
            </a:rPr>
            <a:t>W.C.F. = </a:t>
          </a:r>
          <a:r>
            <a:rPr lang="en-US" sz="1200" u="sng">
              <a:solidFill>
                <a:srgbClr val="FF0000"/>
              </a:solidFill>
              <a:effectLst/>
              <a:latin typeface="+mn-lt"/>
              <a:ea typeface="Times New Roman" panose="02020603050405020304" pitchFamily="18" charset="0"/>
            </a:rPr>
            <a:t>0.14729</a:t>
          </a:r>
          <a:r>
            <a:rPr lang="en-US" sz="1200">
              <a:solidFill>
                <a:srgbClr val="FF0000"/>
              </a:solidFill>
              <a:effectLst/>
              <a:latin typeface="+mn-lt"/>
              <a:ea typeface="Times New Roman" panose="02020603050405020304" pitchFamily="18" charset="0"/>
            </a:rPr>
            <a:t> x (Table 11, API 18.5)</a:t>
          </a:r>
          <a:endParaRPr lang="en-GB" sz="1200">
            <a:effectLst/>
            <a:latin typeface="+mn-lt"/>
            <a:ea typeface="Times New Roman" panose="02020603050405020304" pitchFamily="18" charset="0"/>
          </a:endParaRPr>
        </a:p>
        <a:p>
          <a:pPr>
            <a:spcAft>
              <a:spcPts val="0"/>
            </a:spcAft>
          </a:pPr>
          <a:r>
            <a:rPr lang="en-US" sz="1200">
              <a:solidFill>
                <a:srgbClr val="FF0000"/>
              </a:solidFill>
              <a:effectLst/>
              <a:latin typeface="+mn-lt"/>
              <a:ea typeface="Times New Roman" panose="02020603050405020304" pitchFamily="18" charset="0"/>
            </a:rPr>
            <a:t>Weight = 19,743.05 Longtons (Weight-in-Air)</a:t>
          </a:r>
          <a:endParaRPr lang="en-GB" sz="1200">
            <a:effectLst/>
            <a:latin typeface="+mn-lt"/>
            <a:ea typeface="Times New Roman" panose="02020603050405020304" pitchFamily="18"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pPr>
            <a:spcAft>
              <a:spcPts val="0"/>
            </a:spcAft>
          </a:pPr>
          <a:r>
            <a:rPr lang="en-US" sz="1600" b="1">
              <a:effectLst/>
              <a:latin typeface="+mn-lt"/>
              <a:ea typeface="Times New Roman" panose="02020603050405020304" pitchFamily="18" charset="0"/>
              <a:cs typeface="Times New Roman" panose="02020603050405020304" pitchFamily="18" charset="0"/>
            </a:rPr>
            <a:t>II.8. CALCULATION COMPARISON</a:t>
          </a:r>
          <a:r>
            <a:rPr lang="en-US" sz="1600">
              <a:effectLst/>
              <a:latin typeface="+mn-lt"/>
              <a:ea typeface="Times New Roman" panose="02020603050405020304" pitchFamily="18" charset="0"/>
            </a:rPr>
            <a:t> </a:t>
          </a:r>
          <a:endParaRPr lang="en-GB" sz="1600">
            <a:effectLst/>
            <a:latin typeface="+mn-lt"/>
            <a:ea typeface="Times New Roman" panose="02020603050405020304" pitchFamily="18" charset="0"/>
          </a:endParaRPr>
        </a:p>
        <a:p>
          <a:pPr>
            <a:spcAft>
              <a:spcPts val="0"/>
            </a:spcAft>
          </a:pPr>
          <a:br>
            <a:rPr lang="en-US" sz="900">
              <a:effectLst/>
              <a:latin typeface="Times New Roman" panose="02020603050405020304" pitchFamily="18" charset="0"/>
              <a:ea typeface="Times New Roman" panose="02020603050405020304" pitchFamily="18"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In this paragraph we show you various ways of calculations as used by SAYBOLT, and we show you the relation and differences between the different systems.</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In these comparisons we use 25,000,000 liters of an oil with an actual density of 0.8380 kg/l at 25 </a:t>
          </a:r>
          <a:r>
            <a:rPr lang="en-US" sz="1200" baseline="30000">
              <a:effectLst/>
              <a:latin typeface="Calibri" panose="020F0502020204030204" pitchFamily="34" charset="0"/>
              <a:ea typeface="Times New Roman" panose="02020603050405020304" pitchFamily="18" charset="0"/>
              <a:cs typeface="Calibri" panose="020F0502020204030204" pitchFamily="34" charset="0"/>
            </a:rPr>
            <a:t>o</a:t>
          </a:r>
          <a:r>
            <a:rPr lang="en-US" sz="1200">
              <a:effectLst/>
              <a:latin typeface="Calibri" panose="020F0502020204030204" pitchFamily="34" charset="0"/>
              <a:ea typeface="Times New Roman" panose="02020603050405020304" pitchFamily="18" charset="0"/>
              <a:cs typeface="Calibri" panose="020F0502020204030204" pitchFamily="34" charset="0"/>
            </a:rPr>
            <a:t>C.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The same volume expressed in actual barrels : 25,000,000 x 0.00628981 = 157,245 barrels.</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First we convert the actual density and temperature to: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density at 15</a:t>
          </a:r>
          <a:r>
            <a:rPr lang="en-US" sz="1200" baseline="30000">
              <a:effectLst/>
              <a:latin typeface="Calibri" panose="020F0502020204030204" pitchFamily="34" charset="0"/>
              <a:ea typeface="Times New Roman" panose="02020603050405020304" pitchFamily="18" charset="0"/>
              <a:cs typeface="Calibri" panose="020F0502020204030204" pitchFamily="34" charset="0"/>
            </a:rPr>
            <a:t>o</a:t>
          </a:r>
          <a:r>
            <a:rPr lang="en-US" sz="1200">
              <a:effectLst/>
              <a:latin typeface="Calibri" panose="020F0502020204030204" pitchFamily="34" charset="0"/>
              <a:ea typeface="Times New Roman" panose="02020603050405020304" pitchFamily="18" charset="0"/>
              <a:cs typeface="Calibri" panose="020F0502020204030204" pitchFamily="34" charset="0"/>
            </a:rPr>
            <a:t>C, </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relative density 60/60</a:t>
          </a:r>
          <a:r>
            <a:rPr lang="en-US" sz="1200" baseline="30000">
              <a:effectLst/>
              <a:latin typeface="Calibri" panose="020F0502020204030204" pitchFamily="34" charset="0"/>
              <a:ea typeface="Times New Roman" panose="02020603050405020304" pitchFamily="18" charset="0"/>
              <a:cs typeface="Calibri" panose="020F0502020204030204" pitchFamily="34" charset="0"/>
            </a:rPr>
            <a:t>o</a:t>
          </a:r>
          <a:r>
            <a:rPr lang="en-US" sz="1200">
              <a:effectLst/>
              <a:latin typeface="Calibri" panose="020F0502020204030204" pitchFamily="34" charset="0"/>
              <a:ea typeface="Times New Roman" panose="02020603050405020304" pitchFamily="18" charset="0"/>
              <a:cs typeface="Calibri" panose="020F0502020204030204" pitchFamily="34" charset="0"/>
            </a:rPr>
            <a:t>F (by means of ASTM Table 51),</a:t>
          </a: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API gravity.</a:t>
          </a:r>
          <a:br>
            <a:rPr lang="en-US" sz="1200">
              <a:effectLst/>
              <a:latin typeface="Calibri" panose="020F0502020204030204" pitchFamily="34" charset="0"/>
              <a:ea typeface="Times New Roman" panose="02020603050405020304" pitchFamily="18" charset="0"/>
              <a:cs typeface="Calibri" panose="020F0502020204030204" pitchFamily="34" charset="0"/>
            </a:rPr>
          </a:br>
          <a:br>
            <a:rPr lang="en-US" sz="1200">
              <a:effectLst/>
              <a:latin typeface="Calibri" panose="020F0502020204030204" pitchFamily="34" charset="0"/>
              <a:ea typeface="Times New Roman" panose="02020603050405020304" pitchFamily="18" charset="0"/>
              <a:cs typeface="Calibri" panose="020F0502020204030204" pitchFamily="34" charset="0"/>
            </a:rPr>
          </a:br>
          <a:r>
            <a:rPr lang="en-US" sz="1200">
              <a:effectLst/>
              <a:latin typeface="Calibri" panose="020F0502020204030204" pitchFamily="34" charset="0"/>
              <a:ea typeface="Times New Roman" panose="02020603050405020304" pitchFamily="18" charset="0"/>
              <a:cs typeface="Calibri" panose="020F0502020204030204" pitchFamily="34" charset="0"/>
            </a:rPr>
            <a:t>At the same time we use this example oil as a Crude Oil, Product, Lube Oil, and we also calculate this oil by means of the old table 53/54.</a:t>
          </a:r>
          <a:endParaRPr lang="en-GB" sz="1200">
            <a:effectLst/>
            <a:latin typeface="Calibri" panose="020F0502020204030204" pitchFamily="34" charset="0"/>
            <a:ea typeface="Times New Roman" panose="02020603050405020304" pitchFamily="18" charset="0"/>
            <a:cs typeface="Calibri" panose="020F0502020204030204" pitchFamily="34" charset="0"/>
          </a:endParaRPr>
        </a:p>
        <a:p>
          <a:endParaRPr lang="en-US" sz="700">
            <a:latin typeface="Times New Roman" panose="02020603050405020304" pitchFamily="18" charset="0"/>
            <a:cs typeface="Times New Roman" panose="02020603050405020304" pitchFamily="18" charset="0"/>
          </a:endParaRPr>
        </a:p>
        <a:p>
          <a:r>
            <a:rPr lang="en-US" sz="1200" b="1" i="0" u="sng" strike="noStrike">
              <a:effectLst/>
              <a:latin typeface="+mn-lt"/>
              <a:cs typeface="Times New Roman" panose="02020603050405020304" pitchFamily="18" charset="0"/>
            </a:rPr>
            <a:t>ASTM table</a:t>
          </a:r>
          <a:r>
            <a:rPr lang="ru-RU" sz="1200" b="1" u="sng">
              <a:effectLst/>
              <a:latin typeface="+mn-lt"/>
              <a:cs typeface="Times New Roman" panose="02020603050405020304" pitchFamily="18" charset="0"/>
            </a:rPr>
            <a:t> 	</a:t>
          </a:r>
          <a:r>
            <a:rPr lang="en-US" sz="1200" b="1" i="0" u="sng" strike="noStrike">
              <a:effectLst/>
              <a:latin typeface="+mn-lt"/>
              <a:cs typeface="Times New Roman" panose="02020603050405020304" pitchFamily="18" charset="0"/>
            </a:rPr>
            <a:t>Density </a:t>
          </a:r>
          <a:r>
            <a:rPr lang="en-US" sz="1200" b="1" i="0" u="sng">
              <a:solidFill>
                <a:schemeClr val="dk1"/>
              </a:solidFill>
              <a:effectLst/>
              <a:latin typeface="+mn-lt"/>
              <a:ea typeface="+mn-ea"/>
              <a:cs typeface="Times New Roman" panose="02020603050405020304" pitchFamily="18" charset="0"/>
            </a:rPr>
            <a:t>15/4 </a:t>
          </a:r>
          <a:r>
            <a:rPr lang="en-US" sz="1200" b="1" i="0" u="sng" baseline="30000">
              <a:solidFill>
                <a:schemeClr val="dk1"/>
              </a:solidFill>
              <a:effectLst/>
              <a:latin typeface="+mn-lt"/>
              <a:ea typeface="+mn-ea"/>
              <a:cs typeface="Times New Roman" panose="02020603050405020304" pitchFamily="18" charset="0"/>
            </a:rPr>
            <a:t>o</a:t>
          </a:r>
          <a:r>
            <a:rPr lang="en-US" sz="1200" b="1" i="0" u="sng">
              <a:solidFill>
                <a:schemeClr val="dk1"/>
              </a:solidFill>
              <a:effectLst/>
              <a:latin typeface="+mn-lt"/>
              <a:ea typeface="+mn-ea"/>
              <a:cs typeface="Times New Roman" panose="02020603050405020304" pitchFamily="18" charset="0"/>
            </a:rPr>
            <a:t>C.</a:t>
          </a:r>
          <a:r>
            <a:rPr lang="ru-RU" sz="1200" b="1" u="sng">
              <a:solidFill>
                <a:schemeClr val="dk1"/>
              </a:solidFill>
              <a:effectLst/>
              <a:latin typeface="+mn-lt"/>
              <a:ea typeface="+mn-ea"/>
              <a:cs typeface="Times New Roman" panose="02020603050405020304" pitchFamily="18" charset="0"/>
            </a:rPr>
            <a:t>  	</a:t>
          </a:r>
          <a:r>
            <a:rPr lang="en-US" sz="1200" b="1" i="0" u="sng">
              <a:solidFill>
                <a:schemeClr val="dk1"/>
              </a:solidFill>
              <a:effectLst/>
              <a:latin typeface="+mn-lt"/>
              <a:ea typeface="+mn-ea"/>
              <a:cs typeface="Times New Roman" panose="02020603050405020304" pitchFamily="18" charset="0"/>
            </a:rPr>
            <a:t>Rel.dens</a:t>
          </a:r>
          <a:r>
            <a:rPr lang="ru-RU" sz="1200" b="1" i="0" u="sng">
              <a:solidFill>
                <a:schemeClr val="dk1"/>
              </a:solidFill>
              <a:effectLst/>
              <a:latin typeface="+mn-lt"/>
              <a:ea typeface="+mn-ea"/>
              <a:cs typeface="Times New Roman" panose="02020603050405020304" pitchFamily="18" charset="0"/>
            </a:rPr>
            <a:t> </a:t>
          </a:r>
          <a:r>
            <a:rPr lang="en-US" sz="1200" b="1" i="0" u="sng">
              <a:solidFill>
                <a:schemeClr val="dk1"/>
              </a:solidFill>
              <a:effectLst/>
              <a:latin typeface="+mn-lt"/>
              <a:ea typeface="+mn-ea"/>
              <a:cs typeface="Times New Roman" panose="02020603050405020304" pitchFamily="18" charset="0"/>
            </a:rPr>
            <a:t>60/60</a:t>
          </a:r>
          <a:r>
            <a:rPr lang="en-US" sz="1200" b="1" i="0" u="sng" baseline="30000">
              <a:solidFill>
                <a:schemeClr val="dk1"/>
              </a:solidFill>
              <a:effectLst/>
              <a:latin typeface="+mn-lt"/>
              <a:ea typeface="+mn-ea"/>
              <a:cs typeface="Times New Roman" panose="02020603050405020304" pitchFamily="18" charset="0"/>
            </a:rPr>
            <a:t>o</a:t>
          </a:r>
          <a:r>
            <a:rPr lang="en-US" sz="1200" b="1" i="0" u="sng">
              <a:solidFill>
                <a:schemeClr val="dk1"/>
              </a:solidFill>
              <a:effectLst/>
              <a:latin typeface="+mn-lt"/>
              <a:ea typeface="+mn-ea"/>
              <a:cs typeface="Times New Roman" panose="02020603050405020304" pitchFamily="18" charset="0"/>
            </a:rPr>
            <a:t>F. </a:t>
          </a:r>
          <a:r>
            <a:rPr lang="ru-RU" sz="1200" b="1" u="sng">
              <a:solidFill>
                <a:schemeClr val="dk1"/>
              </a:solidFill>
              <a:effectLst/>
              <a:latin typeface="+mn-lt"/>
              <a:ea typeface="+mn-ea"/>
              <a:cs typeface="Times New Roman" panose="02020603050405020304" pitchFamily="18" charset="0"/>
            </a:rPr>
            <a:t> 	</a:t>
          </a:r>
          <a:r>
            <a:rPr lang="en-US" sz="1200" b="1" i="0" u="sng">
              <a:solidFill>
                <a:schemeClr val="dk1"/>
              </a:solidFill>
              <a:effectLst/>
              <a:latin typeface="+mn-lt"/>
              <a:ea typeface="+mn-ea"/>
              <a:cs typeface="Times New Roman" panose="02020603050405020304" pitchFamily="18" charset="0"/>
            </a:rPr>
            <a:t>API gravity</a:t>
          </a:r>
          <a:r>
            <a:rPr lang="ru-RU" sz="1200" b="1" u="sng">
              <a:solidFill>
                <a:schemeClr val="dk1"/>
              </a:solidFill>
              <a:effectLst/>
              <a:latin typeface="+mn-lt"/>
              <a:ea typeface="+mn-ea"/>
              <a:cs typeface="Times New Roman" panose="02020603050405020304" pitchFamily="18" charset="0"/>
            </a:rPr>
            <a:t>     </a:t>
          </a:r>
          <a:r>
            <a:rPr lang="en-US" sz="1200" b="1" i="0" u="sng">
              <a:solidFill>
                <a:schemeClr val="dk1"/>
              </a:solidFill>
              <a:effectLst/>
              <a:latin typeface="+mn-lt"/>
              <a:ea typeface="+mn-ea"/>
              <a:cs typeface="Times New Roman" panose="02020603050405020304" pitchFamily="18" charset="0"/>
            </a:rPr>
            <a:t> </a:t>
          </a:r>
          <a:r>
            <a:rPr lang="ru-RU" sz="1200" b="1" u="sng">
              <a:solidFill>
                <a:schemeClr val="dk1"/>
              </a:solidFill>
              <a:effectLst/>
              <a:latin typeface="+mn-lt"/>
              <a:ea typeface="+mn-ea"/>
              <a:cs typeface="Times New Roman" panose="02020603050405020304" pitchFamily="18" charset="0"/>
            </a:rPr>
            <a:t> </a:t>
          </a:r>
          <a:r>
            <a:rPr lang="en-US" sz="1200" b="1" i="0" u="sng">
              <a:solidFill>
                <a:schemeClr val="dk1"/>
              </a:solidFill>
              <a:effectLst/>
              <a:latin typeface="+mn-lt"/>
              <a:ea typeface="+mn-ea"/>
              <a:cs typeface="Times New Roman" panose="02020603050405020304" pitchFamily="18" charset="0"/>
            </a:rPr>
            <a:t> </a:t>
          </a:r>
          <a:r>
            <a:rPr lang="ru-RU" sz="1200" b="1" u="sng">
              <a:solidFill>
                <a:schemeClr val="dk1"/>
              </a:solidFill>
              <a:effectLst/>
              <a:latin typeface="+mn-lt"/>
              <a:ea typeface="+mn-ea"/>
              <a:cs typeface="Times New Roman" panose="02020603050405020304" pitchFamily="18" charset="0"/>
            </a:rPr>
            <a:t> </a:t>
          </a:r>
        </a:p>
        <a:p>
          <a:r>
            <a:rPr lang="ru-RU" sz="1200" b="1" i="0" u="sng">
              <a:solidFill>
                <a:schemeClr val="dk1"/>
              </a:solidFill>
              <a:effectLst/>
              <a:latin typeface="+mn-lt"/>
              <a:ea typeface="+mn-ea"/>
              <a:cs typeface="Times New Roman" panose="02020603050405020304" pitchFamily="18" charset="0"/>
            </a:rPr>
            <a:t>			</a:t>
          </a:r>
          <a:r>
            <a:rPr lang="en-US" sz="1200" b="1" i="0" u="sng">
              <a:solidFill>
                <a:schemeClr val="dk1"/>
              </a:solidFill>
              <a:effectLst/>
              <a:latin typeface="+mn-lt"/>
              <a:ea typeface="+mn-ea"/>
              <a:cs typeface="Times New Roman" panose="02020603050405020304" pitchFamily="18" charset="0"/>
            </a:rPr>
            <a:t>A.S.T.M table 51</a:t>
          </a:r>
          <a:r>
            <a:rPr lang="ru-RU" sz="1200" b="1" u="sng">
              <a:solidFill>
                <a:schemeClr val="dk1"/>
              </a:solidFill>
              <a:effectLst/>
              <a:latin typeface="+mn-lt"/>
              <a:ea typeface="+mn-ea"/>
              <a:cs typeface="Times New Roman" panose="02020603050405020304" pitchFamily="18" charset="0"/>
            </a:rPr>
            <a:t> 	</a:t>
          </a:r>
          <a:r>
            <a:rPr lang="en-US" sz="1200" b="1" i="0" u="sng">
              <a:solidFill>
                <a:schemeClr val="dk1"/>
              </a:solidFill>
              <a:effectLst/>
              <a:latin typeface="+mn-lt"/>
              <a:ea typeface="+mn-ea"/>
              <a:cs typeface="Times New Roman" panose="02020603050405020304" pitchFamily="18" charset="0"/>
            </a:rPr>
            <a:t>A.S.T.M table 51</a:t>
          </a:r>
          <a:endParaRPr lang="ru-RU" sz="1200" b="1" i="0" u="sng" strike="noStrike">
            <a:effectLst/>
            <a:latin typeface="+mn-lt"/>
            <a:cs typeface="Times New Roman" panose="02020603050405020304" pitchFamily="18" charset="0"/>
          </a:endParaRPr>
        </a:p>
        <a:p>
          <a:r>
            <a:rPr lang="en-US" sz="1200" b="1" i="0" u="none" strike="noStrike">
              <a:effectLst/>
              <a:latin typeface="+mn-lt"/>
              <a:cs typeface="Times New Roman" panose="02020603050405020304" pitchFamily="18" charset="0"/>
            </a:rPr>
            <a:t>53 A</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0.8451</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0.8455</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35.85</a:t>
          </a:r>
          <a:r>
            <a:rPr lang="ru-RU" sz="1200">
              <a:effectLst/>
              <a:latin typeface="+mn-lt"/>
              <a:cs typeface="Times New Roman" panose="02020603050405020304" pitchFamily="18" charset="0"/>
            </a:rPr>
            <a:t> </a:t>
          </a:r>
        </a:p>
        <a:p>
          <a:r>
            <a:rPr lang="en-US" sz="1200" b="1" i="0" u="none" strike="noStrike">
              <a:effectLst/>
              <a:latin typeface="+mn-lt"/>
              <a:cs typeface="Times New Roman" panose="02020603050405020304" pitchFamily="18" charset="0"/>
            </a:rPr>
            <a:t>53 B</a:t>
          </a:r>
          <a:r>
            <a:rPr lang="ru-RU" sz="1200" b="1">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0.8449</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0.8453</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35.89</a:t>
          </a:r>
          <a:r>
            <a:rPr lang="ru-RU" sz="1200">
              <a:effectLst/>
              <a:latin typeface="+mn-lt"/>
              <a:cs typeface="Times New Roman" panose="02020603050405020304" pitchFamily="18" charset="0"/>
            </a:rPr>
            <a:t> </a:t>
          </a:r>
        </a:p>
        <a:p>
          <a:r>
            <a:rPr lang="en-US" sz="1200" b="1" i="0" u="none" strike="noStrike">
              <a:effectLst/>
              <a:latin typeface="+mn-lt"/>
              <a:cs typeface="Times New Roman" panose="02020603050405020304" pitchFamily="18" charset="0"/>
            </a:rPr>
            <a:t>53 D</a:t>
          </a:r>
          <a:r>
            <a:rPr lang="ru-RU" sz="1200" b="1">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0.8441</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0.8445</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36.09</a:t>
          </a:r>
          <a:r>
            <a:rPr lang="ru-RU" sz="1200">
              <a:effectLst/>
              <a:latin typeface="+mn-lt"/>
              <a:cs typeface="Times New Roman" panose="02020603050405020304" pitchFamily="18" charset="0"/>
            </a:rPr>
            <a:t> </a:t>
          </a:r>
        </a:p>
        <a:p>
          <a:r>
            <a:rPr lang="en-US" sz="1200" b="1" i="0" u="none" strike="noStrike">
              <a:effectLst/>
              <a:latin typeface="+mn-lt"/>
              <a:cs typeface="Times New Roman" panose="02020603050405020304" pitchFamily="18" charset="0"/>
            </a:rPr>
            <a:t>53</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0.8447</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0.8451</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35.93</a:t>
          </a:r>
          <a:r>
            <a:rPr lang="ru-RU" sz="1200">
              <a:effectLst/>
              <a:latin typeface="+mn-lt"/>
              <a:cs typeface="Times New Roman" panose="02020603050405020304" pitchFamily="18" charset="0"/>
            </a:rPr>
            <a:t> </a:t>
          </a:r>
        </a:p>
        <a:p>
          <a:r>
            <a:rPr lang="en-US" sz="1200" b="0" i="0" u="none" strike="noStrike">
              <a:effectLst/>
              <a:latin typeface="+mn-lt"/>
              <a:cs typeface="Times New Roman" panose="02020603050405020304" pitchFamily="18" charset="0"/>
            </a:rPr>
            <a:t>Gost Den.20/4 = 0.8416 corr./</a:t>
          </a:r>
          <a:r>
            <a:rPr lang="en-US" sz="1200" b="0" i="0" u="none" strike="noStrike" baseline="30000">
              <a:effectLst/>
              <a:latin typeface="+mn-lt"/>
              <a:cs typeface="Times New Roman" panose="02020603050405020304" pitchFamily="18" charset="0"/>
            </a:rPr>
            <a:t>o</a:t>
          </a:r>
          <a:r>
            <a:rPr lang="en-US" sz="1200" b="0" i="0" u="none" strike="noStrike">
              <a:effectLst/>
              <a:latin typeface="+mn-lt"/>
              <a:cs typeface="Times New Roman" panose="02020603050405020304" pitchFamily="18" charset="0"/>
            </a:rPr>
            <a:t>C = 0.000712 = 0.8452 at 15/4 </a:t>
          </a:r>
          <a:r>
            <a:rPr lang="en-US" sz="1200" b="0" i="0" u="none" strike="noStrike" baseline="30000">
              <a:effectLst/>
              <a:latin typeface="+mn-lt"/>
              <a:cs typeface="Times New Roman" panose="02020603050405020304" pitchFamily="18" charset="0"/>
            </a:rPr>
            <a:t>o</a:t>
          </a:r>
          <a:r>
            <a:rPr lang="en-US" sz="1200" b="0" i="0" u="none" strike="noStrike">
              <a:effectLst/>
              <a:latin typeface="+mn-lt"/>
              <a:cs typeface="Times New Roman" panose="02020603050405020304" pitchFamily="18" charset="0"/>
            </a:rPr>
            <a:t>C.</a:t>
          </a:r>
          <a:r>
            <a:rPr lang="ru-RU" sz="1200">
              <a:effectLst/>
              <a:latin typeface="+mn-lt"/>
              <a:cs typeface="Times New Roman" panose="02020603050405020304" pitchFamily="18" charset="0"/>
            </a:rPr>
            <a:t> </a:t>
          </a:r>
          <a:endParaRPr lang="en-US" sz="1200">
            <a:latin typeface="+mn-lt"/>
            <a:cs typeface="Times New Roman" panose="02020603050405020304" pitchFamily="18" charset="0"/>
          </a:endParaRPr>
        </a:p>
        <a:p>
          <a:endParaRPr lang="en-US" sz="1000">
            <a:latin typeface="+mn-lt"/>
            <a:cs typeface="Arial" panose="020B0604020202020204" pitchFamily="34" charset="0"/>
          </a:endParaRPr>
        </a:p>
        <a:p>
          <a:endParaRPr lang="ru-RU" sz="1200">
            <a:effectLst/>
            <a:latin typeface="+mn-lt"/>
            <a:ea typeface="Times New Roman" panose="02020603050405020304" pitchFamily="18" charset="0"/>
          </a:endParaRPr>
        </a:p>
        <a:p>
          <a:r>
            <a:rPr lang="en-US" sz="1200">
              <a:effectLst/>
              <a:latin typeface="+mn-lt"/>
              <a:ea typeface="Times New Roman" panose="02020603050405020304" pitchFamily="18" charset="0"/>
            </a:rPr>
            <a:t>The volume correction factors will be looked for in the appropiate table. As equivalent for 25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C. we use 77</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a:t>
          </a:r>
          <a:endParaRPr lang="ru-RU" sz="1200">
            <a:effectLst/>
            <a:latin typeface="+mn-lt"/>
            <a:ea typeface="Times New Roman" panose="02020603050405020304" pitchFamily="18" charset="0"/>
          </a:endParaRPr>
        </a:p>
        <a:p>
          <a:endParaRPr lang="en-US" sz="600">
            <a:latin typeface="+mn-lt"/>
            <a:cs typeface="Arial" panose="020B0604020202020204" pitchFamily="34" charset="0"/>
          </a:endParaRPr>
        </a:p>
        <a:p>
          <a:r>
            <a:rPr lang="en-US" sz="1100" b="1" i="0" u="sng" strike="noStrike">
              <a:solidFill>
                <a:schemeClr val="dk1"/>
              </a:solidFill>
              <a:effectLst/>
              <a:latin typeface="+mn-lt"/>
              <a:ea typeface="+mn-ea"/>
              <a:cs typeface="+mn-cs"/>
            </a:rPr>
            <a:t> </a:t>
          </a:r>
          <a:r>
            <a:rPr lang="ru-RU" sz="1000" b="1" u="sng">
              <a:effectLst/>
              <a:latin typeface="+mn-lt"/>
            </a:rPr>
            <a:t> 	</a:t>
          </a:r>
          <a:r>
            <a:rPr lang="en-US" sz="1200" b="1" i="0" u="sng" strike="noStrike">
              <a:solidFill>
                <a:schemeClr val="dk1"/>
              </a:solidFill>
              <a:effectLst/>
              <a:latin typeface="+mn-lt"/>
              <a:ea typeface="+mn-ea"/>
              <a:cs typeface="Times New Roman" panose="02020603050405020304" pitchFamily="18" charset="0"/>
            </a:rPr>
            <a:t>54A</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54B</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54D</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54</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6A</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6B</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24A</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24B</a:t>
          </a:r>
          <a:r>
            <a:rPr lang="ru-RU" sz="1200" b="1" i="0" u="sng" strike="noStrike">
              <a:solidFill>
                <a:schemeClr val="dk1"/>
              </a:solidFill>
              <a:effectLst/>
              <a:latin typeface="+mn-lt"/>
              <a:ea typeface="+mn-ea"/>
              <a:cs typeface="Times New Roman" panose="02020603050405020304" pitchFamily="18" charset="0"/>
            </a:rPr>
            <a:t>    </a:t>
          </a:r>
          <a:r>
            <a:rPr lang="ru-RU" sz="1200" b="1" u="sng">
              <a:effectLst/>
              <a:latin typeface="+mn-lt"/>
              <a:cs typeface="Times New Roman" panose="02020603050405020304" pitchFamily="18" charset="0"/>
            </a:rPr>
            <a:t> </a:t>
          </a:r>
        </a:p>
        <a:p>
          <a:r>
            <a:rPr lang="en-US" sz="1200" b="1" i="0" u="sng" strike="noStrike">
              <a:solidFill>
                <a:schemeClr val="dk1"/>
              </a:solidFill>
              <a:effectLst/>
              <a:latin typeface="+mn-lt"/>
              <a:ea typeface="+mn-ea"/>
              <a:cs typeface="Times New Roman" panose="02020603050405020304" pitchFamily="18" charset="0"/>
            </a:rPr>
            <a:t>25</a:t>
          </a:r>
          <a:r>
            <a:rPr lang="en-US" sz="1200" b="1" i="0" u="sng" strike="noStrike" baseline="30000">
              <a:solidFill>
                <a:schemeClr val="dk1"/>
              </a:solidFill>
              <a:effectLst/>
              <a:latin typeface="+mn-lt"/>
              <a:ea typeface="+mn-ea"/>
              <a:cs typeface="Times New Roman" panose="02020603050405020304" pitchFamily="18" charset="0"/>
            </a:rPr>
            <a:t>o</a:t>
          </a:r>
          <a:r>
            <a:rPr lang="en-US" sz="1200" b="1" i="0" u="sng" strike="noStrike">
              <a:solidFill>
                <a:schemeClr val="dk1"/>
              </a:solidFill>
              <a:effectLst/>
              <a:latin typeface="+mn-lt"/>
              <a:ea typeface="+mn-ea"/>
              <a:cs typeface="Times New Roman" panose="02020603050405020304" pitchFamily="18" charset="0"/>
            </a:rPr>
            <a:t>C</a:t>
          </a:r>
          <a:r>
            <a:rPr lang="en-US" sz="1200" b="0" i="0" u="sng" strike="noStrike">
              <a:solidFill>
                <a:schemeClr val="dk1"/>
              </a:solidFill>
              <a:effectLst/>
              <a:latin typeface="+mn-lt"/>
              <a:ea typeface="+mn-ea"/>
              <a:cs typeface="Times New Roman" panose="02020603050405020304" pitchFamily="18" charset="0"/>
            </a:rPr>
            <a:t>.</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0.9914</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0.9916</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0.9925</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0.992</a:t>
          </a:r>
          <a:r>
            <a:rPr lang="ru-RU" sz="1200" b="0" i="0" u="sng" strike="noStrike">
              <a:solidFill>
                <a:schemeClr val="dk1"/>
              </a:solidFill>
              <a:effectLst/>
              <a:latin typeface="+mn-lt"/>
              <a:ea typeface="+mn-ea"/>
              <a:cs typeface="Times New Roman" panose="02020603050405020304" pitchFamily="18" charset="0"/>
            </a:rPr>
            <a:t>				</a:t>
          </a:r>
          <a:r>
            <a:rPr lang="ru-RU" sz="1200" b="0" i="0" u="sng" strike="noStrike" baseline="0">
              <a:solidFill>
                <a:schemeClr val="dk1"/>
              </a:solidFill>
              <a:effectLst/>
              <a:latin typeface="+mn-lt"/>
              <a:ea typeface="+mn-ea"/>
              <a:cs typeface="Times New Roman" panose="02020603050405020304" pitchFamily="18" charset="0"/>
            </a:rPr>
            <a:t>         </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 </a:t>
          </a:r>
          <a:r>
            <a:rPr lang="ru-RU" sz="1200" u="sng">
              <a:effectLst/>
              <a:latin typeface="+mn-lt"/>
              <a:cs typeface="Times New Roman" panose="02020603050405020304" pitchFamily="18" charset="0"/>
            </a:rPr>
            <a:t> </a:t>
          </a:r>
        </a:p>
        <a:p>
          <a:r>
            <a:rPr lang="en-US" sz="1200" b="1" i="0" u="sng" strike="noStrike">
              <a:solidFill>
                <a:schemeClr val="dk1"/>
              </a:solidFill>
              <a:effectLst/>
              <a:latin typeface="+mn-lt"/>
              <a:ea typeface="+mn-ea"/>
              <a:cs typeface="Times New Roman" panose="02020603050405020304" pitchFamily="18" charset="0"/>
            </a:rPr>
            <a:t>77</a:t>
          </a:r>
          <a:r>
            <a:rPr lang="en-US" sz="1200" b="1" i="0" u="sng" strike="noStrike" baseline="30000">
              <a:solidFill>
                <a:schemeClr val="dk1"/>
              </a:solidFill>
              <a:effectLst/>
              <a:latin typeface="+mn-lt"/>
              <a:ea typeface="+mn-ea"/>
              <a:cs typeface="Times New Roman" panose="02020603050405020304" pitchFamily="18" charset="0"/>
            </a:rPr>
            <a:t>o</a:t>
          </a:r>
          <a:r>
            <a:rPr lang="en-US" sz="1200" b="1" i="0" u="sng" strike="noStrike">
              <a:solidFill>
                <a:schemeClr val="dk1"/>
              </a:solidFill>
              <a:effectLst/>
              <a:latin typeface="+mn-lt"/>
              <a:ea typeface="+mn-ea"/>
              <a:cs typeface="Times New Roman" panose="02020603050405020304" pitchFamily="18" charset="0"/>
            </a:rPr>
            <a:t>F</a:t>
          </a:r>
          <a:r>
            <a:rPr lang="en-US" sz="1200" b="0" i="0" u="sng" strike="noStrike">
              <a:solidFill>
                <a:schemeClr val="dk1"/>
              </a:solidFill>
              <a:effectLst/>
              <a:latin typeface="+mn-lt"/>
              <a:ea typeface="+mn-ea"/>
              <a:cs typeface="Times New Roman" panose="02020603050405020304" pitchFamily="18" charset="0"/>
            </a:rPr>
            <a:t>.</a:t>
          </a:r>
          <a:r>
            <a:rPr lang="ru-RU" sz="1200" b="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 </a:t>
          </a:r>
          <a:r>
            <a:rPr lang="ru-RU" sz="1200" b="0"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 </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 </a:t>
          </a:r>
          <a:r>
            <a:rPr lang="ru-RU" sz="1200" b="1" u="sng">
              <a:effectLst/>
              <a:latin typeface="+mn-lt"/>
              <a:cs typeface="Times New Roman" panose="02020603050405020304" pitchFamily="18" charset="0"/>
            </a:rPr>
            <a:t> </a:t>
          </a:r>
          <a:r>
            <a:rPr lang="en-US" sz="1200" b="1" i="0" u="sng" strike="noStrike">
              <a:solidFill>
                <a:schemeClr val="dk1"/>
              </a:solidFill>
              <a:effectLst/>
              <a:latin typeface="+mn-lt"/>
              <a:ea typeface="+mn-ea"/>
              <a:cs typeface="Times New Roman" panose="02020603050405020304" pitchFamily="18" charset="0"/>
            </a:rPr>
            <a:t> </a:t>
          </a:r>
          <a:r>
            <a:rPr lang="ru-RU" sz="1200" b="1" u="sng">
              <a:effectLst/>
              <a:latin typeface="+mn-lt"/>
              <a:cs typeface="Times New Roman" panose="02020603050405020304" pitchFamily="18" charset="0"/>
            </a:rPr>
            <a:t> </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0.9918</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0.9921</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0.9919</a:t>
          </a:r>
          <a:r>
            <a:rPr lang="ru-RU" sz="1200" u="sng">
              <a:effectLst/>
              <a:latin typeface="+mn-lt"/>
              <a:cs typeface="Times New Roman" panose="02020603050405020304" pitchFamily="18" charset="0"/>
            </a:rPr>
            <a:t> 	</a:t>
          </a:r>
          <a:r>
            <a:rPr lang="en-US" sz="1200" b="0" i="0" u="sng" strike="noStrike">
              <a:solidFill>
                <a:schemeClr val="dk1"/>
              </a:solidFill>
              <a:effectLst/>
              <a:latin typeface="+mn-lt"/>
              <a:ea typeface="+mn-ea"/>
              <a:cs typeface="Times New Roman" panose="02020603050405020304" pitchFamily="18" charset="0"/>
            </a:rPr>
            <a:t>0.9921</a:t>
          </a:r>
          <a:r>
            <a:rPr lang="ru-RU" sz="1200">
              <a:effectLst/>
              <a:latin typeface="+mn-lt"/>
              <a:cs typeface="Times New Roman" panose="02020603050405020304" pitchFamily="18" charset="0"/>
            </a:rPr>
            <a:t> </a:t>
          </a:r>
          <a:endParaRPr lang="en-US" sz="1200">
            <a:latin typeface="+mn-lt"/>
            <a:cs typeface="Times New Roman" panose="02020603050405020304" pitchFamily="18" charset="0"/>
          </a:endParaRPr>
        </a:p>
        <a:p>
          <a:endParaRPr lang="en-US" sz="1000">
            <a:latin typeface="+mn-lt"/>
            <a:cs typeface="Arial" panose="020B0604020202020204" pitchFamily="34" charset="0"/>
          </a:endParaRPr>
        </a:p>
        <a:p>
          <a:endParaRPr lang="en-US" sz="1000">
            <a:latin typeface="Arial" panose="020B0604020202020204" pitchFamily="34" charset="0"/>
            <a:cs typeface="Arial" panose="020B0604020202020204" pitchFamily="34" charset="0"/>
          </a:endParaRPr>
        </a:p>
        <a:p>
          <a:r>
            <a:rPr lang="ru-RU" sz="1400" b="1">
              <a:effectLst/>
              <a:latin typeface="+mn-lt"/>
              <a:ea typeface="Times New Roman" panose="02020603050405020304" pitchFamily="18" charset="0"/>
            </a:rPr>
            <a:t>С</a:t>
          </a:r>
          <a:r>
            <a:rPr lang="en-US" sz="1400" b="1">
              <a:effectLst/>
              <a:latin typeface="+mn-lt"/>
              <a:ea typeface="Times New Roman" panose="02020603050405020304" pitchFamily="18" charset="0"/>
            </a:rPr>
            <a:t>alculations : Metric, Mass</a:t>
          </a: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Conversions : Air, Longtons, Barrels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Gallons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t>
          </a:r>
        </a:p>
        <a:p>
          <a:endParaRPr lang="en-US" sz="600">
            <a:latin typeface="Arial" panose="020B0604020202020204" pitchFamily="34" charset="0"/>
            <a:cs typeface="Arial" panose="020B0604020202020204" pitchFamily="34" charset="0"/>
          </a:endParaRPr>
        </a:p>
        <a:p>
          <a:endParaRPr lang="en-US" sz="6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  </a:t>
          </a:r>
          <a:r>
            <a:rPr lang="ru-RU" sz="1000">
              <a:latin typeface="Arial" panose="020B0604020202020204" pitchFamily="34" charset="0"/>
              <a:cs typeface="Arial" panose="020B0604020202020204" pitchFamily="34" charset="0"/>
            </a:rPr>
            <a:t>			</a:t>
          </a:r>
          <a:r>
            <a:rPr lang="en-US" sz="1000" b="1">
              <a:latin typeface="Arial" panose="020B0604020202020204" pitchFamily="34" charset="0"/>
              <a:cs typeface="Arial" panose="020B0604020202020204" pitchFamily="34" charset="0"/>
            </a:rPr>
            <a:t>Table 54 A </a:t>
          </a:r>
          <a:r>
            <a:rPr lang="ru-RU" sz="1000" b="1">
              <a:latin typeface="Arial" panose="020B0604020202020204" pitchFamily="34" charset="0"/>
              <a:cs typeface="Arial" panose="020B0604020202020204" pitchFamily="34" charset="0"/>
            </a:rPr>
            <a:t>	</a:t>
          </a:r>
          <a:r>
            <a:rPr lang="en-US" sz="1000" b="1">
              <a:latin typeface="Arial" panose="020B0604020202020204" pitchFamily="34" charset="0"/>
              <a:cs typeface="Arial" panose="020B0604020202020204" pitchFamily="34" charset="0"/>
            </a:rPr>
            <a:t>Table 54 B </a:t>
          </a:r>
          <a:endParaRPr lang="ru-RU" sz="1000" b="1">
            <a:latin typeface="Arial" panose="020B0604020202020204" pitchFamily="34" charset="0"/>
            <a:cs typeface="Arial" panose="020B0604020202020204" pitchFamily="34" charset="0"/>
          </a:endParaRPr>
        </a:p>
        <a:p>
          <a:r>
            <a:rPr lang="en-US" sz="1000" b="1">
              <a:latin typeface="Arial" panose="020B0604020202020204" pitchFamily="34" charset="0"/>
              <a:cs typeface="Arial" panose="020B0604020202020204" pitchFamily="34" charset="0"/>
            </a:rPr>
            <a:t>Calculation: </a:t>
          </a:r>
          <a:r>
            <a:rPr lang="en-US" sz="1000">
              <a:latin typeface="Arial" panose="020B0604020202020204" pitchFamily="34" charset="0"/>
              <a:cs typeface="Arial" panose="020B0604020202020204" pitchFamily="34" charset="0"/>
            </a:rPr>
            <a:t>    </a:t>
          </a:r>
          <a:r>
            <a:rPr lang="ru-RU" sz="1000">
              <a:latin typeface="Arial" panose="020B0604020202020204" pitchFamily="34" charset="0"/>
              <a:cs typeface="Arial" panose="020B0604020202020204" pitchFamily="34" charset="0"/>
            </a:rPr>
            <a:t>		</a:t>
          </a:r>
        </a:p>
        <a:p>
          <a:r>
            <a:rPr lang="en-US" sz="1000">
              <a:latin typeface="Arial" panose="020B0604020202020204" pitchFamily="34" charset="0"/>
              <a:cs typeface="Arial" panose="020B0604020202020204" pitchFamily="34" charset="0"/>
            </a:rPr>
            <a:t>Litres at 25</a:t>
          </a:r>
          <a:r>
            <a:rPr lang="ru-RU" sz="1000">
              <a:latin typeface="Arial" panose="020B0604020202020204" pitchFamily="34" charset="0"/>
              <a:cs typeface="Arial" panose="020B0604020202020204" pitchFamily="34" charset="0"/>
            </a:rPr>
            <a:t>°</a:t>
          </a:r>
          <a:r>
            <a:rPr lang="en-US" sz="1000">
              <a:latin typeface="Arial" panose="020B0604020202020204" pitchFamily="34" charset="0"/>
              <a:cs typeface="Arial" panose="020B0604020202020204" pitchFamily="34" charset="0"/>
            </a:rPr>
            <a:t>C.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25,000,000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25,000,000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V.C.F.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0.9914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0.9916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Litres at 15</a:t>
          </a:r>
          <a:r>
            <a:rPr lang="ru-RU" sz="1000">
              <a:latin typeface="Arial" panose="020B0604020202020204" pitchFamily="34" charset="0"/>
              <a:cs typeface="Arial" panose="020B0604020202020204" pitchFamily="34" charset="0"/>
            </a:rPr>
            <a:t>°</a:t>
          </a:r>
          <a:r>
            <a:rPr lang="en-US" sz="1000">
              <a:latin typeface="Arial" panose="020B0604020202020204" pitchFamily="34" charset="0"/>
              <a:cs typeface="Arial" panose="020B0604020202020204" pitchFamily="34" charset="0"/>
            </a:rPr>
            <a:t>C.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24,785,000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24,790,000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Density at 15</a:t>
          </a:r>
          <a:r>
            <a:rPr lang="ru-RU" sz="1100">
              <a:solidFill>
                <a:schemeClr val="dk1"/>
              </a:solidFill>
              <a:effectLst/>
              <a:latin typeface="+mn-lt"/>
              <a:ea typeface="+mn-ea"/>
              <a:cs typeface="+mn-cs"/>
            </a:rPr>
            <a:t>°</a:t>
          </a:r>
          <a:r>
            <a:rPr lang="en-US" sz="1000">
              <a:latin typeface="Arial" panose="020B0604020202020204" pitchFamily="34" charset="0"/>
              <a:cs typeface="Arial" panose="020B0604020202020204" pitchFamily="34" charset="0"/>
            </a:rPr>
            <a:t>C.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0.8451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0.8449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Kilos (vac)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20,945,804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20,945,071 </a:t>
          </a:r>
          <a:endParaRPr lang="ru-RU" sz="1000">
            <a:latin typeface="Arial" panose="020B0604020202020204" pitchFamily="34" charset="0"/>
            <a:cs typeface="Arial" panose="020B0604020202020204" pitchFamily="34" charset="0"/>
          </a:endParaRPr>
        </a:p>
        <a:p>
          <a:r>
            <a:rPr lang="en-US" sz="1000" b="1">
              <a:latin typeface="Arial" panose="020B0604020202020204" pitchFamily="34" charset="0"/>
              <a:cs typeface="Arial" panose="020B0604020202020204" pitchFamily="34" charset="0"/>
            </a:rPr>
            <a:t>Weight Conversions:</a:t>
          </a:r>
          <a:r>
            <a:rPr lang="en-US" sz="1000">
              <a:latin typeface="Arial" panose="020B0604020202020204" pitchFamily="34" charset="0"/>
              <a:cs typeface="Arial" panose="020B0604020202020204" pitchFamily="34" charset="0"/>
            </a:rPr>
            <a:t>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Kilos (vac)</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20,945,804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20,945,071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ASTM Table 56 (short table)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0.99875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0.99875 </a:t>
          </a:r>
          <a:r>
            <a:rPr lang="ru-RU" sz="1000">
              <a:latin typeface="Arial" panose="020B0604020202020204" pitchFamily="34" charset="0"/>
              <a:cs typeface="Arial" panose="020B0604020202020204" pitchFamily="34" charset="0"/>
            </a:rPr>
            <a:t>	</a:t>
          </a:r>
        </a:p>
        <a:p>
          <a:r>
            <a:rPr lang="en-US" sz="1000">
              <a:latin typeface="Arial" panose="020B0604020202020204" pitchFamily="34" charset="0"/>
              <a:cs typeface="Arial" panose="020B0604020202020204" pitchFamily="34" charset="0"/>
            </a:rPr>
            <a:t>Kilos (air)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20,919,622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20,918,890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ASTM Table 1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0.984206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0.98421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Longtons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20,589.22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20,588.50 </a:t>
          </a:r>
          <a:endParaRPr lang="ru-RU" sz="1000">
            <a:latin typeface="Arial" panose="020B0604020202020204" pitchFamily="34" charset="0"/>
            <a:cs typeface="Arial" panose="020B0604020202020204" pitchFamily="34" charset="0"/>
          </a:endParaRPr>
        </a:p>
        <a:p>
          <a:r>
            <a:rPr lang="en-US" sz="1000" b="1">
              <a:latin typeface="Arial" panose="020B0604020202020204" pitchFamily="34" charset="0"/>
              <a:cs typeface="Arial" panose="020B0604020202020204" pitchFamily="34" charset="0"/>
            </a:rPr>
            <a:t>Volume Conversions:</a:t>
          </a:r>
          <a:r>
            <a:rPr lang="en-US" sz="1000">
              <a:latin typeface="Arial" panose="020B0604020202020204" pitchFamily="34" charset="0"/>
              <a:cs typeface="Arial" panose="020B0604020202020204" pitchFamily="34" charset="0"/>
            </a:rPr>
            <a:t>     </a:t>
          </a:r>
          <a:r>
            <a:rPr lang="ru-RU" sz="1000">
              <a:latin typeface="Arial" panose="020B0604020202020204" pitchFamily="34" charset="0"/>
              <a:cs typeface="Arial" panose="020B0604020202020204" pitchFamily="34" charset="0"/>
            </a:rPr>
            <a:t>		</a:t>
          </a:r>
        </a:p>
        <a:p>
          <a:r>
            <a:rPr lang="en-US" sz="1000">
              <a:latin typeface="Arial" panose="020B0604020202020204" pitchFamily="34" charset="0"/>
              <a:cs typeface="Arial" panose="020B0604020202020204" pitchFamily="34" charset="0"/>
            </a:rPr>
            <a:t>Litres at 15</a:t>
          </a:r>
          <a:r>
            <a:rPr lang="ru-RU" sz="1100">
              <a:solidFill>
                <a:schemeClr val="dk1"/>
              </a:solidFill>
              <a:effectLst/>
              <a:latin typeface="+mn-lt"/>
              <a:ea typeface="+mn-ea"/>
              <a:cs typeface="+mn-cs"/>
            </a:rPr>
            <a:t>°</a:t>
          </a:r>
          <a:r>
            <a:rPr lang="en-US" sz="1000">
              <a:latin typeface="Arial" panose="020B0604020202020204" pitchFamily="34" charset="0"/>
              <a:cs typeface="Arial" panose="020B0604020202020204" pitchFamily="34" charset="0"/>
            </a:rPr>
            <a:t>C.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24,785,000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24,790,000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ASTM Table 52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6.293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6.293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US Barrels at 60</a:t>
          </a:r>
          <a:r>
            <a:rPr lang="ru-RU" sz="1100">
              <a:solidFill>
                <a:schemeClr val="dk1"/>
              </a:solidFill>
              <a:effectLst/>
              <a:latin typeface="+mn-lt"/>
              <a:ea typeface="+mn-ea"/>
              <a:cs typeface="+mn-cs"/>
            </a:rPr>
            <a:t>°</a:t>
          </a:r>
          <a:r>
            <a:rPr lang="en-US" sz="1000">
              <a:latin typeface="Arial" panose="020B0604020202020204" pitchFamily="34" charset="0"/>
              <a:cs typeface="Arial" panose="020B0604020202020204" pitchFamily="34" charset="0"/>
            </a:rPr>
            <a:t>F.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155,972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156,003(.47)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ASTM Table 1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42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42 </a:t>
          </a:r>
          <a:endParaRPr lang="ru-RU" sz="100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US Gallons at 60</a:t>
          </a:r>
          <a:r>
            <a:rPr lang="ru-RU" sz="1100">
              <a:solidFill>
                <a:schemeClr val="dk1"/>
              </a:solidFill>
              <a:effectLst/>
              <a:latin typeface="+mn-lt"/>
              <a:ea typeface="+mn-ea"/>
              <a:cs typeface="+mn-cs"/>
            </a:rPr>
            <a:t>°</a:t>
          </a:r>
          <a:r>
            <a:rPr lang="en-US" sz="1000">
              <a:latin typeface="Arial" panose="020B0604020202020204" pitchFamily="34" charset="0"/>
              <a:cs typeface="Arial" panose="020B0604020202020204" pitchFamily="34" charset="0"/>
            </a:rPr>
            <a:t>F.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6,550,824 </a:t>
          </a:r>
          <a:r>
            <a:rPr lang="ru-RU" sz="100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6,552,146 </a:t>
          </a: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r>
            <a:rPr lang="en-US" sz="1400" b="1">
              <a:effectLst/>
              <a:latin typeface="+mn-lt"/>
              <a:ea typeface="Times New Roman" panose="02020603050405020304" pitchFamily="18" charset="0"/>
            </a:rPr>
            <a:t>Calculations : Metric, Air</a:t>
          </a: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Conversions : Vac, Longtons, Barrels 60</a:t>
          </a:r>
          <a:r>
            <a:rPr lang="en-US" sz="1200" baseline="30000">
              <a:effectLst/>
              <a:latin typeface="+mn-lt"/>
              <a:ea typeface="Times New Roman" panose="02020603050405020304" pitchFamily="18" charset="0"/>
            </a:rPr>
            <a:t> o</a:t>
          </a:r>
          <a:r>
            <a:rPr lang="en-US" sz="1200">
              <a:effectLst/>
              <a:latin typeface="+mn-lt"/>
              <a:ea typeface="Times New Roman" panose="02020603050405020304" pitchFamily="18" charset="0"/>
            </a:rPr>
            <a:t>F., Gallons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t>
          </a:r>
        </a:p>
        <a:p>
          <a:endParaRPr lang="en-US" sz="700">
            <a:effectLst/>
            <a:latin typeface="Times New Roman" panose="02020603050405020304" pitchFamily="18" charset="0"/>
            <a:cs typeface="Arial" panose="020B0604020202020204" pitchFamily="34" charset="0"/>
          </a:endParaRPr>
        </a:p>
        <a:p>
          <a:r>
            <a:rPr lang="en-US" sz="1200" b="0" i="0" u="none" strike="noStrike">
              <a:solidFill>
                <a:srgbClr val="000000"/>
              </a:solidFill>
              <a:effectLst/>
              <a:latin typeface="+mn-lt"/>
              <a:cs typeface="Arial" panose="020B0604020202020204" pitchFamily="34" charset="0"/>
            </a:rPr>
            <a:t> </a:t>
          </a:r>
          <a:r>
            <a:rPr lang="ru-RU" sz="1200">
              <a:effectLst/>
              <a:latin typeface="+mn-lt"/>
              <a:cs typeface="Arial" panose="020B0604020202020204" pitchFamily="34" charset="0"/>
            </a:rPr>
            <a:t> 			</a:t>
          </a:r>
          <a:r>
            <a:rPr lang="en-US" sz="1200" b="1" i="0" u="none" strike="noStrike">
              <a:effectLst/>
              <a:latin typeface="+mn-lt"/>
              <a:cs typeface="Arial" panose="020B0604020202020204" pitchFamily="34" charset="0"/>
            </a:rPr>
            <a:t>Table 54 A</a:t>
          </a:r>
          <a:r>
            <a:rPr lang="ru-RU" sz="1200" b="1">
              <a:effectLst/>
              <a:latin typeface="+mn-lt"/>
              <a:cs typeface="Arial" panose="020B0604020202020204" pitchFamily="34" charset="0"/>
            </a:rPr>
            <a:t> 	</a:t>
          </a:r>
          <a:r>
            <a:rPr lang="en-US" sz="1200" b="1" i="0" u="none" strike="noStrike">
              <a:effectLst/>
              <a:latin typeface="+mn-lt"/>
              <a:cs typeface="Arial" panose="020B0604020202020204" pitchFamily="34" charset="0"/>
            </a:rPr>
            <a:t>Table 54 B</a:t>
          </a:r>
          <a:r>
            <a:rPr lang="ru-RU" sz="1200" b="1">
              <a:effectLst/>
              <a:latin typeface="+mn-lt"/>
              <a:cs typeface="Arial" panose="020B0604020202020204" pitchFamily="34" charset="0"/>
            </a:rPr>
            <a:t> </a:t>
          </a:r>
        </a:p>
        <a:p>
          <a:r>
            <a:rPr lang="en-US" sz="1200" b="1" i="0" u="none" strike="noStrike">
              <a:effectLst/>
              <a:latin typeface="+mn-lt"/>
              <a:cs typeface="Arial" panose="020B0604020202020204" pitchFamily="34" charset="0"/>
            </a:rPr>
            <a:t>Calculation</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p>
        <a:p>
          <a:r>
            <a:rPr lang="ru-RU" sz="1200" b="0" i="0" u="none" strike="noStrike">
              <a:effectLst/>
              <a:latin typeface="+mn-lt"/>
              <a:cs typeface="Arial" panose="020B0604020202020204" pitchFamily="34" charset="0"/>
            </a:rPr>
            <a:t>Litres at 25</a:t>
          </a:r>
          <a:r>
            <a:rPr lang="ru-RU" sz="1200" b="0" i="0" u="none" strike="noStrike" baseline="30000">
              <a:effectLst/>
              <a:latin typeface="+mn-lt"/>
              <a:cs typeface="Arial" panose="020B0604020202020204" pitchFamily="34" charset="0"/>
            </a:rPr>
            <a:t>o</a:t>
          </a:r>
          <a:r>
            <a:rPr lang="ru-RU" sz="1200" b="0" i="0" u="none" strike="noStrike">
              <a:effectLst/>
              <a:latin typeface="+mn-lt"/>
              <a:cs typeface="Arial" panose="020B0604020202020204" pitchFamily="34" charset="0"/>
            </a:rPr>
            <a:t>C.</a:t>
          </a:r>
          <a:r>
            <a:rPr lang="ru-RU" sz="1200">
              <a:effectLst/>
              <a:latin typeface="+mn-lt"/>
              <a:cs typeface="Arial" panose="020B0604020202020204" pitchFamily="34" charset="0"/>
            </a:rPr>
            <a:t> 			</a:t>
          </a:r>
          <a:r>
            <a:rPr lang="en-US" sz="1200" b="0" i="0" u="none" strike="noStrike">
              <a:effectLst/>
              <a:latin typeface="+mn-lt"/>
              <a:cs typeface="Arial" panose="020B0604020202020204" pitchFamily="34" charset="0"/>
            </a:rPr>
            <a:t>25,000,000</a:t>
          </a:r>
          <a:r>
            <a:rPr lang="ru-RU" sz="1200">
              <a:effectLst/>
              <a:latin typeface="+mn-lt"/>
              <a:cs typeface="Arial" panose="020B0604020202020204" pitchFamily="34" charset="0"/>
            </a:rPr>
            <a:t> 	</a:t>
          </a:r>
          <a:r>
            <a:rPr lang="en-US" sz="1200" b="0" i="0" u="none" strike="noStrike">
              <a:effectLst/>
              <a:latin typeface="+mn-lt"/>
              <a:cs typeface="Arial" panose="020B0604020202020204" pitchFamily="34" charset="0"/>
            </a:rPr>
            <a:t>25,000,000</a:t>
          </a:r>
          <a:r>
            <a:rPr lang="ru-RU" sz="1200">
              <a:effectLst/>
              <a:latin typeface="+mn-lt"/>
              <a:cs typeface="Arial" panose="020B0604020202020204" pitchFamily="34" charset="0"/>
            </a:rPr>
            <a:t> </a:t>
          </a:r>
        </a:p>
        <a:p>
          <a:r>
            <a:rPr lang="ru-RU" sz="1200" b="0" i="0" u="none" strike="noStrike">
              <a:effectLst/>
              <a:latin typeface="+mn-lt"/>
              <a:cs typeface="Arial" panose="020B0604020202020204" pitchFamily="34" charset="0"/>
            </a:rPr>
            <a:t>V.C.F.</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0.9914</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0.9916</a:t>
          </a:r>
          <a:r>
            <a:rPr lang="ru-RU" sz="1200">
              <a:effectLst/>
              <a:latin typeface="+mn-lt"/>
              <a:cs typeface="Arial" panose="020B0604020202020204" pitchFamily="34" charset="0"/>
            </a:rPr>
            <a:t> </a:t>
          </a:r>
        </a:p>
        <a:p>
          <a:r>
            <a:rPr lang="ru-RU" sz="1200" b="0" i="0" u="none" strike="noStrike">
              <a:effectLst/>
              <a:latin typeface="+mn-lt"/>
              <a:cs typeface="Arial" panose="020B0604020202020204" pitchFamily="34" charset="0"/>
            </a:rPr>
            <a:t>Litres at 15</a:t>
          </a:r>
          <a:r>
            <a:rPr lang="ru-RU" sz="1200" b="0" i="0" u="none" strike="noStrike" baseline="30000">
              <a:effectLst/>
              <a:latin typeface="+mn-lt"/>
              <a:cs typeface="Arial" panose="020B0604020202020204" pitchFamily="34" charset="0"/>
            </a:rPr>
            <a:t>o</a:t>
          </a:r>
          <a:r>
            <a:rPr lang="ru-RU" sz="1200" b="0" i="0" u="none" strike="noStrike">
              <a:effectLst/>
              <a:latin typeface="+mn-lt"/>
              <a:cs typeface="Arial" panose="020B0604020202020204" pitchFamily="34" charset="0"/>
            </a:rPr>
            <a:t>C.</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24,785,000</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24,790,000</a:t>
          </a:r>
          <a:r>
            <a:rPr lang="ru-RU" sz="1200">
              <a:effectLst/>
              <a:latin typeface="+mn-lt"/>
              <a:cs typeface="Arial" panose="020B0604020202020204" pitchFamily="34" charset="0"/>
            </a:rPr>
            <a:t> </a:t>
          </a:r>
        </a:p>
        <a:p>
          <a:r>
            <a:rPr lang="ru-RU" sz="1200" b="0" i="0" u="none" strike="noStrike">
              <a:effectLst/>
              <a:latin typeface="+mn-lt"/>
              <a:cs typeface="Arial" panose="020B0604020202020204" pitchFamily="34" charset="0"/>
            </a:rPr>
            <a:t>W.C.F. ASTM Table 56 (Main table)</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0.844</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0.8438</a:t>
          </a:r>
          <a:r>
            <a:rPr lang="ru-RU" sz="1200">
              <a:effectLst/>
              <a:latin typeface="+mn-lt"/>
              <a:cs typeface="Arial" panose="020B0604020202020204" pitchFamily="34" charset="0"/>
            </a:rPr>
            <a:t> </a:t>
          </a:r>
        </a:p>
        <a:p>
          <a:r>
            <a:rPr lang="ru-RU" sz="1200" b="0" i="0" u="none" strike="noStrike">
              <a:effectLst/>
              <a:latin typeface="+mn-lt"/>
              <a:cs typeface="Arial" panose="020B0604020202020204" pitchFamily="34" charset="0"/>
            </a:rPr>
            <a:t>Kilos (air)</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23,918,540</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20,917,802</a:t>
          </a:r>
          <a:r>
            <a:rPr lang="ru-RU" sz="1200">
              <a:effectLst/>
              <a:latin typeface="+mn-lt"/>
              <a:cs typeface="Arial" panose="020B0604020202020204" pitchFamily="34" charset="0"/>
            </a:rPr>
            <a:t> </a:t>
          </a:r>
        </a:p>
        <a:p>
          <a:r>
            <a:rPr lang="ru-RU" sz="1200" b="1" i="0" u="none" strike="noStrike">
              <a:effectLst/>
              <a:latin typeface="+mn-lt"/>
              <a:cs typeface="Arial" panose="020B0604020202020204" pitchFamily="34" charset="0"/>
            </a:rPr>
            <a:t>Weight Conversions</a:t>
          </a:r>
          <a:r>
            <a:rPr lang="ru-RU" sz="1200" b="0" i="0" u="none" strike="noStrike">
              <a:effectLst/>
              <a:latin typeface="+mn-lt"/>
              <a:cs typeface="Arial" panose="020B0604020202020204" pitchFamily="34" charset="0"/>
            </a:rPr>
            <a:t>:</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p>
        <a:p>
          <a:r>
            <a:rPr lang="ru-RU" sz="1200" b="0" i="0" u="none" strike="noStrike">
              <a:effectLst/>
              <a:latin typeface="+mn-lt"/>
              <a:cs typeface="Arial" panose="020B0604020202020204" pitchFamily="34" charset="0"/>
            </a:rPr>
            <a:t>Kilos (air)</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23,918,540 	20,917,802 </a:t>
          </a:r>
        </a:p>
        <a:p>
          <a:r>
            <a:rPr lang="ru-RU" sz="1200" b="0" i="0" u="none" strike="noStrike">
              <a:solidFill>
                <a:schemeClr val="dk1"/>
              </a:solidFill>
              <a:effectLst/>
              <a:latin typeface="+mn-lt"/>
              <a:ea typeface="+mn-ea"/>
              <a:cs typeface="Arial" panose="020B0604020202020204" pitchFamily="34" charset="0"/>
            </a:rPr>
            <a:t>ASTM Table 1 			0.984206 	0.984206   </a:t>
          </a:r>
        </a:p>
        <a:p>
          <a:r>
            <a:rPr lang="ru-RU" sz="1200" b="0" i="0" u="none" strike="noStrike">
              <a:effectLst/>
              <a:latin typeface="+mn-lt"/>
              <a:cs typeface="Arial" panose="020B0604020202020204" pitchFamily="34" charset="0"/>
            </a:rPr>
            <a:t>Longtons</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20,588.15</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20,587.43</a:t>
          </a:r>
          <a:r>
            <a:rPr lang="ru-RU" sz="1200">
              <a:effectLst/>
              <a:latin typeface="+mn-lt"/>
              <a:cs typeface="Arial" panose="020B0604020202020204" pitchFamily="34" charset="0"/>
            </a:rPr>
            <a:t> </a:t>
          </a:r>
        </a:p>
        <a:p>
          <a:endParaRPr lang="ru-RU" sz="1200" b="0" i="0" u="none" strike="noStrike">
            <a:effectLst/>
            <a:latin typeface="+mn-lt"/>
            <a:cs typeface="Arial" panose="020B0604020202020204" pitchFamily="34" charset="0"/>
          </a:endParaRPr>
        </a:p>
        <a:p>
          <a:r>
            <a:rPr lang="ru-RU" sz="1200" b="0" i="0" u="none" strike="noStrike">
              <a:effectLst/>
              <a:latin typeface="+mn-lt"/>
              <a:cs typeface="Arial" panose="020B0604020202020204" pitchFamily="34" charset="0"/>
            </a:rPr>
            <a:t>Kilos (air)</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r>
            <a:rPr lang="ru-RU" sz="1200" b="0" i="0" u="none" strike="noStrike">
              <a:effectLst/>
              <a:latin typeface="+mn-lt"/>
              <a:cs typeface="Arial" panose="020B0604020202020204" pitchFamily="34" charset="0"/>
            </a:rPr>
            <a:t> </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20,918,540 	20,917,802</a:t>
          </a:r>
        </a:p>
        <a:p>
          <a:r>
            <a:rPr lang="ru-RU" sz="1200" b="0" i="0" u="none" strike="noStrike">
              <a:effectLst/>
              <a:latin typeface="+mn-lt"/>
              <a:cs typeface="Arial" panose="020B0604020202020204" pitchFamily="34" charset="0"/>
            </a:rPr>
            <a:t>ASTM Table 56 (short table)</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1.00125 	1.00125</a:t>
          </a:r>
        </a:p>
        <a:p>
          <a:r>
            <a:rPr lang="ru-RU" sz="1200" b="0" i="0" u="none" strike="noStrike">
              <a:effectLst/>
              <a:latin typeface="+mn-lt"/>
              <a:cs typeface="Arial" panose="020B0604020202020204" pitchFamily="34" charset="0"/>
            </a:rPr>
            <a:t>Kilos (vac)</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20,944,688 	20,943,949</a:t>
          </a:r>
        </a:p>
        <a:p>
          <a:r>
            <a:rPr lang="ru-RU" sz="1200" b="1" i="0" u="none" strike="noStrike">
              <a:effectLst/>
              <a:latin typeface="+mn-lt"/>
              <a:cs typeface="Arial" panose="020B0604020202020204" pitchFamily="34" charset="0"/>
            </a:rPr>
            <a:t>Volume Conversions:</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Litres at 15</a:t>
          </a:r>
          <a:r>
            <a:rPr lang="ru-RU" sz="1200" b="0" i="0" baseline="30000">
              <a:solidFill>
                <a:schemeClr val="dk1"/>
              </a:solidFill>
              <a:effectLst/>
              <a:latin typeface="+mn-lt"/>
              <a:ea typeface="+mn-ea"/>
              <a:cs typeface="+mn-cs"/>
            </a:rPr>
            <a:t>o</a:t>
          </a:r>
          <a:r>
            <a:rPr lang="ru-RU" sz="1200" b="0" i="0" u="none" strike="noStrike">
              <a:solidFill>
                <a:schemeClr val="dk1"/>
              </a:solidFill>
              <a:effectLst/>
              <a:latin typeface="+mn-lt"/>
              <a:ea typeface="+mn-ea"/>
              <a:cs typeface="Arial" panose="020B0604020202020204" pitchFamily="34" charset="0"/>
            </a:rPr>
            <a:t>C.     		24,785,000 	24,790,000 </a:t>
          </a:r>
        </a:p>
        <a:p>
          <a:r>
            <a:rPr lang="ru-RU" sz="1200" b="0" i="0" u="none" strike="noStrike">
              <a:solidFill>
                <a:schemeClr val="dk1"/>
              </a:solidFill>
              <a:effectLst/>
              <a:latin typeface="+mn-lt"/>
              <a:ea typeface="+mn-ea"/>
              <a:cs typeface="Arial" panose="020B0604020202020204" pitchFamily="34" charset="0"/>
            </a:rPr>
            <a:t>ASTM Table 52 		6.293 	6.293 </a:t>
          </a:r>
        </a:p>
        <a:p>
          <a:r>
            <a:rPr lang="ru-RU" sz="1200" b="0" i="0" u="none" strike="noStrike">
              <a:solidFill>
                <a:schemeClr val="dk1"/>
              </a:solidFill>
              <a:effectLst/>
              <a:latin typeface="+mn-lt"/>
              <a:ea typeface="+mn-ea"/>
              <a:cs typeface="Arial" panose="020B0604020202020204" pitchFamily="34" charset="0"/>
            </a:rPr>
            <a:t>US Barrels at 60oF. 		155,792(.00) 	156,003(.47)  </a:t>
          </a:r>
        </a:p>
        <a:p>
          <a:r>
            <a:rPr lang="ru-RU" sz="1200" b="0" i="0" u="none" strike="noStrike">
              <a:solidFill>
                <a:schemeClr val="dk1"/>
              </a:solidFill>
              <a:effectLst/>
              <a:latin typeface="+mn-lt"/>
              <a:ea typeface="+mn-ea"/>
              <a:cs typeface="Arial" panose="020B0604020202020204" pitchFamily="34" charset="0"/>
            </a:rPr>
            <a:t>ASTM Table 1 			42 	42    </a:t>
          </a:r>
        </a:p>
        <a:p>
          <a:r>
            <a:rPr lang="ru-RU" sz="1200" b="0" i="0" u="none" strike="noStrike">
              <a:solidFill>
                <a:schemeClr val="dk1"/>
              </a:solidFill>
              <a:effectLst/>
              <a:latin typeface="+mn-lt"/>
              <a:ea typeface="+mn-ea"/>
              <a:cs typeface="Arial" panose="020B0604020202020204" pitchFamily="34" charset="0"/>
            </a:rPr>
            <a:t>US Gallons at 60</a:t>
          </a:r>
          <a:r>
            <a:rPr lang="ru-RU" sz="1200" b="0" i="0" baseline="30000">
              <a:solidFill>
                <a:schemeClr val="dk1"/>
              </a:solidFill>
              <a:effectLst/>
              <a:latin typeface="+mn-lt"/>
              <a:ea typeface="+mn-ea"/>
              <a:cs typeface="+mn-cs"/>
            </a:rPr>
            <a:t>o</a:t>
          </a:r>
          <a:r>
            <a:rPr lang="ru-RU" sz="1200" b="0" i="0" u="none" strike="noStrike">
              <a:solidFill>
                <a:schemeClr val="dk1"/>
              </a:solidFill>
              <a:effectLst/>
              <a:latin typeface="+mn-lt"/>
              <a:ea typeface="+mn-ea"/>
              <a:cs typeface="Arial" panose="020B0604020202020204" pitchFamily="34" charset="0"/>
            </a:rPr>
            <a:t>F. 		6,550,824 	6,552,146 </a:t>
          </a:r>
          <a:r>
            <a:rPr lang="en-US" sz="1200" b="0" i="0" u="none" strike="noStrike">
              <a:solidFill>
                <a:schemeClr val="dk1"/>
              </a:solidFill>
              <a:effectLst/>
              <a:latin typeface="+mn-lt"/>
              <a:ea typeface="+mn-ea"/>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endParaRPr lang="en-US" sz="1200" b="0" i="0" u="none" strike="noStrike">
            <a:solidFill>
              <a:schemeClr val="dk1"/>
            </a:solidFill>
            <a:effectLst/>
            <a:latin typeface="+mn-lt"/>
            <a:ea typeface="+mn-ea"/>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400">
            <a:latin typeface="Arial" panose="020B0604020202020204" pitchFamily="34" charset="0"/>
            <a:cs typeface="Arial" panose="020B0604020202020204" pitchFamily="34" charset="0"/>
          </a:endParaRPr>
        </a:p>
        <a:p>
          <a:r>
            <a:rPr lang="en-US" sz="1400" b="1">
              <a:effectLst/>
              <a:latin typeface="+mn-lt"/>
              <a:ea typeface="Times New Roman" panose="02020603050405020304" pitchFamily="18" charset="0"/>
              <a:cs typeface="Arial" panose="020B0604020202020204" pitchFamily="34" charset="0"/>
            </a:rPr>
            <a:t>Calculations : Barrels, API gravity, via Table 11</a:t>
          </a:r>
          <a:br>
            <a:rPr lang="en-US" sz="1200">
              <a:effectLst/>
              <a:latin typeface="+mn-lt"/>
              <a:ea typeface="Times New Roman" panose="02020603050405020304" pitchFamily="18" charset="0"/>
              <a:cs typeface="Arial" panose="020B0604020202020204" pitchFamily="34" charset="0"/>
            </a:rPr>
          </a:br>
          <a:r>
            <a:rPr lang="en-US" sz="1200">
              <a:effectLst/>
              <a:latin typeface="+mn-lt"/>
              <a:ea typeface="Times New Roman" panose="02020603050405020304" pitchFamily="18" charset="0"/>
              <a:cs typeface="Arial" panose="020B0604020202020204" pitchFamily="34" charset="0"/>
            </a:rPr>
            <a:t>Conversions : Metric tons Air, Vac, Litres15</a:t>
          </a:r>
          <a:r>
            <a:rPr lang="en-US" sz="1200" baseline="30000">
              <a:effectLst/>
              <a:latin typeface="+mn-lt"/>
              <a:ea typeface="Times New Roman" panose="02020603050405020304" pitchFamily="18" charset="0"/>
              <a:cs typeface="Arial" panose="020B0604020202020204" pitchFamily="34" charset="0"/>
            </a:rPr>
            <a:t> o</a:t>
          </a:r>
          <a:r>
            <a:rPr lang="en-US" sz="1200">
              <a:effectLst/>
              <a:latin typeface="+mn-lt"/>
              <a:ea typeface="Times New Roman" panose="02020603050405020304" pitchFamily="18" charset="0"/>
              <a:cs typeface="Arial" panose="020B0604020202020204" pitchFamily="34" charset="0"/>
            </a:rPr>
            <a:t>C., Gallons 60</a:t>
          </a:r>
          <a:r>
            <a:rPr lang="en-US" sz="1200" baseline="30000">
              <a:effectLst/>
              <a:latin typeface="+mn-lt"/>
              <a:ea typeface="Times New Roman" panose="02020603050405020304" pitchFamily="18" charset="0"/>
              <a:cs typeface="Arial" panose="020B0604020202020204" pitchFamily="34" charset="0"/>
            </a:rPr>
            <a:t> o</a:t>
          </a:r>
          <a:r>
            <a:rPr lang="en-US" sz="1200">
              <a:effectLst/>
              <a:latin typeface="+mn-lt"/>
              <a:ea typeface="Times New Roman" panose="02020603050405020304" pitchFamily="18" charset="0"/>
              <a:cs typeface="Arial" panose="020B0604020202020204" pitchFamily="34" charset="0"/>
            </a:rPr>
            <a:t>F</a:t>
          </a:r>
          <a:endParaRPr lang="en-US" sz="1200">
            <a:latin typeface="+mn-lt"/>
            <a:cs typeface="Arial" panose="020B0604020202020204" pitchFamily="34" charset="0"/>
          </a:endParaRPr>
        </a:p>
        <a:p>
          <a:endParaRPr lang="en-US" sz="600">
            <a:latin typeface="+mn-lt"/>
            <a:cs typeface="Arial" panose="020B0604020202020204" pitchFamily="34" charset="0"/>
          </a:endParaRPr>
        </a:p>
        <a:p>
          <a:r>
            <a:rPr lang="en-US"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r>
            <a:rPr lang="en-US" sz="1200" b="1" i="0" u="none" strike="noStrike">
              <a:solidFill>
                <a:schemeClr val="dk1"/>
              </a:solidFill>
              <a:effectLst/>
              <a:latin typeface="+mn-lt"/>
              <a:ea typeface="+mn-ea"/>
              <a:cs typeface="Arial" panose="020B0604020202020204" pitchFamily="34" charset="0"/>
            </a:rPr>
            <a:t>Table 6 A </a:t>
          </a:r>
          <a:r>
            <a:rPr lang="ru-RU" sz="1200" b="1">
              <a:effectLst/>
              <a:latin typeface="+mn-lt"/>
              <a:cs typeface="Arial" panose="020B0604020202020204" pitchFamily="34" charset="0"/>
            </a:rPr>
            <a:t> 	</a:t>
          </a:r>
          <a:r>
            <a:rPr lang="en-US" sz="1200" b="1" i="0" u="none" strike="noStrike">
              <a:solidFill>
                <a:schemeClr val="dk1"/>
              </a:solidFill>
              <a:effectLst/>
              <a:latin typeface="+mn-lt"/>
              <a:ea typeface="+mn-ea"/>
              <a:cs typeface="Arial" panose="020B0604020202020204" pitchFamily="34" charset="0"/>
            </a:rPr>
            <a:t>Table 6 B</a:t>
          </a:r>
          <a:r>
            <a:rPr lang="ru-RU" sz="1200" b="1">
              <a:effectLst/>
              <a:latin typeface="+mn-lt"/>
              <a:cs typeface="Arial" panose="020B0604020202020204" pitchFamily="34" charset="0"/>
            </a:rPr>
            <a:t> </a:t>
          </a:r>
        </a:p>
        <a:p>
          <a:r>
            <a:rPr lang="en-US" sz="1200" b="1" i="0" u="none" strike="noStrike">
              <a:solidFill>
                <a:schemeClr val="dk1"/>
              </a:solidFill>
              <a:effectLst/>
              <a:latin typeface="+mn-lt"/>
              <a:ea typeface="+mn-ea"/>
              <a:cs typeface="Arial" panose="020B0604020202020204" pitchFamily="34" charset="0"/>
            </a:rPr>
            <a:t>Calculation</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US Barrels</a:t>
          </a:r>
          <a:r>
            <a:rPr lang="ru-RU" sz="1200">
              <a:effectLst/>
              <a:latin typeface="+mn-lt"/>
              <a:cs typeface="Arial" panose="020B0604020202020204" pitchFamily="34" charset="0"/>
            </a:rPr>
            <a:t> 			</a:t>
          </a:r>
          <a:r>
            <a:rPr lang="en-US" sz="1200" b="0" i="0" u="none" strike="noStrike">
              <a:solidFill>
                <a:schemeClr val="dk1"/>
              </a:solidFill>
              <a:effectLst/>
              <a:latin typeface="+mn-lt"/>
              <a:ea typeface="+mn-ea"/>
              <a:cs typeface="Arial" panose="020B0604020202020204" pitchFamily="34" charset="0"/>
            </a:rPr>
            <a:t>157,245</a:t>
          </a:r>
          <a:r>
            <a:rPr lang="ru-RU" sz="1200">
              <a:effectLst/>
              <a:latin typeface="+mn-lt"/>
              <a:cs typeface="Arial" panose="020B0604020202020204" pitchFamily="34" charset="0"/>
            </a:rPr>
            <a:t> 	</a:t>
          </a:r>
          <a:r>
            <a:rPr lang="en-US" sz="1200" b="0" i="0" u="none" strike="noStrike">
              <a:solidFill>
                <a:schemeClr val="dk1"/>
              </a:solidFill>
              <a:effectLst/>
              <a:latin typeface="+mn-lt"/>
              <a:ea typeface="+mn-ea"/>
              <a:cs typeface="Arial" panose="020B0604020202020204" pitchFamily="34" charset="0"/>
            </a:rPr>
            <a:t>157,245</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V.C.F.</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0.9918</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0.9921</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US Barrels at 60</a:t>
          </a:r>
          <a:r>
            <a:rPr lang="ru-RU" sz="1200" b="0" i="0" u="none" strike="noStrike" baseline="30000">
              <a:solidFill>
                <a:schemeClr val="dk1"/>
              </a:solidFill>
              <a:effectLst/>
              <a:latin typeface="+mn-lt"/>
              <a:ea typeface="+mn-ea"/>
              <a:cs typeface="Arial" panose="020B0604020202020204" pitchFamily="34" charset="0"/>
            </a:rPr>
            <a:t>o</a:t>
          </a:r>
          <a:r>
            <a:rPr lang="ru-RU" sz="1200" b="0" i="0" u="none" strike="noStrike">
              <a:solidFill>
                <a:schemeClr val="dk1"/>
              </a:solidFill>
              <a:effectLst/>
              <a:latin typeface="+mn-lt"/>
              <a:ea typeface="+mn-ea"/>
              <a:cs typeface="Arial" panose="020B0604020202020204" pitchFamily="34" charset="0"/>
            </a:rPr>
            <a:t>F.</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155,956</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156,003</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W.C.F. ASTM Table 11</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0.13201</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0.132</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Longtons</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20,587.75</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20,592.40</a:t>
          </a:r>
          <a:r>
            <a:rPr lang="ru-RU" sz="1200">
              <a:effectLst/>
              <a:latin typeface="+mn-lt"/>
              <a:cs typeface="Arial" panose="020B0604020202020204" pitchFamily="34" charset="0"/>
            </a:rPr>
            <a:t> </a:t>
          </a:r>
        </a:p>
        <a:p>
          <a:r>
            <a:rPr lang="ru-RU" sz="1200" b="1" i="0" u="none" strike="noStrike">
              <a:solidFill>
                <a:schemeClr val="dk1"/>
              </a:solidFill>
              <a:effectLst/>
              <a:latin typeface="+mn-lt"/>
              <a:ea typeface="+mn-ea"/>
              <a:cs typeface="Arial" panose="020B0604020202020204" pitchFamily="34" charset="0"/>
            </a:rPr>
            <a:t>Weight Conversions</a:t>
          </a:r>
          <a:r>
            <a:rPr lang="ru-RU" sz="1200" b="0" i="0" u="none" strike="noStrike">
              <a:solidFill>
                <a:schemeClr val="dk1"/>
              </a:solidFill>
              <a:effectLst/>
              <a:latin typeface="+mn-lt"/>
              <a:ea typeface="+mn-ea"/>
              <a:cs typeface="Arial" panose="020B0604020202020204" pitchFamily="34" charset="0"/>
            </a:rPr>
            <a:t>:</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Longtons</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20,587.75</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20,592.40</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ASTM Table 1</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1.01605</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1.01605</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Metric tons (air)</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20,918.183</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20,922.908</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ASTM Table 56 (short table)</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1.00125</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1.00125</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Metric tons (vac)</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20,944.331</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20949.062</a:t>
          </a:r>
          <a:r>
            <a:rPr lang="ru-RU" sz="1200">
              <a:effectLst/>
              <a:latin typeface="+mn-lt"/>
              <a:cs typeface="Arial" panose="020B0604020202020204" pitchFamily="34" charset="0"/>
            </a:rPr>
            <a:t> </a:t>
          </a:r>
        </a:p>
        <a:p>
          <a:r>
            <a:rPr lang="ru-RU" sz="1200" b="1" i="0" u="none" strike="noStrike">
              <a:solidFill>
                <a:schemeClr val="dk1"/>
              </a:solidFill>
              <a:effectLst/>
              <a:latin typeface="+mn-lt"/>
              <a:ea typeface="+mn-ea"/>
              <a:cs typeface="Arial" panose="020B0604020202020204" pitchFamily="34" charset="0"/>
            </a:rPr>
            <a:t>Volume Conversions:</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US Barrels at 60</a:t>
          </a:r>
          <a:r>
            <a:rPr lang="ru-RU" sz="1200" b="0" i="0" u="none" strike="noStrike" baseline="30000">
              <a:solidFill>
                <a:schemeClr val="dk1"/>
              </a:solidFill>
              <a:effectLst/>
              <a:latin typeface="+mn-lt"/>
              <a:ea typeface="+mn-ea"/>
              <a:cs typeface="Arial" panose="020B0604020202020204" pitchFamily="34" charset="0"/>
            </a:rPr>
            <a:t>o</a:t>
          </a:r>
          <a:r>
            <a:rPr lang="ru-RU" sz="1200" b="0" i="0" u="none" strike="noStrike">
              <a:solidFill>
                <a:schemeClr val="dk1"/>
              </a:solidFill>
              <a:effectLst/>
              <a:latin typeface="+mn-lt"/>
              <a:ea typeface="+mn-ea"/>
              <a:cs typeface="Arial" panose="020B0604020202020204" pitchFamily="34" charset="0"/>
            </a:rPr>
            <a:t>F.</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155,955.59</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156,002.76</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ASTM Table 4</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0.15891</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0.15891</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Litres at 15</a:t>
          </a:r>
          <a:r>
            <a:rPr lang="ru-RU" sz="1200" b="0" i="0" u="none" strike="noStrike" baseline="30000">
              <a:solidFill>
                <a:schemeClr val="dk1"/>
              </a:solidFill>
              <a:effectLst/>
              <a:latin typeface="+mn-lt"/>
              <a:ea typeface="+mn-ea"/>
              <a:cs typeface="Arial" panose="020B0604020202020204" pitchFamily="34" charset="0"/>
            </a:rPr>
            <a:t>o</a:t>
          </a:r>
          <a:r>
            <a:rPr lang="ru-RU" sz="1200" b="0" i="0" u="none" strike="noStrike">
              <a:solidFill>
                <a:schemeClr val="dk1"/>
              </a:solidFill>
              <a:effectLst/>
              <a:latin typeface="+mn-lt"/>
              <a:ea typeface="+mn-ea"/>
              <a:cs typeface="Arial" panose="020B0604020202020204" pitchFamily="34" charset="0"/>
            </a:rPr>
            <a:t>C.</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24,782,903</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24,790,399</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 </a:t>
          </a:r>
          <a:r>
            <a:rPr lang="ru-RU" sz="1200">
              <a:effectLst/>
              <a:latin typeface="+mn-lt"/>
              <a:cs typeface="Arial" panose="020B0604020202020204" pitchFamily="34" charset="0"/>
            </a:rPr>
            <a:t> </a:t>
          </a:r>
        </a:p>
        <a:p>
          <a:endParaRPr lang="ru-RU" sz="1200" b="0" i="0" u="none" strike="noStrike">
            <a:solidFill>
              <a:schemeClr val="dk1"/>
            </a:solidFill>
            <a:effectLst/>
            <a:latin typeface="+mn-lt"/>
            <a:ea typeface="+mn-ea"/>
            <a:cs typeface="Arial" panose="020B0604020202020204" pitchFamily="34" charset="0"/>
          </a:endParaRPr>
        </a:p>
        <a:p>
          <a:r>
            <a:rPr lang="ru-RU" sz="1200" b="0" i="0" u="none" strike="noStrike">
              <a:solidFill>
                <a:schemeClr val="dk1"/>
              </a:solidFill>
              <a:effectLst/>
              <a:latin typeface="+mn-lt"/>
              <a:ea typeface="+mn-ea"/>
              <a:cs typeface="Arial" panose="020B0604020202020204" pitchFamily="34" charset="0"/>
            </a:rPr>
            <a:t>US Barrels at 60</a:t>
          </a:r>
          <a:r>
            <a:rPr lang="ru-RU" sz="1200" b="0" i="0" u="none" strike="noStrike" baseline="30000">
              <a:solidFill>
                <a:schemeClr val="dk1"/>
              </a:solidFill>
              <a:effectLst/>
              <a:latin typeface="+mn-lt"/>
              <a:ea typeface="+mn-ea"/>
              <a:cs typeface="Arial" panose="020B0604020202020204" pitchFamily="34" charset="0"/>
            </a:rPr>
            <a:t>o</a:t>
          </a:r>
          <a:r>
            <a:rPr lang="ru-RU" sz="1200" b="0" i="0" u="none" strike="noStrike">
              <a:solidFill>
                <a:schemeClr val="dk1"/>
              </a:solidFill>
              <a:effectLst/>
              <a:latin typeface="+mn-lt"/>
              <a:ea typeface="+mn-ea"/>
              <a:cs typeface="Arial" panose="020B0604020202020204" pitchFamily="34" charset="0"/>
            </a:rPr>
            <a:t>F.</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155,955.59</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156,002.76</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ASTM Table 1</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42</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42</a:t>
          </a:r>
          <a:r>
            <a:rPr lang="ru-RU" sz="1200">
              <a:effectLst/>
              <a:latin typeface="+mn-lt"/>
              <a:cs typeface="Arial" panose="020B0604020202020204" pitchFamily="34" charset="0"/>
            </a:rPr>
            <a:t> </a:t>
          </a:r>
        </a:p>
        <a:p>
          <a:r>
            <a:rPr lang="ru-RU" sz="1200" b="0" i="0" u="none" strike="noStrike">
              <a:solidFill>
                <a:schemeClr val="dk1"/>
              </a:solidFill>
              <a:effectLst/>
              <a:latin typeface="+mn-lt"/>
              <a:ea typeface="+mn-ea"/>
              <a:cs typeface="Arial" panose="020B0604020202020204" pitchFamily="34" charset="0"/>
            </a:rPr>
            <a:t>US Gallons at 60</a:t>
          </a:r>
          <a:r>
            <a:rPr lang="ru-RU" sz="1200" b="0" i="0" u="none" strike="noStrike" baseline="30000">
              <a:solidFill>
                <a:schemeClr val="dk1"/>
              </a:solidFill>
              <a:effectLst/>
              <a:latin typeface="+mn-lt"/>
              <a:ea typeface="+mn-ea"/>
              <a:cs typeface="Arial" panose="020B0604020202020204" pitchFamily="34" charset="0"/>
            </a:rPr>
            <a:t>o</a:t>
          </a:r>
          <a:r>
            <a:rPr lang="ru-RU" sz="1200" b="0" i="0" u="none" strike="noStrike">
              <a:solidFill>
                <a:schemeClr val="dk1"/>
              </a:solidFill>
              <a:effectLst/>
              <a:latin typeface="+mn-lt"/>
              <a:ea typeface="+mn-ea"/>
              <a:cs typeface="Arial" panose="020B0604020202020204" pitchFamily="34" charset="0"/>
            </a:rPr>
            <a:t>F.</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6,550,135</a:t>
          </a:r>
          <a:r>
            <a:rPr lang="ru-RU" sz="1200">
              <a:effectLst/>
              <a:latin typeface="+mn-lt"/>
              <a:cs typeface="Arial" panose="020B0604020202020204" pitchFamily="34" charset="0"/>
            </a:rPr>
            <a:t> 	</a:t>
          </a:r>
          <a:r>
            <a:rPr lang="ru-RU" sz="1200" b="0" i="0" u="none" strike="noStrike">
              <a:solidFill>
                <a:schemeClr val="dk1"/>
              </a:solidFill>
              <a:effectLst/>
              <a:latin typeface="+mn-lt"/>
              <a:ea typeface="+mn-ea"/>
              <a:cs typeface="Arial" panose="020B0604020202020204" pitchFamily="34" charset="0"/>
            </a:rPr>
            <a:t>6,552,116</a:t>
          </a:r>
          <a:r>
            <a:rPr lang="ru-RU" sz="1200">
              <a:effectLst/>
              <a:latin typeface="+mn-lt"/>
              <a:cs typeface="Arial" panose="020B0604020202020204" pitchFamily="34" charset="0"/>
            </a:rPr>
            <a:t> </a:t>
          </a:r>
          <a:endParaRPr lang="en-US" sz="1200">
            <a:latin typeface="+mn-lt"/>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mn-lt"/>
            <a:cs typeface="Arial" panose="020B0604020202020204" pitchFamily="34" charset="0"/>
          </a:endParaRPr>
        </a:p>
        <a:p>
          <a:r>
            <a:rPr lang="en-US" sz="1400" b="1">
              <a:effectLst/>
              <a:latin typeface="+mn-lt"/>
              <a:ea typeface="Times New Roman" panose="02020603050405020304" pitchFamily="18" charset="0"/>
            </a:rPr>
            <a:t>Calculations : Barrels, API gravity, via Table 13 </a:t>
          </a: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Conversions : Longtons, Vac, Litres 15</a:t>
          </a:r>
          <a:r>
            <a:rPr lang="en-US" sz="1200" baseline="30000">
              <a:effectLst/>
              <a:latin typeface="+mn-lt"/>
              <a:ea typeface="Times New Roman" panose="02020603050405020304" pitchFamily="18" charset="0"/>
            </a:rPr>
            <a:t> o</a:t>
          </a:r>
          <a:r>
            <a:rPr lang="en-US" sz="1200">
              <a:effectLst/>
              <a:latin typeface="+mn-lt"/>
              <a:ea typeface="Times New Roman" panose="02020603050405020304" pitchFamily="18" charset="0"/>
            </a:rPr>
            <a:t>C., Gallons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t>
          </a:r>
        </a:p>
        <a:p>
          <a:endParaRPr lang="en-US" sz="700">
            <a:latin typeface="Arial" panose="020B0604020202020204" pitchFamily="34" charset="0"/>
            <a:cs typeface="Arial" panose="020B0604020202020204" pitchFamily="34" charset="0"/>
          </a:endParaRPr>
        </a:p>
        <a:p>
          <a:r>
            <a:rPr lang="en-US" sz="1200" b="0" i="0" u="none" strike="noStrike">
              <a:solidFill>
                <a:srgbClr val="000000"/>
              </a:solidFill>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en-US" sz="1200" b="1" i="0" u="none" strike="noStrike">
              <a:effectLst/>
              <a:latin typeface="+mn-lt"/>
              <a:cs typeface="Times New Roman" panose="02020603050405020304" pitchFamily="18" charset="0"/>
            </a:rPr>
            <a:t>Table 6 A </a:t>
          </a:r>
          <a:r>
            <a:rPr lang="ru-RU" sz="1200" b="1">
              <a:effectLst/>
              <a:latin typeface="+mn-lt"/>
              <a:cs typeface="Times New Roman" panose="02020603050405020304" pitchFamily="18" charset="0"/>
            </a:rPr>
            <a:t> 	</a:t>
          </a:r>
          <a:r>
            <a:rPr lang="en-US" sz="1200" b="1" i="0" u="none" strike="noStrike">
              <a:effectLst/>
              <a:latin typeface="+mn-lt"/>
              <a:cs typeface="Times New Roman" panose="02020603050405020304" pitchFamily="18" charset="0"/>
            </a:rPr>
            <a:t>Table 6 B</a:t>
          </a:r>
          <a:r>
            <a:rPr lang="ru-RU" sz="1200" b="1">
              <a:effectLst/>
              <a:latin typeface="+mn-lt"/>
              <a:cs typeface="Times New Roman" panose="02020603050405020304" pitchFamily="18" charset="0"/>
            </a:rPr>
            <a:t> </a:t>
          </a:r>
        </a:p>
        <a:p>
          <a:r>
            <a:rPr lang="en-US" sz="1200" b="1" i="0" u="none" strike="noStrike">
              <a:effectLst/>
              <a:latin typeface="+mn-lt"/>
              <a:cs typeface="Times New Roman" panose="02020603050405020304" pitchFamily="18" charset="0"/>
            </a:rPr>
            <a:t>Calculation</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US Barrels</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157,245</a:t>
          </a:r>
          <a:r>
            <a:rPr lang="ru-RU" sz="1200">
              <a:effectLst/>
              <a:latin typeface="+mn-lt"/>
              <a:cs typeface="Times New Roman" panose="02020603050405020304" pitchFamily="18" charset="0"/>
            </a:rPr>
            <a:t> 	</a:t>
          </a:r>
          <a:r>
            <a:rPr lang="en-US" sz="1200" b="0" i="0" u="none" strike="noStrike">
              <a:effectLst/>
              <a:latin typeface="+mn-lt"/>
              <a:cs typeface="Times New Roman" panose="02020603050405020304" pitchFamily="18" charset="0"/>
            </a:rPr>
            <a:t>157,245</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V.C.F.</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0.9918</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0.9921</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US Barrels at 60</a:t>
          </a:r>
          <a:r>
            <a:rPr lang="ru-RU" sz="1200" b="0" i="0" u="none" strike="noStrike" baseline="30000">
              <a:effectLst/>
              <a:latin typeface="+mn-lt"/>
              <a:cs typeface="Times New Roman" panose="02020603050405020304" pitchFamily="18" charset="0"/>
            </a:rPr>
            <a:t>o</a:t>
          </a:r>
          <a:r>
            <a:rPr lang="ru-RU" sz="1200" b="0" i="0" u="none" strike="noStrike">
              <a:effectLst/>
              <a:latin typeface="+mn-lt"/>
              <a:cs typeface="Times New Roman" panose="02020603050405020304" pitchFamily="18" charset="0"/>
            </a:rPr>
            <a:t>F.</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155,956</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156,003</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W.C.F. ASTM Table 13</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0.13412</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0.13409</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Metric tons (air)</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20,916.819</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20,918.442</a:t>
          </a:r>
          <a:r>
            <a:rPr lang="ru-RU" sz="1200">
              <a:effectLst/>
              <a:latin typeface="+mn-lt"/>
              <a:cs typeface="Times New Roman" panose="02020603050405020304" pitchFamily="18" charset="0"/>
            </a:rPr>
            <a:t> </a:t>
          </a:r>
        </a:p>
        <a:p>
          <a:r>
            <a:rPr lang="ru-RU" sz="1200" b="1" i="0" u="none" strike="noStrike">
              <a:effectLst/>
              <a:latin typeface="+mn-lt"/>
              <a:cs typeface="Times New Roman" panose="02020603050405020304" pitchFamily="18" charset="0"/>
            </a:rPr>
            <a:t>Weight Conversions</a:t>
          </a:r>
          <a:r>
            <a:rPr lang="ru-RU" sz="1200" b="0" i="0" u="none" strike="noStrike">
              <a:effectLst/>
              <a:latin typeface="+mn-lt"/>
              <a:cs typeface="Times New Roman" panose="02020603050405020304" pitchFamily="18" charset="0"/>
            </a:rPr>
            <a:t>:</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Metric tons (air)</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20,916.819</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20,918.442</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ASTM Table 1</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0.984206</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0.984206</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Longtons</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20,586.46</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20,588.06</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p>
        <a:p>
          <a:endParaRPr lang="ru-RU" sz="1200" b="0" i="0" u="none" strike="noStrike">
            <a:effectLst/>
            <a:latin typeface="+mn-lt"/>
            <a:cs typeface="Times New Roman" panose="02020603050405020304" pitchFamily="18" charset="0"/>
          </a:endParaRPr>
        </a:p>
        <a:p>
          <a:r>
            <a:rPr lang="ru-RU" sz="1200" b="0" i="0" u="none" strike="noStrike">
              <a:effectLst/>
              <a:latin typeface="+mn-lt"/>
              <a:cs typeface="Times New Roman" panose="02020603050405020304" pitchFamily="18" charset="0"/>
            </a:rPr>
            <a:t>Metric tons (air)</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20,916.819</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20,918.442</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ASTM Table 56 (short table)</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1.00125</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1.00125</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Metric tons (vac)</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20,942.965</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20944.59</a:t>
          </a:r>
          <a:r>
            <a:rPr lang="ru-RU" sz="1200">
              <a:effectLst/>
              <a:latin typeface="+mn-lt"/>
              <a:cs typeface="Times New Roman" panose="02020603050405020304" pitchFamily="18" charset="0"/>
            </a:rPr>
            <a:t> </a:t>
          </a:r>
        </a:p>
        <a:p>
          <a:r>
            <a:rPr lang="ru-RU" sz="1200" b="1" i="0" u="none" strike="noStrike">
              <a:effectLst/>
              <a:latin typeface="+mn-lt"/>
              <a:cs typeface="Times New Roman" panose="02020603050405020304" pitchFamily="18" charset="0"/>
            </a:rPr>
            <a:t>Volume Conversions:</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US Barrels at 60</a:t>
          </a:r>
          <a:r>
            <a:rPr lang="ru-RU" sz="1200" b="0" i="0" u="none" strike="noStrike" baseline="30000">
              <a:effectLst/>
              <a:latin typeface="+mn-lt"/>
              <a:cs typeface="Times New Roman" panose="02020603050405020304" pitchFamily="18" charset="0"/>
            </a:rPr>
            <a:t>o</a:t>
          </a:r>
          <a:r>
            <a:rPr lang="ru-RU" sz="1200" b="0" i="0" u="none" strike="noStrike">
              <a:effectLst/>
              <a:latin typeface="+mn-lt"/>
              <a:cs typeface="Times New Roman" panose="02020603050405020304" pitchFamily="18" charset="0"/>
            </a:rPr>
            <a:t>F.		155,955.59</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156,002.76</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ASTM Table 4</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0.15891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0.15891</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Litres at 15</a:t>
          </a:r>
          <a:r>
            <a:rPr lang="ru-RU" sz="1200" b="0" i="0" u="none" strike="noStrike" baseline="30000">
              <a:effectLst/>
              <a:latin typeface="+mn-lt"/>
              <a:cs typeface="Times New Roman" panose="02020603050405020304" pitchFamily="18" charset="0"/>
            </a:rPr>
            <a:t>o</a:t>
          </a:r>
          <a:r>
            <a:rPr lang="ru-RU" sz="1200" b="0" i="0" u="none" strike="noStrike">
              <a:effectLst/>
              <a:latin typeface="+mn-lt"/>
              <a:cs typeface="Times New Roman" panose="02020603050405020304" pitchFamily="18" charset="0"/>
            </a:rPr>
            <a:t>C.</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24,782,903</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24,790,399</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 </a:t>
          </a:r>
          <a:r>
            <a:rPr lang="ru-RU" sz="1200">
              <a:effectLst/>
              <a:latin typeface="+mn-lt"/>
              <a:cs typeface="Times New Roman" panose="02020603050405020304" pitchFamily="18" charset="0"/>
            </a:rPr>
            <a:t> </a:t>
          </a:r>
        </a:p>
        <a:p>
          <a:endParaRPr lang="ru-RU" sz="1200" b="0" i="0" u="none" strike="noStrike">
            <a:effectLst/>
            <a:latin typeface="+mn-lt"/>
            <a:cs typeface="Times New Roman" panose="02020603050405020304" pitchFamily="18" charset="0"/>
          </a:endParaRPr>
        </a:p>
        <a:p>
          <a:r>
            <a:rPr lang="ru-RU" sz="1200" b="0" i="0" u="none" strike="noStrike">
              <a:effectLst/>
              <a:latin typeface="+mn-lt"/>
              <a:cs typeface="Times New Roman" panose="02020603050405020304" pitchFamily="18" charset="0"/>
            </a:rPr>
            <a:t>US Barrels at 60</a:t>
          </a:r>
          <a:r>
            <a:rPr lang="ru-RU" sz="1200" b="0" i="0" u="none" strike="noStrike" baseline="30000">
              <a:effectLst/>
              <a:latin typeface="+mn-lt"/>
              <a:cs typeface="Times New Roman" panose="02020603050405020304" pitchFamily="18" charset="0"/>
            </a:rPr>
            <a:t>o</a:t>
          </a:r>
          <a:r>
            <a:rPr lang="ru-RU" sz="1200" b="0" i="0" u="none" strike="noStrike">
              <a:effectLst/>
              <a:latin typeface="+mn-lt"/>
              <a:cs typeface="Times New Roman" panose="02020603050405020304" pitchFamily="18" charset="0"/>
            </a:rPr>
            <a:t>F.</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155,955.59</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156,002.76</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ASTM Table 1</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42</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42</a:t>
          </a:r>
          <a:r>
            <a:rPr lang="ru-RU" sz="1200">
              <a:effectLst/>
              <a:latin typeface="+mn-lt"/>
              <a:cs typeface="Times New Roman" panose="02020603050405020304" pitchFamily="18" charset="0"/>
            </a:rPr>
            <a:t> </a:t>
          </a:r>
        </a:p>
        <a:p>
          <a:r>
            <a:rPr lang="ru-RU" sz="1200" b="0" i="0" u="none" strike="noStrike">
              <a:effectLst/>
              <a:latin typeface="+mn-lt"/>
              <a:cs typeface="Times New Roman" panose="02020603050405020304" pitchFamily="18" charset="0"/>
            </a:rPr>
            <a:t>US Gallons at 60</a:t>
          </a:r>
          <a:r>
            <a:rPr lang="ru-RU" sz="1200" b="0" i="0" u="none" strike="noStrike" baseline="30000">
              <a:effectLst/>
              <a:latin typeface="+mn-lt"/>
              <a:cs typeface="Times New Roman" panose="02020603050405020304" pitchFamily="18" charset="0"/>
            </a:rPr>
            <a:t>o</a:t>
          </a:r>
          <a:r>
            <a:rPr lang="ru-RU" sz="1200" b="0" i="0" u="none" strike="noStrike">
              <a:effectLst/>
              <a:latin typeface="+mn-lt"/>
              <a:cs typeface="Times New Roman" panose="02020603050405020304" pitchFamily="18" charset="0"/>
            </a:rPr>
            <a:t>F.</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6,550,135</a:t>
          </a:r>
          <a:r>
            <a:rPr lang="ru-RU" sz="1200">
              <a:effectLst/>
              <a:latin typeface="+mn-lt"/>
              <a:cs typeface="Times New Roman" panose="02020603050405020304" pitchFamily="18" charset="0"/>
            </a:rPr>
            <a:t> 	</a:t>
          </a:r>
          <a:r>
            <a:rPr lang="ru-RU" sz="1200" b="0" i="0" u="none" strike="noStrike">
              <a:effectLst/>
              <a:latin typeface="+mn-lt"/>
              <a:cs typeface="Times New Roman" panose="02020603050405020304" pitchFamily="18" charset="0"/>
            </a:rPr>
            <a:t>6,552,116</a:t>
          </a:r>
          <a:r>
            <a:rPr lang="ru-RU" sz="1200">
              <a:effectLst/>
              <a:latin typeface="+mn-lt"/>
              <a:cs typeface="Times New Roman" panose="02020603050405020304" pitchFamily="18" charset="0"/>
            </a:rPr>
            <a:t> </a:t>
          </a:r>
          <a:endParaRPr lang="en-US" sz="1200">
            <a:latin typeface="+mn-lt"/>
            <a:cs typeface="Times New Roman" panose="02020603050405020304" pitchFamily="18"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r>
            <a:rPr lang="en-US" sz="1400" b="1">
              <a:effectLst/>
              <a:latin typeface="+mn-lt"/>
              <a:ea typeface="Times New Roman" panose="02020603050405020304" pitchFamily="18" charset="0"/>
              <a:cs typeface="Times New Roman" panose="02020603050405020304" pitchFamily="18" charset="0"/>
            </a:rPr>
            <a:t>Calculations : Barrels, Rel.density 60/60</a:t>
          </a:r>
          <a:r>
            <a:rPr lang="en-US" sz="1400" b="1" baseline="30000">
              <a:effectLst/>
              <a:latin typeface="+mn-lt"/>
              <a:ea typeface="Times New Roman" panose="02020603050405020304" pitchFamily="18" charset="0"/>
              <a:cs typeface="Times New Roman" panose="02020603050405020304" pitchFamily="18" charset="0"/>
            </a:rPr>
            <a:t>o</a:t>
          </a:r>
          <a:r>
            <a:rPr lang="en-US" sz="1400" b="1">
              <a:effectLst/>
              <a:latin typeface="+mn-lt"/>
              <a:ea typeface="Times New Roman" panose="02020603050405020304" pitchFamily="18" charset="0"/>
              <a:cs typeface="Times New Roman" panose="02020603050405020304" pitchFamily="18" charset="0"/>
            </a:rPr>
            <a:t>F., via Table 29</a:t>
          </a:r>
          <a:br>
            <a:rPr lang="en-US" sz="1200">
              <a:effectLst/>
              <a:latin typeface="+mn-lt"/>
              <a:ea typeface="Times New Roman" panose="02020603050405020304" pitchFamily="18" charset="0"/>
              <a:cs typeface="Times New Roman" panose="02020603050405020304" pitchFamily="18" charset="0"/>
            </a:rPr>
          </a:br>
          <a:r>
            <a:rPr lang="en-US" sz="1200">
              <a:effectLst/>
              <a:latin typeface="+mn-lt"/>
              <a:ea typeface="Times New Roman" panose="02020603050405020304" pitchFamily="18" charset="0"/>
              <a:cs typeface="Times New Roman" panose="02020603050405020304" pitchFamily="18" charset="0"/>
            </a:rPr>
            <a:t>Conversions: Metric tons Air Air,Vac, Litres15</a:t>
          </a:r>
          <a:r>
            <a:rPr lang="en-US" sz="1200" baseline="30000">
              <a:effectLst/>
              <a:latin typeface="+mn-lt"/>
              <a:ea typeface="Times New Roman" panose="02020603050405020304" pitchFamily="18" charset="0"/>
              <a:cs typeface="Times New Roman" panose="02020603050405020304" pitchFamily="18" charset="0"/>
            </a:rPr>
            <a:t> o</a:t>
          </a:r>
          <a:r>
            <a:rPr lang="en-US" sz="1200">
              <a:effectLst/>
              <a:latin typeface="+mn-lt"/>
              <a:ea typeface="Times New Roman" panose="02020603050405020304" pitchFamily="18" charset="0"/>
              <a:cs typeface="Times New Roman" panose="02020603050405020304" pitchFamily="18" charset="0"/>
            </a:rPr>
            <a:t>C.,Gallons 60 </a:t>
          </a:r>
          <a:r>
            <a:rPr lang="en-US" sz="1200" baseline="30000">
              <a:effectLst/>
              <a:latin typeface="+mn-lt"/>
              <a:ea typeface="Times New Roman" panose="02020603050405020304" pitchFamily="18" charset="0"/>
              <a:cs typeface="Times New Roman" panose="02020603050405020304" pitchFamily="18" charset="0"/>
            </a:rPr>
            <a:t>o</a:t>
          </a:r>
          <a:r>
            <a:rPr lang="en-US" sz="1200">
              <a:effectLst/>
              <a:latin typeface="+mn-lt"/>
              <a:ea typeface="Times New Roman" panose="02020603050405020304" pitchFamily="18" charset="0"/>
              <a:cs typeface="Times New Roman" panose="02020603050405020304" pitchFamily="18" charset="0"/>
            </a:rPr>
            <a:t>F. </a:t>
          </a:r>
        </a:p>
        <a:p>
          <a:endParaRPr lang="en-US" sz="700">
            <a:latin typeface="Times New Roman" panose="02020603050405020304" pitchFamily="18" charset="0"/>
            <a:cs typeface="Times New Roman" panose="02020603050405020304" pitchFamily="18" charset="0"/>
          </a:endParaRPr>
        </a:p>
        <a:p>
          <a:r>
            <a:rPr lang="en-US"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en-US" sz="1200" b="1" i="0" u="none" strike="noStrike">
              <a:effectLst/>
              <a:latin typeface="Calibri" panose="020F0502020204030204" pitchFamily="34" charset="0"/>
              <a:cs typeface="Calibri" panose="020F0502020204030204" pitchFamily="34" charset="0"/>
            </a:rPr>
            <a:t>Table 24 A</a:t>
          </a:r>
          <a:r>
            <a:rPr lang="ru-RU" sz="1200" b="1">
              <a:effectLst/>
              <a:latin typeface="Calibri" panose="020F0502020204030204" pitchFamily="34" charset="0"/>
              <a:cs typeface="Calibri" panose="020F0502020204030204" pitchFamily="34" charset="0"/>
            </a:rPr>
            <a:t> 	</a:t>
          </a:r>
          <a:r>
            <a:rPr lang="en-US" sz="1200" b="1" i="0" u="none" strike="noStrike">
              <a:effectLst/>
              <a:latin typeface="Calibri" panose="020F0502020204030204" pitchFamily="34" charset="0"/>
              <a:cs typeface="Calibri" panose="020F0502020204030204" pitchFamily="34" charset="0"/>
            </a:rPr>
            <a:t>Table 24 B</a:t>
          </a:r>
          <a:r>
            <a:rPr lang="ru-RU" sz="1200" b="1">
              <a:effectLst/>
              <a:latin typeface="Calibri" panose="020F0502020204030204" pitchFamily="34" charset="0"/>
              <a:cs typeface="Calibri" panose="020F0502020204030204" pitchFamily="34" charset="0"/>
            </a:rPr>
            <a:t> </a:t>
          </a:r>
          <a:r>
            <a:rPr lang="ru-RU" sz="1200" b="1" i="0" u="none" strike="noStrike">
              <a:solidFill>
                <a:schemeClr val="dk1"/>
              </a:solidFill>
              <a:effectLst/>
              <a:latin typeface="Calibri" panose="020F0502020204030204" pitchFamily="34" charset="0"/>
              <a:ea typeface="+mn-ea"/>
              <a:cs typeface="Calibri" panose="020F0502020204030204" pitchFamily="34" charset="0"/>
            </a:rPr>
            <a:t> </a:t>
          </a:r>
          <a:r>
            <a:rPr lang="ru-RU" sz="1200" b="1">
              <a:latin typeface="Calibri" panose="020F0502020204030204" pitchFamily="34" charset="0"/>
              <a:cs typeface="Calibri" panose="020F0502020204030204" pitchFamily="34" charset="0"/>
            </a:rPr>
            <a:t> </a:t>
          </a:r>
        </a:p>
        <a:p>
          <a:r>
            <a:rPr lang="en-US" sz="1200" b="1" i="0" u="none" strike="noStrike">
              <a:effectLst/>
              <a:latin typeface="Calibri" panose="020F0502020204030204" pitchFamily="34" charset="0"/>
              <a:cs typeface="Calibri" panose="020F0502020204030204" pitchFamily="34" charset="0"/>
            </a:rPr>
            <a:t>Calculation</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US Barrels</a:t>
          </a:r>
          <a:r>
            <a:rPr lang="ru-RU" sz="1200">
              <a:effectLst/>
              <a:latin typeface="Calibri" panose="020F0502020204030204" pitchFamily="34" charset="0"/>
              <a:cs typeface="Calibri" panose="020F0502020204030204" pitchFamily="34" charset="0"/>
            </a:rPr>
            <a:t> 			</a:t>
          </a:r>
          <a:r>
            <a:rPr lang="en-US" sz="1200" b="0" i="0" u="none" strike="noStrike">
              <a:effectLst/>
              <a:latin typeface="Calibri" panose="020F0502020204030204" pitchFamily="34" charset="0"/>
              <a:cs typeface="Calibri" panose="020F0502020204030204" pitchFamily="34" charset="0"/>
            </a:rPr>
            <a:t>157,245</a:t>
          </a:r>
          <a:r>
            <a:rPr lang="ru-RU" sz="1200">
              <a:effectLst/>
              <a:latin typeface="Calibri" panose="020F0502020204030204" pitchFamily="34" charset="0"/>
              <a:cs typeface="Calibri" panose="020F0502020204030204" pitchFamily="34" charset="0"/>
            </a:rPr>
            <a:t> 	</a:t>
          </a:r>
          <a:r>
            <a:rPr lang="en-US" sz="1200" b="0" i="0" u="none" strike="noStrike">
              <a:effectLst/>
              <a:latin typeface="Calibri" panose="020F0502020204030204" pitchFamily="34" charset="0"/>
              <a:cs typeface="Calibri" panose="020F0502020204030204" pitchFamily="34" charset="0"/>
            </a:rPr>
            <a:t>157,245</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V.C.F.</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0.9919</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0.9921</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US Barrels at 60</a:t>
          </a:r>
          <a:r>
            <a:rPr lang="ru-RU" sz="1200" b="0" i="0" u="none" strike="noStrike" baseline="30000">
              <a:effectLst/>
              <a:latin typeface="Calibri" panose="020F0502020204030204" pitchFamily="34" charset="0"/>
              <a:cs typeface="Calibri" panose="020F0502020204030204" pitchFamily="34" charset="0"/>
            </a:rPr>
            <a:t>o</a:t>
          </a:r>
          <a:r>
            <a:rPr lang="ru-RU" sz="1200" b="0" i="0" u="none" strike="noStrike">
              <a:effectLst/>
              <a:latin typeface="Calibri" panose="020F0502020204030204" pitchFamily="34" charset="0"/>
              <a:cs typeface="Calibri" panose="020F0502020204030204" pitchFamily="34" charset="0"/>
            </a:rPr>
            <a:t>F.</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155,971</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156,003</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W.C.F. ASTM Table 29</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0.132</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0.13197</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Longtons</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20,588.17</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20,587.72</a:t>
          </a:r>
          <a:r>
            <a:rPr lang="ru-RU" sz="1200">
              <a:effectLst/>
              <a:latin typeface="Calibri" panose="020F0502020204030204" pitchFamily="34" charset="0"/>
              <a:cs typeface="Calibri" panose="020F0502020204030204" pitchFamily="34" charset="0"/>
            </a:rPr>
            <a:t> </a:t>
          </a:r>
        </a:p>
        <a:p>
          <a:r>
            <a:rPr lang="ru-RU" sz="1200" b="1" i="0" u="none" strike="noStrike">
              <a:effectLst/>
              <a:latin typeface="Calibri" panose="020F0502020204030204" pitchFamily="34" charset="0"/>
              <a:cs typeface="Calibri" panose="020F0502020204030204" pitchFamily="34" charset="0"/>
            </a:rPr>
            <a:t>Weight Conversions</a:t>
          </a:r>
          <a:r>
            <a:rPr lang="ru-RU" sz="1200" b="0" i="0" u="none" strike="noStrike">
              <a:effectLst/>
              <a:latin typeface="Calibri" panose="020F0502020204030204" pitchFamily="34" charset="0"/>
              <a:cs typeface="Calibri" panose="020F0502020204030204" pitchFamily="34" charset="0"/>
            </a:rPr>
            <a:t>:</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Longtons</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20,588.17</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20,587.72</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ASTM Table 1</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1.01605</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1.01605</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Metric tons (air)</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20,918.610</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20,918.153</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ASTM Table 56 (short table)</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1.00125</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1.00125</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Metric tons (vac)</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20,944.758</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20,944.301</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1"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p>
        <a:p>
          <a:r>
            <a:rPr lang="en-US" sz="1200" b="1" i="0" u="none" strike="noStrike">
              <a:effectLst/>
              <a:latin typeface="Calibri" panose="020F0502020204030204" pitchFamily="34" charset="0"/>
              <a:cs typeface="Calibri" panose="020F0502020204030204" pitchFamily="34" charset="0"/>
            </a:rPr>
            <a:t>Volume Conversions:</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US Barrels at 60</a:t>
          </a:r>
          <a:r>
            <a:rPr lang="ru-RU" sz="1200" b="0" i="0" u="none" strike="noStrike" baseline="30000">
              <a:effectLst/>
              <a:latin typeface="Calibri" panose="020F0502020204030204" pitchFamily="34" charset="0"/>
              <a:cs typeface="Calibri" panose="020F0502020204030204" pitchFamily="34" charset="0"/>
            </a:rPr>
            <a:t>o</a:t>
          </a:r>
          <a:r>
            <a:rPr lang="ru-RU" sz="1200" b="0" i="0" u="none" strike="noStrike">
              <a:effectLst/>
              <a:latin typeface="Calibri" panose="020F0502020204030204" pitchFamily="34" charset="0"/>
              <a:cs typeface="Calibri" panose="020F0502020204030204" pitchFamily="34" charset="0"/>
            </a:rPr>
            <a:t>F.</a:t>
          </a:r>
          <a:r>
            <a:rPr lang="ru-RU" sz="1200">
              <a:effectLst/>
              <a:latin typeface="Calibri" panose="020F0502020204030204" pitchFamily="34" charset="0"/>
              <a:cs typeface="Calibri" panose="020F0502020204030204" pitchFamily="34" charset="0"/>
            </a:rPr>
            <a:t> 		</a:t>
          </a:r>
          <a:r>
            <a:rPr lang="en-US" sz="1200" b="0" i="0" u="none" strike="noStrike">
              <a:effectLst/>
              <a:latin typeface="Calibri" panose="020F0502020204030204" pitchFamily="34" charset="0"/>
              <a:cs typeface="Calibri" panose="020F0502020204030204" pitchFamily="34" charset="0"/>
            </a:rPr>
            <a:t>155,971.32</a:t>
          </a:r>
          <a:r>
            <a:rPr lang="ru-RU" sz="1200">
              <a:effectLst/>
              <a:latin typeface="Calibri" panose="020F0502020204030204" pitchFamily="34" charset="0"/>
              <a:cs typeface="Calibri" panose="020F0502020204030204" pitchFamily="34" charset="0"/>
            </a:rPr>
            <a:t> 	</a:t>
          </a:r>
          <a:r>
            <a:rPr lang="en-US" sz="1200" b="0" i="0" u="none" strike="noStrike">
              <a:effectLst/>
              <a:latin typeface="Calibri" panose="020F0502020204030204" pitchFamily="34" charset="0"/>
              <a:cs typeface="Calibri" panose="020F0502020204030204" pitchFamily="34" charset="0"/>
            </a:rPr>
            <a:t>156,002.76</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ASTM Table 4</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0.15891</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0.15891</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Litres at 15</a:t>
          </a:r>
          <a:r>
            <a:rPr lang="ru-RU" sz="1200" b="0" i="0" u="none" strike="noStrike" baseline="30000">
              <a:effectLst/>
              <a:latin typeface="Calibri" panose="020F0502020204030204" pitchFamily="34" charset="0"/>
              <a:cs typeface="Calibri" panose="020F0502020204030204" pitchFamily="34" charset="0"/>
            </a:rPr>
            <a:t>o</a:t>
          </a:r>
          <a:r>
            <a:rPr lang="ru-RU" sz="1200" b="0" i="0" u="none" strike="noStrike">
              <a:effectLst/>
              <a:latin typeface="Calibri" panose="020F0502020204030204" pitchFamily="34" charset="0"/>
              <a:cs typeface="Calibri" panose="020F0502020204030204" pitchFamily="34" charset="0"/>
            </a:rPr>
            <a:t>C.</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24,785,402</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24,790,399</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 </a:t>
          </a:r>
          <a:endParaRPr lang="ru-RU" sz="1200">
            <a:effectLst/>
            <a:latin typeface="Calibri" panose="020F0502020204030204" pitchFamily="34" charset="0"/>
            <a:cs typeface="Calibri" panose="020F0502020204030204" pitchFamily="34" charset="0"/>
          </a:endParaRPr>
        </a:p>
        <a:p>
          <a:r>
            <a:rPr lang="ru-RU" sz="1200" b="0" i="0" u="none" strike="noStrike">
              <a:effectLst/>
              <a:latin typeface="Calibri" panose="020F0502020204030204" pitchFamily="34" charset="0"/>
              <a:cs typeface="Calibri" panose="020F0502020204030204" pitchFamily="34" charset="0"/>
            </a:rPr>
            <a:t>US Barrels at 60</a:t>
          </a:r>
          <a:r>
            <a:rPr lang="ru-RU" sz="1200" b="0" i="0" u="none" strike="noStrike" baseline="30000">
              <a:effectLst/>
              <a:latin typeface="Calibri" panose="020F0502020204030204" pitchFamily="34" charset="0"/>
              <a:cs typeface="Calibri" panose="020F0502020204030204" pitchFamily="34" charset="0"/>
            </a:rPr>
            <a:t>o</a:t>
          </a:r>
          <a:r>
            <a:rPr lang="ru-RU" sz="1200" b="0" i="0" u="none" strike="noStrike">
              <a:effectLst/>
              <a:latin typeface="Calibri" panose="020F0502020204030204" pitchFamily="34" charset="0"/>
              <a:cs typeface="Calibri" panose="020F0502020204030204" pitchFamily="34" charset="0"/>
            </a:rPr>
            <a:t>F.</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155,971.32</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156,002.76</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ASTM Table 1</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42</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42</a:t>
          </a:r>
          <a:r>
            <a:rPr lang="ru-RU" sz="1200">
              <a:effectLst/>
              <a:latin typeface="Calibri" panose="020F0502020204030204" pitchFamily="34" charset="0"/>
              <a:cs typeface="Calibri" panose="020F0502020204030204" pitchFamily="34" charset="0"/>
            </a:rPr>
            <a:t> </a:t>
          </a:r>
        </a:p>
        <a:p>
          <a:r>
            <a:rPr lang="ru-RU" sz="1200" b="0" i="0" u="none" strike="noStrike">
              <a:effectLst/>
              <a:latin typeface="Calibri" panose="020F0502020204030204" pitchFamily="34" charset="0"/>
              <a:cs typeface="Calibri" panose="020F0502020204030204" pitchFamily="34" charset="0"/>
            </a:rPr>
            <a:t>US Gallons at 60</a:t>
          </a:r>
          <a:r>
            <a:rPr lang="ru-RU" sz="1200" b="0" i="0" u="none" strike="noStrike" baseline="30000">
              <a:effectLst/>
              <a:latin typeface="Calibri" panose="020F0502020204030204" pitchFamily="34" charset="0"/>
              <a:cs typeface="Calibri" panose="020F0502020204030204" pitchFamily="34" charset="0"/>
            </a:rPr>
            <a:t>o</a:t>
          </a:r>
          <a:r>
            <a:rPr lang="ru-RU" sz="1200" b="0" i="0" u="none" strike="noStrike">
              <a:effectLst/>
              <a:latin typeface="Calibri" panose="020F0502020204030204" pitchFamily="34" charset="0"/>
              <a:cs typeface="Calibri" panose="020F0502020204030204" pitchFamily="34" charset="0"/>
            </a:rPr>
            <a:t>F. </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6,550,79 5</a:t>
          </a:r>
          <a:r>
            <a:rPr lang="ru-RU" sz="1200">
              <a:effectLst/>
              <a:latin typeface="Calibri" panose="020F0502020204030204" pitchFamily="34" charset="0"/>
              <a:cs typeface="Calibri" panose="020F0502020204030204" pitchFamily="34" charset="0"/>
            </a:rPr>
            <a:t> 	</a:t>
          </a:r>
          <a:r>
            <a:rPr lang="ru-RU" sz="1200" b="0" i="0" u="none" strike="noStrike">
              <a:effectLst/>
              <a:latin typeface="Calibri" panose="020F0502020204030204" pitchFamily="34" charset="0"/>
              <a:cs typeface="Calibri" panose="020F0502020204030204" pitchFamily="34" charset="0"/>
            </a:rPr>
            <a:t>6,552,116</a:t>
          </a:r>
          <a:r>
            <a:rPr lang="ru-RU" sz="1200">
              <a:effectLst/>
              <a:latin typeface="Calibri" panose="020F0502020204030204" pitchFamily="34" charset="0"/>
              <a:cs typeface="Calibri" panose="020F0502020204030204" pitchFamily="34" charset="0"/>
            </a:rPr>
            <a:t> </a:t>
          </a:r>
          <a:endParaRPr lang="en-US" sz="1200">
            <a:latin typeface="Calibri" panose="020F0502020204030204" pitchFamily="34" charset="0"/>
            <a:cs typeface="Calibri" panose="020F0502020204030204" pitchFamily="34" charset="0"/>
          </a:endParaRPr>
        </a:p>
        <a:p>
          <a:endParaRPr lang="en-US" sz="1200">
            <a:latin typeface="Calibri" panose="020F0502020204030204" pitchFamily="34" charset="0"/>
            <a:cs typeface="Calibri" panose="020F050202020403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pPr>
            <a:spcAft>
              <a:spcPts val="0"/>
            </a:spcAft>
          </a:pPr>
          <a:r>
            <a:rPr lang="en-US" sz="1400" b="1">
              <a:effectLst/>
              <a:latin typeface="+mn-lt"/>
              <a:ea typeface="Times New Roman" panose="02020603050405020304" pitchFamily="18" charset="0"/>
            </a:rPr>
            <a:t>Calculations : Metric, Vacuo Table 54D &amp; Old table 54</a:t>
          </a:r>
          <a:br>
            <a:rPr lang="en-US" sz="1200">
              <a:effectLst/>
              <a:latin typeface="+mn-lt"/>
              <a:ea typeface="Times New Roman" panose="02020603050405020304" pitchFamily="18" charset="0"/>
            </a:rPr>
          </a:br>
          <a:r>
            <a:rPr lang="en-US" sz="1200">
              <a:effectLst/>
              <a:latin typeface="+mn-lt"/>
              <a:ea typeface="Times New Roman" panose="02020603050405020304" pitchFamily="18" charset="0"/>
            </a:rPr>
            <a:t>Conversions: Metric tons Air, Longtons, Barrels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Gallons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a:t>
          </a:r>
          <a:r>
            <a:rPr lang="en-US" sz="1000">
              <a:effectLst/>
              <a:latin typeface="+mn-lt"/>
              <a:ea typeface="Times New Roman" panose="02020603050405020304" pitchFamily="18" charset="0"/>
            </a:rPr>
            <a:t>.</a:t>
          </a:r>
          <a:r>
            <a:rPr lang="en-US" sz="900">
              <a:effectLst/>
              <a:latin typeface="+mn-lt"/>
              <a:ea typeface="Times New Roman" panose="02020603050405020304" pitchFamily="18" charset="0"/>
            </a:rPr>
            <a:t> </a:t>
          </a:r>
          <a:endParaRPr lang="en-GB" sz="900">
            <a:effectLst/>
            <a:latin typeface="+mn-lt"/>
            <a:ea typeface="Times New Roman" panose="02020603050405020304" pitchFamily="18" charset="0"/>
          </a:endParaRPr>
        </a:p>
        <a:p>
          <a:endParaRPr lang="en-US" sz="700">
            <a:latin typeface="+mn-lt"/>
            <a:cs typeface="Arial" panose="020B0604020202020204" pitchFamily="34" charset="0"/>
          </a:endParaRPr>
        </a:p>
        <a:p>
          <a:r>
            <a:rPr lang="en-US"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en-US" sz="1200" b="1" i="0" u="none" strike="noStrike">
              <a:solidFill>
                <a:srgbClr val="000000"/>
              </a:solidFill>
              <a:effectLst/>
              <a:latin typeface="Calibri" panose="020F0502020204030204" pitchFamily="34" charset="0"/>
              <a:cs typeface="Calibri" panose="020F0502020204030204" pitchFamily="34" charset="0"/>
            </a:rPr>
            <a:t>Table 54 D</a:t>
          </a:r>
          <a:r>
            <a:rPr lang="ru-RU" sz="1200" b="1">
              <a:effectLst/>
              <a:latin typeface="Calibri" panose="020F0502020204030204" pitchFamily="34" charset="0"/>
              <a:cs typeface="Calibri" panose="020F0502020204030204" pitchFamily="34" charset="0"/>
            </a:rPr>
            <a:t> 	</a:t>
          </a:r>
          <a:r>
            <a:rPr lang="en-US" sz="1200" b="1" i="0" u="none" strike="noStrike">
              <a:solidFill>
                <a:srgbClr val="000000"/>
              </a:solidFill>
              <a:effectLst/>
              <a:latin typeface="Calibri" panose="020F0502020204030204" pitchFamily="34" charset="0"/>
              <a:cs typeface="Calibri" panose="020F0502020204030204" pitchFamily="34" charset="0"/>
            </a:rPr>
            <a:t>Old Table 54</a:t>
          </a:r>
          <a:r>
            <a:rPr lang="ru-RU" sz="1200">
              <a:effectLst/>
              <a:latin typeface="Calibri" panose="020F0502020204030204" pitchFamily="34" charset="0"/>
              <a:cs typeface="Calibri" panose="020F0502020204030204" pitchFamily="34" charset="0"/>
            </a:rPr>
            <a:t> </a:t>
          </a:r>
        </a:p>
        <a:p>
          <a:r>
            <a:rPr lang="en-US" sz="1200" b="1" i="0" u="none" strike="noStrike">
              <a:solidFill>
                <a:srgbClr val="000000"/>
              </a:solidFill>
              <a:effectLst/>
              <a:latin typeface="Calibri" panose="020F0502020204030204" pitchFamily="34" charset="0"/>
              <a:cs typeface="Calibri" panose="020F0502020204030204" pitchFamily="34" charset="0"/>
            </a:rPr>
            <a:t>Calculation</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Litres at 25°C.</a:t>
          </a:r>
          <a:r>
            <a:rPr lang="ru-RU" sz="1200">
              <a:effectLst/>
              <a:latin typeface="Calibri" panose="020F0502020204030204" pitchFamily="34" charset="0"/>
              <a:cs typeface="Calibri" panose="020F0502020204030204" pitchFamily="34" charset="0"/>
            </a:rPr>
            <a:t> 			</a:t>
          </a:r>
          <a:r>
            <a:rPr lang="en-US" sz="1200" b="0" i="0" u="none" strike="noStrike">
              <a:solidFill>
                <a:srgbClr val="000000"/>
              </a:solidFill>
              <a:effectLst/>
              <a:latin typeface="Calibri" panose="020F0502020204030204" pitchFamily="34" charset="0"/>
              <a:cs typeface="Calibri" panose="020F0502020204030204" pitchFamily="34" charset="0"/>
            </a:rPr>
            <a:t>25,000,000</a:t>
          </a:r>
          <a:r>
            <a:rPr lang="ru-RU" sz="1200">
              <a:effectLst/>
              <a:latin typeface="Calibri" panose="020F0502020204030204" pitchFamily="34" charset="0"/>
              <a:cs typeface="Calibri" panose="020F0502020204030204" pitchFamily="34" charset="0"/>
            </a:rPr>
            <a:t> 	</a:t>
          </a:r>
          <a:r>
            <a:rPr lang="en-US" sz="1200" b="0" i="0" u="none" strike="noStrike">
              <a:solidFill>
                <a:srgbClr val="000000"/>
              </a:solidFill>
              <a:effectLst/>
              <a:latin typeface="Calibri" panose="020F0502020204030204" pitchFamily="34" charset="0"/>
              <a:cs typeface="Calibri" panose="020F0502020204030204" pitchFamily="34" charset="0"/>
            </a:rPr>
            <a:t>25,000,000</a:t>
          </a:r>
          <a:r>
            <a:rPr lang="ru-RU" sz="1200">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V.C.F.</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0.9925</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0.992</a:t>
          </a:r>
          <a:r>
            <a:rPr lang="ru-RU" sz="1200" b="0" i="0" u="none" strike="noStrike">
              <a:solidFill>
                <a:schemeClr val="dk1"/>
              </a:solidFill>
              <a:effectLst/>
              <a:latin typeface="Calibri" panose="020F0502020204030204" pitchFamily="34" charset="0"/>
              <a:cs typeface="Calibri" panose="020F0502020204030204" pitchFamily="34" charset="0"/>
            </a:rPr>
            <a:t>0</a:t>
          </a:r>
          <a:endParaRPr lang="ru-RU" sz="1200">
            <a:effectLst/>
            <a:latin typeface="Calibri" panose="020F0502020204030204" pitchFamily="34" charset="0"/>
            <a:cs typeface="Calibri" panose="020F0502020204030204" pitchFamily="34" charset="0"/>
          </a:endParaRPr>
        </a:p>
        <a:p>
          <a:r>
            <a:rPr lang="ru-RU" sz="1200" b="0" i="0" u="none" strike="noStrike">
              <a:solidFill>
                <a:srgbClr val="000000"/>
              </a:solidFill>
              <a:effectLst/>
              <a:latin typeface="Calibri" panose="020F0502020204030204" pitchFamily="34" charset="0"/>
              <a:cs typeface="Calibri" panose="020F0502020204030204" pitchFamily="34" charset="0"/>
            </a:rPr>
            <a:t>Litres at 15°C.</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24,812,500</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24,800,000</a:t>
          </a:r>
          <a:r>
            <a:rPr lang="ru-RU" sz="1200">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W.C.F. ASTM Table 56 (main table)</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0.8441</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0.8447</a:t>
          </a:r>
          <a:r>
            <a:rPr lang="ru-RU" sz="1200">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Kilos (vac)</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20,944,231</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20,948,560</a:t>
          </a:r>
          <a:r>
            <a:rPr lang="ru-RU" sz="1200">
              <a:solidFill>
                <a:schemeClr val="dk1"/>
              </a:solidFill>
              <a:effectLst/>
              <a:latin typeface="Calibri" panose="020F0502020204030204" pitchFamily="34" charset="0"/>
              <a:ea typeface="+mn-ea"/>
              <a:cs typeface="Calibri" panose="020F0502020204030204" pitchFamily="34" charset="0"/>
            </a:rPr>
            <a:t>   </a:t>
          </a:r>
          <a:endParaRPr lang="ru-RU" sz="1200">
            <a:effectLst/>
            <a:latin typeface="Calibri" panose="020F0502020204030204" pitchFamily="34" charset="0"/>
            <a:cs typeface="Calibri" panose="020F0502020204030204" pitchFamily="34" charset="0"/>
          </a:endParaRPr>
        </a:p>
        <a:p>
          <a:r>
            <a:rPr lang="ru-RU" sz="1200" b="1" i="0" u="none" strike="noStrike">
              <a:solidFill>
                <a:srgbClr val="000000"/>
              </a:solidFill>
              <a:effectLst/>
              <a:latin typeface="Calibri" panose="020F0502020204030204" pitchFamily="34" charset="0"/>
              <a:cs typeface="Calibri" panose="020F0502020204030204" pitchFamily="34" charset="0"/>
            </a:rPr>
            <a:t>Weight Conversions:</a:t>
          </a:r>
          <a:r>
            <a:rPr lang="ru-RU" sz="1200">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Kilos (vac)</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en-US" sz="1200" b="0" i="0">
              <a:solidFill>
                <a:schemeClr val="dk1"/>
              </a:solidFill>
              <a:effectLst/>
              <a:latin typeface="Calibri" panose="020F0502020204030204" pitchFamily="34" charset="0"/>
              <a:ea typeface="+mn-ea"/>
              <a:cs typeface="Calibri" panose="020F0502020204030204" pitchFamily="34" charset="0"/>
            </a:rPr>
            <a:t>20,944,231</a:t>
          </a:r>
          <a:r>
            <a:rPr lang="ru-RU" sz="1200">
              <a:solidFill>
                <a:schemeClr val="dk1"/>
              </a:solidFill>
              <a:effectLst/>
              <a:latin typeface="Calibri" panose="020F0502020204030204" pitchFamily="34" charset="0"/>
              <a:ea typeface="+mn-ea"/>
              <a:cs typeface="Calibri" panose="020F0502020204030204" pitchFamily="34" charset="0"/>
            </a:rPr>
            <a:t> 	</a:t>
          </a:r>
          <a:r>
            <a:rPr lang="en-US" sz="1200" b="0" i="0">
              <a:solidFill>
                <a:schemeClr val="dk1"/>
              </a:solidFill>
              <a:effectLst/>
              <a:latin typeface="Calibri" panose="020F0502020204030204" pitchFamily="34" charset="0"/>
              <a:ea typeface="+mn-ea"/>
              <a:cs typeface="Calibri" panose="020F0502020204030204" pitchFamily="34" charset="0"/>
            </a:rPr>
            <a:t>20,948,560</a:t>
          </a:r>
          <a:r>
            <a:rPr lang="ru-RU" sz="1200">
              <a:solidFill>
                <a:schemeClr val="dk1"/>
              </a:solidFill>
              <a:effectLst/>
              <a:latin typeface="Calibri" panose="020F0502020204030204" pitchFamily="34" charset="0"/>
              <a:ea typeface="+mn-ea"/>
              <a:cs typeface="Calibri" panose="020F0502020204030204" pitchFamily="34" charset="0"/>
            </a:rPr>
            <a:t> </a:t>
          </a:r>
          <a:endParaRPr lang="ru-RU" sz="1200">
            <a:effectLst/>
            <a:latin typeface="Calibri" panose="020F0502020204030204" pitchFamily="34" charset="0"/>
            <a:cs typeface="Calibri" panose="020F0502020204030204" pitchFamily="34" charset="0"/>
          </a:endParaRPr>
        </a:p>
        <a:p>
          <a:r>
            <a:rPr lang="ru-RU" sz="1200" b="0" i="0" u="none" strike="noStrike">
              <a:solidFill>
                <a:srgbClr val="000000"/>
              </a:solidFill>
              <a:effectLst/>
              <a:latin typeface="Calibri" panose="020F0502020204030204" pitchFamily="34" charset="0"/>
              <a:cs typeface="Calibri" panose="020F0502020204030204" pitchFamily="34" charset="0"/>
            </a:rPr>
            <a:t>ASTM Table 56</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0.99875</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0.99875</a:t>
          </a:r>
          <a:endParaRPr lang="ru-RU" sz="1200">
            <a:effectLst/>
            <a:latin typeface="Calibri" panose="020F0502020204030204" pitchFamily="34" charset="0"/>
            <a:cs typeface="Calibri" panose="020F0502020204030204" pitchFamily="34" charset="0"/>
          </a:endParaRPr>
        </a:p>
        <a:p>
          <a:r>
            <a:rPr lang="ru-RU" sz="1200" b="0" i="0">
              <a:solidFill>
                <a:schemeClr val="dk1"/>
              </a:solidFill>
              <a:effectLst/>
              <a:latin typeface="Calibri" panose="020F0502020204030204" pitchFamily="34" charset="0"/>
              <a:ea typeface="+mn-ea"/>
              <a:cs typeface="Calibri" panose="020F0502020204030204" pitchFamily="34" charset="0"/>
            </a:rPr>
            <a:t>Kilos (air)			20,918,051</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20,922,374</a:t>
          </a:r>
          <a:r>
            <a:rPr lang="ru-RU" sz="1200">
              <a:solidFill>
                <a:schemeClr val="dk1"/>
              </a:solidFill>
              <a:effectLst/>
              <a:latin typeface="Calibri" panose="020F0502020204030204" pitchFamily="34" charset="0"/>
              <a:ea typeface="+mn-ea"/>
              <a:cs typeface="Calibri" panose="020F0502020204030204" pitchFamily="34" charset="0"/>
            </a:rPr>
            <a:t> </a:t>
          </a:r>
          <a:endParaRPr lang="ru-RU" sz="1200">
            <a:effectLst/>
            <a:latin typeface="Calibri" panose="020F0502020204030204" pitchFamily="34" charset="0"/>
            <a:cs typeface="Calibri" panose="020F0502020204030204" pitchFamily="34" charset="0"/>
          </a:endParaRPr>
        </a:p>
        <a:p>
          <a:r>
            <a:rPr lang="ru-RU" sz="1200" b="0" i="0" u="none" strike="noStrike">
              <a:solidFill>
                <a:srgbClr val="000000"/>
              </a:solidFill>
              <a:effectLst/>
              <a:latin typeface="Calibri" panose="020F0502020204030204" pitchFamily="34" charset="0"/>
              <a:cs typeface="Calibri" panose="020F0502020204030204" pitchFamily="34" charset="0"/>
            </a:rPr>
            <a:t>ASTM Table 1</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0.984206</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0.984206</a:t>
          </a:r>
          <a:r>
            <a:rPr lang="ru-RU" sz="1200">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Longtons</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20,587.67</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20,591.93</a:t>
          </a:r>
          <a:endParaRPr lang="ru-RU" sz="1200">
            <a:effectLst/>
            <a:latin typeface="Calibri" panose="020F0502020204030204" pitchFamily="34" charset="0"/>
            <a:cs typeface="Calibri" panose="020F0502020204030204" pitchFamily="34" charset="0"/>
          </a:endParaRPr>
        </a:p>
        <a:p>
          <a:r>
            <a:rPr lang="ru-RU" sz="1200" b="1" i="0" u="none" strike="noStrike">
              <a:solidFill>
                <a:srgbClr val="000000"/>
              </a:solidFill>
              <a:effectLst/>
              <a:latin typeface="Calibri" panose="020F0502020204030204" pitchFamily="34" charset="0"/>
              <a:cs typeface="Calibri" panose="020F0502020204030204" pitchFamily="34" charset="0"/>
            </a:rPr>
            <a:t>Volume Conversions:</a:t>
          </a:r>
          <a:r>
            <a:rPr lang="ru-RU" sz="1200" b="1">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Litres at 15°C.</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 </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28,812,500</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28,800,000</a:t>
          </a:r>
          <a:r>
            <a:rPr lang="ru-RU" sz="1200">
              <a:solidFill>
                <a:schemeClr val="dk1"/>
              </a:solidFill>
              <a:effectLst/>
              <a:latin typeface="Calibri" panose="020F0502020204030204" pitchFamily="34" charset="0"/>
              <a:ea typeface="+mn-ea"/>
              <a:cs typeface="Calibri" panose="020F0502020204030204" pitchFamily="34" charset="0"/>
            </a:rPr>
            <a:t> </a:t>
          </a:r>
          <a:endParaRPr lang="ru-RU" sz="1200">
            <a:effectLst/>
            <a:latin typeface="Calibri" panose="020F0502020204030204" pitchFamily="34" charset="0"/>
            <a:cs typeface="Calibri" panose="020F0502020204030204" pitchFamily="34" charset="0"/>
          </a:endParaRPr>
        </a:p>
        <a:p>
          <a:r>
            <a:rPr lang="ru-RU" sz="1200" b="0" i="0" u="none" strike="noStrike">
              <a:solidFill>
                <a:srgbClr val="000000"/>
              </a:solidFill>
              <a:effectLst/>
              <a:latin typeface="Calibri" panose="020F0502020204030204" pitchFamily="34" charset="0"/>
              <a:cs typeface="Calibri" panose="020F0502020204030204" pitchFamily="34" charset="0"/>
            </a:rPr>
            <a:t>ASTM Table 52</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6.293</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6.293</a:t>
          </a:r>
          <a:r>
            <a:rPr lang="ru-RU" sz="1200">
              <a:solidFill>
                <a:schemeClr val="dk1"/>
              </a:solidFill>
              <a:effectLst/>
              <a:latin typeface="Calibri" panose="020F0502020204030204" pitchFamily="34" charset="0"/>
              <a:ea typeface="+mn-ea"/>
              <a:cs typeface="Calibri" panose="020F0502020204030204" pitchFamily="34" charset="0"/>
            </a:rPr>
            <a:t> </a:t>
          </a:r>
          <a:endParaRPr lang="ru-RU" sz="1200">
            <a:effectLst/>
            <a:latin typeface="Calibri" panose="020F0502020204030204" pitchFamily="34" charset="0"/>
            <a:cs typeface="Calibri" panose="020F0502020204030204" pitchFamily="34" charset="0"/>
          </a:endParaRPr>
        </a:p>
        <a:p>
          <a:r>
            <a:rPr lang="ru-RU" sz="1200" b="0" i="0" u="none" strike="noStrike">
              <a:solidFill>
                <a:srgbClr val="000000"/>
              </a:solidFill>
              <a:effectLst/>
              <a:latin typeface="Calibri" panose="020F0502020204030204" pitchFamily="34" charset="0"/>
              <a:cs typeface="Calibri" panose="020F0502020204030204" pitchFamily="34" charset="0"/>
            </a:rPr>
            <a:t>US Barrels at 60°F.</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156,145(.06)</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156,066(.40)</a:t>
          </a:r>
          <a:endParaRPr lang="ru-RU" sz="1200">
            <a:effectLst/>
            <a:latin typeface="Calibri" panose="020F0502020204030204" pitchFamily="34" charset="0"/>
            <a:cs typeface="Calibri" panose="020F0502020204030204" pitchFamily="34" charset="0"/>
          </a:endParaRPr>
        </a:p>
        <a:p>
          <a:r>
            <a:rPr lang="ru-RU" sz="1200" b="0" i="0" u="none" strike="noStrike">
              <a:solidFill>
                <a:srgbClr val="000000"/>
              </a:solidFill>
              <a:effectLst/>
              <a:latin typeface="Calibri" panose="020F0502020204030204" pitchFamily="34" charset="0"/>
              <a:cs typeface="Calibri" panose="020F0502020204030204" pitchFamily="34" charset="0"/>
            </a:rPr>
            <a:t>ASTM Table 1</a:t>
          </a:r>
          <a:r>
            <a:rPr lang="ru-RU" sz="1200">
              <a:effectLst/>
              <a:latin typeface="Calibri" panose="020F0502020204030204" pitchFamily="34" charset="0"/>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42</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42</a:t>
          </a:r>
          <a:r>
            <a:rPr lang="ru-RU" sz="1200">
              <a:solidFill>
                <a:schemeClr val="dk1"/>
              </a:solidFill>
              <a:effectLst/>
              <a:latin typeface="Calibri" panose="020F0502020204030204" pitchFamily="34" charset="0"/>
              <a:ea typeface="+mn-ea"/>
              <a:cs typeface="Calibri" panose="020F0502020204030204" pitchFamily="34" charset="0"/>
            </a:rPr>
            <a:t> </a:t>
          </a:r>
          <a:r>
            <a:rPr lang="ru-RU" sz="1200" b="0" i="0">
              <a:solidFill>
                <a:schemeClr val="dk1"/>
              </a:solidFill>
              <a:effectLst/>
              <a:latin typeface="Calibri" panose="020F0502020204030204" pitchFamily="34" charset="0"/>
              <a:ea typeface="+mn-ea"/>
              <a:cs typeface="Calibri" panose="020F0502020204030204" pitchFamily="34" charset="0"/>
            </a:rPr>
            <a:t> </a:t>
          </a:r>
          <a:r>
            <a:rPr lang="ru-RU" sz="1200">
              <a:solidFill>
                <a:schemeClr val="dk1"/>
              </a:solidFill>
              <a:effectLst/>
              <a:latin typeface="Calibri" panose="020F0502020204030204" pitchFamily="34" charset="0"/>
              <a:ea typeface="+mn-ea"/>
              <a:cs typeface="Calibri" panose="020F0502020204030204" pitchFamily="34" charset="0"/>
            </a:rPr>
            <a:t> </a:t>
          </a:r>
          <a:r>
            <a:rPr lang="ru-RU" sz="1200">
              <a:effectLst/>
              <a:latin typeface="Calibri" panose="020F0502020204030204" pitchFamily="34" charset="0"/>
              <a:cs typeface="Calibri" panose="020F0502020204030204" pitchFamily="34" charset="0"/>
            </a:rPr>
            <a:t> </a:t>
          </a:r>
        </a:p>
        <a:p>
          <a:r>
            <a:rPr lang="ru-RU" sz="1200" b="0" i="0" u="none" strike="noStrike">
              <a:solidFill>
                <a:srgbClr val="000000"/>
              </a:solidFill>
              <a:effectLst/>
              <a:latin typeface="Calibri" panose="020F0502020204030204" pitchFamily="34" charset="0"/>
              <a:cs typeface="Calibri" panose="020F0502020204030204" pitchFamily="34" charset="0"/>
            </a:rPr>
            <a:t>US Gallons at 60°F. </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6,558,093</a:t>
          </a:r>
          <a:r>
            <a:rPr lang="ru-RU" sz="1200">
              <a:effectLst/>
              <a:latin typeface="Calibri" panose="020F0502020204030204" pitchFamily="34" charset="0"/>
              <a:cs typeface="Calibri" panose="020F0502020204030204" pitchFamily="34" charset="0"/>
            </a:rPr>
            <a:t> 	</a:t>
          </a:r>
          <a:r>
            <a:rPr lang="ru-RU" sz="1200" b="0" i="0" u="none" strike="noStrike">
              <a:solidFill>
                <a:srgbClr val="000000"/>
              </a:solidFill>
              <a:effectLst/>
              <a:latin typeface="Calibri" panose="020F0502020204030204" pitchFamily="34" charset="0"/>
              <a:cs typeface="Calibri" panose="020F0502020204030204" pitchFamily="34" charset="0"/>
            </a:rPr>
            <a:t>6,554,789</a:t>
          </a:r>
          <a:r>
            <a:rPr lang="ru-RU" sz="1200">
              <a:effectLst/>
              <a:latin typeface="Calibri" panose="020F0502020204030204" pitchFamily="34" charset="0"/>
              <a:cs typeface="Calibri" panose="020F0502020204030204" pitchFamily="34" charset="0"/>
            </a:rPr>
            <a:t> </a:t>
          </a:r>
          <a:endParaRPr lang="en-US" sz="1200">
            <a:latin typeface="Calibri" panose="020F0502020204030204" pitchFamily="34" charset="0"/>
            <a:cs typeface="Calibri" panose="020F0502020204030204" pitchFamily="34" charset="0"/>
          </a:endParaRPr>
        </a:p>
        <a:p>
          <a:endParaRPr lang="en-US" sz="1200">
            <a:latin typeface="Times New Roman" panose="02020603050405020304" pitchFamily="18" charset="0"/>
            <a:cs typeface="Times New Roman" panose="02020603050405020304" pitchFamily="18" charset="0"/>
          </a:endParaRPr>
        </a:p>
        <a:p>
          <a:endParaRPr lang="en-US" sz="1000">
            <a:latin typeface="Arial" panose="020B0604020202020204" pitchFamily="34" charset="0"/>
            <a:cs typeface="Arial" panose="020B0604020202020204" pitchFamily="34" charset="0"/>
          </a:endParaRPr>
        </a:p>
        <a:p>
          <a:r>
            <a:rPr lang="en-US" sz="1100" b="0" i="0" u="none" strike="noStrike">
              <a:solidFill>
                <a:schemeClr val="dk1"/>
              </a:solidFill>
              <a:effectLst/>
              <a:latin typeface="+mn-lt"/>
              <a:ea typeface="+mn-ea"/>
              <a:cs typeface="+mn-cs"/>
            </a:rPr>
            <a:t> </a:t>
          </a:r>
          <a:r>
            <a:rPr lang="ru-RU" sz="1000">
              <a:effectLst/>
            </a:rPr>
            <a:t> </a:t>
          </a:r>
          <a:endParaRPr lang="en-US" sz="1000">
            <a:latin typeface="Arial" panose="020B0604020202020204" pitchFamily="34" charset="0"/>
            <a:cs typeface="Arial" panose="020B0604020202020204" pitchFamily="34" charset="0"/>
          </a:endParaRPr>
        </a:p>
        <a:p>
          <a:pPr>
            <a:spcAft>
              <a:spcPts val="0"/>
            </a:spcAft>
          </a:pPr>
          <a:r>
            <a:rPr lang="en-US" sz="1400" b="1">
              <a:effectLst/>
              <a:latin typeface="+mn-lt"/>
              <a:ea typeface="Times New Roman" panose="02020603050405020304" pitchFamily="18" charset="0"/>
            </a:rPr>
            <a:t>Calculations : Metric, Gost</a:t>
          </a:r>
          <a:br>
            <a:rPr lang="en-US" sz="900">
              <a:effectLst/>
              <a:latin typeface="+mn-lt"/>
              <a:ea typeface="Times New Roman" panose="02020603050405020304" pitchFamily="18" charset="0"/>
            </a:rPr>
          </a:br>
          <a:r>
            <a:rPr lang="en-US" sz="1200">
              <a:effectLst/>
              <a:latin typeface="+mn-lt"/>
              <a:ea typeface="Times New Roman" panose="02020603050405020304" pitchFamily="18" charset="0"/>
            </a:rPr>
            <a:t>Conversions: Metric tons air, Longtons, Barrels 60 </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F.,Gallons 60</a:t>
          </a:r>
          <a:r>
            <a:rPr lang="en-US" sz="1200" baseline="30000">
              <a:effectLst/>
              <a:latin typeface="+mn-lt"/>
              <a:ea typeface="Times New Roman" panose="02020603050405020304" pitchFamily="18" charset="0"/>
            </a:rPr>
            <a:t>o</a:t>
          </a:r>
          <a:r>
            <a:rPr lang="en-US" sz="1200">
              <a:effectLst/>
              <a:latin typeface="+mn-lt"/>
              <a:ea typeface="Times New Roman" panose="02020603050405020304" pitchFamily="18" charset="0"/>
            </a:rPr>
            <a:t>F. </a:t>
          </a:r>
          <a:endParaRPr lang="en-GB" sz="1200">
            <a:effectLst/>
            <a:latin typeface="+mn-lt"/>
            <a:ea typeface="Times New Roman" panose="02020603050405020304" pitchFamily="18" charset="0"/>
          </a:endParaRPr>
        </a:p>
        <a:p>
          <a:endParaRPr lang="ru-RU" sz="600">
            <a:solidFill>
              <a:schemeClr val="dk1"/>
            </a:solidFill>
            <a:effectLst/>
            <a:latin typeface="+mn-lt"/>
            <a:ea typeface="+mn-ea"/>
            <a:cs typeface="+mn-cs"/>
          </a:endParaRPr>
        </a:p>
        <a:p>
          <a:r>
            <a:rPr lang="en-US" sz="1100">
              <a:solidFill>
                <a:schemeClr val="dk1"/>
              </a:solidFill>
              <a:effectLst/>
              <a:latin typeface="+mn-lt"/>
              <a:ea typeface="+mn-ea"/>
              <a:cs typeface="+mn-cs"/>
            </a:rPr>
            <a:t> </a:t>
          </a:r>
          <a:r>
            <a:rPr lang="ru-RU" sz="1200">
              <a:solidFill>
                <a:schemeClr val="dk1"/>
              </a:solidFill>
              <a:effectLst/>
              <a:latin typeface="Calibri" panose="020F0502020204030204" pitchFamily="34" charset="0"/>
              <a:ea typeface="+mn-ea"/>
              <a:cs typeface="Calibri" panose="020F0502020204030204" pitchFamily="34" charset="0"/>
            </a:rPr>
            <a:t>			</a:t>
          </a:r>
          <a:r>
            <a:rPr lang="en-US" sz="1200" b="1">
              <a:solidFill>
                <a:schemeClr val="dk1"/>
              </a:solidFill>
              <a:effectLst/>
              <a:latin typeface="Calibri" panose="020F0502020204030204" pitchFamily="34" charset="0"/>
              <a:ea typeface="+mn-ea"/>
              <a:cs typeface="Calibri" panose="020F0502020204030204" pitchFamily="34" charset="0"/>
            </a:rPr>
            <a:t>Gost</a:t>
          </a:r>
          <a:endParaRPr lang="ru-RU" sz="1200" b="1">
            <a:solidFill>
              <a:schemeClr val="dk1"/>
            </a:solidFill>
            <a:effectLst/>
            <a:latin typeface="Calibri" panose="020F0502020204030204" pitchFamily="34" charset="0"/>
            <a:ea typeface="+mn-ea"/>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Calibri" panose="020F0502020204030204" pitchFamily="34" charset="0"/>
              <a:ea typeface="+mn-ea"/>
              <a:cs typeface="Calibri" panose="020F0502020204030204" pitchFamily="34" charset="0"/>
            </a:rPr>
            <a:t>Calculation</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Litres at 25</a:t>
          </a:r>
          <a:r>
            <a:rPr lang="en-US" sz="1200" baseline="30000">
              <a:solidFill>
                <a:schemeClr val="dk1"/>
              </a:solidFill>
              <a:effectLst/>
              <a:latin typeface="Calibri" panose="020F0502020204030204" pitchFamily="34" charset="0"/>
              <a:ea typeface="+mn-ea"/>
              <a:cs typeface="Calibri" panose="020F0502020204030204" pitchFamily="34" charset="0"/>
            </a:rPr>
            <a:t>o</a:t>
          </a:r>
          <a:r>
            <a:rPr lang="en-US" sz="1200">
              <a:solidFill>
                <a:schemeClr val="dk1"/>
              </a:solidFill>
              <a:effectLst/>
              <a:latin typeface="Calibri" panose="020F0502020204030204" pitchFamily="34" charset="0"/>
              <a:ea typeface="+mn-ea"/>
              <a:cs typeface="Calibri" panose="020F0502020204030204" pitchFamily="34" charset="0"/>
            </a:rPr>
            <a:t>C</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25,000,000</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Density at 25</a:t>
          </a:r>
          <a:r>
            <a:rPr lang="en-US" sz="1200" baseline="30000">
              <a:solidFill>
                <a:schemeClr val="dk1"/>
              </a:solidFill>
              <a:effectLst/>
              <a:latin typeface="Calibri" panose="020F0502020204030204" pitchFamily="34" charset="0"/>
              <a:ea typeface="+mn-ea"/>
              <a:cs typeface="Calibri" panose="020F0502020204030204" pitchFamily="34" charset="0"/>
            </a:rPr>
            <a:t>o</a:t>
          </a:r>
          <a:r>
            <a:rPr lang="en-US" sz="1200">
              <a:solidFill>
                <a:schemeClr val="dk1"/>
              </a:solidFill>
              <a:effectLst/>
              <a:latin typeface="Calibri" panose="020F0502020204030204" pitchFamily="34" charset="0"/>
              <a:ea typeface="+mn-ea"/>
              <a:cs typeface="Calibri" panose="020F0502020204030204" pitchFamily="34" charset="0"/>
            </a:rPr>
            <a:t>C</a:t>
          </a:r>
          <a:r>
            <a:rPr lang="ru-RU" sz="1200">
              <a:solidFill>
                <a:schemeClr val="dk1"/>
              </a:solidFill>
              <a:effectLst/>
              <a:latin typeface="Calibri" panose="020F0502020204030204" pitchFamily="34" charset="0"/>
              <a:ea typeface="+mn-ea"/>
              <a:cs typeface="Calibri" panose="020F0502020204030204" pitchFamily="34" charset="0"/>
            </a:rPr>
            <a:t> 		0</a:t>
          </a:r>
          <a:r>
            <a:rPr lang="en-US" sz="1200">
              <a:solidFill>
                <a:schemeClr val="dk1"/>
              </a:solidFill>
              <a:effectLst/>
              <a:latin typeface="Calibri" panose="020F0502020204030204" pitchFamily="34" charset="0"/>
              <a:ea typeface="+mn-ea"/>
              <a:cs typeface="Calibri" panose="020F0502020204030204" pitchFamily="34" charset="0"/>
            </a:rPr>
            <a:t>.8380</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Kilos (vac)</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20,950,000</a:t>
          </a:r>
          <a:br>
            <a:rPr lang="en-US" sz="1200">
              <a:solidFill>
                <a:schemeClr val="dk1"/>
              </a:solidFill>
              <a:effectLst/>
              <a:latin typeface="Calibri" panose="020F0502020204030204" pitchFamily="34" charset="0"/>
              <a:ea typeface="+mn-ea"/>
              <a:cs typeface="Calibri" panose="020F0502020204030204" pitchFamily="34" charset="0"/>
            </a:rPr>
          </a:br>
          <a:br>
            <a:rPr lang="en-US" sz="1200">
              <a:solidFill>
                <a:schemeClr val="dk1"/>
              </a:solidFill>
              <a:effectLst/>
              <a:latin typeface="Calibri" panose="020F0502020204030204" pitchFamily="34" charset="0"/>
              <a:ea typeface="+mn-ea"/>
              <a:cs typeface="Calibri" panose="020F0502020204030204" pitchFamily="34" charset="0"/>
            </a:rPr>
          </a:br>
          <a:r>
            <a:rPr lang="en-US" sz="1200" b="1">
              <a:solidFill>
                <a:schemeClr val="dk1"/>
              </a:solidFill>
              <a:effectLst/>
              <a:latin typeface="Calibri" panose="020F0502020204030204" pitchFamily="34" charset="0"/>
              <a:ea typeface="+mn-ea"/>
              <a:cs typeface="Calibri" panose="020F0502020204030204" pitchFamily="34" charset="0"/>
            </a:rPr>
            <a:t>Weight Conversions</a:t>
          </a:r>
          <a:r>
            <a:rPr lang="en-US" sz="1200">
              <a:solidFill>
                <a:schemeClr val="dk1"/>
              </a:solidFill>
              <a:effectLst/>
              <a:latin typeface="Calibri" panose="020F0502020204030204" pitchFamily="34" charset="0"/>
              <a:ea typeface="+mn-ea"/>
              <a:cs typeface="Calibri" panose="020F0502020204030204" pitchFamily="34" charset="0"/>
            </a:rPr>
            <a:t>:</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Kilos (vac)</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20,950,000</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ASTM Table 56</a:t>
          </a:r>
          <a:r>
            <a:rPr lang="ru-RU" sz="1200">
              <a:solidFill>
                <a:schemeClr val="dk1"/>
              </a:solidFill>
              <a:effectLst/>
              <a:latin typeface="Calibri" panose="020F0502020204030204" pitchFamily="34" charset="0"/>
              <a:ea typeface="+mn-ea"/>
              <a:cs typeface="Calibri" panose="020F0502020204030204" pitchFamily="34" charset="0"/>
            </a:rPr>
            <a:t> 		0</a:t>
          </a:r>
          <a:r>
            <a:rPr lang="en-US" sz="1200">
              <a:solidFill>
                <a:schemeClr val="dk1"/>
              </a:solidFill>
              <a:effectLst/>
              <a:latin typeface="Calibri" panose="020F0502020204030204" pitchFamily="34" charset="0"/>
              <a:ea typeface="+mn-ea"/>
              <a:cs typeface="Calibri" panose="020F0502020204030204" pitchFamily="34" charset="0"/>
            </a:rPr>
            <a:t>.99875</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Kilos (air)</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20,923,813</a:t>
          </a:r>
          <a:r>
            <a:rPr lang="ru-RU" sz="1200">
              <a:solidFill>
                <a:schemeClr val="dk1"/>
              </a:solidFill>
              <a:effectLst/>
              <a:latin typeface="Calibri" panose="020F0502020204030204" pitchFamily="34" charset="0"/>
              <a:ea typeface="+mn-ea"/>
              <a:cs typeface="Calibri" panose="020F0502020204030204" pitchFamily="34" charset="0"/>
            </a:rPr>
            <a:t>	</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ASTM Table 1</a:t>
          </a:r>
          <a:r>
            <a:rPr lang="ru-RU" sz="1200">
              <a:solidFill>
                <a:schemeClr val="dk1"/>
              </a:solidFill>
              <a:effectLst/>
              <a:latin typeface="Calibri" panose="020F0502020204030204" pitchFamily="34" charset="0"/>
              <a:ea typeface="+mn-ea"/>
              <a:cs typeface="Calibri" panose="020F0502020204030204" pitchFamily="34" charset="0"/>
            </a:rPr>
            <a:t>			0</a:t>
          </a:r>
          <a:r>
            <a:rPr lang="en-US" sz="1200">
              <a:solidFill>
                <a:schemeClr val="dk1"/>
              </a:solidFill>
              <a:effectLst/>
              <a:latin typeface="Calibri" panose="020F0502020204030204" pitchFamily="34" charset="0"/>
              <a:ea typeface="+mn-ea"/>
              <a:cs typeface="Calibri" panose="020F0502020204030204" pitchFamily="34" charset="0"/>
            </a:rPr>
            <a:t>.984206</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Longtons</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20,593.34</a:t>
          </a:r>
          <a:br>
            <a:rPr lang="en-US" sz="1200">
              <a:solidFill>
                <a:schemeClr val="dk1"/>
              </a:solidFill>
              <a:effectLst/>
              <a:latin typeface="Calibri" panose="020F0502020204030204" pitchFamily="34" charset="0"/>
              <a:ea typeface="+mn-ea"/>
              <a:cs typeface="Calibri" panose="020F0502020204030204" pitchFamily="34" charset="0"/>
            </a:rPr>
          </a:br>
          <a:r>
            <a:rPr lang="en-US" sz="1200" b="1">
              <a:solidFill>
                <a:schemeClr val="dk1"/>
              </a:solidFill>
              <a:effectLst/>
              <a:latin typeface="Calibri" panose="020F0502020204030204" pitchFamily="34" charset="0"/>
              <a:ea typeface="+mn-ea"/>
              <a:cs typeface="Calibri" panose="020F0502020204030204" pitchFamily="34" charset="0"/>
            </a:rPr>
            <a:t>Volume Conversions:</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Litres at 15</a:t>
          </a:r>
          <a:r>
            <a:rPr lang="en-US" sz="1200" baseline="30000">
              <a:solidFill>
                <a:schemeClr val="dk1"/>
              </a:solidFill>
              <a:effectLst/>
              <a:latin typeface="Calibri" panose="020F0502020204030204" pitchFamily="34" charset="0"/>
              <a:ea typeface="+mn-ea"/>
              <a:cs typeface="Calibri" panose="020F0502020204030204" pitchFamily="34" charset="0"/>
            </a:rPr>
            <a:t>o</a:t>
          </a:r>
          <a:r>
            <a:rPr lang="en-US" sz="1200">
              <a:solidFill>
                <a:schemeClr val="dk1"/>
              </a:solidFill>
              <a:effectLst/>
              <a:latin typeface="Calibri" panose="020F0502020204030204" pitchFamily="34" charset="0"/>
              <a:ea typeface="+mn-ea"/>
              <a:cs typeface="Calibri" panose="020F0502020204030204" pitchFamily="34" charset="0"/>
            </a:rPr>
            <a:t>C</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24,784,100</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ASTM Table 52</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6.293</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US Barrels at 60</a:t>
          </a:r>
          <a:r>
            <a:rPr lang="en-US" sz="1200" baseline="30000">
              <a:solidFill>
                <a:schemeClr val="dk1"/>
              </a:solidFill>
              <a:effectLst/>
              <a:latin typeface="Calibri" panose="020F0502020204030204" pitchFamily="34" charset="0"/>
              <a:ea typeface="+mn-ea"/>
              <a:cs typeface="Calibri" panose="020F0502020204030204" pitchFamily="34" charset="0"/>
            </a:rPr>
            <a:t>o</a:t>
          </a:r>
          <a:r>
            <a:rPr lang="en-US" sz="1200">
              <a:solidFill>
                <a:schemeClr val="dk1"/>
              </a:solidFill>
              <a:effectLst/>
              <a:latin typeface="Calibri" panose="020F0502020204030204" pitchFamily="34" charset="0"/>
              <a:ea typeface="+mn-ea"/>
              <a:cs typeface="Calibri" panose="020F0502020204030204" pitchFamily="34" charset="0"/>
            </a:rPr>
            <a:t>F</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155,966(.34)</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ASTM Table 1</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42</a:t>
          </a:r>
          <a:br>
            <a:rPr lang="en-US" sz="1200">
              <a:solidFill>
                <a:schemeClr val="dk1"/>
              </a:solidFill>
              <a:effectLst/>
              <a:latin typeface="Calibri" panose="020F0502020204030204" pitchFamily="34" charset="0"/>
              <a:ea typeface="+mn-ea"/>
              <a:cs typeface="Calibri" panose="020F0502020204030204" pitchFamily="34" charset="0"/>
            </a:rPr>
          </a:br>
          <a:r>
            <a:rPr lang="en-US" sz="1200">
              <a:solidFill>
                <a:schemeClr val="dk1"/>
              </a:solidFill>
              <a:effectLst/>
              <a:latin typeface="Calibri" panose="020F0502020204030204" pitchFamily="34" charset="0"/>
              <a:ea typeface="+mn-ea"/>
              <a:cs typeface="Calibri" panose="020F0502020204030204" pitchFamily="34" charset="0"/>
            </a:rPr>
            <a:t>US Gallons at 60</a:t>
          </a:r>
          <a:r>
            <a:rPr lang="en-US" sz="1200" baseline="30000">
              <a:solidFill>
                <a:schemeClr val="dk1"/>
              </a:solidFill>
              <a:effectLst/>
              <a:latin typeface="Calibri" panose="020F0502020204030204" pitchFamily="34" charset="0"/>
              <a:ea typeface="+mn-ea"/>
              <a:cs typeface="Calibri" panose="020F0502020204030204" pitchFamily="34" charset="0"/>
            </a:rPr>
            <a:t>o</a:t>
          </a:r>
          <a:r>
            <a:rPr lang="en-US" sz="1200">
              <a:solidFill>
                <a:schemeClr val="dk1"/>
              </a:solidFill>
              <a:effectLst/>
              <a:latin typeface="Calibri" panose="020F0502020204030204" pitchFamily="34" charset="0"/>
              <a:ea typeface="+mn-ea"/>
              <a:cs typeface="Calibri" panose="020F0502020204030204" pitchFamily="34" charset="0"/>
            </a:rPr>
            <a:t>F </a:t>
          </a:r>
          <a:r>
            <a:rPr lang="ru-RU" sz="1200">
              <a:solidFill>
                <a:schemeClr val="dk1"/>
              </a:solidFill>
              <a:effectLst/>
              <a:latin typeface="Calibri" panose="020F0502020204030204" pitchFamily="34" charset="0"/>
              <a:ea typeface="+mn-ea"/>
              <a:cs typeface="Calibri" panose="020F0502020204030204" pitchFamily="34" charset="0"/>
            </a:rPr>
            <a:t> 		</a:t>
          </a:r>
          <a:r>
            <a:rPr lang="en-US" sz="1200">
              <a:solidFill>
                <a:schemeClr val="dk1"/>
              </a:solidFill>
              <a:effectLst/>
              <a:latin typeface="Calibri" panose="020F0502020204030204" pitchFamily="34" charset="0"/>
              <a:ea typeface="+mn-ea"/>
              <a:cs typeface="Calibri" panose="020F0502020204030204" pitchFamily="34" charset="0"/>
            </a:rPr>
            <a:t>6,550,586</a:t>
          </a:r>
          <a:endParaRPr lang="ru-RU" sz="1200">
            <a:effectLst/>
            <a:latin typeface="Calibri" panose="020F0502020204030204" pitchFamily="34" charset="0"/>
            <a:cs typeface="Calibri" panose="020F0502020204030204" pitchFamily="34" charset="0"/>
          </a:endParaRPr>
        </a:p>
        <a:p>
          <a:endParaRPr lang="ru-RU" sz="1200">
            <a:solidFill>
              <a:schemeClr val="dk1"/>
            </a:solidFill>
            <a:effectLst/>
            <a:latin typeface="Times New Roman" panose="02020603050405020304" pitchFamily="18" charset="0"/>
            <a:ea typeface="+mn-ea"/>
            <a:cs typeface="Times New Roman" panose="02020603050405020304" pitchFamily="18" charset="0"/>
          </a:endParaRPr>
        </a:p>
        <a:p>
          <a:r>
            <a:rPr lang="ru-RU" sz="1200">
              <a:solidFill>
                <a:schemeClr val="dk1"/>
              </a:solidFill>
              <a:effectLst/>
              <a:latin typeface="Times New Roman" panose="02020603050405020304" pitchFamily="18" charset="0"/>
              <a:ea typeface="+mn-ea"/>
              <a:cs typeface="Times New Roman" panose="02020603050405020304" pitchFamily="18" charset="0"/>
            </a:rPr>
            <a:t> </a:t>
          </a:r>
          <a:endParaRPr lang="en-US" sz="1000">
            <a:latin typeface="Arial" panose="020B0604020202020204" pitchFamily="34" charset="0"/>
            <a:cs typeface="Arial" panose="020B0604020202020204" pitchFamily="34" charset="0"/>
          </a:endParaRPr>
        </a:p>
        <a:p>
          <a:pPr>
            <a:spcAft>
              <a:spcPts val="0"/>
            </a:spcAft>
          </a:pPr>
          <a:r>
            <a:rPr lang="en-US" sz="1600" b="1">
              <a:effectLst/>
              <a:latin typeface="+mn-lt"/>
              <a:ea typeface="Times New Roman" panose="02020603050405020304" pitchFamily="18" charset="0"/>
              <a:cs typeface="Times New Roman" panose="02020603050405020304" pitchFamily="18" charset="0"/>
            </a:rPr>
            <a:t>II.9. TERMINOLOGY</a:t>
          </a:r>
          <a:r>
            <a:rPr lang="en-US" sz="1600">
              <a:effectLst/>
              <a:latin typeface="+mn-lt"/>
              <a:ea typeface="Times New Roman" panose="02020603050405020304" pitchFamily="18" charset="0"/>
            </a:rPr>
            <a:t> </a:t>
          </a:r>
          <a:endParaRPr lang="en-GB" sz="1600">
            <a:effectLst/>
            <a:latin typeface="+mn-lt"/>
            <a:ea typeface="Times New Roman" panose="02020603050405020304" pitchFamily="18" charset="0"/>
          </a:endParaRPr>
        </a:p>
        <a:p>
          <a:endParaRPr lang="en-US" sz="1000">
            <a:latin typeface="Arial" panose="020B0604020202020204" pitchFamily="34" charset="0"/>
            <a:cs typeface="Arial" panose="020B0604020202020204" pitchFamily="34" charset="0"/>
          </a:endParaRPr>
        </a:p>
        <a:p>
          <a:r>
            <a:rPr lang="en-US" sz="1200">
              <a:effectLst/>
              <a:latin typeface="+mn-lt"/>
              <a:ea typeface="Times New Roman" panose="02020603050405020304" pitchFamily="18" charset="0"/>
              <a:cs typeface="Times New Roman" panose="02020603050405020304" pitchFamily="18" charset="0"/>
            </a:rPr>
            <a:t>ASTM</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American Society for Testing Materials.</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A.P.I.</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American Petroleum Institute.</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I.P.</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Institute of Petroleum.</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I.S.O.</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International Standardisation Organization.</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Bill of Lading</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A document issued by the cargo supplier which states the quantity delivered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to the vessel.</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Calibration table</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A table showing the volumes of liquid which a given tank holds at various liquid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levels measured from a reference point.</a:t>
          </a:r>
          <a:endParaRPr lang="ru-RU" sz="1200">
            <a:effectLst/>
            <a:latin typeface="+mn-lt"/>
            <a:ea typeface="Times New Roman" panose="02020603050405020304" pitchFamily="18" charset="0"/>
            <a:cs typeface="Times New Roman" panose="02020603050405020304" pitchFamily="18" charset="0"/>
          </a:endParaRPr>
        </a:p>
        <a:p>
          <a:endParaRPr lang="en-US" sz="1200">
            <a:latin typeface="+mn-lt"/>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Dip (innage)</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depth of a liquid measured from the surface of the fixed datumplate or to </a:t>
          </a:r>
        </a:p>
        <a:p>
          <a:r>
            <a:rPr lang="en-US" sz="1200">
              <a:effectLst/>
              <a:latin typeface="+mn-lt"/>
              <a:ea typeface="Times New Roman" panose="02020603050405020304" pitchFamily="18" charset="0"/>
              <a:cs typeface="Times New Roman" panose="02020603050405020304" pitchFamily="18" charset="0"/>
            </a:rPr>
            <a:t>			the tank bottom.</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Floating roof correction</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correction which allows for the oil displaced by the floating roof. </a:t>
          </a:r>
        </a:p>
        <a:p>
          <a:r>
            <a:rPr lang="en-US" sz="1200">
              <a:effectLst/>
              <a:latin typeface="+mn-lt"/>
              <a:ea typeface="Times New Roman" panose="02020603050405020304" pitchFamily="18" charset="0"/>
              <a:cs typeface="Times New Roman" panose="02020603050405020304" pitchFamily="18" charset="0"/>
            </a:rPr>
            <a:t>			(in the critical zone, accurate correction is not possible)</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Free flowing liquid</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liquid which is left in cargo tanks after unloading which is capable of free flow. </a:t>
          </a:r>
        </a:p>
        <a:p>
          <a:r>
            <a:rPr lang="en-US" sz="1200">
              <a:effectLst/>
              <a:latin typeface="+mn-lt"/>
              <a:ea typeface="Times New Roman" panose="02020603050405020304" pitchFamily="18" charset="0"/>
              <a:cs typeface="Times New Roman" panose="02020603050405020304" pitchFamily="18" charset="0"/>
            </a:rPr>
            <a:t>			(ISO draft)</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Free Water (FW)</a:t>
          </a:r>
          <a:r>
            <a:rPr lang="ru-RU" sz="1200" baseline="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measured volume of water present in a container which is not in suspension in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contained liquid at observed temperature.</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Gross standard density of oil</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mass per unit Gross Standard Volume of oil.</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Gross Standard Volume (GSV)</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entire volume of all petroleum liquids and sediment and water, excluding free</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water, corrected by the appropriate volume correction factor for the measured</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temperature and density to a standard reference temperature.</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Mass</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mass of a substance is the quantity of matter it contains and as such is 			independent of buoyancy, changes in acceleration due to gravity and other external 			conditions.</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Gross weight in air of oil</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mass which a gross standard volume of oil has when weighed in air.</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Indicated volume</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change in meter reading that occurs during a receipt or delivery.</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Indicated volume with factor</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indicated volume multiplied by the meter factor for the particular liquid and</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operating conditions under which the meter was proved.</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In transit difference</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difference between the Total Calculated Volume immediately after a loading and</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Total Calculated Volume immediately before the next unloading.</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Line circulation</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Petroleum or other liquid delivered through a pipeline system into a receiving vessel or</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tank to ensure that the section of pipeline from the source tank to the receiving tank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is full.</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Line displacement</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Done when necessary to replace the material in a pipeline with a different material.</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Line press (pack) </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recorded difference in tanks gauges when a line is pressurized by pumping from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tank into the closed pipeline system, and taking the second tank gauge while a</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specific line pressure is maintained.</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Line drop</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Opening (venting to atmosphere) a vessel's piping system so as to allow, to the extent</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possible, their drainage into ship's tank(s) where the material may be gauged and</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accounted for.</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Load On Top (LOT) procedure</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This is the shipboard procedure of collecting and settling water and oil mixtures,</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resulting from ballasting and tank opera-tions (usually in a special sloptank or tanks)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and the subsequent loading of cargo onto such mixtures.</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Load on top (practice)</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act of comingling on board quantity with cargo being loaded.</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US" sz="1200">
              <a:effectLst/>
              <a:latin typeface="+mn-lt"/>
              <a:ea typeface="Times New Roman" panose="02020603050405020304" pitchFamily="18" charset="0"/>
              <a:cs typeface="Times New Roman" panose="02020603050405020304" pitchFamily="18" charset="0"/>
            </a:rPr>
            <a:t>Meter factor</a:t>
          </a:r>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The ratio of the actual volume of liquid passing through a meter to the volume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US" sz="1200">
              <a:effectLst/>
              <a:latin typeface="+mn-lt"/>
              <a:ea typeface="Times New Roman" panose="02020603050405020304" pitchFamily="18" charset="0"/>
              <a:cs typeface="Times New Roman" panose="02020603050405020304" pitchFamily="18" charset="0"/>
            </a:rPr>
            <a:t>indicated by the meter.</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Net Observed Volume (NOV)</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entire volume of all petroleum liquids, excluding Sediment and Water and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Free Water at measured temperature and pressure.</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Net standard density of oil</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mass per unit Net Standard Volume of Oil.</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Net Standard Volume (NSV)</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entire volume of all petroleum liquids, excluding suspended Sediments and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Water and Free Water, corrected by the appropriate correction factor for the </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measured</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temperature and density to a standard reference temperature (and also </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corrected by the</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applicable pressure correction factor and meter factor.</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Net Wt-in-Air of oil</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mass which a Net Standard Volume of Oil has when weighed in air.</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Notice of apparent discrepancy</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 letter issued by any participant in a custody transfer citing any condition with which</a:t>
          </a:r>
          <a:r>
            <a:rPr lang="ru-RU" sz="1200">
              <a:effectLst/>
              <a:latin typeface="+mn-lt"/>
              <a:ea typeface="Times New Roman" panose="02020603050405020304" pitchFamily="18" charset="0"/>
              <a:cs typeface="Times New Roman" panose="02020603050405020304" pitchFamily="18" charset="0"/>
            </a:rPr>
            <a:t> </a:t>
          </a: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issue is taken. This serves as a written record that the particular action of finding was</a:t>
          </a:r>
          <a:r>
            <a:rPr lang="ru-RU" sz="1200">
              <a:effectLst/>
              <a:latin typeface="+mn-lt"/>
              <a:ea typeface="Times New Roman" panose="02020603050405020304" pitchFamily="18" charset="0"/>
              <a:cs typeface="Times New Roman" panose="02020603050405020304" pitchFamily="18" charset="0"/>
            </a:rPr>
            <a:t> </a:t>
          </a: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questioned at the time of occurrence.</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On Board Quantity (OBQ)</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All the oil, water, sludge and sediment in the cargo tanks and associated lines and </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pumps on a ship before loading a cargo commences.</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Outturn quantity </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quantity of oil expressed in Net Standard Volume received from a ship, on-shore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or off-shore installation during a given time or in a particular batch.</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Outturn certificate</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 statement issued by a receiving party, certifying the Outturn Quantity.</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Outturn loss/gain</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difference, in Net Standard Volume, between the quantity shown on the Bill of </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Lading and the quantity shown on the Outturn </a:t>
          </a:r>
          <a:endParaRPr lang="ru-RU" sz="1200">
            <a:effectLst/>
            <a:latin typeface="+mn-lt"/>
            <a:ea typeface="Times New Roman" panose="02020603050405020304" pitchFamily="18" charset="0"/>
            <a:cs typeface="Times New Roman" panose="02020603050405020304" pitchFamily="18" charset="0"/>
          </a:endParaRP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Certificate. </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It may be expressed as a volume or a percentage of the Bill of Lading quantity.</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Part cargo</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 quantity of oil occupying less then 80 % of the available cargo capacity.</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Quantity Remaining On Board (ROB)</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All the oil, water, sludge and sediment in the cargo tanks and associated lines and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pumps on a ship after discharging of a cargo has been completed, excluding vapours.</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Reference level</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 fixed location on or in a tank from which measurements are made.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Dip measurements are usually referred to a firmly fixed level plate located on or close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to the tank bottom but may be referred to the tank bottom.</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Slops</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Oil, oil/water emulsions, sediment and water contained in slop tanks or designed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cargo tanks.</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Suspended water</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water within the oil, commonly present as inhomogenously dispersed water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droplets of varying dimensions.</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Tank gauging</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The measurement by dip or ullage.</a:t>
          </a:r>
        </a:p>
        <a:p>
          <a:endParaRPr lang="ru-RU" sz="1200">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Total Calculated Volume</a:t>
          </a:r>
          <a:r>
            <a:rPr lang="ru-RU" sz="1200" baseline="0">
              <a:effectLst/>
              <a:latin typeface="+mn-lt"/>
              <a:ea typeface="Times New Roman" panose="02020603050405020304" pitchFamily="18" charset="0"/>
              <a:cs typeface="Times New Roman" panose="02020603050405020304" pitchFamily="18" charset="0"/>
            </a:rPr>
            <a:t> 		</a:t>
          </a:r>
          <a:r>
            <a:rPr lang="en-GB" sz="1200">
              <a:solidFill>
                <a:schemeClr val="dk1"/>
              </a:solidFill>
              <a:effectLst/>
              <a:latin typeface="+mn-lt"/>
              <a:ea typeface="Times New Roman" panose="02020603050405020304" pitchFamily="18" charset="0"/>
              <a:cs typeface="Times New Roman" panose="02020603050405020304" pitchFamily="18" charset="0"/>
            </a:rPr>
            <a:t>The entire volume of all petroleum liquids and suspended sediment and water, </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GB" sz="1200">
              <a:effectLst/>
              <a:latin typeface="+mn-lt"/>
              <a:ea typeface="Times New Roman" panose="02020603050405020304" pitchFamily="18" charset="0"/>
              <a:cs typeface="Times New Roman" panose="02020603050405020304" pitchFamily="18" charset="0"/>
            </a:rPr>
            <a:t>(TCV = GSV + FW)</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excluding free water, corrected by the appropriate volume correction factor for the</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observed temperature and density to a standard reference temperature and also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corrected</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by the applicable pressure factor and meter factor with all free water 			measured</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at</a:t>
          </a:r>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observed temperature and pressure added back in </a:t>
          </a:r>
          <a:endParaRPr lang="ru-RU" sz="1200">
            <a:effectLst/>
            <a:latin typeface="+mn-lt"/>
            <a:ea typeface="Times New Roman" panose="02020603050405020304" pitchFamily="18" charset="0"/>
            <a:cs typeface="Times New Roman" panose="02020603050405020304" pitchFamily="18" charset="0"/>
          </a:endParaRPr>
        </a:p>
        <a:p>
          <a:r>
            <a:rPr lang="ru-RU" sz="1200">
              <a:effectLst/>
              <a:latin typeface="+mn-lt"/>
              <a:ea typeface="Times New Roman" panose="02020603050405020304" pitchFamily="18" charset="0"/>
              <a:cs typeface="Times New Roman" panose="02020603050405020304" pitchFamily="18" charset="0"/>
            </a:rPr>
            <a:t>			</a:t>
          </a:r>
          <a:r>
            <a:rPr lang="en-GB" sz="1200">
              <a:effectLst/>
              <a:latin typeface="+mn-lt"/>
              <a:ea typeface="Times New Roman" panose="02020603050405020304" pitchFamily="18" charset="0"/>
              <a:cs typeface="Times New Roman" panose="02020603050405020304" pitchFamily="18" charset="0"/>
            </a:rPr>
            <a:t>(i.e. Gross Standard Volume + Free Water).</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Total Observed Volume (TOV)</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entire volume of material contained in a tank at the tank temperature.</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Ullage</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distance from an upper reference level to the air/liquid interface in a tank.</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Vessel Experience Factor (VEF)</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mean value of the Vessel Load Ratio's or Vessel Discharge Ratio's (VDRs) after </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several qualified voyages.</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Vessel Load Ratio (VLR) </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ratio of the Total Calculated Volume (TCV) measured on board a vessel</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immediately after loading less the On Board Quantity (OBQ) to the TCV measured </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by the loading terminal.</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Vessel Discharge Ratio (VDR)</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ratio of the Total Calculated Volume (TCV) measured on board a vessel</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immediately before discharge less the quantity Remaining On Board (ROB) to </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TCV measured by the receiving terminal.</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Vessel -shore difference</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difference between the Total Calculated Volume recorded by the vessel </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corrected for OBQ or ROB as appropriate and the Total Calculated Volume recorded </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by the shore.</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Volume Correction Factor (VCF)</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A factor for correcting oil volumes to a standard reference temperature.</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Water cut</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The procedure of locating the oil/water interface for the purpose of determining the</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volume of free water in a shore tank or vessel compartment.</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Wedge formula</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A mathematical means to estimate small quantities of cargo and free water on board</a:t>
          </a:r>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prior to loading and after discharge based on cargo compartment dimensions and 			vessel trim. The wedge formula is to be used only when the liquid does not cover </a:t>
          </a:r>
        </a:p>
        <a:p>
          <a:r>
            <a:rPr lang="en-US" sz="1200">
              <a:solidFill>
                <a:schemeClr val="dk1"/>
              </a:solidFill>
              <a:effectLst/>
              <a:latin typeface="+mn-lt"/>
              <a:ea typeface="Times New Roman" panose="02020603050405020304" pitchFamily="18" charset="0"/>
              <a:cs typeface="Times New Roman" panose="02020603050405020304" pitchFamily="18" charset="0"/>
            </a:rPr>
            <a:t>			the entire bottom of vessels tank. The volume of the wedge is expressed as a fraction </a:t>
          </a:r>
        </a:p>
        <a:p>
          <a:r>
            <a:rPr lang="en-US" sz="1200">
              <a:solidFill>
                <a:schemeClr val="dk1"/>
              </a:solidFill>
              <a:effectLst/>
              <a:latin typeface="+mn-lt"/>
              <a:ea typeface="Times New Roman" panose="02020603050405020304" pitchFamily="18" charset="0"/>
              <a:cs typeface="Times New Roman" panose="02020603050405020304" pitchFamily="18" charset="0"/>
            </a:rPr>
            <a:t>			of the volume for the uncorrected dip at the end of the tank.</a:t>
          </a:r>
        </a:p>
        <a:p>
          <a:endParaRPr lang="ru-RU" sz="1200">
            <a:solidFill>
              <a:schemeClr val="dk1"/>
            </a:solidFill>
            <a:effectLst/>
            <a:latin typeface="+mn-lt"/>
            <a:ea typeface="Times New Roman" panose="02020603050405020304" pitchFamily="18" charset="0"/>
            <a:cs typeface="Times New Roman" panose="02020603050405020304" pitchFamily="18" charset="0"/>
          </a:endParaRPr>
        </a:p>
        <a:p>
          <a:r>
            <a:rPr lang="en-US" sz="1200">
              <a:solidFill>
                <a:schemeClr val="dk1"/>
              </a:solidFill>
              <a:effectLst/>
              <a:latin typeface="+mn-lt"/>
              <a:ea typeface="Times New Roman" panose="02020603050405020304" pitchFamily="18" charset="0"/>
              <a:cs typeface="Times New Roman" panose="02020603050405020304" pitchFamily="18" charset="0"/>
            </a:rPr>
            <a:t>Weight Conversion Factor (W.C.F.)</a:t>
          </a:r>
          <a:r>
            <a:rPr lang="ru-RU" sz="1200">
              <a:solidFill>
                <a:schemeClr val="dk1"/>
              </a:solidFill>
              <a:effectLst/>
              <a:latin typeface="+mn-lt"/>
              <a:ea typeface="Times New Roman" panose="02020603050405020304" pitchFamily="18" charset="0"/>
              <a:cs typeface="Times New Roman" panose="02020603050405020304" pitchFamily="18" charset="0"/>
            </a:rPr>
            <a:t> 	</a:t>
          </a:r>
          <a:r>
            <a:rPr lang="en-US" sz="1200">
              <a:solidFill>
                <a:schemeClr val="dk1"/>
              </a:solidFill>
              <a:effectLst/>
              <a:latin typeface="+mn-lt"/>
              <a:ea typeface="Times New Roman" panose="02020603050405020304" pitchFamily="18" charset="0"/>
              <a:cs typeface="Times New Roman" panose="02020603050405020304" pitchFamily="18" charset="0"/>
            </a:rPr>
            <a:t>A factor for converting volumes to weight-in-air.</a:t>
          </a:r>
        </a:p>
        <a:p>
          <a:endParaRPr lang="en-US" sz="1200">
            <a:solidFill>
              <a:schemeClr val="dk1"/>
            </a:solidFill>
            <a:effectLst/>
            <a:latin typeface="Times New Roman" panose="02020603050405020304" pitchFamily="18" charset="0"/>
            <a:ea typeface="Times New Roman" panose="02020603050405020304" pitchFamily="18" charset="0"/>
            <a:cs typeface="Times New Roman" panose="02020603050405020304" pitchFamily="18"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ru-RU" sz="1000">
            <a:latin typeface="Arial" panose="020B0604020202020204" pitchFamily="34" charset="0"/>
            <a:cs typeface="Arial" panose="020B0604020202020204" pitchFamily="34" charset="0"/>
          </a:endParaRPr>
        </a:p>
      </xdr:txBody>
    </xdr:sp>
    <xdr:clientData/>
  </xdr:twoCellAnchor>
  <xdr:twoCellAnchor editAs="oneCell">
    <xdr:from>
      <xdr:col>3</xdr:col>
      <xdr:colOff>19050</xdr:colOff>
      <xdr:row>1</xdr:row>
      <xdr:rowOff>19051</xdr:rowOff>
    </xdr:from>
    <xdr:to>
      <xdr:col>3</xdr:col>
      <xdr:colOff>438150</xdr:colOff>
      <xdr:row>2</xdr:row>
      <xdr:rowOff>241301</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16530" y="179071"/>
          <a:ext cx="419100" cy="48895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4</xdr:col>
      <xdr:colOff>60960</xdr:colOff>
      <xdr:row>207</xdr:row>
      <xdr:rowOff>121920</xdr:rowOff>
    </xdr:from>
    <xdr:to>
      <xdr:col>6</xdr:col>
      <xdr:colOff>648000</xdr:colOff>
      <xdr:row>211</xdr:row>
      <xdr:rowOff>59760</xdr:rowOff>
    </xdr:to>
    <xdr:pic>
      <xdr:nvPicPr>
        <xdr:cNvPr id="2" name="Picture 116">
          <a:extLst>
            <a:ext uri="{FF2B5EF4-FFF2-40B4-BE49-F238E27FC236}">
              <a16:creationId xmlns:a16="http://schemas.microsoft.com/office/drawing/2014/main" id="{00000000-0008-0000-2A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06140" y="37879020"/>
          <a:ext cx="2019600" cy="60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xdr:col>
          <xdr:colOff>47625</xdr:colOff>
          <xdr:row>5</xdr:row>
          <xdr:rowOff>242888</xdr:rowOff>
        </xdr:from>
        <xdr:to>
          <xdr:col>8</xdr:col>
          <xdr:colOff>76200</xdr:colOff>
          <xdr:row>7</xdr:row>
          <xdr:rowOff>61913</xdr:rowOff>
        </xdr:to>
        <xdr:sp macro="" textlink="">
          <xdr:nvSpPr>
            <xdr:cNvPr id="352257" name="Object 1" hidden="1">
              <a:extLst>
                <a:ext uri="{63B3BB69-23CF-44E3-9099-C40C66FF867C}">
                  <a14:compatExt spid="_x0000_s352257"/>
                </a:ext>
                <a:ext uri="{FF2B5EF4-FFF2-40B4-BE49-F238E27FC236}">
                  <a16:creationId xmlns:a16="http://schemas.microsoft.com/office/drawing/2014/main" id="{00000000-0008-0000-2A00-000001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47625</xdr:colOff>
          <xdr:row>8</xdr:row>
          <xdr:rowOff>0</xdr:rowOff>
        </xdr:from>
        <xdr:to>
          <xdr:col>6</xdr:col>
          <xdr:colOff>633413</xdr:colOff>
          <xdr:row>10</xdr:row>
          <xdr:rowOff>76200</xdr:rowOff>
        </xdr:to>
        <xdr:sp macro="" textlink="">
          <xdr:nvSpPr>
            <xdr:cNvPr id="352258" name="Object 2" hidden="1">
              <a:extLst>
                <a:ext uri="{63B3BB69-23CF-44E3-9099-C40C66FF867C}">
                  <a14:compatExt spid="_x0000_s352258"/>
                </a:ext>
                <a:ext uri="{FF2B5EF4-FFF2-40B4-BE49-F238E27FC236}">
                  <a16:creationId xmlns:a16="http://schemas.microsoft.com/office/drawing/2014/main" id="{00000000-0008-0000-2A00-000002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61913</xdr:colOff>
          <xdr:row>12</xdr:row>
          <xdr:rowOff>90488</xdr:rowOff>
        </xdr:from>
        <xdr:to>
          <xdr:col>6</xdr:col>
          <xdr:colOff>647700</xdr:colOff>
          <xdr:row>14</xdr:row>
          <xdr:rowOff>166688</xdr:rowOff>
        </xdr:to>
        <xdr:sp macro="" textlink="">
          <xdr:nvSpPr>
            <xdr:cNvPr id="352259" name="Object 3" hidden="1">
              <a:extLst>
                <a:ext uri="{63B3BB69-23CF-44E3-9099-C40C66FF867C}">
                  <a14:compatExt spid="_x0000_s352259"/>
                </a:ext>
                <a:ext uri="{FF2B5EF4-FFF2-40B4-BE49-F238E27FC236}">
                  <a16:creationId xmlns:a16="http://schemas.microsoft.com/office/drawing/2014/main" id="{00000000-0008-0000-2A00-000003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52388</xdr:colOff>
          <xdr:row>21</xdr:row>
          <xdr:rowOff>47625</xdr:rowOff>
        </xdr:from>
        <xdr:to>
          <xdr:col>6</xdr:col>
          <xdr:colOff>638175</xdr:colOff>
          <xdr:row>23</xdr:row>
          <xdr:rowOff>123825</xdr:rowOff>
        </xdr:to>
        <xdr:sp macro="" textlink="">
          <xdr:nvSpPr>
            <xdr:cNvPr id="352260" name="Object 4" hidden="1">
              <a:extLst>
                <a:ext uri="{63B3BB69-23CF-44E3-9099-C40C66FF867C}">
                  <a14:compatExt spid="_x0000_s352260"/>
                </a:ext>
                <a:ext uri="{FF2B5EF4-FFF2-40B4-BE49-F238E27FC236}">
                  <a16:creationId xmlns:a16="http://schemas.microsoft.com/office/drawing/2014/main" id="{00000000-0008-0000-2A00-000004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66675</xdr:colOff>
          <xdr:row>23</xdr:row>
          <xdr:rowOff>176213</xdr:rowOff>
        </xdr:from>
        <xdr:to>
          <xdr:col>6</xdr:col>
          <xdr:colOff>657225</xdr:colOff>
          <xdr:row>25</xdr:row>
          <xdr:rowOff>252413</xdr:rowOff>
        </xdr:to>
        <xdr:sp macro="" textlink="">
          <xdr:nvSpPr>
            <xdr:cNvPr id="352261" name="Object 5" hidden="1">
              <a:extLst>
                <a:ext uri="{63B3BB69-23CF-44E3-9099-C40C66FF867C}">
                  <a14:compatExt spid="_x0000_s352261"/>
                </a:ext>
                <a:ext uri="{FF2B5EF4-FFF2-40B4-BE49-F238E27FC236}">
                  <a16:creationId xmlns:a16="http://schemas.microsoft.com/office/drawing/2014/main" id="{00000000-0008-0000-2A00-000005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61913</xdr:colOff>
          <xdr:row>27</xdr:row>
          <xdr:rowOff>23813</xdr:rowOff>
        </xdr:from>
        <xdr:to>
          <xdr:col>8</xdr:col>
          <xdr:colOff>776288</xdr:colOff>
          <xdr:row>28</xdr:row>
          <xdr:rowOff>104775</xdr:rowOff>
        </xdr:to>
        <xdr:sp macro="" textlink="">
          <xdr:nvSpPr>
            <xdr:cNvPr id="352262" name="Object 6" hidden="1">
              <a:extLst>
                <a:ext uri="{63B3BB69-23CF-44E3-9099-C40C66FF867C}">
                  <a14:compatExt spid="_x0000_s352262"/>
                </a:ext>
                <a:ext uri="{FF2B5EF4-FFF2-40B4-BE49-F238E27FC236}">
                  <a16:creationId xmlns:a16="http://schemas.microsoft.com/office/drawing/2014/main" id="{00000000-0008-0000-2A00-000006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14288</xdr:colOff>
          <xdr:row>15</xdr:row>
          <xdr:rowOff>257175</xdr:rowOff>
        </xdr:from>
        <xdr:to>
          <xdr:col>7</xdr:col>
          <xdr:colOff>561975</xdr:colOff>
          <xdr:row>17</xdr:row>
          <xdr:rowOff>76200</xdr:rowOff>
        </xdr:to>
        <xdr:sp macro="" textlink="">
          <xdr:nvSpPr>
            <xdr:cNvPr id="352263" name="Object 7" hidden="1">
              <a:extLst>
                <a:ext uri="{63B3BB69-23CF-44E3-9099-C40C66FF867C}">
                  <a14:compatExt spid="_x0000_s352263"/>
                </a:ext>
                <a:ext uri="{FF2B5EF4-FFF2-40B4-BE49-F238E27FC236}">
                  <a16:creationId xmlns:a16="http://schemas.microsoft.com/office/drawing/2014/main" id="{00000000-0008-0000-2A00-000007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9525</xdr:colOff>
          <xdr:row>29</xdr:row>
          <xdr:rowOff>128588</xdr:rowOff>
        </xdr:from>
        <xdr:to>
          <xdr:col>7</xdr:col>
          <xdr:colOff>557213</xdr:colOff>
          <xdr:row>31</xdr:row>
          <xdr:rowOff>142875</xdr:rowOff>
        </xdr:to>
        <xdr:sp macro="" textlink="">
          <xdr:nvSpPr>
            <xdr:cNvPr id="352264" name="Object 8" hidden="1">
              <a:extLst>
                <a:ext uri="{63B3BB69-23CF-44E3-9099-C40C66FF867C}">
                  <a14:compatExt spid="_x0000_s352264"/>
                </a:ext>
                <a:ext uri="{FF2B5EF4-FFF2-40B4-BE49-F238E27FC236}">
                  <a16:creationId xmlns:a16="http://schemas.microsoft.com/office/drawing/2014/main" id="{00000000-0008-0000-2A00-000008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23813</xdr:colOff>
          <xdr:row>35</xdr:row>
          <xdr:rowOff>0</xdr:rowOff>
        </xdr:from>
        <xdr:to>
          <xdr:col>8</xdr:col>
          <xdr:colOff>738188</xdr:colOff>
          <xdr:row>37</xdr:row>
          <xdr:rowOff>14288</xdr:rowOff>
        </xdr:to>
        <xdr:sp macro="" textlink="">
          <xdr:nvSpPr>
            <xdr:cNvPr id="352265" name="Object 9" hidden="1">
              <a:extLst>
                <a:ext uri="{63B3BB69-23CF-44E3-9099-C40C66FF867C}">
                  <a14:compatExt spid="_x0000_s352265"/>
                </a:ext>
                <a:ext uri="{FF2B5EF4-FFF2-40B4-BE49-F238E27FC236}">
                  <a16:creationId xmlns:a16="http://schemas.microsoft.com/office/drawing/2014/main" id="{00000000-0008-0000-2A00-000009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39</xdr:row>
          <xdr:rowOff>23813</xdr:rowOff>
        </xdr:from>
        <xdr:to>
          <xdr:col>6</xdr:col>
          <xdr:colOff>623888</xdr:colOff>
          <xdr:row>42</xdr:row>
          <xdr:rowOff>128588</xdr:rowOff>
        </xdr:to>
        <xdr:sp macro="" textlink="">
          <xdr:nvSpPr>
            <xdr:cNvPr id="352266" name="Object 10" hidden="1">
              <a:extLst>
                <a:ext uri="{63B3BB69-23CF-44E3-9099-C40C66FF867C}">
                  <a14:compatExt spid="_x0000_s352266"/>
                </a:ext>
                <a:ext uri="{FF2B5EF4-FFF2-40B4-BE49-F238E27FC236}">
                  <a16:creationId xmlns:a16="http://schemas.microsoft.com/office/drawing/2014/main" id="{00000000-0008-0000-2A00-00000A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66675</xdr:colOff>
          <xdr:row>43</xdr:row>
          <xdr:rowOff>9525</xdr:rowOff>
        </xdr:from>
        <xdr:to>
          <xdr:col>6</xdr:col>
          <xdr:colOff>657225</xdr:colOff>
          <xdr:row>46</xdr:row>
          <xdr:rowOff>114300</xdr:rowOff>
        </xdr:to>
        <xdr:sp macro="" textlink="">
          <xdr:nvSpPr>
            <xdr:cNvPr id="352267" name="Object 11" hidden="1">
              <a:extLst>
                <a:ext uri="{63B3BB69-23CF-44E3-9099-C40C66FF867C}">
                  <a14:compatExt spid="_x0000_s352267"/>
                </a:ext>
                <a:ext uri="{FF2B5EF4-FFF2-40B4-BE49-F238E27FC236}">
                  <a16:creationId xmlns:a16="http://schemas.microsoft.com/office/drawing/2014/main" id="{00000000-0008-0000-2A00-00000B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61913</xdr:colOff>
          <xdr:row>49</xdr:row>
          <xdr:rowOff>152400</xdr:rowOff>
        </xdr:from>
        <xdr:to>
          <xdr:col>8</xdr:col>
          <xdr:colOff>776288</xdr:colOff>
          <xdr:row>52</xdr:row>
          <xdr:rowOff>0</xdr:rowOff>
        </xdr:to>
        <xdr:sp macro="" textlink="">
          <xdr:nvSpPr>
            <xdr:cNvPr id="352268" name="Object 12" hidden="1">
              <a:extLst>
                <a:ext uri="{63B3BB69-23CF-44E3-9099-C40C66FF867C}">
                  <a14:compatExt spid="_x0000_s352268"/>
                </a:ext>
                <a:ext uri="{FF2B5EF4-FFF2-40B4-BE49-F238E27FC236}">
                  <a16:creationId xmlns:a16="http://schemas.microsoft.com/office/drawing/2014/main" id="{00000000-0008-0000-2A00-00000C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54</xdr:row>
          <xdr:rowOff>38100</xdr:rowOff>
        </xdr:from>
        <xdr:to>
          <xdr:col>6</xdr:col>
          <xdr:colOff>585788</xdr:colOff>
          <xdr:row>57</xdr:row>
          <xdr:rowOff>142875</xdr:rowOff>
        </xdr:to>
        <xdr:sp macro="" textlink="">
          <xdr:nvSpPr>
            <xdr:cNvPr id="352269" name="Object 13" hidden="1">
              <a:extLst>
                <a:ext uri="{63B3BB69-23CF-44E3-9099-C40C66FF867C}">
                  <a14:compatExt spid="_x0000_s352269"/>
                </a:ext>
                <a:ext uri="{FF2B5EF4-FFF2-40B4-BE49-F238E27FC236}">
                  <a16:creationId xmlns:a16="http://schemas.microsoft.com/office/drawing/2014/main" id="{00000000-0008-0000-2A00-00000D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58</xdr:row>
          <xdr:rowOff>23813</xdr:rowOff>
        </xdr:from>
        <xdr:to>
          <xdr:col>6</xdr:col>
          <xdr:colOff>623888</xdr:colOff>
          <xdr:row>61</xdr:row>
          <xdr:rowOff>128588</xdr:rowOff>
        </xdr:to>
        <xdr:sp macro="" textlink="">
          <xdr:nvSpPr>
            <xdr:cNvPr id="352270" name="Object 14" hidden="1">
              <a:extLst>
                <a:ext uri="{63B3BB69-23CF-44E3-9099-C40C66FF867C}">
                  <a14:compatExt spid="_x0000_s352270"/>
                </a:ext>
                <a:ext uri="{FF2B5EF4-FFF2-40B4-BE49-F238E27FC236}">
                  <a16:creationId xmlns:a16="http://schemas.microsoft.com/office/drawing/2014/main" id="{00000000-0008-0000-2A00-00000E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9525</xdr:colOff>
          <xdr:row>66</xdr:row>
          <xdr:rowOff>52388</xdr:rowOff>
        </xdr:from>
        <xdr:to>
          <xdr:col>8</xdr:col>
          <xdr:colOff>723900</xdr:colOff>
          <xdr:row>68</xdr:row>
          <xdr:rowOff>66675</xdr:rowOff>
        </xdr:to>
        <xdr:sp macro="" textlink="">
          <xdr:nvSpPr>
            <xdr:cNvPr id="352271" name="Object 15" hidden="1">
              <a:extLst>
                <a:ext uri="{63B3BB69-23CF-44E3-9099-C40C66FF867C}">
                  <a14:compatExt spid="_x0000_s352271"/>
                </a:ext>
                <a:ext uri="{FF2B5EF4-FFF2-40B4-BE49-F238E27FC236}">
                  <a16:creationId xmlns:a16="http://schemas.microsoft.com/office/drawing/2014/main" id="{00000000-0008-0000-2A00-00000F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47625</xdr:colOff>
          <xdr:row>78</xdr:row>
          <xdr:rowOff>23813</xdr:rowOff>
        </xdr:from>
        <xdr:to>
          <xdr:col>6</xdr:col>
          <xdr:colOff>633413</xdr:colOff>
          <xdr:row>81</xdr:row>
          <xdr:rowOff>128588</xdr:rowOff>
        </xdr:to>
        <xdr:sp macro="" textlink="">
          <xdr:nvSpPr>
            <xdr:cNvPr id="352272" name="Object 16" hidden="1">
              <a:extLst>
                <a:ext uri="{63B3BB69-23CF-44E3-9099-C40C66FF867C}">
                  <a14:compatExt spid="_x0000_s352272"/>
                </a:ext>
                <a:ext uri="{FF2B5EF4-FFF2-40B4-BE49-F238E27FC236}">
                  <a16:creationId xmlns:a16="http://schemas.microsoft.com/office/drawing/2014/main" id="{00000000-0008-0000-2A00-000010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52388</xdr:colOff>
          <xdr:row>81</xdr:row>
          <xdr:rowOff>138113</xdr:rowOff>
        </xdr:from>
        <xdr:to>
          <xdr:col>8</xdr:col>
          <xdr:colOff>771525</xdr:colOff>
          <xdr:row>83</xdr:row>
          <xdr:rowOff>152400</xdr:rowOff>
        </xdr:to>
        <xdr:sp macro="" textlink="">
          <xdr:nvSpPr>
            <xdr:cNvPr id="352273" name="Object 17" hidden="1">
              <a:extLst>
                <a:ext uri="{63B3BB69-23CF-44E3-9099-C40C66FF867C}">
                  <a14:compatExt spid="_x0000_s352273"/>
                </a:ext>
                <a:ext uri="{FF2B5EF4-FFF2-40B4-BE49-F238E27FC236}">
                  <a16:creationId xmlns:a16="http://schemas.microsoft.com/office/drawing/2014/main" id="{00000000-0008-0000-2A00-000011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14288</xdr:colOff>
          <xdr:row>84</xdr:row>
          <xdr:rowOff>52388</xdr:rowOff>
        </xdr:from>
        <xdr:to>
          <xdr:col>7</xdr:col>
          <xdr:colOff>561975</xdr:colOff>
          <xdr:row>86</xdr:row>
          <xdr:rowOff>66675</xdr:rowOff>
        </xdr:to>
        <xdr:sp macro="" textlink="">
          <xdr:nvSpPr>
            <xdr:cNvPr id="352274" name="Object 18" hidden="1">
              <a:extLst>
                <a:ext uri="{63B3BB69-23CF-44E3-9099-C40C66FF867C}">
                  <a14:compatExt spid="_x0000_s352274"/>
                </a:ext>
                <a:ext uri="{FF2B5EF4-FFF2-40B4-BE49-F238E27FC236}">
                  <a16:creationId xmlns:a16="http://schemas.microsoft.com/office/drawing/2014/main" id="{00000000-0008-0000-2A00-000012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47625</xdr:colOff>
          <xdr:row>93</xdr:row>
          <xdr:rowOff>0</xdr:rowOff>
        </xdr:from>
        <xdr:to>
          <xdr:col>6</xdr:col>
          <xdr:colOff>633413</xdr:colOff>
          <xdr:row>96</xdr:row>
          <xdr:rowOff>104775</xdr:rowOff>
        </xdr:to>
        <xdr:sp macro="" textlink="">
          <xdr:nvSpPr>
            <xdr:cNvPr id="352275" name="Object 19" hidden="1">
              <a:extLst>
                <a:ext uri="{63B3BB69-23CF-44E3-9099-C40C66FF867C}">
                  <a14:compatExt spid="_x0000_s352275"/>
                </a:ext>
                <a:ext uri="{FF2B5EF4-FFF2-40B4-BE49-F238E27FC236}">
                  <a16:creationId xmlns:a16="http://schemas.microsoft.com/office/drawing/2014/main" id="{00000000-0008-0000-2A00-000013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23813</xdr:colOff>
          <xdr:row>96</xdr:row>
          <xdr:rowOff>128588</xdr:rowOff>
        </xdr:from>
        <xdr:to>
          <xdr:col>8</xdr:col>
          <xdr:colOff>738188</xdr:colOff>
          <xdr:row>98</xdr:row>
          <xdr:rowOff>142875</xdr:rowOff>
        </xdr:to>
        <xdr:sp macro="" textlink="">
          <xdr:nvSpPr>
            <xdr:cNvPr id="352276" name="Object 20" hidden="1">
              <a:extLst>
                <a:ext uri="{63B3BB69-23CF-44E3-9099-C40C66FF867C}">
                  <a14:compatExt spid="_x0000_s352276"/>
                </a:ext>
                <a:ext uri="{FF2B5EF4-FFF2-40B4-BE49-F238E27FC236}">
                  <a16:creationId xmlns:a16="http://schemas.microsoft.com/office/drawing/2014/main" id="{00000000-0008-0000-2A00-000014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98</xdr:row>
          <xdr:rowOff>152400</xdr:rowOff>
        </xdr:from>
        <xdr:to>
          <xdr:col>7</xdr:col>
          <xdr:colOff>547688</xdr:colOff>
          <xdr:row>101</xdr:row>
          <xdr:rowOff>0</xdr:rowOff>
        </xdr:to>
        <xdr:sp macro="" textlink="">
          <xdr:nvSpPr>
            <xdr:cNvPr id="352277" name="Object 21" hidden="1">
              <a:extLst>
                <a:ext uri="{63B3BB69-23CF-44E3-9099-C40C66FF867C}">
                  <a14:compatExt spid="_x0000_s352277"/>
                </a:ext>
                <a:ext uri="{FF2B5EF4-FFF2-40B4-BE49-F238E27FC236}">
                  <a16:creationId xmlns:a16="http://schemas.microsoft.com/office/drawing/2014/main" id="{00000000-0008-0000-2A00-000015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106</xdr:row>
          <xdr:rowOff>38100</xdr:rowOff>
        </xdr:from>
        <xdr:to>
          <xdr:col>8</xdr:col>
          <xdr:colOff>723900</xdr:colOff>
          <xdr:row>108</xdr:row>
          <xdr:rowOff>52388</xdr:rowOff>
        </xdr:to>
        <xdr:sp macro="" textlink="">
          <xdr:nvSpPr>
            <xdr:cNvPr id="352278" name="Object 22" hidden="1">
              <a:extLst>
                <a:ext uri="{63B3BB69-23CF-44E3-9099-C40C66FF867C}">
                  <a14:compatExt spid="_x0000_s352278"/>
                </a:ext>
                <a:ext uri="{FF2B5EF4-FFF2-40B4-BE49-F238E27FC236}">
                  <a16:creationId xmlns:a16="http://schemas.microsoft.com/office/drawing/2014/main" id="{00000000-0008-0000-2A00-000016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110</xdr:row>
          <xdr:rowOff>28575</xdr:rowOff>
        </xdr:from>
        <xdr:to>
          <xdr:col>6</xdr:col>
          <xdr:colOff>595313</xdr:colOff>
          <xdr:row>114</xdr:row>
          <xdr:rowOff>66675</xdr:rowOff>
        </xdr:to>
        <xdr:sp macro="" textlink="">
          <xdr:nvSpPr>
            <xdr:cNvPr id="352279" name="Object 23" hidden="1">
              <a:extLst>
                <a:ext uri="{63B3BB69-23CF-44E3-9099-C40C66FF867C}">
                  <a14:compatExt spid="_x0000_s352279"/>
                </a:ext>
                <a:ext uri="{FF2B5EF4-FFF2-40B4-BE49-F238E27FC236}">
                  <a16:creationId xmlns:a16="http://schemas.microsoft.com/office/drawing/2014/main" id="{00000000-0008-0000-2A00-000017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119</xdr:row>
          <xdr:rowOff>14288</xdr:rowOff>
        </xdr:from>
        <xdr:to>
          <xdr:col>8</xdr:col>
          <xdr:colOff>714375</xdr:colOff>
          <xdr:row>121</xdr:row>
          <xdr:rowOff>28575</xdr:rowOff>
        </xdr:to>
        <xdr:sp macro="" textlink="">
          <xdr:nvSpPr>
            <xdr:cNvPr id="352280" name="Object 24" hidden="1">
              <a:extLst>
                <a:ext uri="{63B3BB69-23CF-44E3-9099-C40C66FF867C}">
                  <a14:compatExt spid="_x0000_s352280"/>
                </a:ext>
                <a:ext uri="{FF2B5EF4-FFF2-40B4-BE49-F238E27FC236}">
                  <a16:creationId xmlns:a16="http://schemas.microsoft.com/office/drawing/2014/main" id="{00000000-0008-0000-2A00-000018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125</xdr:row>
          <xdr:rowOff>9525</xdr:rowOff>
        </xdr:from>
        <xdr:to>
          <xdr:col>6</xdr:col>
          <xdr:colOff>595313</xdr:colOff>
          <xdr:row>128</xdr:row>
          <xdr:rowOff>114300</xdr:rowOff>
        </xdr:to>
        <xdr:sp macro="" textlink="">
          <xdr:nvSpPr>
            <xdr:cNvPr id="352281" name="Object 25" hidden="1">
              <a:extLst>
                <a:ext uri="{63B3BB69-23CF-44E3-9099-C40C66FF867C}">
                  <a14:compatExt spid="_x0000_s352281"/>
                </a:ext>
                <a:ext uri="{FF2B5EF4-FFF2-40B4-BE49-F238E27FC236}">
                  <a16:creationId xmlns:a16="http://schemas.microsoft.com/office/drawing/2014/main" id="{00000000-0008-0000-2A00-000019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135</xdr:row>
          <xdr:rowOff>9525</xdr:rowOff>
        </xdr:from>
        <xdr:to>
          <xdr:col>8</xdr:col>
          <xdr:colOff>714375</xdr:colOff>
          <xdr:row>137</xdr:row>
          <xdr:rowOff>23813</xdr:rowOff>
        </xdr:to>
        <xdr:sp macro="" textlink="">
          <xdr:nvSpPr>
            <xdr:cNvPr id="352282" name="Object 26" hidden="1">
              <a:extLst>
                <a:ext uri="{63B3BB69-23CF-44E3-9099-C40C66FF867C}">
                  <a14:compatExt spid="_x0000_s352282"/>
                </a:ext>
                <a:ext uri="{FF2B5EF4-FFF2-40B4-BE49-F238E27FC236}">
                  <a16:creationId xmlns:a16="http://schemas.microsoft.com/office/drawing/2014/main" id="{00000000-0008-0000-2A00-00001A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143</xdr:row>
          <xdr:rowOff>38100</xdr:rowOff>
        </xdr:from>
        <xdr:to>
          <xdr:col>6</xdr:col>
          <xdr:colOff>619125</xdr:colOff>
          <xdr:row>146</xdr:row>
          <xdr:rowOff>142875</xdr:rowOff>
        </xdr:to>
        <xdr:sp macro="" textlink="">
          <xdr:nvSpPr>
            <xdr:cNvPr id="352283" name="Object 27" hidden="1">
              <a:extLst>
                <a:ext uri="{63B3BB69-23CF-44E3-9099-C40C66FF867C}">
                  <a14:compatExt spid="_x0000_s352283"/>
                </a:ext>
                <a:ext uri="{FF2B5EF4-FFF2-40B4-BE49-F238E27FC236}">
                  <a16:creationId xmlns:a16="http://schemas.microsoft.com/office/drawing/2014/main" id="{00000000-0008-0000-2A00-00001B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146</xdr:row>
          <xdr:rowOff>142875</xdr:rowOff>
        </xdr:from>
        <xdr:to>
          <xdr:col>8</xdr:col>
          <xdr:colOff>723900</xdr:colOff>
          <xdr:row>148</xdr:row>
          <xdr:rowOff>161925</xdr:rowOff>
        </xdr:to>
        <xdr:sp macro="" textlink="">
          <xdr:nvSpPr>
            <xdr:cNvPr id="352284" name="Object 28" hidden="1">
              <a:extLst>
                <a:ext uri="{63B3BB69-23CF-44E3-9099-C40C66FF867C}">
                  <a14:compatExt spid="_x0000_s352284"/>
                </a:ext>
                <a:ext uri="{FF2B5EF4-FFF2-40B4-BE49-F238E27FC236}">
                  <a16:creationId xmlns:a16="http://schemas.microsoft.com/office/drawing/2014/main" id="{00000000-0008-0000-2A00-00001C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23813</xdr:colOff>
          <xdr:row>149</xdr:row>
          <xdr:rowOff>9525</xdr:rowOff>
        </xdr:from>
        <xdr:to>
          <xdr:col>7</xdr:col>
          <xdr:colOff>571500</xdr:colOff>
          <xdr:row>151</xdr:row>
          <xdr:rowOff>114300</xdr:rowOff>
        </xdr:to>
        <xdr:sp macro="" textlink="">
          <xdr:nvSpPr>
            <xdr:cNvPr id="352285" name="Object 29" hidden="1">
              <a:extLst>
                <a:ext uri="{63B3BB69-23CF-44E3-9099-C40C66FF867C}">
                  <a14:compatExt spid="_x0000_s352285"/>
                </a:ext>
                <a:ext uri="{FF2B5EF4-FFF2-40B4-BE49-F238E27FC236}">
                  <a16:creationId xmlns:a16="http://schemas.microsoft.com/office/drawing/2014/main" id="{00000000-0008-0000-2A00-00001D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600075</xdr:colOff>
          <xdr:row>157</xdr:row>
          <xdr:rowOff>14288</xdr:rowOff>
        </xdr:from>
        <xdr:to>
          <xdr:col>6</xdr:col>
          <xdr:colOff>542925</xdr:colOff>
          <xdr:row>160</xdr:row>
          <xdr:rowOff>123825</xdr:rowOff>
        </xdr:to>
        <xdr:sp macro="" textlink="">
          <xdr:nvSpPr>
            <xdr:cNvPr id="352286" name="Object 30" hidden="1">
              <a:extLst>
                <a:ext uri="{63B3BB69-23CF-44E3-9099-C40C66FF867C}">
                  <a14:compatExt spid="_x0000_s352286"/>
                </a:ext>
                <a:ext uri="{FF2B5EF4-FFF2-40B4-BE49-F238E27FC236}">
                  <a16:creationId xmlns:a16="http://schemas.microsoft.com/office/drawing/2014/main" id="{00000000-0008-0000-2A00-00001E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161</xdr:row>
          <xdr:rowOff>14288</xdr:rowOff>
        </xdr:from>
        <xdr:to>
          <xdr:col>8</xdr:col>
          <xdr:colOff>723900</xdr:colOff>
          <xdr:row>163</xdr:row>
          <xdr:rowOff>28575</xdr:rowOff>
        </xdr:to>
        <xdr:sp macro="" textlink="">
          <xdr:nvSpPr>
            <xdr:cNvPr id="352287" name="Object 31" hidden="1">
              <a:extLst>
                <a:ext uri="{63B3BB69-23CF-44E3-9099-C40C66FF867C}">
                  <a14:compatExt spid="_x0000_s352287"/>
                </a:ext>
                <a:ext uri="{FF2B5EF4-FFF2-40B4-BE49-F238E27FC236}">
                  <a16:creationId xmlns:a16="http://schemas.microsoft.com/office/drawing/2014/main" id="{00000000-0008-0000-2A00-00001F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163</xdr:row>
          <xdr:rowOff>52388</xdr:rowOff>
        </xdr:from>
        <xdr:to>
          <xdr:col>7</xdr:col>
          <xdr:colOff>547688</xdr:colOff>
          <xdr:row>165</xdr:row>
          <xdr:rowOff>66675</xdr:rowOff>
        </xdr:to>
        <xdr:sp macro="" textlink="">
          <xdr:nvSpPr>
            <xdr:cNvPr id="352288" name="Object 32" hidden="1">
              <a:extLst>
                <a:ext uri="{63B3BB69-23CF-44E3-9099-C40C66FF867C}">
                  <a14:compatExt spid="_x0000_s352288"/>
                </a:ext>
                <a:ext uri="{FF2B5EF4-FFF2-40B4-BE49-F238E27FC236}">
                  <a16:creationId xmlns:a16="http://schemas.microsoft.com/office/drawing/2014/main" id="{00000000-0008-0000-2A00-000020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623888</xdr:colOff>
          <xdr:row>171</xdr:row>
          <xdr:rowOff>14288</xdr:rowOff>
        </xdr:from>
        <xdr:to>
          <xdr:col>8</xdr:col>
          <xdr:colOff>695325</xdr:colOff>
          <xdr:row>173</xdr:row>
          <xdr:rowOff>28575</xdr:rowOff>
        </xdr:to>
        <xdr:sp macro="" textlink="">
          <xdr:nvSpPr>
            <xdr:cNvPr id="352289" name="Object 33" hidden="1">
              <a:extLst>
                <a:ext uri="{63B3BB69-23CF-44E3-9099-C40C66FF867C}">
                  <a14:compatExt spid="_x0000_s352289"/>
                </a:ext>
                <a:ext uri="{FF2B5EF4-FFF2-40B4-BE49-F238E27FC236}">
                  <a16:creationId xmlns:a16="http://schemas.microsoft.com/office/drawing/2014/main" id="{00000000-0008-0000-2A00-000021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90488</xdr:colOff>
          <xdr:row>174</xdr:row>
          <xdr:rowOff>161925</xdr:rowOff>
        </xdr:from>
        <xdr:to>
          <xdr:col>6</xdr:col>
          <xdr:colOff>676275</xdr:colOff>
          <xdr:row>179</xdr:row>
          <xdr:rowOff>28575</xdr:rowOff>
        </xdr:to>
        <xdr:sp macro="" textlink="">
          <xdr:nvSpPr>
            <xdr:cNvPr id="352290" name="Object 34" hidden="1">
              <a:extLst>
                <a:ext uri="{63B3BB69-23CF-44E3-9099-C40C66FF867C}">
                  <a14:compatExt spid="_x0000_s352290"/>
                </a:ext>
                <a:ext uri="{FF2B5EF4-FFF2-40B4-BE49-F238E27FC236}">
                  <a16:creationId xmlns:a16="http://schemas.microsoft.com/office/drawing/2014/main" id="{00000000-0008-0000-2A00-000022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181</xdr:row>
          <xdr:rowOff>104775</xdr:rowOff>
        </xdr:from>
        <xdr:to>
          <xdr:col>8</xdr:col>
          <xdr:colOff>723900</xdr:colOff>
          <xdr:row>183</xdr:row>
          <xdr:rowOff>123825</xdr:rowOff>
        </xdr:to>
        <xdr:sp macro="" textlink="">
          <xdr:nvSpPr>
            <xdr:cNvPr id="352291" name="Object 35" hidden="1">
              <a:extLst>
                <a:ext uri="{63B3BB69-23CF-44E3-9099-C40C66FF867C}">
                  <a14:compatExt spid="_x0000_s352291"/>
                </a:ext>
                <a:ext uri="{FF2B5EF4-FFF2-40B4-BE49-F238E27FC236}">
                  <a16:creationId xmlns:a16="http://schemas.microsoft.com/office/drawing/2014/main" id="{00000000-0008-0000-2A00-000023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23813</xdr:colOff>
          <xdr:row>186</xdr:row>
          <xdr:rowOff>9525</xdr:rowOff>
        </xdr:from>
        <xdr:to>
          <xdr:col>6</xdr:col>
          <xdr:colOff>609600</xdr:colOff>
          <xdr:row>190</xdr:row>
          <xdr:rowOff>52388</xdr:rowOff>
        </xdr:to>
        <xdr:sp macro="" textlink="">
          <xdr:nvSpPr>
            <xdr:cNvPr id="352292" name="Object 36" hidden="1">
              <a:extLst>
                <a:ext uri="{63B3BB69-23CF-44E3-9099-C40C66FF867C}">
                  <a14:compatExt spid="_x0000_s352292"/>
                </a:ext>
                <a:ext uri="{FF2B5EF4-FFF2-40B4-BE49-F238E27FC236}">
                  <a16:creationId xmlns:a16="http://schemas.microsoft.com/office/drawing/2014/main" id="{00000000-0008-0000-2A00-000024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194</xdr:row>
          <xdr:rowOff>100013</xdr:rowOff>
        </xdr:from>
        <xdr:to>
          <xdr:col>8</xdr:col>
          <xdr:colOff>714375</xdr:colOff>
          <xdr:row>196</xdr:row>
          <xdr:rowOff>114300</xdr:rowOff>
        </xdr:to>
        <xdr:sp macro="" textlink="">
          <xdr:nvSpPr>
            <xdr:cNvPr id="352293" name="Object 37" hidden="1">
              <a:extLst>
                <a:ext uri="{63B3BB69-23CF-44E3-9099-C40C66FF867C}">
                  <a14:compatExt spid="_x0000_s352293"/>
                </a:ext>
                <a:ext uri="{FF2B5EF4-FFF2-40B4-BE49-F238E27FC236}">
                  <a16:creationId xmlns:a16="http://schemas.microsoft.com/office/drawing/2014/main" id="{00000000-0008-0000-2A00-000025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198</xdr:row>
          <xdr:rowOff>23813</xdr:rowOff>
        </xdr:from>
        <xdr:to>
          <xdr:col>6</xdr:col>
          <xdr:colOff>623888</xdr:colOff>
          <xdr:row>202</xdr:row>
          <xdr:rowOff>61913</xdr:rowOff>
        </xdr:to>
        <xdr:sp macro="" textlink="">
          <xdr:nvSpPr>
            <xdr:cNvPr id="352294" name="Object 38" hidden="1">
              <a:extLst>
                <a:ext uri="{63B3BB69-23CF-44E3-9099-C40C66FF867C}">
                  <a14:compatExt spid="_x0000_s352294"/>
                </a:ext>
                <a:ext uri="{FF2B5EF4-FFF2-40B4-BE49-F238E27FC236}">
                  <a16:creationId xmlns:a16="http://schemas.microsoft.com/office/drawing/2014/main" id="{00000000-0008-0000-2A00-000026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1652588</xdr:colOff>
          <xdr:row>121</xdr:row>
          <xdr:rowOff>52388</xdr:rowOff>
        </xdr:from>
        <xdr:to>
          <xdr:col>8</xdr:col>
          <xdr:colOff>733425</xdr:colOff>
          <xdr:row>124</xdr:row>
          <xdr:rowOff>161925</xdr:rowOff>
        </xdr:to>
        <xdr:sp macro="" textlink="">
          <xdr:nvSpPr>
            <xdr:cNvPr id="352295" name="Object 39" hidden="1">
              <a:extLst>
                <a:ext uri="{63B3BB69-23CF-44E3-9099-C40C66FF867C}">
                  <a14:compatExt spid="_x0000_s352295"/>
                </a:ext>
                <a:ext uri="{FF2B5EF4-FFF2-40B4-BE49-F238E27FC236}">
                  <a16:creationId xmlns:a16="http://schemas.microsoft.com/office/drawing/2014/main" id="{00000000-0008-0000-2A00-000027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1571625</xdr:colOff>
          <xdr:row>125</xdr:row>
          <xdr:rowOff>0</xdr:rowOff>
        </xdr:from>
        <xdr:to>
          <xdr:col>8</xdr:col>
          <xdr:colOff>809625</xdr:colOff>
          <xdr:row>128</xdr:row>
          <xdr:rowOff>100013</xdr:rowOff>
        </xdr:to>
        <xdr:sp macro="" textlink="">
          <xdr:nvSpPr>
            <xdr:cNvPr id="352296" name="Object 40" hidden="1">
              <a:extLst>
                <a:ext uri="{63B3BB69-23CF-44E3-9099-C40C66FF867C}">
                  <a14:compatExt spid="_x0000_s352296"/>
                </a:ext>
                <a:ext uri="{FF2B5EF4-FFF2-40B4-BE49-F238E27FC236}">
                  <a16:creationId xmlns:a16="http://schemas.microsoft.com/office/drawing/2014/main" id="{00000000-0008-0000-2A00-000028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1057275</xdr:colOff>
          <xdr:row>54</xdr:row>
          <xdr:rowOff>0</xdr:rowOff>
        </xdr:from>
        <xdr:to>
          <xdr:col>8</xdr:col>
          <xdr:colOff>138113</xdr:colOff>
          <xdr:row>57</xdr:row>
          <xdr:rowOff>104775</xdr:rowOff>
        </xdr:to>
        <xdr:sp macro="" textlink="">
          <xdr:nvSpPr>
            <xdr:cNvPr id="352297" name="Object 41" hidden="1">
              <a:extLst>
                <a:ext uri="{63B3BB69-23CF-44E3-9099-C40C66FF867C}">
                  <a14:compatExt spid="_x0000_s352297"/>
                </a:ext>
                <a:ext uri="{FF2B5EF4-FFF2-40B4-BE49-F238E27FC236}">
                  <a16:creationId xmlns:a16="http://schemas.microsoft.com/office/drawing/2014/main" id="{00000000-0008-0000-2A00-000029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609600</xdr:colOff>
          <xdr:row>54</xdr:row>
          <xdr:rowOff>9525</xdr:rowOff>
        </xdr:from>
        <xdr:to>
          <xdr:col>11</xdr:col>
          <xdr:colOff>276225</xdr:colOff>
          <xdr:row>57</xdr:row>
          <xdr:rowOff>123825</xdr:rowOff>
        </xdr:to>
        <xdr:sp macro="" textlink="">
          <xdr:nvSpPr>
            <xdr:cNvPr id="352298" name="Object 42" hidden="1">
              <a:extLst>
                <a:ext uri="{63B3BB69-23CF-44E3-9099-C40C66FF867C}">
                  <a14:compatExt spid="_x0000_s352298"/>
                </a:ext>
                <a:ext uri="{FF2B5EF4-FFF2-40B4-BE49-F238E27FC236}">
                  <a16:creationId xmlns:a16="http://schemas.microsoft.com/office/drawing/2014/main" id="{00000000-0008-0000-2A00-00002A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923925</xdr:colOff>
          <xdr:row>185</xdr:row>
          <xdr:rowOff>138113</xdr:rowOff>
        </xdr:from>
        <xdr:to>
          <xdr:col>8</xdr:col>
          <xdr:colOff>0</xdr:colOff>
          <xdr:row>190</xdr:row>
          <xdr:rowOff>14288</xdr:rowOff>
        </xdr:to>
        <xdr:sp macro="" textlink="">
          <xdr:nvSpPr>
            <xdr:cNvPr id="352299" name="Object 43" hidden="1">
              <a:extLst>
                <a:ext uri="{63B3BB69-23CF-44E3-9099-C40C66FF867C}">
                  <a14:compatExt spid="_x0000_s352299"/>
                </a:ext>
                <a:ext uri="{FF2B5EF4-FFF2-40B4-BE49-F238E27FC236}">
                  <a16:creationId xmlns:a16="http://schemas.microsoft.com/office/drawing/2014/main" id="{00000000-0008-0000-2A00-00002B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504825</xdr:colOff>
          <xdr:row>185</xdr:row>
          <xdr:rowOff>85725</xdr:rowOff>
        </xdr:from>
        <xdr:to>
          <xdr:col>11</xdr:col>
          <xdr:colOff>333375</xdr:colOff>
          <xdr:row>189</xdr:row>
          <xdr:rowOff>123825</xdr:rowOff>
        </xdr:to>
        <xdr:sp macro="" textlink="">
          <xdr:nvSpPr>
            <xdr:cNvPr id="352300" name="Object 44" hidden="1">
              <a:extLst>
                <a:ext uri="{63B3BB69-23CF-44E3-9099-C40C66FF867C}">
                  <a14:compatExt spid="_x0000_s352300"/>
                </a:ext>
                <a:ext uri="{FF2B5EF4-FFF2-40B4-BE49-F238E27FC236}">
                  <a16:creationId xmlns:a16="http://schemas.microsoft.com/office/drawing/2014/main" id="{00000000-0008-0000-2A00-00002C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23813</xdr:colOff>
          <xdr:row>205</xdr:row>
          <xdr:rowOff>14288</xdr:rowOff>
        </xdr:from>
        <xdr:to>
          <xdr:col>8</xdr:col>
          <xdr:colOff>738188</xdr:colOff>
          <xdr:row>207</xdr:row>
          <xdr:rowOff>28575</xdr:rowOff>
        </xdr:to>
        <xdr:sp macro="" textlink="">
          <xdr:nvSpPr>
            <xdr:cNvPr id="352301" name="Object 45" hidden="1">
              <a:extLst>
                <a:ext uri="{63B3BB69-23CF-44E3-9099-C40C66FF867C}">
                  <a14:compatExt spid="_x0000_s352301"/>
                </a:ext>
                <a:ext uri="{FF2B5EF4-FFF2-40B4-BE49-F238E27FC236}">
                  <a16:creationId xmlns:a16="http://schemas.microsoft.com/office/drawing/2014/main" id="{00000000-0008-0000-2A00-00002D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962025</xdr:colOff>
          <xdr:row>207</xdr:row>
          <xdr:rowOff>123825</xdr:rowOff>
        </xdr:from>
        <xdr:to>
          <xdr:col>8</xdr:col>
          <xdr:colOff>38100</xdr:colOff>
          <xdr:row>211</xdr:row>
          <xdr:rowOff>61913</xdr:rowOff>
        </xdr:to>
        <xdr:sp macro="" textlink="">
          <xdr:nvSpPr>
            <xdr:cNvPr id="352302" name="Object 46" hidden="1">
              <a:extLst>
                <a:ext uri="{63B3BB69-23CF-44E3-9099-C40C66FF867C}">
                  <a14:compatExt spid="_x0000_s352302"/>
                </a:ext>
                <a:ext uri="{FF2B5EF4-FFF2-40B4-BE49-F238E27FC236}">
                  <a16:creationId xmlns:a16="http://schemas.microsoft.com/office/drawing/2014/main" id="{00000000-0008-0000-2A00-00002E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600075</xdr:colOff>
          <xdr:row>207</xdr:row>
          <xdr:rowOff>90488</xdr:rowOff>
        </xdr:from>
        <xdr:to>
          <xdr:col>11</xdr:col>
          <xdr:colOff>433388</xdr:colOff>
          <xdr:row>211</xdr:row>
          <xdr:rowOff>28575</xdr:rowOff>
        </xdr:to>
        <xdr:sp macro="" textlink="">
          <xdr:nvSpPr>
            <xdr:cNvPr id="352303" name="Object 47" hidden="1">
              <a:extLst>
                <a:ext uri="{63B3BB69-23CF-44E3-9099-C40C66FF867C}">
                  <a14:compatExt spid="_x0000_s352303"/>
                </a:ext>
                <a:ext uri="{FF2B5EF4-FFF2-40B4-BE49-F238E27FC236}">
                  <a16:creationId xmlns:a16="http://schemas.microsoft.com/office/drawing/2014/main" id="{00000000-0008-0000-2A00-00002F600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4.xml><?xml version="1.0" encoding="utf-8"?>
<xdr:wsDr xmlns:xdr="http://schemas.openxmlformats.org/drawingml/2006/spreadsheetDrawing" xmlns:a="http://schemas.openxmlformats.org/drawingml/2006/main">
  <xdr:twoCellAnchor editAs="oneCell">
    <xdr:from>
      <xdr:col>4</xdr:col>
      <xdr:colOff>276225</xdr:colOff>
      <xdr:row>3</xdr:row>
      <xdr:rowOff>171450</xdr:rowOff>
    </xdr:from>
    <xdr:to>
      <xdr:col>11</xdr:col>
      <xdr:colOff>486656</xdr:colOff>
      <xdr:row>23</xdr:row>
      <xdr:rowOff>57879</xdr:rowOff>
    </xdr:to>
    <xdr:pic>
      <xdr:nvPicPr>
        <xdr:cNvPr id="2" name="Picture 22">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25165" y="864870"/>
          <a:ext cx="6474071" cy="5220429"/>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9</xdr:row>
      <xdr:rowOff>0</xdr:rowOff>
    </xdr:from>
    <xdr:to>
      <xdr:col>8</xdr:col>
      <xdr:colOff>0</xdr:colOff>
      <xdr:row>11</xdr:row>
      <xdr:rowOff>15000</xdr:rowOff>
    </xdr:to>
    <xdr:cxnSp macro="">
      <xdr:nvCxnSpPr>
        <xdr:cNvPr id="2" name="Straight Arrow Connector 2">
          <a:extLst>
            <a:ext uri="{FF2B5EF4-FFF2-40B4-BE49-F238E27FC236}">
              <a16:creationId xmlns:a16="http://schemas.microsoft.com/office/drawing/2014/main" id="{00000000-0008-0000-2C00-000002000000}"/>
            </a:ext>
          </a:extLst>
        </xdr:cNvPr>
        <xdr:cNvCxnSpPr/>
      </xdr:nvCxnSpPr>
      <xdr:spPr>
        <a:xfrm>
          <a:off x="6446520" y="2293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9</xdr:row>
      <xdr:rowOff>0</xdr:rowOff>
    </xdr:from>
    <xdr:to>
      <xdr:col>5</xdr:col>
      <xdr:colOff>9525</xdr:colOff>
      <xdr:row>11</xdr:row>
      <xdr:rowOff>15000</xdr:rowOff>
    </xdr:to>
    <xdr:cxnSp macro="">
      <xdr:nvCxnSpPr>
        <xdr:cNvPr id="3" name="Straight Arrow Connector 4">
          <a:extLst>
            <a:ext uri="{FF2B5EF4-FFF2-40B4-BE49-F238E27FC236}">
              <a16:creationId xmlns:a16="http://schemas.microsoft.com/office/drawing/2014/main" id="{00000000-0008-0000-2C00-000003000000}"/>
            </a:ext>
          </a:extLst>
        </xdr:cNvPr>
        <xdr:cNvCxnSpPr/>
      </xdr:nvCxnSpPr>
      <xdr:spPr>
        <a:xfrm>
          <a:off x="3689985" y="2293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13</xdr:row>
      <xdr:rowOff>0</xdr:rowOff>
    </xdr:from>
    <xdr:to>
      <xdr:col>11</xdr:col>
      <xdr:colOff>0</xdr:colOff>
      <xdr:row>15</xdr:row>
      <xdr:rowOff>15000</xdr:rowOff>
    </xdr:to>
    <xdr:cxnSp macro="">
      <xdr:nvCxnSpPr>
        <xdr:cNvPr id="4" name="Straight Arrow Connector 6">
          <a:extLst>
            <a:ext uri="{FF2B5EF4-FFF2-40B4-BE49-F238E27FC236}">
              <a16:creationId xmlns:a16="http://schemas.microsoft.com/office/drawing/2014/main" id="{00000000-0008-0000-2C00-000004000000}"/>
            </a:ext>
          </a:extLst>
        </xdr:cNvPr>
        <xdr:cNvCxnSpPr/>
      </xdr:nvCxnSpPr>
      <xdr:spPr>
        <a:xfrm>
          <a:off x="9212580" y="33604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13</xdr:row>
      <xdr:rowOff>0</xdr:rowOff>
    </xdr:from>
    <xdr:to>
      <xdr:col>5</xdr:col>
      <xdr:colOff>9525</xdr:colOff>
      <xdr:row>15</xdr:row>
      <xdr:rowOff>15000</xdr:rowOff>
    </xdr:to>
    <xdr:cxnSp macro="">
      <xdr:nvCxnSpPr>
        <xdr:cNvPr id="5" name="Straight Arrow Connector 7">
          <a:extLst>
            <a:ext uri="{FF2B5EF4-FFF2-40B4-BE49-F238E27FC236}">
              <a16:creationId xmlns:a16="http://schemas.microsoft.com/office/drawing/2014/main" id="{00000000-0008-0000-2C00-000005000000}"/>
            </a:ext>
          </a:extLst>
        </xdr:cNvPr>
        <xdr:cNvCxnSpPr/>
      </xdr:nvCxnSpPr>
      <xdr:spPr>
        <a:xfrm>
          <a:off x="3689985" y="33604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25</xdr:row>
      <xdr:rowOff>0</xdr:rowOff>
    </xdr:from>
    <xdr:to>
      <xdr:col>8</xdr:col>
      <xdr:colOff>0</xdr:colOff>
      <xdr:row>27</xdr:row>
      <xdr:rowOff>15000</xdr:rowOff>
    </xdr:to>
    <xdr:cxnSp macro="">
      <xdr:nvCxnSpPr>
        <xdr:cNvPr id="6" name="Straight Arrow Connector 8">
          <a:extLst>
            <a:ext uri="{FF2B5EF4-FFF2-40B4-BE49-F238E27FC236}">
              <a16:creationId xmlns:a16="http://schemas.microsoft.com/office/drawing/2014/main" id="{00000000-0008-0000-2C00-000006000000}"/>
            </a:ext>
          </a:extLst>
        </xdr:cNvPr>
        <xdr:cNvCxnSpPr/>
      </xdr:nvCxnSpPr>
      <xdr:spPr>
        <a:xfrm>
          <a:off x="6446520" y="65608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28</xdr:row>
      <xdr:rowOff>0</xdr:rowOff>
    </xdr:from>
    <xdr:to>
      <xdr:col>7</xdr:col>
      <xdr:colOff>14325</xdr:colOff>
      <xdr:row>28</xdr:row>
      <xdr:rowOff>0</xdr:rowOff>
    </xdr:to>
    <xdr:cxnSp macro="">
      <xdr:nvCxnSpPr>
        <xdr:cNvPr id="7" name="Straight Arrow Connector 9">
          <a:extLst>
            <a:ext uri="{FF2B5EF4-FFF2-40B4-BE49-F238E27FC236}">
              <a16:creationId xmlns:a16="http://schemas.microsoft.com/office/drawing/2014/main" id="{00000000-0008-0000-2C00-000007000000}"/>
            </a:ext>
          </a:extLst>
        </xdr:cNvPr>
        <xdr:cNvCxnSpPr/>
      </xdr:nvCxnSpPr>
      <xdr:spPr>
        <a:xfrm flipH="1">
          <a:off x="4411980" y="73609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29</xdr:row>
      <xdr:rowOff>0</xdr:rowOff>
    </xdr:from>
    <xdr:to>
      <xdr:col>5</xdr:col>
      <xdr:colOff>9525</xdr:colOff>
      <xdr:row>31</xdr:row>
      <xdr:rowOff>15000</xdr:rowOff>
    </xdr:to>
    <xdr:cxnSp macro="">
      <xdr:nvCxnSpPr>
        <xdr:cNvPr id="8" name="Straight Arrow Connector 12">
          <a:extLst>
            <a:ext uri="{FF2B5EF4-FFF2-40B4-BE49-F238E27FC236}">
              <a16:creationId xmlns:a16="http://schemas.microsoft.com/office/drawing/2014/main" id="{00000000-0008-0000-2C00-000008000000}"/>
            </a:ext>
          </a:extLst>
        </xdr:cNvPr>
        <xdr:cNvCxnSpPr/>
      </xdr:nvCxnSpPr>
      <xdr:spPr>
        <a:xfrm>
          <a:off x="3689985" y="7627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24</xdr:row>
      <xdr:rowOff>247650</xdr:rowOff>
    </xdr:from>
    <xdr:to>
      <xdr:col>5</xdr:col>
      <xdr:colOff>9525</xdr:colOff>
      <xdr:row>26</xdr:row>
      <xdr:rowOff>254250</xdr:rowOff>
    </xdr:to>
    <xdr:cxnSp macro="">
      <xdr:nvCxnSpPr>
        <xdr:cNvPr id="9" name="Straight Arrow Connector 13">
          <a:extLst>
            <a:ext uri="{FF2B5EF4-FFF2-40B4-BE49-F238E27FC236}">
              <a16:creationId xmlns:a16="http://schemas.microsoft.com/office/drawing/2014/main" id="{00000000-0008-0000-2C00-000009000000}"/>
            </a:ext>
          </a:extLst>
        </xdr:cNvPr>
        <xdr:cNvCxnSpPr/>
      </xdr:nvCxnSpPr>
      <xdr:spPr>
        <a:xfrm>
          <a:off x="3689985" y="6541770"/>
          <a:ext cx="0" cy="54000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12</xdr:row>
      <xdr:rowOff>0</xdr:rowOff>
    </xdr:from>
    <xdr:to>
      <xdr:col>10</xdr:col>
      <xdr:colOff>14325</xdr:colOff>
      <xdr:row>12</xdr:row>
      <xdr:rowOff>0</xdr:rowOff>
    </xdr:to>
    <xdr:cxnSp macro="">
      <xdr:nvCxnSpPr>
        <xdr:cNvPr id="10" name="Straight Arrow Connector 23">
          <a:extLst>
            <a:ext uri="{FF2B5EF4-FFF2-40B4-BE49-F238E27FC236}">
              <a16:creationId xmlns:a16="http://schemas.microsoft.com/office/drawing/2014/main" id="{00000000-0008-0000-2C00-00000A000000}"/>
            </a:ext>
          </a:extLst>
        </xdr:cNvPr>
        <xdr:cNvCxnSpPr/>
      </xdr:nvCxnSpPr>
      <xdr:spPr>
        <a:xfrm rot="10800000" flipH="1">
          <a:off x="7178040" y="30937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29</xdr:row>
      <xdr:rowOff>0</xdr:rowOff>
    </xdr:from>
    <xdr:to>
      <xdr:col>11</xdr:col>
      <xdr:colOff>0</xdr:colOff>
      <xdr:row>31</xdr:row>
      <xdr:rowOff>15000</xdr:rowOff>
    </xdr:to>
    <xdr:cxnSp macro="">
      <xdr:nvCxnSpPr>
        <xdr:cNvPr id="11" name="Straight Arrow Connector 24">
          <a:extLst>
            <a:ext uri="{FF2B5EF4-FFF2-40B4-BE49-F238E27FC236}">
              <a16:creationId xmlns:a16="http://schemas.microsoft.com/office/drawing/2014/main" id="{00000000-0008-0000-2C00-00000B000000}"/>
            </a:ext>
          </a:extLst>
        </xdr:cNvPr>
        <xdr:cNvCxnSpPr/>
      </xdr:nvCxnSpPr>
      <xdr:spPr>
        <a:xfrm>
          <a:off x="9212580" y="7627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28</xdr:row>
      <xdr:rowOff>0</xdr:rowOff>
    </xdr:from>
    <xdr:to>
      <xdr:col>10</xdr:col>
      <xdr:colOff>14325</xdr:colOff>
      <xdr:row>28</xdr:row>
      <xdr:rowOff>0</xdr:rowOff>
    </xdr:to>
    <xdr:cxnSp macro="">
      <xdr:nvCxnSpPr>
        <xdr:cNvPr id="12" name="Straight Arrow Connector 25">
          <a:extLst>
            <a:ext uri="{FF2B5EF4-FFF2-40B4-BE49-F238E27FC236}">
              <a16:creationId xmlns:a16="http://schemas.microsoft.com/office/drawing/2014/main" id="{00000000-0008-0000-2C00-00000C000000}"/>
            </a:ext>
          </a:extLst>
        </xdr:cNvPr>
        <xdr:cNvCxnSpPr/>
      </xdr:nvCxnSpPr>
      <xdr:spPr>
        <a:xfrm rot="10800000" flipH="1">
          <a:off x="7178040" y="73609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42</xdr:row>
      <xdr:rowOff>0</xdr:rowOff>
    </xdr:from>
    <xdr:to>
      <xdr:col>7</xdr:col>
      <xdr:colOff>14325</xdr:colOff>
      <xdr:row>42</xdr:row>
      <xdr:rowOff>0</xdr:rowOff>
    </xdr:to>
    <xdr:cxnSp macro="">
      <xdr:nvCxnSpPr>
        <xdr:cNvPr id="13" name="Straight Arrow Connector 48">
          <a:extLst>
            <a:ext uri="{FF2B5EF4-FFF2-40B4-BE49-F238E27FC236}">
              <a16:creationId xmlns:a16="http://schemas.microsoft.com/office/drawing/2014/main" id="{00000000-0008-0000-2C00-00000D000000}"/>
            </a:ext>
          </a:extLst>
        </xdr:cNvPr>
        <xdr:cNvCxnSpPr/>
      </xdr:nvCxnSpPr>
      <xdr:spPr>
        <a:xfrm flipH="1">
          <a:off x="4411980" y="110947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704850</xdr:colOff>
      <xdr:row>42</xdr:row>
      <xdr:rowOff>9525</xdr:rowOff>
    </xdr:from>
    <xdr:to>
      <xdr:col>10</xdr:col>
      <xdr:colOff>4800</xdr:colOff>
      <xdr:row>42</xdr:row>
      <xdr:rowOff>9525</xdr:rowOff>
    </xdr:to>
    <xdr:cxnSp macro="">
      <xdr:nvCxnSpPr>
        <xdr:cNvPr id="14" name="Straight Arrow Connector 50">
          <a:extLst>
            <a:ext uri="{FF2B5EF4-FFF2-40B4-BE49-F238E27FC236}">
              <a16:creationId xmlns:a16="http://schemas.microsoft.com/office/drawing/2014/main" id="{00000000-0008-0000-2C00-00000E000000}"/>
            </a:ext>
          </a:extLst>
        </xdr:cNvPr>
        <xdr:cNvCxnSpPr/>
      </xdr:nvCxnSpPr>
      <xdr:spPr>
        <a:xfrm rot="10800000" flipH="1">
          <a:off x="7151370" y="11104245"/>
          <a:ext cx="1334490"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38</xdr:row>
      <xdr:rowOff>0</xdr:rowOff>
    </xdr:from>
    <xdr:to>
      <xdr:col>10</xdr:col>
      <xdr:colOff>14325</xdr:colOff>
      <xdr:row>38</xdr:row>
      <xdr:rowOff>0</xdr:rowOff>
    </xdr:to>
    <xdr:cxnSp macro="">
      <xdr:nvCxnSpPr>
        <xdr:cNvPr id="15" name="Straight Arrow Connector 18">
          <a:extLst>
            <a:ext uri="{FF2B5EF4-FFF2-40B4-BE49-F238E27FC236}">
              <a16:creationId xmlns:a16="http://schemas.microsoft.com/office/drawing/2014/main" id="{00000000-0008-0000-2C00-00000F000000}"/>
            </a:ext>
          </a:extLst>
        </xdr:cNvPr>
        <xdr:cNvCxnSpPr/>
      </xdr:nvCxnSpPr>
      <xdr:spPr>
        <a:xfrm rot="10800000" flipH="1">
          <a:off x="7178040" y="100279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38</xdr:row>
      <xdr:rowOff>247650</xdr:rowOff>
    </xdr:from>
    <xdr:to>
      <xdr:col>5</xdr:col>
      <xdr:colOff>9525</xdr:colOff>
      <xdr:row>40</xdr:row>
      <xdr:rowOff>254250</xdr:rowOff>
    </xdr:to>
    <xdr:cxnSp macro="">
      <xdr:nvCxnSpPr>
        <xdr:cNvPr id="16" name="Straight Arrow Connector 19">
          <a:extLst>
            <a:ext uri="{FF2B5EF4-FFF2-40B4-BE49-F238E27FC236}">
              <a16:creationId xmlns:a16="http://schemas.microsoft.com/office/drawing/2014/main" id="{00000000-0008-0000-2C00-000010000000}"/>
            </a:ext>
          </a:extLst>
        </xdr:cNvPr>
        <xdr:cNvCxnSpPr/>
      </xdr:nvCxnSpPr>
      <xdr:spPr>
        <a:xfrm>
          <a:off x="3689985" y="10275570"/>
          <a:ext cx="0" cy="54000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43</xdr:row>
      <xdr:rowOff>0</xdr:rowOff>
    </xdr:from>
    <xdr:to>
      <xdr:col>5</xdr:col>
      <xdr:colOff>9525</xdr:colOff>
      <xdr:row>45</xdr:row>
      <xdr:rowOff>15000</xdr:rowOff>
    </xdr:to>
    <xdr:cxnSp macro="">
      <xdr:nvCxnSpPr>
        <xdr:cNvPr id="17" name="Straight Arrow Connector 20">
          <a:extLst>
            <a:ext uri="{FF2B5EF4-FFF2-40B4-BE49-F238E27FC236}">
              <a16:creationId xmlns:a16="http://schemas.microsoft.com/office/drawing/2014/main" id="{00000000-0008-0000-2C00-000011000000}"/>
            </a:ext>
          </a:extLst>
        </xdr:cNvPr>
        <xdr:cNvCxnSpPr/>
      </xdr:nvCxnSpPr>
      <xdr:spPr>
        <a:xfrm>
          <a:off x="3689985" y="113614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38</xdr:row>
      <xdr:rowOff>247650</xdr:rowOff>
    </xdr:from>
    <xdr:to>
      <xdr:col>8</xdr:col>
      <xdr:colOff>9525</xdr:colOff>
      <xdr:row>40</xdr:row>
      <xdr:rowOff>254250</xdr:rowOff>
    </xdr:to>
    <xdr:cxnSp macro="">
      <xdr:nvCxnSpPr>
        <xdr:cNvPr id="18" name="Straight Arrow Connector 21">
          <a:extLst>
            <a:ext uri="{FF2B5EF4-FFF2-40B4-BE49-F238E27FC236}">
              <a16:creationId xmlns:a16="http://schemas.microsoft.com/office/drawing/2014/main" id="{00000000-0008-0000-2C00-000012000000}"/>
            </a:ext>
          </a:extLst>
        </xdr:cNvPr>
        <xdr:cNvCxnSpPr/>
      </xdr:nvCxnSpPr>
      <xdr:spPr>
        <a:xfrm>
          <a:off x="6456045" y="10275570"/>
          <a:ext cx="0" cy="54000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43</xdr:row>
      <xdr:rowOff>0</xdr:rowOff>
    </xdr:from>
    <xdr:to>
      <xdr:col>11</xdr:col>
      <xdr:colOff>0</xdr:colOff>
      <xdr:row>45</xdr:row>
      <xdr:rowOff>15000</xdr:rowOff>
    </xdr:to>
    <xdr:cxnSp macro="">
      <xdr:nvCxnSpPr>
        <xdr:cNvPr id="19" name="Straight Arrow Connector 22">
          <a:extLst>
            <a:ext uri="{FF2B5EF4-FFF2-40B4-BE49-F238E27FC236}">
              <a16:creationId xmlns:a16="http://schemas.microsoft.com/office/drawing/2014/main" id="{00000000-0008-0000-2C00-000013000000}"/>
            </a:ext>
          </a:extLst>
        </xdr:cNvPr>
        <xdr:cNvCxnSpPr/>
      </xdr:nvCxnSpPr>
      <xdr:spPr>
        <a:xfrm>
          <a:off x="9212580" y="113614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24</xdr:row>
      <xdr:rowOff>0</xdr:rowOff>
    </xdr:from>
    <xdr:to>
      <xdr:col>10</xdr:col>
      <xdr:colOff>14325</xdr:colOff>
      <xdr:row>24</xdr:row>
      <xdr:rowOff>0</xdr:rowOff>
    </xdr:to>
    <xdr:cxnSp macro="">
      <xdr:nvCxnSpPr>
        <xdr:cNvPr id="20" name="Straight Arrow Connector 26">
          <a:extLst>
            <a:ext uri="{FF2B5EF4-FFF2-40B4-BE49-F238E27FC236}">
              <a16:creationId xmlns:a16="http://schemas.microsoft.com/office/drawing/2014/main" id="{00000000-0008-0000-2C00-000014000000}"/>
            </a:ext>
          </a:extLst>
        </xdr:cNvPr>
        <xdr:cNvCxnSpPr/>
      </xdr:nvCxnSpPr>
      <xdr:spPr>
        <a:xfrm rot="10800000" flipH="1">
          <a:off x="7178040" y="62941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xdr:row>
      <xdr:rowOff>0</xdr:rowOff>
    </xdr:from>
    <xdr:to>
      <xdr:col>10</xdr:col>
      <xdr:colOff>14325</xdr:colOff>
      <xdr:row>8</xdr:row>
      <xdr:rowOff>0</xdr:rowOff>
    </xdr:to>
    <xdr:cxnSp macro="">
      <xdr:nvCxnSpPr>
        <xdr:cNvPr id="21" name="Straight Arrow Connector 27">
          <a:extLst>
            <a:ext uri="{FF2B5EF4-FFF2-40B4-BE49-F238E27FC236}">
              <a16:creationId xmlns:a16="http://schemas.microsoft.com/office/drawing/2014/main" id="{00000000-0008-0000-2C00-000015000000}"/>
            </a:ext>
          </a:extLst>
        </xdr:cNvPr>
        <xdr:cNvCxnSpPr/>
      </xdr:nvCxnSpPr>
      <xdr:spPr>
        <a:xfrm rot="10800000" flipH="1">
          <a:off x="7178040" y="20269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xdr:colOff>
      <xdr:row>8</xdr:row>
      <xdr:rowOff>19050</xdr:rowOff>
    </xdr:from>
    <xdr:to>
      <xdr:col>7</xdr:col>
      <xdr:colOff>9529</xdr:colOff>
      <xdr:row>12</xdr:row>
      <xdr:rowOff>0</xdr:rowOff>
    </xdr:to>
    <xdr:cxnSp macro="">
      <xdr:nvCxnSpPr>
        <xdr:cNvPr id="22" name="Elbow Connector 28">
          <a:extLst>
            <a:ext uri="{FF2B5EF4-FFF2-40B4-BE49-F238E27FC236}">
              <a16:creationId xmlns:a16="http://schemas.microsoft.com/office/drawing/2014/main" id="{00000000-0008-0000-2C00-000016000000}"/>
            </a:ext>
          </a:extLst>
        </xdr:cNvPr>
        <xdr:cNvCxnSpPr/>
      </xdr:nvCxnSpPr>
      <xdr:spPr>
        <a:xfrm rot="10800000">
          <a:off x="4411981" y="2045970"/>
          <a:ext cx="1312548" cy="1047750"/>
        </a:xfrm>
        <a:prstGeom prst="bentConnector3">
          <a:avLst>
            <a:gd name="adj1" fmla="val 9702"/>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xdr:from>
      <xdr:col>8</xdr:col>
      <xdr:colOff>0</xdr:colOff>
      <xdr:row>9</xdr:row>
      <xdr:rowOff>0</xdr:rowOff>
    </xdr:from>
    <xdr:to>
      <xdr:col>8</xdr:col>
      <xdr:colOff>0</xdr:colOff>
      <xdr:row>11</xdr:row>
      <xdr:rowOff>15000</xdr:rowOff>
    </xdr:to>
    <xdr:cxnSp macro="">
      <xdr:nvCxnSpPr>
        <xdr:cNvPr id="2" name="Straight Arrow Connector 10">
          <a:extLst>
            <a:ext uri="{FF2B5EF4-FFF2-40B4-BE49-F238E27FC236}">
              <a16:creationId xmlns:a16="http://schemas.microsoft.com/office/drawing/2014/main" id="{00000000-0008-0000-2D00-000002000000}"/>
            </a:ext>
          </a:extLst>
        </xdr:cNvPr>
        <xdr:cNvCxnSpPr/>
      </xdr:nvCxnSpPr>
      <xdr:spPr>
        <a:xfrm>
          <a:off x="6446520" y="2293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13</xdr:row>
      <xdr:rowOff>0</xdr:rowOff>
    </xdr:from>
    <xdr:to>
      <xdr:col>5</xdr:col>
      <xdr:colOff>9525</xdr:colOff>
      <xdr:row>15</xdr:row>
      <xdr:rowOff>15000</xdr:rowOff>
    </xdr:to>
    <xdr:cxnSp macro="">
      <xdr:nvCxnSpPr>
        <xdr:cNvPr id="3" name="Straight Arrow Connector 12">
          <a:extLst>
            <a:ext uri="{FF2B5EF4-FFF2-40B4-BE49-F238E27FC236}">
              <a16:creationId xmlns:a16="http://schemas.microsoft.com/office/drawing/2014/main" id="{00000000-0008-0000-2D00-000003000000}"/>
            </a:ext>
          </a:extLst>
        </xdr:cNvPr>
        <xdr:cNvCxnSpPr/>
      </xdr:nvCxnSpPr>
      <xdr:spPr>
        <a:xfrm rot="10800000">
          <a:off x="3689985" y="33604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9</xdr:row>
      <xdr:rowOff>0</xdr:rowOff>
    </xdr:from>
    <xdr:to>
      <xdr:col>5</xdr:col>
      <xdr:colOff>9525</xdr:colOff>
      <xdr:row>11</xdr:row>
      <xdr:rowOff>15000</xdr:rowOff>
    </xdr:to>
    <xdr:cxnSp macro="">
      <xdr:nvCxnSpPr>
        <xdr:cNvPr id="4" name="Straight Arrow Connector 13">
          <a:extLst>
            <a:ext uri="{FF2B5EF4-FFF2-40B4-BE49-F238E27FC236}">
              <a16:creationId xmlns:a16="http://schemas.microsoft.com/office/drawing/2014/main" id="{00000000-0008-0000-2D00-000004000000}"/>
            </a:ext>
          </a:extLst>
        </xdr:cNvPr>
        <xdr:cNvCxnSpPr/>
      </xdr:nvCxnSpPr>
      <xdr:spPr>
        <a:xfrm rot="10800000">
          <a:off x="3689985" y="2293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13</xdr:row>
      <xdr:rowOff>0</xdr:rowOff>
    </xdr:from>
    <xdr:to>
      <xdr:col>8</xdr:col>
      <xdr:colOff>0</xdr:colOff>
      <xdr:row>15</xdr:row>
      <xdr:rowOff>15000</xdr:rowOff>
    </xdr:to>
    <xdr:cxnSp macro="">
      <xdr:nvCxnSpPr>
        <xdr:cNvPr id="5" name="Straight Arrow Connector 14">
          <a:extLst>
            <a:ext uri="{FF2B5EF4-FFF2-40B4-BE49-F238E27FC236}">
              <a16:creationId xmlns:a16="http://schemas.microsoft.com/office/drawing/2014/main" id="{00000000-0008-0000-2D00-000005000000}"/>
            </a:ext>
          </a:extLst>
        </xdr:cNvPr>
        <xdr:cNvCxnSpPr/>
      </xdr:nvCxnSpPr>
      <xdr:spPr>
        <a:xfrm>
          <a:off x="6446520" y="33604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12</xdr:row>
      <xdr:rowOff>0</xdr:rowOff>
    </xdr:from>
    <xdr:to>
      <xdr:col>10</xdr:col>
      <xdr:colOff>14325</xdr:colOff>
      <xdr:row>12</xdr:row>
      <xdr:rowOff>0</xdr:rowOff>
    </xdr:to>
    <xdr:cxnSp macro="">
      <xdr:nvCxnSpPr>
        <xdr:cNvPr id="6" name="Straight Arrow Connector 18">
          <a:extLst>
            <a:ext uri="{FF2B5EF4-FFF2-40B4-BE49-F238E27FC236}">
              <a16:creationId xmlns:a16="http://schemas.microsoft.com/office/drawing/2014/main" id="{00000000-0008-0000-2D00-000006000000}"/>
            </a:ext>
          </a:extLst>
        </xdr:cNvPr>
        <xdr:cNvCxnSpPr/>
      </xdr:nvCxnSpPr>
      <xdr:spPr>
        <a:xfrm rot="10800000" flipH="1">
          <a:off x="7178040" y="30937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25</xdr:row>
      <xdr:rowOff>0</xdr:rowOff>
    </xdr:from>
    <xdr:to>
      <xdr:col>8</xdr:col>
      <xdr:colOff>0</xdr:colOff>
      <xdr:row>27</xdr:row>
      <xdr:rowOff>15000</xdr:rowOff>
    </xdr:to>
    <xdr:cxnSp macro="">
      <xdr:nvCxnSpPr>
        <xdr:cNvPr id="7" name="Straight Arrow Connector 19">
          <a:extLst>
            <a:ext uri="{FF2B5EF4-FFF2-40B4-BE49-F238E27FC236}">
              <a16:creationId xmlns:a16="http://schemas.microsoft.com/office/drawing/2014/main" id="{00000000-0008-0000-2D00-000007000000}"/>
            </a:ext>
          </a:extLst>
        </xdr:cNvPr>
        <xdr:cNvCxnSpPr/>
      </xdr:nvCxnSpPr>
      <xdr:spPr>
        <a:xfrm>
          <a:off x="6446520" y="65608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28</xdr:row>
      <xdr:rowOff>0</xdr:rowOff>
    </xdr:from>
    <xdr:to>
      <xdr:col>7</xdr:col>
      <xdr:colOff>14325</xdr:colOff>
      <xdr:row>28</xdr:row>
      <xdr:rowOff>0</xdr:rowOff>
    </xdr:to>
    <xdr:cxnSp macro="">
      <xdr:nvCxnSpPr>
        <xdr:cNvPr id="8" name="Straight Arrow Connector 20">
          <a:extLst>
            <a:ext uri="{FF2B5EF4-FFF2-40B4-BE49-F238E27FC236}">
              <a16:creationId xmlns:a16="http://schemas.microsoft.com/office/drawing/2014/main" id="{00000000-0008-0000-2D00-000008000000}"/>
            </a:ext>
          </a:extLst>
        </xdr:cNvPr>
        <xdr:cNvCxnSpPr/>
      </xdr:nvCxnSpPr>
      <xdr:spPr>
        <a:xfrm flipH="1">
          <a:off x="4411980" y="73609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28</xdr:row>
      <xdr:rowOff>0</xdr:rowOff>
    </xdr:from>
    <xdr:to>
      <xdr:col>6</xdr:col>
      <xdr:colOff>1260000</xdr:colOff>
      <xdr:row>28</xdr:row>
      <xdr:rowOff>0</xdr:rowOff>
    </xdr:to>
    <xdr:cxnSp macro="">
      <xdr:nvCxnSpPr>
        <xdr:cNvPr id="9" name="Straight Arrow Connector 21">
          <a:extLst>
            <a:ext uri="{FF2B5EF4-FFF2-40B4-BE49-F238E27FC236}">
              <a16:creationId xmlns:a16="http://schemas.microsoft.com/office/drawing/2014/main" id="{00000000-0008-0000-2D00-000009000000}"/>
            </a:ext>
          </a:extLst>
        </xdr:cNvPr>
        <xdr:cNvCxnSpPr/>
      </xdr:nvCxnSpPr>
      <xdr:spPr>
        <a:xfrm flipH="1">
          <a:off x="4411980" y="7360920"/>
          <a:ext cx="1260000"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29</xdr:row>
      <xdr:rowOff>0</xdr:rowOff>
    </xdr:from>
    <xdr:to>
      <xdr:col>5</xdr:col>
      <xdr:colOff>9525</xdr:colOff>
      <xdr:row>31</xdr:row>
      <xdr:rowOff>15000</xdr:rowOff>
    </xdr:to>
    <xdr:cxnSp macro="">
      <xdr:nvCxnSpPr>
        <xdr:cNvPr id="10" name="Straight Arrow Connector 22">
          <a:extLst>
            <a:ext uri="{FF2B5EF4-FFF2-40B4-BE49-F238E27FC236}">
              <a16:creationId xmlns:a16="http://schemas.microsoft.com/office/drawing/2014/main" id="{00000000-0008-0000-2D00-00000A000000}"/>
            </a:ext>
          </a:extLst>
        </xdr:cNvPr>
        <xdr:cNvCxnSpPr/>
      </xdr:nvCxnSpPr>
      <xdr:spPr>
        <a:xfrm>
          <a:off x="3689985" y="7627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24</xdr:row>
      <xdr:rowOff>247650</xdr:rowOff>
    </xdr:from>
    <xdr:to>
      <xdr:col>5</xdr:col>
      <xdr:colOff>9525</xdr:colOff>
      <xdr:row>26</xdr:row>
      <xdr:rowOff>254250</xdr:rowOff>
    </xdr:to>
    <xdr:cxnSp macro="">
      <xdr:nvCxnSpPr>
        <xdr:cNvPr id="11" name="Straight Arrow Connector 23">
          <a:extLst>
            <a:ext uri="{FF2B5EF4-FFF2-40B4-BE49-F238E27FC236}">
              <a16:creationId xmlns:a16="http://schemas.microsoft.com/office/drawing/2014/main" id="{00000000-0008-0000-2D00-00000B000000}"/>
            </a:ext>
          </a:extLst>
        </xdr:cNvPr>
        <xdr:cNvCxnSpPr/>
      </xdr:nvCxnSpPr>
      <xdr:spPr>
        <a:xfrm>
          <a:off x="3689985" y="6541770"/>
          <a:ext cx="0" cy="54000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28</xdr:row>
      <xdr:rowOff>0</xdr:rowOff>
    </xdr:from>
    <xdr:to>
      <xdr:col>10</xdr:col>
      <xdr:colOff>14325</xdr:colOff>
      <xdr:row>28</xdr:row>
      <xdr:rowOff>0</xdr:rowOff>
    </xdr:to>
    <xdr:cxnSp macro="">
      <xdr:nvCxnSpPr>
        <xdr:cNvPr id="12" name="Straight Arrow Connector 24">
          <a:extLst>
            <a:ext uri="{FF2B5EF4-FFF2-40B4-BE49-F238E27FC236}">
              <a16:creationId xmlns:a16="http://schemas.microsoft.com/office/drawing/2014/main" id="{00000000-0008-0000-2D00-00000C000000}"/>
            </a:ext>
          </a:extLst>
        </xdr:cNvPr>
        <xdr:cNvCxnSpPr/>
      </xdr:nvCxnSpPr>
      <xdr:spPr>
        <a:xfrm rot="10800000" flipH="1">
          <a:off x="7178040" y="73609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29</xdr:row>
      <xdr:rowOff>0</xdr:rowOff>
    </xdr:from>
    <xdr:to>
      <xdr:col>8</xdr:col>
      <xdr:colOff>0</xdr:colOff>
      <xdr:row>31</xdr:row>
      <xdr:rowOff>15000</xdr:rowOff>
    </xdr:to>
    <xdr:cxnSp macro="">
      <xdr:nvCxnSpPr>
        <xdr:cNvPr id="13" name="Straight Arrow Connector 25">
          <a:extLst>
            <a:ext uri="{FF2B5EF4-FFF2-40B4-BE49-F238E27FC236}">
              <a16:creationId xmlns:a16="http://schemas.microsoft.com/office/drawing/2014/main" id="{00000000-0008-0000-2D00-00000D000000}"/>
            </a:ext>
          </a:extLst>
        </xdr:cNvPr>
        <xdr:cNvCxnSpPr/>
      </xdr:nvCxnSpPr>
      <xdr:spPr>
        <a:xfrm>
          <a:off x="6446520" y="7627620"/>
          <a:ext cx="0" cy="54840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57</xdr:row>
      <xdr:rowOff>0</xdr:rowOff>
    </xdr:from>
    <xdr:to>
      <xdr:col>8</xdr:col>
      <xdr:colOff>0</xdr:colOff>
      <xdr:row>59</xdr:row>
      <xdr:rowOff>15000</xdr:rowOff>
    </xdr:to>
    <xdr:cxnSp macro="">
      <xdr:nvCxnSpPr>
        <xdr:cNvPr id="14" name="Straight Arrow Connector 26">
          <a:extLst>
            <a:ext uri="{FF2B5EF4-FFF2-40B4-BE49-F238E27FC236}">
              <a16:creationId xmlns:a16="http://schemas.microsoft.com/office/drawing/2014/main" id="{00000000-0008-0000-2D00-00000E000000}"/>
            </a:ext>
          </a:extLst>
        </xdr:cNvPr>
        <xdr:cNvCxnSpPr/>
      </xdr:nvCxnSpPr>
      <xdr:spPr>
        <a:xfrm>
          <a:off x="6446520" y="12565380"/>
          <a:ext cx="0" cy="38838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61</xdr:row>
      <xdr:rowOff>0</xdr:rowOff>
    </xdr:from>
    <xdr:to>
      <xdr:col>5</xdr:col>
      <xdr:colOff>9525</xdr:colOff>
      <xdr:row>63</xdr:row>
      <xdr:rowOff>15000</xdr:rowOff>
    </xdr:to>
    <xdr:cxnSp macro="">
      <xdr:nvCxnSpPr>
        <xdr:cNvPr id="15" name="Straight Arrow Connector 30">
          <a:extLst>
            <a:ext uri="{FF2B5EF4-FFF2-40B4-BE49-F238E27FC236}">
              <a16:creationId xmlns:a16="http://schemas.microsoft.com/office/drawing/2014/main" id="{00000000-0008-0000-2D00-00000F000000}"/>
            </a:ext>
          </a:extLst>
        </xdr:cNvPr>
        <xdr:cNvCxnSpPr/>
      </xdr:nvCxnSpPr>
      <xdr:spPr>
        <a:xfrm rot="10800000">
          <a:off x="3689985" y="13266420"/>
          <a:ext cx="0" cy="33504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60</xdr:row>
      <xdr:rowOff>0</xdr:rowOff>
    </xdr:from>
    <xdr:to>
      <xdr:col>10</xdr:col>
      <xdr:colOff>14325</xdr:colOff>
      <xdr:row>60</xdr:row>
      <xdr:rowOff>0</xdr:rowOff>
    </xdr:to>
    <xdr:cxnSp macro="">
      <xdr:nvCxnSpPr>
        <xdr:cNvPr id="16" name="Straight Arrow Connector 32">
          <a:extLst>
            <a:ext uri="{FF2B5EF4-FFF2-40B4-BE49-F238E27FC236}">
              <a16:creationId xmlns:a16="http://schemas.microsoft.com/office/drawing/2014/main" id="{00000000-0008-0000-2D00-000010000000}"/>
            </a:ext>
          </a:extLst>
        </xdr:cNvPr>
        <xdr:cNvCxnSpPr/>
      </xdr:nvCxnSpPr>
      <xdr:spPr>
        <a:xfrm rot="10800000" flipH="1">
          <a:off x="7178040" y="1310640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61</xdr:row>
      <xdr:rowOff>0</xdr:rowOff>
    </xdr:from>
    <xdr:to>
      <xdr:col>8</xdr:col>
      <xdr:colOff>0</xdr:colOff>
      <xdr:row>63</xdr:row>
      <xdr:rowOff>15000</xdr:rowOff>
    </xdr:to>
    <xdr:cxnSp macro="">
      <xdr:nvCxnSpPr>
        <xdr:cNvPr id="17" name="Straight Arrow Connector 33">
          <a:extLst>
            <a:ext uri="{FF2B5EF4-FFF2-40B4-BE49-F238E27FC236}">
              <a16:creationId xmlns:a16="http://schemas.microsoft.com/office/drawing/2014/main" id="{00000000-0008-0000-2D00-000011000000}"/>
            </a:ext>
          </a:extLst>
        </xdr:cNvPr>
        <xdr:cNvCxnSpPr/>
      </xdr:nvCxnSpPr>
      <xdr:spPr>
        <a:xfrm>
          <a:off x="6446520" y="13266420"/>
          <a:ext cx="0" cy="33504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44</xdr:row>
      <xdr:rowOff>0</xdr:rowOff>
    </xdr:from>
    <xdr:to>
      <xdr:col>7</xdr:col>
      <xdr:colOff>14325</xdr:colOff>
      <xdr:row>44</xdr:row>
      <xdr:rowOff>0</xdr:rowOff>
    </xdr:to>
    <xdr:cxnSp macro="">
      <xdr:nvCxnSpPr>
        <xdr:cNvPr id="18" name="Straight Arrow Connector 39">
          <a:extLst>
            <a:ext uri="{FF2B5EF4-FFF2-40B4-BE49-F238E27FC236}">
              <a16:creationId xmlns:a16="http://schemas.microsoft.com/office/drawing/2014/main" id="{00000000-0008-0000-2D00-000012000000}"/>
            </a:ext>
          </a:extLst>
        </xdr:cNvPr>
        <xdr:cNvCxnSpPr/>
      </xdr:nvCxnSpPr>
      <xdr:spPr>
        <a:xfrm flipH="1">
          <a:off x="4411980" y="1045464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44</xdr:row>
      <xdr:rowOff>0</xdr:rowOff>
    </xdr:from>
    <xdr:to>
      <xdr:col>7</xdr:col>
      <xdr:colOff>14325</xdr:colOff>
      <xdr:row>44</xdr:row>
      <xdr:rowOff>0</xdr:rowOff>
    </xdr:to>
    <xdr:cxnSp macro="">
      <xdr:nvCxnSpPr>
        <xdr:cNvPr id="19" name="Straight Arrow Connector 40">
          <a:extLst>
            <a:ext uri="{FF2B5EF4-FFF2-40B4-BE49-F238E27FC236}">
              <a16:creationId xmlns:a16="http://schemas.microsoft.com/office/drawing/2014/main" id="{00000000-0008-0000-2D00-000013000000}"/>
            </a:ext>
          </a:extLst>
        </xdr:cNvPr>
        <xdr:cNvCxnSpPr/>
      </xdr:nvCxnSpPr>
      <xdr:spPr>
        <a:xfrm flipH="1">
          <a:off x="4411980" y="1045464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45</xdr:row>
      <xdr:rowOff>0</xdr:rowOff>
    </xdr:from>
    <xdr:to>
      <xdr:col>8</xdr:col>
      <xdr:colOff>0</xdr:colOff>
      <xdr:row>47</xdr:row>
      <xdr:rowOff>15000</xdr:rowOff>
    </xdr:to>
    <xdr:cxnSp macro="">
      <xdr:nvCxnSpPr>
        <xdr:cNvPr id="20" name="Straight Arrow Connector 41">
          <a:extLst>
            <a:ext uri="{FF2B5EF4-FFF2-40B4-BE49-F238E27FC236}">
              <a16:creationId xmlns:a16="http://schemas.microsoft.com/office/drawing/2014/main" id="{00000000-0008-0000-2D00-000014000000}"/>
            </a:ext>
          </a:extLst>
        </xdr:cNvPr>
        <xdr:cNvCxnSpPr/>
      </xdr:nvCxnSpPr>
      <xdr:spPr>
        <a:xfrm>
          <a:off x="6446520" y="10614660"/>
          <a:ext cx="0" cy="33504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9530</xdr:colOff>
      <xdr:row>44</xdr:row>
      <xdr:rowOff>60960</xdr:rowOff>
    </xdr:from>
    <xdr:to>
      <xdr:col>7</xdr:col>
      <xdr:colOff>15241</xdr:colOff>
      <xdr:row>48</xdr:row>
      <xdr:rowOff>0</xdr:rowOff>
    </xdr:to>
    <xdr:cxnSp macro="">
      <xdr:nvCxnSpPr>
        <xdr:cNvPr id="21" name="Elbow Connector 42">
          <a:extLst>
            <a:ext uri="{FF2B5EF4-FFF2-40B4-BE49-F238E27FC236}">
              <a16:creationId xmlns:a16="http://schemas.microsoft.com/office/drawing/2014/main" id="{00000000-0008-0000-2D00-000015000000}"/>
            </a:ext>
          </a:extLst>
        </xdr:cNvPr>
        <xdr:cNvCxnSpPr/>
      </xdr:nvCxnSpPr>
      <xdr:spPr>
        <a:xfrm rot="10800000" flipV="1">
          <a:off x="4421510" y="10515600"/>
          <a:ext cx="1308731" cy="579120"/>
        </a:xfrm>
        <a:prstGeom prst="bentConnector3">
          <a:avLst>
            <a:gd name="adj1" fmla="val 10990"/>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xdr:row>
      <xdr:rowOff>0</xdr:rowOff>
    </xdr:from>
    <xdr:to>
      <xdr:col>10</xdr:col>
      <xdr:colOff>14325</xdr:colOff>
      <xdr:row>8</xdr:row>
      <xdr:rowOff>0</xdr:rowOff>
    </xdr:to>
    <xdr:cxnSp macro="">
      <xdr:nvCxnSpPr>
        <xdr:cNvPr id="22" name="Straight Arrow Connector 34">
          <a:extLst>
            <a:ext uri="{FF2B5EF4-FFF2-40B4-BE49-F238E27FC236}">
              <a16:creationId xmlns:a16="http://schemas.microsoft.com/office/drawing/2014/main" id="{00000000-0008-0000-2D00-000016000000}"/>
            </a:ext>
          </a:extLst>
        </xdr:cNvPr>
        <xdr:cNvCxnSpPr/>
      </xdr:nvCxnSpPr>
      <xdr:spPr>
        <a:xfrm rot="10800000" flipH="1">
          <a:off x="7178040" y="20269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24</xdr:row>
      <xdr:rowOff>0</xdr:rowOff>
    </xdr:from>
    <xdr:to>
      <xdr:col>10</xdr:col>
      <xdr:colOff>14325</xdr:colOff>
      <xdr:row>24</xdr:row>
      <xdr:rowOff>0</xdr:rowOff>
    </xdr:to>
    <xdr:cxnSp macro="">
      <xdr:nvCxnSpPr>
        <xdr:cNvPr id="23" name="Straight Arrow Connector 35">
          <a:extLst>
            <a:ext uri="{FF2B5EF4-FFF2-40B4-BE49-F238E27FC236}">
              <a16:creationId xmlns:a16="http://schemas.microsoft.com/office/drawing/2014/main" id="{00000000-0008-0000-2D00-000017000000}"/>
            </a:ext>
          </a:extLst>
        </xdr:cNvPr>
        <xdr:cNvCxnSpPr/>
      </xdr:nvCxnSpPr>
      <xdr:spPr>
        <a:xfrm rot="10800000" flipH="1">
          <a:off x="7178040" y="62941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56</xdr:row>
      <xdr:rowOff>0</xdr:rowOff>
    </xdr:from>
    <xdr:to>
      <xdr:col>10</xdr:col>
      <xdr:colOff>14325</xdr:colOff>
      <xdr:row>56</xdr:row>
      <xdr:rowOff>0</xdr:rowOff>
    </xdr:to>
    <xdr:cxnSp macro="">
      <xdr:nvCxnSpPr>
        <xdr:cNvPr id="24" name="Straight Arrow Connector 36">
          <a:extLst>
            <a:ext uri="{FF2B5EF4-FFF2-40B4-BE49-F238E27FC236}">
              <a16:creationId xmlns:a16="http://schemas.microsoft.com/office/drawing/2014/main" id="{00000000-0008-0000-2D00-000018000000}"/>
            </a:ext>
          </a:extLst>
        </xdr:cNvPr>
        <xdr:cNvCxnSpPr/>
      </xdr:nvCxnSpPr>
      <xdr:spPr>
        <a:xfrm rot="10800000" flipH="1">
          <a:off x="7178040" y="1239012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xdr:colOff>
      <xdr:row>40</xdr:row>
      <xdr:rowOff>247650</xdr:rowOff>
    </xdr:from>
    <xdr:to>
      <xdr:col>8</xdr:col>
      <xdr:colOff>9525</xdr:colOff>
      <xdr:row>42</xdr:row>
      <xdr:rowOff>254250</xdr:rowOff>
    </xdr:to>
    <xdr:cxnSp macro="">
      <xdr:nvCxnSpPr>
        <xdr:cNvPr id="25" name="Straight Arrow Connector 37">
          <a:extLst>
            <a:ext uri="{FF2B5EF4-FFF2-40B4-BE49-F238E27FC236}">
              <a16:creationId xmlns:a16="http://schemas.microsoft.com/office/drawing/2014/main" id="{00000000-0008-0000-2D00-000019000000}"/>
            </a:ext>
          </a:extLst>
        </xdr:cNvPr>
        <xdr:cNvCxnSpPr/>
      </xdr:nvCxnSpPr>
      <xdr:spPr>
        <a:xfrm>
          <a:off x="6456045" y="9970770"/>
          <a:ext cx="0" cy="32664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44</xdr:row>
      <xdr:rowOff>0</xdr:rowOff>
    </xdr:from>
    <xdr:to>
      <xdr:col>10</xdr:col>
      <xdr:colOff>14325</xdr:colOff>
      <xdr:row>44</xdr:row>
      <xdr:rowOff>0</xdr:rowOff>
    </xdr:to>
    <xdr:cxnSp macro="">
      <xdr:nvCxnSpPr>
        <xdr:cNvPr id="26" name="Straight Arrow Connector 38">
          <a:extLst>
            <a:ext uri="{FF2B5EF4-FFF2-40B4-BE49-F238E27FC236}">
              <a16:creationId xmlns:a16="http://schemas.microsoft.com/office/drawing/2014/main" id="{00000000-0008-0000-2D00-00001A000000}"/>
            </a:ext>
          </a:extLst>
        </xdr:cNvPr>
        <xdr:cNvCxnSpPr/>
      </xdr:nvCxnSpPr>
      <xdr:spPr>
        <a:xfrm flipH="1">
          <a:off x="7178040" y="10454640"/>
          <a:ext cx="1317345" cy="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40</xdr:row>
      <xdr:rowOff>247650</xdr:rowOff>
    </xdr:from>
    <xdr:to>
      <xdr:col>5</xdr:col>
      <xdr:colOff>9525</xdr:colOff>
      <xdr:row>42</xdr:row>
      <xdr:rowOff>254250</xdr:rowOff>
    </xdr:to>
    <xdr:cxnSp macro="">
      <xdr:nvCxnSpPr>
        <xdr:cNvPr id="27" name="Straight Arrow Connector 47">
          <a:extLst>
            <a:ext uri="{FF2B5EF4-FFF2-40B4-BE49-F238E27FC236}">
              <a16:creationId xmlns:a16="http://schemas.microsoft.com/office/drawing/2014/main" id="{00000000-0008-0000-2D00-00001B000000}"/>
            </a:ext>
          </a:extLst>
        </xdr:cNvPr>
        <xdr:cNvCxnSpPr/>
      </xdr:nvCxnSpPr>
      <xdr:spPr>
        <a:xfrm>
          <a:off x="3689985" y="9970770"/>
          <a:ext cx="0" cy="32664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40</xdr:row>
      <xdr:rowOff>0</xdr:rowOff>
    </xdr:from>
    <xdr:to>
      <xdr:col>10</xdr:col>
      <xdr:colOff>14325</xdr:colOff>
      <xdr:row>40</xdr:row>
      <xdr:rowOff>0</xdr:rowOff>
    </xdr:to>
    <xdr:cxnSp macro="">
      <xdr:nvCxnSpPr>
        <xdr:cNvPr id="28" name="Straight Arrow Connector 48">
          <a:extLst>
            <a:ext uri="{FF2B5EF4-FFF2-40B4-BE49-F238E27FC236}">
              <a16:creationId xmlns:a16="http://schemas.microsoft.com/office/drawing/2014/main" id="{00000000-0008-0000-2D00-00001C000000}"/>
            </a:ext>
          </a:extLst>
        </xdr:cNvPr>
        <xdr:cNvCxnSpPr/>
      </xdr:nvCxnSpPr>
      <xdr:spPr>
        <a:xfrm rot="10800000" flipH="1">
          <a:off x="7178040" y="981456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56</xdr:row>
      <xdr:rowOff>247650</xdr:rowOff>
    </xdr:from>
    <xdr:to>
      <xdr:col>5</xdr:col>
      <xdr:colOff>9525</xdr:colOff>
      <xdr:row>58</xdr:row>
      <xdr:rowOff>254250</xdr:rowOff>
    </xdr:to>
    <xdr:cxnSp macro="">
      <xdr:nvCxnSpPr>
        <xdr:cNvPr id="29" name="Straight Arrow Connector 49">
          <a:extLst>
            <a:ext uri="{FF2B5EF4-FFF2-40B4-BE49-F238E27FC236}">
              <a16:creationId xmlns:a16="http://schemas.microsoft.com/office/drawing/2014/main" id="{00000000-0008-0000-2D00-00001D000000}"/>
            </a:ext>
          </a:extLst>
        </xdr:cNvPr>
        <xdr:cNvCxnSpPr/>
      </xdr:nvCxnSpPr>
      <xdr:spPr>
        <a:xfrm>
          <a:off x="3689985" y="12561570"/>
          <a:ext cx="0" cy="379980"/>
        </a:xfrm>
        <a:prstGeom prst="straightConnector1">
          <a:avLst/>
        </a:prstGeom>
        <a:ln w="19050">
          <a:solidFill>
            <a:sysClr val="windowText" lastClr="000000"/>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9530</xdr:colOff>
      <xdr:row>60</xdr:row>
      <xdr:rowOff>15239</xdr:rowOff>
    </xdr:from>
    <xdr:to>
      <xdr:col>7</xdr:col>
      <xdr:colOff>0</xdr:colOff>
      <xdr:row>64</xdr:row>
      <xdr:rowOff>9524</xdr:rowOff>
    </xdr:to>
    <xdr:cxnSp macro="">
      <xdr:nvCxnSpPr>
        <xdr:cNvPr id="30" name="Elbow Connector 53">
          <a:extLst>
            <a:ext uri="{FF2B5EF4-FFF2-40B4-BE49-F238E27FC236}">
              <a16:creationId xmlns:a16="http://schemas.microsoft.com/office/drawing/2014/main" id="{00000000-0008-0000-2D00-00001E000000}"/>
            </a:ext>
          </a:extLst>
        </xdr:cNvPr>
        <xdr:cNvCxnSpPr/>
      </xdr:nvCxnSpPr>
      <xdr:spPr>
        <a:xfrm rot="10800000" flipV="1">
          <a:off x="4421510" y="13121639"/>
          <a:ext cx="1293490" cy="634365"/>
        </a:xfrm>
        <a:prstGeom prst="bentConnector3">
          <a:avLst>
            <a:gd name="adj1" fmla="val 11119"/>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704852</xdr:colOff>
      <xdr:row>11</xdr:row>
      <xdr:rowOff>266699</xdr:rowOff>
    </xdr:from>
    <xdr:to>
      <xdr:col>6</xdr:col>
      <xdr:colOff>1287781</xdr:colOff>
      <xdr:row>16</xdr:row>
      <xdr:rowOff>9524</xdr:rowOff>
    </xdr:to>
    <xdr:cxnSp macro="">
      <xdr:nvCxnSpPr>
        <xdr:cNvPr id="31" name="Elbow Connector 55">
          <a:extLst>
            <a:ext uri="{FF2B5EF4-FFF2-40B4-BE49-F238E27FC236}">
              <a16:creationId xmlns:a16="http://schemas.microsoft.com/office/drawing/2014/main" id="{00000000-0008-0000-2D00-00001F000000}"/>
            </a:ext>
          </a:extLst>
        </xdr:cNvPr>
        <xdr:cNvCxnSpPr/>
      </xdr:nvCxnSpPr>
      <xdr:spPr>
        <a:xfrm rot="10800000" flipV="1">
          <a:off x="4385312" y="3093719"/>
          <a:ext cx="1314449" cy="1076325"/>
        </a:xfrm>
        <a:prstGeom prst="bentConnector3">
          <a:avLst>
            <a:gd name="adj1" fmla="val 18116"/>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73</xdr:row>
      <xdr:rowOff>0</xdr:rowOff>
    </xdr:from>
    <xdr:to>
      <xdr:col>8</xdr:col>
      <xdr:colOff>0</xdr:colOff>
      <xdr:row>77</xdr:row>
      <xdr:rowOff>15000</xdr:rowOff>
    </xdr:to>
    <xdr:cxnSp macro="">
      <xdr:nvCxnSpPr>
        <xdr:cNvPr id="32" name="Straight Arrow Connector 43">
          <a:extLst>
            <a:ext uri="{FF2B5EF4-FFF2-40B4-BE49-F238E27FC236}">
              <a16:creationId xmlns:a16="http://schemas.microsoft.com/office/drawing/2014/main" id="{00000000-0008-0000-2D00-000020000000}"/>
            </a:ext>
          </a:extLst>
        </xdr:cNvPr>
        <xdr:cNvCxnSpPr/>
      </xdr:nvCxnSpPr>
      <xdr:spPr>
        <a:xfrm>
          <a:off x="6446520" y="15186660"/>
          <a:ext cx="0" cy="65508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78</xdr:row>
      <xdr:rowOff>0</xdr:rowOff>
    </xdr:from>
    <xdr:to>
      <xdr:col>10</xdr:col>
      <xdr:colOff>14325</xdr:colOff>
      <xdr:row>78</xdr:row>
      <xdr:rowOff>0</xdr:rowOff>
    </xdr:to>
    <xdr:cxnSp macro="">
      <xdr:nvCxnSpPr>
        <xdr:cNvPr id="33" name="Straight Arrow Connector 45">
          <a:extLst>
            <a:ext uri="{FF2B5EF4-FFF2-40B4-BE49-F238E27FC236}">
              <a16:creationId xmlns:a16="http://schemas.microsoft.com/office/drawing/2014/main" id="{00000000-0008-0000-2D00-000021000000}"/>
            </a:ext>
          </a:extLst>
        </xdr:cNvPr>
        <xdr:cNvCxnSpPr/>
      </xdr:nvCxnSpPr>
      <xdr:spPr>
        <a:xfrm rot="10800000" flipH="1">
          <a:off x="7178040" y="15986760"/>
          <a:ext cx="131734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79</xdr:row>
      <xdr:rowOff>0</xdr:rowOff>
    </xdr:from>
    <xdr:to>
      <xdr:col>8</xdr:col>
      <xdr:colOff>0</xdr:colOff>
      <xdr:row>81</xdr:row>
      <xdr:rowOff>15000</xdr:rowOff>
    </xdr:to>
    <xdr:cxnSp macro="">
      <xdr:nvCxnSpPr>
        <xdr:cNvPr id="34" name="Straight Arrow Connector 46">
          <a:extLst>
            <a:ext uri="{FF2B5EF4-FFF2-40B4-BE49-F238E27FC236}">
              <a16:creationId xmlns:a16="http://schemas.microsoft.com/office/drawing/2014/main" id="{00000000-0008-0000-2D00-000022000000}"/>
            </a:ext>
          </a:extLst>
        </xdr:cNvPr>
        <xdr:cNvCxnSpPr/>
      </xdr:nvCxnSpPr>
      <xdr:spPr>
        <a:xfrm>
          <a:off x="6446520" y="16146780"/>
          <a:ext cx="0" cy="33504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78</xdr:row>
      <xdr:rowOff>0</xdr:rowOff>
    </xdr:from>
    <xdr:to>
      <xdr:col>7</xdr:col>
      <xdr:colOff>0</xdr:colOff>
      <xdr:row>78</xdr:row>
      <xdr:rowOff>0</xdr:rowOff>
    </xdr:to>
    <xdr:cxnSp macro="">
      <xdr:nvCxnSpPr>
        <xdr:cNvPr id="35" name="Straight Arrow Connector 7">
          <a:extLst>
            <a:ext uri="{FF2B5EF4-FFF2-40B4-BE49-F238E27FC236}">
              <a16:creationId xmlns:a16="http://schemas.microsoft.com/office/drawing/2014/main" id="{00000000-0008-0000-2D00-000023000000}"/>
            </a:ext>
          </a:extLst>
        </xdr:cNvPr>
        <xdr:cNvCxnSpPr/>
      </xdr:nvCxnSpPr>
      <xdr:spPr>
        <a:xfrm flipH="1">
          <a:off x="4421505" y="15986760"/>
          <a:ext cx="1293495" cy="0"/>
        </a:xfrm>
        <a:prstGeom prst="straightConnector1">
          <a:avLst/>
        </a:prstGeom>
        <a:ln w="190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4</xdr:col>
      <xdr:colOff>304800</xdr:colOff>
      <xdr:row>8</xdr:row>
      <xdr:rowOff>0</xdr:rowOff>
    </xdr:from>
    <xdr:to>
      <xdr:col>7</xdr:col>
      <xdr:colOff>28575</xdr:colOff>
      <xdr:row>15</xdr:row>
      <xdr:rowOff>257175</xdr:rowOff>
    </xdr:to>
    <xdr:grpSp>
      <xdr:nvGrpSpPr>
        <xdr:cNvPr id="2" name="Group 41">
          <a:extLst>
            <a:ext uri="{FF2B5EF4-FFF2-40B4-BE49-F238E27FC236}">
              <a16:creationId xmlns:a16="http://schemas.microsoft.com/office/drawing/2014/main" id="{00000000-0008-0000-2E00-000002000000}"/>
            </a:ext>
          </a:extLst>
        </xdr:cNvPr>
        <xdr:cNvGrpSpPr>
          <a:grpSpLocks noChangeAspect="1"/>
        </xdr:cNvGrpSpPr>
      </xdr:nvGrpSpPr>
      <xdr:grpSpPr>
        <a:xfrm>
          <a:off x="3376613" y="2028825"/>
          <a:ext cx="2605087" cy="2124075"/>
          <a:chOff x="11144250" y="4333875"/>
          <a:chExt cx="2419350" cy="2124075"/>
        </a:xfrm>
      </xdr:grpSpPr>
      <xdr:sp macro="" textlink="">
        <xdr:nvSpPr>
          <xdr:cNvPr id="3" name="Isosceles Triangle 33">
            <a:extLst>
              <a:ext uri="{FF2B5EF4-FFF2-40B4-BE49-F238E27FC236}">
                <a16:creationId xmlns:a16="http://schemas.microsoft.com/office/drawing/2014/main" id="{00000000-0008-0000-2E00-000003000000}"/>
              </a:ext>
            </a:extLst>
          </xdr:cNvPr>
          <xdr:cNvSpPr/>
        </xdr:nvSpPr>
        <xdr:spPr>
          <a:xfrm>
            <a:off x="11153774" y="4333875"/>
            <a:ext cx="2409825" cy="2114550"/>
          </a:xfrm>
          <a:prstGeom prst="triangle">
            <a:avLst>
              <a:gd name="adj" fmla="val 50000"/>
            </a:avLst>
          </a:prstGeom>
          <a:noFill/>
          <a:ln w="285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endParaRPr lang="en-US" sz="2400" b="1">
              <a:solidFill>
                <a:sysClr val="windowText" lastClr="000000"/>
              </a:solidFill>
              <a:latin typeface="Arial" panose="020B0604020202020204" pitchFamily="34" charset="0"/>
              <a:cs typeface="Arial" panose="020B0604020202020204" pitchFamily="34" charset="0"/>
            </a:endParaRPr>
          </a:p>
        </xdr:txBody>
      </xdr:sp>
      <xdr:sp macro="" textlink="">
        <xdr:nvSpPr>
          <xdr:cNvPr id="4" name="Trapezoid 36">
            <a:extLst>
              <a:ext uri="{FF2B5EF4-FFF2-40B4-BE49-F238E27FC236}">
                <a16:creationId xmlns:a16="http://schemas.microsoft.com/office/drawing/2014/main" id="{00000000-0008-0000-2E00-000004000000}"/>
              </a:ext>
            </a:extLst>
          </xdr:cNvPr>
          <xdr:cNvSpPr/>
        </xdr:nvSpPr>
        <xdr:spPr>
          <a:xfrm>
            <a:off x="11144250" y="4514850"/>
            <a:ext cx="2419350" cy="1943100"/>
          </a:xfrm>
          <a:prstGeom prst="trapezoid">
            <a:avLst>
              <a:gd name="adj" fmla="val 37027"/>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t"/>
          <a:lstStyle/>
          <a:p>
            <a:pPr algn="ctr"/>
            <a:r>
              <a:rPr lang="en-US" sz="2400" b="1">
                <a:solidFill>
                  <a:sysClr val="windowText" lastClr="000000"/>
                </a:solidFill>
                <a:effectLst/>
                <a:latin typeface="Arial" panose="020B0604020202020204" pitchFamily="34" charset="0"/>
                <a:ea typeface="+mn-ea"/>
                <a:cs typeface="Arial" panose="020B0604020202020204" pitchFamily="34" charset="0"/>
              </a:rPr>
              <a:t>M</a:t>
            </a:r>
          </a:p>
          <a:p>
            <a:pPr algn="ctr"/>
            <a:endParaRPr lang="en-US" sz="2000">
              <a:solidFill>
                <a:sysClr val="windowText" lastClr="000000"/>
              </a:solidFill>
              <a:effectLst/>
              <a:latin typeface="Arial" panose="020B0604020202020204" pitchFamily="34" charset="0"/>
              <a:cs typeface="Arial" panose="020B0604020202020204" pitchFamily="34" charset="0"/>
            </a:endParaRPr>
          </a:p>
          <a:p>
            <a:pPr algn="ctr"/>
            <a:endParaRPr lang="en-US" sz="2000">
              <a:solidFill>
                <a:sysClr val="windowText" lastClr="000000"/>
              </a:solidFill>
              <a:effectLst/>
              <a:latin typeface="Arial" panose="020B0604020202020204" pitchFamily="34" charset="0"/>
              <a:cs typeface="Arial" panose="020B0604020202020204" pitchFamily="34" charset="0"/>
            </a:endParaRPr>
          </a:p>
          <a:p>
            <a:pPr algn="ctr"/>
            <a:r>
              <a:rPr lang="en-US" sz="2400" b="1">
                <a:solidFill>
                  <a:sysClr val="windowText" lastClr="000000"/>
                </a:solidFill>
                <a:effectLst/>
                <a:latin typeface="Arial" panose="020B0604020202020204" pitchFamily="34" charset="0"/>
                <a:ea typeface="+mn-ea"/>
                <a:cs typeface="Arial" panose="020B0604020202020204" pitchFamily="34" charset="0"/>
              </a:rPr>
              <a:t>D        V</a:t>
            </a:r>
            <a:endParaRPr lang="en-US" sz="2400">
              <a:solidFill>
                <a:sysClr val="windowText" lastClr="000000"/>
              </a:solidFill>
              <a:effectLst/>
              <a:latin typeface="Arial" panose="020B0604020202020204" pitchFamily="34" charset="0"/>
              <a:cs typeface="Arial" panose="020B0604020202020204" pitchFamily="34" charset="0"/>
            </a:endParaRPr>
          </a:p>
          <a:p>
            <a:pPr algn="ctr"/>
            <a:endParaRPr lang="en-US" sz="2400">
              <a:solidFill>
                <a:sysClr val="windowText" lastClr="000000"/>
              </a:solidFill>
              <a:latin typeface="Arial" panose="020B0604020202020204" pitchFamily="34" charset="0"/>
              <a:cs typeface="Arial" panose="020B0604020202020204" pitchFamily="34" charset="0"/>
            </a:endParaRPr>
          </a:p>
        </xdr:txBody>
      </xdr:sp>
      <xdr:cxnSp macro="">
        <xdr:nvCxnSpPr>
          <xdr:cNvPr id="5" name="Straight Connector 38">
            <a:extLst>
              <a:ext uri="{FF2B5EF4-FFF2-40B4-BE49-F238E27FC236}">
                <a16:creationId xmlns:a16="http://schemas.microsoft.com/office/drawing/2014/main" id="{00000000-0008-0000-2E00-000005000000}"/>
              </a:ext>
            </a:extLst>
          </xdr:cNvPr>
          <xdr:cNvCxnSpPr>
            <a:stCxn id="3" idx="1"/>
            <a:endCxn id="3" idx="5"/>
          </xdr:cNvCxnSpPr>
        </xdr:nvCxnSpPr>
        <xdr:spPr>
          <a:xfrm>
            <a:off x="11756230" y="5391150"/>
            <a:ext cx="1204913" cy="0"/>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40">
            <a:extLst>
              <a:ext uri="{FF2B5EF4-FFF2-40B4-BE49-F238E27FC236}">
                <a16:creationId xmlns:a16="http://schemas.microsoft.com/office/drawing/2014/main" id="{00000000-0008-0000-2E00-000006000000}"/>
              </a:ext>
            </a:extLst>
          </xdr:cNvPr>
          <xdr:cNvCxnSpPr>
            <a:stCxn id="4" idx="2"/>
          </xdr:cNvCxnSpPr>
        </xdr:nvCxnSpPr>
        <xdr:spPr>
          <a:xfrm flipV="1">
            <a:off x="12353925" y="5400675"/>
            <a:ext cx="0" cy="1057275"/>
          </a:xfrm>
          <a:prstGeom prst="lin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8.xml><?xml version="1.0" encoding="utf-8"?>
<xdr:wsDr xmlns:xdr="http://schemas.openxmlformats.org/drawingml/2006/spreadsheetDrawing" xmlns:a="http://schemas.openxmlformats.org/drawingml/2006/main">
  <xdr:twoCellAnchor>
    <xdr:from>
      <xdr:col>3</xdr:col>
      <xdr:colOff>1905</xdr:colOff>
      <xdr:row>4</xdr:row>
      <xdr:rowOff>19048</xdr:rowOff>
    </xdr:from>
    <xdr:to>
      <xdr:col>10</xdr:col>
      <xdr:colOff>691516</xdr:colOff>
      <xdr:row>188</xdr:row>
      <xdr:rowOff>45720</xdr:rowOff>
    </xdr:to>
    <xdr:sp macro="" textlink="">
      <xdr:nvSpPr>
        <xdr:cNvPr id="2" name="TextBox 1">
          <a:extLst>
            <a:ext uri="{FF2B5EF4-FFF2-40B4-BE49-F238E27FC236}">
              <a16:creationId xmlns:a16="http://schemas.microsoft.com/office/drawing/2014/main" id="{00000000-0008-0000-3000-000002000000}"/>
            </a:ext>
          </a:extLst>
        </xdr:cNvPr>
        <xdr:cNvSpPr txBox="1"/>
      </xdr:nvSpPr>
      <xdr:spPr>
        <a:xfrm>
          <a:off x="2699385" y="979168"/>
          <a:ext cx="7623811" cy="35177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tIns="0" rtlCol="0" anchor="t"/>
        <a:lstStyle/>
        <a:p>
          <a:pPr rtl="0"/>
          <a:endParaRPr lang="en-US" sz="1000" b="1" i="0" baseline="0">
            <a:solidFill>
              <a:schemeClr val="dk1"/>
            </a:solidFill>
            <a:effectLst/>
            <a:latin typeface="Arial" pitchFamily="34" charset="0"/>
            <a:ea typeface="+mn-ea"/>
            <a:cs typeface="Arial" pitchFamily="34" charset="0"/>
          </a:endParaRPr>
        </a:p>
        <a:p>
          <a:pPr fontAlgn="base"/>
          <a:r>
            <a:rPr lang="en-GB" sz="1200" b="1">
              <a:effectLst/>
              <a:latin typeface="Arial" panose="020B0604020202020204" pitchFamily="34" charset="0"/>
              <a:cs typeface="Arial" panose="020B0604020202020204" pitchFamily="34" charset="0"/>
            </a:rPr>
            <a:t>Calculation of bottom line quantities on tankers:</a:t>
          </a:r>
        </a:p>
        <a:p>
          <a:pPr algn="just" fontAlgn="base"/>
          <a:endParaRPr lang="en-GB" sz="1000" b="1" i="0">
            <a:solidFill>
              <a:srgbClr val="444444"/>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On VLCCs and SUEZ max tankers, the total volume of the bottom lines is usually considerably large (on a VLCC around 300+ M³).</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When calculating the total quantity of cargo on board such vessels while the ship is carrying more than one grade means that special consideration needs to be given to the bottom line contents, but exactly how these contents need to be considered depends on the situation.</a:t>
          </a:r>
        </a:p>
        <a:p>
          <a:pPr algn="just" fontAlgn="base"/>
          <a:endParaRPr lang="en-GB" sz="1000" b="1" i="0">
            <a:solidFill>
              <a:srgbClr val="444444"/>
            </a:solidFill>
            <a:effectLst/>
            <a:latin typeface="Arial" panose="020B0604020202020204" pitchFamily="34" charset="0"/>
            <a:cs typeface="Arial" panose="020B0604020202020204" pitchFamily="34" charset="0"/>
          </a:endParaRPr>
        </a:p>
        <a:p>
          <a:pPr algn="just" fontAlgn="base"/>
          <a:r>
            <a:rPr lang="en-GB" sz="1000" b="1" i="0">
              <a:solidFill>
                <a:sysClr val="windowText" lastClr="000000"/>
              </a:solidFill>
              <a:effectLst/>
              <a:latin typeface="Arial" panose="020B0604020202020204" pitchFamily="34" charset="0"/>
              <a:cs typeface="Arial" panose="020B0604020202020204" pitchFamily="34" charset="0"/>
            </a:rPr>
            <a:t>API MPMS Chapter 17.2 par 8.5 only states the following regarding the volume of ship’s lines: </a:t>
          </a:r>
        </a:p>
        <a:p>
          <a:pPr algn="just" fontAlgn="base"/>
          <a:r>
            <a:rPr lang="en-GB" sz="1000" b="1" i="1">
              <a:solidFill>
                <a:sysClr val="windowText" lastClr="000000"/>
              </a:solidFill>
              <a:effectLst/>
              <a:latin typeface="Arial" panose="020B0604020202020204" pitchFamily="34" charset="0"/>
              <a:cs typeface="Arial" panose="020B0604020202020204" pitchFamily="34" charset="0"/>
            </a:rPr>
            <a:t>“Each ship should have a diagram on which the location of loading and discharging piping is clearly indicated. The diagram should show the diameter of each line and the volume of each line when full or provide sufficient information to allow the calculation of these volumes. Knowledge of the lines used during the cargo-handling operation should make it possible to determine which pipes could contain oil at any point in the cargo operation. It must be understood, however, that the actual pipeline volumes usually cannot be quantified at all times.”</a:t>
          </a:r>
          <a:endParaRPr lang="en-GB" sz="1000" b="1"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This is not very useful in determining the best course of action, but API has probably refrained from giving any more detailed advice because there is no standard to which ship yards publish their cargo tank calibration tables. Every shipyard has its own format for providing tank calibration tables, and whether bottom line content information is included in those tables or not, and how it is presented depends probably on whether the owner of the ship has included a description for this item in the ship’s build specification.</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Regardless of the above, surveyors / cargo expediters / loss control superintendents need to be able to determine the bottom line contents for each bottom line, and how this effects the quantity on board for each grade loaded.</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There are basically two different scenarios:</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  Bottom line contents are included in the tank volumes as given in the ship’s tank calibration tables</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  Bottom line contents are excluded from the tank volumes</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If bottom line contents are excluded from the tank volumes there is not much of an issue; the line content of each bottom line simply needs to be added to the grade that each bottom line contains. Even if no detailed information is available, bottom line diameters and approximate pipe length will give a reasonable estimate of bottom line quantities in that case.</a:t>
          </a:r>
        </a:p>
        <a:p>
          <a:pPr algn="l"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l" fontAlgn="base"/>
          <a:r>
            <a:rPr lang="en-GB" sz="1000" b="0" i="0">
              <a:solidFill>
                <a:sysClr val="windowText" lastClr="000000"/>
              </a:solidFill>
              <a:effectLst/>
              <a:latin typeface="Arial" panose="020B0604020202020204" pitchFamily="34" charset="0"/>
              <a:cs typeface="Arial" panose="020B0604020202020204" pitchFamily="34" charset="0"/>
            </a:rPr>
            <a:t>If bottom line contents are included, then there are several possibilities:</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  The tank tables contain detailed information concerning the bottom lines, and for each cargo tank the volume occupied</a:t>
          </a:r>
          <a:r>
            <a:rPr lang="en-GB" sz="1000" b="0" i="0" baseline="0">
              <a:solidFill>
                <a:sysClr val="windowText" lastClr="000000"/>
              </a:solidFill>
              <a:effectLst/>
              <a:latin typeface="Arial" panose="020B0604020202020204" pitchFamily="34" charset="0"/>
              <a:cs typeface="Arial" panose="020B0604020202020204" pitchFamily="34" charset="0"/>
            </a:rPr>
            <a:t> </a:t>
          </a:r>
          <a:r>
            <a:rPr lang="en-GB" sz="1000" b="0" i="0">
              <a:solidFill>
                <a:sysClr val="windowText" lastClr="000000"/>
              </a:solidFill>
              <a:effectLst/>
              <a:latin typeface="Arial" panose="020B0604020202020204" pitchFamily="34" charset="0"/>
              <a:cs typeface="Arial" panose="020B0604020202020204" pitchFamily="34" charset="0"/>
            </a:rPr>
            <a:t>by each bottom line section is given</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  The tank tables only contain a summary of total line contents for each bottom line, without any details</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  The tank tables do not have any information about bottom lines</a:t>
          </a:r>
        </a:p>
        <a:p>
          <a:pPr algn="l"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l" fontAlgn="base"/>
          <a:r>
            <a:rPr lang="en-GB" sz="1000" b="0" i="0">
              <a:solidFill>
                <a:sysClr val="windowText" lastClr="000000"/>
              </a:solidFill>
              <a:effectLst/>
              <a:latin typeface="Arial" panose="020B0604020202020204" pitchFamily="34" charset="0"/>
              <a:cs typeface="Arial" panose="020B0604020202020204" pitchFamily="34" charset="0"/>
            </a:rPr>
            <a:t>The following screen shot is an example of detailed information included in a vessel’s tank calibration table for bottom lines:</a:t>
          </a: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l" fontAlgn="base"/>
          <a:endParaRPr lang="en-GB" sz="1000" b="1" i="0">
            <a:solidFill>
              <a:sysClr val="windowText" lastClr="000000"/>
            </a:solidFill>
            <a:effectLst/>
            <a:latin typeface="Arial" panose="020B0604020202020204" pitchFamily="34" charset="0"/>
            <a:cs typeface="Arial" panose="020B0604020202020204" pitchFamily="34" charset="0"/>
          </a:endParaRPr>
        </a:p>
        <a:p>
          <a:pPr algn="ctr" fontAlgn="base"/>
          <a:r>
            <a:rPr lang="en-GB" sz="1000" b="0" i="0">
              <a:solidFill>
                <a:sysClr val="windowText" lastClr="000000"/>
              </a:solidFill>
              <a:effectLst/>
              <a:latin typeface="Arial" panose="020B0604020202020204" pitchFamily="34" charset="0"/>
              <a:cs typeface="Arial" panose="020B0604020202020204" pitchFamily="34" charset="0"/>
            </a:rPr>
            <a:t>Table of line contents</a:t>
          </a: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In the above example, it is obvious that on this vessel all bottom lines are located in the center tanks, with the branch lines apparently also taking up space mostly in the center tanks rather than in the wing tanks. The first table lists the line section contents for the bottom lines; the second table lists the line contents of deck and pump room piping, neither of which is included in cargo tank volumes.</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If the tank calibration table does not give any information about bottom lines, or only states the total line content for each line without any break down for each cargo tank, then the only way to establish line contents for each cargo tank in detail, is to use the ship’s cargo piping diagram, and calculate the volume of each line section for all cargo tanks based on diameter and length of each section.</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Having established line section quantities for all cargo tanks, the next issue is how to apply these quantities to the grades loaded. We will from here on only consider cases where the bottom line contents are included in the cargo tank volumes, and the vessel has loaded more than one grade: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With bottom line contents included in the cargo tank volumes as per the calibration tables, for each cargo tank that actually contains one or more sections of bottom lines, we need to correct the total quantity for the grade in the tank as well as for each grade which is contained inside a bottom line.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If the bottom line section has the same grade as the cargo tank in which the section is located, no addition or deduction needs to be made since the volume of the section is already included in the cargo tank table.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If however the grade in the bottom line section is different from the grade in the tank, then two adjustments need to be made:</a:t>
          </a:r>
        </a:p>
        <a:p>
          <a:pPr algn="just"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The volume of the section must be deducted from the total quantity for the grade which this cargo tank belongs to</a:t>
          </a:r>
        </a:p>
        <a:p>
          <a:pPr algn="just"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The volume of this section must be added to the total quantity for the grade which is contained in this bottom line section</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This calculation needs to be done for all cargo tanks and bottom lines. To illustrate this, consider the following example: a VLCC has loaded three parcels:</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A parcel of RMG fuel oil into 1C, 2C, 3C, 5C, 4W and slop tanks</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A parcel of RMK fuel oil into 1W and 3W</a:t>
          </a:r>
        </a:p>
        <a:p>
          <a:pPr algn="l" fontAlgn="base">
            <a:buFont typeface="Arial" panose="020B0604020202020204" pitchFamily="34" charset="0"/>
            <a:buChar char="•"/>
          </a:pPr>
          <a:r>
            <a:rPr lang="en-GB" sz="1000" b="0" i="0">
              <a:solidFill>
                <a:sysClr val="windowText" lastClr="000000"/>
              </a:solidFill>
              <a:effectLst/>
              <a:latin typeface="Arial" panose="020B0604020202020204" pitchFamily="34" charset="0"/>
              <a:cs typeface="Arial" panose="020B0604020202020204" pitchFamily="34" charset="0"/>
            </a:rPr>
            <a:t>A parcel of M100 fuel oil into 4C, 2W and 5W</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No.1 bottom line is filled with RMK, no.2 bottom line is filled with M100 and no.3 bottom line is filled with RMG. The bottom line section quantities are as detailed in the above screen shot, with the omission of the ‘communication line’ located inside 5C. (The communication line is the leveling line between the two slop tanks, and is normally empty, so in theory should be deducted directly from the quantity of cargo in 5C only, regardless of what grade is carried in 5C. For the purposes of these calculations however we have ignored it since this line is not a part of the bottom lines proper).</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In this example we only need to consider the five center tanks, because all bottom lines are located in the center tanks only.</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Starting with 1C, no.1 line section consists of 3 M³ main line and 5.2 M³ branch lines, total 8.2 M³. No.3 line section contains only 3 M³ of main line.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1C tank contains RMG, and no.1 bottom line is filled with RMK. This means that from the total quantity of RMG a quantity of 8.2 M³ must be deducted for no.1 line.  No.3 bottom line is the same grade as the tank so no deduction needs to be made.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Conversely, since no.1 bottom line contains RMK and 1C contains RMG, the same 8.2 M³ that was deducted from the RMG parcel, needs to be added to the RMK parcel since the line contains RMK but the section is accounted for in a tank which contains RMG.</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2C contains RMG, so a quantity of 21.5 M³ must be deducted from the RMG parcel for no.1 bottom line in 2C. No.2 bottom line contains M100, so a quantity of (2.1 + 5.1) M³ must be deducted from the RMG parcel for no.2 bottom line. No.3 bottom line is the same grade as the tank so no deduction needs to be made for this bottom line.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Conversely, a quantity of 21.5 M³ must be added to the RMK parcel for no.1 bottom line in 2C and a quantity of 7.3 M³ must be added to the M100 parcel for no.2 bottom line in 2C.</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3C contains RMG, so a quantity of (21.5 + 8.6)M³ must be deducted from the RMG parcel for no.1 bottom line in 3C. Likewise a quantity of (21.5 + 8.5)M³ must be deducted from the M100 parcel for no.2 bottom line in 3C.</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Conversely, a quantity of (21.5 + 8.6) M³ must be added to the RMK parcel for no.1 bottom line in 3C and a quantity of (21.5 + 8.5) M³ must be added to the M100 parcel for no.2 bottom line in 3C.</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For all five center tanks and 3 bottom lines the same analogy will apply, and after applying to all tanks and lines as necessary, we will find the following results:</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On the right hand side under TOTAL you can see the total quantity for each grade that needs to be applied to that grade. It is obvious that the correction to the different grades can be substantial, depending on the line configuration and how many lines are used for a certain grade.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In the above show case, the RMK parcel gets allotted an additional 112.9 M³ because the RMK parcel is distributed between wing tanks only, and the RMK bottom line is located inside the center tanks. There are no deductions for the RMK parcel, because the RMK tanks are all wing tanks only, and there are no bottom lines inside any of the wing tanks.</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Likewise 121 M³ is deducted from the RMG tanks because this parcel is distributed between 4 center tanks and 4W, and the bottom lines are all located inside these center tanks and in each center tank that contains RMG, a deduction is made for no.1 and no.2 bottom line.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We have heard arguments from some people reasoning that bottom line quantities may need to be applied depending on whether or not and how much line quantity has been pushed into cargo tanks in order to displace the grade in a certain bottom line with another grade.</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This is incorrect: once loading of a vessel is completed, the only bottom line quantities that need to be applied to the different parcels on board, are the quantities as derived using the above described method (for vessels where bottom lines are included in the tank volumes as per calibration tables).</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Whichever was the last grade that occupied a certain bottom line, is what that bottom line is assumed to be filled with, and if the content of a bottom line is displaced with contents from a cargo tank with a different grade, then that bottom line becomes filled with that different grade entirely since it is impossible to declare a bottom line as being partially filled with one grade and partially with another (even if physically that may be the case, because this is something which is impossible to prove, quantify or verify afterwards).</a:t>
          </a:r>
        </a:p>
        <a:p>
          <a:pPr algn="just" fontAlgn="base"/>
          <a:endParaRPr lang="en-GB" sz="1000" b="0" i="0">
            <a:solidFill>
              <a:sysClr val="windowText" lastClr="000000"/>
            </a:solidFill>
            <a:effectLst/>
            <a:latin typeface="Arial" panose="020B0604020202020204" pitchFamily="34" charset="0"/>
            <a:cs typeface="Arial" panose="020B0604020202020204" pitchFamily="34" charset="0"/>
          </a:endParaRPr>
        </a:p>
        <a:p>
          <a:pPr algn="just" fontAlgn="base"/>
          <a:r>
            <a:rPr lang="en-GB" sz="1000" b="0" i="0">
              <a:solidFill>
                <a:sysClr val="windowText" lastClr="000000"/>
              </a:solidFill>
              <a:effectLst/>
              <a:latin typeface="Arial" panose="020B0604020202020204" pitchFamily="34" charset="0"/>
              <a:cs typeface="Arial" panose="020B0604020202020204" pitchFamily="34" charset="0"/>
            </a:rPr>
            <a:t>The above described calculations could be put into an excel spreadsheet</a:t>
          </a:r>
        </a:p>
        <a:p>
          <a:endParaRPr lang="en-US" sz="1000">
            <a:latin typeface="Arial" pitchFamily="34" charset="0"/>
            <a:cs typeface="Arial" pitchFamily="34" charset="0"/>
          </a:endParaRPr>
        </a:p>
      </xdr:txBody>
    </xdr:sp>
    <xdr:clientData/>
  </xdr:twoCellAnchor>
  <xdr:twoCellAnchor editAs="oneCell">
    <xdr:from>
      <xdr:col>3</xdr:col>
      <xdr:colOff>533400</xdr:colOff>
      <xdr:row>26</xdr:row>
      <xdr:rowOff>114300</xdr:rowOff>
    </xdr:from>
    <xdr:to>
      <xdr:col>9</xdr:col>
      <xdr:colOff>510540</xdr:colOff>
      <xdr:row>67</xdr:row>
      <xdr:rowOff>114300</xdr:rowOff>
    </xdr:to>
    <xdr:pic>
      <xdr:nvPicPr>
        <xdr:cNvPr id="3" name="Рисунок 2" descr="Table of line contents">
          <a:extLst>
            <a:ext uri="{FF2B5EF4-FFF2-40B4-BE49-F238E27FC236}">
              <a16:creationId xmlns:a16="http://schemas.microsoft.com/office/drawing/2014/main" id="{00000000-0008-0000-3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0880" y="6941820"/>
          <a:ext cx="6286500" cy="8999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76201</xdr:colOff>
      <xdr:row>127</xdr:row>
      <xdr:rowOff>68580</xdr:rowOff>
    </xdr:from>
    <xdr:to>
      <xdr:col>10</xdr:col>
      <xdr:colOff>578021</xdr:colOff>
      <xdr:row>153</xdr:row>
      <xdr:rowOff>7620</xdr:rowOff>
    </xdr:to>
    <xdr:pic>
      <xdr:nvPicPr>
        <xdr:cNvPr id="4" name="Рисунок 3">
          <a:extLst>
            <a:ext uri="{FF2B5EF4-FFF2-40B4-BE49-F238E27FC236}">
              <a16:creationId xmlns:a16="http://schemas.microsoft.com/office/drawing/2014/main" id="{00000000-0008-0000-3000-000004000000}"/>
            </a:ext>
          </a:extLst>
        </xdr:cNvPr>
        <xdr:cNvPicPr>
          <a:picLocks noChangeAspect="1"/>
        </xdr:cNvPicPr>
      </xdr:nvPicPr>
      <xdr:blipFill>
        <a:blip xmlns:r="http://schemas.openxmlformats.org/officeDocument/2006/relationships" r:embed="rId2"/>
        <a:stretch>
          <a:fillRect/>
        </a:stretch>
      </xdr:blipFill>
      <xdr:spPr>
        <a:xfrm>
          <a:off x="2773681" y="25953720"/>
          <a:ext cx="7436020" cy="429768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3</xdr:col>
      <xdr:colOff>1905</xdr:colOff>
      <xdr:row>3</xdr:row>
      <xdr:rowOff>11428</xdr:rowOff>
    </xdr:from>
    <xdr:to>
      <xdr:col>10</xdr:col>
      <xdr:colOff>691516</xdr:colOff>
      <xdr:row>337</xdr:row>
      <xdr:rowOff>160020</xdr:rowOff>
    </xdr:to>
    <xdr:sp macro="" textlink="">
      <xdr:nvSpPr>
        <xdr:cNvPr id="2" name="TextBox 1">
          <a:extLst>
            <a:ext uri="{FF2B5EF4-FFF2-40B4-BE49-F238E27FC236}">
              <a16:creationId xmlns:a16="http://schemas.microsoft.com/office/drawing/2014/main" id="{00000000-0008-0000-3100-000002000000}"/>
            </a:ext>
          </a:extLst>
        </xdr:cNvPr>
        <xdr:cNvSpPr txBox="1"/>
      </xdr:nvSpPr>
      <xdr:spPr>
        <a:xfrm>
          <a:off x="2699385" y="704848"/>
          <a:ext cx="7623811" cy="60544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000" b="1" i="0" baseline="0">
            <a:solidFill>
              <a:schemeClr val="dk1"/>
            </a:solidFill>
            <a:effectLst/>
            <a:latin typeface="Arial" pitchFamily="34" charset="0"/>
            <a:ea typeface="+mn-ea"/>
            <a:cs typeface="Arial" pitchFamily="34" charset="0"/>
          </a:endParaRPr>
        </a:p>
        <a:p>
          <a:pPr rtl="0"/>
          <a:endParaRPr lang="en-US" sz="1000" b="1" i="0" baseline="0">
            <a:solidFill>
              <a:schemeClr val="dk1"/>
            </a:solidFill>
            <a:effectLst/>
            <a:latin typeface="Arial" pitchFamily="34" charset="0"/>
            <a:ea typeface="+mn-ea"/>
            <a:cs typeface="Arial" pitchFamily="34" charset="0"/>
          </a:endParaRPr>
        </a:p>
        <a:p>
          <a:r>
            <a:rPr lang="en-US" sz="1400" b="1">
              <a:latin typeface="Arial" pitchFamily="34" charset="0"/>
              <a:cs typeface="Arial" pitchFamily="34" charset="0"/>
            </a:rPr>
            <a:t>CHAPTER 3 Static Electricity</a:t>
          </a:r>
        </a:p>
        <a:p>
          <a:r>
            <a:rPr lang="en-US" sz="1400" b="1">
              <a:latin typeface="Arial" pitchFamily="34" charset="0"/>
              <a:cs typeface="Arial" pitchFamily="34" charset="0"/>
            </a:rPr>
            <a:t>3.1 Principles of electrostatics </a:t>
          </a:r>
        </a:p>
        <a:p>
          <a:endParaRPr lang="en-US" sz="1400" b="1">
            <a:latin typeface="Arial" pitchFamily="34" charset="0"/>
            <a:cs typeface="Arial" pitchFamily="34" charset="0"/>
          </a:endParaRPr>
        </a:p>
        <a:p>
          <a:r>
            <a:rPr lang="en-US" sz="1400" b="1">
              <a:latin typeface="Arial" pitchFamily="34" charset="0"/>
              <a:cs typeface="Arial" pitchFamily="34" charset="0"/>
            </a:rPr>
            <a:t>3.1.4.3 Conductivity</a:t>
          </a:r>
        </a:p>
        <a:p>
          <a:endParaRPr lang="en-US" sz="1400" b="1">
            <a:latin typeface="Arial" pitchFamily="34" charset="0"/>
            <a:cs typeface="Arial" pitchFamily="34" charset="0"/>
          </a:endParaRPr>
        </a:p>
        <a:p>
          <a:r>
            <a:rPr lang="en-US" sz="1000" b="0">
              <a:latin typeface="Arial" pitchFamily="34" charset="0"/>
              <a:cs typeface="Arial" pitchFamily="34" charset="0"/>
            </a:rPr>
            <a:t>Materials and liquid products that are handled by ships and terminals are classified as being: </a:t>
          </a:r>
        </a:p>
        <a:p>
          <a:endParaRPr lang="en-US" sz="1000" b="0">
            <a:latin typeface="Arial" pitchFamily="34" charset="0"/>
            <a:cs typeface="Arial" pitchFamily="34" charset="0"/>
          </a:endParaRPr>
        </a:p>
        <a:p>
          <a:r>
            <a:rPr lang="en-US" sz="1000" b="0">
              <a:latin typeface="Arial" pitchFamily="34" charset="0"/>
              <a:cs typeface="Arial" pitchFamily="34" charset="0"/>
            </a:rPr>
            <a:t>• Non-conductive. </a:t>
          </a:r>
        </a:p>
        <a:p>
          <a:r>
            <a:rPr lang="en-US" sz="1000" b="0">
              <a:latin typeface="Arial" pitchFamily="34" charset="0"/>
              <a:cs typeface="Arial" pitchFamily="34" charset="0"/>
            </a:rPr>
            <a:t>• Semi-conductive (or dissipative). </a:t>
          </a:r>
        </a:p>
        <a:p>
          <a:r>
            <a:rPr lang="en-US" sz="1000" b="0">
              <a:latin typeface="Arial" pitchFamily="34" charset="0"/>
              <a:cs typeface="Arial" pitchFamily="34" charset="0"/>
            </a:rPr>
            <a:t>• Conductive. </a:t>
          </a:r>
        </a:p>
        <a:p>
          <a:endParaRPr lang="en-US" sz="1000" b="0">
            <a:latin typeface="Arial" pitchFamily="34" charset="0"/>
            <a:cs typeface="Arial" pitchFamily="34" charset="0"/>
          </a:endParaRPr>
        </a:p>
        <a:p>
          <a:r>
            <a:rPr lang="en-US" sz="1000" b="1">
              <a:latin typeface="Arial" pitchFamily="34" charset="0"/>
              <a:cs typeface="Arial" pitchFamily="34" charset="0"/>
            </a:rPr>
            <a:t>Non-conductive materials ( non-conductors) </a:t>
          </a:r>
        </a:p>
        <a:p>
          <a:endParaRPr lang="en-US" sz="1000" b="0">
            <a:latin typeface="Arial" pitchFamily="34" charset="0"/>
            <a:cs typeface="Arial" pitchFamily="34" charset="0"/>
          </a:endParaRPr>
        </a:p>
        <a:p>
          <a:r>
            <a:rPr lang="en-US" sz="1000" b="0">
              <a:latin typeface="Arial" pitchFamily="34" charset="0"/>
              <a:cs typeface="Arial" pitchFamily="34" charset="0"/>
            </a:rPr>
            <a:t>These materials have such low conductivities that once they have received a charge, they retain it for a very long period. Non-conductors can prevent the loss of charge from conductors by acting as insulators. Charged non-conductors can generate incendive brush discharges to nearby earthed conductors and can transfer a charge to, or induce a charge on, neighbouring insulated conductors, causing sparks. </a:t>
          </a:r>
        </a:p>
        <a:p>
          <a:endParaRPr lang="en-US" sz="1000" b="0">
            <a:latin typeface="Arial" pitchFamily="34" charset="0"/>
            <a:cs typeface="Arial" pitchFamily="34" charset="0"/>
          </a:endParaRPr>
        </a:p>
        <a:p>
          <a:r>
            <a:rPr lang="en-US" sz="1000" b="0">
              <a:latin typeface="Arial" pitchFamily="34" charset="0"/>
              <a:cs typeface="Arial" pitchFamily="34" charset="0"/>
            </a:rPr>
            <a:t>Liquid non-conductors have conductivities of less than 50pS/m CpicoSiemens/metre). Such liquids are often referred to as static accumulators. </a:t>
          </a:r>
        </a:p>
        <a:p>
          <a:endParaRPr lang="en-US" sz="1000" b="0">
            <a:latin typeface="Arial" pitchFamily="34" charset="0"/>
            <a:cs typeface="Arial" pitchFamily="34" charset="0"/>
          </a:endParaRPr>
        </a:p>
        <a:p>
          <a:r>
            <a:rPr lang="en-US" sz="1000" b="0">
              <a:latin typeface="Arial" pitchFamily="34" charset="0"/>
              <a:cs typeface="Arial" pitchFamily="34" charset="0"/>
            </a:rPr>
            <a:t>Petroleum products, e.g. clean oils (distillates) including some low sulphur bunker fuels, frequently fall into this category with typical conductivities being below 10pS/m (relaxation times &gt;2s). Chemical solvents and highly refined fuels can have conductivities less than 1 pS/m (relaxation times &gt;20s). </a:t>
          </a:r>
        </a:p>
        <a:p>
          <a:endParaRPr lang="en-US" sz="1000" b="0">
            <a:latin typeface="Arial" pitchFamily="34" charset="0"/>
            <a:cs typeface="Arial" pitchFamily="34" charset="0"/>
          </a:endParaRPr>
        </a:p>
        <a:p>
          <a:r>
            <a:rPr lang="en-US" sz="1000" b="0">
              <a:latin typeface="Arial" pitchFamily="34" charset="0"/>
              <a:cs typeface="Arial" pitchFamily="34" charset="0"/>
            </a:rPr>
            <a:t>Solid non-conductors include plastics, e.g. PP. PVC, nylon and many types of rubber. Their surfaces can become more conductive if they are contaminated with dirt or moisture. Precautions to be taken when handling static accumulator oils are addressed in section 12.1.7. </a:t>
          </a:r>
        </a:p>
        <a:p>
          <a:endParaRPr lang="en-US" sz="1000" b="0">
            <a:latin typeface="Arial" pitchFamily="34" charset="0"/>
            <a:cs typeface="Arial" pitchFamily="34" charset="0"/>
          </a:endParaRPr>
        </a:p>
        <a:p>
          <a:r>
            <a:rPr lang="en-US" sz="1000" b="1">
              <a:latin typeface="Arial" pitchFamily="34" charset="0"/>
              <a:cs typeface="Arial" pitchFamily="34" charset="0"/>
            </a:rPr>
            <a:t>Semi-conductive materials (dissipative materials or intermediate conductors) </a:t>
          </a:r>
        </a:p>
        <a:p>
          <a:endParaRPr lang="en-US" sz="1000" b="0">
            <a:latin typeface="Arial" pitchFamily="34" charset="0"/>
            <a:cs typeface="Arial" pitchFamily="34" charset="0"/>
          </a:endParaRPr>
        </a:p>
        <a:p>
          <a:r>
            <a:rPr lang="en-US" sz="1000" b="0">
              <a:latin typeface="Arial" pitchFamily="34" charset="0"/>
              <a:cs typeface="Arial" pitchFamily="34" charset="0"/>
            </a:rPr>
            <a:t>If materials in the intermediate conductivity group are not insulated from earth, their conductivities are high enough to prevent accumulation of an electrostatic charge. However, their conductivities are normally low enough to inhibit production of energetic sparks (e.g. from electric power system faults). </a:t>
          </a:r>
        </a:p>
        <a:p>
          <a:endParaRPr lang="en-US" sz="1000" b="0">
            <a:latin typeface="Arial" pitchFamily="34" charset="0"/>
            <a:cs typeface="Arial" pitchFamily="34" charset="0"/>
          </a:endParaRPr>
        </a:p>
        <a:p>
          <a:r>
            <a:rPr lang="en-US" sz="1000" b="0">
              <a:latin typeface="Arial" pitchFamily="34" charset="0"/>
              <a:cs typeface="Arial" pitchFamily="34" charset="0"/>
            </a:rPr>
            <a:t>For materials with intermediate conductivities. the risk of electrostatic discharge is small, particularly if the practices in this guide are adhered to, and the chance of the discharge becoming incendive is even smaller. However, caution should still be exercised when dealing with ntermediate conductors because their conductivities are dependent upon many factors and their actual conductivity may not be known. </a:t>
          </a:r>
        </a:p>
        <a:p>
          <a:endParaRPr lang="en-US" sz="1000" b="0">
            <a:latin typeface="Arial" pitchFamily="34" charset="0"/>
            <a:cs typeface="Arial" pitchFamily="34" charset="0"/>
          </a:endParaRPr>
        </a:p>
        <a:p>
          <a:r>
            <a:rPr lang="en-US" sz="1000" b="0">
              <a:latin typeface="Arial" pitchFamily="34" charset="0"/>
              <a:cs typeface="Arial" pitchFamily="34" charset="0"/>
            </a:rPr>
            <a:t>The liquids in this intermediate category have conductivities exceeding 50pS/m and. along with conductive liquids. they are often known as static non-accumulators. Examples of semi-conductive liquids are black oils (containing residual materials) and other liquids with a conductivity below 10,000pS/m. </a:t>
          </a:r>
        </a:p>
        <a:p>
          <a:endParaRPr lang="en-US" sz="1000" b="0">
            <a:latin typeface="Arial" pitchFamily="34" charset="0"/>
            <a:cs typeface="Arial" pitchFamily="34" charset="0"/>
          </a:endParaRPr>
        </a:p>
        <a:p>
          <a:r>
            <a:rPr lang="en-US" sz="1000" b="0">
              <a:latin typeface="Arial" pitchFamily="34" charset="0"/>
              <a:cs typeface="Arial" pitchFamily="34" charset="0"/>
            </a:rPr>
            <a:t>The solids in this intermediate category generally include such materials as wood, cork. sisal and naturally occurring organic substances. They owe their conductivity to their ready absorption of water and they become more conductive as their surfaces are contaminated by moisture and dirt. However. when new or thoroughly cleaned and dried, their conductivities can be sufficiently low to bring them into the non-conductive range.</a:t>
          </a:r>
          <a:endParaRPr lang="en-US" sz="1400" b="0">
            <a:latin typeface="Arial" pitchFamily="34" charset="0"/>
            <a:cs typeface="Arial" pitchFamily="34" charset="0"/>
          </a:endParaRPr>
        </a:p>
        <a:p>
          <a:endParaRPr lang="en-US" sz="1400" b="1">
            <a:latin typeface="Arial" pitchFamily="34" charset="0"/>
            <a:cs typeface="Arial" pitchFamily="34" charset="0"/>
          </a:endParaRPr>
        </a:p>
        <a:p>
          <a:r>
            <a:rPr lang="en-US" sz="1000" b="1">
              <a:latin typeface="Arial" pitchFamily="34" charset="0"/>
              <a:cs typeface="Arial" pitchFamily="34" charset="0"/>
            </a:rPr>
            <a:t>Conductive materials </a:t>
          </a:r>
        </a:p>
        <a:p>
          <a:endParaRPr lang="en-US" sz="1000" b="1">
            <a:latin typeface="Arial" pitchFamily="34" charset="0"/>
            <a:cs typeface="Arial" pitchFamily="34" charset="0"/>
          </a:endParaRPr>
        </a:p>
        <a:p>
          <a:r>
            <a:rPr lang="en-US" sz="1000" b="0">
              <a:latin typeface="Arial" pitchFamily="34" charset="0"/>
              <a:cs typeface="Arial" pitchFamily="34" charset="0"/>
            </a:rPr>
            <a:t>Conductors are incapable of holding a charge unless insulated but. if they are insulated. charged. and an opportunity for an electrostatic discharge occurs. all the charge available is almost instantaneously released in the potentially incendive discharge. </a:t>
          </a:r>
        </a:p>
        <a:p>
          <a:endParaRPr lang="en-US" sz="1000" b="0">
            <a:latin typeface="Arial" pitchFamily="34" charset="0"/>
            <a:cs typeface="Arial" pitchFamily="34" charset="0"/>
          </a:endParaRPr>
        </a:p>
        <a:p>
          <a:r>
            <a:rPr lang="en-US" sz="1000" b="0">
              <a:latin typeface="Arial" pitchFamily="34" charset="0"/>
              <a:cs typeface="Arial" pitchFamily="34" charset="0"/>
            </a:rPr>
            <a:t>For liquids the normal boundary from semi-conductive to conductive is set at 10,000pS/m. </a:t>
          </a:r>
          <a:r>
            <a:rPr lang="en-US" sz="1000" b="1">
              <a:latin typeface="Arial" pitchFamily="34" charset="0"/>
              <a:cs typeface="Arial" pitchFamily="34" charset="0"/>
            </a:rPr>
            <a:t>Crude oils have a very wide range of conductivities. only some of which are below 10,000pS/m. so they are generally classified as conductive. Most common alcohols are conductive (e.g. methanol and ethanol both have conductivities of more than 106pS/m) as are the whole range of aqueous solutions. including sea water. The human body, consisting of about 60% water. is effectively a liquid conductor. </a:t>
          </a:r>
        </a:p>
        <a:p>
          <a:endParaRPr lang="en-US" sz="1000" b="0">
            <a:latin typeface="Arial" pitchFamily="34" charset="0"/>
            <a:cs typeface="Arial" pitchFamily="34" charset="0"/>
          </a:endParaRPr>
        </a:p>
        <a:p>
          <a:r>
            <a:rPr lang="en-US" sz="1000" b="0">
              <a:latin typeface="Arial" pitchFamily="34" charset="0"/>
              <a:cs typeface="Arial" pitchFamily="34" charset="0"/>
            </a:rPr>
            <a:t>In the case of solids, metals are conductors. </a:t>
          </a:r>
        </a:p>
        <a:p>
          <a:endParaRPr lang="en-US" sz="1400" b="0">
            <a:latin typeface="Arial" pitchFamily="34" charset="0"/>
            <a:cs typeface="Arial" pitchFamily="34" charset="0"/>
          </a:endParaRPr>
        </a:p>
        <a:p>
          <a:r>
            <a:rPr lang="en-US" sz="1000" b="0">
              <a:latin typeface="Arial" pitchFamily="34" charset="0"/>
              <a:cs typeface="Arial" pitchFamily="34" charset="0"/>
            </a:rPr>
            <a:t>Table 3.1 provides information on the typical conductivity value and classification for a range of products: </a:t>
          </a: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b="0">
            <a:latin typeface="Arial" pitchFamily="34" charset="0"/>
            <a:cs typeface="Arial" pitchFamily="34" charset="0"/>
          </a:endParaRPr>
        </a:p>
        <a:p>
          <a:endParaRPr lang="en-US" sz="1400" b="0">
            <a:latin typeface="Arial" pitchFamily="34" charset="0"/>
            <a:cs typeface="Arial" pitchFamily="34" charset="0"/>
          </a:endParaRPr>
        </a:p>
        <a:p>
          <a:endParaRPr lang="en-US" sz="1400" b="0">
            <a:latin typeface="Arial" pitchFamily="34" charset="0"/>
            <a:cs typeface="Arial" pitchFamily="34" charset="0"/>
          </a:endParaRPr>
        </a:p>
        <a:p>
          <a:endParaRPr lang="en-US" sz="1400" b="0">
            <a:latin typeface="Arial" pitchFamily="34" charset="0"/>
            <a:cs typeface="Arial" pitchFamily="34" charset="0"/>
          </a:endParaRPr>
        </a:p>
        <a:p>
          <a:endParaRPr lang="en-US" sz="1400" b="0">
            <a:latin typeface="Arial" pitchFamily="34" charset="0"/>
            <a:cs typeface="Arial" pitchFamily="34" charset="0"/>
          </a:endParaRPr>
        </a:p>
        <a:p>
          <a:endParaRPr lang="en-US" sz="1400" b="0">
            <a:latin typeface="Arial" pitchFamily="34" charset="0"/>
            <a:cs typeface="Arial" pitchFamily="34" charset="0"/>
          </a:endParaRPr>
        </a:p>
        <a:p>
          <a:endParaRPr lang="en-US" sz="1400" b="0">
            <a:latin typeface="Arial" pitchFamily="34" charset="0"/>
            <a:cs typeface="Arial" pitchFamily="34" charset="0"/>
          </a:endParaRPr>
        </a:p>
        <a:p>
          <a:r>
            <a:rPr lang="en-US" sz="1400" b="1">
              <a:latin typeface="Arial" pitchFamily="34" charset="0"/>
              <a:cs typeface="Arial" pitchFamily="34" charset="0"/>
            </a:rPr>
            <a:t>CHAPTER 11 Shipboard Systems</a:t>
          </a:r>
        </a:p>
        <a:p>
          <a:r>
            <a:rPr lang="en-US" sz="1400" b="1">
              <a:latin typeface="Arial" pitchFamily="34" charset="0"/>
              <a:cs typeface="Arial" pitchFamily="34" charset="0"/>
            </a:rPr>
            <a:t>11.3 Cargo and ballast systems</a:t>
          </a:r>
        </a:p>
        <a:p>
          <a:endParaRPr lang="en-US" sz="1400" b="1">
            <a:latin typeface="Arial" pitchFamily="34" charset="0"/>
            <a:cs typeface="Arial" pitchFamily="34" charset="0"/>
          </a:endParaRPr>
        </a:p>
        <a:p>
          <a:r>
            <a:rPr lang="en-US" sz="1200" b="1">
              <a:latin typeface="Arial" pitchFamily="34" charset="0"/>
              <a:cs typeface="Arial" pitchFamily="34" charset="0"/>
            </a:rPr>
            <a:t>11.3.3 Loading rates</a:t>
          </a:r>
        </a:p>
        <a:p>
          <a:endParaRPr lang="en-US" sz="1050" b="1">
            <a:latin typeface="Arial" pitchFamily="34" charset="0"/>
            <a:cs typeface="Arial" pitchFamily="34" charset="0"/>
          </a:endParaRPr>
        </a:p>
        <a:p>
          <a:r>
            <a:rPr lang="en-US" sz="1000" b="0">
              <a:latin typeface="Arial" pitchFamily="34" charset="0"/>
              <a:cs typeface="Arial" pitchFamily="34" charset="0"/>
            </a:rPr>
            <a:t>Masters should be provided with information on maximum loading rates for each cargo and ballast tank and. where tanks have a combined venting system. for each group of cargo or ballast tanks. This will ensure that tanks are not over or under pressurised by exceeding the capacity of the venting system. including any installed secondary venting arrangements. </a:t>
          </a:r>
        </a:p>
        <a:p>
          <a:endParaRPr lang="en-US" sz="1000" b="0">
            <a:latin typeface="Arial" pitchFamily="34" charset="0"/>
            <a:cs typeface="Arial" pitchFamily="34" charset="0"/>
          </a:endParaRPr>
        </a:p>
        <a:p>
          <a:r>
            <a:rPr lang="en-US" sz="1000" b="0">
              <a:latin typeface="Arial" pitchFamily="34" charset="0"/>
              <a:cs typeface="Arial" pitchFamily="34" charset="0"/>
            </a:rPr>
            <a:t>Other considerations will also need to be taken into account when determining maximum loading rates for oil tankers. Precautions against static electricity hazards and pipeline erosion are in section 11.3.3.2.</a:t>
          </a:r>
        </a:p>
        <a:p>
          <a:endParaRPr lang="en-US" sz="1050" b="1">
            <a:latin typeface="Arial" pitchFamily="34" charset="0"/>
            <a:cs typeface="Arial" pitchFamily="34" charset="0"/>
          </a:endParaRPr>
        </a:p>
        <a:p>
          <a:r>
            <a:rPr lang="en-US" sz="1050" b="1">
              <a:latin typeface="Arial" pitchFamily="34" charset="0"/>
              <a:cs typeface="Arial" pitchFamily="34" charset="0"/>
            </a:rPr>
            <a:t>11.3.3.1 Venting arrangements</a:t>
          </a:r>
        </a:p>
        <a:p>
          <a:endParaRPr lang="en-US" sz="1000" b="1">
            <a:latin typeface="Arial" pitchFamily="34" charset="0"/>
            <a:cs typeface="Arial" pitchFamily="34" charset="0"/>
          </a:endParaRPr>
        </a:p>
        <a:p>
          <a:r>
            <a:rPr lang="en-US" sz="1000" b="0">
              <a:latin typeface="Arial" pitchFamily="34" charset="0"/>
              <a:cs typeface="Arial" pitchFamily="34" charset="0"/>
            </a:rPr>
            <a:t>Venting capacity is based on the maximum volume of cargo entering a tank. plus a 25% margin for gas evolution (vapour growth). </a:t>
          </a:r>
        </a:p>
        <a:p>
          <a:endParaRPr lang="en-US" sz="1000" b="0">
            <a:latin typeface="Arial" pitchFamily="34" charset="0"/>
            <a:cs typeface="Arial" pitchFamily="34" charset="0"/>
          </a:endParaRPr>
        </a:p>
        <a:p>
          <a:r>
            <a:rPr lang="en-US" sz="1000" b="0">
              <a:latin typeface="Arial" pitchFamily="34" charset="0"/>
              <a:cs typeface="Arial" pitchFamily="34" charset="0"/>
            </a:rPr>
            <a:t>When loading cargoes with a very high vapour pressure. gas evolution may be excessive and the allowance of 25% may not be enough. To ensure the capacity of the venting system is not exceeded, closely monitor the vapour line pressures on inerted ships and limit loading rates on non-inerted ships. The vapour growth increases when the liquid levels in the tank are above 80%. On inerted ships IG system pressures should be closely monitored, particularly when topping-off during loading operations or when starting COW during discharge operations. </a:t>
          </a:r>
        </a:p>
        <a:p>
          <a:endParaRPr lang="en-US" sz="1000" b="0">
            <a:latin typeface="Arial" pitchFamily="34" charset="0"/>
            <a:cs typeface="Arial" pitchFamily="34" charset="0"/>
          </a:endParaRPr>
        </a:p>
        <a:p>
          <a:r>
            <a:rPr lang="en-US" sz="1000" b="0">
              <a:latin typeface="Arial" pitchFamily="34" charset="0"/>
              <a:cs typeface="Arial" pitchFamily="34" charset="0"/>
            </a:rPr>
            <a:t>When calculating loading rates a </a:t>
          </a:r>
          <a:r>
            <a:rPr lang="en-US" sz="1000" b="1">
              <a:latin typeface="Arial" pitchFamily="34" charset="0"/>
              <a:cs typeface="Arial" pitchFamily="34" charset="0"/>
            </a:rPr>
            <a:t>maximum venting line velocity of 36m/sec should be considered</a:t>
          </a:r>
          <a:r>
            <a:rPr lang="en-US" sz="1000" b="0">
              <a:latin typeface="Arial" pitchFamily="34" charset="0"/>
              <a:cs typeface="Arial" pitchFamily="34" charset="0"/>
            </a:rPr>
            <a:t>. This flow rate should be calculated for each diameter of line used. The volume throughputs may be aggregated where a common vent riser is used, </a:t>
          </a:r>
          <a:r>
            <a:rPr lang="en-US" sz="1000" b="1">
              <a:latin typeface="Arial" pitchFamily="34" charset="0"/>
              <a:cs typeface="Arial" pitchFamily="34" charset="0"/>
            </a:rPr>
            <a:t>but the maximum flow rate should not be exceeded anywhere within the system. </a:t>
          </a:r>
        </a:p>
        <a:p>
          <a:endParaRPr lang="en-US" sz="1000" b="0">
            <a:latin typeface="Arial" pitchFamily="34" charset="0"/>
            <a:cs typeface="Arial" pitchFamily="34" charset="0"/>
          </a:endParaRPr>
        </a:p>
        <a:p>
          <a:r>
            <a:rPr lang="en-US" sz="1050" b="1">
              <a:latin typeface="Arial" pitchFamily="34" charset="0"/>
              <a:cs typeface="Arial" pitchFamily="34" charset="0"/>
            </a:rPr>
            <a:t>11.3.3.2 Flow rates in loading lines</a:t>
          </a:r>
        </a:p>
        <a:p>
          <a:endParaRPr lang="en-US" sz="1000" b="0">
            <a:latin typeface="Arial" pitchFamily="34" charset="0"/>
            <a:cs typeface="Arial" pitchFamily="34" charset="0"/>
          </a:endParaRPr>
        </a:p>
        <a:p>
          <a:r>
            <a:rPr lang="en-US" sz="1000" b="0">
              <a:latin typeface="Arial" pitchFamily="34" charset="0"/>
              <a:cs typeface="Arial" pitchFamily="34" charset="0"/>
            </a:rPr>
            <a:t>Depending on the trade of the tanker. different loading rates need to be determined for each cargo tank. These loading rates depend on the maximum flow rates in the cargo lines for different products and loading operations. In general. the following flow rates may need to be calculated for each section of the cargo system: </a:t>
          </a:r>
        </a:p>
        <a:p>
          <a:endParaRPr lang="en-US" sz="1000" b="0">
            <a:latin typeface="Arial" pitchFamily="34" charset="0"/>
            <a:cs typeface="Arial" pitchFamily="34" charset="0"/>
          </a:endParaRPr>
        </a:p>
        <a:p>
          <a:r>
            <a:rPr lang="en-US" sz="1000" b="0">
              <a:latin typeface="Arial" pitchFamily="34" charset="0"/>
              <a:cs typeface="Arial" pitchFamily="34" charset="0"/>
            </a:rPr>
            <a:t>• A loading rate based on a linear velocity of </a:t>
          </a:r>
          <a:r>
            <a:rPr lang="en-US" sz="1000" b="1">
              <a:latin typeface="Arial" pitchFamily="34" charset="0"/>
              <a:cs typeface="Arial" pitchFamily="34" charset="0"/>
            </a:rPr>
            <a:t>1 m/sec at the tank inlet for the initial loading of static accumulator cargoes into non-inerted tanks. </a:t>
          </a:r>
        </a:p>
        <a:p>
          <a:endParaRPr lang="en-US" sz="1000" b="0">
            <a:latin typeface="Arial" pitchFamily="34" charset="0"/>
            <a:cs typeface="Arial" pitchFamily="34" charset="0"/>
          </a:endParaRPr>
        </a:p>
        <a:p>
          <a:r>
            <a:rPr lang="en-US" sz="1000" b="0">
              <a:latin typeface="Arial" pitchFamily="34" charset="0"/>
              <a:cs typeface="Arial" pitchFamily="34" charset="0"/>
            </a:rPr>
            <a:t>• A loading rate based on a linear velocity of </a:t>
          </a:r>
          <a:r>
            <a:rPr lang="en-US" sz="1000" b="1">
              <a:latin typeface="Arial" pitchFamily="34" charset="0"/>
              <a:cs typeface="Arial" pitchFamily="34" charset="0"/>
            </a:rPr>
            <a:t>7m/sec for bulk loading of static accumulator cargoes into non-inerted tanks. </a:t>
          </a:r>
        </a:p>
        <a:p>
          <a:endParaRPr lang="en-US" sz="1000" b="1">
            <a:latin typeface="Arial" pitchFamily="34" charset="0"/>
            <a:cs typeface="Arial" pitchFamily="34" charset="0"/>
          </a:endParaRPr>
        </a:p>
        <a:p>
          <a:r>
            <a:rPr lang="en-US" sz="1000" b="0">
              <a:latin typeface="Arial" pitchFamily="34" charset="0"/>
              <a:cs typeface="Arial" pitchFamily="34" charset="0"/>
            </a:rPr>
            <a:t>• A loading rate based on a linear velocity of </a:t>
          </a:r>
          <a:r>
            <a:rPr lang="en-US" sz="1000" b="1">
              <a:latin typeface="Arial" pitchFamily="34" charset="0"/>
              <a:cs typeface="Arial" pitchFamily="34" charset="0"/>
            </a:rPr>
            <a:t>12m/sec for loading non-static accumulator cargoes and for loading static accumulator cargoes into inerted tanks.</a:t>
          </a:r>
          <a:r>
            <a:rPr lang="en-US" sz="1000" b="0">
              <a:latin typeface="Arial" pitchFamily="34" charset="0"/>
              <a:cs typeface="Arial" pitchFamily="34" charset="0"/>
            </a:rPr>
            <a:t> This velocity is for guidance only and is generally considered as a rate above which pipeline erosion may occur at pipe joints and bends. </a:t>
          </a:r>
        </a:p>
        <a:p>
          <a:endParaRPr lang="en-US" sz="1000" b="0">
            <a:latin typeface="Arial" pitchFamily="34" charset="0"/>
            <a:cs typeface="Arial" pitchFamily="34" charset="0"/>
          </a:endParaRPr>
        </a:p>
        <a:p>
          <a:r>
            <a:rPr lang="en-US" sz="1000" b="0">
              <a:latin typeface="Arial" pitchFamily="34" charset="0"/>
              <a:cs typeface="Arial" pitchFamily="34" charset="0"/>
            </a:rPr>
            <a:t>When a number of tanks are loaded through a common manifold, the maximum loading rate may be determined by the flow rate through the manifold or drop lines. For this reason, it is important that a constant check is kept on the number of cargo tank valves that are open at once and that a proper loading rate is determined for the loading operation. </a:t>
          </a:r>
        </a:p>
        <a:p>
          <a:endParaRPr lang="en-US" sz="1000" b="0">
            <a:latin typeface="Arial" pitchFamily="34" charset="0"/>
            <a:cs typeface="Arial" pitchFamily="34" charset="0"/>
          </a:endParaRPr>
        </a:p>
        <a:p>
          <a:r>
            <a:rPr lang="en-US" sz="1000" b="0">
              <a:latin typeface="Arial" pitchFamily="34" charset="0"/>
              <a:cs typeface="Arial" pitchFamily="34" charset="0"/>
            </a:rPr>
            <a:t>Offshore floating hoses that meet OCIMF guidelines (see bibliography) and have a nominal diameter of less than 400mm are suitable for continuous operation at a flow velocity of 21 m/sec. Offshore floating hoses with a diameter greater than 400mm are suitable for continuous operations at a flow velocity of 15m/sec. However. the maximum loading rate may be controlled by the size of the ship's loading line inboard of where the hose is connected. </a:t>
          </a:r>
        </a:p>
        <a:p>
          <a:endParaRPr lang="en-US" sz="1000" b="0">
            <a:latin typeface="Arial" pitchFamily="34" charset="0"/>
            <a:cs typeface="Arial" pitchFamily="34" charset="0"/>
          </a:endParaRPr>
        </a:p>
        <a:p>
          <a:r>
            <a:rPr lang="en-US" sz="1050" b="1">
              <a:latin typeface="Arial" pitchFamily="34" charset="0"/>
              <a:cs typeface="Arial" pitchFamily="34" charset="0"/>
            </a:rPr>
            <a:t>11.3.3.3 R</a:t>
          </a:r>
          <a:r>
            <a:rPr lang="en-GB" sz="1050" b="1">
              <a:latin typeface="Arial" panose="020B0604020202020204" pitchFamily="34" charset="0"/>
              <a:cs typeface="Arial" panose="020B0604020202020204" pitchFamily="34" charset="0"/>
            </a:rPr>
            <a:t>ate of rise of liquid in the cargo tank</a:t>
          </a:r>
          <a:endParaRPr lang="en-US" sz="1050" b="1">
            <a:latin typeface="Arial" pitchFamily="34" charset="0"/>
            <a:cs typeface="Arial" pitchFamily="34" charset="0"/>
          </a:endParaRPr>
        </a:p>
        <a:p>
          <a:endParaRPr lang="en-US" sz="1000" b="0">
            <a:latin typeface="Arial" pitchFamily="34" charset="0"/>
            <a:cs typeface="Arial" pitchFamily="34" charset="0"/>
          </a:endParaRPr>
        </a:p>
        <a:p>
          <a:r>
            <a:rPr lang="en-US" sz="1000" b="0">
              <a:latin typeface="Arial" pitchFamily="34" charset="0"/>
              <a:cs typeface="Arial" pitchFamily="34" charset="0"/>
            </a:rPr>
            <a:t>Small tanks. such as slop tanks. may have larger filling or suction valves than their size would normally require in order to accommodate certain operations. such as recirculatory COW from slop tanks. In such instances. the limiting factors of the venting flow rate and the liquid line flow rate may not be suitable for assessing maximum loading rates. It is then also necessary to consider the rate of rise of the liquid in the tank if over-filling is to be avoided. </a:t>
          </a:r>
        </a:p>
        <a:p>
          <a:endParaRPr lang="en-US" sz="1000" b="0">
            <a:latin typeface="Arial" pitchFamily="34" charset="0"/>
            <a:cs typeface="Arial" pitchFamily="34" charset="0"/>
          </a:endParaRPr>
        </a:p>
        <a:p>
          <a:r>
            <a:rPr lang="en-US" sz="1000" b="0">
              <a:latin typeface="Arial" pitchFamily="34" charset="0"/>
              <a:cs typeface="Arial" pitchFamily="34" charset="0"/>
            </a:rPr>
            <a:t>To exercise control over the rate of liquid rise in any cargo tank. it may be appropriate for the tanker to set the loading rate to limit the rate of rise of liquid in a cargo tank.</a:t>
          </a:r>
        </a:p>
        <a:p>
          <a:endParaRPr lang="en-US" sz="1000" b="1">
            <a:latin typeface="Arial" pitchFamily="34" charset="0"/>
            <a:cs typeface="Arial" pitchFamily="34" charset="0"/>
          </a:endParaRPr>
        </a:p>
        <a:p>
          <a:r>
            <a:rPr lang="en-US" sz="1000" b="1">
              <a:latin typeface="Arial" pitchFamily="34" charset="0"/>
              <a:cs typeface="Arial" pitchFamily="34" charset="0"/>
            </a:rPr>
            <a:t>11.3.3.4 Loading rates for ballast tanks</a:t>
          </a:r>
        </a:p>
        <a:p>
          <a:endParaRPr lang="en-US" sz="1000" b="1">
            <a:latin typeface="Arial" pitchFamily="34" charset="0"/>
            <a:cs typeface="Arial" pitchFamily="34" charset="0"/>
          </a:endParaRPr>
        </a:p>
        <a:p>
          <a:r>
            <a:rPr lang="en-GB" sz="1000" b="0">
              <a:latin typeface="Arial" pitchFamily="34" charset="0"/>
              <a:cs typeface="Arial" pitchFamily="34" charset="0"/>
            </a:rPr>
            <a:t>Loading rates for ballast tanks should be determined in the same way as cargo tanks. considering the size of vent outlets using a velocity of 36m/sec. Liquid filling rates can be calculated using a pipeline flow rate of 12m/sec and are subject to a similar rate of rise as in section 11.3.3.3. </a:t>
          </a:r>
        </a:p>
        <a:p>
          <a:endParaRPr lang="en-GB" sz="1000" b="1">
            <a:latin typeface="Arial" pitchFamily="34" charset="0"/>
            <a:cs typeface="Arial" pitchFamily="34" charset="0"/>
          </a:endParaRPr>
        </a:p>
        <a:p>
          <a:endParaRPr lang="ru-RU" sz="1000" b="1">
            <a:latin typeface="Arial" pitchFamily="34" charset="0"/>
            <a:cs typeface="Arial" pitchFamily="34" charset="0"/>
          </a:endParaRPr>
        </a:p>
        <a:p>
          <a:r>
            <a:rPr lang="en-GB" sz="1200" b="1">
              <a:latin typeface="Arial" pitchFamily="34" charset="0"/>
              <a:cs typeface="Arial" pitchFamily="34" charset="0"/>
            </a:rPr>
            <a:t>11.3.4 M</a:t>
          </a:r>
          <a:r>
            <a:rPr lang="en-US" sz="1200" b="1">
              <a:latin typeface="Arial" pitchFamily="34" charset="0"/>
              <a:cs typeface="Arial" pitchFamily="34" charset="0"/>
            </a:rPr>
            <a:t>onitoring of void and ballast spaces</a:t>
          </a:r>
        </a:p>
        <a:p>
          <a:endParaRPr lang="en-US" sz="1000" b="0">
            <a:latin typeface="Arial" pitchFamily="34" charset="0"/>
            <a:cs typeface="Arial" pitchFamily="34" charset="0"/>
          </a:endParaRPr>
        </a:p>
        <a:p>
          <a:r>
            <a:rPr lang="en-US" sz="1000" b="0">
              <a:latin typeface="Arial" pitchFamily="34" charset="0"/>
              <a:cs typeface="Arial" pitchFamily="34" charset="0"/>
            </a:rPr>
            <a:t>Void and ballast spaces in the vicinity of the cargo tank deck should be regularly monitored for leaks from adjacent tanks. Monitoring should include regular atmosphere checks for hydrocarbon content and regular sounding/ullaging of the empty spaces (see also chapter 12). </a:t>
          </a:r>
        </a:p>
        <a:p>
          <a:endParaRPr lang="en-US" sz="1000" b="1">
            <a:latin typeface="Arial" pitchFamily="34" charset="0"/>
            <a:cs typeface="Arial" pitchFamily="34" charset="0"/>
          </a:endParaRPr>
        </a:p>
        <a:p>
          <a:endParaRPr lang="en-US" sz="1000" b="1">
            <a:latin typeface="Arial" pitchFamily="34" charset="0"/>
            <a:cs typeface="Arial" pitchFamily="34" charset="0"/>
          </a:endParaRPr>
        </a:p>
        <a:p>
          <a:r>
            <a:rPr lang="en-US" sz="1400" b="1">
              <a:latin typeface="Arial" pitchFamily="34" charset="0"/>
              <a:cs typeface="Arial" pitchFamily="34" charset="0"/>
            </a:rPr>
            <a:t>CHAPTER 12 Shipboard Operations</a:t>
          </a:r>
        </a:p>
        <a:p>
          <a:r>
            <a:rPr lang="en-US" sz="1400" b="1">
              <a:latin typeface="Arial" pitchFamily="34" charset="0"/>
              <a:cs typeface="Arial" pitchFamily="34" charset="0"/>
            </a:rPr>
            <a:t>12.1 Cargo operations</a:t>
          </a:r>
        </a:p>
        <a:p>
          <a:endParaRPr lang="en-US" sz="1200" b="1">
            <a:latin typeface="Arial" pitchFamily="34" charset="0"/>
            <a:cs typeface="Arial" pitchFamily="34" charset="0"/>
          </a:endParaRPr>
        </a:p>
        <a:p>
          <a:r>
            <a:rPr lang="en-US" sz="1200" b="1">
              <a:latin typeface="Arial" pitchFamily="34" charset="0"/>
              <a:cs typeface="Arial" pitchFamily="34" charset="0"/>
            </a:rPr>
            <a:t>12.1.6 Loading procedures </a:t>
          </a:r>
        </a:p>
        <a:p>
          <a:endParaRPr lang="en-US" sz="1200" b="1">
            <a:latin typeface="Arial" pitchFamily="34" charset="0"/>
            <a:cs typeface="Arial" pitchFamily="34" charset="0"/>
          </a:endParaRPr>
        </a:p>
        <a:p>
          <a:r>
            <a:rPr lang="en-US" sz="1050" b="1">
              <a:latin typeface="Arial" pitchFamily="34" charset="0"/>
              <a:cs typeface="Arial" pitchFamily="34" charset="0"/>
            </a:rPr>
            <a:t>12.1.6.15 Blending operations </a:t>
          </a:r>
        </a:p>
        <a:p>
          <a:endParaRPr lang="en-US" sz="1200" b="1">
            <a:latin typeface="Arial" pitchFamily="34" charset="0"/>
            <a:cs typeface="Arial" pitchFamily="34" charset="0"/>
          </a:endParaRPr>
        </a:p>
        <a:p>
          <a:r>
            <a:rPr lang="en-US" sz="1000" b="0">
              <a:latin typeface="Arial" pitchFamily="34" charset="0"/>
              <a:cs typeface="Arial" pitchFamily="34" charset="0"/>
            </a:rPr>
            <a:t>SOLAS VI. Regulation 5-2. prohibits the physical blending of bulk liquid cargoes during a sea voyage. Physical blending is when the ship's cargo pumps and pipelines internally circulate two or more different cargoes to produce a cargo with a new product specification. </a:t>
          </a:r>
        </a:p>
        <a:p>
          <a:endParaRPr lang="en-US" sz="1000" b="0">
            <a:latin typeface="Arial" pitchFamily="34" charset="0"/>
            <a:cs typeface="Arial" pitchFamily="34" charset="0"/>
          </a:endParaRPr>
        </a:p>
        <a:p>
          <a:r>
            <a:rPr lang="en-US" sz="1000" b="0">
              <a:latin typeface="Arial" pitchFamily="34" charset="0"/>
              <a:cs typeface="Arial" pitchFamily="34" charset="0"/>
            </a:rPr>
            <a:t>This does not prevent the Master from undertaking cargo transfers for the safety of the ship or protection of the marine environment in an emergency. Circulating cargo is also permitted for cargo conditioning. </a:t>
          </a:r>
        </a:p>
        <a:p>
          <a:endParaRPr lang="en-US" sz="1000" b="0">
            <a:latin typeface="Arial" pitchFamily="34" charset="0"/>
            <a:cs typeface="Arial" pitchFamily="34" charset="0"/>
          </a:endParaRPr>
        </a:p>
        <a:p>
          <a:r>
            <a:rPr lang="en-US" sz="1000" b="0">
              <a:latin typeface="Arial" pitchFamily="34" charset="0"/>
              <a:cs typeface="Arial" pitchFamily="34" charset="0"/>
            </a:rPr>
            <a:t>Blending operations in port should be planned to ensure they comply with the applicable MARPOL regulations and local port requirements. A risk assessment that considers the grades to be loaded, vapour pressure of the cargoes. compatibility of the grades and the crew's experience of blending should be completed.</a:t>
          </a:r>
        </a:p>
        <a:p>
          <a:endParaRPr lang="en-US" sz="1000" b="1">
            <a:latin typeface="Arial" pitchFamily="34" charset="0"/>
            <a:cs typeface="Arial" pitchFamily="34" charset="0"/>
          </a:endParaRPr>
        </a:p>
        <a:p>
          <a:endParaRPr lang="en-US" sz="1200" b="1">
            <a:latin typeface="Arial" pitchFamily="34" charset="0"/>
            <a:cs typeface="Arial" pitchFamily="34" charset="0"/>
          </a:endParaRPr>
        </a:p>
        <a:p>
          <a:r>
            <a:rPr lang="en-US" sz="1200" b="1">
              <a:latin typeface="Arial" pitchFamily="34" charset="0"/>
              <a:cs typeface="Arial" pitchFamily="34" charset="0"/>
            </a:rPr>
            <a:t>12.1.7 Loading static accumulator oils </a:t>
          </a:r>
        </a:p>
        <a:p>
          <a:endParaRPr lang="en-US" sz="1000">
            <a:latin typeface="Arial" pitchFamily="34" charset="0"/>
            <a:cs typeface="Arial" pitchFamily="34" charset="0"/>
          </a:endParaRPr>
        </a:p>
        <a:p>
          <a:r>
            <a:rPr lang="en-US" sz="1050" b="1">
              <a:solidFill>
                <a:schemeClr val="dk1"/>
              </a:solidFill>
              <a:effectLst/>
              <a:latin typeface="Arial" panose="020B0604020202020204" pitchFamily="34" charset="0"/>
              <a:ea typeface="+mn-ea"/>
              <a:cs typeface="Arial" panose="020B0604020202020204" pitchFamily="34" charset="0"/>
            </a:rPr>
            <a:t>12.1.7.1 </a:t>
          </a:r>
          <a:r>
            <a:rPr lang="en-US" sz="1050" b="1">
              <a:latin typeface="Arial" pitchFamily="34" charset="0"/>
              <a:cs typeface="Arial" pitchFamily="34" charset="0"/>
            </a:rPr>
            <a:t>General </a:t>
          </a:r>
        </a:p>
        <a:p>
          <a:endParaRPr lang="en-US" sz="1000">
            <a:latin typeface="Arial" pitchFamily="34" charset="0"/>
            <a:cs typeface="Arial" pitchFamily="34" charset="0"/>
          </a:endParaRPr>
        </a:p>
        <a:p>
          <a:r>
            <a:rPr lang="en-US" sz="1000">
              <a:latin typeface="Arial" pitchFamily="34" charset="0"/>
              <a:cs typeface="Arial" pitchFamily="34" charset="0"/>
            </a:rPr>
            <a:t>Petroleum distillates often have electrical conductivities of less than 50 picoSiemens per metre CpS/m) and so fall into the category of static accumulators. </a:t>
          </a:r>
        </a:p>
        <a:p>
          <a:endParaRPr lang="en-US" sz="1000">
            <a:latin typeface="Arial" pitchFamily="34" charset="0"/>
            <a:cs typeface="Arial" pitchFamily="34" charset="0"/>
          </a:endParaRPr>
        </a:p>
        <a:p>
          <a:r>
            <a:rPr lang="en-US" sz="1000">
              <a:latin typeface="Arial" pitchFamily="34" charset="0"/>
              <a:cs typeface="Arial" pitchFamily="34" charset="0"/>
            </a:rPr>
            <a:t>Since the conductivities of distillates are not normally known and may not be included in an SOS or other common documents, they should all be treated as static accumulators unless they contain an anti-static additive that raises the conductivity above 50pS/m (for cautions on the effectiveness of anti-static additives, see section 12.1.7.9). A static accumulator may carry enough charge to be an incendive ignition hazard during loading and for up to 30 minutes after loading. </a:t>
          </a:r>
        </a:p>
        <a:p>
          <a:endParaRPr lang="en-US" sz="1000">
            <a:latin typeface="Arial" pitchFamily="34" charset="0"/>
            <a:cs typeface="Arial" pitchFamily="34" charset="0"/>
          </a:endParaRPr>
        </a:p>
        <a:p>
          <a:r>
            <a:rPr lang="en-US" sz="1000">
              <a:latin typeface="Arial" pitchFamily="34" charset="0"/>
              <a:cs typeface="Arial" pitchFamily="34" charset="0"/>
            </a:rPr>
            <a:t>Bonding (see section 3.2.2) is an essential precaution for preventing electrostatic charge accumulation. Its importance cannot be overemphasised. However, while bonding helps relaxation it does not prevent accumulation and the production of hazardous voltages so it is not a universal remedy for eliminating electrostatic hazards. This section describes ways to control electrostatic generation by preventing charge separation, which is another essential precaution (see section 3.1.2). </a:t>
          </a:r>
        </a:p>
        <a:p>
          <a:endParaRPr lang="en-US" sz="1000">
            <a:latin typeface="Arial" pitchFamily="34" charset="0"/>
            <a:cs typeface="Arial" pitchFamily="34" charset="0"/>
          </a:endParaRPr>
        </a:p>
        <a:p>
          <a:r>
            <a:rPr lang="en-US" sz="1050" b="1">
              <a:latin typeface="Arial" pitchFamily="34" charset="0"/>
              <a:cs typeface="Arial" pitchFamily="34" charset="0"/>
            </a:rPr>
            <a:t>12.1.7.2 Controlling electrostatic generation</a:t>
          </a:r>
        </a:p>
        <a:p>
          <a:endParaRPr lang="en-US" sz="1000">
            <a:latin typeface="Arial" pitchFamily="34" charset="0"/>
            <a:cs typeface="Arial" pitchFamily="34" charset="0"/>
          </a:endParaRPr>
        </a:p>
        <a:p>
          <a:r>
            <a:rPr lang="en-US" sz="1000">
              <a:latin typeface="Arial" pitchFamily="34" charset="0"/>
              <a:cs typeface="Arial" pitchFamily="34" charset="0"/>
            </a:rPr>
            <a:t>Failure to follow the guidance in this section will lead to the hazardous conditions that can cause electrostatic ignition accidents. Electrostatic discharge has long been known as a hazard associated with handling petroleum products. If a flammable atmosphere is possible within the tank, specific precautions are required for maximum flow rates, safe ullaging, sampling and gauging when handling static accumulator products. Mixtures of oil and water are a potent source of static electricity. Take extra care to prevent excess water and unnecessary mixing. When a tank is verified as inert, no anti-static precautions are necessary. </a:t>
          </a:r>
        </a:p>
        <a:p>
          <a:endParaRPr lang="en-US" sz="1000">
            <a:latin typeface="Arial" pitchFamily="34" charset="0"/>
            <a:cs typeface="Arial" pitchFamily="34" charset="0"/>
          </a:endParaRPr>
        </a:p>
        <a:p>
          <a:r>
            <a:rPr lang="en-US" sz="1050" b="1">
              <a:solidFill>
                <a:schemeClr val="dk1"/>
              </a:solidFill>
              <a:latin typeface="Arial" pitchFamily="34" charset="0"/>
              <a:ea typeface="+mn-ea"/>
              <a:cs typeface="Arial" pitchFamily="34" charset="0"/>
            </a:rPr>
            <a:t>12.1.7.3 Edition During the initial filling of a tank</a:t>
          </a:r>
          <a:r>
            <a:rPr lang="en-US" sz="1000">
              <a:latin typeface="Arial" pitchFamily="34" charset="0"/>
              <a:cs typeface="Arial" pitchFamily="34" charset="0"/>
            </a:rPr>
            <a:t> </a:t>
          </a:r>
        </a:p>
        <a:p>
          <a:endParaRPr lang="en-US" sz="1000">
            <a:latin typeface="Arial" pitchFamily="34" charset="0"/>
            <a:cs typeface="Arial" pitchFamily="34" charset="0"/>
          </a:endParaRPr>
        </a:p>
        <a:p>
          <a:r>
            <a:rPr lang="en-US" sz="1000">
              <a:latin typeface="Arial" pitchFamily="34" charset="0"/>
              <a:cs typeface="Arial" pitchFamily="34" charset="0"/>
            </a:rPr>
            <a:t>The generally accepted way to control electrostatic generation in the initial stages of loading is to restrict the velocity of oil entering the tank to one metre per second Cm/sec) until the tank inlet and any other structure on the base of the tank has been submerged to twice the diameter of the filling pipe. This will stop all splashing and surface turbulence in the tank (see section 3.2.1 ). </a:t>
          </a:r>
        </a:p>
        <a:p>
          <a:endParaRPr lang="en-US" sz="1000">
            <a:latin typeface="Arial" pitchFamily="34" charset="0"/>
            <a:cs typeface="Arial" pitchFamily="34" charset="0"/>
          </a:endParaRPr>
        </a:p>
        <a:p>
          <a:r>
            <a:rPr lang="en-US" sz="1000">
              <a:latin typeface="Arial" pitchFamily="34" charset="0"/>
              <a:cs typeface="Arial" pitchFamily="34" charset="0"/>
            </a:rPr>
            <a:t>The 1m/sec limit applies in the branch line to each individual cargo tank. It should be determined at the smallest cross-sectional area. including valves or other piping restrictions in the final section before the tank's loading inlet. </a:t>
          </a: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r>
            <a:rPr lang="en-US" sz="1000">
              <a:latin typeface="Arial" pitchFamily="34" charset="0"/>
              <a:cs typeface="Arial" pitchFamily="34" charset="0"/>
            </a:rPr>
            <a:t>Table 12.1 shows the approximate volumetric flow rates that correspond to a linear velocity of 1 m/sec in piping of various diameters. </a:t>
          </a:r>
        </a:p>
        <a:p>
          <a:endParaRPr lang="en-US" sz="1000">
            <a:latin typeface="Arial" pitchFamily="34" charset="0"/>
            <a:cs typeface="Arial" pitchFamily="34" charset="0"/>
          </a:endParaRPr>
        </a:p>
        <a:p>
          <a:r>
            <a:rPr lang="en-US" sz="1000">
              <a:latin typeface="Arial" pitchFamily="34" charset="0"/>
              <a:cs typeface="Arial" pitchFamily="34" charset="0"/>
            </a:rPr>
            <a:t>The reasons for the low linear velocity at 1 m/sec are: </a:t>
          </a:r>
        </a:p>
        <a:p>
          <a:endParaRPr lang="en-US" sz="1000">
            <a:latin typeface="Arial" pitchFamily="34" charset="0"/>
            <a:cs typeface="Arial" pitchFamily="34" charset="0"/>
          </a:endParaRPr>
        </a:p>
        <a:p>
          <a:r>
            <a:rPr lang="en-US" sz="1000">
              <a:latin typeface="Arial" pitchFamily="34" charset="0"/>
              <a:cs typeface="Arial" pitchFamily="34" charset="0"/>
            </a:rPr>
            <a:t>1. At the beginning of filling a tank. there is the greatest likelihood of water being mixed with the oil entering the tank. </a:t>
          </a:r>
        </a:p>
        <a:p>
          <a:r>
            <a:rPr lang="en-US" sz="1000">
              <a:latin typeface="Arial" pitchFamily="34" charset="0"/>
              <a:cs typeface="Arial" pitchFamily="34" charset="0"/>
            </a:rPr>
            <a:t>    Mixtures of oil and water are a potent source of static electricity. </a:t>
          </a:r>
        </a:p>
        <a:p>
          <a:endParaRPr lang="en-US" sz="1000">
            <a:latin typeface="Arial" pitchFamily="34" charset="0"/>
            <a:cs typeface="Arial" pitchFamily="34" charset="0"/>
          </a:endParaRPr>
        </a:p>
        <a:p>
          <a:r>
            <a:rPr lang="en-US" sz="1000">
              <a:latin typeface="Arial" pitchFamily="34" charset="0"/>
              <a:cs typeface="Arial" pitchFamily="34" charset="0"/>
            </a:rPr>
            <a:t>2. A low product velocity at the tank inlet minimises turbulence and splashing as oil enters the tank. This helps reduce the </a:t>
          </a:r>
        </a:p>
        <a:p>
          <a:r>
            <a:rPr lang="en-US" sz="1000">
              <a:latin typeface="Arial" pitchFamily="34" charset="0"/>
              <a:cs typeface="Arial" pitchFamily="34" charset="0"/>
            </a:rPr>
            <a:t>    generation of static electricity and also reduces the dispersal of any water present. so that it quickly settles out to the bottom </a:t>
          </a:r>
        </a:p>
        <a:p>
          <a:r>
            <a:rPr lang="en-US" sz="1000">
              <a:latin typeface="Arial" pitchFamily="34" charset="0"/>
              <a:cs typeface="Arial" pitchFamily="34" charset="0"/>
            </a:rPr>
            <a:t>    of the tank where it can lie relatively undisturbed when the loading rate is subsequently increased. </a:t>
          </a:r>
        </a:p>
        <a:p>
          <a:endParaRPr lang="en-US" sz="1000">
            <a:latin typeface="Arial" pitchFamily="34" charset="0"/>
            <a:cs typeface="Arial" pitchFamily="34" charset="0"/>
          </a:endParaRPr>
        </a:p>
        <a:p>
          <a:r>
            <a:rPr lang="en-US" sz="1000">
              <a:latin typeface="Arial" pitchFamily="34" charset="0"/>
              <a:cs typeface="Arial" pitchFamily="34" charset="0"/>
            </a:rPr>
            <a:t>3. A low product velocity at the tank inlet minimises the formation of mists that may accumulate a charge, even if the oil is not </a:t>
          </a:r>
        </a:p>
        <a:p>
          <a:r>
            <a:rPr lang="en-US" sz="1000">
              <a:latin typeface="Arial" pitchFamily="34" charset="0"/>
              <a:cs typeface="Arial" pitchFamily="34" charset="0"/>
            </a:rPr>
            <a:t>    considered to be a static accumulator. This is because the mist droplets are separated by air. which is an insulator. </a:t>
          </a:r>
        </a:p>
        <a:p>
          <a:r>
            <a:rPr lang="en-US" sz="1000">
              <a:latin typeface="Arial" pitchFamily="34" charset="0"/>
              <a:cs typeface="Arial" pitchFamily="34" charset="0"/>
            </a:rPr>
            <a:t>    A mist can result in a flammable atmosphere even if the liquid has a high flashpoint and is not normally capable of producing </a:t>
          </a:r>
        </a:p>
        <a:p>
          <a:r>
            <a:rPr lang="en-US" sz="1000">
              <a:latin typeface="Arial" pitchFamily="34" charset="0"/>
              <a:cs typeface="Arial" pitchFamily="34" charset="0"/>
            </a:rPr>
            <a:t>    a flammable atmosphere. </a:t>
          </a:r>
        </a:p>
        <a:p>
          <a:endParaRPr lang="en-US" sz="1000">
            <a:latin typeface="Arial" pitchFamily="34" charset="0"/>
            <a:cs typeface="Arial" pitchFamily="34" charset="0"/>
          </a:endParaRPr>
        </a:p>
        <a:p>
          <a:r>
            <a:rPr lang="en-US" sz="1000">
              <a:latin typeface="Arial" pitchFamily="34" charset="0"/>
              <a:cs typeface="Arial" pitchFamily="34" charset="0"/>
            </a:rPr>
            <a:t>Figure 12.2 is a flowchart to help identify the precautions needed when loading static accumulator cargoes. </a:t>
          </a:r>
        </a:p>
        <a:p>
          <a:endParaRPr lang="en-US" sz="1000">
            <a:latin typeface="Arial" pitchFamily="34" charset="0"/>
            <a:cs typeface="Arial" pitchFamily="34" charset="0"/>
          </a:endParaRPr>
        </a:p>
        <a:p>
          <a:endParaRPr lang="en-US" sz="1000">
            <a:latin typeface="Arial" pitchFamily="34" charset="0"/>
            <a:cs typeface="Arial" pitchFamily="34" charset="0"/>
          </a:endParaRPr>
        </a:p>
        <a:p>
          <a:r>
            <a:rPr lang="en-US" sz="1050" b="1">
              <a:solidFill>
                <a:schemeClr val="dk1"/>
              </a:solidFill>
              <a:latin typeface="Arial" pitchFamily="34" charset="0"/>
              <a:ea typeface="+mn-ea"/>
              <a:cs typeface="Arial" pitchFamily="34" charset="0"/>
            </a:rPr>
            <a:t>12.1.7.4 Minimising hazards from water </a:t>
          </a:r>
        </a:p>
        <a:p>
          <a:endParaRPr lang="en-US" sz="1000">
            <a:latin typeface="Arial" pitchFamily="34" charset="0"/>
            <a:cs typeface="Arial" pitchFamily="34" charset="0"/>
          </a:endParaRPr>
        </a:p>
        <a:p>
          <a:r>
            <a:rPr lang="en-US" sz="1000">
              <a:latin typeface="Arial" pitchFamily="34" charset="0"/>
              <a:cs typeface="Arial" pitchFamily="34" charset="0"/>
            </a:rPr>
            <a:t>Mixtures of oil and water are a potent source of static electricity. so care should be taken to prevent excess water. from operations such as water washing. ballasting or line flushing. entering a tank that contains or will contain a static accumulator oil. For example. cargo tanks and lines that have been flushed with water should be drained before loading. Water should not be allowed to accumulate in tanks. Lines should not be displaced with water back into a tank containing a static accumulator cargo (for an explanation of line displacement. see section 12.1.14.2). </a:t>
          </a:r>
        </a:p>
        <a:p>
          <a:endParaRPr lang="en-US" sz="1000">
            <a:latin typeface="Arial" pitchFamily="34" charset="0"/>
            <a:cs typeface="Arial" pitchFamily="34" charset="0"/>
          </a:endParaRPr>
        </a:p>
        <a:p>
          <a:r>
            <a:rPr lang="en-US" sz="1000">
              <a:latin typeface="Arial" pitchFamily="34" charset="0"/>
              <a:cs typeface="Arial" pitchFamily="34" charset="0"/>
            </a:rPr>
            <a:t>Any water remaining in the shore or ship pipeline system after the initial filling might be flushed into the cargo tank when loading at the maximum rate (the minimum product velocity for flushing water out of pipelines effectively is 1m/sec). The resulting mixing and agitating of oil and water in the tank will increase the generation of static charge to a level that is unsafe in a flammable atmosphere. Before increasing to the bulk loading rate, it is necessary to ensure that. as far as practicable. all excess water lying in low spots in the pipelines has been flushed out of the system either before loading started or during the initial filling of the tank (for more on this process. see section 12.1.7.3)</a:t>
          </a:r>
        </a:p>
        <a:p>
          <a:endParaRPr lang="en-US" sz="1000">
            <a:latin typeface="Arial" pitchFamily="34" charset="0"/>
            <a:cs typeface="Arial" pitchFamily="34" charset="0"/>
          </a:endParaRPr>
        </a:p>
        <a:p>
          <a:r>
            <a:rPr lang="en-US" sz="1000">
              <a:latin typeface="Arial" pitchFamily="34" charset="0"/>
              <a:cs typeface="Arial" pitchFamily="34" charset="0"/>
            </a:rPr>
            <a:t>Under normal circumstances. and provided the above precautions to prevent excess water have been taken. the amount of water still present in the system after the initial filling will not be enough to increase static generation when the loading rate is increased. However. if there is reason to believe excess water may still be in the shore pipeline the recommended action is to either: </a:t>
          </a:r>
        </a:p>
        <a:p>
          <a:endParaRPr lang="en-US" sz="1000">
            <a:latin typeface="Arial" pitchFamily="34" charset="0"/>
            <a:cs typeface="Arial" pitchFamily="34" charset="0"/>
          </a:endParaRPr>
        </a:p>
        <a:p>
          <a:r>
            <a:rPr lang="en-US" sz="1000">
              <a:latin typeface="Arial" pitchFamily="34" charset="0"/>
              <a:cs typeface="Arial" pitchFamily="34" charset="0"/>
            </a:rPr>
            <a:t>• Keep the product velocity in the shore pipeline below 1m/sec throughout loading to avoid flushing the water into the ship's tank(s). </a:t>
          </a:r>
        </a:p>
        <a:p>
          <a:endParaRPr lang="en-US" sz="1000">
            <a:latin typeface="Arial" pitchFamily="34" charset="0"/>
            <a:cs typeface="Arial" pitchFamily="34" charset="0"/>
          </a:endParaRPr>
        </a:p>
        <a:p>
          <a:r>
            <a:rPr lang="en-US" sz="1000">
              <a:latin typeface="Arial" pitchFamily="34" charset="0"/>
              <a:cs typeface="Arial" pitchFamily="34" charset="0"/>
            </a:rPr>
            <a:t>• Keep the product velocity at the tank inletCs) below 1 m/sec throughout loading to avoid turbulence in the tank(s). </a:t>
          </a:r>
        </a:p>
        <a:p>
          <a:endParaRPr lang="en-US" sz="1000">
            <a:latin typeface="Arial" pitchFamily="34" charset="0"/>
            <a:cs typeface="Arial" pitchFamily="34" charset="0"/>
          </a:endParaRPr>
        </a:p>
        <a:p>
          <a:r>
            <a:rPr lang="en-US" sz="1000">
              <a:latin typeface="Arial" pitchFamily="34" charset="0"/>
              <a:cs typeface="Arial" pitchFamily="34" charset="0"/>
            </a:rPr>
            <a:t>Whichever option gives the higher loading rate consistent with safety should be used. </a:t>
          </a: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pPr marL="0" indent="0"/>
          <a:r>
            <a:rPr lang="en-US" sz="1050" b="1">
              <a:solidFill>
                <a:schemeClr val="dk1"/>
              </a:solidFill>
              <a:latin typeface="Arial" pitchFamily="34" charset="0"/>
              <a:ea typeface="+mn-ea"/>
              <a:cs typeface="Arial" pitchFamily="34" charset="0"/>
            </a:rPr>
            <a:t>12.1.7.5 Examples </a:t>
          </a:r>
        </a:p>
        <a:p>
          <a:endParaRPr lang="en-US" sz="1000">
            <a:latin typeface="Arial" pitchFamily="34" charset="0"/>
            <a:cs typeface="Arial" pitchFamily="34" charset="0"/>
          </a:endParaRPr>
        </a:p>
        <a:p>
          <a:r>
            <a:rPr lang="en-US" sz="1000" b="1">
              <a:latin typeface="Arial" pitchFamily="34" charset="0"/>
              <a:cs typeface="Arial" pitchFamily="34" charset="0"/>
            </a:rPr>
            <a:t>Initial loading phase </a:t>
          </a:r>
        </a:p>
        <a:p>
          <a:endParaRPr lang="en-US" sz="1000">
            <a:latin typeface="Arial" pitchFamily="34" charset="0"/>
            <a:cs typeface="Arial" pitchFamily="34" charset="0"/>
          </a:endParaRPr>
        </a:p>
        <a:p>
          <a:r>
            <a:rPr lang="en-US" sz="1000">
              <a:latin typeface="Arial" pitchFamily="34" charset="0"/>
              <a:cs typeface="Arial" pitchFamily="34" charset="0"/>
            </a:rPr>
            <a:t>Figure 12.3 shows the pipeline arrangements for a ship loading a static accumulator product at a berth. The table defines the pipeline sizes and the volumetric flow rates at a velocity of 1 m/sec. For initial loading to two cargo tanks in the example. the limitation will allow a loading rate of 366m3 /hr.</a:t>
          </a: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endParaRPr lang="en-US" sz="1000">
            <a:latin typeface="Arial" pitchFamily="34" charset="0"/>
            <a:cs typeface="Arial" pitchFamily="34" charset="0"/>
          </a:endParaRPr>
        </a:p>
        <a:p>
          <a:pPr marL="0" indent="0"/>
          <a:r>
            <a:rPr lang="en-US" sz="1050" b="1">
              <a:solidFill>
                <a:schemeClr val="dk1"/>
              </a:solidFill>
              <a:latin typeface="Arial" pitchFamily="34" charset="0"/>
              <a:ea typeface="+mn-ea"/>
              <a:cs typeface="Arial" pitchFamily="34" charset="0"/>
            </a:rPr>
            <a:t>12.1.7.6 Practical considerations </a:t>
          </a:r>
        </a:p>
        <a:p>
          <a:endParaRPr lang="en-US" sz="1000">
            <a:latin typeface="Arial" pitchFamily="34" charset="0"/>
            <a:cs typeface="Arial" pitchFamily="34" charset="0"/>
          </a:endParaRPr>
        </a:p>
        <a:p>
          <a:r>
            <a:rPr lang="en-US" sz="1000">
              <a:latin typeface="Arial" pitchFamily="34" charset="0"/>
              <a:cs typeface="Arial" pitchFamily="34" charset="0"/>
            </a:rPr>
            <a:t>In practice. not all terminals have flow control devices to regulate the loading rate. so they may not be able to set a loading rate to one cargo tank equivalent to 1 m/sec. Some terminals achieve. or try to achieve. a low loading rate by starting to load by gravity flow alone. </a:t>
          </a:r>
        </a:p>
        <a:p>
          <a:endParaRPr lang="en-US" sz="1000">
            <a:latin typeface="Arial" pitchFamily="34" charset="0"/>
            <a:cs typeface="Arial" pitchFamily="34" charset="0"/>
          </a:endParaRPr>
        </a:p>
        <a:p>
          <a:pPr marL="0" indent="0"/>
          <a:endParaRPr lang="en-US" sz="1050" b="1">
            <a:solidFill>
              <a:schemeClr val="dk1"/>
            </a:solidFill>
            <a:latin typeface="Arial" pitchFamily="34" charset="0"/>
            <a:ea typeface="+mn-ea"/>
            <a:cs typeface="Arial" pitchFamily="34" charset="0"/>
          </a:endParaRPr>
        </a:p>
        <a:p>
          <a:pPr marL="0" indent="0"/>
          <a:r>
            <a:rPr lang="en-US" sz="1050" b="1">
              <a:solidFill>
                <a:schemeClr val="dk1"/>
              </a:solidFill>
              <a:latin typeface="Arial" pitchFamily="34" charset="0"/>
              <a:ea typeface="+mn-ea"/>
              <a:cs typeface="Arial" pitchFamily="34" charset="0"/>
            </a:rPr>
            <a:t>12.1.7.7 Spread loading </a:t>
          </a:r>
        </a:p>
        <a:p>
          <a:endParaRPr lang="en-US" sz="1000">
            <a:latin typeface="Arial" pitchFamily="34" charset="0"/>
            <a:cs typeface="Arial" pitchFamily="34" charset="0"/>
          </a:endParaRPr>
        </a:p>
        <a:p>
          <a:r>
            <a:rPr lang="en-US" sz="1000">
              <a:latin typeface="Arial" pitchFamily="34" charset="0"/>
              <a:cs typeface="Arial" pitchFamily="34" charset="0"/>
            </a:rPr>
            <a:t>Spread loading is the practice of mitigating a terminal's lack of flow control by starting to load via a single shore pipeline to several of the ship's cargo tanks simultaneously. The aim is a loading rate that will give a maximum velocity of 1m/sec at each of the tank inlets. </a:t>
          </a:r>
        </a:p>
        <a:p>
          <a:endParaRPr lang="en-US" sz="1000">
            <a:latin typeface="Arial" pitchFamily="34" charset="0"/>
            <a:cs typeface="Arial" pitchFamily="34" charset="0"/>
          </a:endParaRPr>
        </a:p>
        <a:p>
          <a:r>
            <a:rPr lang="en-US" sz="1000">
              <a:latin typeface="Arial" pitchFamily="34" charset="0"/>
              <a:cs typeface="Arial" pitchFamily="34" charset="0"/>
            </a:rPr>
            <a:t>Spread loading can present significant static generation risks that should be assessed and properly managed if the practice is to be used safely. For example: </a:t>
          </a:r>
        </a:p>
        <a:p>
          <a:endParaRPr lang="en-US" sz="1000">
            <a:latin typeface="Arial" pitchFamily="34" charset="0"/>
            <a:cs typeface="Arial" pitchFamily="34" charset="0"/>
          </a:endParaRPr>
        </a:p>
        <a:p>
          <a:r>
            <a:rPr lang="en-US" sz="1000">
              <a:latin typeface="Arial" pitchFamily="34" charset="0"/>
              <a:cs typeface="Arial" pitchFamily="34" charset="0"/>
            </a:rPr>
            <a:t>• Uneven flow in the ship's cargo lines can create a backflow of vapour (gas or air) from other open tanks to the tank receiving product. This eductor effect creates a two phase mixture of product and vapour that results in increased turbulence and mist formation in the tank. </a:t>
          </a:r>
        </a:p>
        <a:p>
          <a:endParaRPr lang="en-US" sz="1000">
            <a:latin typeface="Arial" pitchFamily="34" charset="0"/>
            <a:cs typeface="Arial" pitchFamily="34" charset="0"/>
          </a:endParaRPr>
        </a:p>
        <a:p>
          <a:r>
            <a:rPr lang="en-US" sz="1000">
              <a:latin typeface="Arial" pitchFamily="34" charset="0"/>
              <a:cs typeface="Arial" pitchFamily="34" charset="0"/>
            </a:rPr>
            <a:t>• There is a possibility of more than 1 m/sec at one tank inlet due to uneven distribution of product between the open tanks. </a:t>
          </a:r>
        </a:p>
        <a:p>
          <a:endParaRPr lang="en-US" sz="1000">
            <a:latin typeface="Arial" pitchFamily="34" charset="0"/>
            <a:cs typeface="Arial" pitchFamily="34" charset="0"/>
          </a:endParaRPr>
        </a:p>
        <a:p>
          <a:r>
            <a:rPr lang="en-US" sz="1000">
              <a:latin typeface="Arial" pitchFamily="34" charset="0"/>
              <a:cs typeface="Arial" pitchFamily="34" charset="0"/>
            </a:rPr>
            <a:t>The following precautions should be taken to manage the risks associated with the spread loading of static accumulator cargoes: </a:t>
          </a:r>
        </a:p>
        <a:p>
          <a:endParaRPr lang="en-US" sz="1000">
            <a:latin typeface="Arial" pitchFamily="34" charset="0"/>
            <a:cs typeface="Arial" pitchFamily="34" charset="0"/>
          </a:endParaRPr>
        </a:p>
        <a:p>
          <a:r>
            <a:rPr lang="en-US" sz="1000">
              <a:latin typeface="Arial" pitchFamily="34" charset="0"/>
              <a:cs typeface="Arial" pitchFamily="34" charset="0"/>
            </a:rPr>
            <a:t>• The overall loading rate should be chosen to ensure a maximum product velocity of 1 m/sec into any one tank, assuming an even distribution of cargo between tanks. </a:t>
          </a:r>
        </a:p>
        <a:p>
          <a:endParaRPr lang="en-US" sz="1000">
            <a:latin typeface="Arial" pitchFamily="34" charset="0"/>
            <a:cs typeface="Arial" pitchFamily="34" charset="0"/>
          </a:endParaRPr>
        </a:p>
        <a:p>
          <a:r>
            <a:rPr lang="en-US" sz="1000">
              <a:latin typeface="Arial" pitchFamily="34" charset="0"/>
              <a:cs typeface="Arial" pitchFamily="34" charset="0"/>
            </a:rPr>
            <a:t>• Possible different flow distributions into different tanks should be considered and best efforts should be made to ensure equal flow distribution between tanks. </a:t>
          </a:r>
        </a:p>
        <a:p>
          <a:endParaRPr lang="en-US" sz="1000">
            <a:latin typeface="Arial" pitchFamily="34" charset="0"/>
            <a:cs typeface="Arial" pitchFamily="34" charset="0"/>
          </a:endParaRPr>
        </a:p>
        <a:p>
          <a:r>
            <a:rPr lang="en-US" sz="1000">
              <a:latin typeface="Arial" pitchFamily="34" charset="0"/>
              <a:cs typeface="Arial" pitchFamily="34" charset="0"/>
            </a:rPr>
            <a:t>• Not more than four cargo tanks should be loaded during spread loading. Referencing figure 12.3, if the shore line were increased in size to 510mm diameter and it was suspected that water is in the line, the ship would need to load four tanks simultaneously to ensure that the water content could be safely removed and so an initial loading rate of 676m3 /hr should be requested. This will allow the water to be cleared from the shore line while keeping the velocity at the tank inlets below 1 m/sec. </a:t>
          </a:r>
        </a:p>
        <a:p>
          <a:endParaRPr lang="en-US" sz="1000">
            <a:latin typeface="Arial" pitchFamily="34" charset="0"/>
            <a:cs typeface="Arial" pitchFamily="34" charset="0"/>
          </a:endParaRPr>
        </a:p>
        <a:p>
          <a:r>
            <a:rPr lang="en-US" sz="1000">
              <a:latin typeface="Arial" pitchFamily="34" charset="0"/>
              <a:cs typeface="Arial" pitchFamily="34" charset="0"/>
            </a:rPr>
            <a:t>• Tank inlet valves should not be used to control cargo flow during the initial loading phase. They will reduce the cross-sectional area of the inlet, resulting in a higher tank inlet velocity and so more turbulence and mist formation. If valves have to be throttled to control flow rate, this should be done upstream of the tank valves. </a:t>
          </a:r>
        </a:p>
        <a:p>
          <a:endParaRPr lang="en-US" sz="1000">
            <a:latin typeface="Arial" pitchFamily="34" charset="0"/>
            <a:cs typeface="Arial" pitchFamily="34" charset="0"/>
          </a:endParaRPr>
        </a:p>
        <a:p>
          <a:r>
            <a:rPr lang="en-US" sz="1000">
              <a:latin typeface="Arial" pitchFamily="34" charset="0"/>
              <a:cs typeface="Arial" pitchFamily="34" charset="0"/>
            </a:rPr>
            <a:t>Managing the risks inherent in spread loading requires a risk assessment. This should consider: </a:t>
          </a:r>
        </a:p>
        <a:p>
          <a:endParaRPr lang="en-US" sz="1000">
            <a:latin typeface="Arial" pitchFamily="34" charset="0"/>
            <a:cs typeface="Arial" pitchFamily="34" charset="0"/>
          </a:endParaRPr>
        </a:p>
        <a:p>
          <a:r>
            <a:rPr lang="en-US" sz="1000">
              <a:latin typeface="Arial" pitchFamily="34" charset="0"/>
              <a:cs typeface="Arial" pitchFamily="34" charset="0"/>
            </a:rPr>
            <a:t>• Terminal's piping configuration, including flow control capability. </a:t>
          </a:r>
        </a:p>
        <a:p>
          <a:endParaRPr lang="en-US" sz="1000">
            <a:latin typeface="Arial" pitchFamily="34" charset="0"/>
            <a:cs typeface="Arial" pitchFamily="34" charset="0"/>
          </a:endParaRPr>
        </a:p>
        <a:p>
          <a:r>
            <a:rPr lang="en-US" sz="1000">
              <a:latin typeface="Arial" pitchFamily="34" charset="0"/>
              <a:cs typeface="Arial" pitchFamily="34" charset="0"/>
            </a:rPr>
            <a:t>• Ship's piping configuration. </a:t>
          </a:r>
        </a:p>
        <a:p>
          <a:endParaRPr lang="en-US" sz="1000">
            <a:latin typeface="Arial" pitchFamily="34" charset="0"/>
            <a:cs typeface="Arial" pitchFamily="34" charset="0"/>
          </a:endParaRPr>
        </a:p>
        <a:p>
          <a:r>
            <a:rPr lang="en-US" sz="1000">
              <a:latin typeface="Arial" pitchFamily="34" charset="0"/>
              <a:cs typeface="Arial" pitchFamily="34" charset="0"/>
            </a:rPr>
            <a:t>• Ship's cargo tank condition, e.g. previous cargo, tank atmosphere or physical condition, e.g. the integrity of heating coils. </a:t>
          </a:r>
        </a:p>
        <a:p>
          <a:endParaRPr lang="en-US" sz="1000">
            <a:latin typeface="Arial" pitchFamily="34" charset="0"/>
            <a:cs typeface="Arial" pitchFamily="34" charset="0"/>
          </a:endParaRPr>
        </a:p>
        <a:p>
          <a:r>
            <a:rPr lang="en-US" sz="1000">
              <a:latin typeface="Arial" pitchFamily="34" charset="0"/>
              <a:cs typeface="Arial" pitchFamily="34" charset="0"/>
            </a:rPr>
            <a:t>• Product to be loaded and the potential for generating a flammable atmosphere. </a:t>
          </a:r>
        </a:p>
        <a:p>
          <a:endParaRPr lang="en-US" sz="1000">
            <a:latin typeface="Arial" pitchFamily="34" charset="0"/>
            <a:cs typeface="Arial" pitchFamily="34" charset="0"/>
          </a:endParaRPr>
        </a:p>
        <a:p>
          <a:r>
            <a:rPr lang="en-US" sz="1000">
              <a:latin typeface="Arial" pitchFamily="34" charset="0"/>
              <a:cs typeface="Arial" pitchFamily="34" charset="0"/>
            </a:rPr>
            <a:t>Spread loading should only be done when the ship and the terminal are both satisfied that the risks have been identified and that appropriate risk response measures have been taken to minimise, avoid or eliminate them. </a:t>
          </a:r>
        </a:p>
        <a:p>
          <a:endParaRPr lang="en-US" sz="1000">
            <a:latin typeface="Arial" pitchFamily="34" charset="0"/>
            <a:cs typeface="Arial" pitchFamily="34" charset="0"/>
          </a:endParaRPr>
        </a:p>
        <a:p>
          <a:endParaRPr lang="en-US" sz="1050" b="1">
            <a:latin typeface="Arial" pitchFamily="34" charset="0"/>
            <a:cs typeface="Arial" pitchFamily="34" charset="0"/>
          </a:endParaRPr>
        </a:p>
        <a:p>
          <a:r>
            <a:rPr lang="en-US" sz="1050" b="1">
              <a:latin typeface="Arial" pitchFamily="34" charset="0"/>
              <a:cs typeface="Arial" pitchFamily="34" charset="0"/>
            </a:rPr>
            <a:t>12.1.7.8 Limitation of product velocity (loading rates) after the initial filling period (bulk looading)</a:t>
          </a:r>
          <a:endParaRPr lang="en-US" sz="1000" b="1">
            <a:latin typeface="Arial" pitchFamily="34" charset="0"/>
            <a:cs typeface="Arial" pitchFamily="34" charset="0"/>
          </a:endParaRPr>
        </a:p>
        <a:p>
          <a:endParaRPr lang="en-US" sz="1000">
            <a:latin typeface="Arial" pitchFamily="34" charset="0"/>
            <a:cs typeface="Arial" pitchFamily="34" charset="0"/>
          </a:endParaRPr>
        </a:p>
        <a:p>
          <a:r>
            <a:rPr lang="en-US" sz="1000">
              <a:latin typeface="Arial" pitchFamily="34" charset="0"/>
              <a:cs typeface="Arial" pitchFamily="34" charset="0"/>
            </a:rPr>
            <a:t>After the initial filling period, electrostatic generating processes, such as mist formation and turbulence at the tank bottoms, are suppressed by the rising liquid level and concern switches to ensuring that excessive charge does not accumulate on the bulk liquid. This is also done by controlling the flow rate, although the maximum acceptable velocity is now higher provided the product is clean (as defined in section 3.2.1). </a:t>
          </a:r>
        </a:p>
        <a:p>
          <a:r>
            <a:rPr lang="en-US" sz="1000">
              <a:latin typeface="Arial" pitchFamily="34" charset="0"/>
              <a:cs typeface="Arial" pitchFamily="34" charset="0"/>
            </a:rPr>
            <a:t>Two phase flows, i.e. through oil and water, give higher charging and may require flow rate limitations throughout loading (see section 12.1.7.4). </a:t>
          </a:r>
        </a:p>
        <a:p>
          <a:r>
            <a:rPr lang="en-US" sz="1000">
              <a:latin typeface="Arial" pitchFamily="34" charset="0"/>
              <a:cs typeface="Arial" pitchFamily="34" charset="0"/>
            </a:rPr>
            <a:t>When the tank bottom is covered, after all splashing and surface turbulence has stopped and all water has been cleared from the line, the rate can be increased to the lesser of the ship or shore pipeline and pumping system maximum flow rates consistent with proper control of the system. </a:t>
          </a:r>
          <a:r>
            <a:rPr lang="en-US" sz="1000" b="1">
              <a:latin typeface="Arial" pitchFamily="34" charset="0"/>
              <a:cs typeface="Arial" pitchFamily="34" charset="0"/>
            </a:rPr>
            <a:t>Established practice and experience indicates that hazards do not occur if the product velocity is less than 7m/sec. Some national codes of practice also suggest 7m/sec as a maximum value. However, some industry documents acknowledge that 7m/sec is a precautionary limit and imply that higher speeds may be safe without specifying what the real limits are Call the evidence for safe loading has come from experiments limited to a maximum flow of 7m/sec). </a:t>
          </a:r>
        </a:p>
        <a:p>
          <a:endParaRPr lang="en-US" sz="1000">
            <a:latin typeface="Arial" pitchFamily="34" charset="0"/>
            <a:cs typeface="Arial" pitchFamily="34" charset="0"/>
          </a:endParaRPr>
        </a:p>
        <a:p>
          <a:r>
            <a:rPr lang="en-US" sz="1000" b="1">
              <a:latin typeface="Arial" pitchFamily="34" charset="0"/>
              <a:cs typeface="Arial" pitchFamily="34" charset="0"/>
            </a:rPr>
            <a:t>Higher velocities can replace the 7m/sec limit only when well documented evidence shows they can be safely used. </a:t>
          </a:r>
        </a:p>
        <a:p>
          <a:endParaRPr lang="en-US" sz="1000">
            <a:latin typeface="Arial" pitchFamily="34" charset="0"/>
            <a:cs typeface="Arial" pitchFamily="34" charset="0"/>
          </a:endParaRPr>
        </a:p>
        <a:p>
          <a:r>
            <a:rPr lang="en-US" sz="1000">
              <a:latin typeface="Arial" pitchFamily="34" charset="0"/>
              <a:cs typeface="Arial" pitchFamily="34" charset="0"/>
            </a:rPr>
            <a:t>Operators should be aware that the maximum velocity might not occur at the minimum diameter of a pipeline that feeds multiple branch lines. Such configurations would be where a pipeline feeds multiple loading arms or hoses, or on a ship where a main cargo line feeds multiple drop lines or tank inlets. For example, where a 150mm diameter pipeline feeds three 100mm branch lines. the highest velocity will be in the 150mm pipeline and not the branch lines. </a:t>
          </a:r>
        </a:p>
        <a:p>
          <a:endParaRPr lang="en-US" sz="1000">
            <a:latin typeface="Arial" pitchFamily="34" charset="0"/>
            <a:cs typeface="Arial" pitchFamily="34" charset="0"/>
          </a:endParaRPr>
        </a:p>
        <a:p>
          <a:r>
            <a:rPr lang="en-US" sz="1000" b="1">
              <a:latin typeface="Arial" pitchFamily="34" charset="0"/>
              <a:cs typeface="Arial" pitchFamily="34" charset="0"/>
            </a:rPr>
            <a:t>Figure 12.3 shows that the smallest diameter section of piping in the system is the cargo hose. with a diameter of 250mm. If a loading velocity of 7m/sec is acceptable to the ship and shore, a maximum loading rate of 1,281 m3/hr should be requested</a:t>
          </a:r>
          <a:r>
            <a:rPr lang="en-US" sz="1000">
              <a:latin typeface="Arial" pitchFamily="34" charset="0"/>
              <a:cs typeface="Arial" pitchFamily="34" charset="0"/>
            </a:rPr>
            <a:t>. </a:t>
          </a:r>
        </a:p>
      </xdr:txBody>
    </xdr:sp>
    <xdr:clientData/>
  </xdr:twoCellAnchor>
  <xdr:twoCellAnchor editAs="oneCell">
    <xdr:from>
      <xdr:col>3</xdr:col>
      <xdr:colOff>672465</xdr:colOff>
      <xdr:row>320</xdr:row>
      <xdr:rowOff>34288</xdr:rowOff>
    </xdr:from>
    <xdr:to>
      <xdr:col>9</xdr:col>
      <xdr:colOff>468630</xdr:colOff>
      <xdr:row>361</xdr:row>
      <xdr:rowOff>104773</xdr:rowOff>
    </xdr:to>
    <xdr:pic>
      <xdr:nvPicPr>
        <xdr:cNvPr id="3" name="Рисунок 2">
          <a:extLst>
            <a:ext uri="{FF2B5EF4-FFF2-40B4-BE49-F238E27FC236}">
              <a16:creationId xmlns:a16="http://schemas.microsoft.com/office/drawing/2014/main" id="{00000000-0008-0000-3100-000003000000}"/>
            </a:ext>
          </a:extLst>
        </xdr:cNvPr>
        <xdr:cNvPicPr>
          <a:picLocks noChangeAspect="1"/>
        </xdr:cNvPicPr>
      </xdr:nvPicPr>
      <xdr:blipFill>
        <a:blip xmlns:r="http://schemas.openxmlformats.org/officeDocument/2006/relationships" r:embed="rId1"/>
        <a:stretch>
          <a:fillRect/>
        </a:stretch>
      </xdr:blipFill>
      <xdr:spPr>
        <a:xfrm>
          <a:off x="3369945" y="58273948"/>
          <a:ext cx="6105525" cy="6943725"/>
        </a:xfrm>
        <a:prstGeom prst="rect">
          <a:avLst/>
        </a:prstGeom>
      </xdr:spPr>
    </xdr:pic>
    <xdr:clientData/>
  </xdr:twoCellAnchor>
  <xdr:twoCellAnchor editAs="oneCell">
    <xdr:from>
      <xdr:col>3</xdr:col>
      <xdr:colOff>647700</xdr:colOff>
      <xdr:row>243</xdr:row>
      <xdr:rowOff>99060</xdr:rowOff>
    </xdr:from>
    <xdr:to>
      <xdr:col>9</xdr:col>
      <xdr:colOff>491490</xdr:colOff>
      <xdr:row>307</xdr:row>
      <xdr:rowOff>57150</xdr:rowOff>
    </xdr:to>
    <xdr:pic>
      <xdr:nvPicPr>
        <xdr:cNvPr id="5" name="Рисунок 4">
          <a:extLst>
            <a:ext uri="{FF2B5EF4-FFF2-40B4-BE49-F238E27FC236}">
              <a16:creationId xmlns:a16="http://schemas.microsoft.com/office/drawing/2014/main" id="{00000000-0008-0000-3100-000005000000}"/>
            </a:ext>
          </a:extLst>
        </xdr:cNvPr>
        <xdr:cNvPicPr>
          <a:picLocks noChangeAspect="1"/>
        </xdr:cNvPicPr>
      </xdr:nvPicPr>
      <xdr:blipFill>
        <a:blip xmlns:r="http://schemas.openxmlformats.org/officeDocument/2006/relationships" r:embed="rId2"/>
        <a:stretch>
          <a:fillRect/>
        </a:stretch>
      </xdr:blipFill>
      <xdr:spPr>
        <a:xfrm>
          <a:off x="3345180" y="45430440"/>
          <a:ext cx="6153150" cy="10687050"/>
        </a:xfrm>
        <a:prstGeom prst="rect">
          <a:avLst/>
        </a:prstGeom>
      </xdr:spPr>
    </xdr:pic>
    <xdr:clientData/>
  </xdr:twoCellAnchor>
  <xdr:twoCellAnchor editAs="oneCell">
    <xdr:from>
      <xdr:col>3</xdr:col>
      <xdr:colOff>449580</xdr:colOff>
      <xdr:row>41</xdr:row>
      <xdr:rowOff>182880</xdr:rowOff>
    </xdr:from>
    <xdr:to>
      <xdr:col>9</xdr:col>
      <xdr:colOff>167640</xdr:colOff>
      <xdr:row>64</xdr:row>
      <xdr:rowOff>160020</xdr:rowOff>
    </xdr:to>
    <xdr:pic>
      <xdr:nvPicPr>
        <xdr:cNvPr id="84" name="Рисунок 83">
          <a:extLst>
            <a:ext uri="{FF2B5EF4-FFF2-40B4-BE49-F238E27FC236}">
              <a16:creationId xmlns:a16="http://schemas.microsoft.com/office/drawing/2014/main" id="{00000000-0008-0000-3100-00005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47060" y="10858500"/>
          <a:ext cx="6027420" cy="4625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381000</xdr:colOff>
      <xdr:row>183</xdr:row>
      <xdr:rowOff>137160</xdr:rowOff>
    </xdr:from>
    <xdr:to>
      <xdr:col>10</xdr:col>
      <xdr:colOff>114300</xdr:colOff>
      <xdr:row>201</xdr:row>
      <xdr:rowOff>114300</xdr:rowOff>
    </xdr:to>
    <xdr:pic>
      <xdr:nvPicPr>
        <xdr:cNvPr id="85" name="Рисунок 84">
          <a:extLst>
            <a:ext uri="{FF2B5EF4-FFF2-40B4-BE49-F238E27FC236}">
              <a16:creationId xmlns:a16="http://schemas.microsoft.com/office/drawing/2014/main" id="{00000000-0008-0000-3100-00005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78480" y="35410140"/>
          <a:ext cx="6667500" cy="2994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0</xdr:colOff>
      <xdr:row>3</xdr:row>
      <xdr:rowOff>15240</xdr:rowOff>
    </xdr:from>
    <xdr:to>
      <xdr:col>14</xdr:col>
      <xdr:colOff>0</xdr:colOff>
      <xdr:row>364</xdr:row>
      <xdr:rowOff>22860</xdr:rowOff>
    </xdr:to>
    <xdr:sp macro="" textlink="">
      <xdr:nvSpPr>
        <xdr:cNvPr id="2" name="TextBox 1">
          <a:extLst>
            <a:ext uri="{FF2B5EF4-FFF2-40B4-BE49-F238E27FC236}">
              <a16:creationId xmlns:a16="http://schemas.microsoft.com/office/drawing/2014/main" id="{00000000-0008-0000-3200-000002000000}"/>
            </a:ext>
          </a:extLst>
        </xdr:cNvPr>
        <xdr:cNvSpPr txBox="1"/>
      </xdr:nvSpPr>
      <xdr:spPr>
        <a:xfrm>
          <a:off x="2621280" y="716280"/>
          <a:ext cx="8031480" cy="63695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Ins="90000" rtlCol="0" anchor="t"/>
        <a:lstStyle/>
        <a:p>
          <a:endParaRPr lang="en-US" sz="1100" b="1">
            <a:solidFill>
              <a:schemeClr val="dk1"/>
            </a:solidFill>
            <a:effectLst/>
            <a:latin typeface="Arial" panose="020B0604020202020204" pitchFamily="34" charset="0"/>
            <a:ea typeface="+mn-ea"/>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pPr algn="l" fontAlgn="base"/>
          <a:r>
            <a:rPr lang="en-GB" b="0" i="0">
              <a:solidFill>
                <a:srgbClr val="333333"/>
              </a:solidFill>
              <a:effectLst/>
              <a:latin typeface="Open Sans" panose="020B0606030504020204" pitchFamily="34" charset="0"/>
            </a:rPr>
            <a:t>I.S.O. standard method is also available in the event that any Cargo Inspector do not accept the geometric edition of the wedge formula. This method depends upon the accuracy of the vessel’s tank ullage calibration tables for the larger ullages / smaller soundings in the cargo tank. If the tank calibration tables are accurate for this region of the cargo tanks, then this method will give added accuracy to the general method of calculating tank residues after discharge.</a:t>
          </a:r>
        </a:p>
        <a:p>
          <a:pPr algn="l" fontAlgn="base"/>
          <a:r>
            <a:rPr lang="en-GB" b="0" i="0">
              <a:solidFill>
                <a:srgbClr val="333333"/>
              </a:solidFill>
              <a:effectLst/>
              <a:latin typeface="Open Sans" panose="020B0606030504020204" pitchFamily="34" charset="0"/>
            </a:rPr>
            <a:t>This method is as follows:</a:t>
          </a:r>
          <a:br>
            <a:rPr lang="en-GB" b="0" i="0">
              <a:solidFill>
                <a:srgbClr val="333333"/>
              </a:solidFill>
              <a:effectLst/>
              <a:latin typeface="Open Sans" panose="020B0606030504020204" pitchFamily="34" charset="0"/>
            </a:rPr>
          </a:br>
          <a:endParaRPr lang="en-GB" b="0" i="0">
            <a:solidFill>
              <a:srgbClr val="333333"/>
            </a:solidFill>
            <a:effectLst/>
            <a:latin typeface="Open Sans" panose="020B06060305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ISO 8697:1999 Crude petroleum and petroleum products - Transfer accountability — Assessment of on board quantity (OBQ) and quantity remaining on board (ROB)</a:t>
          </a:r>
        </a:p>
        <a:p>
          <a:pPr algn="l" fontAlgn="base"/>
          <a:endParaRPr lang="en-GB" b="0" i="0">
            <a:solidFill>
              <a:srgbClr val="333333"/>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WARNING — The use of this International Standard may involve hazardous materials, operations and equipment. This International Standard does not purport to address all of the safety problems associated with its use. It is the responsibility of the user of this International Standard to establish appropriate safety and health practices and determine the applicability of regulatory limitations prior to use.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1 Scope </a:t>
          </a:r>
        </a:p>
        <a:p>
          <a:pPr algn="l" fontAlgn="base"/>
          <a:r>
            <a:rPr lang="en-GB" b="0" i="0">
              <a:solidFill>
                <a:sysClr val="windowText" lastClr="000000"/>
              </a:solidFill>
              <a:effectLst/>
              <a:latin typeface="Open Sans" panose="020B0606030504020204" pitchFamily="34" charset="0"/>
            </a:rPr>
            <a:t>This International Standard specifies a method for assessing small volumes of material in the cargo tanks of marine tanker vessels prior to loading (OBQ) or upon completion of discharge (ROB) by manual gauging. It is not applicable to the estimation of clingage, hydrocarbon vapours or the contents of associated pipelines or pumps.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 Terms and definitions </a:t>
          </a:r>
        </a:p>
        <a:p>
          <a:pPr algn="l" fontAlgn="base"/>
          <a:r>
            <a:rPr lang="en-GB" b="0" i="0">
              <a:solidFill>
                <a:sysClr val="windowText" lastClr="000000"/>
              </a:solidFill>
              <a:effectLst/>
              <a:latin typeface="Open Sans" panose="020B0606030504020204" pitchFamily="34" charset="0"/>
            </a:rPr>
            <a:t>For the purposes of this International Standard, the following terms and definitions apply.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2.1 </a:t>
          </a:r>
        </a:p>
        <a:p>
          <a:pPr algn="l" fontAlgn="base"/>
          <a:r>
            <a:rPr lang="en-GB" b="1" i="0">
              <a:solidFill>
                <a:sysClr val="windowText" lastClr="000000"/>
              </a:solidFill>
              <a:effectLst/>
              <a:latin typeface="Open Sans" panose="020B0606030504020204" pitchFamily="34" charset="0"/>
            </a:rPr>
            <a:t>clingage </a:t>
          </a:r>
        </a:p>
        <a:p>
          <a:pPr algn="l" fontAlgn="base"/>
          <a:r>
            <a:rPr lang="en-GB" b="0" i="0">
              <a:solidFill>
                <a:sysClr val="windowText" lastClr="000000"/>
              </a:solidFill>
              <a:effectLst/>
              <a:latin typeface="Open Sans" panose="020B0606030504020204" pitchFamily="34" charset="0"/>
            </a:rPr>
            <a:t>material which adheres to the surface of tank walls and structures, both horizontal and vertical, within empty cargo tanks other than bottom surfaces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2.2 </a:t>
          </a:r>
        </a:p>
        <a:p>
          <a:pPr algn="l" fontAlgn="base"/>
          <a:r>
            <a:rPr lang="en-GB" b="1" i="0">
              <a:solidFill>
                <a:sysClr val="windowText" lastClr="000000"/>
              </a:solidFill>
              <a:effectLst/>
              <a:latin typeface="Open Sans" panose="020B0606030504020204" pitchFamily="34" charset="0"/>
            </a:rPr>
            <a:t>list </a:t>
          </a:r>
        </a:p>
        <a:p>
          <a:pPr algn="l" fontAlgn="base"/>
          <a:r>
            <a:rPr lang="en-GB" b="0" i="0">
              <a:solidFill>
                <a:sysClr val="windowText" lastClr="000000"/>
              </a:solidFill>
              <a:effectLst/>
              <a:latin typeface="Open Sans" panose="020B0606030504020204" pitchFamily="34" charset="0"/>
            </a:rPr>
            <a:t>transverse inclination of a ship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2.3 </a:t>
          </a:r>
        </a:p>
        <a:p>
          <a:pPr algn="l" fontAlgn="base"/>
          <a:r>
            <a:rPr lang="en-GB" b="1" i="0">
              <a:solidFill>
                <a:sysClr val="windowText" lastClr="000000"/>
              </a:solidFill>
              <a:effectLst/>
              <a:latin typeface="Open Sans" panose="020B0606030504020204" pitchFamily="34" charset="0"/>
            </a:rPr>
            <a:t>on board quantity </a:t>
          </a:r>
        </a:p>
        <a:p>
          <a:pPr algn="l" fontAlgn="base"/>
          <a:r>
            <a:rPr lang="en-GB" b="1" i="0">
              <a:solidFill>
                <a:sysClr val="windowText" lastClr="000000"/>
              </a:solidFill>
              <a:effectLst/>
              <a:latin typeface="Open Sans" panose="020B0606030504020204" pitchFamily="34" charset="0"/>
            </a:rPr>
            <a:t>OBQ </a:t>
          </a:r>
        </a:p>
        <a:p>
          <a:pPr algn="l" fontAlgn="base"/>
          <a:r>
            <a:rPr lang="en-GB" b="0" i="0">
              <a:solidFill>
                <a:sysClr val="windowText" lastClr="000000"/>
              </a:solidFill>
              <a:effectLst/>
              <a:latin typeface="Open Sans" panose="020B0606030504020204" pitchFamily="34" charset="0"/>
            </a:rPr>
            <a:t>sum of liquid volume and non-liquid volume in cargo tanks just before loading, excluding clingage, hydrocarbon vapours and the contents of associated pipelines and pumps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2.4 </a:t>
          </a:r>
        </a:p>
        <a:p>
          <a:pPr algn="l" fontAlgn="base"/>
          <a:r>
            <a:rPr lang="en-GB" b="1" i="0">
              <a:solidFill>
                <a:sysClr val="windowText" lastClr="000000"/>
              </a:solidFill>
              <a:effectLst/>
              <a:latin typeface="Open Sans" panose="020B0606030504020204" pitchFamily="34" charset="0"/>
            </a:rPr>
            <a:t>quantity remaining on board </a:t>
          </a:r>
        </a:p>
        <a:p>
          <a:pPr algn="l" fontAlgn="base"/>
          <a:r>
            <a:rPr lang="en-GB" b="1" i="0">
              <a:solidFill>
                <a:sysClr val="windowText" lastClr="000000"/>
              </a:solidFill>
              <a:effectLst/>
              <a:latin typeface="Open Sans" panose="020B0606030504020204" pitchFamily="34" charset="0"/>
            </a:rPr>
            <a:t>ROB </a:t>
          </a:r>
        </a:p>
        <a:p>
          <a:pPr algn="l" fontAlgn="base"/>
          <a:r>
            <a:rPr lang="en-GB" b="0" i="0">
              <a:solidFill>
                <a:sysClr val="windowText" lastClr="000000"/>
              </a:solidFill>
              <a:effectLst/>
              <a:latin typeface="Open Sans" panose="020B0606030504020204" pitchFamily="34" charset="0"/>
            </a:rPr>
            <a:t>sum of liquid volume and non-liquid volume in cargo tanks just after completion of discharge, excluding clingage, hydrocarbon vapours and the contents of associated pipelines and pumps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2.5 </a:t>
          </a:r>
        </a:p>
        <a:p>
          <a:pPr algn="l" fontAlgn="base"/>
          <a:r>
            <a:rPr lang="en-GB" b="1" i="0">
              <a:solidFill>
                <a:sysClr val="windowText" lastClr="000000"/>
              </a:solidFill>
              <a:effectLst/>
              <a:latin typeface="Open Sans" panose="020B0606030504020204" pitchFamily="34" charset="0"/>
            </a:rPr>
            <a:t>liquid volume </a:t>
          </a:r>
        </a:p>
        <a:p>
          <a:pPr algn="l" fontAlgn="base"/>
          <a:r>
            <a:rPr lang="en-GB" b="0" i="0">
              <a:solidFill>
                <a:sysClr val="windowText" lastClr="000000"/>
              </a:solidFill>
              <a:effectLst/>
              <a:latin typeface="Open Sans" panose="020B0606030504020204" pitchFamily="34" charset="0"/>
            </a:rPr>
            <a:t>measurable amount of material which is free-flowing at the time of measurement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The material can be oil or free water, or both.</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2.6 </a:t>
          </a:r>
        </a:p>
        <a:p>
          <a:pPr algn="l" fontAlgn="base"/>
          <a:r>
            <a:rPr lang="en-GB" b="1" i="0">
              <a:solidFill>
                <a:sysClr val="windowText" lastClr="000000"/>
              </a:solidFill>
              <a:effectLst/>
              <a:latin typeface="Open Sans" panose="020B0606030504020204" pitchFamily="34" charset="0"/>
            </a:rPr>
            <a:t>non-liquid volume </a:t>
          </a:r>
        </a:p>
        <a:p>
          <a:pPr algn="l" fontAlgn="base"/>
          <a:r>
            <a:rPr lang="en-GB" b="0" i="0">
              <a:solidFill>
                <a:sysClr val="windowText" lastClr="000000"/>
              </a:solidFill>
              <a:effectLst/>
              <a:latin typeface="Open Sans" panose="020B0606030504020204" pitchFamily="34" charset="0"/>
            </a:rPr>
            <a:t>measurable amount of material which is not free-flowing at the time of measurement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It can include any one or a combination of hydrocarbon waxes, water/oil emulsions, inorganic materials, or solidified cargo.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2.7 </a:t>
          </a:r>
        </a:p>
        <a:p>
          <a:pPr algn="l" fontAlgn="base"/>
          <a:r>
            <a:rPr lang="en-GB" b="1" i="0">
              <a:solidFill>
                <a:sysClr val="windowText" lastClr="000000"/>
              </a:solidFill>
              <a:effectLst/>
              <a:latin typeface="Open Sans" panose="020B0606030504020204" pitchFamily="34" charset="0"/>
            </a:rPr>
            <a:t>trim </a:t>
          </a:r>
        </a:p>
        <a:p>
          <a:pPr algn="l" fontAlgn="base"/>
          <a:r>
            <a:rPr lang="en-GB" b="0" i="0">
              <a:solidFill>
                <a:sysClr val="windowText" lastClr="000000"/>
              </a:solidFill>
              <a:effectLst/>
              <a:latin typeface="Open Sans" panose="020B0606030504020204" pitchFamily="34" charset="0"/>
            </a:rPr>
            <a:t>difference between the fore and aft draught of the vessel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When the aft draught is greater than the forward draught, the vessel is said to be trimmed by the stern. When the aft draught is less than the forward draught, the vessel is said to be trimmed by the head.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2.8 </a:t>
          </a:r>
        </a:p>
        <a:p>
          <a:pPr algn="l" fontAlgn="base"/>
          <a:r>
            <a:rPr lang="en-GB" b="1" i="0">
              <a:solidFill>
                <a:sysClr val="windowText" lastClr="000000"/>
              </a:solidFill>
              <a:effectLst/>
              <a:latin typeface="Open Sans" panose="020B0606030504020204" pitchFamily="34" charset="0"/>
            </a:rPr>
            <a:t>wedge formula </a:t>
          </a:r>
        </a:p>
        <a:p>
          <a:pPr algn="l" fontAlgn="base"/>
          <a:r>
            <a:rPr lang="en-GB" b="0" i="0">
              <a:solidFill>
                <a:sysClr val="windowText" lastClr="000000"/>
              </a:solidFill>
              <a:effectLst/>
              <a:latin typeface="Open Sans" panose="020B0606030504020204" pitchFamily="34" charset="0"/>
            </a:rPr>
            <a:t>mathematical means to assess small quantities of measurable liquid and/or non-liquid material which is in a wedge configuration and does not touch all the bulkheads of the vessel's tank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The formula is based on cargo compartments characteristics of cargo compartiments, vessel trim and the depth of the material.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2.9 </a:t>
          </a:r>
        </a:p>
        <a:p>
          <a:pPr algn="l" fontAlgn="base"/>
          <a:r>
            <a:rPr lang="en-GB" b="1" i="0">
              <a:solidFill>
                <a:sysClr val="windowText" lastClr="000000"/>
              </a:solidFill>
              <a:effectLst/>
              <a:latin typeface="Open Sans" panose="020B0606030504020204" pitchFamily="34" charset="0"/>
            </a:rPr>
            <a:t>wedge table </a:t>
          </a:r>
        </a:p>
        <a:p>
          <a:pPr algn="l" fontAlgn="base"/>
          <a:r>
            <a:rPr lang="en-GB" b="0" i="0">
              <a:solidFill>
                <a:sysClr val="windowText" lastClr="000000"/>
              </a:solidFill>
              <a:effectLst/>
              <a:latin typeface="Open Sans" panose="020B0606030504020204" pitchFamily="34" charset="0"/>
            </a:rPr>
            <a:t>vessel's cargo tank volume table based on compartment characteristics, for use when cargo does not touch all the bulkheads of the tanks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3 Principle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The depth of any non-liquid, oil and water layers on the bottom of each tank is determined by manual gauging. Each layer in each tank is assessed to determine whether or not it is in the form of a wedge and the volume of each is calculated. The total volume of each layer in the ship is calculated and reported.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The configurations of layers (non-liquid, oil and water) that can be found are illustrated in annex A.</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 </a:t>
          </a:r>
          <a:r>
            <a:rPr lang="en-GB" b="1" i="0">
              <a:solidFill>
                <a:sysClr val="windowText" lastClr="000000"/>
              </a:solidFill>
              <a:effectLst/>
              <a:latin typeface="Open Sans" panose="020B0606030504020204" pitchFamily="34" charset="0"/>
            </a:rPr>
            <a:t>4 Procedure for collection of data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4.1</a:t>
          </a:r>
          <a:r>
            <a:rPr lang="en-GB" b="0" i="0">
              <a:solidFill>
                <a:sysClr val="windowText" lastClr="000000"/>
              </a:solidFill>
              <a:effectLst/>
              <a:latin typeface="Open Sans" panose="020B0606030504020204" pitchFamily="34" charset="0"/>
            </a:rPr>
            <a:t> Measurement of OBQ shall be taken on tanks that are ready for loading on arrival of the vessel and/or presented ready for loading after deballasting operations.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If it is an operational requirement to commence loading prior to completion of all deballasting operations from cargo tanks, it is necessary to conduct OBQ measurement on those tanks that contain ballast at the appropriate intermediate stage in the operation.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Measurement of ROB shall be taken on tanks on completion of discharge operations and before ballasting operations.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If it is an operational requirement to commence ballasting some cargo tanks prior to completion of discharge of cargo from other tanks, it is necessary to carry out ROB measurements on tanks at the appropriate intermediate stage in the operation prior to ballasting the affected tank.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All measurements shall be taken with instruments calibrated with traceability to national or International Standards.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4.2</a:t>
          </a:r>
          <a:r>
            <a:rPr lang="en-GB" b="0" i="0">
              <a:solidFill>
                <a:sysClr val="windowText" lastClr="000000"/>
              </a:solidFill>
              <a:effectLst/>
              <a:latin typeface="Open Sans" panose="020B0606030504020204" pitchFamily="34" charset="0"/>
            </a:rPr>
            <a:t> It shall be ascertained whether the vessel is provided with wedge-capacity tables.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The wedge-capacity tables should be independently certified.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If wedge-capacity tables are not available, the distance, Y, from the gauge position to the aft bulkhead of the tank shall be determined for wedge calculations. This distance may be established by reference to the vessel's plans or by direct measurement. The length, Ls , of the ship between perpendiculars shall be recorded from the vessel's plans. The length, Lt , of the tank shall be recorded.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4.3</a:t>
          </a:r>
          <a:r>
            <a:rPr lang="en-GB" b="0" i="0">
              <a:solidFill>
                <a:sysClr val="windowText" lastClr="000000"/>
              </a:solidFill>
              <a:effectLst/>
              <a:latin typeface="Open Sans" panose="020B0606030504020204" pitchFamily="34" charset="0"/>
            </a:rPr>
            <a:t> Before taking any OBQ or ROB measurements, the vessel shall be required to eliminate list. The vessel's trim shall be determined and recorded.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4.4</a:t>
          </a:r>
          <a:r>
            <a:rPr lang="en-GB" b="0" i="0">
              <a:solidFill>
                <a:sysClr val="windowText" lastClr="000000"/>
              </a:solidFill>
              <a:effectLst/>
              <a:latin typeface="Open Sans" panose="020B0606030504020204" pitchFamily="34" charset="0"/>
            </a:rPr>
            <a:t> Before taking any OBQ or ROB measurements, pipelines and pumps shall be drained. One of the vessel's tanks shall be designated to receive the material drained from all the lines and pumps. The designated tank shall be at the end of the vessel with the deepest draught and shall be the smallest cargo tank in which the material can be measured. The designated tank shall be gauged before and after line and pump draining and the measurements recorded. The measurements obtained after line and pump draining shall be used for the calculation of OBQ or ROB.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4.5</a:t>
          </a:r>
          <a:r>
            <a:rPr lang="en-GB" b="0" i="0">
              <a:solidFill>
                <a:sysClr val="windowText" lastClr="000000"/>
              </a:solidFill>
              <a:effectLst/>
              <a:latin typeface="Open Sans" panose="020B0606030504020204" pitchFamily="34" charset="0"/>
            </a:rPr>
            <a:t> All tanks on board the vessel that may contain OBQ or ROB shall be gauged.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4.6</a:t>
          </a:r>
          <a:r>
            <a:rPr lang="en-GB" b="0" i="0">
              <a:solidFill>
                <a:sysClr val="windowText" lastClr="000000"/>
              </a:solidFill>
              <a:effectLst/>
              <a:latin typeface="Open Sans" panose="020B0606030504020204" pitchFamily="34" charset="0"/>
            </a:rPr>
            <a:t> The OBQ or ROB quantities in each tank shall be measured from at least four positions.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If less than four positions are available, a note of protest shall be lodged with the vessel indicating that the vessel is inadequately equipped to allow measurement in accordance with this International Standard. In this case, the OBQ or ROB quantity in each tank shall be measured from all the available positions.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One of the positions shall be the reference gauging position as defined in the vessel's tank capacity table.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The other positions should be those which complement the reference gauging position so that measurement can be made close to the geometric centre of the tank and close to the suction in each tank.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4.7</a:t>
          </a:r>
          <a:r>
            <a:rPr lang="en-GB" b="0" i="0">
              <a:solidFill>
                <a:sysClr val="windowText" lastClr="000000"/>
              </a:solidFill>
              <a:effectLst/>
              <a:latin typeface="Open Sans" panose="020B0606030504020204" pitchFamily="34" charset="0"/>
            </a:rPr>
            <a:t> All measurements shall be taken manually with a dip-tape and weight that is capable of measuring the material depth and overall height of the compartment. Electrical equipment shall not be used.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4.8</a:t>
          </a:r>
          <a:r>
            <a:rPr lang="en-GB" b="0" i="0">
              <a:solidFill>
                <a:sysClr val="windowText" lastClr="000000"/>
              </a:solidFill>
              <a:effectLst/>
              <a:latin typeface="Open Sans" panose="020B0606030504020204" pitchFamily="34" charset="0"/>
            </a:rPr>
            <a:t> Measure the OBQ or ROB depth by direct dipping. At the same time, measure the overall height of the tank and record it. Compare the measured overall height with the tank height, H (which shall be also recorded), given in the vessel's capacity tables to check that the tank bottom has been reached.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If the tank bottom has not been reached, measurements from other positions are preferred. Alternatively, it may be necessary to rely on ullage(s).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Reference heights given in a vessel's tank-capacity tables can significantly change during a vessel's time in commission. It is generally the case that vessel tank capacity tables will only include a reference height for the reference gauging position. The use of ullage measurement for OBQ and ROB should therefore be treated with caution and only used if it can be established by reference to a loaded tank condition that there has been no change in the measured reference height.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4.9</a:t>
          </a:r>
          <a:r>
            <a:rPr lang="en-GB" b="0" i="0">
              <a:solidFill>
                <a:sysClr val="windowText" lastClr="000000"/>
              </a:solidFill>
              <a:effectLst/>
              <a:latin typeface="Open Sans" panose="020B0606030504020204" pitchFamily="34" charset="0"/>
            </a:rPr>
            <a:t> The nature of the material on the dip-weight after dipping shall be visually examined to determine if liquid or non-liquid is present in each tank. If liquid is present, a water dip shall be taken. Record the depth(s) and the nature of the material(s). If both liquid and non-liquid material coexist in the same tank, record the depth of each.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Where liquid is lying on top of solidified material, careful assessment is needed as the liquid may run down and obscure that part of the dip-weight which should show solidified material.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It shall be ascertained whether solidified material (for example, crude oils with high pour points or heavy residues) is present. If solidified material is present and the trim of the vessel at the time of solidification is known, this trim shall be recorded (see 5.6).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4.10</a:t>
          </a:r>
          <a:r>
            <a:rPr lang="en-GB" b="0" i="0">
              <a:solidFill>
                <a:sysClr val="windowText" lastClr="000000"/>
              </a:solidFill>
              <a:effectLst/>
              <a:latin typeface="Open Sans" panose="020B0606030504020204" pitchFamily="34" charset="0"/>
            </a:rPr>
            <a:t> If a sufficient oil depth is found, its temperature shall be measured and recorded.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1 It is recommended that a portable electrical temperature probe be used to determine temperatures.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2 The recorded temperature may be used if it is required to calculate oil volumes at a standard temperature, using the procedures given in ISO 91-1 [1] or ISO 91-2 [2].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4.11</a:t>
          </a:r>
          <a:r>
            <a:rPr lang="en-GB" b="0" i="0">
              <a:solidFill>
                <a:sysClr val="windowText" lastClr="000000"/>
              </a:solidFill>
              <a:effectLst/>
              <a:latin typeface="Open Sans" panose="020B0606030504020204" pitchFamily="34" charset="0"/>
            </a:rPr>
            <a:t> If sufficient OBQ or ROB depth is found, a sample shall be obtained. If a sample is taken, this shall be recorded and reported. The sample(s) shall be retained to assist in the resolution of any dispute. NOTE Samples should be obtained from liquid and non-liquid material. If sufficient material is available, sampling should be carried out in accordance with ISO 3170 [3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 Calculations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5.1 General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Small volumes of liquid which do not contact all the bulkheads form a wedge on the tank bottom as illustrated in Figure 1. The quantity is calculated using a wedge table (see 4.2) or, if this not available, the calculations in 5.3, 5.4, and 5.5 (referred to as the “wedge formula”) shall be used.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The wedge-formula calculation ascertains whether a liquid volume forms a wedge on the tank bottom or on a non-liquid layer by examination of a calculated coefficient K (see 5.3.2). The situation of “liquid wedge on a non-liquid layer” requires usage of the wedge formula to obtain the required quantity. The special case where there may be a non-liquid wedge is covered in 5.6.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It is assumed that for non-liquid material, although lying in irregular depths on the tank bottom, an average value for the depth can be obtained from multiple readings.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All units shall be consistent.</a:t>
          </a: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endParaRPr lang="en-GB" b="0" i="0">
            <a:solidFill>
              <a:srgbClr val="333333"/>
            </a:solidFill>
            <a:effectLst/>
            <a:latin typeface="Open Sans" panose="020B0606030504020204" pitchFamily="34" charset="0"/>
          </a:endParaRPr>
        </a:p>
        <a:p>
          <a:pPr algn="l" fontAlgn="base"/>
          <a:r>
            <a:rPr lang="en-GB" b="1" i="0">
              <a:solidFill>
                <a:srgbClr val="333333"/>
              </a:solidFill>
              <a:effectLst/>
              <a:latin typeface="Open Sans" panose="020B0606030504020204" pitchFamily="34" charset="0"/>
            </a:rPr>
            <a:t>Key </a:t>
          </a:r>
        </a:p>
        <a:p>
          <a:pPr algn="l" fontAlgn="base"/>
          <a:r>
            <a:rPr lang="en-GB" b="0" i="0">
              <a:solidFill>
                <a:sysClr val="windowText" lastClr="000000"/>
              </a:solidFill>
              <a:effectLst/>
              <a:latin typeface="Open Sans" panose="020B0606030504020204" pitchFamily="34" charset="0"/>
            </a:rPr>
            <a:t>1 Forward </a:t>
          </a:r>
        </a:p>
        <a:p>
          <a:pPr algn="l" fontAlgn="base"/>
          <a:r>
            <a:rPr lang="en-GB" b="0" i="0">
              <a:solidFill>
                <a:sysClr val="windowText" lastClr="000000"/>
              </a:solidFill>
              <a:effectLst/>
              <a:latin typeface="Open Sans" panose="020B0606030504020204" pitchFamily="34" charset="0"/>
            </a:rPr>
            <a:t>2 Alf </a:t>
          </a:r>
        </a:p>
        <a:p>
          <a:pPr algn="l" fontAlgn="base"/>
          <a:r>
            <a:rPr lang="en-GB" b="0" i="0">
              <a:solidFill>
                <a:sysClr val="windowText" lastClr="000000"/>
              </a:solidFill>
              <a:effectLst/>
              <a:latin typeface="Open Sans" panose="020B0606030504020204" pitchFamily="34" charset="0"/>
            </a:rPr>
            <a:t>L</a:t>
          </a:r>
          <a:r>
            <a:rPr lang="en-GB" sz="1200" b="0" i="0" baseline="-25000">
              <a:solidFill>
                <a:sysClr val="windowText" lastClr="000000"/>
              </a:solidFill>
              <a:effectLst/>
              <a:latin typeface="Open Sans" panose="020B0606030504020204" pitchFamily="34" charset="0"/>
            </a:rPr>
            <a:t>t</a:t>
          </a:r>
          <a:r>
            <a:rPr lang="en-GB" b="0" i="0" baseline="-25000">
              <a:solidFill>
                <a:sysClr val="windowText" lastClr="000000"/>
              </a:solidFill>
              <a:effectLst/>
              <a:latin typeface="Open Sans" panose="020B0606030504020204" pitchFamily="34" charset="0"/>
            </a:rPr>
            <a:t> </a:t>
          </a:r>
          <a:r>
            <a:rPr lang="en-GB" b="0" i="0">
              <a:solidFill>
                <a:sysClr val="windowText" lastClr="000000"/>
              </a:solidFill>
              <a:effectLst/>
              <a:latin typeface="Open Sans" panose="020B0606030504020204" pitchFamily="34" charset="0"/>
            </a:rPr>
            <a:t>= length of tank = CB</a:t>
          </a:r>
          <a:r>
            <a:rPr lang="en-GB" b="0" i="0" baseline="-25000">
              <a:solidFill>
                <a:sysClr val="windowText" lastClr="000000"/>
              </a:solidFill>
              <a:effectLst/>
              <a:latin typeface="Open Sans" panose="020B0606030504020204" pitchFamily="34" charset="0"/>
            </a:rPr>
            <a:t>1</a:t>
          </a:r>
          <a:r>
            <a:rPr lang="en-GB" b="0" i="0">
              <a:solidFill>
                <a:sysClr val="windowText" lastClr="000000"/>
              </a:solidFill>
              <a:effectLst/>
              <a:latin typeface="Open Sans" panose="020B0606030504020204" pitchFamily="34" charset="0"/>
            </a:rPr>
            <a:t> </a:t>
          </a:r>
        </a:p>
        <a:p>
          <a:pPr algn="l" fontAlgn="base"/>
          <a:r>
            <a:rPr lang="en-GB" b="0" i="0">
              <a:solidFill>
                <a:sysClr val="windowText" lastClr="000000"/>
              </a:solidFill>
              <a:effectLst/>
              <a:latin typeface="Open Sans" panose="020B0606030504020204" pitchFamily="34" charset="0"/>
            </a:rPr>
            <a:t>D = observed dip = MN </a:t>
          </a:r>
        </a:p>
        <a:p>
          <a:pPr algn="l" fontAlgn="base"/>
          <a:r>
            <a:rPr lang="en-GB" b="0" i="0">
              <a:solidFill>
                <a:sysClr val="windowText" lastClr="000000"/>
              </a:solidFill>
              <a:effectLst/>
              <a:latin typeface="Open Sans" panose="020B0606030504020204" pitchFamily="34" charset="0"/>
            </a:rPr>
            <a:t>Da = corrected dip (AC for triangle ABC) </a:t>
          </a:r>
        </a:p>
        <a:p>
          <a:pPr algn="l" fontAlgn="base"/>
          <a:r>
            <a:rPr lang="en-GB" b="0" i="0">
              <a:solidFill>
                <a:sysClr val="windowText" lastClr="000000"/>
              </a:solidFill>
              <a:effectLst/>
              <a:latin typeface="Open Sans" panose="020B0606030504020204" pitchFamily="34" charset="0"/>
            </a:rPr>
            <a:t>Y = distance between measurement point and aft bulkhead </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NOTE The wedge is represented by the triangle ABC. The maximum wedge would occur when the length of the wedge extends to B</a:t>
          </a:r>
          <a:r>
            <a:rPr lang="en-GB" b="0" i="0" baseline="-25000">
              <a:solidFill>
                <a:sysClr val="windowText" lastClr="000000"/>
              </a:solidFill>
              <a:effectLst/>
              <a:latin typeface="Open Sans" panose="020B0606030504020204" pitchFamily="34" charset="0"/>
            </a:rPr>
            <a:t>1</a:t>
          </a:r>
          <a:r>
            <a:rPr lang="en-GB" b="0" i="0">
              <a:solidFill>
                <a:sysClr val="windowText" lastClr="000000"/>
              </a:solidFill>
              <a:effectLst/>
              <a:latin typeface="Open Sans" panose="020B0606030504020204" pitchFamily="34" charset="0"/>
            </a:rPr>
            <a:t> , the position of the forward bulkhead. </a:t>
          </a:r>
        </a:p>
        <a:p>
          <a:pPr algn="l" fontAlgn="base"/>
          <a:endParaRPr lang="en-GB" b="0" i="0">
            <a:solidFill>
              <a:sysClr val="windowText" lastClr="000000"/>
            </a:solidFill>
            <a:effectLst/>
            <a:latin typeface="Open Sans" panose="020B0606030504020204" pitchFamily="34" charset="0"/>
          </a:endParaRPr>
        </a:p>
        <a:p>
          <a:pPr algn="ctr" fontAlgn="base"/>
          <a:r>
            <a:rPr lang="en-GB" b="0" i="0">
              <a:solidFill>
                <a:sysClr val="windowText" lastClr="000000"/>
              </a:solidFill>
              <a:effectLst/>
              <a:latin typeface="Open Sans" panose="020B0606030504020204" pitchFamily="34" charset="0"/>
            </a:rPr>
            <a:t>Figure 1 — Illustration of material in a wedge configuration </a:t>
          </a:r>
        </a:p>
        <a:p>
          <a:pPr algn="l" fontAlgn="base"/>
          <a:endParaRPr lang="en-GB" b="0" i="0">
            <a:solidFill>
              <a:srgbClr val="333333"/>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5.2 Non-liquid material not forming a wedge</a:t>
          </a:r>
          <a:r>
            <a:rPr lang="en-GB" b="0" i="0">
              <a:solidFill>
                <a:sysClr val="windowText" lastClr="000000"/>
              </a:solidFill>
              <a:effectLst/>
              <a:latin typeface="Open Sans" panose="020B0606030504020204" pitchFamily="34" charset="0"/>
            </a:rPr>
            <a:t>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5.2.1</a:t>
          </a:r>
          <a:r>
            <a:rPr lang="en-GB" b="0" i="0">
              <a:solidFill>
                <a:sysClr val="windowText" lastClr="000000"/>
              </a:solidFill>
              <a:effectLst/>
              <a:latin typeface="Open Sans" panose="020B0606030504020204" pitchFamily="34" charset="0"/>
            </a:rPr>
            <a:t> Determine the average depth of non-liquid material by calculating the arithmetic average of all the observed dips of the non-liquid material taken at each position in the tank. If only one position was available, the measured dip shall be taken as the average depth.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5.2.2</a:t>
          </a:r>
          <a:r>
            <a:rPr lang="en-GB" b="0" i="0">
              <a:solidFill>
                <a:sysClr val="windowText" lastClr="000000"/>
              </a:solidFill>
              <a:effectLst/>
              <a:latin typeface="Open Sans" panose="020B0606030504020204" pitchFamily="34" charset="0"/>
            </a:rPr>
            <a:t> Determine the non-liquid volume by entering the relevant tank capacity table using the average depth obtained in </a:t>
          </a:r>
        </a:p>
        <a:p>
          <a:pPr algn="l" fontAlgn="base"/>
          <a:r>
            <a:rPr lang="en-GB" b="0" i="0">
              <a:solidFill>
                <a:sysClr val="windowText" lastClr="000000"/>
              </a:solidFill>
              <a:effectLst/>
              <a:latin typeface="Open Sans" panose="020B0606030504020204" pitchFamily="34" charset="0"/>
            </a:rPr>
            <a:t>5.2.1, without applying any trim correction.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5.3 Total liquid material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5.3.1</a:t>
          </a:r>
          <a:r>
            <a:rPr lang="en-GB" b="0" i="0">
              <a:solidFill>
                <a:sysClr val="windowText" lastClr="000000"/>
              </a:solidFill>
              <a:effectLst/>
              <a:latin typeface="Open Sans" panose="020B0606030504020204" pitchFamily="34" charset="0"/>
            </a:rPr>
            <a:t> Subtract the average non-liquid depth calculated in 5.2.1 from the total dip determined at the aft-most hatch to give the observed liquid dip at this hatch. </a:t>
          </a:r>
        </a:p>
        <a:p>
          <a:pPr algn="l" fontAlgn="base"/>
          <a:endParaRPr lang="en-GB" b="0"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5.3.2</a:t>
          </a:r>
          <a:r>
            <a:rPr lang="en-GB" b="0" i="0">
              <a:solidFill>
                <a:sysClr val="windowText" lastClr="000000"/>
              </a:solidFill>
              <a:effectLst/>
              <a:latin typeface="Open Sans" panose="020B0606030504020204" pitchFamily="34" charset="0"/>
            </a:rPr>
            <a:t> If wedge-capacity tables (4.2) are available, they shall be used to determine the total volume of liquid material in the tank. If wedge-capacity tables are not available, the total volume of liquid material in the tank shall be calculated using the following procedure. </a:t>
          </a:r>
        </a:p>
        <a:p>
          <a:pPr algn="l" fontAlgn="base"/>
          <a:endParaRPr lang="en-GB" b="0" i="0">
            <a:solidFill>
              <a:srgbClr val="333333"/>
            </a:solidFill>
            <a:effectLst/>
            <a:latin typeface="Open Sans" panose="020B0606030504020204" pitchFamily="34" charset="0"/>
          </a:endParaRPr>
        </a:p>
        <a:p>
          <a:pPr algn="l" fontAlgn="base"/>
          <a:r>
            <a:rPr lang="en-GB" b="1" i="0">
              <a:solidFill>
                <a:srgbClr val="1C1C1C"/>
              </a:solidFill>
              <a:effectLst/>
              <a:latin typeface="Open Sans" panose="020B0606030504020204" pitchFamily="34" charset="0"/>
            </a:rPr>
            <a:t>Step 1:</a:t>
          </a:r>
          <a:br>
            <a:rPr lang="en-GB" b="0" i="0">
              <a:solidFill>
                <a:srgbClr val="333333"/>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Calculate </a:t>
          </a:r>
          <a:r>
            <a:rPr lang="en-GB" b="1" i="0">
              <a:solidFill>
                <a:sysClr val="windowText" lastClr="000000"/>
              </a:solidFill>
              <a:effectLst/>
              <a:latin typeface="Open Sans" panose="020B0606030504020204" pitchFamily="34" charset="0"/>
            </a:rPr>
            <a:t>D</a:t>
          </a:r>
          <a:r>
            <a:rPr lang="en-GB" b="1" i="0" baseline="-25000">
              <a:solidFill>
                <a:sysClr val="windowText" lastClr="000000"/>
              </a:solidFill>
              <a:effectLst/>
              <a:latin typeface="Open Sans" panose="020B0606030504020204" pitchFamily="34" charset="0"/>
            </a:rPr>
            <a:t>A</a:t>
          </a:r>
          <a:r>
            <a:rPr lang="en-GB" b="0" i="0">
              <a:solidFill>
                <a:sysClr val="windowText" lastClr="000000"/>
              </a:solidFill>
              <a:effectLst/>
              <a:latin typeface="Open Sans" panose="020B0606030504020204" pitchFamily="34" charset="0"/>
            </a:rPr>
            <a:t> (the Corrected liquid sounding at the aft bulkhead position);  </a:t>
          </a:r>
          <a:r>
            <a:rPr lang="en-GB" b="1" i="0">
              <a:solidFill>
                <a:sysClr val="windowText" lastClr="000000"/>
              </a:solidFill>
              <a:effectLst/>
              <a:latin typeface="Open Sans" panose="020B0606030504020204" pitchFamily="34" charset="0"/>
            </a:rPr>
            <a:t>D</a:t>
          </a:r>
          <a:r>
            <a:rPr lang="en-GB" b="1" i="0" baseline="-25000">
              <a:solidFill>
                <a:sysClr val="windowText" lastClr="000000"/>
              </a:solidFill>
              <a:effectLst/>
              <a:latin typeface="Open Sans" panose="020B0606030504020204" pitchFamily="34" charset="0"/>
            </a:rPr>
            <a:t>A</a:t>
          </a:r>
          <a:r>
            <a:rPr lang="en-GB" b="1" i="0">
              <a:solidFill>
                <a:sysClr val="windowText" lastClr="000000"/>
              </a:solidFill>
              <a:effectLst/>
              <a:latin typeface="Open Sans" panose="020B0606030504020204" pitchFamily="34" charset="0"/>
            </a:rPr>
            <a:t> = D + {f(Y – (H x f))}</a:t>
          </a:r>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where:</a:t>
          </a:r>
          <a:br>
            <a:rPr lang="en-GB" b="0" i="0">
              <a:solidFill>
                <a:sysClr val="windowText" lastClr="000000"/>
              </a:solidFill>
              <a:effectLst/>
              <a:latin typeface="Open Sans" panose="020B0606030504020204" pitchFamily="34" charset="0"/>
            </a:rPr>
          </a:br>
          <a:r>
            <a:rPr lang="en-GB" b="1" i="0">
              <a:solidFill>
                <a:sysClr val="windowText" lastClr="000000"/>
              </a:solidFill>
              <a:effectLst/>
              <a:latin typeface="Open Sans" panose="020B0606030504020204" pitchFamily="34" charset="0"/>
            </a:rPr>
            <a:t>D </a:t>
          </a:r>
          <a:r>
            <a:rPr lang="en-GB" b="0" i="0">
              <a:solidFill>
                <a:sysClr val="windowText" lastClr="000000"/>
              </a:solidFill>
              <a:effectLst/>
              <a:latin typeface="Open Sans" panose="020B0606030504020204" pitchFamily="34" charset="0"/>
            </a:rPr>
            <a:t>  is the observed liquid sounding;</a:t>
          </a:r>
          <a:br>
            <a:rPr lang="en-GB" b="0" i="0">
              <a:solidFill>
                <a:sysClr val="windowText" lastClr="000000"/>
              </a:solidFill>
              <a:effectLst/>
              <a:latin typeface="Open Sans" panose="020B0606030504020204" pitchFamily="34" charset="0"/>
            </a:rPr>
          </a:br>
          <a:r>
            <a:rPr lang="en-GB" b="1" i="0">
              <a:solidFill>
                <a:sysClr val="windowText" lastClr="000000"/>
              </a:solidFill>
              <a:effectLst/>
              <a:latin typeface="Open Sans" panose="020B0606030504020204" pitchFamily="34" charset="0"/>
            </a:rPr>
            <a:t>f</a:t>
          </a:r>
          <a:r>
            <a:rPr lang="en-GB" b="0" i="0">
              <a:solidFill>
                <a:sysClr val="windowText" lastClr="000000"/>
              </a:solidFill>
              <a:effectLst/>
              <a:latin typeface="Open Sans" panose="020B0606030504020204" pitchFamily="34" charset="0"/>
            </a:rPr>
            <a:t>    is the Trim factor </a:t>
          </a:r>
          <a:r>
            <a:rPr lang="en-GB" b="1" i="0">
              <a:solidFill>
                <a:sysClr val="windowText" lastClr="000000"/>
              </a:solidFill>
              <a:effectLst/>
              <a:latin typeface="Open Sans" panose="020B0606030504020204" pitchFamily="34" charset="0"/>
            </a:rPr>
            <a:t>( T</a:t>
          </a:r>
          <a:r>
            <a:rPr lang="en-GB" b="1" i="0" baseline="-25000">
              <a:solidFill>
                <a:sysClr val="windowText" lastClr="000000"/>
              </a:solidFill>
              <a:effectLst/>
              <a:latin typeface="Open Sans" panose="020B0606030504020204" pitchFamily="34" charset="0"/>
            </a:rPr>
            <a:t>S</a:t>
          </a:r>
          <a:r>
            <a:rPr lang="en-GB" b="1" i="0">
              <a:solidFill>
                <a:sysClr val="windowText" lastClr="000000"/>
              </a:solidFill>
              <a:effectLst/>
              <a:latin typeface="Open Sans" panose="020B0606030504020204" pitchFamily="34" charset="0"/>
            </a:rPr>
            <a:t> / L</a:t>
          </a:r>
          <a:r>
            <a:rPr lang="en-GB" b="1" i="0" baseline="-25000">
              <a:solidFill>
                <a:sysClr val="windowText" lastClr="000000"/>
              </a:solidFill>
              <a:effectLst/>
              <a:latin typeface="Open Sans" panose="020B0606030504020204" pitchFamily="34" charset="0"/>
            </a:rPr>
            <a:t>S</a:t>
          </a:r>
          <a:r>
            <a:rPr lang="en-GB" b="1" i="0">
              <a:solidFill>
                <a:sysClr val="windowText" lastClr="000000"/>
              </a:solidFill>
              <a:effectLst/>
              <a:latin typeface="Open Sans" panose="020B0606030504020204" pitchFamily="34" charset="0"/>
            </a:rPr>
            <a:t> )</a:t>
          </a:r>
          <a:r>
            <a:rPr lang="en-GB" b="0" i="0">
              <a:solidFill>
                <a:sysClr val="windowText" lastClr="000000"/>
              </a:solidFill>
              <a:effectLst/>
              <a:latin typeface="Open Sans" panose="020B0606030504020204" pitchFamily="34" charset="0"/>
            </a:rPr>
            <a:t>;</a:t>
          </a:r>
          <a:br>
            <a:rPr lang="en-GB" b="0" i="0">
              <a:solidFill>
                <a:sysClr val="windowText" lastClr="000000"/>
              </a:solidFill>
              <a:effectLst/>
              <a:latin typeface="Open Sans" panose="020B0606030504020204" pitchFamily="34" charset="0"/>
            </a:rPr>
          </a:br>
          <a:r>
            <a:rPr lang="en-GB" b="1" i="0">
              <a:solidFill>
                <a:sysClr val="windowText" lastClr="000000"/>
              </a:solidFill>
              <a:effectLst/>
              <a:latin typeface="Open Sans" panose="020B0606030504020204" pitchFamily="34" charset="0"/>
            </a:rPr>
            <a:t>T</a:t>
          </a:r>
          <a:r>
            <a:rPr lang="en-GB" b="1" i="0" baseline="-25000">
              <a:solidFill>
                <a:sysClr val="windowText" lastClr="000000"/>
              </a:solidFill>
              <a:effectLst/>
              <a:latin typeface="Open Sans" panose="020B0606030504020204" pitchFamily="34" charset="0"/>
            </a:rPr>
            <a:t>S</a:t>
          </a:r>
          <a:r>
            <a:rPr lang="en-GB" b="0" i="0">
              <a:solidFill>
                <a:sysClr val="windowText" lastClr="000000"/>
              </a:solidFill>
              <a:effectLst/>
              <a:latin typeface="Open Sans" panose="020B0606030504020204" pitchFamily="34" charset="0"/>
            </a:rPr>
            <a:t>  is the vessel’s trim;</a:t>
          </a:r>
          <a:br>
            <a:rPr lang="en-GB" b="0" i="0">
              <a:solidFill>
                <a:sysClr val="windowText" lastClr="000000"/>
              </a:solidFill>
              <a:effectLst/>
              <a:latin typeface="Open Sans" panose="020B0606030504020204" pitchFamily="34" charset="0"/>
            </a:rPr>
          </a:br>
          <a:r>
            <a:rPr lang="en-GB" b="1" i="0">
              <a:solidFill>
                <a:sysClr val="windowText" lastClr="000000"/>
              </a:solidFill>
              <a:effectLst/>
              <a:latin typeface="Open Sans" panose="020B0606030504020204" pitchFamily="34" charset="0"/>
            </a:rPr>
            <a:t>Y</a:t>
          </a:r>
          <a:r>
            <a:rPr lang="en-GB" b="0" i="0">
              <a:solidFill>
                <a:sysClr val="windowText" lastClr="000000"/>
              </a:solidFill>
              <a:effectLst/>
              <a:latin typeface="Open Sans" panose="020B0606030504020204" pitchFamily="34" charset="0"/>
            </a:rPr>
            <a:t>   is the distance of the sounding point to the aft bulkhead;</a:t>
          </a:r>
          <a:br>
            <a:rPr lang="en-GB" b="0" i="0">
              <a:solidFill>
                <a:sysClr val="windowText" lastClr="000000"/>
              </a:solidFill>
              <a:effectLst/>
              <a:latin typeface="Open Sans" panose="020B0606030504020204" pitchFamily="34" charset="0"/>
            </a:rPr>
          </a:br>
          <a:r>
            <a:rPr lang="en-GB" b="1" i="0">
              <a:solidFill>
                <a:sysClr val="windowText" lastClr="000000"/>
              </a:solidFill>
              <a:effectLst/>
              <a:latin typeface="Open Sans" panose="020B0606030504020204" pitchFamily="34" charset="0"/>
            </a:rPr>
            <a:t>H</a:t>
          </a:r>
          <a:r>
            <a:rPr lang="en-GB" b="0" i="0">
              <a:solidFill>
                <a:sysClr val="windowText" lastClr="000000"/>
              </a:solidFill>
              <a:effectLst/>
              <a:latin typeface="Open Sans" panose="020B0606030504020204" pitchFamily="34" charset="0"/>
            </a:rPr>
            <a:t>   is the reference height of the cargo tank;</a:t>
          </a:r>
          <a:br>
            <a:rPr lang="en-GB" b="0" i="0">
              <a:solidFill>
                <a:sysClr val="windowText" lastClr="000000"/>
              </a:solidFill>
              <a:effectLst/>
              <a:latin typeface="Open Sans" panose="020B0606030504020204" pitchFamily="34" charset="0"/>
            </a:rPr>
          </a:br>
          <a:r>
            <a:rPr lang="en-GB" b="1" i="0">
              <a:solidFill>
                <a:sysClr val="windowText" lastClr="000000"/>
              </a:solidFill>
              <a:effectLst/>
              <a:latin typeface="Open Sans" panose="020B0606030504020204" pitchFamily="34" charset="0"/>
            </a:rPr>
            <a:t>L</a:t>
          </a:r>
          <a:r>
            <a:rPr lang="en-GB" b="1" i="0" baseline="-25000">
              <a:solidFill>
                <a:sysClr val="windowText" lastClr="000000"/>
              </a:solidFill>
              <a:effectLst/>
              <a:latin typeface="Open Sans" panose="020B0606030504020204" pitchFamily="34" charset="0"/>
            </a:rPr>
            <a:t>S</a:t>
          </a:r>
          <a:r>
            <a:rPr lang="en-GB" b="0" i="0">
              <a:solidFill>
                <a:sysClr val="windowText" lastClr="000000"/>
              </a:solidFill>
              <a:effectLst/>
              <a:latin typeface="Open Sans" panose="020B0606030504020204" pitchFamily="34" charset="0"/>
            </a:rPr>
            <a:t>  is the vessel’s Length Between Perpendiculars.</a:t>
          </a:r>
        </a:p>
        <a:p>
          <a:pPr algn="l" fontAlgn="base"/>
          <a:endParaRPr lang="en-GB" b="1"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Step 2:</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Calculate </a:t>
          </a:r>
          <a:r>
            <a:rPr lang="en-GB" b="1" i="0">
              <a:solidFill>
                <a:sysClr val="windowText" lastClr="000000"/>
              </a:solidFill>
              <a:effectLst/>
              <a:latin typeface="Open Sans" panose="020B0606030504020204" pitchFamily="34" charset="0"/>
            </a:rPr>
            <a:t>C</a:t>
          </a:r>
          <a:r>
            <a:rPr lang="en-GB" b="1" i="0" baseline="-25000">
              <a:solidFill>
                <a:sysClr val="windowText" lastClr="000000"/>
              </a:solidFill>
              <a:effectLst/>
              <a:latin typeface="Open Sans" panose="020B0606030504020204" pitchFamily="34" charset="0"/>
            </a:rPr>
            <a:t>t</a:t>
          </a:r>
          <a:r>
            <a:rPr lang="en-GB" b="0" i="0">
              <a:solidFill>
                <a:sysClr val="windowText" lastClr="000000"/>
              </a:solidFill>
              <a:effectLst/>
              <a:latin typeface="Open Sans" panose="020B0606030504020204" pitchFamily="34" charset="0"/>
            </a:rPr>
            <a:t> (the Tank constant); </a:t>
          </a:r>
          <a:r>
            <a:rPr lang="en-GB" b="1" i="0">
              <a:solidFill>
                <a:sysClr val="windowText" lastClr="000000"/>
              </a:solidFill>
              <a:effectLst/>
              <a:latin typeface="Open Sans" panose="020B0606030504020204" pitchFamily="34" charset="0"/>
            </a:rPr>
            <a:t>C</a:t>
          </a:r>
          <a:r>
            <a:rPr lang="en-GB" b="1" i="0" baseline="-25000">
              <a:solidFill>
                <a:sysClr val="windowText" lastClr="000000"/>
              </a:solidFill>
              <a:effectLst/>
              <a:latin typeface="Open Sans" panose="020B0606030504020204" pitchFamily="34" charset="0"/>
            </a:rPr>
            <a:t>t</a:t>
          </a:r>
          <a:r>
            <a:rPr lang="en-GB" b="1" i="0">
              <a:solidFill>
                <a:sysClr val="windowText" lastClr="000000"/>
              </a:solidFill>
              <a:effectLst/>
              <a:latin typeface="Open Sans" panose="020B0606030504020204" pitchFamily="34" charset="0"/>
            </a:rPr>
            <a:t> =  L</a:t>
          </a:r>
          <a:r>
            <a:rPr lang="en-GB" b="1" i="0" baseline="-25000">
              <a:solidFill>
                <a:sysClr val="windowText" lastClr="000000"/>
              </a:solidFill>
              <a:effectLst/>
              <a:latin typeface="Open Sans" panose="020B0606030504020204" pitchFamily="34" charset="0"/>
            </a:rPr>
            <a:t>S</a:t>
          </a:r>
          <a:r>
            <a:rPr lang="en-GB" b="1" i="0">
              <a:solidFill>
                <a:sysClr val="windowText" lastClr="000000"/>
              </a:solidFill>
              <a:effectLst/>
              <a:latin typeface="Open Sans" panose="020B0606030504020204" pitchFamily="34" charset="0"/>
            </a:rPr>
            <a:t> / ( 2 x T</a:t>
          </a:r>
          <a:r>
            <a:rPr lang="en-GB" b="1" i="0" baseline="-25000">
              <a:solidFill>
                <a:sysClr val="windowText" lastClr="000000"/>
              </a:solidFill>
              <a:effectLst/>
              <a:latin typeface="Open Sans" panose="020B0606030504020204" pitchFamily="34" charset="0"/>
            </a:rPr>
            <a:t>S</a:t>
          </a:r>
          <a:r>
            <a:rPr lang="en-GB" b="1" i="0">
              <a:solidFill>
                <a:sysClr val="windowText" lastClr="000000"/>
              </a:solidFill>
              <a:effectLst/>
              <a:latin typeface="Open Sans" panose="020B0606030504020204" pitchFamily="34" charset="0"/>
            </a:rPr>
            <a:t> x L</a:t>
          </a:r>
          <a:r>
            <a:rPr lang="en-GB" b="1" i="0" baseline="-25000">
              <a:solidFill>
                <a:sysClr val="windowText" lastClr="000000"/>
              </a:solidFill>
              <a:effectLst/>
              <a:latin typeface="Open Sans" panose="020B0606030504020204" pitchFamily="34" charset="0"/>
            </a:rPr>
            <a:t>t</a:t>
          </a:r>
          <a:r>
            <a:rPr lang="en-GB" b="1" i="0">
              <a:solidFill>
                <a:sysClr val="windowText" lastClr="000000"/>
              </a:solidFill>
              <a:effectLst/>
              <a:latin typeface="Open Sans" panose="020B0606030504020204" pitchFamily="34" charset="0"/>
            </a:rPr>
            <a:t> ) </a:t>
          </a:r>
          <a:r>
            <a:rPr lang="en-GB" b="0" i="0">
              <a:solidFill>
                <a:sysClr val="windowText" lastClr="000000"/>
              </a:solidFill>
              <a:effectLst/>
              <a:latin typeface="Open Sans" panose="020B0606030504020204" pitchFamily="34" charset="0"/>
            </a:rPr>
            <a:t>(where </a:t>
          </a:r>
          <a:r>
            <a:rPr lang="en-GB" b="1" i="0">
              <a:solidFill>
                <a:sysClr val="windowText" lastClr="000000"/>
              </a:solidFill>
              <a:effectLst/>
              <a:latin typeface="Open Sans" panose="020B0606030504020204" pitchFamily="34" charset="0"/>
            </a:rPr>
            <a:t>L</a:t>
          </a:r>
          <a:r>
            <a:rPr lang="en-GB" b="1" i="0" baseline="-25000">
              <a:solidFill>
                <a:sysClr val="windowText" lastClr="000000"/>
              </a:solidFill>
              <a:effectLst/>
              <a:latin typeface="Open Sans" panose="020B0606030504020204" pitchFamily="34" charset="0"/>
            </a:rPr>
            <a:t>t</a:t>
          </a:r>
          <a:r>
            <a:rPr lang="en-GB" b="0" i="0">
              <a:solidFill>
                <a:sysClr val="windowText" lastClr="000000"/>
              </a:solidFill>
              <a:effectLst/>
              <a:latin typeface="Open Sans" panose="020B0606030504020204" pitchFamily="34" charset="0"/>
            </a:rPr>
            <a:t> is the Length of the Cargo Tank).</a:t>
          </a:r>
        </a:p>
        <a:p>
          <a:pPr algn="l" fontAlgn="base"/>
          <a:endParaRPr lang="en-GB" b="1"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Step 3:</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Calculate the ‘</a:t>
          </a:r>
          <a:r>
            <a:rPr lang="en-GB" b="1" i="0">
              <a:solidFill>
                <a:sysClr val="windowText" lastClr="000000"/>
              </a:solidFill>
              <a:effectLst/>
              <a:latin typeface="Open Sans" panose="020B0606030504020204" pitchFamily="34" charset="0"/>
            </a:rPr>
            <a:t>k</a:t>
          </a:r>
          <a:r>
            <a:rPr lang="en-GB" b="0" i="0">
              <a:solidFill>
                <a:sysClr val="windowText" lastClr="000000"/>
              </a:solidFill>
              <a:effectLst/>
              <a:latin typeface="Open Sans" panose="020B0606030504020204" pitchFamily="34" charset="0"/>
            </a:rPr>
            <a:t>‘ coefficient;   </a:t>
          </a:r>
          <a:r>
            <a:rPr lang="en-GB" b="1" i="0">
              <a:solidFill>
                <a:sysClr val="windowText" lastClr="000000"/>
              </a:solidFill>
              <a:effectLst/>
              <a:latin typeface="Open Sans" panose="020B0606030504020204" pitchFamily="34" charset="0"/>
            </a:rPr>
            <a:t>k = D</a:t>
          </a:r>
          <a:r>
            <a:rPr lang="en-GB" b="1" i="0" baseline="-25000">
              <a:solidFill>
                <a:sysClr val="windowText" lastClr="000000"/>
              </a:solidFill>
              <a:effectLst/>
              <a:latin typeface="Open Sans" panose="020B0606030504020204" pitchFamily="34" charset="0"/>
            </a:rPr>
            <a:t>A</a:t>
          </a:r>
          <a:r>
            <a:rPr lang="en-GB" b="1" i="0">
              <a:solidFill>
                <a:sysClr val="windowText" lastClr="000000"/>
              </a:solidFill>
              <a:effectLst/>
              <a:latin typeface="Open Sans" panose="020B0606030504020204" pitchFamily="34" charset="0"/>
            </a:rPr>
            <a:t> x C</a:t>
          </a:r>
          <a:r>
            <a:rPr lang="en-GB" b="1" i="0" baseline="-25000">
              <a:solidFill>
                <a:sysClr val="windowText" lastClr="000000"/>
              </a:solidFill>
              <a:effectLst/>
              <a:latin typeface="Open Sans" panose="020B0606030504020204" pitchFamily="34" charset="0"/>
            </a:rPr>
            <a:t>t</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if </a:t>
          </a:r>
          <a:r>
            <a:rPr lang="en-GB" b="1" i="0">
              <a:solidFill>
                <a:sysClr val="windowText" lastClr="000000"/>
              </a:solidFill>
              <a:effectLst/>
              <a:latin typeface="Open Sans" panose="020B0606030504020204" pitchFamily="34" charset="0"/>
            </a:rPr>
            <a:t>k</a:t>
          </a:r>
          <a:r>
            <a:rPr lang="en-GB" b="0" i="0">
              <a:solidFill>
                <a:sysClr val="windowText" lastClr="000000"/>
              </a:solidFill>
              <a:effectLst/>
              <a:latin typeface="Open Sans" panose="020B0606030504020204" pitchFamily="34" charset="0"/>
            </a:rPr>
            <a:t> &gt; 0.5 wedge is not required to be carried out;</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if</a:t>
          </a:r>
          <a:r>
            <a:rPr lang="en-GB" b="1" i="0">
              <a:solidFill>
                <a:sysClr val="windowText" lastClr="000000"/>
              </a:solidFill>
              <a:effectLst/>
              <a:latin typeface="Open Sans" panose="020B0606030504020204" pitchFamily="34" charset="0"/>
            </a:rPr>
            <a:t> k</a:t>
          </a:r>
          <a:r>
            <a:rPr lang="en-GB" b="0" i="0">
              <a:solidFill>
                <a:sysClr val="windowText" lastClr="000000"/>
              </a:solidFill>
              <a:effectLst/>
              <a:latin typeface="Open Sans" panose="020B0606030504020204" pitchFamily="34" charset="0"/>
            </a:rPr>
            <a:t> = 0.5 wedge must be carried out.</a:t>
          </a:r>
        </a:p>
        <a:p>
          <a:pPr algn="l" fontAlgn="base"/>
          <a:endParaRPr lang="en-GB" b="1"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Step 4:</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if </a:t>
          </a:r>
          <a:r>
            <a:rPr lang="en-GB" b="1" i="0">
              <a:solidFill>
                <a:sysClr val="windowText" lastClr="000000"/>
              </a:solidFill>
              <a:effectLst/>
              <a:latin typeface="Open Sans" panose="020B0606030504020204" pitchFamily="34" charset="0"/>
            </a:rPr>
            <a:t>k</a:t>
          </a:r>
          <a:r>
            <a:rPr lang="en-GB" b="0" i="0">
              <a:solidFill>
                <a:sysClr val="windowText" lastClr="000000"/>
              </a:solidFill>
              <a:effectLst/>
              <a:latin typeface="Open Sans" panose="020B0606030504020204" pitchFamily="34" charset="0"/>
            </a:rPr>
            <a:t> &gt; 0.5 then calculate the volume of the liquid contained in the cargo tank from the calibration tables using the Observed sounding, </a:t>
          </a:r>
          <a:r>
            <a:rPr lang="en-GB" b="1" i="0">
              <a:solidFill>
                <a:sysClr val="windowText" lastClr="000000"/>
              </a:solidFill>
              <a:effectLst/>
              <a:latin typeface="Open Sans" panose="020B0606030504020204" pitchFamily="34" charset="0"/>
            </a:rPr>
            <a:t>D</a:t>
          </a:r>
          <a:r>
            <a:rPr lang="en-GB" b="0" i="0">
              <a:solidFill>
                <a:sysClr val="windowText" lastClr="000000"/>
              </a:solidFill>
              <a:effectLst/>
              <a:latin typeface="Open Sans" panose="020B0606030504020204" pitchFamily="34" charset="0"/>
            </a:rPr>
            <a:t>, applying the trim corrections.</a:t>
          </a:r>
        </a:p>
        <a:p>
          <a:pPr algn="l" fontAlgn="base"/>
          <a:endParaRPr lang="en-GB" b="1"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Step 5:</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if </a:t>
          </a:r>
          <a:r>
            <a:rPr lang="en-GB" b="1" i="0">
              <a:solidFill>
                <a:sysClr val="windowText" lastClr="000000"/>
              </a:solidFill>
              <a:effectLst/>
              <a:latin typeface="Open Sans" panose="020B0606030504020204" pitchFamily="34" charset="0"/>
            </a:rPr>
            <a:t>k</a:t>
          </a:r>
          <a:r>
            <a:rPr lang="en-GB" b="0" i="0">
              <a:solidFill>
                <a:sysClr val="windowText" lastClr="000000"/>
              </a:solidFill>
              <a:effectLst/>
              <a:latin typeface="Open Sans" panose="020B0606030504020204" pitchFamily="34" charset="0"/>
            </a:rPr>
            <a:t> = 0.5 then calculate </a:t>
          </a:r>
          <a:r>
            <a:rPr lang="en-GB" b="1" i="0">
              <a:solidFill>
                <a:sysClr val="windowText" lastClr="000000"/>
              </a:solidFill>
              <a:effectLst/>
              <a:latin typeface="Open Sans" panose="020B0606030504020204" pitchFamily="34" charset="0"/>
            </a:rPr>
            <a:t>D</a:t>
          </a:r>
          <a:r>
            <a:rPr lang="en-GB" b="1" i="0" baseline="-25000">
              <a:solidFill>
                <a:sysClr val="windowText" lastClr="000000"/>
              </a:solidFill>
              <a:effectLst/>
              <a:latin typeface="Open Sans" panose="020B0606030504020204" pitchFamily="34" charset="0"/>
            </a:rPr>
            <a:t>X</a:t>
          </a:r>
          <a:r>
            <a:rPr lang="en-GB" b="0" i="0">
              <a:solidFill>
                <a:sysClr val="windowText" lastClr="000000"/>
              </a:solidFill>
              <a:effectLst/>
              <a:latin typeface="Open Sans" panose="020B0606030504020204" pitchFamily="34" charset="0"/>
            </a:rPr>
            <a:t> (the wedge sounding).   </a:t>
          </a:r>
          <a:r>
            <a:rPr lang="en-GB" b="1" i="0">
              <a:solidFill>
                <a:sysClr val="windowText" lastClr="000000"/>
              </a:solidFill>
              <a:effectLst/>
              <a:latin typeface="Open Sans" panose="020B0606030504020204" pitchFamily="34" charset="0"/>
            </a:rPr>
            <a:t>D</a:t>
          </a:r>
          <a:r>
            <a:rPr lang="en-GB" b="1" i="0" baseline="-25000">
              <a:solidFill>
                <a:sysClr val="windowText" lastClr="000000"/>
              </a:solidFill>
              <a:effectLst/>
              <a:latin typeface="Open Sans" panose="020B0606030504020204" pitchFamily="34" charset="0"/>
            </a:rPr>
            <a:t>X</a:t>
          </a:r>
          <a:r>
            <a:rPr lang="en-GB" b="1" i="0">
              <a:solidFill>
                <a:sysClr val="windowText" lastClr="000000"/>
              </a:solidFill>
              <a:effectLst/>
              <a:latin typeface="Open Sans" panose="020B0606030504020204" pitchFamily="34" charset="0"/>
            </a:rPr>
            <a:t> = D</a:t>
          </a:r>
          <a:r>
            <a:rPr lang="en-GB" b="1" i="0" baseline="-25000">
              <a:solidFill>
                <a:sysClr val="windowText" lastClr="000000"/>
              </a:solidFill>
              <a:effectLst/>
              <a:latin typeface="Open Sans" panose="020B0606030504020204" pitchFamily="34" charset="0"/>
            </a:rPr>
            <a:t>A</a:t>
          </a:r>
          <a:r>
            <a:rPr lang="en-GB" b="1" i="0">
              <a:solidFill>
                <a:sysClr val="windowText" lastClr="000000"/>
              </a:solidFill>
              <a:effectLst/>
              <a:latin typeface="Open Sans" panose="020B0606030504020204" pitchFamily="34" charset="0"/>
            </a:rPr>
            <a:t> / 2</a:t>
          </a:r>
          <a:endParaRPr lang="en-GB" b="0" i="0">
            <a:solidFill>
              <a:sysClr val="windowText" lastClr="000000"/>
            </a:solidFill>
            <a:effectLst/>
            <a:latin typeface="Open Sans" panose="020B0606030504020204" pitchFamily="34" charset="0"/>
          </a:endParaRPr>
        </a:p>
        <a:p>
          <a:pPr algn="l" fontAlgn="base"/>
          <a:endParaRPr lang="en-GB" b="1"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Step 6:</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Enter the cargo tank calibration tables with </a:t>
          </a:r>
          <a:r>
            <a:rPr lang="en-GB" b="1" i="0">
              <a:solidFill>
                <a:sysClr val="windowText" lastClr="000000"/>
              </a:solidFill>
              <a:effectLst/>
              <a:latin typeface="Open Sans" panose="020B0606030504020204" pitchFamily="34" charset="0"/>
            </a:rPr>
            <a:t>D</a:t>
          </a:r>
          <a:r>
            <a:rPr lang="en-GB" b="1" i="0" baseline="-25000">
              <a:solidFill>
                <a:sysClr val="windowText" lastClr="000000"/>
              </a:solidFill>
              <a:effectLst/>
              <a:latin typeface="Open Sans" panose="020B0606030504020204" pitchFamily="34" charset="0"/>
            </a:rPr>
            <a:t>X</a:t>
          </a:r>
          <a:r>
            <a:rPr lang="en-GB" b="0" i="0">
              <a:solidFill>
                <a:sysClr val="windowText" lastClr="000000"/>
              </a:solidFill>
              <a:effectLst/>
              <a:latin typeface="Open Sans" panose="020B0606030504020204" pitchFamily="34" charset="0"/>
            </a:rPr>
            <a:t>, without applying trim corrections to equivalent volume </a:t>
          </a:r>
          <a:r>
            <a:rPr lang="en-GB" b="1" i="0">
              <a:solidFill>
                <a:sysClr val="windowText" lastClr="000000"/>
              </a:solidFill>
              <a:effectLst/>
              <a:latin typeface="Open Sans" panose="020B0606030504020204" pitchFamily="34" charset="0"/>
            </a:rPr>
            <a:t>V</a:t>
          </a:r>
          <a:r>
            <a:rPr lang="en-GB" b="1" i="0" baseline="-25000">
              <a:solidFill>
                <a:sysClr val="windowText" lastClr="000000"/>
              </a:solidFill>
              <a:effectLst/>
              <a:latin typeface="Open Sans" panose="020B0606030504020204" pitchFamily="34" charset="0"/>
            </a:rPr>
            <a:t>O</a:t>
          </a:r>
          <a:r>
            <a:rPr lang="en-GB" b="0" i="0">
              <a:solidFill>
                <a:sysClr val="windowText" lastClr="000000"/>
              </a:solidFill>
              <a:effectLst/>
              <a:latin typeface="Open Sans" panose="020B0606030504020204" pitchFamily="34" charset="0"/>
            </a:rPr>
            <a:t>.</a:t>
          </a:r>
        </a:p>
        <a:p>
          <a:pPr algn="l" fontAlgn="base"/>
          <a:endParaRPr lang="en-GB" b="1" i="0">
            <a:solidFill>
              <a:sysClr val="windowText" lastClr="000000"/>
            </a:solidFill>
            <a:effectLst/>
            <a:latin typeface="Open Sans" panose="020B0606030504020204" pitchFamily="34" charset="0"/>
          </a:endParaRPr>
        </a:p>
        <a:p>
          <a:pPr algn="l" fontAlgn="base"/>
          <a:r>
            <a:rPr lang="en-GB" b="1" i="0">
              <a:solidFill>
                <a:sysClr val="windowText" lastClr="000000"/>
              </a:solidFill>
              <a:effectLst/>
              <a:latin typeface="Open Sans" panose="020B0606030504020204" pitchFamily="34" charset="0"/>
            </a:rPr>
            <a:t>Step 7:</a:t>
          </a:r>
          <a:br>
            <a:rPr lang="en-GB" b="0" i="0">
              <a:solidFill>
                <a:sysClr val="windowText" lastClr="000000"/>
              </a:solidFill>
              <a:effectLst/>
              <a:latin typeface="Open Sans" panose="020B0606030504020204" pitchFamily="34" charset="0"/>
            </a:rPr>
          </a:br>
          <a:r>
            <a:rPr lang="en-GB" b="0" i="0">
              <a:solidFill>
                <a:sysClr val="windowText" lastClr="000000"/>
              </a:solidFill>
              <a:effectLst/>
              <a:latin typeface="Open Sans" panose="020B0606030504020204" pitchFamily="34" charset="0"/>
            </a:rPr>
            <a:t>Calculate the liquid wedge volume </a:t>
          </a:r>
          <a:r>
            <a:rPr lang="en-GB" b="1" i="0">
              <a:solidFill>
                <a:sysClr val="windowText" lastClr="000000"/>
              </a:solidFill>
              <a:effectLst/>
              <a:latin typeface="Open Sans" panose="020B0606030504020204" pitchFamily="34" charset="0"/>
            </a:rPr>
            <a:t>V</a:t>
          </a:r>
          <a:r>
            <a:rPr lang="en-GB" b="1" i="0" baseline="-25000">
              <a:solidFill>
                <a:sysClr val="windowText" lastClr="000000"/>
              </a:solidFill>
              <a:effectLst/>
              <a:latin typeface="Open Sans" panose="020B0606030504020204" pitchFamily="34" charset="0"/>
            </a:rPr>
            <a:t>1</a:t>
          </a:r>
          <a:r>
            <a:rPr lang="en-GB" b="0" i="0">
              <a:solidFill>
                <a:sysClr val="windowText" lastClr="000000"/>
              </a:solidFill>
              <a:effectLst/>
              <a:latin typeface="Open Sans" panose="020B0606030504020204" pitchFamily="34" charset="0"/>
            </a:rPr>
            <a:t>;   </a:t>
          </a:r>
          <a:r>
            <a:rPr lang="en-GB" b="1" i="0">
              <a:solidFill>
                <a:sysClr val="windowText" lastClr="000000"/>
              </a:solidFill>
              <a:effectLst/>
              <a:latin typeface="Open Sans" panose="020B0606030504020204" pitchFamily="34" charset="0"/>
            </a:rPr>
            <a:t>V</a:t>
          </a:r>
          <a:r>
            <a:rPr lang="en-GB" b="1" i="0" baseline="-25000">
              <a:solidFill>
                <a:sysClr val="windowText" lastClr="000000"/>
              </a:solidFill>
              <a:effectLst/>
              <a:latin typeface="Open Sans" panose="020B0606030504020204" pitchFamily="34" charset="0"/>
            </a:rPr>
            <a:t>1</a:t>
          </a:r>
          <a:r>
            <a:rPr lang="en-GB" b="1" i="0">
              <a:solidFill>
                <a:sysClr val="windowText" lastClr="000000"/>
              </a:solidFill>
              <a:effectLst/>
              <a:latin typeface="Open Sans" panose="020B0606030504020204" pitchFamily="34" charset="0"/>
            </a:rPr>
            <a:t> =  V</a:t>
          </a:r>
          <a:r>
            <a:rPr lang="en-GB" b="1" i="0" baseline="-25000">
              <a:solidFill>
                <a:sysClr val="windowText" lastClr="000000"/>
              </a:solidFill>
              <a:effectLst/>
              <a:latin typeface="Open Sans" panose="020B0606030504020204" pitchFamily="34" charset="0"/>
            </a:rPr>
            <a:t>O</a:t>
          </a:r>
          <a:r>
            <a:rPr lang="en-GB" b="1" i="0">
              <a:solidFill>
                <a:sysClr val="windowText" lastClr="000000"/>
              </a:solidFill>
              <a:effectLst/>
              <a:latin typeface="Open Sans" panose="020B0606030504020204" pitchFamily="34" charset="0"/>
            </a:rPr>
            <a:t> x  2  x  k</a:t>
          </a:r>
          <a:endParaRPr lang="en-GB" b="0" i="0">
            <a:solidFill>
              <a:sysClr val="windowText" lastClr="000000"/>
            </a:solidFill>
            <a:effectLst/>
            <a:latin typeface="Open Sans" panose="020B0606030504020204" pitchFamily="34" charset="0"/>
          </a:endParaRP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In addition to above methods it should be noted that if the procedures as specified in the vessel’s COW manual are being followed for the determination of the ‘Dryness’ of a cargo tank, namely, the sounding of the residues in four (4) differing locations within the cargo tank, then the foregoing methods of calculations can be avoided.</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Assuming the shape of the individual cargo tanks is fairly regular / constant in a fore and aft direction and, notwithstanding the fact that the vessel will be significantly trimmed by the stern, then the four measurements, as suggested in the COW Manual guidelines, as obtained by sounding can be used to calculate an average sounding so as to obtain a single sounding. The single average sounding can be used directly in order to obtain an equivalent volume from the vessel’s tank ullage calibration tables</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Such a method will provide a clearer indication as to the type and nature of the residues on the cargo tank floor as well as provide much clearer indications as to the profile of the residues within the cargo tanks.</a:t>
          </a:r>
        </a:p>
        <a:p>
          <a:pPr algn="l" fontAlgn="base"/>
          <a:endParaRPr lang="en-GB" b="0" i="0">
            <a:solidFill>
              <a:sysClr val="windowText" lastClr="000000"/>
            </a:solidFill>
            <a:effectLst/>
            <a:latin typeface="Open Sans" panose="020B0606030504020204" pitchFamily="34" charset="0"/>
          </a:endParaRPr>
        </a:p>
        <a:p>
          <a:pPr algn="l" fontAlgn="base"/>
          <a:r>
            <a:rPr lang="en-GB" b="0" i="0">
              <a:solidFill>
                <a:sysClr val="windowText" lastClr="000000"/>
              </a:solidFill>
              <a:effectLst/>
              <a:latin typeface="Open Sans" panose="020B0606030504020204" pitchFamily="34" charset="0"/>
            </a:rPr>
            <a:t>Source: nautraj.blogspot.com</a:t>
          </a:r>
        </a:p>
        <a:p>
          <a:endParaRPr lang="en-GB" sz="1100" b="0" i="0">
            <a:solidFill>
              <a:srgbClr val="231F20"/>
            </a:solidFill>
            <a:latin typeface="Arial" panose="020B0604020202020204" pitchFamily="34" charset="0"/>
          </a:endParaRPr>
        </a:p>
        <a:p>
          <a:endParaRPr lang="ru-RU" sz="1100" b="0" i="0">
            <a:solidFill>
              <a:srgbClr val="231F20"/>
            </a:solidFill>
            <a:latin typeface="Arial" panose="020B0604020202020204" pitchFamily="34" charset="0"/>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ru-RU" sz="1100">
            <a:solidFill>
              <a:srgbClr val="FF0000"/>
            </a:solidFill>
            <a:effectLst/>
            <a:latin typeface="Arial" panose="020B0604020202020204" pitchFamily="34" charset="0"/>
            <a:ea typeface="+mn-ea"/>
            <a:cs typeface="Arial" panose="020B0604020202020204" pitchFamily="34" charset="0"/>
          </a:endParaRPr>
        </a:p>
        <a:p>
          <a:pPr>
            <a:spcAft>
              <a:spcPts val="0"/>
            </a:spcAft>
          </a:pPr>
          <a:endParaRPr lang="ru-RU" sz="900" b="1">
            <a:solidFill>
              <a:srgbClr val="FF0000"/>
            </a:solidFill>
            <a:effectLst/>
            <a:latin typeface="Arial" panose="020B0604020202020204" pitchFamily="34" charset="0"/>
            <a:ea typeface="Segoe UI" panose="020B0502040204020203" pitchFamily="34" charset="0"/>
            <a:cs typeface="Arial" panose="020B0604020202020204" pitchFamily="34" charset="0"/>
          </a:endParaRPr>
        </a:p>
        <a:p>
          <a:endParaRPr lang="en-GB" sz="900">
            <a:solidFill>
              <a:srgbClr val="000000"/>
            </a:solidFill>
            <a:effectLst/>
            <a:latin typeface="Arial" panose="020B0604020202020204" pitchFamily="34" charset="0"/>
            <a:ea typeface="Segoe UI" panose="020B0502040204020203" pitchFamily="34" charset="0"/>
            <a:cs typeface="Arial" panose="020B0604020202020204" pitchFamily="34" charset="0"/>
          </a:endParaRPr>
        </a:p>
        <a:p>
          <a:endParaRPr lang="en-GB" sz="1100" b="0">
            <a:effectLst/>
            <a:latin typeface="Arial" panose="020B0604020202020204" pitchFamily="34" charset="0"/>
            <a:ea typeface="+mn-ea"/>
            <a:cs typeface="Arial" panose="020B0604020202020204" pitchFamily="34" charset="0"/>
          </a:endParaRPr>
        </a:p>
      </xdr:txBody>
    </xdr:sp>
    <xdr:clientData/>
  </xdr:twoCellAnchor>
  <xdr:twoCellAnchor editAs="oneCell">
    <xdr:from>
      <xdr:col>5</xdr:col>
      <xdr:colOff>83821</xdr:colOff>
      <xdr:row>201</xdr:row>
      <xdr:rowOff>45720</xdr:rowOff>
    </xdr:from>
    <xdr:to>
      <xdr:col>12</xdr:col>
      <xdr:colOff>426721</xdr:colOff>
      <xdr:row>226</xdr:row>
      <xdr:rowOff>20320</xdr:rowOff>
    </xdr:to>
    <xdr:pic>
      <xdr:nvPicPr>
        <xdr:cNvPr id="4" name="Рисунок 3">
          <a:extLst>
            <a:ext uri="{FF2B5EF4-FFF2-40B4-BE49-F238E27FC236}">
              <a16:creationId xmlns:a16="http://schemas.microsoft.com/office/drawing/2014/main" id="{00000000-0008-0000-3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3710941" y="37109400"/>
          <a:ext cx="5623560" cy="41656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0</xdr:colOff>
      <xdr:row>3</xdr:row>
      <xdr:rowOff>15240</xdr:rowOff>
    </xdr:from>
    <xdr:to>
      <xdr:col>14</xdr:col>
      <xdr:colOff>0</xdr:colOff>
      <xdr:row>207</xdr:row>
      <xdr:rowOff>121920</xdr:rowOff>
    </xdr:to>
    <xdr:sp macro="" textlink="">
      <xdr:nvSpPr>
        <xdr:cNvPr id="2" name="TextBox 1">
          <a:extLst>
            <a:ext uri="{FF2B5EF4-FFF2-40B4-BE49-F238E27FC236}">
              <a16:creationId xmlns:a16="http://schemas.microsoft.com/office/drawing/2014/main" id="{00000000-0008-0000-3300-000002000000}"/>
            </a:ext>
          </a:extLst>
        </xdr:cNvPr>
        <xdr:cNvSpPr txBox="1"/>
      </xdr:nvSpPr>
      <xdr:spPr>
        <a:xfrm>
          <a:off x="2621280" y="716280"/>
          <a:ext cx="8031480" cy="37475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Ins="90000" rtlCol="0" anchor="t"/>
        <a:lstStyle/>
        <a:p>
          <a:pPr marL="457200" indent="-6985">
            <a:lnSpc>
              <a:spcPct val="115000"/>
            </a:lnSpc>
            <a:spcAft>
              <a:spcPts val="0"/>
            </a:spcAft>
            <a:tabLst>
              <a:tab pos="1133475" algn="l"/>
            </a:tabLst>
          </a:pPr>
          <a:endParaRPr lang="en-GB" sz="1400" b="1">
            <a:solidFill>
              <a:srgbClr val="1983BF"/>
            </a:solidFill>
            <a:effectLst/>
            <a:latin typeface="Arial" panose="020B0604020202020204" pitchFamily="34" charset="0"/>
            <a:ea typeface="Segoe UI" panose="020B0502040204020203" pitchFamily="34" charset="0"/>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600" b="1">
              <a:solidFill>
                <a:schemeClr val="dk1"/>
              </a:solidFill>
              <a:effectLst/>
              <a:latin typeface="Arial" panose="020B0604020202020204" pitchFamily="34" charset="0"/>
              <a:ea typeface="+mn-ea"/>
              <a:cs typeface="Arial" panose="020B0604020202020204" pitchFamily="34" charset="0"/>
            </a:rPr>
            <a:t>Manual of Petroleum </a:t>
          </a:r>
        </a:p>
        <a:p>
          <a:r>
            <a:rPr lang="en-US" sz="1600" b="1">
              <a:solidFill>
                <a:schemeClr val="dk1"/>
              </a:solidFill>
              <a:effectLst/>
              <a:latin typeface="Arial" panose="020B0604020202020204" pitchFamily="34" charset="0"/>
              <a:ea typeface="+mn-ea"/>
              <a:cs typeface="Arial" panose="020B0604020202020204" pitchFamily="34" charset="0"/>
            </a:rPr>
            <a:t>Measurement Standards </a:t>
          </a:r>
        </a:p>
        <a:p>
          <a:r>
            <a:rPr lang="en-US" sz="1600" b="1">
              <a:solidFill>
                <a:schemeClr val="dk1"/>
              </a:solidFill>
              <a:effectLst/>
              <a:latin typeface="Arial" panose="020B0604020202020204" pitchFamily="34" charset="0"/>
              <a:ea typeface="+mn-ea"/>
              <a:cs typeface="Arial" panose="020B0604020202020204" pitchFamily="34" charset="0"/>
            </a:rPr>
            <a:t>Chapter 17.4 </a:t>
          </a:r>
        </a:p>
        <a:p>
          <a:endParaRPr lang="en-US" sz="1100" b="1">
            <a:solidFill>
              <a:schemeClr val="dk1"/>
            </a:solidFill>
            <a:effectLst/>
            <a:latin typeface="Arial" panose="020B0604020202020204" pitchFamily="34" charset="0"/>
            <a:ea typeface="+mn-ea"/>
            <a:cs typeface="Arial" panose="020B0604020202020204" pitchFamily="34" charset="0"/>
          </a:endParaRPr>
        </a:p>
        <a:p>
          <a:r>
            <a:rPr lang="en-US" sz="1400" b="1">
              <a:solidFill>
                <a:schemeClr val="dk1"/>
              </a:solidFill>
              <a:effectLst/>
              <a:latin typeface="Arial" panose="020B0604020202020204" pitchFamily="34" charset="0"/>
              <a:ea typeface="+mn-ea"/>
              <a:cs typeface="Arial" panose="020B0604020202020204" pitchFamily="34" charset="0"/>
            </a:rPr>
            <a:t>Method for Quantification of Small Volumes on Marine Vessels (OBQ/ROB) </a:t>
          </a:r>
        </a:p>
        <a:p>
          <a:endParaRPr lang="en-US" sz="1100" b="1">
            <a:solidFill>
              <a:schemeClr val="dk1"/>
            </a:solidFill>
            <a:effectLst/>
            <a:latin typeface="Arial" panose="020B0604020202020204" pitchFamily="34" charset="0"/>
            <a:ea typeface="+mn-ea"/>
            <a:cs typeface="Arial" panose="020B0604020202020204" pitchFamily="34" charset="0"/>
          </a:endParaRPr>
        </a:p>
        <a:p>
          <a:pPr lvl="0"/>
          <a:r>
            <a:rPr lang="en-US" sz="1100" b="1">
              <a:solidFill>
                <a:schemeClr val="dk1"/>
              </a:solidFill>
              <a:effectLst/>
              <a:latin typeface="Arial" panose="020B0604020202020204" pitchFamily="34" charset="0"/>
              <a:ea typeface="+mn-ea"/>
              <a:cs typeface="Arial" panose="020B0604020202020204" pitchFamily="34" charset="0"/>
            </a:rPr>
            <a:t>SECOND EDITION, SEPTEMBER 2016 </a:t>
          </a:r>
          <a:br>
            <a:rPr lang="en-US" sz="1100">
              <a:solidFill>
                <a:schemeClr val="dk1"/>
              </a:solidFill>
              <a:effectLst/>
              <a:latin typeface="Arial" panose="020B0604020202020204" pitchFamily="34" charset="0"/>
              <a:ea typeface="+mn-ea"/>
              <a:cs typeface="Arial" panose="020B0604020202020204" pitchFamily="34" charset="0"/>
            </a:rPr>
          </a:br>
          <a:br>
            <a:rPr lang="en-US" sz="1100">
              <a:solidFill>
                <a:schemeClr val="dk1"/>
              </a:solidFill>
              <a:effectLst/>
              <a:latin typeface="Arial" panose="020B0604020202020204" pitchFamily="34" charset="0"/>
              <a:ea typeface="+mn-ea"/>
              <a:cs typeface="Arial" panose="020B0604020202020204" pitchFamily="34" charset="0"/>
            </a:rPr>
          </a:br>
          <a:br>
            <a:rPr lang="en-US" sz="1100">
              <a:solidFill>
                <a:schemeClr val="dk1"/>
              </a:solidFill>
              <a:effectLst/>
              <a:latin typeface="Arial" panose="020B0604020202020204" pitchFamily="34" charset="0"/>
              <a:ea typeface="+mn-ea"/>
              <a:cs typeface="Arial" panose="020B0604020202020204" pitchFamily="34" charset="0"/>
            </a:rPr>
          </a:br>
          <a:r>
            <a:rPr lang="en-US" sz="1200" b="1">
              <a:solidFill>
                <a:schemeClr val="dk1"/>
              </a:solidFill>
              <a:effectLst/>
              <a:latin typeface="Arial" panose="020B0604020202020204" pitchFamily="34" charset="0"/>
              <a:ea typeface="+mn-ea"/>
              <a:cs typeface="Arial" panose="020B0604020202020204" pitchFamily="34" charset="0"/>
            </a:rPr>
            <a:t>6        </a:t>
          </a:r>
          <a:r>
            <a:rPr lang="en-US" sz="1200" b="1" u="none" strike="noStrike">
              <a:solidFill>
                <a:schemeClr val="dk1"/>
              </a:solidFill>
              <a:effectLst/>
              <a:latin typeface="Arial" panose="020B0604020202020204" pitchFamily="34" charset="0"/>
              <a:ea typeface="+mn-ea"/>
              <a:cs typeface="Arial" panose="020B0604020202020204" pitchFamily="34" charset="0"/>
            </a:rPr>
            <a:t>OBQ/ROB Characteristics</a:t>
          </a:r>
          <a:endParaRPr lang="en-GB" sz="1100" b="1" u="none" strike="noStrike">
            <a:solidFill>
              <a:schemeClr val="dk1"/>
            </a:solidFill>
            <a:effectLst/>
            <a:latin typeface="Arial" panose="020B0604020202020204" pitchFamily="34" charset="0"/>
            <a:ea typeface="+mn-ea"/>
            <a:cs typeface="Arial" panose="020B0604020202020204" pitchFamily="34" charset="0"/>
          </a:endParaRPr>
        </a:p>
        <a:p>
          <a:pPr lvl="0"/>
          <a:endParaRPr lang="en-GB" sz="500" b="1" u="none" strike="noStrike">
            <a:solidFill>
              <a:schemeClr val="dk1"/>
            </a:solidFill>
            <a:effectLst/>
            <a:latin typeface="Arial" panose="020B0604020202020204" pitchFamily="34" charset="0"/>
            <a:ea typeface="+mn-ea"/>
            <a:cs typeface="Arial" panose="020B0604020202020204" pitchFamily="34" charset="0"/>
          </a:endParaRPr>
        </a:p>
        <a:p>
          <a:pPr lvl="0"/>
          <a:r>
            <a:rPr lang="en-GB" sz="1100" b="1" u="none" strike="noStrike">
              <a:solidFill>
                <a:schemeClr val="dk1"/>
              </a:solidFill>
              <a:effectLst/>
              <a:latin typeface="Arial" panose="020B0604020202020204" pitchFamily="34" charset="0"/>
              <a:ea typeface="+mn-ea"/>
              <a:cs typeface="Arial" panose="020B0604020202020204" pitchFamily="34" charset="0"/>
            </a:rPr>
            <a:t>6.1</a:t>
          </a:r>
          <a:r>
            <a:rPr lang="en-GB" sz="1100" b="1" u="none" strike="noStrike" baseline="0">
              <a:solidFill>
                <a:schemeClr val="dk1"/>
              </a:solidFill>
              <a:effectLst/>
              <a:latin typeface="Arial" panose="020B0604020202020204" pitchFamily="34" charset="0"/>
              <a:ea typeface="+mn-ea"/>
              <a:cs typeface="Arial" panose="020B0604020202020204" pitchFamily="34" charset="0"/>
            </a:rPr>
            <a:t>     </a:t>
          </a:r>
          <a:r>
            <a:rPr lang="en-US" sz="1100" b="1" u="none" strike="noStrike">
              <a:solidFill>
                <a:schemeClr val="dk1"/>
              </a:solidFill>
              <a:effectLst/>
              <a:latin typeface="Arial" panose="020B0604020202020204" pitchFamily="34" charset="0"/>
              <a:ea typeface="+mn-ea"/>
              <a:cs typeface="Arial" panose="020B0604020202020204" pitchFamily="34" charset="0"/>
            </a:rPr>
            <a:t>General</a:t>
          </a:r>
          <a:endParaRPr lang="ru-RU" sz="1100" b="1" u="none" strike="noStrike">
            <a:solidFill>
              <a:schemeClr val="dk1"/>
            </a:solidFill>
            <a:effectLst/>
            <a:latin typeface="Arial" panose="020B0604020202020204" pitchFamily="34" charset="0"/>
            <a:ea typeface="+mn-ea"/>
            <a:cs typeface="Arial" panose="020B0604020202020204" pitchFamily="34" charset="0"/>
          </a:endParaRPr>
        </a:p>
        <a:p>
          <a:endParaRPr lang="en-US" sz="5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Care should be taken to determine the liquid or nonliquid nature of OBQ/ROB. Both liquid and nonliquid material may coexist in the same vessel compartment.</a:t>
          </a:r>
          <a:endParaRPr lang="ru-RU"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OBQ/ROB quantity includes crude oil, refined products, lube oil, or chemicals in liquid and/or nonliquid stage. In some cargoes, it may also include any combination of slops, oil residue, oil/water emulsions, scale, rust, sludge, and sediment.</a:t>
          </a:r>
          <a:endParaRPr lang="en-GB" sz="1100">
            <a:solidFill>
              <a:schemeClr val="dk1"/>
            </a:solidFill>
            <a:effectLst/>
            <a:latin typeface="Arial" panose="020B0604020202020204" pitchFamily="34" charset="0"/>
            <a:ea typeface="+mn-ea"/>
            <a:cs typeface="Arial" panose="020B0604020202020204" pitchFamily="34" charset="0"/>
          </a:endParaRPr>
        </a:p>
        <a:p>
          <a:endParaRPr lang="en-GB" sz="1000" b="1" u="none" strike="noStrike">
            <a:solidFill>
              <a:schemeClr val="dk1"/>
            </a:solidFill>
            <a:effectLst/>
            <a:latin typeface="Arial" panose="020B0604020202020204" pitchFamily="34" charset="0"/>
            <a:ea typeface="+mn-ea"/>
            <a:cs typeface="Arial" panose="020B0604020202020204" pitchFamily="34" charset="0"/>
          </a:endParaRPr>
        </a:p>
        <a:p>
          <a:r>
            <a:rPr lang="en-GB" sz="1100" b="1" u="none" strike="noStrike">
              <a:solidFill>
                <a:schemeClr val="dk1"/>
              </a:solidFill>
              <a:effectLst/>
              <a:latin typeface="Arial" panose="020B0604020202020204" pitchFamily="34" charset="0"/>
              <a:ea typeface="+mn-ea"/>
              <a:cs typeface="Arial" panose="020B0604020202020204" pitchFamily="34" charset="0"/>
            </a:rPr>
            <a:t>6.2 </a:t>
          </a:r>
          <a:r>
            <a:rPr lang="en-GB" sz="1100" b="1" u="none" strike="noStrike" baseline="0">
              <a:solidFill>
                <a:schemeClr val="dk1"/>
              </a:solidFill>
              <a:effectLst/>
              <a:latin typeface="Arial" panose="020B0604020202020204" pitchFamily="34" charset="0"/>
              <a:ea typeface="+mn-ea"/>
              <a:cs typeface="Arial" panose="020B0604020202020204" pitchFamily="34" charset="0"/>
            </a:rPr>
            <a:t>    </a:t>
          </a:r>
          <a:r>
            <a:rPr lang="en-US" sz="1100" b="1" u="none" strike="noStrike">
              <a:solidFill>
                <a:schemeClr val="dk1"/>
              </a:solidFill>
              <a:effectLst/>
              <a:latin typeface="Arial" panose="020B0604020202020204" pitchFamily="34" charset="0"/>
              <a:ea typeface="+mn-ea"/>
              <a:cs typeface="Arial" panose="020B0604020202020204" pitchFamily="34" charset="0"/>
            </a:rPr>
            <a:t>Liquid Material</a:t>
          </a:r>
          <a:r>
            <a:rPr lang="en-GB" sz="1100" b="1" u="none" strike="noStrike" baseline="0">
              <a:solidFill>
                <a:schemeClr val="dk1"/>
              </a:solidFill>
              <a:effectLst/>
              <a:latin typeface="Arial" panose="020B0604020202020204" pitchFamily="34" charset="0"/>
              <a:ea typeface="+mn-ea"/>
              <a:cs typeface="Arial" panose="020B0604020202020204" pitchFamily="34" charset="0"/>
            </a:rPr>
            <a:t> </a:t>
          </a:r>
        </a:p>
        <a:p>
          <a:endParaRPr lang="en-GB" sz="500" b="1" u="none" strike="noStrike" baseline="0">
            <a:solidFill>
              <a:schemeClr val="dk1"/>
            </a:solidFill>
            <a:effectLst/>
            <a:latin typeface="Arial" panose="020B0604020202020204" pitchFamily="34" charset="0"/>
            <a:ea typeface="+mn-ea"/>
            <a:cs typeface="Arial" panose="020B0604020202020204" pitchFamily="34" charset="0"/>
          </a:endParaRPr>
        </a:p>
        <a:p>
          <a:r>
            <a:rPr lang="en-US" sz="1100" b="1" u="none" strike="noStrike">
              <a:solidFill>
                <a:schemeClr val="dk1"/>
              </a:solidFill>
              <a:effectLst/>
              <a:latin typeface="Arial" panose="020B0604020202020204" pitchFamily="34" charset="0"/>
              <a:ea typeface="+mn-ea"/>
              <a:cs typeface="Arial" panose="020B0604020202020204" pitchFamily="34" charset="0"/>
            </a:rPr>
            <a:t>6.2.1</a:t>
          </a:r>
          <a:r>
            <a:rPr lang="en-US" sz="1100" u="none" strike="noStrike">
              <a:solidFill>
                <a:schemeClr val="dk1"/>
              </a:solidFill>
              <a:effectLst/>
              <a:latin typeface="Arial" panose="020B0604020202020204" pitchFamily="34" charset="0"/>
              <a:ea typeface="+mn-ea"/>
              <a:cs typeface="Arial" panose="020B0604020202020204" pitchFamily="34" charset="0"/>
            </a:rPr>
            <a:t> Liquid material may include any one or a combination of liquid petroleum, suspended sediment and water, or free water. The free water interface can often be measured with water-finding paste or an electronic interface detector. See API </a:t>
          </a:r>
          <a:r>
            <a:rPr lang="en-US" sz="1100" i="1" u="none" strike="noStrike">
              <a:solidFill>
                <a:schemeClr val="dk1"/>
              </a:solidFill>
              <a:effectLst/>
              <a:latin typeface="Arial" panose="020B0604020202020204" pitchFamily="34" charset="0"/>
              <a:ea typeface="+mn-ea"/>
              <a:cs typeface="Arial" panose="020B0604020202020204" pitchFamily="34" charset="0"/>
            </a:rPr>
            <a:t>MPMS</a:t>
          </a:r>
          <a:r>
            <a:rPr lang="en-US" sz="1100" u="none" strike="noStrike">
              <a:solidFill>
                <a:schemeClr val="dk1"/>
              </a:solidFill>
              <a:effectLst/>
              <a:latin typeface="Arial" panose="020B0604020202020204" pitchFamily="34" charset="0"/>
              <a:ea typeface="+mn-ea"/>
              <a:cs typeface="Arial" panose="020B0604020202020204" pitchFamily="34" charset="0"/>
            </a:rPr>
            <a:t> Chapter 3.1A or API </a:t>
          </a:r>
          <a:r>
            <a:rPr lang="en-US" sz="1100" i="1" u="none" strike="noStrike">
              <a:solidFill>
                <a:schemeClr val="dk1"/>
              </a:solidFill>
              <a:effectLst/>
              <a:latin typeface="Arial" panose="020B0604020202020204" pitchFamily="34" charset="0"/>
              <a:ea typeface="+mn-ea"/>
              <a:cs typeface="Arial" panose="020B0604020202020204" pitchFamily="34" charset="0"/>
            </a:rPr>
            <a:t>MPMS</a:t>
          </a:r>
          <a:r>
            <a:rPr lang="en-US" sz="1100" u="none" strike="noStrike">
              <a:solidFill>
                <a:schemeClr val="dk1"/>
              </a:solidFill>
              <a:effectLst/>
              <a:latin typeface="Arial" panose="020B0604020202020204" pitchFamily="34" charset="0"/>
              <a:ea typeface="+mn-ea"/>
              <a:cs typeface="Arial" panose="020B0604020202020204" pitchFamily="34" charset="0"/>
            </a:rPr>
            <a:t> Chapter 17.11.</a:t>
          </a:r>
          <a:endParaRPr lang="en-GB" sz="1100" u="none" strike="noStrike">
            <a:solidFill>
              <a:schemeClr val="dk1"/>
            </a:solidFill>
            <a:effectLst/>
            <a:latin typeface="Arial" panose="020B0604020202020204" pitchFamily="34" charset="0"/>
            <a:ea typeface="+mn-ea"/>
            <a:cs typeface="Arial" panose="020B0604020202020204" pitchFamily="34" charset="0"/>
          </a:endParaRPr>
        </a:p>
        <a:p>
          <a:endParaRPr lang="en-GB" sz="500" u="none" strike="noStrike">
            <a:solidFill>
              <a:schemeClr val="dk1"/>
            </a:solidFill>
            <a:effectLst/>
            <a:latin typeface="Arial" panose="020B0604020202020204" pitchFamily="34" charset="0"/>
            <a:ea typeface="+mn-ea"/>
            <a:cs typeface="Arial" panose="020B0604020202020204" pitchFamily="34" charset="0"/>
          </a:endParaRPr>
        </a:p>
        <a:p>
          <a:r>
            <a:rPr lang="en-GB" sz="1100" b="1" u="none" strike="noStrike">
              <a:solidFill>
                <a:schemeClr val="dk1"/>
              </a:solidFill>
              <a:effectLst/>
              <a:latin typeface="Arial" panose="020B0604020202020204" pitchFamily="34" charset="0"/>
              <a:ea typeface="+mn-ea"/>
              <a:cs typeface="Arial" panose="020B0604020202020204" pitchFamily="34" charset="0"/>
            </a:rPr>
            <a:t>6.2.2</a:t>
          </a:r>
          <a:r>
            <a:rPr lang="en-GB" sz="1100" u="none" strike="noStrike" baseline="0">
              <a:solidFill>
                <a:schemeClr val="dk1"/>
              </a:solidFill>
              <a:effectLst/>
              <a:latin typeface="Arial" panose="020B0604020202020204" pitchFamily="34" charset="0"/>
              <a:ea typeface="+mn-ea"/>
              <a:cs typeface="Arial" panose="020B0604020202020204" pitchFamily="34" charset="0"/>
            </a:rPr>
            <a:t> </a:t>
          </a:r>
          <a:r>
            <a:rPr lang="en-US" sz="1100" u="none" strike="noStrike">
              <a:solidFill>
                <a:schemeClr val="dk1"/>
              </a:solidFill>
              <a:effectLst/>
              <a:latin typeface="Arial" panose="020B0604020202020204" pitchFamily="34" charset="0"/>
              <a:ea typeface="+mn-ea"/>
              <a:cs typeface="Arial" panose="020B0604020202020204" pitchFamily="34" charset="0"/>
            </a:rPr>
            <a:t>When a vessel is not on an even keel, liquid volumes shall be quantified by trim/list correction, wedge table, or wedge formula. When liquid contacts all bulkheads, a trim correction shall be applied to the vessel tank capacity tables, or a trim table shall be used. if liquid does not contact all bulkheads, a wedge table or the wedge formula shall be used. See Annex C.</a:t>
          </a:r>
          <a:endParaRPr lang="ru-RU" sz="1100" u="none" strike="noStrike">
            <a:solidFill>
              <a:schemeClr val="dk1"/>
            </a:solidFill>
            <a:effectLst/>
            <a:latin typeface="Arial" panose="020B0604020202020204" pitchFamily="34" charset="0"/>
            <a:ea typeface="+mn-ea"/>
            <a:cs typeface="Arial" panose="020B0604020202020204" pitchFamily="34" charset="0"/>
          </a:endParaRPr>
        </a:p>
        <a:p>
          <a:endParaRPr lang="en-US" sz="5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NOTE Certified wedge table is preferable over wedge calculation.</a:t>
          </a:r>
          <a:endParaRPr lang="ru-RU" sz="1100">
            <a:solidFill>
              <a:schemeClr val="dk1"/>
            </a:solidFill>
            <a:effectLst/>
            <a:latin typeface="Arial" panose="020B0604020202020204" pitchFamily="34" charset="0"/>
            <a:ea typeface="+mn-ea"/>
            <a:cs typeface="Arial" panose="020B0604020202020204" pitchFamily="34" charset="0"/>
          </a:endParaRPr>
        </a:p>
        <a:p>
          <a:endParaRPr lang="en-US" sz="5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Capacity and wedge tables used to determine cargo volumes should be certified by the shipbuilder, classification society, or an independent inspection company for accuracy of use on board the particular vessel for which they are issued.</a:t>
          </a:r>
          <a:r>
            <a:rPr lang="en-GB" sz="1100" baseline="0">
              <a:solidFill>
                <a:schemeClr val="dk1"/>
              </a:solidFill>
              <a:effectLst/>
              <a:latin typeface="Arial" panose="020B0604020202020204" pitchFamily="34" charset="0"/>
              <a:ea typeface="+mn-ea"/>
              <a:cs typeface="Arial" panose="020B0604020202020204" pitchFamily="34" charset="0"/>
            </a:rPr>
            <a:t> </a:t>
          </a:r>
        </a:p>
        <a:p>
          <a:endParaRPr lang="en-GB" sz="1100" u="none" strike="noStrike" baseline="0">
            <a:solidFill>
              <a:schemeClr val="dk1"/>
            </a:solidFill>
            <a:effectLst/>
            <a:latin typeface="Arial" panose="020B0604020202020204" pitchFamily="34" charset="0"/>
            <a:ea typeface="+mn-ea"/>
            <a:cs typeface="Arial" panose="020B0604020202020204" pitchFamily="34" charset="0"/>
          </a:endParaRPr>
        </a:p>
        <a:p>
          <a:r>
            <a:rPr lang="en-GB" sz="1100" b="1" u="none" strike="noStrike" baseline="0">
              <a:solidFill>
                <a:schemeClr val="dk1"/>
              </a:solidFill>
              <a:effectLst/>
              <a:latin typeface="Arial" panose="020B0604020202020204" pitchFamily="34" charset="0"/>
              <a:ea typeface="+mn-ea"/>
              <a:cs typeface="Arial" panose="020B0604020202020204" pitchFamily="34" charset="0"/>
            </a:rPr>
            <a:t>6.2.3</a:t>
          </a:r>
          <a:r>
            <a:rPr lang="en-GB" sz="1100" u="none" strike="noStrike" baseline="0">
              <a:solidFill>
                <a:schemeClr val="dk1"/>
              </a:solidFill>
              <a:effectLst/>
              <a:latin typeface="Arial" panose="020B0604020202020204" pitchFamily="34" charset="0"/>
              <a:ea typeface="+mn-ea"/>
              <a:cs typeface="Arial" panose="020B0604020202020204" pitchFamily="34" charset="0"/>
            </a:rPr>
            <a:t> </a:t>
          </a:r>
          <a:r>
            <a:rPr lang="en-US" sz="1100" u="none" strike="noStrike">
              <a:solidFill>
                <a:schemeClr val="dk1"/>
              </a:solidFill>
              <a:effectLst/>
              <a:latin typeface="Arial" panose="020B0604020202020204" pitchFamily="34" charset="0"/>
              <a:ea typeface="+mn-ea"/>
              <a:cs typeface="Arial" panose="020B0604020202020204" pitchFamily="34" charset="0"/>
            </a:rPr>
            <a:t>Liquid may lie on top of nonliquid in the same compartment. When gauging indicates the presence of both liquid and nonliquid material, refer to A.4 and A.5 to obtain the total volume of OBQ/ROB in the compartment.</a:t>
          </a:r>
          <a:r>
            <a:rPr lang="en-GB" sz="1100" u="none" strike="noStrike" baseline="0">
              <a:solidFill>
                <a:schemeClr val="dk1"/>
              </a:solidFill>
              <a:effectLst/>
              <a:latin typeface="Arial" panose="020B0604020202020204" pitchFamily="34" charset="0"/>
              <a:ea typeface="+mn-ea"/>
              <a:cs typeface="Arial" panose="020B0604020202020204" pitchFamily="34" charset="0"/>
            </a:rPr>
            <a:t> </a:t>
          </a:r>
        </a:p>
        <a:p>
          <a:endParaRPr lang="en-GB" sz="1000" b="1" u="none" strike="noStrike" baseline="0">
            <a:solidFill>
              <a:schemeClr val="dk1"/>
            </a:solidFill>
            <a:effectLst/>
            <a:latin typeface="Arial" panose="020B0604020202020204" pitchFamily="34" charset="0"/>
            <a:ea typeface="+mn-ea"/>
            <a:cs typeface="Arial" panose="020B0604020202020204" pitchFamily="34" charset="0"/>
          </a:endParaRPr>
        </a:p>
        <a:p>
          <a:r>
            <a:rPr lang="en-US" sz="1100" b="1" u="none" strike="noStrike">
              <a:solidFill>
                <a:schemeClr val="dk1"/>
              </a:solidFill>
              <a:effectLst/>
              <a:latin typeface="Arial" panose="020B0604020202020204" pitchFamily="34" charset="0"/>
              <a:ea typeface="+mn-ea"/>
              <a:cs typeface="Arial" panose="020B0604020202020204" pitchFamily="34" charset="0"/>
            </a:rPr>
            <a:t>6.3     Nonliquid Material</a:t>
          </a:r>
          <a:r>
            <a:rPr lang="en-GB" sz="1100" b="1" u="none" strike="noStrike" baseline="0">
              <a:solidFill>
                <a:schemeClr val="dk1"/>
              </a:solidFill>
              <a:effectLst/>
              <a:latin typeface="Arial" panose="020B0604020202020204" pitchFamily="34" charset="0"/>
              <a:ea typeface="+mn-ea"/>
              <a:cs typeface="Arial" panose="020B0604020202020204" pitchFamily="34" charset="0"/>
            </a:rPr>
            <a:t> </a:t>
          </a:r>
        </a:p>
        <a:p>
          <a:endParaRPr lang="en-GB" sz="1100" b="1" u="none" strike="noStrike" baseline="0">
            <a:solidFill>
              <a:schemeClr val="dk1"/>
            </a:solidFill>
            <a:effectLst/>
            <a:latin typeface="Arial" panose="020B0604020202020204" pitchFamily="34" charset="0"/>
            <a:ea typeface="+mn-ea"/>
            <a:cs typeface="Arial" panose="020B0604020202020204" pitchFamily="34" charset="0"/>
          </a:endParaRPr>
        </a:p>
        <a:p>
          <a:r>
            <a:rPr lang="en-GB" sz="1100" b="1" u="none" strike="noStrike" baseline="0">
              <a:solidFill>
                <a:schemeClr val="dk1"/>
              </a:solidFill>
              <a:effectLst/>
              <a:latin typeface="Arial" panose="020B0604020202020204" pitchFamily="34" charset="0"/>
              <a:ea typeface="+mn-ea"/>
              <a:cs typeface="Arial" panose="020B0604020202020204" pitchFamily="34" charset="0"/>
            </a:rPr>
            <a:t>6.3.1 </a:t>
          </a:r>
          <a:r>
            <a:rPr lang="en-US" sz="1100" u="none" strike="noStrike">
              <a:solidFill>
                <a:schemeClr val="dk1"/>
              </a:solidFill>
              <a:effectLst/>
              <a:latin typeface="Arial" panose="020B0604020202020204" pitchFamily="34" charset="0"/>
              <a:ea typeface="+mn-ea"/>
              <a:cs typeface="Arial" panose="020B0604020202020204" pitchFamily="34" charset="0"/>
            </a:rPr>
            <a:t>To assist in determining the composition of nonliquid material, samples should be taken and examined or tested.</a:t>
          </a:r>
          <a:r>
            <a:rPr lang="en-GB" sz="1100" u="none" strike="noStrike" baseline="0">
              <a:solidFill>
                <a:schemeClr val="dk1"/>
              </a:solidFill>
              <a:effectLst/>
              <a:latin typeface="Arial" panose="020B0604020202020204" pitchFamily="34" charset="0"/>
              <a:ea typeface="+mn-ea"/>
              <a:cs typeface="Arial" panose="020B0604020202020204" pitchFamily="34" charset="0"/>
            </a:rPr>
            <a:t> </a:t>
          </a:r>
        </a:p>
        <a:p>
          <a:endParaRPr lang="en-GB" sz="1100" b="1" u="none" strike="noStrike" baseline="0">
            <a:solidFill>
              <a:schemeClr val="dk1"/>
            </a:solidFill>
            <a:effectLst/>
            <a:latin typeface="Arial" panose="020B0604020202020204" pitchFamily="34" charset="0"/>
            <a:ea typeface="+mn-ea"/>
            <a:cs typeface="Arial" panose="020B0604020202020204" pitchFamily="34" charset="0"/>
          </a:endParaRPr>
        </a:p>
        <a:p>
          <a:r>
            <a:rPr lang="en-US" sz="1100" b="1" u="none" strike="noStrike">
              <a:solidFill>
                <a:schemeClr val="dk1"/>
              </a:solidFill>
              <a:effectLst/>
              <a:latin typeface="Arial" panose="020B0604020202020204" pitchFamily="34" charset="0"/>
              <a:ea typeface="+mn-ea"/>
              <a:cs typeface="Arial" panose="020B0604020202020204" pitchFamily="34" charset="0"/>
            </a:rPr>
            <a:t>6.3.2 </a:t>
          </a:r>
          <a:r>
            <a:rPr lang="en-US" sz="1100" u="none" strike="noStrike">
              <a:solidFill>
                <a:schemeClr val="dk1"/>
              </a:solidFill>
              <a:effectLst/>
              <a:latin typeface="Arial" panose="020B0604020202020204" pitchFamily="34" charset="0"/>
              <a:ea typeface="+mn-ea"/>
              <a:cs typeface="Arial" panose="020B0604020202020204" pitchFamily="34" charset="0"/>
            </a:rPr>
            <a:t>If it has been determined that nonliquid material exists, multipoint gauging shall be performed if multiple gauge points are available. The average of the multiple readings shall be used for volume determination. However, if only one gauge point is available, the material shall be assumed to be evenly distributed over the tank bottom.</a:t>
          </a:r>
          <a:r>
            <a:rPr lang="en-GB" sz="1100" u="none" strike="noStrike" baseline="0">
              <a:solidFill>
                <a:schemeClr val="dk1"/>
              </a:solidFill>
              <a:effectLst/>
              <a:latin typeface="Arial" panose="020B0604020202020204" pitchFamily="34" charset="0"/>
              <a:ea typeface="+mn-ea"/>
              <a:cs typeface="Arial" panose="020B0604020202020204" pitchFamily="34" charset="0"/>
            </a:rPr>
            <a:t> </a:t>
          </a:r>
        </a:p>
        <a:p>
          <a:r>
            <a:rPr lang="en-GB" sz="1100" b="1" u="none" strike="noStrike" baseline="0">
              <a:solidFill>
                <a:schemeClr val="dk1"/>
              </a:solidFill>
              <a:effectLst/>
              <a:latin typeface="Arial" panose="020B0604020202020204" pitchFamily="34" charset="0"/>
              <a:ea typeface="+mn-ea"/>
              <a:cs typeface="Arial" panose="020B0604020202020204" pitchFamily="34" charset="0"/>
            </a:rPr>
            <a:t>6.3.3 </a:t>
          </a:r>
          <a:r>
            <a:rPr lang="en-US" sz="1100" u="none" strike="noStrike">
              <a:solidFill>
                <a:schemeClr val="dk1"/>
              </a:solidFill>
              <a:effectLst/>
              <a:latin typeface="Arial" panose="020B0604020202020204" pitchFamily="34" charset="0"/>
              <a:ea typeface="+mn-ea"/>
              <a:cs typeface="Arial" panose="020B0604020202020204" pitchFamily="34" charset="0"/>
            </a:rPr>
            <a:t>If multipoint gauging indicates the material is in a wedge condition, see Annex A for wedge calculations.</a:t>
          </a:r>
          <a:endParaRPr lang="ru-RU" sz="1100" u="none" strike="noStrike">
            <a:solidFill>
              <a:schemeClr val="dk1"/>
            </a:solidFill>
            <a:effectLst/>
            <a:latin typeface="Arial" panose="020B0604020202020204" pitchFamily="34" charset="0"/>
            <a:ea typeface="+mn-ea"/>
            <a:cs typeface="Arial" panose="020B0604020202020204" pitchFamily="34" charset="0"/>
          </a:endParaRPr>
        </a:p>
        <a:p>
          <a:pPr lvl="0"/>
          <a:endParaRPr lang="en-US" sz="1200" b="1" u="none" strike="noStrike">
            <a:solidFill>
              <a:schemeClr val="dk1"/>
            </a:solidFill>
            <a:effectLst/>
            <a:latin typeface="Arial" panose="020B0604020202020204" pitchFamily="34" charset="0"/>
            <a:ea typeface="+mn-ea"/>
            <a:cs typeface="Arial" panose="020B0604020202020204" pitchFamily="34" charset="0"/>
          </a:endParaRPr>
        </a:p>
        <a:p>
          <a:pPr lvl="0"/>
          <a:r>
            <a:rPr lang="en-US" sz="1200" b="1" u="none" strike="noStrike">
              <a:solidFill>
                <a:schemeClr val="dk1"/>
              </a:solidFill>
              <a:effectLst/>
              <a:latin typeface="Arial" panose="020B0604020202020204" pitchFamily="34" charset="0"/>
              <a:ea typeface="+mn-ea"/>
              <a:cs typeface="Arial" panose="020B0604020202020204" pitchFamily="34" charset="0"/>
            </a:rPr>
            <a:t>7        Calculating Quantities</a:t>
          </a:r>
          <a:endParaRPr lang="ru-RU" sz="1200" b="1" u="none" strike="noStrike">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After carefully assessing the configuration of the material in the tank, calculate the material’s volume according to the illustrative examples, formulas, and forms given in Annexes A through C.</a:t>
          </a:r>
          <a:endParaRPr lang="ru-RU"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Chain calculations shall be performed. Only the final result in the calculation is to be rounded. If it is necessary to report any intermediate values, the figure should be rounded as required in API </a:t>
          </a:r>
          <a:r>
            <a:rPr lang="en-US" sz="1100" i="1">
              <a:solidFill>
                <a:schemeClr val="dk1"/>
              </a:solidFill>
              <a:effectLst/>
              <a:latin typeface="Arial" panose="020B0604020202020204" pitchFamily="34" charset="0"/>
              <a:ea typeface="+mn-ea"/>
              <a:cs typeface="Arial" panose="020B0604020202020204" pitchFamily="34" charset="0"/>
            </a:rPr>
            <a:t>MPMS </a:t>
          </a:r>
          <a:r>
            <a:rPr lang="en-US" sz="1100">
              <a:solidFill>
                <a:schemeClr val="dk1"/>
              </a:solidFill>
              <a:effectLst/>
              <a:latin typeface="Arial" panose="020B0604020202020204" pitchFamily="34" charset="0"/>
              <a:ea typeface="+mn-ea"/>
              <a:cs typeface="Arial" panose="020B0604020202020204" pitchFamily="34" charset="0"/>
            </a:rPr>
            <a:t>Chapter 12.1.1 Section 6; however, the rounded figure is not to be inserted into the calculation sequence.</a:t>
          </a:r>
          <a:br>
            <a:rPr lang="en-US" sz="1050">
              <a:solidFill>
                <a:schemeClr val="dk1"/>
              </a:solidFill>
              <a:effectLst/>
              <a:latin typeface="Arial" panose="020B0604020202020204" pitchFamily="34" charset="0"/>
              <a:ea typeface="+mn-ea"/>
              <a:cs typeface="Arial" panose="020B0604020202020204" pitchFamily="34" charset="0"/>
            </a:rPr>
          </a:br>
          <a:endParaRPr lang="en-US" sz="105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pPr algn="ctr"/>
          <a:r>
            <a:rPr lang="en-GB" sz="1800" b="1">
              <a:solidFill>
                <a:srgbClr val="000000"/>
              </a:solidFill>
              <a:latin typeface="Arial" panose="020B0604020202020204" pitchFamily="34" charset="0"/>
              <a:cs typeface="Arial" panose="020B0604020202020204" pitchFamily="34" charset="0"/>
            </a:rPr>
            <a:t>Annex C </a:t>
          </a:r>
        </a:p>
        <a:p>
          <a:pPr algn="ctr"/>
          <a:r>
            <a:rPr lang="en-GB" sz="1800" b="0">
              <a:solidFill>
                <a:srgbClr val="000000"/>
              </a:solidFill>
              <a:latin typeface="Arial" panose="020B0604020202020204" pitchFamily="34" charset="0"/>
              <a:cs typeface="Arial" panose="020B0604020202020204" pitchFamily="34" charset="0"/>
            </a:rPr>
            <a:t>(normative) </a:t>
          </a:r>
        </a:p>
        <a:p>
          <a:pPr algn="ctr"/>
          <a:r>
            <a:rPr lang="en-GB" sz="1600" b="1">
              <a:solidFill>
                <a:srgbClr val="000000"/>
              </a:solidFill>
              <a:latin typeface="Arial" panose="020B0604020202020204" pitchFamily="34" charset="0"/>
              <a:cs typeface="Arial" panose="020B0604020202020204" pitchFamily="34" charset="0"/>
            </a:rPr>
            <a:t>Wedge Calculation</a:t>
          </a:r>
        </a:p>
        <a:p>
          <a:r>
            <a:rPr lang="en-GB" sz="1400" b="1">
              <a:solidFill>
                <a:srgbClr val="000000"/>
              </a:solidFill>
              <a:latin typeface="Arial" panose="020B0604020202020204" pitchFamily="34" charset="0"/>
              <a:cs typeface="Arial" panose="020B0604020202020204" pitchFamily="34" charset="0"/>
            </a:rPr>
            <a:t>C.1 The Method of Calculating Wedge Volumes on Marine Vessels</a:t>
          </a:r>
        </a:p>
        <a:p>
          <a:endParaRPr lang="en-GB" sz="1100" b="0">
            <a:solidFill>
              <a:srgbClr val="231F20"/>
            </a:solidFill>
            <a:latin typeface="Arial" panose="020B0604020202020204" pitchFamily="34" charset="0"/>
            <a:cs typeface="Arial" panose="020B0604020202020204" pitchFamily="34" charset="0"/>
          </a:endParaRPr>
        </a:p>
        <a:p>
          <a:r>
            <a:rPr lang="en-GB" sz="1100" b="0">
              <a:solidFill>
                <a:srgbClr val="231F20"/>
              </a:solidFill>
              <a:latin typeface="Arial" panose="020B0604020202020204" pitchFamily="34" charset="0"/>
              <a:cs typeface="Arial" panose="020B0604020202020204" pitchFamily="34" charset="0"/>
            </a:rPr>
            <a:t>The method described below details the formula and calculations necessary to determine the volume remaining in a marine vessel’s cargo compartment when the marine vessel is trimmed by the stern and the vessel’s trim correction is not applicable—that is, the material in the compartment does not extend the full length of the tank/compartment (i.e. not touching the forward bulkhead).</a:t>
          </a:r>
        </a:p>
        <a:p>
          <a:endParaRPr lang="en-GB" sz="1100" b="0">
            <a:solidFill>
              <a:srgbClr val="231F20"/>
            </a:solidFill>
            <a:latin typeface="Arial" panose="020B0604020202020204" pitchFamily="34" charset="0"/>
            <a:cs typeface="Arial" panose="020B0604020202020204" pitchFamily="34" charset="0"/>
          </a:endParaRPr>
        </a:p>
        <a:p>
          <a:r>
            <a:rPr lang="en-GB" sz="1100" b="0">
              <a:solidFill>
                <a:srgbClr val="231F20"/>
              </a:solidFill>
              <a:latin typeface="Arial" panose="020B0604020202020204" pitchFamily="34" charset="0"/>
              <a:cs typeface="Arial" panose="020B0604020202020204" pitchFamily="34" charset="0"/>
            </a:rPr>
            <a:t>The method should only be applied after certain factors have been established: </a:t>
          </a:r>
        </a:p>
        <a:p>
          <a:endParaRPr lang="en-GB" sz="1100" b="0">
            <a:solidFill>
              <a:srgbClr val="231F20"/>
            </a:solidFill>
            <a:latin typeface="Arial" panose="020B0604020202020204" pitchFamily="34" charset="0"/>
            <a:cs typeface="Arial" panose="020B0604020202020204" pitchFamily="34" charset="0"/>
          </a:endParaRPr>
        </a:p>
        <a:p>
          <a:r>
            <a:rPr lang="en-GB" sz="1100" b="0">
              <a:solidFill>
                <a:srgbClr val="231F20"/>
              </a:solidFill>
              <a:latin typeface="Arial" panose="020B0604020202020204" pitchFamily="34" charset="0"/>
              <a:cs typeface="Arial" panose="020B0604020202020204" pitchFamily="34" charset="0"/>
            </a:rPr>
            <a:t>a) The material is lying in a wedge configuration on the compartment bottom (see C.2.2). </a:t>
          </a:r>
        </a:p>
        <a:p>
          <a:endParaRPr lang="en-GB" sz="1100" b="0">
            <a:solidFill>
              <a:srgbClr val="231F20"/>
            </a:solidFill>
            <a:latin typeface="Arial" panose="020B0604020202020204" pitchFamily="34" charset="0"/>
            <a:cs typeface="Arial" panose="020B0604020202020204" pitchFamily="34" charset="0"/>
          </a:endParaRPr>
        </a:p>
        <a:p>
          <a:r>
            <a:rPr lang="en-GB" sz="1100" b="0">
              <a:solidFill>
                <a:srgbClr val="231F20"/>
              </a:solidFill>
              <a:latin typeface="Arial" panose="020B0604020202020204" pitchFamily="34" charset="0"/>
              <a:cs typeface="Arial" panose="020B0604020202020204" pitchFamily="34" charset="0"/>
            </a:rPr>
            <a:t>b) The material is not touching the forward bulkhead of the compartment. </a:t>
          </a:r>
        </a:p>
        <a:p>
          <a:endParaRPr lang="en-GB" sz="1100" b="0">
            <a:solidFill>
              <a:srgbClr val="231F20"/>
            </a:solidFill>
            <a:latin typeface="Arial" panose="020B0604020202020204" pitchFamily="34" charset="0"/>
            <a:cs typeface="Arial" panose="020B0604020202020204" pitchFamily="34" charset="0"/>
          </a:endParaRPr>
        </a:p>
        <a:p>
          <a:r>
            <a:rPr lang="en-GB" sz="1100" b="0">
              <a:solidFill>
                <a:srgbClr val="231F20"/>
              </a:solidFill>
              <a:latin typeface="Arial" panose="020B0604020202020204" pitchFamily="34" charset="0"/>
              <a:cs typeface="Arial" panose="020B0604020202020204" pitchFamily="34" charset="0"/>
            </a:rPr>
            <a:t>c) The observed innage (gauge) represents part of the wedge surface area that extends from the aftermost compartment bulkhead to the foremost leading edge of the material surface—that is, the gauge is not a puddle of liquid or part of a small wedge lying directly forward of a transverse frame. It is recommended that additional innages be obtained forward and/or aft of the primary innage to verify the validity and use of the wedge calculation.</a:t>
          </a:r>
        </a:p>
        <a:p>
          <a:endParaRPr lang="en-GB" sz="1600" b="1">
            <a:solidFill>
              <a:srgbClr val="000000"/>
            </a:solidFill>
            <a:latin typeface="Arial" panose="020B0604020202020204" pitchFamily="34" charset="0"/>
            <a:cs typeface="Arial" panose="020B0604020202020204" pitchFamily="34" charset="0"/>
          </a:endParaRPr>
        </a:p>
        <a:p>
          <a:r>
            <a:rPr lang="en-GB" sz="1400" b="1">
              <a:solidFill>
                <a:srgbClr val="000000"/>
              </a:solidFill>
              <a:latin typeface="Arial" panose="020B0604020202020204" pitchFamily="34" charset="0"/>
              <a:cs typeface="Arial" panose="020B0604020202020204" pitchFamily="34" charset="0"/>
            </a:rPr>
            <a:t>C.2 </a:t>
          </a:r>
          <a:r>
            <a:rPr lang="en-GB" sz="1400" b="1">
              <a:solidFill>
                <a:srgbClr val="231F20"/>
              </a:solidFill>
              <a:latin typeface="Arial" panose="020B0604020202020204" pitchFamily="34" charset="0"/>
              <a:cs typeface="Arial" panose="020B0604020202020204" pitchFamily="34" charset="0"/>
            </a:rPr>
            <a:t>Formula/Method of Application </a:t>
          </a:r>
        </a:p>
        <a:p>
          <a:endParaRPr lang="en-GB" sz="1400" b="1">
            <a:solidFill>
              <a:srgbClr val="231F20"/>
            </a:solidFill>
            <a:latin typeface="Arial" panose="020B0604020202020204" pitchFamily="34" charset="0"/>
            <a:cs typeface="Arial" panose="020B0604020202020204" pitchFamily="34" charset="0"/>
          </a:endParaRPr>
        </a:p>
        <a:p>
          <a:r>
            <a:rPr lang="en-GB" sz="1200" b="1">
              <a:solidFill>
                <a:srgbClr val="231F20"/>
              </a:solidFill>
              <a:latin typeface="Arial" panose="020B0604020202020204" pitchFamily="34" charset="0"/>
              <a:cs typeface="Arial" panose="020B0604020202020204" pitchFamily="34" charset="0"/>
            </a:rPr>
            <a:t>C.2.1 Calculation of Adjusted Innage/Gauge (</a:t>
          </a:r>
          <a:r>
            <a:rPr lang="en-GB" sz="1200" b="1" i="1">
              <a:solidFill>
                <a:srgbClr val="231F20"/>
              </a:solidFill>
              <a:latin typeface="Arial" panose="020B0604020202020204" pitchFamily="34" charset="0"/>
              <a:cs typeface="Arial" panose="020B0604020202020204" pitchFamily="34" charset="0"/>
            </a:rPr>
            <a:t>A</a:t>
          </a:r>
          <a:r>
            <a:rPr lang="en-GB" sz="1200" b="1" i="0">
              <a:solidFill>
                <a:srgbClr val="231F20"/>
              </a:solidFill>
              <a:latin typeface="Arial" panose="020B0604020202020204" pitchFamily="34" charset="0"/>
              <a:cs typeface="Arial" panose="020B0604020202020204" pitchFamily="34" charset="0"/>
            </a:rPr>
            <a:t>) </a:t>
          </a:r>
        </a:p>
        <a:p>
          <a:endParaRPr lang="en-GB" sz="1400" b="1" i="0">
            <a:solidFill>
              <a:srgbClr val="231F20"/>
            </a:solidFill>
            <a:latin typeface="Arial" panose="020B0604020202020204" pitchFamily="34" charset="0"/>
            <a:cs typeface="Arial" panose="020B0604020202020204" pitchFamily="34" charset="0"/>
          </a:endParaRPr>
        </a:p>
        <a:p>
          <a:r>
            <a:rPr lang="en-GB" sz="1100" b="0" i="0">
              <a:solidFill>
                <a:srgbClr val="231F20"/>
              </a:solidFill>
              <a:latin typeface="Arial" panose="020B0604020202020204" pitchFamily="34" charset="0"/>
              <a:cs typeface="Arial" panose="020B0604020202020204" pitchFamily="34" charset="0"/>
            </a:rPr>
            <a:t>Step 1: Calculate the adjusted innage/gauge (</a:t>
          </a:r>
          <a:r>
            <a:rPr lang="en-GB" sz="1100" b="0" i="1">
              <a:solidFill>
                <a:srgbClr val="231F20"/>
              </a:solidFill>
              <a:latin typeface="Arial" panose="020B0604020202020204" pitchFamily="34" charset="0"/>
              <a:cs typeface="Arial" panose="020B0604020202020204" pitchFamily="34" charset="0"/>
            </a:rPr>
            <a:t>A</a:t>
          </a:r>
          <a:r>
            <a:rPr lang="en-GB" sz="1100" b="0" i="0">
              <a:solidFill>
                <a:srgbClr val="231F20"/>
              </a:solidFill>
              <a:latin typeface="Arial" panose="020B0604020202020204" pitchFamily="34" charset="0"/>
              <a:cs typeface="Arial" panose="020B0604020202020204" pitchFamily="34" charset="0"/>
            </a:rPr>
            <a:t>) at the aftmost compartment bulkhead, using the observed innage as follows:</a:t>
          </a:r>
        </a:p>
        <a:p>
          <a:endParaRPr lang="en-GB" sz="1100" b="0" i="0">
            <a:solidFill>
              <a:srgbClr val="000000"/>
            </a:solidFill>
            <a:latin typeface="Arial" panose="020B0604020202020204" pitchFamily="34" charset="0"/>
            <a:cs typeface="Arial" panose="020B0604020202020204" pitchFamily="34" charset="0"/>
          </a:endParaRPr>
        </a:p>
        <a:p>
          <a:r>
            <a:rPr lang="en-GB" sz="1100" b="0" i="0">
              <a:solidFill>
                <a:srgbClr val="000000"/>
              </a:solidFill>
              <a:latin typeface="Arial" panose="020B0604020202020204" pitchFamily="34" charset="0"/>
              <a:cs typeface="Arial" panose="020B0604020202020204" pitchFamily="34" charset="0"/>
            </a:rPr>
            <a:t>	[ </a:t>
          </a:r>
          <a:r>
            <a:rPr lang="ru-RU" sz="1100" b="0" i="0">
              <a:solidFill>
                <a:srgbClr val="000000"/>
              </a:solidFill>
              <a:latin typeface="Arial" panose="020B0604020202020204" pitchFamily="34" charset="0"/>
              <a:cs typeface="Arial" panose="020B0604020202020204" pitchFamily="34" charset="0"/>
            </a:rPr>
            <a:t>(</a:t>
          </a:r>
          <a:r>
            <a:rPr lang="en-GB" sz="1100" b="0" i="0">
              <a:solidFill>
                <a:srgbClr val="000000"/>
              </a:solidFill>
              <a:latin typeface="Arial" panose="020B0604020202020204" pitchFamily="34" charset="0"/>
              <a:cs typeface="Arial" panose="020B0604020202020204" pitchFamily="34" charset="0"/>
            </a:rPr>
            <a:t> </a:t>
          </a:r>
          <a:r>
            <a:rPr lang="en-GB" sz="1100" b="0" i="1">
              <a:solidFill>
                <a:srgbClr val="000000"/>
              </a:solidFill>
              <a:latin typeface="Arial" panose="020B0604020202020204" pitchFamily="34" charset="0"/>
              <a:cs typeface="Arial" panose="020B0604020202020204" pitchFamily="34" charset="0"/>
            </a:rPr>
            <a:t>U </a:t>
          </a:r>
          <a:r>
            <a:rPr lang="en-GB" sz="1100" b="0" i="0">
              <a:solidFill>
                <a:srgbClr val="000000"/>
              </a:solidFill>
              <a:latin typeface="Arial" panose="020B0604020202020204" pitchFamily="34" charset="0"/>
              <a:cs typeface="Arial" panose="020B0604020202020204" pitchFamily="34" charset="0"/>
            </a:rPr>
            <a:t>- </a:t>
          </a:r>
          <a:r>
            <a:rPr lang="en-GB" sz="1100" b="0" i="1">
              <a:solidFill>
                <a:srgbClr val="000000"/>
              </a:solidFill>
              <a:latin typeface="Arial" panose="020B0604020202020204" pitchFamily="34" charset="0"/>
              <a:cs typeface="Arial" panose="020B0604020202020204" pitchFamily="34" charset="0"/>
            </a:rPr>
            <a:t>DF</a:t>
          </a:r>
          <a:r>
            <a:rPr lang="en-GB" sz="1100" b="0" i="0">
              <a:solidFill>
                <a:srgbClr val="000000"/>
              </a:solidFill>
              <a:latin typeface="Arial" panose="020B0604020202020204" pitchFamily="34" charset="0"/>
              <a:cs typeface="Arial" panose="020B0604020202020204" pitchFamily="34" charset="0"/>
            </a:rPr>
            <a:t>) x </a:t>
          </a:r>
          <a:r>
            <a:rPr lang="en-GB" sz="1100" b="0" i="1">
              <a:solidFill>
                <a:srgbClr val="000000"/>
              </a:solidFill>
              <a:latin typeface="Arial" panose="020B0604020202020204" pitchFamily="34" charset="0"/>
              <a:cs typeface="Arial" panose="020B0604020202020204" pitchFamily="34" charset="0"/>
            </a:rPr>
            <a:t>F ]</a:t>
          </a:r>
          <a:r>
            <a:rPr lang="en-GB" sz="1100" b="0" i="0">
              <a:solidFill>
                <a:srgbClr val="000000"/>
              </a:solidFill>
              <a:latin typeface="Arial" panose="020B0604020202020204" pitchFamily="34" charset="0"/>
              <a:cs typeface="Arial" panose="020B0604020202020204" pitchFamily="34" charset="0"/>
            </a:rPr>
            <a:t> + </a:t>
          </a:r>
          <a:r>
            <a:rPr lang="en-GB" sz="1100" b="0" i="1">
              <a:solidFill>
                <a:srgbClr val="000000"/>
              </a:solidFill>
              <a:latin typeface="Arial" panose="020B0604020202020204" pitchFamily="34" charset="0"/>
              <a:cs typeface="Arial" panose="020B0604020202020204" pitchFamily="34" charset="0"/>
            </a:rPr>
            <a:t>S </a:t>
          </a:r>
          <a:r>
            <a:rPr lang="en-GB" sz="1100" b="0" i="0">
              <a:solidFill>
                <a:srgbClr val="000000"/>
              </a:solidFill>
              <a:latin typeface="Arial" panose="020B0604020202020204" pitchFamily="34" charset="0"/>
              <a:cs typeface="Arial" panose="020B0604020202020204" pitchFamily="34" charset="0"/>
            </a:rPr>
            <a:t>= </a:t>
          </a:r>
          <a:r>
            <a:rPr lang="en-GB" sz="1100" b="0" i="1">
              <a:solidFill>
                <a:srgbClr val="000000"/>
              </a:solidFill>
              <a:latin typeface="Arial" panose="020B0604020202020204" pitchFamily="34" charset="0"/>
              <a:cs typeface="Arial" panose="020B0604020202020204" pitchFamily="34" charset="0"/>
            </a:rPr>
            <a:t>A</a:t>
          </a:r>
        </a:p>
        <a:p>
          <a:endParaRPr lang="en-GB" sz="1100" b="0" i="0">
            <a:solidFill>
              <a:srgbClr val="231F20"/>
            </a:solidFill>
            <a:latin typeface="Arial" panose="020B0604020202020204" pitchFamily="34" charset="0"/>
            <a:cs typeface="Arial" panose="020B0604020202020204" pitchFamily="34" charset="0"/>
          </a:endParaRPr>
        </a:p>
        <a:p>
          <a:r>
            <a:rPr lang="en-GB" sz="1100" b="0" i="0">
              <a:solidFill>
                <a:srgbClr val="231F20"/>
              </a:solidFill>
              <a:latin typeface="Arial" panose="020B0604020202020204" pitchFamily="34" charset="0"/>
              <a:cs typeface="Arial" panose="020B0604020202020204" pitchFamily="34" charset="0"/>
            </a:rPr>
            <a:t>where</a:t>
          </a:r>
        </a:p>
        <a:p>
          <a:r>
            <a:rPr lang="en-GB" sz="1100" b="0" i="1">
              <a:solidFill>
                <a:srgbClr val="231F20"/>
              </a:solidFill>
              <a:latin typeface="Arial" panose="020B0604020202020204" pitchFamily="34" charset="0"/>
              <a:cs typeface="Arial" panose="020B0604020202020204" pitchFamily="34" charset="0"/>
            </a:rPr>
            <a:t>	A</a:t>
          </a:r>
          <a:r>
            <a:rPr lang="en-GB" sz="1100" b="0" i="0">
              <a:solidFill>
                <a:srgbClr val="231F20"/>
              </a:solidFill>
              <a:latin typeface="Arial" panose="020B0604020202020204" pitchFamily="34" charset="0"/>
              <a:cs typeface="Arial" panose="020B0604020202020204" pitchFamily="34" charset="0"/>
            </a:rPr>
            <a:t>    is adjusted innage at aft bulkhead; </a:t>
          </a:r>
        </a:p>
        <a:p>
          <a:r>
            <a:rPr lang="en-GB" sz="1100" b="0" i="1">
              <a:solidFill>
                <a:srgbClr val="231F20"/>
              </a:solidFill>
              <a:latin typeface="Arial" panose="020B0604020202020204" pitchFamily="34" charset="0"/>
              <a:cs typeface="Arial" panose="020B0604020202020204" pitchFamily="34" charset="0"/>
            </a:rPr>
            <a:t>	U</a:t>
          </a:r>
          <a:r>
            <a:rPr lang="en-GB" sz="1100" b="0" i="0">
              <a:solidFill>
                <a:srgbClr val="231F20"/>
              </a:solidFill>
              <a:latin typeface="Arial" panose="020B0604020202020204" pitchFamily="34" charset="0"/>
              <a:cs typeface="Arial" panose="020B0604020202020204" pitchFamily="34" charset="0"/>
            </a:rPr>
            <a:t>    is distance from aft bulkhead to ullage position; </a:t>
          </a:r>
        </a:p>
        <a:p>
          <a:r>
            <a:rPr lang="en-GB" sz="1100" b="0" i="1">
              <a:solidFill>
                <a:srgbClr val="231F20"/>
              </a:solidFill>
              <a:latin typeface="Arial" panose="020B0604020202020204" pitchFamily="34" charset="0"/>
              <a:cs typeface="Arial" panose="020B0604020202020204" pitchFamily="34" charset="0"/>
            </a:rPr>
            <a:t>	DF</a:t>
          </a:r>
          <a:r>
            <a:rPr lang="en-GB" sz="1100" b="0" i="0">
              <a:solidFill>
                <a:srgbClr val="231F20"/>
              </a:solidFill>
              <a:latin typeface="Arial" panose="020B0604020202020204" pitchFamily="34" charset="0"/>
              <a:cs typeface="Arial" panose="020B0604020202020204" pitchFamily="34" charset="0"/>
            </a:rPr>
            <a:t>  is reference gauge height (</a:t>
          </a:r>
          <a:r>
            <a:rPr lang="en-GB" sz="1100" b="0" i="1">
              <a:solidFill>
                <a:srgbClr val="231F20"/>
              </a:solidFill>
              <a:latin typeface="Arial" panose="020B0604020202020204" pitchFamily="34" charset="0"/>
              <a:cs typeface="Arial" panose="020B0604020202020204" pitchFamily="34" charset="0"/>
            </a:rPr>
            <a:t>D</a:t>
          </a:r>
          <a:r>
            <a:rPr lang="en-GB" sz="1100" b="0" i="0">
              <a:solidFill>
                <a:srgbClr val="231F20"/>
              </a:solidFill>
              <a:latin typeface="Arial" panose="020B0604020202020204" pitchFamily="34" charset="0"/>
              <a:cs typeface="Arial" panose="020B0604020202020204" pitchFamily="34" charset="0"/>
            </a:rPr>
            <a:t>) </a:t>
          </a:r>
          <a:r>
            <a:rPr lang="en-GB" sz="1100" b="0" i="0">
              <a:solidFill>
                <a:srgbClr val="000000"/>
              </a:solidFill>
              <a:latin typeface="Arial" panose="020B0604020202020204" pitchFamily="34" charset="0"/>
              <a:cs typeface="Arial" panose="020B0604020202020204" pitchFamily="34" charset="0"/>
            </a:rPr>
            <a:t>× </a:t>
          </a:r>
          <a:r>
            <a:rPr lang="en-GB" sz="1100" b="0" i="0">
              <a:solidFill>
                <a:srgbClr val="231F20"/>
              </a:solidFill>
              <a:latin typeface="Arial" panose="020B0604020202020204" pitchFamily="34" charset="0"/>
              <a:cs typeface="Arial" panose="020B0604020202020204" pitchFamily="34" charset="0"/>
            </a:rPr>
            <a:t>trim factor (</a:t>
          </a:r>
          <a:r>
            <a:rPr lang="en-GB" sz="1100" b="0" i="1">
              <a:solidFill>
                <a:srgbClr val="231F20"/>
              </a:solidFill>
              <a:latin typeface="Arial" panose="020B0604020202020204" pitchFamily="34" charset="0"/>
              <a:cs typeface="Arial" panose="020B0604020202020204" pitchFamily="34" charset="0"/>
            </a:rPr>
            <a:t>F</a:t>
          </a:r>
          <a:r>
            <a:rPr lang="en-GB" sz="1100" b="0" i="0">
              <a:solidFill>
                <a:srgbClr val="231F20"/>
              </a:solidFill>
              <a:latin typeface="Arial" panose="020B0604020202020204" pitchFamily="34" charset="0"/>
              <a:cs typeface="Arial" panose="020B0604020202020204" pitchFamily="34" charset="0"/>
            </a:rPr>
            <a:t>); </a:t>
          </a:r>
        </a:p>
        <a:p>
          <a:r>
            <a:rPr lang="en-GB" sz="1100" b="0" i="1">
              <a:solidFill>
                <a:srgbClr val="231F20"/>
              </a:solidFill>
              <a:latin typeface="Arial" panose="020B0604020202020204" pitchFamily="34" charset="0"/>
              <a:cs typeface="Arial" panose="020B0604020202020204" pitchFamily="34" charset="0"/>
            </a:rPr>
            <a:t>	F</a:t>
          </a:r>
          <a:r>
            <a:rPr lang="en-GB" sz="1100" b="0" i="0">
              <a:solidFill>
                <a:srgbClr val="231F20"/>
              </a:solidFill>
              <a:latin typeface="Arial" panose="020B0604020202020204" pitchFamily="34" charset="0"/>
              <a:cs typeface="Arial" panose="020B0604020202020204" pitchFamily="34" charset="0"/>
            </a:rPr>
            <a:t>     is trim factor (trim divided by LBP); </a:t>
          </a:r>
        </a:p>
        <a:p>
          <a:r>
            <a:rPr lang="en-GB" sz="1100" b="0" i="1">
              <a:solidFill>
                <a:srgbClr val="231F20"/>
              </a:solidFill>
              <a:latin typeface="Arial" panose="020B0604020202020204" pitchFamily="34" charset="0"/>
              <a:cs typeface="Arial" panose="020B0604020202020204" pitchFamily="34" charset="0"/>
            </a:rPr>
            <a:t>	S </a:t>
          </a:r>
          <a:r>
            <a:rPr lang="en-GB" sz="1100" b="0" i="0">
              <a:solidFill>
                <a:srgbClr val="231F20"/>
              </a:solidFill>
              <a:latin typeface="Arial" panose="020B0604020202020204" pitchFamily="34" charset="0"/>
              <a:cs typeface="Arial" panose="020B0604020202020204" pitchFamily="34" charset="0"/>
            </a:rPr>
            <a:t>    is observed innage (gauge). </a:t>
          </a:r>
        </a:p>
        <a:p>
          <a:endParaRPr lang="en-GB" sz="1100" b="0" i="0">
            <a:solidFill>
              <a:srgbClr val="231F20"/>
            </a:solidFill>
            <a:latin typeface="Arial" panose="020B0604020202020204" pitchFamily="34" charset="0"/>
            <a:cs typeface="Arial" panose="020B0604020202020204" pitchFamily="34" charset="0"/>
          </a:endParaRPr>
        </a:p>
        <a:p>
          <a:r>
            <a:rPr lang="en-GB" sz="1100">
              <a:solidFill>
                <a:srgbClr val="000000"/>
              </a:solidFill>
              <a:latin typeface="Arial" panose="020B0604020202020204" pitchFamily="34" charset="0"/>
              <a:cs typeface="Arial" panose="020B0604020202020204" pitchFamily="34" charset="0"/>
            </a:rPr>
            <a:t>The formula assumes that the cargo tank is “box shaped” with no internal structural/piping systems, heating coils, etc. that would impact the accuracy of the volume calculated from sounding. </a:t>
          </a:r>
        </a:p>
        <a:p>
          <a:endParaRPr lang="en-GB" sz="1100">
            <a:solidFill>
              <a:srgbClr val="000000"/>
            </a:solidFill>
            <a:latin typeface="Arial" panose="020B0604020202020204" pitchFamily="34" charset="0"/>
            <a:cs typeface="Arial" panose="020B0604020202020204" pitchFamily="34" charset="0"/>
          </a:endParaRPr>
        </a:p>
        <a:p>
          <a:r>
            <a:rPr lang="en-GB" sz="1200" b="1">
              <a:solidFill>
                <a:srgbClr val="231F20"/>
              </a:solidFill>
              <a:latin typeface="Arial" panose="020B0604020202020204" pitchFamily="34" charset="0"/>
              <a:cs typeface="Arial" panose="020B0604020202020204" pitchFamily="34" charset="0"/>
            </a:rPr>
            <a:t>C.2.2 Test for Wedge </a:t>
          </a:r>
        </a:p>
        <a:p>
          <a:endParaRPr lang="en-GB" sz="1400" b="1">
            <a:solidFill>
              <a:srgbClr val="231F20"/>
            </a:solidFill>
            <a:latin typeface="Arial" panose="020B0604020202020204" pitchFamily="34" charset="0"/>
            <a:cs typeface="Arial" panose="020B0604020202020204" pitchFamily="34" charset="0"/>
          </a:endParaRPr>
        </a:p>
        <a:p>
          <a:r>
            <a:rPr lang="en-GB" sz="1100" b="0">
              <a:solidFill>
                <a:srgbClr val="231F20"/>
              </a:solidFill>
              <a:latin typeface="Arial" panose="020B0604020202020204" pitchFamily="34" charset="0"/>
              <a:cs typeface="Arial" panose="020B0604020202020204" pitchFamily="34" charset="0"/>
            </a:rPr>
            <a:t>Step 2: Determine that the material is lying in a wedge configuration.</a:t>
          </a:r>
        </a:p>
        <a:p>
          <a:endParaRPr lang="en-GB" sz="1100" i="1" u="none">
            <a:solidFill>
              <a:srgbClr val="000000"/>
            </a:solidFill>
            <a:latin typeface="Times New Roman" panose="02020603050405020304" pitchFamily="18" charset="0"/>
          </a:endParaRPr>
        </a:p>
        <a:p>
          <a:r>
            <a:rPr lang="en-GB" sz="1100" i="1" u="none">
              <a:solidFill>
                <a:srgbClr val="000000"/>
              </a:solidFill>
              <a:latin typeface="Times New Roman" panose="02020603050405020304" pitchFamily="18" charset="0"/>
            </a:rPr>
            <a:t>	 A </a:t>
          </a:r>
        </a:p>
        <a:p>
          <a:r>
            <a:rPr lang="en-GB" sz="1100">
              <a:solidFill>
                <a:schemeClr val="dk1"/>
              </a:solidFill>
              <a:latin typeface="+mn-lt"/>
              <a:ea typeface="+mn-ea"/>
              <a:cs typeface="+mn-cs"/>
            </a:rPr>
            <a:t>	──</a:t>
          </a:r>
          <a:r>
            <a:rPr lang="en-GB" sz="1100" i="1" u="none">
              <a:solidFill>
                <a:srgbClr val="000000"/>
              </a:solidFill>
              <a:latin typeface="Times New Roman" panose="02020603050405020304" pitchFamily="18" charset="0"/>
            </a:rPr>
            <a:t> = </a:t>
          </a:r>
          <a:r>
            <a:rPr lang="en-GB" sz="1100" i="0" u="none">
              <a:solidFill>
                <a:srgbClr val="000000"/>
              </a:solidFill>
              <a:latin typeface="Arial" panose="020B0604020202020204" pitchFamily="34" charset="0"/>
            </a:rPr>
            <a:t>length of wedge</a:t>
          </a:r>
        </a:p>
        <a:p>
          <a:r>
            <a:rPr lang="en-GB" sz="1100" i="1" u="none">
              <a:solidFill>
                <a:srgbClr val="000000"/>
              </a:solidFill>
              <a:latin typeface="Times New Roman" panose="02020603050405020304" pitchFamily="18" charset="0"/>
            </a:rPr>
            <a:t>	 F</a:t>
          </a:r>
        </a:p>
        <a:p>
          <a:endParaRPr lang="ru-RU" sz="1100" i="0" u="none">
            <a:solidFill>
              <a:srgbClr val="000000"/>
            </a:solidFill>
          </a:endParaRPr>
        </a:p>
        <a:p>
          <a:r>
            <a:rPr lang="en-GB" sz="1100" i="0" u="none">
              <a:solidFill>
                <a:srgbClr val="231F20"/>
              </a:solidFill>
              <a:latin typeface="Arial" panose="020B0604020202020204" pitchFamily="34" charset="0"/>
            </a:rPr>
            <a:t>If the result is greater than the compartment length, a wedge condition does not exist. Do not proceed with the calculation; apply the vessel’s trim correction.</a:t>
          </a:r>
        </a:p>
        <a:p>
          <a:endParaRPr lang="en-GB" sz="1100" i="0" u="none">
            <a:solidFill>
              <a:srgbClr val="231F20"/>
            </a:solidFill>
            <a:latin typeface="Arial" panose="020B0604020202020204" pitchFamily="34" charset="0"/>
          </a:endParaRPr>
        </a:p>
        <a:p>
          <a:r>
            <a:rPr lang="en-GB" sz="1100" i="0" u="none">
              <a:solidFill>
                <a:srgbClr val="231F20"/>
              </a:solidFill>
              <a:latin typeface="Arial" panose="020B0604020202020204" pitchFamily="34" charset="0"/>
            </a:rPr>
            <a:t>If </a:t>
          </a:r>
          <a:r>
            <a:rPr lang="en-GB" sz="1100" i="1" u="none">
              <a:solidFill>
                <a:srgbClr val="231F20"/>
              </a:solidFill>
              <a:latin typeface="Times New Roman" panose="02020603050405020304" pitchFamily="18" charset="0"/>
            </a:rPr>
            <a:t>A</a:t>
          </a:r>
          <a:r>
            <a:rPr lang="en-GB" sz="1100" i="0" u="none">
              <a:solidFill>
                <a:srgbClr val="231F20"/>
              </a:solidFill>
              <a:latin typeface="Arial" panose="020B0604020202020204" pitchFamily="34" charset="0"/>
            </a:rPr>
            <a:t> is less than the compartment length, continue with the second part of the formula expression (shown below).</a:t>
          </a:r>
        </a:p>
        <a:p>
          <a:endParaRPr lang="en-GB" sz="1100" i="0" u="none">
            <a:solidFill>
              <a:srgbClr val="231F20"/>
            </a:solidFill>
            <a:latin typeface="Arial" panose="020B0604020202020204" pitchFamily="34" charset="0"/>
          </a:endParaRPr>
        </a:p>
        <a:p>
          <a:r>
            <a:rPr lang="en-GB" sz="1100" i="0" u="none">
              <a:solidFill>
                <a:srgbClr val="231F20"/>
              </a:solidFill>
              <a:latin typeface="Arial" panose="020B0604020202020204" pitchFamily="34" charset="0"/>
            </a:rPr>
            <a:t>Step 3: If a wedge condition does exist, the third step is to extract the mean table volume for use in the formula. The adjusted innage (</a:t>
          </a:r>
          <a:r>
            <a:rPr lang="en-GB" sz="1100" i="1" u="none">
              <a:solidFill>
                <a:srgbClr val="231F20"/>
              </a:solidFill>
              <a:latin typeface="Times New Roman" panose="02020603050405020304" pitchFamily="18" charset="0"/>
            </a:rPr>
            <a:t>A</a:t>
          </a:r>
          <a:r>
            <a:rPr lang="en-GB" sz="1100" i="0" u="none">
              <a:solidFill>
                <a:srgbClr val="231F20"/>
              </a:solidFill>
              <a:latin typeface="Arial" panose="020B0604020202020204" pitchFamily="34" charset="0"/>
            </a:rPr>
            <a:t>) is divided by two, and the table volume for this depth is extracted from the vessel’s capacity tables.</a:t>
          </a:r>
        </a:p>
        <a:p>
          <a:endParaRPr lang="en-GB" sz="1100" i="0" u="none">
            <a:solidFill>
              <a:srgbClr val="231F20"/>
            </a:solidFill>
            <a:latin typeface="Arial" panose="020B0604020202020204" pitchFamily="34" charset="0"/>
          </a:endParaRPr>
        </a:p>
        <a:p>
          <a:r>
            <a:rPr lang="en-GB" sz="1100" i="0" u="none">
              <a:solidFill>
                <a:srgbClr val="231F20"/>
              </a:solidFill>
              <a:latin typeface="Arial" panose="020B0604020202020204" pitchFamily="34" charset="0"/>
            </a:rPr>
            <a:t>Step 4: This mean table volume is used in the second expression of the formula to calculate the wedge volume:</a:t>
          </a:r>
        </a:p>
        <a:p>
          <a:endParaRPr lang="en-GB" sz="1100" i="0" u="none">
            <a:solidFill>
              <a:srgbClr val="000000"/>
            </a:solidFill>
            <a:latin typeface="Times New Roman" panose="02020603050405020304" pitchFamily="18" charset="0"/>
          </a:endParaRPr>
        </a:p>
        <a:p>
          <a:r>
            <a:rPr lang="en-GB" sz="1100" i="0" u="none">
              <a:solidFill>
                <a:srgbClr val="000000"/>
              </a:solidFill>
              <a:latin typeface="Times New Roman" panose="02020603050405020304" pitchFamily="18" charset="0"/>
            </a:rPr>
            <a:t>	 Tv x A</a:t>
          </a:r>
        </a:p>
        <a:p>
          <a:r>
            <a:rPr lang="en-GB" sz="1100">
              <a:solidFill>
                <a:schemeClr val="dk1"/>
              </a:solidFill>
              <a:latin typeface="+mn-lt"/>
              <a:ea typeface="+mn-ea"/>
              <a:cs typeface="+mn-cs"/>
            </a:rPr>
            <a:t>	───────</a:t>
          </a:r>
          <a:r>
            <a:rPr lang="en-GB" sz="1100" baseline="0">
              <a:solidFill>
                <a:schemeClr val="dk1"/>
              </a:solidFill>
              <a:latin typeface="+mn-lt"/>
              <a:ea typeface="+mn-ea"/>
              <a:cs typeface="+mn-cs"/>
            </a:rPr>
            <a:t> = </a:t>
          </a:r>
          <a:r>
            <a:rPr lang="en-GB" sz="1100" i="0" u="none">
              <a:solidFill>
                <a:srgbClr val="000000"/>
              </a:solidFill>
              <a:latin typeface="Arial" panose="020B0604020202020204" pitchFamily="34" charset="0"/>
            </a:rPr>
            <a:t>wedge volume (in table units)</a:t>
          </a:r>
        </a:p>
        <a:p>
          <a:r>
            <a:rPr lang="en-GB" sz="1100" i="1" u="none">
              <a:solidFill>
                <a:srgbClr val="000000"/>
              </a:solidFill>
              <a:latin typeface="Times New Roman" panose="02020603050405020304" pitchFamily="18" charset="0"/>
            </a:rPr>
            <a:t>	   L x F</a:t>
          </a:r>
        </a:p>
        <a:p>
          <a:r>
            <a:rPr lang="en-GB" sz="1100" i="0" u="none">
              <a:solidFill>
                <a:srgbClr val="231F20"/>
              </a:solidFill>
              <a:latin typeface="Arial" panose="020B0604020202020204" pitchFamily="34" charset="0"/>
            </a:rPr>
            <a:t>where</a:t>
          </a:r>
        </a:p>
        <a:p>
          <a:endParaRPr lang="en-GB" sz="1100" i="0" u="none">
            <a:solidFill>
              <a:srgbClr val="231F20"/>
            </a:solidFill>
            <a:latin typeface="Arial" panose="020B0604020202020204" pitchFamily="34" charset="0"/>
          </a:endParaRPr>
        </a:p>
        <a:p>
          <a:r>
            <a:rPr lang="en-GB" sz="1100" i="0" u="none">
              <a:solidFill>
                <a:srgbClr val="231F20"/>
              </a:solidFill>
              <a:latin typeface="Arial" panose="020B0604020202020204" pitchFamily="34" charset="0"/>
            </a:rPr>
            <a:t>	Tv  is table volume (vessel ullage tables); </a:t>
          </a:r>
        </a:p>
        <a:p>
          <a:r>
            <a:rPr lang="en-GB" sz="1100" i="1" u="none">
              <a:solidFill>
                <a:srgbClr val="231F20"/>
              </a:solidFill>
              <a:latin typeface="Times New Roman" panose="02020603050405020304" pitchFamily="18" charset="0"/>
            </a:rPr>
            <a:t>	A</a:t>
          </a:r>
          <a:r>
            <a:rPr lang="en-GB" sz="1100" i="0" u="none" baseline="0">
              <a:solidFill>
                <a:srgbClr val="231F20"/>
              </a:solidFill>
              <a:latin typeface="Arial" panose="020B0604020202020204" pitchFamily="34" charset="0"/>
            </a:rPr>
            <a:t>   </a:t>
          </a:r>
          <a:r>
            <a:rPr lang="en-GB" sz="1100" i="0" u="none">
              <a:solidFill>
                <a:srgbClr val="231F20"/>
              </a:solidFill>
              <a:latin typeface="Arial" panose="020B0604020202020204" pitchFamily="34" charset="0"/>
            </a:rPr>
            <a:t> is adjusted innage at aft bulkhead; </a:t>
          </a:r>
        </a:p>
        <a:p>
          <a:r>
            <a:rPr lang="en-GB" sz="1100" i="1" u="none">
              <a:solidFill>
                <a:srgbClr val="231F20"/>
              </a:solidFill>
              <a:latin typeface="Times New Roman" panose="02020603050405020304" pitchFamily="18" charset="0"/>
            </a:rPr>
            <a:t>	L    </a:t>
          </a:r>
          <a:r>
            <a:rPr lang="en-GB" sz="1100" i="0" u="none">
              <a:solidFill>
                <a:srgbClr val="231F20"/>
              </a:solidFill>
              <a:latin typeface="Arial" panose="020B0604020202020204" pitchFamily="34" charset="0"/>
            </a:rPr>
            <a:t> is length of compartment (tank); </a:t>
          </a:r>
        </a:p>
        <a:p>
          <a:r>
            <a:rPr lang="en-GB" sz="1100" i="1" u="none">
              <a:solidFill>
                <a:srgbClr val="231F20"/>
              </a:solidFill>
              <a:latin typeface="Times New Roman" panose="02020603050405020304" pitchFamily="18" charset="0"/>
            </a:rPr>
            <a:t>	F</a:t>
          </a:r>
          <a:r>
            <a:rPr lang="en-GB" sz="1100" i="0" u="none">
              <a:solidFill>
                <a:srgbClr val="231F20"/>
              </a:solidFill>
              <a:latin typeface="Arial" panose="020B0604020202020204" pitchFamily="34" charset="0"/>
            </a:rPr>
            <a:t>    is trim factor (trim divided by LBP).</a:t>
          </a:r>
        </a:p>
        <a:p>
          <a:endParaRPr lang="en-GB" sz="1050" i="0" u="none">
            <a:solidFill>
              <a:srgbClr val="231F20"/>
            </a:solidFill>
            <a:latin typeface="Arial" panose="020B0604020202020204" pitchFamily="34" charset="0"/>
          </a:endParaRPr>
        </a:p>
        <a:p>
          <a:r>
            <a:rPr lang="en-GB" sz="1050" i="0" u="none">
              <a:solidFill>
                <a:srgbClr val="231F20"/>
              </a:solidFill>
              <a:latin typeface="Arial" panose="020B0604020202020204" pitchFamily="34" charset="0"/>
            </a:rPr>
            <a:t>NOTE All units of measurement shall be of the same denomination—that is, decimal feet or meters.</a:t>
          </a:r>
        </a:p>
        <a:p>
          <a:endParaRPr lang="en-GB" sz="1100" i="0" u="none">
            <a:solidFill>
              <a:srgbClr val="231F20"/>
            </a:solidFill>
            <a:latin typeface="Arial" panose="020B0604020202020204" pitchFamily="34" charset="0"/>
          </a:endParaRPr>
        </a:p>
        <a:p>
          <a:r>
            <a:rPr lang="en-GB" sz="1100" i="0" u="none">
              <a:solidFill>
                <a:srgbClr val="231F20"/>
              </a:solidFill>
              <a:latin typeface="Arial" panose="020B0604020202020204" pitchFamily="34" charset="0"/>
            </a:rPr>
            <a:t>The use of the table volume provides a volumetric ratio that, when applied to the total expression of the formula, partially compensates for the internal tank framing (if included in the vessel’s capacity tables), volume below tank datum, and width of the tank at the lower extremities of the compartment.</a:t>
          </a:r>
        </a:p>
        <a:p>
          <a:endParaRPr lang="en-GB" sz="1100" i="0" u="none">
            <a:solidFill>
              <a:srgbClr val="231F20"/>
            </a:solidFill>
            <a:latin typeface="Arial" panose="020B0604020202020204" pitchFamily="34" charset="0"/>
          </a:endParaRPr>
        </a:p>
        <a:p>
          <a:r>
            <a:rPr lang="en-GB" sz="1100" i="0" u="none">
              <a:solidFill>
                <a:srgbClr val="231F20"/>
              </a:solidFill>
              <a:latin typeface="Arial" panose="020B0604020202020204" pitchFamily="34" charset="0"/>
            </a:rPr>
            <a:t>The total formula expression, therefore, is as follows:</a:t>
          </a:r>
        </a:p>
        <a:p>
          <a:endParaRPr lang="en-GB" sz="1400" i="0" u="none">
            <a:solidFill>
              <a:srgbClr val="000000"/>
            </a:solidFill>
            <a:latin typeface="Arial" panose="020B0604020202020204" pitchFamily="34" charset="0"/>
            <a:cs typeface="Arial" panose="020B0604020202020204" pitchFamily="34" charset="0"/>
          </a:endParaRPr>
        </a:p>
        <a:p>
          <a:r>
            <a:rPr lang="en-GB" sz="1400" i="0" u="none">
              <a:solidFill>
                <a:srgbClr val="000000"/>
              </a:solidFill>
              <a:latin typeface="Arial" panose="020B0604020202020204" pitchFamily="34" charset="0"/>
              <a:cs typeface="Arial" panose="020B0604020202020204" pitchFamily="34" charset="0"/>
            </a:rPr>
            <a:t>	</a:t>
          </a:r>
          <a:r>
            <a:rPr lang="ru-RU" sz="1400" b="0" i="0" u="none">
              <a:solidFill>
                <a:srgbClr val="000000"/>
              </a:solidFill>
              <a:latin typeface="Arial" panose="020B0604020202020204" pitchFamily="34" charset="0"/>
              <a:cs typeface="Arial" panose="020B0604020202020204" pitchFamily="34" charset="0"/>
            </a:rPr>
            <a:t>{</a:t>
          </a:r>
          <a:r>
            <a:rPr lang="en-GB" sz="1400" b="0" i="0" u="none">
              <a:solidFill>
                <a:srgbClr val="000000"/>
              </a:solidFill>
              <a:latin typeface="Arial" panose="020B0604020202020204" pitchFamily="34" charset="0"/>
              <a:cs typeface="Arial" panose="020B0604020202020204" pitchFamily="34" charset="0"/>
            </a:rPr>
            <a:t> [</a:t>
          </a:r>
          <a:r>
            <a:rPr lang="en-GB" sz="1400" i="0" u="none" baseline="0">
              <a:solidFill>
                <a:srgbClr val="000000"/>
              </a:solidFill>
              <a:latin typeface="Arial" panose="020B0604020202020204" pitchFamily="34" charset="0"/>
              <a:cs typeface="Arial" panose="020B0604020202020204" pitchFamily="34" charset="0"/>
            </a:rPr>
            <a:t> (</a:t>
          </a:r>
          <a:r>
            <a:rPr lang="en-GB" sz="1100" i="1" u="none">
              <a:solidFill>
                <a:srgbClr val="000000"/>
              </a:solidFill>
              <a:latin typeface="Times New Roman" panose="02020603050405020304" pitchFamily="18" charset="0"/>
              <a:ea typeface="+mn-ea"/>
              <a:cs typeface="Times New Roman" panose="02020603050405020304" pitchFamily="18" charset="0"/>
            </a:rPr>
            <a:t>U - DF</a:t>
          </a:r>
          <a:r>
            <a:rPr lang="en-GB" sz="1400" i="0" u="none" baseline="0">
              <a:solidFill>
                <a:srgbClr val="000000"/>
              </a:solidFill>
              <a:latin typeface="Arial" panose="020B0604020202020204" pitchFamily="34" charset="0"/>
              <a:cs typeface="Arial" panose="020B0604020202020204" pitchFamily="34" charset="0"/>
            </a:rPr>
            <a:t>) </a:t>
          </a:r>
          <a:r>
            <a:rPr lang="en-GB" sz="1100" i="1" u="none">
              <a:solidFill>
                <a:srgbClr val="000000"/>
              </a:solidFill>
              <a:latin typeface="Arial" panose="020B0604020202020204" pitchFamily="34" charset="0"/>
              <a:ea typeface="+mn-ea"/>
              <a:cs typeface="Arial" panose="020B0604020202020204" pitchFamily="34" charset="0"/>
            </a:rPr>
            <a:t>x</a:t>
          </a:r>
          <a:r>
            <a:rPr lang="en-GB" sz="1100" i="1" u="none">
              <a:solidFill>
                <a:srgbClr val="000000"/>
              </a:solidFill>
              <a:latin typeface="Times New Roman" panose="02020603050405020304" pitchFamily="18" charset="0"/>
              <a:ea typeface="+mn-ea"/>
              <a:cs typeface="Times New Roman" panose="02020603050405020304" pitchFamily="18" charset="0"/>
            </a:rPr>
            <a:t> F</a:t>
          </a:r>
          <a:r>
            <a:rPr lang="en-GB" sz="1400" i="0" u="none" baseline="0">
              <a:solidFill>
                <a:srgbClr val="000000"/>
              </a:solidFill>
              <a:latin typeface="Arial" panose="020B0604020202020204" pitchFamily="34" charset="0"/>
              <a:cs typeface="Arial" panose="020B0604020202020204" pitchFamily="34" charset="0"/>
            </a:rPr>
            <a:t> ] </a:t>
          </a:r>
          <a:r>
            <a:rPr lang="en-GB" sz="1100" i="1" u="none">
              <a:solidFill>
                <a:srgbClr val="000000"/>
              </a:solidFill>
              <a:latin typeface="Times New Roman" panose="02020603050405020304" pitchFamily="18" charset="0"/>
              <a:ea typeface="+mn-ea"/>
              <a:cs typeface="Times New Roman" panose="02020603050405020304" pitchFamily="18" charset="0"/>
            </a:rPr>
            <a:t>+ S </a:t>
          </a:r>
          <a:r>
            <a:rPr lang="en-GB" sz="1400" i="0" u="none">
              <a:solidFill>
                <a:srgbClr val="000000"/>
              </a:solidFill>
              <a:latin typeface="Arial" panose="020B0604020202020204" pitchFamily="34" charset="0"/>
              <a:cs typeface="Arial" panose="020B0604020202020204" pitchFamily="34" charset="0"/>
            </a:rPr>
            <a:t>} </a:t>
          </a:r>
          <a:r>
            <a:rPr lang="en-GB" sz="1100" i="0" u="none">
              <a:solidFill>
                <a:srgbClr val="000000"/>
              </a:solidFill>
              <a:latin typeface="Arial" panose="020B0604020202020204" pitchFamily="34" charset="0"/>
              <a:cs typeface="Arial" panose="020B0604020202020204" pitchFamily="34" charset="0"/>
            </a:rPr>
            <a:t>x  Tv</a:t>
          </a:r>
        </a:p>
        <a:p>
          <a:r>
            <a:rPr lang="en-GB" sz="1100" i="0" u="none">
              <a:solidFill>
                <a:srgbClr val="000000"/>
              </a:solidFill>
              <a:latin typeface="Arial" panose="020B0604020202020204" pitchFamily="34" charset="0"/>
              <a:cs typeface="Arial" panose="020B0604020202020204" pitchFamily="34" charset="0"/>
            </a:rPr>
            <a:t>	</a:t>
          </a:r>
          <a:r>
            <a:rPr lang="en-GB" sz="1100">
              <a:solidFill>
                <a:schemeClr val="dk1"/>
              </a:solidFill>
              <a:effectLst/>
              <a:latin typeface="+mn-lt"/>
              <a:ea typeface="+mn-ea"/>
              <a:cs typeface="+mn-cs"/>
            </a:rPr>
            <a:t>────────────────────────── = </a:t>
          </a:r>
          <a:r>
            <a:rPr lang="en-GB" sz="1100" i="0" u="none">
              <a:solidFill>
                <a:srgbClr val="000000"/>
              </a:solidFill>
              <a:latin typeface="Arial" panose="020B0604020202020204" pitchFamily="34" charset="0"/>
              <a:cs typeface="Arial" panose="020B0604020202020204" pitchFamily="34" charset="0"/>
            </a:rPr>
            <a:t>wedge volume (in table units)</a:t>
          </a:r>
        </a:p>
        <a:p>
          <a:r>
            <a:rPr lang="en-GB" sz="1100" i="1" u="none">
              <a:solidFill>
                <a:srgbClr val="000000"/>
              </a:solidFill>
              <a:latin typeface="Arial" panose="020B0604020202020204" pitchFamily="34" charset="0"/>
              <a:cs typeface="Arial" panose="020B0604020202020204" pitchFamily="34" charset="0"/>
            </a:rPr>
            <a:t>	                  </a:t>
          </a:r>
          <a:r>
            <a:rPr lang="en-GB" sz="1100" i="1" u="none">
              <a:solidFill>
                <a:srgbClr val="000000"/>
              </a:solidFill>
              <a:latin typeface="Times New Roman" panose="02020603050405020304" pitchFamily="18" charset="0"/>
              <a:cs typeface="Times New Roman" panose="02020603050405020304" pitchFamily="18" charset="0"/>
            </a:rPr>
            <a:t>L </a:t>
          </a:r>
          <a:r>
            <a:rPr lang="en-GB" sz="1100" i="1" u="none">
              <a:solidFill>
                <a:srgbClr val="000000"/>
              </a:solidFill>
              <a:latin typeface="Arial" panose="020B0604020202020204" pitchFamily="34" charset="0"/>
              <a:cs typeface="Arial" panose="020B0604020202020204" pitchFamily="34" charset="0"/>
            </a:rPr>
            <a:t>x</a:t>
          </a:r>
          <a:r>
            <a:rPr lang="en-GB" sz="1100" i="1" u="none">
              <a:solidFill>
                <a:srgbClr val="000000"/>
              </a:solidFill>
              <a:latin typeface="Times New Roman" panose="02020603050405020304" pitchFamily="18" charset="0"/>
              <a:cs typeface="Times New Roman" panose="02020603050405020304" pitchFamily="18" charset="0"/>
            </a:rPr>
            <a:t> F</a:t>
          </a:r>
        </a:p>
        <a:p>
          <a:endParaRPr lang="en-GB" sz="1050" i="0" u="none">
            <a:solidFill>
              <a:srgbClr val="231F20"/>
            </a:solidFill>
            <a:latin typeface="Arial" panose="020B0604020202020204" pitchFamily="34" charset="0"/>
          </a:endParaRPr>
        </a:p>
        <a:p>
          <a:r>
            <a:rPr lang="en-GB" sz="1050" i="0" u="none">
              <a:solidFill>
                <a:srgbClr val="231F20"/>
              </a:solidFill>
              <a:latin typeface="Arial" panose="020B0604020202020204" pitchFamily="34" charset="0"/>
            </a:rPr>
            <a:t>NOTE    For vessels that are trimmed down by the head, the distance from the ullage hatch to the forward bulkhead shall be used in the calculation (</a:t>
          </a:r>
          <a:r>
            <a:rPr lang="en-GB" sz="1050" i="1" u="none">
              <a:solidFill>
                <a:srgbClr val="231F20"/>
              </a:solidFill>
              <a:latin typeface="Times New Roman" panose="02020603050405020304" pitchFamily="18" charset="0"/>
            </a:rPr>
            <a:t>L</a:t>
          </a:r>
          <a:r>
            <a:rPr lang="en-GB" sz="1050" i="0" u="none">
              <a:solidFill>
                <a:srgbClr val="231F20"/>
              </a:solidFill>
              <a:latin typeface="Arial" panose="020B0604020202020204" pitchFamily="34" charset="0"/>
            </a:rPr>
            <a:t> − </a:t>
          </a:r>
          <a:r>
            <a:rPr lang="en-GB" sz="1050" i="1" u="none">
              <a:solidFill>
                <a:srgbClr val="231F20"/>
              </a:solidFill>
              <a:latin typeface="Times New Roman" panose="02020603050405020304" pitchFamily="18" charset="0"/>
            </a:rPr>
            <a:t>U</a:t>
          </a:r>
          <a:r>
            <a:rPr lang="en-GB" sz="1050" i="0" u="none">
              <a:solidFill>
                <a:srgbClr val="231F20"/>
              </a:solidFill>
              <a:latin typeface="Arial" panose="020B0604020202020204" pitchFamily="34" charset="0"/>
            </a:rPr>
            <a:t>), as opposed to using the distance from the aft bulkhead. The calculation for vessels trimmed by the head is termed “reverse wedge.”</a:t>
          </a:r>
        </a:p>
        <a:p>
          <a:endParaRPr lang="en-GB" sz="1600" b="1" i="0" u="none">
            <a:solidFill>
              <a:srgbClr val="000000"/>
            </a:solidFill>
            <a:latin typeface="Arial" panose="020B0604020202020204" pitchFamily="34" charset="0"/>
          </a:endParaRPr>
        </a:p>
        <a:p>
          <a:r>
            <a:rPr lang="en-GB" sz="1200" b="1" i="0" u="none">
              <a:solidFill>
                <a:srgbClr val="000000"/>
              </a:solidFill>
              <a:latin typeface="Arial" panose="020B0604020202020204" pitchFamily="34" charset="0"/>
            </a:rPr>
            <a:t>C.3 Compartments with Extreme Shape Due to Hull Curvature</a:t>
          </a:r>
        </a:p>
        <a:p>
          <a:endParaRPr lang="en-GB" sz="1200" b="0" i="0" u="none">
            <a:solidFill>
              <a:srgbClr val="231F20"/>
            </a:solidFill>
            <a:latin typeface="Arial" panose="020B0604020202020204" pitchFamily="34" charset="0"/>
          </a:endParaRPr>
        </a:p>
        <a:p>
          <a:r>
            <a:rPr lang="en-GB" sz="1100" b="0" i="0" u="none">
              <a:solidFill>
                <a:srgbClr val="231F20"/>
              </a:solidFill>
              <a:latin typeface="Arial" panose="020B0604020202020204" pitchFamily="34" charset="0"/>
            </a:rPr>
            <a:t>Care should be exercised on compartments where the vessel’s hull curvature is extreme, such as on the forward- and aftermost wing tanks where significant variation in longitudinal width and/or depth is evident.</a:t>
          </a:r>
        </a:p>
        <a:p>
          <a:r>
            <a:rPr lang="en-GB" sz="1100" b="0" i="0" u="none">
              <a:solidFill>
                <a:srgbClr val="231F20"/>
              </a:solidFill>
              <a:latin typeface="Arial" panose="020B0604020202020204" pitchFamily="34" charset="0"/>
            </a:rPr>
            <a:t>For such tanks, the mean width at the liquid surface should be ascertained.</a:t>
          </a:r>
        </a:p>
        <a:p>
          <a:endParaRPr lang="en-GB" sz="1100" b="0" i="0" u="none">
            <a:solidFill>
              <a:srgbClr val="231F20"/>
            </a:solidFill>
            <a:latin typeface="Arial" panose="020B0604020202020204" pitchFamily="34" charset="0"/>
          </a:endParaRPr>
        </a:p>
        <a:p>
          <a:r>
            <a:rPr lang="en-GB" sz="1100" b="0" i="0" u="none">
              <a:solidFill>
                <a:srgbClr val="231F20"/>
              </a:solidFill>
              <a:latin typeface="Arial" panose="020B0604020202020204" pitchFamily="34" charset="0"/>
            </a:rPr>
            <a:t>An example of this is, where the width at the aft end of a tank, 1 Starboard is 10 meters, whereas the width at the forward end is 5 meters. A small liquid volume at the aft end of the tank would have a width close to that of 10 meters. In this case, it would be more appropriate to use the actual width at the bottom of the tank</a:t>
          </a:r>
        </a:p>
        <a:p>
          <a:endParaRPr lang="en-GB" sz="1100" b="0" i="0">
            <a:solidFill>
              <a:srgbClr val="231F20"/>
            </a:solidFill>
            <a:latin typeface="Arial" panose="020B0604020202020204" pitchFamily="34" charset="0"/>
            <a:cs typeface="Arial" panose="020B0604020202020204" pitchFamily="34" charset="0"/>
          </a:endParaRPr>
        </a:p>
        <a:p>
          <a:r>
            <a:rPr lang="en-GB" sz="1100">
              <a:solidFill>
                <a:srgbClr val="231F20"/>
              </a:solidFill>
            </a:rPr>
            <a:t>in the simplified formula thus: </a:t>
          </a:r>
        </a:p>
        <a:p>
          <a:r>
            <a:rPr lang="en-GB" sz="1100" i="1">
              <a:solidFill>
                <a:srgbClr val="000000"/>
              </a:solidFill>
              <a:latin typeface="Times New Roman" panose="02020603050405020304" pitchFamily="18" charset="0"/>
              <a:ea typeface="+mn-ea"/>
              <a:cs typeface="+mn-cs"/>
            </a:rPr>
            <a:t>	A</a:t>
          </a:r>
          <a:r>
            <a:rPr lang="en-GB" sz="1100">
              <a:solidFill>
                <a:schemeClr val="dk1"/>
              </a:solidFill>
              <a:latin typeface="+mn-lt"/>
              <a:ea typeface="+mn-ea"/>
              <a:cs typeface="+mn-cs"/>
            </a:rPr>
            <a:t>²</a:t>
          </a:r>
          <a:r>
            <a:rPr lang="en-GB" sz="800">
              <a:solidFill>
                <a:srgbClr val="000000"/>
              </a:solidFill>
            </a:rPr>
            <a:t> </a:t>
          </a:r>
          <a:r>
            <a:rPr lang="en-GB" sz="1100" i="1">
              <a:solidFill>
                <a:srgbClr val="000000"/>
              </a:solidFill>
              <a:latin typeface="Times New Roman" panose="02020603050405020304" pitchFamily="18" charset="0"/>
            </a:rPr>
            <a:t> </a:t>
          </a:r>
          <a:r>
            <a:rPr lang="en-GB" sz="1100" i="1">
              <a:solidFill>
                <a:srgbClr val="000000"/>
              </a:solidFill>
              <a:latin typeface="Arial" panose="020B0604020202020204" pitchFamily="34" charset="0"/>
              <a:cs typeface="Arial" panose="020B0604020202020204" pitchFamily="34" charset="0"/>
            </a:rPr>
            <a:t>x</a:t>
          </a:r>
          <a:r>
            <a:rPr lang="en-GB" sz="1100" i="1">
              <a:solidFill>
                <a:srgbClr val="000000"/>
              </a:solidFill>
              <a:latin typeface="Times New Roman" panose="02020603050405020304" pitchFamily="18" charset="0"/>
            </a:rPr>
            <a:t> W</a:t>
          </a:r>
        </a:p>
        <a:p>
          <a:r>
            <a:rPr lang="en-GB" sz="1100">
              <a:solidFill>
                <a:schemeClr val="dk1"/>
              </a:solidFill>
              <a:effectLst/>
              <a:latin typeface="+mn-lt"/>
              <a:ea typeface="+mn-ea"/>
              <a:cs typeface="+mn-cs"/>
            </a:rPr>
            <a:t>	────── = wedge volume (in measured units)</a:t>
          </a:r>
          <a:endParaRPr lang="en-GB" sz="1100" i="1">
            <a:solidFill>
              <a:srgbClr val="000000"/>
            </a:solidFill>
            <a:latin typeface="Times New Roman" panose="02020603050405020304" pitchFamily="18" charset="0"/>
          </a:endParaRPr>
        </a:p>
        <a:p>
          <a:r>
            <a:rPr lang="en-GB" sz="1100" i="0">
              <a:solidFill>
                <a:srgbClr val="000000"/>
              </a:solidFill>
              <a:latin typeface="Arial" panose="020B0604020202020204" pitchFamily="34" charset="0"/>
              <a:cs typeface="Arial" panose="020B0604020202020204" pitchFamily="34" charset="0"/>
            </a:rPr>
            <a:t>	2 x </a:t>
          </a:r>
          <a:r>
            <a:rPr lang="en-GB" sz="1100" i="1">
              <a:solidFill>
                <a:srgbClr val="000000"/>
              </a:solidFill>
              <a:latin typeface="Times New Roman" panose="02020603050405020304" pitchFamily="18" charset="0"/>
            </a:rPr>
            <a:t>F</a:t>
          </a:r>
        </a:p>
        <a:p>
          <a:r>
            <a:rPr lang="en-GB" sz="1100" i="0">
              <a:solidFill>
                <a:srgbClr val="231F20"/>
              </a:solidFill>
              <a:latin typeface="Arial" panose="020B0604020202020204" pitchFamily="34" charset="0"/>
            </a:rPr>
            <a:t>where</a:t>
          </a:r>
        </a:p>
        <a:p>
          <a:r>
            <a:rPr lang="en-GB" sz="1100" i="1">
              <a:solidFill>
                <a:srgbClr val="231F20"/>
              </a:solidFill>
              <a:latin typeface="Times New Roman" panose="02020603050405020304" pitchFamily="18" charset="0"/>
            </a:rPr>
            <a:t>	A</a:t>
          </a:r>
          <a:r>
            <a:rPr lang="en-GB" sz="1100" i="0">
              <a:solidFill>
                <a:srgbClr val="231F20"/>
              </a:solidFill>
              <a:latin typeface="Arial" panose="020B0604020202020204" pitchFamily="34" charset="0"/>
            </a:rPr>
            <a:t>   is adjusted innage at the aft bulkhead (squared).</a:t>
          </a:r>
        </a:p>
        <a:p>
          <a:r>
            <a:rPr lang="en-GB" sz="1100" i="1">
              <a:solidFill>
                <a:srgbClr val="231F20"/>
              </a:solidFill>
              <a:latin typeface="Times New Roman" panose="02020603050405020304" pitchFamily="18" charset="0"/>
            </a:rPr>
            <a:t>	W</a:t>
          </a:r>
          <a:r>
            <a:rPr lang="en-GB" sz="1100" i="0">
              <a:solidFill>
                <a:srgbClr val="231F20"/>
              </a:solidFill>
              <a:latin typeface="Arial" panose="020B0604020202020204" pitchFamily="34" charset="0"/>
            </a:rPr>
            <a:t>  is width at the tank bottom (usually aft end).</a:t>
          </a:r>
        </a:p>
        <a:p>
          <a:r>
            <a:rPr lang="en-GB" sz="1100" i="1">
              <a:solidFill>
                <a:srgbClr val="231F20"/>
              </a:solidFill>
              <a:latin typeface="Times New Roman" panose="02020603050405020304" pitchFamily="18" charset="0"/>
            </a:rPr>
            <a:t>	F</a:t>
          </a:r>
          <a:r>
            <a:rPr lang="en-GB" sz="1100" i="0">
              <a:solidFill>
                <a:srgbClr val="231F20"/>
              </a:solidFill>
              <a:latin typeface="Arial" panose="020B0604020202020204" pitchFamily="34" charset="0"/>
            </a:rPr>
            <a:t>   is trim factor (trim divided by LBP).</a:t>
          </a:r>
        </a:p>
        <a:p>
          <a:endParaRPr lang="en-GB" sz="1100" i="0">
            <a:solidFill>
              <a:srgbClr val="231F20"/>
            </a:solidFill>
            <a:latin typeface="Arial" panose="020B0604020202020204" pitchFamily="34" charset="0"/>
          </a:endParaRPr>
        </a:p>
        <a:p>
          <a:r>
            <a:rPr lang="en-GB" sz="1100" i="0">
              <a:solidFill>
                <a:srgbClr val="231F20"/>
              </a:solidFill>
              <a:latin typeface="Arial" panose="020B0604020202020204" pitchFamily="34" charset="0"/>
            </a:rPr>
            <a:t>EXAMPLE</a:t>
          </a:r>
          <a:r>
            <a:rPr lang="en-GB" sz="1100" b="1" i="0">
              <a:solidFill>
                <a:srgbClr val="231F20"/>
              </a:solidFill>
              <a:latin typeface="Arial" panose="020B0604020202020204" pitchFamily="34" charset="0"/>
            </a:rPr>
            <a:t> </a:t>
          </a:r>
          <a:r>
            <a:rPr lang="en-GB" sz="1100" b="0" i="0">
              <a:solidFill>
                <a:srgbClr val="231F20"/>
              </a:solidFill>
              <a:latin typeface="Arial" panose="020B0604020202020204" pitchFamily="34" charset="0"/>
            </a:rPr>
            <a:t>(1 Starboard) </a:t>
          </a:r>
        </a:p>
        <a:p>
          <a:r>
            <a:rPr lang="en-GB" sz="1100" b="0" i="0">
              <a:solidFill>
                <a:srgbClr val="231F20"/>
              </a:solidFill>
              <a:latin typeface="Arial" panose="020B0604020202020204" pitchFamily="34" charset="0"/>
            </a:rPr>
            <a:t>	Trim = 4.00 meters </a:t>
          </a:r>
        </a:p>
        <a:p>
          <a:r>
            <a:rPr lang="en-GB" sz="1100" b="0" i="0">
              <a:solidFill>
                <a:srgbClr val="231F20"/>
              </a:solidFill>
              <a:latin typeface="Arial" panose="020B0604020202020204" pitchFamily="34" charset="0"/>
            </a:rPr>
            <a:t>	LBP = 230.00 meters </a:t>
          </a:r>
        </a:p>
        <a:p>
          <a:r>
            <a:rPr lang="en-GB" sz="1100" b="0" i="0">
              <a:solidFill>
                <a:srgbClr val="231F20"/>
              </a:solidFill>
              <a:latin typeface="Arial" panose="020B0604020202020204" pitchFamily="34" charset="0"/>
            </a:rPr>
            <a:t>	Trim Factor = 0.01739 (to five places) </a:t>
          </a:r>
        </a:p>
        <a:p>
          <a:r>
            <a:rPr lang="en-GB" sz="1100" b="0" i="1">
              <a:solidFill>
                <a:srgbClr val="231F20"/>
              </a:solidFill>
              <a:latin typeface="Times New Roman" panose="02020603050405020304" pitchFamily="18" charset="0"/>
            </a:rPr>
            <a:t>	A</a:t>
          </a:r>
          <a:r>
            <a:rPr lang="en-GB" sz="1100" b="0" i="0">
              <a:solidFill>
                <a:srgbClr val="231F20"/>
              </a:solidFill>
              <a:latin typeface="Arial" panose="020B0604020202020204" pitchFamily="34" charset="0"/>
            </a:rPr>
            <a:t> = 0.05 (adjusted innage) </a:t>
          </a:r>
        </a:p>
        <a:p>
          <a:r>
            <a:rPr lang="en-GB" sz="1100" b="0" i="0">
              <a:solidFill>
                <a:srgbClr val="231F20"/>
              </a:solidFill>
              <a:latin typeface="Arial" panose="020B0604020202020204" pitchFamily="34" charset="0"/>
            </a:rPr>
            <a:t>	Width = 8.00 meters (at bottom aft section of tank, as taken from the vessel’s drawings)</a:t>
          </a:r>
        </a:p>
        <a:p>
          <a:endParaRPr lang="en-GB" sz="1100" i="1">
            <a:solidFill>
              <a:schemeClr val="dk1"/>
            </a:solidFill>
            <a:effectLst/>
            <a:latin typeface="+mn-lt"/>
            <a:ea typeface="+mn-ea"/>
            <a:cs typeface="+mn-cs"/>
          </a:endParaRPr>
        </a:p>
        <a:p>
          <a:pPr marL="0" indent="0"/>
          <a:r>
            <a:rPr lang="en-GB" sz="1100" i="1">
              <a:solidFill>
                <a:schemeClr val="dk1"/>
              </a:solidFill>
              <a:effectLst/>
              <a:latin typeface="+mn-lt"/>
              <a:ea typeface="+mn-ea"/>
              <a:cs typeface="+mn-cs"/>
            </a:rPr>
            <a:t>	       </a:t>
          </a:r>
          <a:r>
            <a:rPr lang="en-GB" sz="1100" i="1">
              <a:solidFill>
                <a:srgbClr val="000000"/>
              </a:solidFill>
              <a:latin typeface="Times New Roman" panose="02020603050405020304" pitchFamily="18" charset="0"/>
              <a:ea typeface="+mn-ea"/>
              <a:cs typeface="+mn-cs"/>
            </a:rPr>
            <a:t>A²  </a:t>
          </a:r>
          <a:r>
            <a:rPr lang="en-GB" sz="1100" i="1">
              <a:solidFill>
                <a:srgbClr val="000000"/>
              </a:solidFill>
              <a:latin typeface="Arial" panose="020B0604020202020204" pitchFamily="34" charset="0"/>
              <a:ea typeface="+mn-ea"/>
              <a:cs typeface="Arial" panose="020B0604020202020204" pitchFamily="34" charset="0"/>
            </a:rPr>
            <a:t>x</a:t>
          </a:r>
          <a:r>
            <a:rPr lang="en-GB" sz="1100" i="1">
              <a:solidFill>
                <a:srgbClr val="000000"/>
              </a:solidFill>
              <a:latin typeface="Times New Roman" panose="02020603050405020304" pitchFamily="18" charset="0"/>
              <a:ea typeface="+mn-ea"/>
              <a:cs typeface="+mn-cs"/>
            </a:rPr>
            <a:t> W</a:t>
          </a:r>
          <a:endParaRPr lang="ru-RU" sz="1100" i="1">
            <a:solidFill>
              <a:srgbClr val="000000"/>
            </a:solidFill>
            <a:latin typeface="Times New Roman" panose="02020603050405020304" pitchFamily="18" charset="0"/>
            <a:ea typeface="+mn-ea"/>
            <a:cs typeface="+mn-cs"/>
          </a:endParaRPr>
        </a:p>
        <a:p>
          <a:r>
            <a:rPr lang="en-GB" sz="1100" b="0" i="0">
              <a:solidFill>
                <a:srgbClr val="000000"/>
              </a:solidFill>
              <a:latin typeface="Arial" panose="020B0604020202020204" pitchFamily="34" charset="0"/>
            </a:rPr>
            <a:t>wedge volume =</a:t>
          </a:r>
          <a:r>
            <a:rPr lang="en-GB" sz="1100" b="0" i="0" baseline="0">
              <a:solidFill>
                <a:srgbClr val="000000"/>
              </a:solidFill>
              <a:latin typeface="Arial" panose="020B0604020202020204" pitchFamily="34" charset="0"/>
            </a:rPr>
            <a:t> </a:t>
          </a:r>
          <a:r>
            <a:rPr lang="en-GB" sz="1100">
              <a:solidFill>
                <a:schemeClr val="dk1"/>
              </a:solidFill>
              <a:effectLst/>
              <a:latin typeface="+mn-lt"/>
              <a:ea typeface="+mn-ea"/>
              <a:cs typeface="+mn-cs"/>
            </a:rPr>
            <a:t>──────────</a:t>
          </a:r>
          <a:endParaRPr lang="en-GB" sz="1100" b="0" i="0">
            <a:solidFill>
              <a:srgbClr val="000000"/>
            </a:solidFill>
            <a:latin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i="0">
              <a:solidFill>
                <a:schemeClr val="dk1"/>
              </a:solidFill>
              <a:effectLst/>
              <a:latin typeface="+mn-lt"/>
              <a:ea typeface="+mn-ea"/>
              <a:cs typeface="+mn-cs"/>
            </a:rPr>
            <a:t>	</a:t>
          </a:r>
          <a:r>
            <a:rPr lang="en-GB" sz="1100" i="0" baseline="0">
              <a:solidFill>
                <a:schemeClr val="dk1"/>
              </a:solidFill>
              <a:effectLst/>
              <a:latin typeface="+mn-lt"/>
              <a:ea typeface="+mn-ea"/>
              <a:cs typeface="+mn-cs"/>
            </a:rPr>
            <a:t>      </a:t>
          </a:r>
          <a:r>
            <a:rPr lang="en-GB" sz="1100" i="0" baseline="0">
              <a:solidFill>
                <a:schemeClr val="dk1"/>
              </a:solidFill>
              <a:effectLst/>
              <a:latin typeface="Arial" panose="020B0604020202020204" pitchFamily="34" charset="0"/>
              <a:ea typeface="+mn-ea"/>
              <a:cs typeface="Arial" panose="020B0604020202020204" pitchFamily="34" charset="0"/>
            </a:rPr>
            <a:t>  </a:t>
          </a:r>
          <a:r>
            <a:rPr lang="en-GB" sz="1100" i="0">
              <a:solidFill>
                <a:schemeClr val="dk1"/>
              </a:solidFill>
              <a:effectLst/>
              <a:latin typeface="Arial" panose="020B0604020202020204" pitchFamily="34" charset="0"/>
              <a:ea typeface="+mn-ea"/>
              <a:cs typeface="Arial" panose="020B0604020202020204" pitchFamily="34" charset="0"/>
            </a:rPr>
            <a:t>2 x </a:t>
          </a:r>
          <a:r>
            <a:rPr lang="en-GB" sz="1100" i="1">
              <a:solidFill>
                <a:srgbClr val="000000"/>
              </a:solidFill>
              <a:latin typeface="Times New Roman" panose="02020603050405020304" pitchFamily="18" charset="0"/>
              <a:ea typeface="+mn-ea"/>
              <a:cs typeface="+mn-cs"/>
            </a:rPr>
            <a:t>F</a:t>
          </a:r>
          <a:endParaRPr lang="ru-RU" sz="1100" i="1">
            <a:solidFill>
              <a:srgbClr val="000000"/>
            </a:solidFill>
            <a:latin typeface="Times New Roman" panose="02020603050405020304" pitchFamily="18" charset="0"/>
            <a:ea typeface="+mn-ea"/>
            <a:cs typeface="+mn-cs"/>
          </a:endParaRPr>
        </a:p>
        <a:p>
          <a:endParaRPr lang="en-GB" sz="1100" b="0" i="0">
            <a:solidFill>
              <a:srgbClr val="000000"/>
            </a:solidFill>
            <a:latin typeface="Arial" panose="020B0604020202020204" pitchFamily="34" charset="0"/>
          </a:endParaRPr>
        </a:p>
        <a:p>
          <a:r>
            <a:rPr lang="en-GB" sz="1100" b="0" i="0">
              <a:solidFill>
                <a:srgbClr val="000000"/>
              </a:solidFill>
              <a:latin typeface="Arial" panose="020B0604020202020204" pitchFamily="34" charset="0"/>
            </a:rPr>
            <a:t>	     </a:t>
          </a:r>
          <a:r>
            <a:rPr lang="ru-RU" sz="1100" b="0" i="0">
              <a:solidFill>
                <a:srgbClr val="000000"/>
              </a:solidFill>
              <a:latin typeface="Arial" panose="020B0604020202020204" pitchFamily="34" charset="0"/>
            </a:rPr>
            <a:t>0</a:t>
          </a:r>
          <a:r>
            <a:rPr lang="en-GB" sz="1100" b="0" i="0">
              <a:solidFill>
                <a:srgbClr val="000000"/>
              </a:solidFill>
              <a:latin typeface="Arial" panose="020B0604020202020204" pitchFamily="34" charset="0"/>
            </a:rPr>
            <a:t>.</a:t>
          </a:r>
          <a:r>
            <a:rPr lang="ru-RU" sz="1100" b="0" i="0">
              <a:solidFill>
                <a:srgbClr val="000000"/>
              </a:solidFill>
              <a:latin typeface="Arial" panose="020B0604020202020204" pitchFamily="34" charset="0"/>
            </a:rPr>
            <a:t>05</a:t>
          </a:r>
          <a:r>
            <a:rPr lang="en-GB" sz="1100">
              <a:solidFill>
                <a:schemeClr val="dk1"/>
              </a:solidFill>
              <a:effectLst/>
              <a:latin typeface="+mn-lt"/>
              <a:ea typeface="+mn-ea"/>
              <a:cs typeface="+mn-cs"/>
            </a:rPr>
            <a:t>²</a:t>
          </a:r>
          <a:r>
            <a:rPr lang="en-GB" sz="800" b="0" i="0">
              <a:solidFill>
                <a:srgbClr val="000000"/>
              </a:solidFill>
              <a:latin typeface="Arial" panose="020B0604020202020204" pitchFamily="34" charset="0"/>
            </a:rPr>
            <a:t> </a:t>
          </a:r>
          <a:r>
            <a:rPr lang="en-GB" sz="1100" b="0" i="0">
              <a:solidFill>
                <a:srgbClr val="000000"/>
              </a:solidFill>
              <a:latin typeface="Arial" panose="020B0604020202020204" pitchFamily="34" charset="0"/>
              <a:ea typeface="+mn-ea"/>
              <a:cs typeface="+mn-cs"/>
            </a:rPr>
            <a:t>x</a:t>
          </a:r>
          <a:r>
            <a:rPr lang="ru-RU" sz="800" b="0" i="0">
              <a:solidFill>
                <a:srgbClr val="000000"/>
              </a:solidFill>
              <a:latin typeface="Arial" panose="020B0604020202020204" pitchFamily="34" charset="0"/>
            </a:rPr>
            <a:t> </a:t>
          </a:r>
          <a:r>
            <a:rPr lang="ru-RU" sz="1100" b="0" i="0">
              <a:solidFill>
                <a:srgbClr val="000000"/>
              </a:solidFill>
              <a:latin typeface="Arial" panose="020B0604020202020204" pitchFamily="34" charset="0"/>
            </a:rPr>
            <a:t>8</a:t>
          </a:r>
          <a:r>
            <a:rPr lang="en-GB" sz="1100" b="0" i="0">
              <a:solidFill>
                <a:srgbClr val="000000"/>
              </a:solidFill>
              <a:latin typeface="Arial" panose="020B0604020202020204" pitchFamily="34" charset="0"/>
            </a:rPr>
            <a:t>.</a:t>
          </a:r>
          <a:r>
            <a:rPr lang="ru-RU" sz="1100" b="0" i="0">
              <a:solidFill>
                <a:srgbClr val="000000"/>
              </a:solidFill>
              <a:latin typeface="Arial" panose="020B0604020202020204" pitchFamily="34" charset="0"/>
            </a:rPr>
            <a:t>00</a:t>
          </a:r>
        </a:p>
        <a:p>
          <a:r>
            <a:rPr lang="en-GB" sz="1100" b="0" i="0">
              <a:solidFill>
                <a:schemeClr val="dk1"/>
              </a:solidFill>
              <a:effectLst/>
              <a:latin typeface="+mn-lt"/>
              <a:ea typeface="+mn-ea"/>
              <a:cs typeface="+mn-cs"/>
            </a:rPr>
            <a:t>	=</a:t>
          </a:r>
          <a:r>
            <a:rPr lang="en-GB" sz="1100">
              <a:solidFill>
                <a:schemeClr val="dk1"/>
              </a:solidFill>
              <a:effectLst/>
              <a:latin typeface="+mn-lt"/>
              <a:ea typeface="+mn-ea"/>
              <a:cs typeface="+mn-cs"/>
            </a:rPr>
            <a:t> ─────────────</a:t>
          </a:r>
          <a:endParaRPr lang="en-GB" sz="1100" b="0" i="0">
            <a:solidFill>
              <a:srgbClr val="000000"/>
            </a:solidFill>
            <a:latin typeface="Arial" panose="020B0604020202020204" pitchFamily="34" charset="0"/>
          </a:endParaRPr>
        </a:p>
        <a:p>
          <a:r>
            <a:rPr lang="en-GB" sz="1100" b="0" i="0">
              <a:solidFill>
                <a:srgbClr val="000000"/>
              </a:solidFill>
              <a:latin typeface="Arial" panose="020B0604020202020204" pitchFamily="34" charset="0"/>
            </a:rPr>
            <a:t>	     </a:t>
          </a:r>
          <a:r>
            <a:rPr lang="ru-RU" sz="1100" b="0" i="0">
              <a:solidFill>
                <a:srgbClr val="000000"/>
              </a:solidFill>
              <a:latin typeface="Arial" panose="020B0604020202020204" pitchFamily="34" charset="0"/>
            </a:rPr>
            <a:t>2 </a:t>
          </a:r>
          <a:r>
            <a:rPr lang="en-GB" sz="1100" b="0" i="0">
              <a:solidFill>
                <a:srgbClr val="000000"/>
              </a:solidFill>
              <a:latin typeface="Arial" panose="020B0604020202020204" pitchFamily="34" charset="0"/>
            </a:rPr>
            <a:t>x </a:t>
          </a:r>
          <a:r>
            <a:rPr lang="ru-RU" sz="1100" b="0" i="0">
              <a:solidFill>
                <a:srgbClr val="000000"/>
              </a:solidFill>
              <a:latin typeface="Arial" panose="020B0604020202020204" pitchFamily="34" charset="0"/>
            </a:rPr>
            <a:t>0</a:t>
          </a:r>
          <a:r>
            <a:rPr lang="en-GB" sz="1100" b="0" i="0">
              <a:solidFill>
                <a:srgbClr val="000000"/>
              </a:solidFill>
              <a:latin typeface="Arial" panose="020B0604020202020204" pitchFamily="34" charset="0"/>
            </a:rPr>
            <a:t>.</a:t>
          </a:r>
          <a:r>
            <a:rPr lang="ru-RU" sz="1100" b="0" i="0">
              <a:solidFill>
                <a:srgbClr val="000000"/>
              </a:solidFill>
              <a:latin typeface="Arial" panose="020B0604020202020204" pitchFamily="34" charset="0"/>
            </a:rPr>
            <a:t>01739</a:t>
          </a:r>
        </a:p>
        <a:p>
          <a:endParaRPr lang="ru-RU" sz="1100" b="0" i="0">
            <a:solidFill>
              <a:srgbClr val="000000"/>
            </a:solidFill>
          </a:endParaRPr>
        </a:p>
        <a:p>
          <a:r>
            <a:rPr lang="en-GB" sz="1100" b="0" i="0">
              <a:solidFill>
                <a:srgbClr val="000000"/>
              </a:solidFill>
              <a:latin typeface="Arial" panose="020B0604020202020204" pitchFamily="34" charset="0"/>
            </a:rPr>
            <a:t>	      </a:t>
          </a:r>
          <a:r>
            <a:rPr lang="ru-RU" sz="1100" b="0" i="0">
              <a:solidFill>
                <a:srgbClr val="000000"/>
              </a:solidFill>
              <a:latin typeface="Arial" panose="020B0604020202020204" pitchFamily="34" charset="0"/>
            </a:rPr>
            <a:t>0</a:t>
          </a:r>
          <a:r>
            <a:rPr lang="en-GB" sz="1100" b="0" i="0">
              <a:solidFill>
                <a:srgbClr val="000000"/>
              </a:solidFill>
              <a:latin typeface="Arial" panose="020B0604020202020204" pitchFamily="34" charset="0"/>
            </a:rPr>
            <a:t>.</a:t>
          </a:r>
          <a:r>
            <a:rPr lang="ru-RU" sz="1100" b="0" i="0">
              <a:solidFill>
                <a:srgbClr val="000000"/>
              </a:solidFill>
              <a:latin typeface="Arial" panose="020B0604020202020204" pitchFamily="34" charset="0"/>
            </a:rPr>
            <a:t>02</a:t>
          </a:r>
        </a:p>
        <a:p>
          <a:r>
            <a:rPr lang="en-GB" sz="1100">
              <a:solidFill>
                <a:schemeClr val="dk1"/>
              </a:solidFill>
              <a:effectLst/>
              <a:latin typeface="+mn-lt"/>
              <a:ea typeface="+mn-ea"/>
              <a:cs typeface="+mn-cs"/>
            </a:rPr>
            <a:t>	</a:t>
          </a:r>
          <a:r>
            <a:rPr lang="en-GB" sz="1100" b="0" i="0">
              <a:solidFill>
                <a:schemeClr val="dk1"/>
              </a:solidFill>
              <a:effectLst/>
              <a:latin typeface="+mn-lt"/>
              <a:ea typeface="+mn-ea"/>
              <a:cs typeface="+mn-cs"/>
            </a:rPr>
            <a:t>=</a:t>
          </a:r>
          <a:r>
            <a:rPr lang="en-GB" sz="1100">
              <a:solidFill>
                <a:schemeClr val="dk1"/>
              </a:solidFill>
              <a:effectLst/>
              <a:latin typeface="+mn-lt"/>
              <a:ea typeface="+mn-ea"/>
              <a:cs typeface="+mn-cs"/>
            </a:rPr>
            <a:t> ────────</a:t>
          </a:r>
          <a:endParaRPr lang="en-GB" sz="1100" b="0" i="0">
            <a:solidFill>
              <a:srgbClr val="000000"/>
            </a:solidFill>
            <a:latin typeface="Arial" panose="020B0604020202020204" pitchFamily="34" charset="0"/>
          </a:endParaRPr>
        </a:p>
        <a:p>
          <a:r>
            <a:rPr lang="en-GB" sz="1100" b="0" i="0">
              <a:solidFill>
                <a:srgbClr val="000000"/>
              </a:solidFill>
              <a:latin typeface="Arial" panose="020B0604020202020204" pitchFamily="34" charset="0"/>
            </a:rPr>
            <a:t>	   </a:t>
          </a:r>
          <a:r>
            <a:rPr lang="ru-RU" sz="1100" b="0" i="0">
              <a:solidFill>
                <a:srgbClr val="000000"/>
              </a:solidFill>
              <a:latin typeface="Arial" panose="020B0604020202020204" pitchFamily="34" charset="0"/>
            </a:rPr>
            <a:t>0</a:t>
          </a:r>
          <a:r>
            <a:rPr lang="en-GB" sz="1100" b="0" i="0">
              <a:solidFill>
                <a:srgbClr val="000000"/>
              </a:solidFill>
              <a:latin typeface="Arial" panose="020B0604020202020204" pitchFamily="34" charset="0"/>
            </a:rPr>
            <a:t>.</a:t>
          </a:r>
          <a:r>
            <a:rPr lang="ru-RU" sz="1100" b="0" i="0">
              <a:solidFill>
                <a:srgbClr val="000000"/>
              </a:solidFill>
              <a:latin typeface="Arial" panose="020B0604020202020204" pitchFamily="34" charset="0"/>
            </a:rPr>
            <a:t>03478</a:t>
          </a:r>
        </a:p>
        <a:p>
          <a:endParaRPr lang="ru-RU" sz="1100" b="0" i="1">
            <a:solidFill>
              <a:srgbClr val="000000"/>
            </a:solidFill>
            <a:latin typeface="Times New Roman" panose="02020603050405020304" pitchFamily="18" charset="0"/>
          </a:endParaRPr>
        </a:p>
        <a:p>
          <a:r>
            <a:rPr lang="en-GB" sz="1100" b="0" i="0">
              <a:solidFill>
                <a:srgbClr val="000000"/>
              </a:solidFill>
              <a:latin typeface="Arial" panose="020B0604020202020204" pitchFamily="34" charset="0"/>
            </a:rPr>
            <a:t>	= 0.575 cubic meters </a:t>
          </a:r>
        </a:p>
        <a:p>
          <a:r>
            <a:rPr lang="en-GB" sz="1100" b="0" i="0">
              <a:solidFill>
                <a:srgbClr val="000000"/>
              </a:solidFill>
              <a:latin typeface="Arial" panose="020B0604020202020204" pitchFamily="34" charset="0"/>
            </a:rPr>
            <a:t>	</a:t>
          </a:r>
        </a:p>
        <a:p>
          <a:r>
            <a:rPr lang="en-GB" sz="1100" b="0" i="0">
              <a:solidFill>
                <a:srgbClr val="000000"/>
              </a:solidFill>
              <a:latin typeface="Arial" panose="020B0604020202020204" pitchFamily="34" charset="0"/>
            </a:rPr>
            <a:t>	= 3.62 barrels (cubic meters × 6.289812)</a:t>
          </a:r>
        </a:p>
        <a:p>
          <a:endParaRPr lang="en-GB" sz="1100" b="0" i="0">
            <a:solidFill>
              <a:srgbClr val="231F20"/>
            </a:solidFill>
            <a:latin typeface="Arial" panose="020B0604020202020204" pitchFamily="34" charset="0"/>
          </a:endParaRPr>
        </a:p>
        <a:p>
          <a:r>
            <a:rPr lang="en-GB" sz="1100" b="0" i="0">
              <a:solidFill>
                <a:srgbClr val="231F20"/>
              </a:solidFill>
              <a:latin typeface="Arial" panose="020B0604020202020204" pitchFamily="34" charset="0"/>
            </a:rPr>
            <a:t>In aftmost wing compartments, the effect of hull curvature is reversed: the width is much smaller at the aft end. Additionally, in such tanks, it is quite common for the gauge tape not to reach the very bottom of the tank because the tape comes into contact with the shell (curving in toward the tank bottom). As the vessel’s capacity tables give the volume below the datum, using the table volume in the formula will most often result in a more accurate ratio than using the simplified formula. Hull curvature and tank configuration vary significantly from vessel to vessel. Where possible, a vessel’s drawings should be consulted to help qualify the choice of appropriate wedge formula application.</a:t>
          </a:r>
        </a:p>
        <a:p>
          <a:endParaRPr lang="ru-RU" sz="1100" b="0" i="0">
            <a:solidFill>
              <a:srgbClr val="231F20"/>
            </a:solidFill>
            <a:latin typeface="Arial" panose="020B0604020202020204" pitchFamily="34" charset="0"/>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en-US" sz="1100">
            <a:solidFill>
              <a:schemeClr val="dk1"/>
            </a:solidFill>
            <a:effectLst/>
            <a:latin typeface="Arial" panose="020B0604020202020204" pitchFamily="34" charset="0"/>
            <a:ea typeface="+mn-ea"/>
            <a:cs typeface="Arial" panose="020B0604020202020204" pitchFamily="34" charset="0"/>
          </a:endParaRPr>
        </a:p>
        <a:p>
          <a:endParaRPr lang="ru-RU" sz="1100">
            <a:solidFill>
              <a:srgbClr val="FF0000"/>
            </a:solidFill>
            <a:effectLst/>
            <a:latin typeface="Arial" panose="020B0604020202020204" pitchFamily="34" charset="0"/>
            <a:ea typeface="+mn-ea"/>
            <a:cs typeface="Arial" panose="020B0604020202020204" pitchFamily="34" charset="0"/>
          </a:endParaRPr>
        </a:p>
        <a:p>
          <a:pPr>
            <a:spcAft>
              <a:spcPts val="0"/>
            </a:spcAft>
          </a:pPr>
          <a:endParaRPr lang="ru-RU" sz="900" b="1">
            <a:solidFill>
              <a:srgbClr val="FF0000"/>
            </a:solidFill>
            <a:effectLst/>
            <a:latin typeface="Arial" panose="020B0604020202020204" pitchFamily="34" charset="0"/>
            <a:ea typeface="Segoe UI" panose="020B0502040204020203" pitchFamily="34" charset="0"/>
            <a:cs typeface="Arial" panose="020B0604020202020204" pitchFamily="34" charset="0"/>
          </a:endParaRPr>
        </a:p>
        <a:p>
          <a:endParaRPr lang="en-GB" sz="900">
            <a:solidFill>
              <a:srgbClr val="000000"/>
            </a:solidFill>
            <a:effectLst/>
            <a:latin typeface="Arial" panose="020B0604020202020204" pitchFamily="34" charset="0"/>
            <a:ea typeface="Segoe UI" panose="020B0502040204020203" pitchFamily="34" charset="0"/>
            <a:cs typeface="Arial" panose="020B0604020202020204" pitchFamily="34" charset="0"/>
          </a:endParaRPr>
        </a:p>
        <a:p>
          <a:endParaRPr lang="en-GB" sz="1100" b="0">
            <a:effectLst/>
            <a:latin typeface="Arial" panose="020B0604020202020204" pitchFamily="34" charset="0"/>
            <a:ea typeface="+mn-ea"/>
            <a:cs typeface="Arial" panose="020B0604020202020204" pitchFamily="34" charset="0"/>
          </a:endParaRPr>
        </a:p>
      </xdr:txBody>
    </xdr:sp>
    <xdr:clientData/>
  </xdr:twoCellAnchor>
  <xdr:twoCellAnchor editAs="absolute">
    <xdr:from>
      <xdr:col>3</xdr:col>
      <xdr:colOff>144780</xdr:colOff>
      <xdr:row>3</xdr:row>
      <xdr:rowOff>243840</xdr:rowOff>
    </xdr:from>
    <xdr:to>
      <xdr:col>6</xdr:col>
      <xdr:colOff>260153</xdr:colOff>
      <xdr:row>6</xdr:row>
      <xdr:rowOff>38100</xdr:rowOff>
    </xdr:to>
    <xdr:pic>
      <xdr:nvPicPr>
        <xdr:cNvPr id="4" name="Рисунок 3">
          <a:extLst>
            <a:ext uri="{FF2B5EF4-FFF2-40B4-BE49-F238E27FC236}">
              <a16:creationId xmlns:a16="http://schemas.microsoft.com/office/drawing/2014/main" id="{00000000-0008-0000-3300-000004000000}"/>
            </a:ext>
          </a:extLst>
        </xdr:cNvPr>
        <xdr:cNvPicPr>
          <a:picLocks noChangeAspect="1"/>
        </xdr:cNvPicPr>
      </xdr:nvPicPr>
      <xdr:blipFill>
        <a:blip xmlns:r="http://schemas.openxmlformats.org/officeDocument/2006/relationships" r:embed="rId1"/>
        <a:stretch>
          <a:fillRect/>
        </a:stretch>
      </xdr:blipFill>
      <xdr:spPr>
        <a:xfrm>
          <a:off x="2842260" y="937260"/>
          <a:ext cx="2134673" cy="594360"/>
        </a:xfrm>
        <a:prstGeom prst="rect">
          <a:avLst/>
        </a:prstGeom>
      </xdr:spPr>
    </xdr:pic>
    <xdr:clientData/>
  </xdr:twoCellAnchor>
  <xdr:twoCellAnchor editAs="oneCell">
    <xdr:from>
      <xdr:col>3</xdr:col>
      <xdr:colOff>312420</xdr:colOff>
      <xdr:row>40</xdr:row>
      <xdr:rowOff>114301</xdr:rowOff>
    </xdr:from>
    <xdr:to>
      <xdr:col>13</xdr:col>
      <xdr:colOff>289560</xdr:colOff>
      <xdr:row>69</xdr:row>
      <xdr:rowOff>151001</xdr:rowOff>
    </xdr:to>
    <xdr:pic>
      <xdr:nvPicPr>
        <xdr:cNvPr id="3" name="Рисунок 2">
          <a:extLst>
            <a:ext uri="{FF2B5EF4-FFF2-40B4-BE49-F238E27FC236}">
              <a16:creationId xmlns:a16="http://schemas.microsoft.com/office/drawing/2014/main" id="{00000000-0008-0000-33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2933700" y="10187941"/>
          <a:ext cx="7056120" cy="489826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3</xdr:col>
      <xdr:colOff>0</xdr:colOff>
      <xdr:row>3</xdr:row>
      <xdr:rowOff>15240</xdr:rowOff>
    </xdr:from>
    <xdr:to>
      <xdr:col>5</xdr:col>
      <xdr:colOff>7620</xdr:colOff>
      <xdr:row>161</xdr:row>
      <xdr:rowOff>129540</xdr:rowOff>
    </xdr:to>
    <xdr:sp macro="" textlink="">
      <xdr:nvSpPr>
        <xdr:cNvPr id="2" name="TextBox 1">
          <a:extLst>
            <a:ext uri="{FF2B5EF4-FFF2-40B4-BE49-F238E27FC236}">
              <a16:creationId xmlns:a16="http://schemas.microsoft.com/office/drawing/2014/main" id="{00000000-0008-0000-3400-000002000000}"/>
            </a:ext>
          </a:extLst>
        </xdr:cNvPr>
        <xdr:cNvSpPr txBox="1"/>
      </xdr:nvSpPr>
      <xdr:spPr>
        <a:xfrm>
          <a:off x="2689860" y="716280"/>
          <a:ext cx="8031480" cy="29771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rtlCol="0" anchor="t"/>
        <a:lstStyle/>
        <a:p>
          <a:pPr marL="457200" indent="-6985">
            <a:lnSpc>
              <a:spcPct val="115000"/>
            </a:lnSpc>
            <a:spcAft>
              <a:spcPts val="0"/>
            </a:spcAft>
            <a:tabLst>
              <a:tab pos="1133475" algn="l"/>
            </a:tabLst>
          </a:pPr>
          <a:endParaRPr lang="en-GB" sz="1400" b="1">
            <a:solidFill>
              <a:srgbClr val="1983BF"/>
            </a:solidFill>
            <a:effectLst/>
            <a:latin typeface="Segoe UI" panose="020B0502040204020203" pitchFamily="34" charset="0"/>
            <a:ea typeface="Segoe UI" panose="020B0502040204020203" pitchFamily="34" charset="0"/>
            <a:cs typeface="+mn-cs"/>
          </a:endParaRPr>
        </a:p>
        <a:p>
          <a:r>
            <a:rPr lang="en-US" sz="1100" b="1">
              <a:solidFill>
                <a:schemeClr val="dk1"/>
              </a:solidFill>
              <a:effectLst/>
              <a:latin typeface="+mn-lt"/>
              <a:ea typeface="+mn-ea"/>
              <a:cs typeface="+mn-cs"/>
            </a:rPr>
            <a:t>IV.1.2. O.B.Q. and R.O.B.</a:t>
          </a:r>
          <a:r>
            <a:rPr lang="en-US" sz="1100">
              <a:solidFill>
                <a:schemeClr val="dk1"/>
              </a:solidFill>
              <a:effectLst/>
              <a:latin typeface="+mn-lt"/>
              <a:ea typeface="+mn-ea"/>
              <a:cs typeface="+mn-cs"/>
            </a:rPr>
            <a:t> </a:t>
          </a:r>
          <a:endParaRPr lang="ru-RU" sz="11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After discharging or before loading most crude and fuel carriers are not completely empty. An 'On Board Quantity' - O.B.Q., before loading or a 'Remaining On Board' - quantity - R.O.B., after discharging will be present in most of these cases. This quantity has to be determined by means of dips or soundings.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These figures are dependent on a lot of factors (pourpoint, temperature, type of crude, condition and construction of the cargotanks, preformance, C.O.W.)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Taking dips (or soundings) should be done together with measuring the reference height. Dips should be taken at various locations across the tank bottom, in order to determine the nature of the remainders.</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The SAYBOLT inspector should describe the material found on board or remaining on board as:</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Liquid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Non liquid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Free water</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Disputes between parties as to the quantity and character (liquid or non-liquid) of the R.O.B., should be reported immediately to all parties concerned, and noted on the OBQ/ROB reports.</a:t>
          </a:r>
          <a:r>
            <a:rPr lang="en-US" sz="1100" b="1">
              <a:solidFill>
                <a:schemeClr val="dk1"/>
              </a:solidFill>
              <a:effectLst/>
              <a:latin typeface="+mn-lt"/>
              <a:ea typeface="+mn-ea"/>
              <a:cs typeface="+mn-cs"/>
            </a:rPr>
            <a:t> </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Free water and liquid oil</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 If the liquid touches all four bulk heads, (if the length of the wedge is larger or equal to the length of the tank), the quantity should be calculated using the ships calibration tables and the trim correction.</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If the liquid doesn't touch all four bulkheads a wedge formula should be applied.</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Non liquid</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Non liquid should be calculated using the ship's calibration tables, without applying a trim correction. It is recommended to dip at more points as to determine if the non liquid is equally spread over the tank bottom.</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b="1">
              <a:solidFill>
                <a:schemeClr val="dk1"/>
              </a:solidFill>
              <a:effectLst/>
              <a:latin typeface="+mn-lt"/>
              <a:ea typeface="+mn-ea"/>
              <a:cs typeface="+mn-cs"/>
            </a:rPr>
            <a:t>Temperature determination with OBQ/ROB</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Non-liquid is calculated as standard volume (at 15 </a:t>
          </a:r>
          <a:r>
            <a:rPr lang="en-US" sz="1100" baseline="30000">
              <a:solidFill>
                <a:schemeClr val="dk1"/>
              </a:solidFill>
              <a:effectLst/>
              <a:latin typeface="+mn-lt"/>
              <a:ea typeface="+mn-ea"/>
              <a:cs typeface="+mn-cs"/>
            </a:rPr>
            <a:t>o</a:t>
          </a:r>
          <a:r>
            <a:rPr lang="en-US" sz="1100">
              <a:solidFill>
                <a:schemeClr val="dk1"/>
              </a:solidFill>
              <a:effectLst/>
              <a:latin typeface="+mn-lt"/>
              <a:ea typeface="+mn-ea"/>
              <a:cs typeface="+mn-cs"/>
            </a:rPr>
            <a:t>C or 60</a:t>
          </a:r>
          <a:r>
            <a:rPr lang="en-US" sz="1100" baseline="30000">
              <a:solidFill>
                <a:schemeClr val="dk1"/>
              </a:solidFill>
              <a:effectLst/>
              <a:latin typeface="+mn-lt"/>
              <a:ea typeface="+mn-ea"/>
              <a:cs typeface="+mn-cs"/>
            </a:rPr>
            <a:t>o</a:t>
          </a:r>
          <a:r>
            <a:rPr lang="en-US" sz="1100">
              <a:solidFill>
                <a:schemeClr val="dk1"/>
              </a:solidFill>
              <a:effectLst/>
              <a:latin typeface="+mn-lt"/>
              <a:ea typeface="+mn-ea"/>
              <a:cs typeface="+mn-cs"/>
            </a:rPr>
            <a:t>F). When the liquid is enough to determine a temperature, temperature should be deter</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mined, otherwise also for the liquid the standard temperature should be used.</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ru-RU" sz="1100">
            <a:solidFill>
              <a:schemeClr val="dk1"/>
            </a:solidFill>
            <a:effectLst/>
            <a:latin typeface="+mn-lt"/>
            <a:ea typeface="+mn-ea"/>
            <a:cs typeface="+mn-cs"/>
          </a:endParaRPr>
        </a:p>
        <a:p>
          <a:r>
            <a:rPr lang="en-US" sz="1100" b="1">
              <a:solidFill>
                <a:schemeClr val="dk1"/>
              </a:solidFill>
              <a:effectLst/>
              <a:latin typeface="+mn-lt"/>
              <a:ea typeface="+mn-ea"/>
              <a:cs typeface="+mn-cs"/>
            </a:rPr>
            <a:t>IV.1.3. Wedge formula</a:t>
          </a:r>
          <a:r>
            <a:rPr lang="en-US" sz="1100">
              <a:solidFill>
                <a:schemeClr val="dk1"/>
              </a:solidFill>
              <a:effectLst/>
              <a:latin typeface="+mn-lt"/>
              <a:ea typeface="+mn-ea"/>
              <a:cs typeface="+mn-cs"/>
            </a:rPr>
            <a:t> </a:t>
          </a:r>
          <a:endParaRPr lang="ru-RU" sz="11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This SAYBOLT wedge-formula is only to be used with liquid, when the liquid doesn't touch all four bulkheads.</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By means of soundings the innage of the liquid is determined. On this innage a correction, (different from the trim correction from the calibration tables) has to be applied. This correction is calculated using the wedge formula.</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Abbreviations used:</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Ls </a:t>
          </a:r>
          <a:r>
            <a:rPr lang="ru-RU" sz="1100" i="1">
              <a:solidFill>
                <a:schemeClr val="dk1"/>
              </a:solidFill>
              <a:effectLst/>
              <a:latin typeface="+mn-lt"/>
              <a:ea typeface="+mn-ea"/>
              <a:cs typeface="+mn-cs"/>
            </a:rPr>
            <a:t>  </a:t>
          </a:r>
          <a:r>
            <a:rPr lang="en-US" sz="1100" i="1">
              <a:solidFill>
                <a:schemeClr val="dk1"/>
              </a:solidFill>
              <a:effectLst/>
              <a:latin typeface="+mn-lt"/>
              <a:ea typeface="+mn-ea"/>
              <a:cs typeface="+mn-cs"/>
            </a:rPr>
            <a:t>=</a:t>
          </a:r>
          <a:r>
            <a:rPr lang="ru-RU" sz="1100" i="1">
              <a:solidFill>
                <a:schemeClr val="dk1"/>
              </a:solidFill>
              <a:effectLst/>
              <a:latin typeface="+mn-lt"/>
              <a:ea typeface="+mn-ea"/>
              <a:cs typeface="+mn-cs"/>
            </a:rPr>
            <a:t> </a:t>
          </a:r>
          <a:r>
            <a:rPr lang="en-US" sz="1100" i="1">
              <a:solidFill>
                <a:schemeClr val="dk1"/>
              </a:solidFill>
              <a:effectLst/>
              <a:latin typeface="+mn-lt"/>
              <a:ea typeface="+mn-ea"/>
              <a:cs typeface="+mn-cs"/>
            </a:rPr>
            <a:t>length between perpendiculars </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Ts </a:t>
          </a:r>
          <a:r>
            <a:rPr lang="ru-RU" sz="1100" i="1">
              <a:solidFill>
                <a:schemeClr val="dk1"/>
              </a:solidFill>
              <a:effectLst/>
              <a:latin typeface="+mn-lt"/>
              <a:ea typeface="+mn-ea"/>
              <a:cs typeface="+mn-cs"/>
            </a:rPr>
            <a:t> </a:t>
          </a:r>
          <a:r>
            <a:rPr lang="en-US" sz="1100" i="1">
              <a:solidFill>
                <a:schemeClr val="dk1"/>
              </a:solidFill>
              <a:effectLst/>
              <a:latin typeface="+mn-lt"/>
              <a:ea typeface="+mn-ea"/>
              <a:cs typeface="+mn-cs"/>
            </a:rPr>
            <a:t>= trim of the vessel</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Y </a:t>
          </a:r>
          <a:r>
            <a:rPr lang="ru-RU" sz="1100" i="1">
              <a:solidFill>
                <a:schemeClr val="dk1"/>
              </a:solidFill>
              <a:effectLst/>
              <a:latin typeface="+mn-lt"/>
              <a:ea typeface="+mn-ea"/>
              <a:cs typeface="+mn-cs"/>
            </a:rPr>
            <a:t>   </a:t>
          </a:r>
          <a:r>
            <a:rPr lang="en-US" sz="1100" i="1">
              <a:solidFill>
                <a:schemeClr val="dk1"/>
              </a:solidFill>
              <a:effectLst/>
              <a:latin typeface="+mn-lt"/>
              <a:ea typeface="+mn-ea"/>
              <a:cs typeface="+mn-cs"/>
            </a:rPr>
            <a:t>= distance from the ullage point to the aft bulkhead</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Da = dip corrected to aft bulkhead</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D </a:t>
          </a:r>
          <a:r>
            <a:rPr lang="ru-RU" sz="1100" i="1">
              <a:solidFill>
                <a:schemeClr val="dk1"/>
              </a:solidFill>
              <a:effectLst/>
              <a:latin typeface="+mn-lt"/>
              <a:ea typeface="+mn-ea"/>
              <a:cs typeface="+mn-cs"/>
            </a:rPr>
            <a:t>  </a:t>
          </a:r>
          <a:r>
            <a:rPr lang="en-US" sz="1100" i="1">
              <a:solidFill>
                <a:schemeClr val="dk1"/>
              </a:solidFill>
              <a:effectLst/>
              <a:latin typeface="+mn-lt"/>
              <a:ea typeface="+mn-ea"/>
              <a:cs typeface="+mn-cs"/>
            </a:rPr>
            <a:t>= observed dip</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Dt </a:t>
          </a:r>
          <a:r>
            <a:rPr lang="ru-RU" sz="1100" i="1">
              <a:solidFill>
                <a:schemeClr val="dk1"/>
              </a:solidFill>
              <a:effectLst/>
              <a:latin typeface="+mn-lt"/>
              <a:ea typeface="+mn-ea"/>
              <a:cs typeface="+mn-cs"/>
            </a:rPr>
            <a:t> </a:t>
          </a:r>
          <a:r>
            <a:rPr lang="en-US" sz="1100" i="1">
              <a:solidFill>
                <a:schemeClr val="dk1"/>
              </a:solidFill>
              <a:effectLst/>
              <a:latin typeface="+mn-lt"/>
              <a:ea typeface="+mn-ea"/>
              <a:cs typeface="+mn-cs"/>
            </a:rPr>
            <a:t>= total height of the tank </a:t>
          </a:r>
          <a:br>
            <a:rPr lang="en-US" sz="1100">
              <a:solidFill>
                <a:schemeClr val="dk1"/>
              </a:solidFill>
              <a:effectLst/>
              <a:latin typeface="+mn-lt"/>
              <a:ea typeface="+mn-ea"/>
              <a:cs typeface="+mn-cs"/>
            </a:rPr>
          </a:br>
          <a:endParaRPr lang="ru-RU" sz="1100">
            <a:solidFill>
              <a:schemeClr val="dk1"/>
            </a:solidFill>
            <a:effectLst/>
            <a:latin typeface="+mn-lt"/>
            <a:ea typeface="+mn-ea"/>
            <a:cs typeface="+mn-cs"/>
          </a:endParaRPr>
        </a:p>
        <a:p>
          <a:endParaRPr lang="en-GB" sz="900">
            <a:effectLst/>
            <a:latin typeface="Segoe UI" panose="020B0502040204020203" pitchFamily="34" charset="0"/>
            <a:ea typeface="Segoe UI" panose="020B0502040204020203" pitchFamily="34" charset="0"/>
          </a:endParaRPr>
        </a:p>
        <a:p>
          <a:r>
            <a:rPr lang="en-US" sz="1100" i="1">
              <a:solidFill>
                <a:schemeClr val="dk1"/>
              </a:solidFill>
              <a:effectLst/>
              <a:latin typeface="+mn-lt"/>
              <a:ea typeface="+mn-ea"/>
              <a:cs typeface="+mn-cs"/>
            </a:rPr>
            <a:t>                Ts</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DF = Dt x-----</a:t>
          </a:r>
          <a:br>
            <a:rPr lang="en-US" sz="1100">
              <a:solidFill>
                <a:schemeClr val="dk1"/>
              </a:solidFill>
              <a:effectLst/>
              <a:latin typeface="+mn-lt"/>
              <a:ea typeface="+mn-ea"/>
              <a:cs typeface="+mn-cs"/>
            </a:rPr>
          </a:br>
          <a:r>
            <a:rPr lang="en-US" sz="1100" i="1">
              <a:solidFill>
                <a:schemeClr val="dk1"/>
              </a:solidFill>
              <a:effectLst/>
              <a:latin typeface="+mn-lt"/>
              <a:ea typeface="+mn-ea"/>
              <a:cs typeface="+mn-cs"/>
            </a:rPr>
            <a:t>                Ls</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First the measured dip has to be corrected as it if was measured at the aft bulkhead:</a:t>
          </a:r>
          <a:endParaRPr lang="ru-RU" sz="11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100">
              <a:effectLst/>
            </a:rPr>
            <a:t>              (Y-Df) x T</a:t>
          </a:r>
          <a:r>
            <a:rPr lang="en-US" sz="1100" baseline="-25000">
              <a:effectLst/>
            </a:rPr>
            <a:t>s</a:t>
          </a:r>
          <a:br>
            <a:rPr lang="en-US" sz="1100">
              <a:solidFill>
                <a:schemeClr val="dk1"/>
              </a:solidFill>
              <a:effectLst/>
              <a:latin typeface="+mn-lt"/>
              <a:ea typeface="+mn-ea"/>
              <a:cs typeface="+mn-cs"/>
            </a:rPr>
          </a:br>
          <a:r>
            <a:rPr lang="en-US" sz="1100">
              <a:effectLst/>
            </a:rPr>
            <a:t>D</a:t>
          </a:r>
          <a:r>
            <a:rPr lang="en-US" sz="1100" baseline="-25000">
              <a:effectLst/>
            </a:rPr>
            <a:t>a</a:t>
          </a:r>
          <a:r>
            <a:rPr lang="en-US" sz="1100">
              <a:effectLst/>
            </a:rPr>
            <a:t>= D + ------------</a:t>
          </a:r>
          <a:br>
            <a:rPr lang="en-US" sz="1100">
              <a:solidFill>
                <a:schemeClr val="dk1"/>
              </a:solidFill>
              <a:effectLst/>
              <a:latin typeface="+mn-lt"/>
              <a:ea typeface="+mn-ea"/>
              <a:cs typeface="+mn-cs"/>
            </a:rPr>
          </a:br>
          <a:r>
            <a:rPr lang="en-US" sz="1100">
              <a:effectLst/>
            </a:rPr>
            <a:t>                     L</a:t>
          </a:r>
          <a:r>
            <a:rPr lang="en-US" sz="1100" baseline="-25000">
              <a:effectLst/>
            </a:rPr>
            <a:t>s</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chemeClr val="dk1"/>
              </a:solidFill>
              <a:effectLst/>
              <a:latin typeface="+mn-lt"/>
              <a:ea typeface="+mn-ea"/>
              <a:cs typeface="+mn-cs"/>
            </a:rPr>
            <a:t>                   (Y-DF) x T</a:t>
          </a:r>
          <a:r>
            <a:rPr lang="en-US" sz="1100" baseline="-25000">
              <a:solidFill>
                <a:schemeClr val="dk1"/>
              </a:solidFill>
              <a:effectLst/>
              <a:latin typeface="+mn-lt"/>
              <a:ea typeface="+mn-ea"/>
              <a:cs typeface="+mn-cs"/>
            </a:rPr>
            <a:t>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When   -----------------------                     is less then zero, then let Da=D.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L</a:t>
          </a:r>
          <a:r>
            <a:rPr lang="en-US" sz="1100" baseline="-25000">
              <a:solidFill>
                <a:schemeClr val="dk1"/>
              </a:solidFill>
              <a:effectLst/>
              <a:latin typeface="+mn-lt"/>
              <a:ea typeface="+mn-ea"/>
              <a:cs typeface="+mn-cs"/>
            </a:rPr>
            <a:t>s</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Next t he length of the wedge is calculated by:</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L</a:t>
          </a:r>
          <a:r>
            <a:rPr lang="en-US" sz="1100" baseline="-25000">
              <a:solidFill>
                <a:schemeClr val="dk1"/>
              </a:solidFill>
              <a:effectLst/>
              <a:latin typeface="+mn-lt"/>
              <a:ea typeface="+mn-ea"/>
              <a:cs typeface="+mn-cs"/>
            </a:rPr>
            <a:t>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Lw = Da x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T</a:t>
          </a:r>
          <a:r>
            <a:rPr lang="en-US" sz="1100" baseline="-25000">
              <a:solidFill>
                <a:schemeClr val="dk1"/>
              </a:solidFill>
              <a:effectLst/>
              <a:latin typeface="+mn-lt"/>
              <a:ea typeface="+mn-ea"/>
              <a:cs typeface="+mn-cs"/>
            </a:rPr>
            <a:t>s</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If Lw is less then the length of that particular cargo tank, the wedge formula is applicable.</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If the wedge formula is applicable, we now enter the ship's calibration tables for that particular tank, with the following dip value:</a:t>
          </a:r>
          <a:endParaRPr lang="ru-RU" sz="1100">
            <a:solidFill>
              <a:schemeClr val="dk1"/>
            </a:solidFill>
            <a:effectLst/>
            <a:latin typeface="+mn-lt"/>
            <a:ea typeface="+mn-ea"/>
            <a:cs typeface="+mn-cs"/>
          </a:endParaRPr>
        </a:p>
        <a:p>
          <a:br>
            <a:rPr lang="en-US" sz="1100">
              <a:solidFill>
                <a:schemeClr val="dk1"/>
              </a:solidFill>
              <a:effectLst/>
              <a:latin typeface="+mn-lt"/>
              <a:ea typeface="+mn-ea"/>
              <a:cs typeface="+mn-cs"/>
            </a:rPr>
          </a:br>
          <a:r>
            <a:rPr lang="en-US" sz="1100">
              <a:solidFill>
                <a:schemeClr val="dk1"/>
              </a:solidFill>
              <a:effectLst/>
              <a:latin typeface="+mn-lt"/>
              <a:ea typeface="+mn-ea"/>
              <a:cs typeface="+mn-cs"/>
            </a:rPr>
            <a:t>The wedge volume can now be calculated with the following formula:</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V x D</a:t>
          </a:r>
          <a:r>
            <a:rPr lang="en-US" sz="1100" baseline="-25000">
              <a:solidFill>
                <a:schemeClr val="dk1"/>
              </a:solidFill>
              <a:effectLst/>
              <a:latin typeface="+mn-lt"/>
              <a:ea typeface="+mn-ea"/>
              <a:cs typeface="+mn-cs"/>
            </a:rPr>
            <a:t>a </a:t>
          </a:r>
          <a:r>
            <a:rPr lang="en-US" sz="1100">
              <a:solidFill>
                <a:schemeClr val="dk1"/>
              </a:solidFill>
              <a:effectLst/>
              <a:latin typeface="+mn-lt"/>
              <a:ea typeface="+mn-ea"/>
              <a:cs typeface="+mn-cs"/>
            </a:rPr>
            <a:t>x L</a:t>
          </a:r>
          <a:r>
            <a:rPr lang="en-US" sz="1100" baseline="-25000">
              <a:solidFill>
                <a:schemeClr val="dk1"/>
              </a:solidFill>
              <a:effectLst/>
              <a:latin typeface="+mn-lt"/>
              <a:ea typeface="+mn-ea"/>
              <a:cs typeface="+mn-cs"/>
            </a:rPr>
            <a:t>s</a:t>
          </a:r>
          <a:br>
            <a:rPr lang="en-US" sz="1100">
              <a:solidFill>
                <a:schemeClr val="dk1"/>
              </a:solidFill>
              <a:effectLst/>
              <a:latin typeface="+mn-lt"/>
              <a:ea typeface="+mn-ea"/>
              <a:cs typeface="+mn-cs"/>
            </a:rPr>
          </a:br>
          <a:r>
            <a:rPr lang="en-US" sz="1100" baseline="-25000">
              <a:solidFill>
                <a:schemeClr val="dk1"/>
              </a:solidFill>
              <a:effectLst/>
              <a:latin typeface="+mn-lt"/>
              <a:ea typeface="+mn-ea"/>
              <a:cs typeface="+mn-cs"/>
            </a:rPr>
            <a:t>                            VW  =  ---------------------</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L</a:t>
          </a:r>
          <a:r>
            <a:rPr lang="en-US" sz="1100" baseline="-25000">
              <a:solidFill>
                <a:schemeClr val="dk1"/>
              </a:solidFill>
              <a:effectLst/>
              <a:latin typeface="+mn-lt"/>
              <a:ea typeface="+mn-ea"/>
              <a:cs typeface="+mn-cs"/>
            </a:rPr>
            <a:t>t x </a:t>
          </a:r>
          <a:r>
            <a:rPr lang="en-US" sz="1100">
              <a:solidFill>
                <a:schemeClr val="dk1"/>
              </a:solidFill>
              <a:effectLst/>
              <a:latin typeface="+mn-lt"/>
              <a:ea typeface="+mn-ea"/>
              <a:cs typeface="+mn-cs"/>
            </a:rPr>
            <a:t>T</a:t>
          </a:r>
          <a:r>
            <a:rPr lang="en-US" sz="1100" baseline="-25000">
              <a:solidFill>
                <a:schemeClr val="dk1"/>
              </a:solidFill>
              <a:effectLst/>
              <a:latin typeface="+mn-lt"/>
              <a:ea typeface="+mn-ea"/>
              <a:cs typeface="+mn-cs"/>
            </a:rPr>
            <a:t>s</a:t>
          </a:r>
          <a:r>
            <a:rPr lang="en-US" sz="1100">
              <a:solidFill>
                <a:schemeClr val="dk1"/>
              </a:solidFill>
              <a:effectLst/>
              <a:latin typeface="+mn-lt"/>
              <a:ea typeface="+mn-ea"/>
              <a:cs typeface="+mn-cs"/>
            </a:rPr>
            <a:t> </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ru-RU" sz="1100">
            <a:solidFill>
              <a:schemeClr val="dk1"/>
            </a:solidFill>
            <a:effectLst/>
            <a:latin typeface="+mn-lt"/>
            <a:ea typeface="+mn-ea"/>
            <a:cs typeface="+mn-cs"/>
          </a:endParaRPr>
        </a:p>
        <a:p>
          <a:r>
            <a:rPr lang="en-US" sz="1100">
              <a:solidFill>
                <a:schemeClr val="dk1"/>
              </a:solidFill>
              <a:effectLst/>
              <a:latin typeface="+mn-lt"/>
              <a:ea typeface="+mn-ea"/>
              <a:cs typeface="+mn-cs"/>
            </a:rPr>
            <a:t>in which: V =Volume found in ships calibration tables at even keel at dip Da/2.</a:t>
          </a:r>
          <a:endParaRPr lang="ru-RU"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rgbClr val="FF0000"/>
              </a:solidFill>
              <a:effectLst/>
              <a:latin typeface="+mn-lt"/>
              <a:ea typeface="+mn-ea"/>
              <a:cs typeface="+mn-cs"/>
            </a:rPr>
            <a:t>Example:</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Measured dip D = 14 cm = 0.14 meter </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Y   = 2.00 meter </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Dt = 27.49 meter </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Lt = 40.00 meter</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Ls = 329.20 meter </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Ts = 2.50 meter </a:t>
          </a:r>
          <a:br>
            <a:rPr lang="en-US" sz="1100">
              <a:solidFill>
                <a:srgbClr val="FF0000"/>
              </a:solidFill>
              <a:effectLst/>
              <a:latin typeface="+mn-lt"/>
              <a:ea typeface="+mn-ea"/>
              <a:cs typeface="+mn-cs"/>
            </a:rPr>
          </a:br>
          <a:br>
            <a:rPr lang="en-US" sz="1100">
              <a:solidFill>
                <a:srgbClr val="FF0000"/>
              </a:solidFill>
              <a:effectLst/>
              <a:latin typeface="+mn-lt"/>
              <a:ea typeface="+mn-ea"/>
              <a:cs typeface="+mn-cs"/>
            </a:rPr>
          </a:br>
          <a:r>
            <a:rPr lang="en-US" sz="1100">
              <a:solidFill>
                <a:srgbClr val="FF0000"/>
              </a:solidFill>
              <a:effectLst/>
              <a:latin typeface="+mn-lt"/>
              <a:ea typeface="+mn-ea"/>
              <a:cs typeface="+mn-cs"/>
            </a:rPr>
            <a:t>Corrected dip:</a:t>
          </a:r>
          <a:br>
            <a:rPr lang="en-US" sz="1100">
              <a:solidFill>
                <a:srgbClr val="FF0000"/>
              </a:solidFill>
              <a:effectLst/>
              <a:latin typeface="+mn-lt"/>
              <a:ea typeface="+mn-ea"/>
              <a:cs typeface="+mn-cs"/>
            </a:rPr>
          </a:br>
          <a:br>
            <a:rPr lang="en-US" sz="1100">
              <a:solidFill>
                <a:srgbClr val="FF0000"/>
              </a:solidFill>
              <a:effectLst/>
              <a:latin typeface="+mn-lt"/>
              <a:ea typeface="+mn-ea"/>
              <a:cs typeface="+mn-cs"/>
            </a:rPr>
          </a:br>
          <a:r>
            <a:rPr lang="en-US" sz="1100">
              <a:solidFill>
                <a:srgbClr val="FF0000"/>
              </a:solidFill>
              <a:effectLst/>
              <a:latin typeface="+mn-lt"/>
              <a:ea typeface="+mn-ea"/>
              <a:cs typeface="+mn-cs"/>
            </a:rPr>
            <a:t>Da= D+</a:t>
          </a:r>
          <a:r>
            <a:rPr lang="en-US" sz="1100" u="sng">
              <a:solidFill>
                <a:srgbClr val="FF0000"/>
              </a:solidFill>
              <a:effectLst/>
              <a:latin typeface="+mn-lt"/>
              <a:ea typeface="+mn-ea"/>
              <a:cs typeface="+mn-cs"/>
            </a:rPr>
            <a:t>((Y - DF) x Ts)</a:t>
          </a:r>
          <a:r>
            <a:rPr lang="en-US" sz="1100">
              <a:solidFill>
                <a:srgbClr val="FF0000"/>
              </a:solidFill>
              <a:effectLst/>
              <a:latin typeface="+mn-lt"/>
              <a:ea typeface="+mn-ea"/>
              <a:cs typeface="+mn-cs"/>
            </a:rPr>
            <a:t> = 0.14+((2.00-(</a:t>
          </a:r>
          <a:r>
            <a:rPr lang="en-US" sz="1100" u="sng">
              <a:solidFill>
                <a:srgbClr val="FF0000"/>
              </a:solidFill>
              <a:effectLst/>
              <a:latin typeface="+mn-lt"/>
              <a:ea typeface="+mn-ea"/>
              <a:cs typeface="+mn-cs"/>
            </a:rPr>
            <a:t>27.49x2.50</a:t>
          </a:r>
          <a:r>
            <a:rPr lang="en-US" sz="1100">
              <a:solidFill>
                <a:srgbClr val="FF0000"/>
              </a:solidFill>
              <a:effectLst/>
              <a:latin typeface="+mn-lt"/>
              <a:ea typeface="+mn-ea"/>
              <a:cs typeface="+mn-cs"/>
            </a:rPr>
            <a:t>))x</a:t>
          </a:r>
          <a:r>
            <a:rPr lang="en-US" sz="1100" u="sng">
              <a:solidFill>
                <a:srgbClr val="FF0000"/>
              </a:solidFill>
              <a:effectLst/>
              <a:latin typeface="+mn-lt"/>
              <a:ea typeface="+mn-ea"/>
              <a:cs typeface="+mn-cs"/>
            </a:rPr>
            <a:t>2.50</a:t>
          </a:r>
          <a:r>
            <a:rPr lang="en-US" sz="1100">
              <a:solidFill>
                <a:srgbClr val="FF0000"/>
              </a:solidFill>
              <a:effectLst/>
              <a:latin typeface="+mn-lt"/>
              <a:ea typeface="+mn-ea"/>
              <a:cs typeface="+mn-cs"/>
            </a:rPr>
            <a:t>)</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                      Ls                                          329.20    329.20</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 = 0.14 + ((2.00- 0.2088) x 0.0076)</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 = 0.14 + (1.7912 x 0.0076)</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 = 0.1536 m</a:t>
          </a:r>
          <a:br>
            <a:rPr lang="en-US" sz="1100">
              <a:solidFill>
                <a:srgbClr val="FF0000"/>
              </a:solidFill>
              <a:effectLst/>
              <a:latin typeface="+mn-lt"/>
              <a:ea typeface="+mn-ea"/>
              <a:cs typeface="+mn-cs"/>
            </a:rPr>
          </a:br>
          <a:br>
            <a:rPr lang="en-US" sz="1100">
              <a:solidFill>
                <a:srgbClr val="FF0000"/>
              </a:solidFill>
              <a:effectLst/>
              <a:latin typeface="+mn-lt"/>
              <a:ea typeface="+mn-ea"/>
              <a:cs typeface="+mn-cs"/>
            </a:rPr>
          </a:br>
          <a:r>
            <a:rPr lang="en-US" sz="1100">
              <a:solidFill>
                <a:srgbClr val="FF0000"/>
              </a:solidFill>
              <a:effectLst/>
              <a:latin typeface="+mn-lt"/>
              <a:ea typeface="+mn-ea"/>
              <a:cs typeface="+mn-cs"/>
            </a:rPr>
            <a:t>Check is Lw less than Lt:</a:t>
          </a:r>
          <a:br>
            <a:rPr lang="en-US" sz="1100">
              <a:solidFill>
                <a:srgbClr val="FF0000"/>
              </a:solidFill>
              <a:effectLst/>
              <a:latin typeface="+mn-lt"/>
              <a:ea typeface="+mn-ea"/>
              <a:cs typeface="+mn-cs"/>
            </a:rPr>
          </a:br>
          <a:endParaRPr lang="ru-RU" sz="900">
            <a:solidFill>
              <a:srgbClr val="FF0000"/>
            </a:solidFill>
            <a:effectLst/>
            <a:latin typeface="Segoe UI" panose="020B0502040204020203" pitchFamily="34" charset="0"/>
            <a:ea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rgbClr val="FF0000"/>
              </a:solidFill>
              <a:effectLst/>
              <a:latin typeface="+mn-lt"/>
              <a:ea typeface="+mn-ea"/>
              <a:cs typeface="+mn-cs"/>
            </a:rPr>
            <a:t>Lw = Da x </a:t>
          </a:r>
          <a:r>
            <a:rPr lang="en-US" sz="1100" u="sng">
              <a:solidFill>
                <a:srgbClr val="FF0000"/>
              </a:solidFill>
              <a:effectLst/>
              <a:latin typeface="+mn-lt"/>
              <a:ea typeface="+mn-ea"/>
              <a:cs typeface="+mn-cs"/>
            </a:rPr>
            <a:t>Ls</a:t>
          </a:r>
          <a:r>
            <a:rPr lang="en-US" sz="1100">
              <a:solidFill>
                <a:srgbClr val="FF0000"/>
              </a:solidFill>
              <a:effectLst/>
              <a:latin typeface="+mn-lt"/>
              <a:ea typeface="+mn-ea"/>
              <a:cs typeface="+mn-cs"/>
            </a:rPr>
            <a:t> = </a:t>
          </a:r>
          <a:r>
            <a:rPr lang="en-US" sz="1100" u="sng">
              <a:solidFill>
                <a:srgbClr val="FF0000"/>
              </a:solidFill>
              <a:effectLst/>
              <a:latin typeface="+mn-lt"/>
              <a:ea typeface="+mn-ea"/>
              <a:cs typeface="+mn-cs"/>
            </a:rPr>
            <a:t>0.1536 x 329.20</a:t>
          </a:r>
          <a:r>
            <a:rPr lang="en-US" sz="1100">
              <a:solidFill>
                <a:srgbClr val="FF0000"/>
              </a:solidFill>
              <a:effectLst/>
              <a:latin typeface="+mn-lt"/>
              <a:ea typeface="+mn-ea"/>
              <a:cs typeface="+mn-cs"/>
            </a:rPr>
            <a:t> = 20.23 m</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                  Ts             2.50</a:t>
          </a:r>
          <a:br>
            <a:rPr lang="en-US" sz="1100">
              <a:solidFill>
                <a:schemeClr val="dk1"/>
              </a:solidFill>
              <a:effectLst/>
              <a:latin typeface="+mn-lt"/>
              <a:ea typeface="+mn-ea"/>
              <a:cs typeface="+mn-cs"/>
            </a:rPr>
          </a:br>
          <a:br>
            <a:rPr lang="en-US" sz="1100">
              <a:solidFill>
                <a:schemeClr val="dk1"/>
              </a:solidFill>
              <a:effectLst/>
              <a:latin typeface="+mn-lt"/>
              <a:ea typeface="+mn-ea"/>
              <a:cs typeface="+mn-cs"/>
            </a:rPr>
          </a:br>
          <a:r>
            <a:rPr lang="en-US" sz="1100">
              <a:solidFill>
                <a:srgbClr val="FF0000"/>
              </a:solidFill>
              <a:effectLst/>
              <a:latin typeface="+mn-lt"/>
              <a:ea typeface="+mn-ea"/>
              <a:cs typeface="+mn-cs"/>
            </a:rPr>
            <a:t>We now enter the ship's calibration tables at even keel at a dip of 0.1536 / 2 = 0.08 m. In a imaginairy calibration table the volume for 0.08 m even-keel is read, being 16,032 Ltr.</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The wedge volume can now be calculated as:</a:t>
          </a:r>
          <a:br>
            <a:rPr lang="en-US" sz="1100">
              <a:solidFill>
                <a:srgbClr val="FF0000"/>
              </a:solidFill>
              <a:effectLst/>
              <a:latin typeface="+mn-lt"/>
              <a:ea typeface="+mn-ea"/>
              <a:cs typeface="+mn-cs"/>
            </a:rPr>
          </a:br>
          <a:br>
            <a:rPr lang="en-US" sz="1100">
              <a:solidFill>
                <a:srgbClr val="FF0000"/>
              </a:solidFill>
              <a:effectLst/>
              <a:latin typeface="+mn-lt"/>
              <a:ea typeface="+mn-ea"/>
              <a:cs typeface="+mn-cs"/>
            </a:rPr>
          </a:br>
          <a:r>
            <a:rPr lang="en-US" sz="1100">
              <a:solidFill>
                <a:srgbClr val="FF0000"/>
              </a:solidFill>
              <a:effectLst/>
              <a:latin typeface="+mn-lt"/>
              <a:ea typeface="+mn-ea"/>
              <a:cs typeface="+mn-cs"/>
            </a:rPr>
            <a:t>Vw = </a:t>
          </a:r>
          <a:r>
            <a:rPr lang="en-US" sz="1100" u="sng">
              <a:solidFill>
                <a:srgbClr val="FF0000"/>
              </a:solidFill>
              <a:effectLst/>
              <a:latin typeface="+mn-lt"/>
              <a:ea typeface="+mn-ea"/>
              <a:cs typeface="+mn-cs"/>
            </a:rPr>
            <a:t>V x Da x Ls</a:t>
          </a:r>
          <a:r>
            <a:rPr lang="en-US" sz="1100">
              <a:solidFill>
                <a:srgbClr val="FF0000"/>
              </a:solidFill>
              <a:effectLst/>
              <a:latin typeface="+mn-lt"/>
              <a:ea typeface="+mn-ea"/>
              <a:cs typeface="+mn-cs"/>
            </a:rPr>
            <a:t> = </a:t>
          </a:r>
          <a:r>
            <a:rPr lang="en-US" sz="1100" u="sng">
              <a:solidFill>
                <a:srgbClr val="FF0000"/>
              </a:solidFill>
              <a:effectLst/>
              <a:latin typeface="+mn-lt"/>
              <a:ea typeface="+mn-ea"/>
              <a:cs typeface="+mn-cs"/>
            </a:rPr>
            <a:t>16,032 x 0.1536 x 329.20</a:t>
          </a:r>
          <a:r>
            <a:rPr lang="en-US" sz="1100">
              <a:solidFill>
                <a:srgbClr val="FF0000"/>
              </a:solidFill>
              <a:effectLst/>
              <a:latin typeface="+mn-lt"/>
              <a:ea typeface="+mn-ea"/>
              <a:cs typeface="+mn-cs"/>
            </a:rPr>
            <a:t> = 8,107 ltr.</a:t>
          </a:r>
          <a:br>
            <a:rPr lang="en-US" sz="1100">
              <a:solidFill>
                <a:srgbClr val="FF0000"/>
              </a:solidFill>
              <a:effectLst/>
              <a:latin typeface="+mn-lt"/>
              <a:ea typeface="+mn-ea"/>
              <a:cs typeface="+mn-cs"/>
            </a:rPr>
          </a:br>
          <a:r>
            <a:rPr lang="en-US" sz="1100">
              <a:solidFill>
                <a:srgbClr val="FF0000"/>
              </a:solidFill>
              <a:effectLst/>
              <a:latin typeface="+mn-lt"/>
              <a:ea typeface="+mn-ea"/>
              <a:cs typeface="+mn-cs"/>
            </a:rPr>
            <a:t>                Lt x Ts               40.00 x 2.50</a:t>
          </a:r>
          <a:endParaRPr lang="ru-RU" sz="1100">
            <a:solidFill>
              <a:srgbClr val="FF0000"/>
            </a:solidFill>
            <a:effectLst/>
            <a:latin typeface="+mn-lt"/>
            <a:ea typeface="+mn-ea"/>
            <a:cs typeface="+mn-cs"/>
          </a:endParaRPr>
        </a:p>
        <a:p>
          <a:pPr>
            <a:spcAft>
              <a:spcPts val="0"/>
            </a:spcAft>
          </a:pPr>
          <a:endParaRPr lang="ru-RU" sz="900" b="1">
            <a:solidFill>
              <a:srgbClr val="FF0000"/>
            </a:solidFill>
            <a:effectLst/>
            <a:latin typeface="Segoe UI" panose="020B0502040204020203" pitchFamily="34" charset="0"/>
            <a:ea typeface="Segoe UI" panose="020B0502040204020203" pitchFamily="34" charset="0"/>
          </a:endParaRPr>
        </a:p>
        <a:p>
          <a:endParaRPr lang="en-GB" sz="900">
            <a:solidFill>
              <a:srgbClr val="000000"/>
            </a:solidFill>
            <a:effectLst/>
            <a:latin typeface="Segoe UI" panose="020B0502040204020203" pitchFamily="34" charset="0"/>
            <a:ea typeface="Segoe UI" panose="020B0502040204020203" pitchFamily="34" charset="0"/>
          </a:endParaRPr>
        </a:p>
        <a:p>
          <a:endParaRPr lang="en-GB" sz="1100" b="0">
            <a:effectLst/>
            <a:latin typeface="+mn-lt"/>
            <a:ea typeface="+mn-ea"/>
            <a:cs typeface="+mn-cs"/>
          </a:endParaRPr>
        </a:p>
      </xdr:txBody>
    </xdr:sp>
    <xdr:clientData/>
  </xdr:twoCellAnchor>
  <xdr:twoCellAnchor>
    <xdr:from>
      <xdr:col>3</xdr:col>
      <xdr:colOff>1447799</xdr:colOff>
      <xdr:row>32</xdr:row>
      <xdr:rowOff>160020</xdr:rowOff>
    </xdr:from>
    <xdr:to>
      <xdr:col>3</xdr:col>
      <xdr:colOff>5588758</xdr:colOff>
      <xdr:row>46</xdr:row>
      <xdr:rowOff>137160</xdr:rowOff>
    </xdr:to>
    <xdr:pic>
      <xdr:nvPicPr>
        <xdr:cNvPr id="3" name="Рисунок 2" descr="0">
          <a:extLst>
            <a:ext uri="{FF2B5EF4-FFF2-40B4-BE49-F238E27FC236}">
              <a16:creationId xmlns:a16="http://schemas.microsoft.com/office/drawing/2014/main" id="{00000000-0008-0000-3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37659" y="8595360"/>
          <a:ext cx="4140959" cy="2621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5</xdr:col>
      <xdr:colOff>205740</xdr:colOff>
      <xdr:row>4</xdr:row>
      <xdr:rowOff>45720</xdr:rowOff>
    </xdr:from>
    <xdr:to>
      <xdr:col>5</xdr:col>
      <xdr:colOff>586740</xdr:colOff>
      <xdr:row>4</xdr:row>
      <xdr:rowOff>230075</xdr:rowOff>
    </xdr:to>
    <xdr:pic>
      <xdr:nvPicPr>
        <xdr:cNvPr id="4" name="Picture 2">
          <a:extLst>
            <a:ext uri="{FF2B5EF4-FFF2-40B4-BE49-F238E27FC236}">
              <a16:creationId xmlns:a16="http://schemas.microsoft.com/office/drawing/2014/main" id="{00000000-0008-0000-3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7940" y="1013460"/>
          <a:ext cx="381000" cy="184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3</xdr:col>
      <xdr:colOff>0</xdr:colOff>
      <xdr:row>2</xdr:row>
      <xdr:rowOff>264794</xdr:rowOff>
    </xdr:from>
    <xdr:to>
      <xdr:col>3</xdr:col>
      <xdr:colOff>7993380</xdr:colOff>
      <xdr:row>76</xdr:row>
      <xdr:rowOff>15239</xdr:rowOff>
    </xdr:to>
    <xdr:sp macro="" textlink="">
      <xdr:nvSpPr>
        <xdr:cNvPr id="2" name="TextBox 1">
          <a:extLst>
            <a:ext uri="{FF2B5EF4-FFF2-40B4-BE49-F238E27FC236}">
              <a16:creationId xmlns:a16="http://schemas.microsoft.com/office/drawing/2014/main" id="{00000000-0008-0000-3600-000002000000}"/>
            </a:ext>
          </a:extLst>
        </xdr:cNvPr>
        <xdr:cNvSpPr txBox="1"/>
      </xdr:nvSpPr>
      <xdr:spPr>
        <a:xfrm>
          <a:off x="2628900" y="699134"/>
          <a:ext cx="7993380" cy="15523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lnSpc>
              <a:spcPts val="1200"/>
            </a:lnSpc>
          </a:pPr>
          <a:endParaRPr lang="en-US" b="0" i="0">
            <a:solidFill>
              <a:srgbClr val="333333"/>
            </a:solidFill>
            <a:effectLst/>
            <a:latin typeface="Oswald"/>
          </a:endParaRPr>
        </a:p>
        <a:p>
          <a:pPr algn="l">
            <a:lnSpc>
              <a:spcPts val="1400"/>
            </a:lnSpc>
          </a:pPr>
          <a:r>
            <a:rPr lang="en-US" sz="1200" b="1" i="0" u="none" strike="noStrike" baseline="0">
              <a:solidFill>
                <a:schemeClr val="tx2">
                  <a:lumMod val="75000"/>
                </a:schemeClr>
              </a:solidFill>
              <a:latin typeface="+mn-lt"/>
              <a:ea typeface="+mn-ea"/>
              <a:cs typeface="+mn-cs"/>
            </a:rPr>
            <a:t>Calculation of quantity of oil in the commingling tank at the loading port</a:t>
          </a:r>
        </a:p>
        <a:p>
          <a:pPr algn="l"/>
          <a:endParaRPr lang="en-US" sz="1100" b="0" i="0" u="none" strike="noStrike" baseline="0">
            <a:solidFill>
              <a:schemeClr val="dk1"/>
            </a:solidFill>
            <a:latin typeface="+mn-lt"/>
            <a:ea typeface="+mn-ea"/>
            <a:cs typeface="+mn-cs"/>
          </a:endParaRPr>
        </a:p>
        <a:p>
          <a:r>
            <a:rPr lang="en-US" sz="1100" b="0" i="0" u="none" strike="noStrike" baseline="0">
              <a:solidFill>
                <a:schemeClr val="dk1"/>
              </a:solidFill>
              <a:latin typeface="+mn-lt"/>
              <a:ea typeface="+mn-ea"/>
              <a:cs typeface="+mn-cs"/>
            </a:rPr>
            <a:t>a)  Calculate the quantity of cargo loaded by conventional method (A-Net) after loading First Loading Cargo (A).</a:t>
          </a:r>
        </a:p>
        <a:p>
          <a:r>
            <a:rPr lang="en-US" sz="1100" b="0" i="0" u="none" strike="noStrike" baseline="0">
              <a:solidFill>
                <a:schemeClr val="dk1"/>
              </a:solidFill>
              <a:latin typeface="+mn-lt"/>
              <a:ea typeface="+mn-ea"/>
              <a:cs typeface="+mn-cs"/>
            </a:rPr>
            <a:t>b)  Determine the temperature of cargo (T) after commingled loading and after Second Grade cargo (B) has been loaded.</a:t>
          </a:r>
        </a:p>
        <a:p>
          <a:r>
            <a:rPr lang="en-US" sz="1100" b="0" i="0" u="none" strike="noStrike" baseline="0">
              <a:solidFill>
                <a:schemeClr val="dk1"/>
              </a:solidFill>
              <a:latin typeface="+mn-lt"/>
              <a:ea typeface="+mn-ea"/>
              <a:cs typeface="+mn-cs"/>
            </a:rPr>
            <a:t>c)  Convert the quantity of First Loading Cargo (A-Net) to the cargo after commingling at temperature (T) and determine the gross </a:t>
          </a:r>
        </a:p>
        <a:p>
          <a:r>
            <a:rPr lang="en-US" sz="1100" b="0" i="0" u="none" strike="noStrike" baseline="0">
              <a:solidFill>
                <a:schemeClr val="dk1"/>
              </a:solidFill>
              <a:latin typeface="+mn-lt"/>
              <a:ea typeface="+mn-ea"/>
              <a:cs typeface="+mn-cs"/>
            </a:rPr>
            <a:t>      quantity (A-Gross).</a:t>
          </a:r>
        </a:p>
        <a:p>
          <a:r>
            <a:rPr lang="en-US" sz="1100" b="0" i="0" u="none" strike="noStrike" baseline="0">
              <a:solidFill>
                <a:schemeClr val="dk1"/>
              </a:solidFill>
              <a:latin typeface="+mn-lt"/>
              <a:ea typeface="+mn-ea"/>
              <a:cs typeface="+mn-cs"/>
            </a:rPr>
            <a:t>d)  Deduct A-Gross from the total cargo quantity after commingled loading and determine B-gross, </a:t>
          </a:r>
        </a:p>
        <a:p>
          <a:r>
            <a:rPr lang="en-US" sz="1100" b="0" i="0" u="none" strike="noStrike" baseline="0">
              <a:solidFill>
                <a:schemeClr val="dk1"/>
              </a:solidFill>
              <a:latin typeface="+mn-lt"/>
              <a:ea typeface="+mn-ea"/>
              <a:cs typeface="+mn-cs"/>
            </a:rPr>
            <a:t>      the quantity of Second Grade cargo (B) at temperature (T) loaded subsequently.</a:t>
          </a:r>
        </a:p>
        <a:p>
          <a:r>
            <a:rPr lang="en-US" sz="1100" b="0" i="0" u="none" strike="noStrike" baseline="0">
              <a:solidFill>
                <a:schemeClr val="dk1"/>
              </a:solidFill>
              <a:latin typeface="+mn-lt"/>
              <a:ea typeface="+mn-ea"/>
              <a:cs typeface="+mn-cs"/>
            </a:rPr>
            <a:t>e)  Calculate B-net, the quantity of Second Grade cargo (B) at temperature (T) from B-Gross. </a:t>
          </a:r>
        </a:p>
        <a:p>
          <a:r>
            <a:rPr lang="en-US" sz="1100" b="0" i="0" u="none" strike="noStrike" baseline="0">
              <a:solidFill>
                <a:schemeClr val="dk1"/>
              </a:solidFill>
              <a:latin typeface="+mn-lt"/>
              <a:ea typeface="+mn-ea"/>
              <a:cs typeface="+mn-cs"/>
            </a:rPr>
            <a:t>      The API to be used should be the API assigned to each cargo.</a:t>
          </a: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endParaRPr lang="en-US" sz="1100" b="0" i="0" u="none" strike="noStrike" baseline="0">
            <a:solidFill>
              <a:schemeClr val="dk1"/>
            </a:solidFill>
            <a:latin typeface="+mn-lt"/>
            <a:ea typeface="+mn-ea"/>
            <a:cs typeface="+mn-cs"/>
          </a:endParaRPr>
        </a:p>
        <a:p>
          <a:pPr>
            <a:lnSpc>
              <a:spcPts val="1400"/>
            </a:lnSpc>
          </a:pPr>
          <a:r>
            <a:rPr lang="en-US" sz="1200" b="1" i="0" u="none" strike="noStrike" baseline="0">
              <a:solidFill>
                <a:schemeClr val="tx2">
                  <a:lumMod val="75000"/>
                </a:schemeClr>
              </a:solidFill>
              <a:latin typeface="+mn-lt"/>
              <a:ea typeface="+mn-ea"/>
              <a:cs typeface="+mn-cs"/>
            </a:rPr>
            <a:t>Example of calculation of a commingled tank</a:t>
          </a:r>
        </a:p>
        <a:p>
          <a:endParaRPr lang="en-US" sz="1100" b="0" i="0" u="none" strike="noStrike" baseline="0">
            <a:solidFill>
              <a:schemeClr val="dk1"/>
            </a:solidFill>
            <a:latin typeface="+mn-lt"/>
            <a:ea typeface="+mn-ea"/>
            <a:cs typeface="+mn-cs"/>
          </a:endParaRPr>
        </a:p>
        <a:p>
          <a:r>
            <a:rPr lang="en-US" sz="1100" b="0" i="0" u="none" strike="noStrike" baseline="0">
              <a:solidFill>
                <a:schemeClr val="dk1"/>
              </a:solidFill>
              <a:latin typeface="+mn-lt"/>
              <a:ea typeface="+mn-ea"/>
              <a:cs typeface="+mn-cs"/>
            </a:rPr>
            <a:t>a) First Loading cargo QATAR MARINE: API 35.8 / TEMP. 91 F / ULLAGE 19.65 m </a:t>
          </a:r>
        </a:p>
        <a:p>
          <a:r>
            <a:rPr lang="en-US" sz="1100" b="0" i="0" u="none" strike="noStrike" baseline="0">
              <a:solidFill>
                <a:schemeClr val="dk1"/>
              </a:solidFill>
              <a:latin typeface="+mn-lt"/>
              <a:ea typeface="+mn-ea"/>
              <a:cs typeface="+mn-cs"/>
            </a:rPr>
            <a:t>           74,000 G.BBLS / VOL. CORR. 0.9851 / 72,897 N.BBLS</a:t>
          </a:r>
        </a:p>
        <a:p>
          <a:r>
            <a:rPr lang="en-US" sz="1100" b="0" i="0" u="none" strike="noStrike" baseline="0">
              <a:solidFill>
                <a:schemeClr val="dk1"/>
              </a:solidFill>
              <a:latin typeface="+mn-lt"/>
              <a:ea typeface="+mn-ea"/>
              <a:cs typeface="+mn-cs"/>
            </a:rPr>
            <a:t>           * No interpolation at indicated value of API 36/ TEMP. 91 F</a:t>
          </a:r>
        </a:p>
        <a:p>
          <a:endParaRPr lang="en-US" sz="1100" b="0" i="0" u="none" strike="noStrike" baseline="0">
            <a:solidFill>
              <a:schemeClr val="dk1"/>
            </a:solidFill>
            <a:latin typeface="+mn-lt"/>
            <a:ea typeface="+mn-ea"/>
            <a:cs typeface="+mn-cs"/>
          </a:endParaRPr>
        </a:p>
        <a:p>
          <a:r>
            <a:rPr lang="en-US" sz="1100" b="0" i="0" u="none" strike="noStrike" baseline="0">
              <a:solidFill>
                <a:schemeClr val="dk1"/>
              </a:solidFill>
              <a:latin typeface="+mn-lt"/>
              <a:ea typeface="+mn-ea"/>
              <a:cs typeface="+mn-cs"/>
            </a:rPr>
            <a:t>b) Second Grade cargo ARABIAN LIGHT: API 33.3 / TEMP. 94.6 F/ ULLAGE 3.71 m</a:t>
          </a:r>
        </a:p>
        <a:p>
          <a:r>
            <a:rPr lang="en-US" sz="1100" b="0" i="0" u="none" strike="noStrike" baseline="0">
              <a:solidFill>
                <a:schemeClr val="dk1"/>
              </a:solidFill>
              <a:latin typeface="+mn-lt"/>
              <a:ea typeface="+mn-ea"/>
              <a:cs typeface="+mn-cs"/>
            </a:rPr>
            <a:t>     (1) 72,897 N.BBLS / 0.9834(API 35.8 / TEMP. 94.6 F) = 74,128 G.BBLS</a:t>
          </a:r>
        </a:p>
        <a:p>
          <a:pPr>
            <a:lnSpc>
              <a:spcPts val="1200"/>
            </a:lnSpc>
          </a:pPr>
          <a:r>
            <a:rPr lang="en-US" sz="1100" b="0" i="0" u="none" strike="noStrike" baseline="0">
              <a:solidFill>
                <a:schemeClr val="dk1"/>
              </a:solidFill>
              <a:latin typeface="+mn-lt"/>
              <a:ea typeface="+mn-ea"/>
              <a:cs typeface="+mn-cs"/>
            </a:rPr>
            <a:t>           * No interpolation at indicated value of API 36/ TEMP. 94.5 F</a:t>
          </a:r>
        </a:p>
        <a:p>
          <a:pPr>
            <a:lnSpc>
              <a:spcPts val="1200"/>
            </a:lnSpc>
          </a:pPr>
          <a:r>
            <a:rPr lang="en-US" sz="1100" b="0" i="0" u="none" strike="noStrike" baseline="0">
              <a:solidFill>
                <a:schemeClr val="dk1"/>
              </a:solidFill>
              <a:latin typeface="+mn-lt"/>
              <a:ea typeface="+mn-ea"/>
              <a:cs typeface="+mn-cs"/>
            </a:rPr>
            <a:t>     (2) ULLAGE 3.71 m : 186,562 G.BBLS</a:t>
          </a:r>
        </a:p>
        <a:p>
          <a:r>
            <a:rPr lang="en-US" sz="1100" b="0" i="0" u="none" strike="noStrike" baseline="0">
              <a:solidFill>
                <a:schemeClr val="dk1"/>
              </a:solidFill>
              <a:latin typeface="+mn-lt"/>
              <a:ea typeface="+mn-ea"/>
              <a:cs typeface="+mn-cs"/>
            </a:rPr>
            <a:t>     (3) 186,562 G.BBLS – 74,128 G.BBLS = 112,434 G.BBLS (ARABIAN LIGHT)</a:t>
          </a:r>
        </a:p>
        <a:p>
          <a:pPr>
            <a:lnSpc>
              <a:spcPts val="1200"/>
            </a:lnSpc>
          </a:pPr>
          <a:r>
            <a:rPr lang="en-US" sz="1100" b="0" i="0" u="none" strike="noStrike" baseline="0">
              <a:solidFill>
                <a:schemeClr val="dk1"/>
              </a:solidFill>
              <a:latin typeface="+mn-lt"/>
              <a:ea typeface="+mn-ea"/>
              <a:cs typeface="+mn-cs"/>
            </a:rPr>
            <a:t>     (4) 112,434 G.BBLS X 0.9839(API 33.3 / TEMP. 94.6 F) = 110,624 N.BBLS(ARABIAN LIGHT)</a:t>
          </a:r>
        </a:p>
        <a:p>
          <a:pPr>
            <a:lnSpc>
              <a:spcPts val="1200"/>
            </a:lnSpc>
          </a:pPr>
          <a:r>
            <a:rPr lang="en-US" sz="1100" b="0" i="0" u="none" strike="noStrike" baseline="0">
              <a:solidFill>
                <a:schemeClr val="dk1"/>
              </a:solidFill>
              <a:latin typeface="+mn-lt"/>
              <a:ea typeface="+mn-ea"/>
              <a:cs typeface="+mn-cs"/>
            </a:rPr>
            <a:t>            * No interpolation at indicated value of API 33.5/ TEMP. 94.5 F</a:t>
          </a:r>
        </a:p>
        <a:p>
          <a:endParaRPr lang="en-US" sz="1100" b="0" i="0" u="none" strike="noStrike" baseline="0">
            <a:solidFill>
              <a:schemeClr val="dk1"/>
            </a:solidFill>
            <a:latin typeface="+mn-lt"/>
            <a:ea typeface="+mn-ea"/>
            <a:cs typeface="+mn-cs"/>
          </a:endParaRPr>
        </a:p>
        <a:p>
          <a:pPr>
            <a:lnSpc>
              <a:spcPts val="1400"/>
            </a:lnSpc>
          </a:pPr>
          <a:r>
            <a:rPr lang="en-US" sz="1200" b="1" i="0" u="none" strike="noStrike" baseline="0">
              <a:solidFill>
                <a:schemeClr val="tx2">
                  <a:lumMod val="75000"/>
                </a:schemeClr>
              </a:solidFill>
              <a:latin typeface="+mn-lt"/>
              <a:ea typeface="+mn-ea"/>
              <a:cs typeface="+mn-cs"/>
            </a:rPr>
            <a:t>Calculation of commingled oil quantity at discharging port (when commingled in the same tank)</a:t>
          </a:r>
        </a:p>
        <a:p>
          <a:pPr>
            <a:lnSpc>
              <a:spcPts val="1200"/>
            </a:lnSpc>
          </a:pPr>
          <a:r>
            <a:rPr lang="en-US" sz="1100" b="0" i="0" u="none" strike="noStrike" baseline="0">
              <a:solidFill>
                <a:schemeClr val="dk1"/>
              </a:solidFill>
              <a:latin typeface="+mn-lt"/>
              <a:ea typeface="+mn-ea"/>
              <a:cs typeface="+mn-cs"/>
            </a:rPr>
            <a:t>Basic formula:</a:t>
          </a:r>
        </a:p>
        <a:p>
          <a:pPr marL="0" marR="0" indent="0" defTabSz="914400" eaLnBrk="1" fontAlgn="auto" latinLnBrk="0" hangingPunct="1">
            <a:lnSpc>
              <a:spcPts val="13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G.BBLS x [(First Grade N.BBLS) / (</a:t>
          </a:r>
          <a:r>
            <a:rPr lang="en-US" sz="1100" b="0" i="0" baseline="0">
              <a:solidFill>
                <a:schemeClr val="dk1"/>
              </a:solidFill>
              <a:effectLst/>
              <a:latin typeface="+mn-lt"/>
              <a:ea typeface="+mn-ea"/>
              <a:cs typeface="+mn-cs"/>
            </a:rPr>
            <a:t>First Grade N.BBLS ＋ Second Grade N.BBLS)]  </a:t>
          </a:r>
          <a:r>
            <a:rPr lang="en-US" sz="1100" b="0" i="0" u="none" strike="noStrike" baseline="0">
              <a:solidFill>
                <a:schemeClr val="dk1"/>
              </a:solidFill>
              <a:latin typeface="+mn-lt"/>
              <a:ea typeface="+mn-ea"/>
              <a:cs typeface="+mn-cs"/>
            </a:rPr>
            <a:t>=  First Grade…      (1)</a:t>
          </a:r>
        </a:p>
        <a:p>
          <a:pPr>
            <a:lnSpc>
              <a:spcPts val="1200"/>
            </a:lnSpc>
          </a:pPr>
          <a:endParaRPr lang="en-US" sz="1100" b="0" i="0" u="none" strike="noStrike" baseline="0">
            <a:solidFill>
              <a:schemeClr val="dk1"/>
            </a:solidFill>
            <a:latin typeface="+mn-lt"/>
            <a:ea typeface="+mn-ea"/>
            <a:cs typeface="+mn-cs"/>
          </a:endParaRPr>
        </a:p>
        <a:p>
          <a:pPr marL="0" marR="0" indent="0" defTabSz="914400" eaLnBrk="1" fontAlgn="auto" latinLnBrk="0" hangingPunct="1">
            <a:lnSpc>
              <a:spcPts val="1300"/>
            </a:lnSpc>
            <a:spcBef>
              <a:spcPts val="0"/>
            </a:spcBef>
            <a:spcAft>
              <a:spcPts val="0"/>
            </a:spcAft>
            <a:buClrTx/>
            <a:buSzTx/>
            <a:buFontTx/>
            <a:buNone/>
            <a:tabLst/>
            <a:defRPr/>
          </a:pPr>
          <a:r>
            <a:rPr lang="en-US" sz="1100" b="0" i="0" u="none" strike="noStrike" baseline="0">
              <a:solidFill>
                <a:schemeClr val="dk1"/>
              </a:solidFill>
              <a:latin typeface="+mn-lt"/>
              <a:ea typeface="+mn-ea"/>
              <a:cs typeface="+mn-cs"/>
            </a:rPr>
            <a:t>G.BBLS x [(First Grade N.BBLS) / (</a:t>
          </a:r>
          <a:r>
            <a:rPr lang="en-US" sz="1100" b="0" i="0" baseline="0">
              <a:solidFill>
                <a:schemeClr val="dk1"/>
              </a:solidFill>
              <a:effectLst/>
              <a:latin typeface="+mn-lt"/>
              <a:ea typeface="+mn-ea"/>
              <a:cs typeface="+mn-cs"/>
            </a:rPr>
            <a:t>First Grade N.BBLS ＋ Second Grade N.BBLS)]  </a:t>
          </a:r>
          <a:r>
            <a:rPr lang="en-US" sz="1100" b="0" i="0" u="none" strike="noStrike" baseline="0">
              <a:solidFill>
                <a:schemeClr val="dk1"/>
              </a:solidFill>
              <a:latin typeface="+mn-lt"/>
              <a:ea typeface="+mn-ea"/>
              <a:cs typeface="+mn-cs"/>
            </a:rPr>
            <a:t>=  Second Grade… (2)</a:t>
          </a:r>
        </a:p>
        <a:p>
          <a:endParaRPr lang="en-US" sz="1100" b="0" i="0" u="none" strike="noStrike" baseline="0">
            <a:solidFill>
              <a:schemeClr val="dk1"/>
            </a:solidFill>
            <a:latin typeface="+mn-lt"/>
            <a:ea typeface="+mn-ea"/>
            <a:cs typeface="+mn-cs"/>
          </a:endParaRPr>
        </a:p>
        <a:p>
          <a:pPr>
            <a:lnSpc>
              <a:spcPts val="1200"/>
            </a:lnSpc>
          </a:pPr>
          <a:r>
            <a:rPr lang="en-US" sz="1100" b="0" i="0" u="none" strike="noStrike" baseline="0">
              <a:solidFill>
                <a:schemeClr val="dk1"/>
              </a:solidFill>
              <a:latin typeface="+mn-lt"/>
              <a:ea typeface="+mn-ea"/>
              <a:cs typeface="+mn-cs"/>
            </a:rPr>
            <a:t>a)  Find the G.BBLS from the ullage of the tank.</a:t>
          </a:r>
        </a:p>
        <a:p>
          <a:r>
            <a:rPr lang="en-US" sz="1100" b="0" i="0" u="none" strike="noStrike" baseline="0">
              <a:solidFill>
                <a:schemeClr val="dk1"/>
              </a:solidFill>
              <a:latin typeface="+mn-lt"/>
              <a:ea typeface="+mn-ea"/>
              <a:cs typeface="+mn-cs"/>
            </a:rPr>
            <a:t>b)  Substitute the respective N.BBLS calculated at the loading port in the denominator of the basic formula (1). </a:t>
          </a:r>
        </a:p>
        <a:p>
          <a:pPr>
            <a:lnSpc>
              <a:spcPts val="1200"/>
            </a:lnSpc>
          </a:pPr>
          <a:r>
            <a:rPr lang="en-US" sz="1100" b="0" i="0" u="none" strike="noStrike" baseline="0">
              <a:solidFill>
                <a:schemeClr val="dk1"/>
              </a:solidFill>
              <a:latin typeface="+mn-lt"/>
              <a:ea typeface="+mn-ea"/>
              <a:cs typeface="+mn-cs"/>
            </a:rPr>
            <a:t>      Substitute the N.BBLS of the first grade to be calculated in the numerator and determine the G.BBLS of the first grade.</a:t>
          </a:r>
        </a:p>
        <a:p>
          <a:pPr>
            <a:lnSpc>
              <a:spcPts val="1200"/>
            </a:lnSpc>
          </a:pPr>
          <a:r>
            <a:rPr lang="en-US" sz="1100" b="0" i="0" u="none" strike="noStrike" baseline="0">
              <a:solidFill>
                <a:schemeClr val="dk1"/>
              </a:solidFill>
              <a:latin typeface="+mn-lt"/>
              <a:ea typeface="+mn-ea"/>
              <a:cs typeface="+mn-cs"/>
            </a:rPr>
            <a:t>c)  Similarly, determine the G.BBLS of the second grade using the basic formula (2).</a:t>
          </a:r>
        </a:p>
        <a:p>
          <a:r>
            <a:rPr lang="en-US" sz="1100" b="0" i="0" u="none" strike="noStrike" baseline="0">
              <a:solidFill>
                <a:schemeClr val="dk1"/>
              </a:solidFill>
              <a:latin typeface="+mn-lt"/>
              <a:ea typeface="+mn-ea"/>
              <a:cs typeface="+mn-cs"/>
            </a:rPr>
            <a:t>d)  Determine the respective N.BBLS using the corresponding API and TEMP from each of the G.BBLS calculated.</a:t>
          </a:r>
        </a:p>
        <a:p>
          <a:pPr>
            <a:lnSpc>
              <a:spcPts val="1200"/>
            </a:lnSpc>
          </a:pPr>
          <a:r>
            <a:rPr lang="en-US" sz="1100" b="0" i="0" u="none" strike="noStrike" baseline="0">
              <a:solidFill>
                <a:schemeClr val="dk1"/>
              </a:solidFill>
              <a:latin typeface="+mn-lt"/>
              <a:ea typeface="+mn-ea"/>
              <a:cs typeface="+mn-cs"/>
            </a:rPr>
            <a:t>e)  Determine the LT and MT of the first and second grades from the N.BBLS.</a:t>
          </a:r>
        </a:p>
        <a:p>
          <a:pPr>
            <a:lnSpc>
              <a:spcPts val="1200"/>
            </a:lnSpc>
          </a:pPr>
          <a:endParaRPr lang="en-US" sz="1100" b="1" i="0" u="none" strike="noStrike" baseline="0">
            <a:solidFill>
              <a:schemeClr val="dk1"/>
            </a:solidFill>
            <a:latin typeface="+mn-lt"/>
            <a:ea typeface="+mn-ea"/>
            <a:cs typeface="+mn-cs"/>
          </a:endParaRPr>
        </a:p>
        <a:p>
          <a:r>
            <a:rPr lang="en-US" sz="1100" b="1" i="0" u="none" strike="noStrike" baseline="0">
              <a:solidFill>
                <a:schemeClr val="dk1"/>
              </a:solidFill>
              <a:latin typeface="+mn-lt"/>
              <a:ea typeface="+mn-ea"/>
              <a:cs typeface="+mn-cs"/>
            </a:rPr>
            <a:t>* About interpolation of conversion factor (ASTM TABLE)</a:t>
          </a:r>
        </a:p>
        <a:p>
          <a:pPr>
            <a:lnSpc>
              <a:spcPts val="1200"/>
            </a:lnSpc>
          </a:pPr>
          <a:r>
            <a:rPr lang="en-US" sz="1100" b="0" i="0" u="none" strike="noStrike" baseline="0">
              <a:solidFill>
                <a:schemeClr val="dk1"/>
              </a:solidFill>
              <a:latin typeface="+mn-lt"/>
              <a:ea typeface="+mn-ea"/>
              <a:cs typeface="+mn-cs"/>
            </a:rPr>
            <a:t>The conversion factor is determined using the Petroleum Measurement Tables by the interpolation method given below. </a:t>
          </a:r>
        </a:p>
        <a:p>
          <a:pPr>
            <a:lnSpc>
              <a:spcPts val="1200"/>
            </a:lnSpc>
          </a:pPr>
          <a:r>
            <a:rPr lang="en-US" sz="1100" b="0" i="0" u="none" strike="noStrike" baseline="0">
              <a:solidFill>
                <a:schemeClr val="dk1"/>
              </a:solidFill>
              <a:latin typeface="+mn-lt"/>
              <a:ea typeface="+mn-ea"/>
              <a:cs typeface="+mn-cs"/>
            </a:rPr>
            <a:t>(If instructions have been given separately by the charterer, than those instructions should be followed.)</a:t>
          </a:r>
        </a:p>
        <a:p>
          <a:pPr>
            <a:lnSpc>
              <a:spcPts val="1200"/>
            </a:lnSpc>
          </a:pPr>
          <a:r>
            <a:rPr lang="en-US" sz="1100" b="0" i="0" u="none" strike="noStrike" baseline="0">
              <a:solidFill>
                <a:schemeClr val="dk1"/>
              </a:solidFill>
              <a:latin typeface="+mn-lt"/>
              <a:ea typeface="+mn-ea"/>
              <a:cs typeface="+mn-cs"/>
            </a:rPr>
            <a:t>TABLE 6A: Do not interpolate values of API and TEMP. (0.5 units)</a:t>
          </a:r>
        </a:p>
        <a:p>
          <a:r>
            <a:rPr lang="en-US" sz="1100" b="0" i="0" u="none" strike="noStrike" baseline="0">
              <a:solidFill>
                <a:schemeClr val="dk1"/>
              </a:solidFill>
              <a:latin typeface="+mn-lt"/>
              <a:ea typeface="+mn-ea"/>
              <a:cs typeface="+mn-cs"/>
            </a:rPr>
            <a:t>TABLE 11, 13： Interpolate for values of API up to two places after the decimal point. Find the conversion factor up to five places after the decimal point. </a:t>
          </a:r>
        </a:p>
        <a:p>
          <a:endParaRPr lang="en-US" sz="1100" b="0" i="0" u="none" strike="noStrike" baseline="0">
            <a:solidFill>
              <a:schemeClr val="dk1"/>
            </a:solidFill>
            <a:latin typeface="+mn-lt"/>
            <a:ea typeface="+mn-ea"/>
            <a:cs typeface="+mn-cs"/>
          </a:endParaRPr>
        </a:p>
        <a:p>
          <a:r>
            <a:rPr lang="en-US" sz="1100"/>
            <a:t>What is the difference between blend and commingle?</a:t>
          </a:r>
        </a:p>
        <a:p>
          <a:r>
            <a:rPr lang="en-US" sz="1100"/>
            <a:t>Commingle implies a closer or more thorough mingling. </a:t>
          </a:r>
        </a:p>
        <a:p>
          <a:r>
            <a:rPr lang="en-US" sz="1100"/>
            <a:t>Blend implies that the elements as such disappear in the resulting mixture.</a:t>
          </a:r>
        </a:p>
      </xdr:txBody>
    </xdr:sp>
    <xdr:clientData/>
  </xdr:twoCellAnchor>
  <xdr:twoCellAnchor editAs="absolute">
    <xdr:from>
      <xdr:col>3</xdr:col>
      <xdr:colOff>960120</xdr:colOff>
      <xdr:row>11</xdr:row>
      <xdr:rowOff>259080</xdr:rowOff>
    </xdr:from>
    <xdr:to>
      <xdr:col>3</xdr:col>
      <xdr:colOff>6918960</xdr:colOff>
      <xdr:row>23</xdr:row>
      <xdr:rowOff>38100</xdr:rowOff>
    </xdr:to>
    <xdr:pic>
      <xdr:nvPicPr>
        <xdr:cNvPr id="3" name="Picture 4">
          <a:extLst>
            <a:ext uri="{FF2B5EF4-FFF2-40B4-BE49-F238E27FC236}">
              <a16:creationId xmlns:a16="http://schemas.microsoft.com/office/drawing/2014/main" id="{00000000-0008-0000-3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3086100"/>
          <a:ext cx="5958840" cy="2979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3</xdr:col>
      <xdr:colOff>30480</xdr:colOff>
      <xdr:row>3</xdr:row>
      <xdr:rowOff>264795</xdr:rowOff>
    </xdr:from>
    <xdr:to>
      <xdr:col>3</xdr:col>
      <xdr:colOff>7993382</xdr:colOff>
      <xdr:row>71</xdr:row>
      <xdr:rowOff>15240</xdr:rowOff>
    </xdr:to>
    <xdr:sp macro="" textlink="">
      <xdr:nvSpPr>
        <xdr:cNvPr id="2" name="TextBox 1">
          <a:extLst>
            <a:ext uri="{FF2B5EF4-FFF2-40B4-BE49-F238E27FC236}">
              <a16:creationId xmlns:a16="http://schemas.microsoft.com/office/drawing/2014/main" id="{00000000-0008-0000-3700-000002000000}"/>
            </a:ext>
          </a:extLst>
        </xdr:cNvPr>
        <xdr:cNvSpPr txBox="1"/>
      </xdr:nvSpPr>
      <xdr:spPr>
        <a:xfrm>
          <a:off x="2659380" y="965835"/>
          <a:ext cx="7962902" cy="14418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baseline="0">
              <a:solidFill>
                <a:schemeClr val="dk1"/>
              </a:solidFill>
              <a:latin typeface="+mn-lt"/>
              <a:ea typeface="+mn-ea"/>
              <a:cs typeface="+mn-cs"/>
            </a:rPr>
            <a:t>SOLAS – Prohibition of Blending and Production Processes During Sea Voyages</a:t>
          </a:r>
        </a:p>
        <a:p>
          <a:r>
            <a:rPr lang="en-GB" sz="1100" b="1" i="0" u="none" strike="noStrike" baseline="0">
              <a:solidFill>
                <a:schemeClr val="dk1"/>
              </a:solidFill>
              <a:latin typeface="+mn-lt"/>
              <a:ea typeface="+mn-ea"/>
              <a:cs typeface="+mn-cs"/>
            </a:rPr>
            <a:t>IMO Resolution MSC.325(90).</a:t>
          </a:r>
        </a:p>
        <a:p>
          <a:r>
            <a:rPr lang="en-GB" sz="1100" b="0" i="0" u="none" strike="noStrike" baseline="0">
              <a:solidFill>
                <a:schemeClr val="dk1"/>
              </a:solidFill>
              <a:latin typeface="+mn-lt"/>
              <a:ea typeface="+mn-ea"/>
              <a:cs typeface="+mn-cs"/>
            </a:rPr>
            <a:t>The Resolution which incorporates a new mandatory regulation in SOLAS Chapter VI – Carriage of Cargoes is as follows:-</a:t>
          </a:r>
        </a:p>
        <a:p>
          <a:r>
            <a:rPr lang="en-GB" sz="1100" b="1" i="0" u="none" strike="noStrike" baseline="0">
              <a:solidFill>
                <a:schemeClr val="dk1"/>
              </a:solidFill>
              <a:latin typeface="+mn-lt"/>
              <a:ea typeface="+mn-ea"/>
              <a:cs typeface="+mn-cs"/>
            </a:rPr>
            <a:t>CHAPTER VI</a:t>
          </a:r>
        </a:p>
        <a:p>
          <a:r>
            <a:rPr lang="en-GB" sz="1100" b="1" i="0" u="none" strike="noStrike" baseline="0">
              <a:solidFill>
                <a:schemeClr val="dk1"/>
              </a:solidFill>
              <a:latin typeface="+mn-lt"/>
              <a:ea typeface="+mn-ea"/>
              <a:cs typeface="+mn-cs"/>
            </a:rPr>
            <a:t>CARRIAGE OF CARGOES</a:t>
          </a:r>
        </a:p>
        <a:p>
          <a:r>
            <a:rPr lang="en-GB" sz="1100" b="1" i="0" u="none" strike="noStrike" baseline="0">
              <a:solidFill>
                <a:schemeClr val="dk1"/>
              </a:solidFill>
              <a:latin typeface="+mn-lt"/>
              <a:ea typeface="+mn-ea"/>
              <a:cs typeface="+mn-cs"/>
            </a:rPr>
            <a:t>Part A</a:t>
          </a:r>
        </a:p>
        <a:p>
          <a:r>
            <a:rPr lang="en-GB" sz="1100" b="1" i="0" u="none" strike="noStrike" baseline="0">
              <a:solidFill>
                <a:schemeClr val="dk1"/>
              </a:solidFill>
              <a:latin typeface="+mn-lt"/>
              <a:ea typeface="+mn-ea"/>
              <a:cs typeface="+mn-cs"/>
            </a:rPr>
            <a:t>General provisions</a:t>
          </a:r>
        </a:p>
        <a:p>
          <a:r>
            <a:rPr lang="en-GB" sz="1100" b="0" i="0" u="none" strike="noStrike" baseline="0">
              <a:solidFill>
                <a:schemeClr val="dk1"/>
              </a:solidFill>
              <a:latin typeface="+mn-lt"/>
              <a:ea typeface="+mn-ea"/>
              <a:cs typeface="+mn-cs"/>
            </a:rPr>
            <a:t>4 The following new regulation 5-2 is added after the existing regulation 5-1:</a:t>
          </a:r>
        </a:p>
        <a:p>
          <a:r>
            <a:rPr lang="en-GB" sz="1100" b="1" i="0" u="none" strike="noStrike" baseline="0">
              <a:solidFill>
                <a:schemeClr val="dk1"/>
              </a:solidFill>
              <a:latin typeface="+mn-lt"/>
              <a:ea typeface="+mn-ea"/>
              <a:cs typeface="+mn-cs"/>
            </a:rPr>
            <a:t>Regulation 5-2 – Prohibition of the blending of bulk liquid cargoes and production processes during sea voyages</a:t>
          </a:r>
        </a:p>
        <a:p>
          <a:r>
            <a:rPr lang="en-GB" sz="1100" b="0" i="0" u="none" strike="noStrike" baseline="0">
              <a:solidFill>
                <a:schemeClr val="dk1"/>
              </a:solidFill>
              <a:latin typeface="+mn-lt"/>
              <a:ea typeface="+mn-ea"/>
              <a:cs typeface="+mn-cs"/>
            </a:rPr>
            <a:t>1 The physical blending of bulk liquid cargoes during sea voyages is prohibited. Physical blending refers to the process whereby the ship's cargo pumps and pipelines are used to internally circulate two or more different cargoes with the intent to achieve a cargo with a new product designation. This prohibition does not preclude the master from undertaking cargo transfers for the safety of the ship or protection of the marine environment.</a:t>
          </a:r>
        </a:p>
        <a:p>
          <a:r>
            <a:rPr lang="en-GB" sz="1100" b="0" i="0" u="none" strike="noStrike" baseline="0">
              <a:solidFill>
                <a:schemeClr val="dk1"/>
              </a:solidFill>
              <a:latin typeface="+mn-lt"/>
              <a:ea typeface="+mn-ea"/>
              <a:cs typeface="+mn-cs"/>
            </a:rPr>
            <a:t>2 The prohibition in paragraph 1 does not apply to the blending of products for use in the search and exploitation of seabed mineral resources on board ships used to facilitate such operations. </a:t>
          </a:r>
        </a:p>
        <a:p>
          <a:r>
            <a:rPr lang="en-GB" sz="1100" b="0" i="0" u="none" strike="noStrike" baseline="0">
              <a:solidFill>
                <a:schemeClr val="dk1"/>
              </a:solidFill>
              <a:latin typeface="+mn-lt"/>
              <a:ea typeface="+mn-ea"/>
              <a:cs typeface="+mn-cs"/>
            </a:rPr>
            <a:t>3 Any production process on board a ship during sea voyages is prohibited. Production processes refer to any deliberate operation whereby a chemical reaction between a ship's cargo and any other substance or cargo takes place.</a:t>
          </a:r>
        </a:p>
        <a:p>
          <a:r>
            <a:rPr lang="en-GB" sz="1100" b="0" i="0" u="none" strike="noStrike" baseline="0">
              <a:solidFill>
                <a:schemeClr val="dk1"/>
              </a:solidFill>
              <a:latin typeface="+mn-lt"/>
              <a:ea typeface="+mn-ea"/>
              <a:cs typeface="+mn-cs"/>
            </a:rPr>
            <a:t>4 The prohibition in paragraph 3 does not apply to the production processes of cargoes for use in the search and exploitation of seabed mineral resources on board ships used to facilitate such operations.*</a:t>
          </a:r>
        </a:p>
        <a:p>
          <a:r>
            <a:rPr lang="ru-RU" sz="1100" b="0" i="0" u="none" strike="noStrike" baseline="0">
              <a:solidFill>
                <a:schemeClr val="dk1"/>
              </a:solidFill>
              <a:latin typeface="+mn-lt"/>
              <a:ea typeface="+mn-ea"/>
              <a:cs typeface="+mn-cs"/>
            </a:rPr>
            <a:t>_______________</a:t>
          </a:r>
        </a:p>
        <a:p>
          <a:r>
            <a:rPr lang="en-GB" sz="1100" b="0" i="0" u="none" strike="noStrike" baseline="0">
              <a:solidFill>
                <a:schemeClr val="dk1"/>
              </a:solidFill>
              <a:latin typeface="+mn-lt"/>
              <a:ea typeface="+mn-ea"/>
              <a:cs typeface="+mn-cs"/>
            </a:rPr>
            <a:t>* Refer to the Guidelines for the transport and handling of limited amounts of hazardous and noxious liquid</a:t>
          </a:r>
        </a:p>
        <a:p>
          <a:r>
            <a:rPr lang="en-GB" sz="1100" b="0" i="0" u="none" strike="noStrike" baseline="0">
              <a:solidFill>
                <a:schemeClr val="dk1"/>
              </a:solidFill>
              <a:latin typeface="+mn-lt"/>
              <a:ea typeface="+mn-ea"/>
              <a:cs typeface="+mn-cs"/>
            </a:rPr>
            <a:t>substances in bulk in offshore support vessels (resolution A.673(16), as amended)."</a:t>
          </a:r>
        </a:p>
        <a:p>
          <a:r>
            <a:rPr lang="en-GB" sz="1100" b="0" i="0" u="none" strike="noStrike" baseline="0">
              <a:solidFill>
                <a:schemeClr val="dk1"/>
              </a:solidFill>
              <a:latin typeface="+mn-lt"/>
              <a:ea typeface="+mn-ea"/>
              <a:cs typeface="+mn-cs"/>
            </a:rPr>
            <a:t>No. 13-028</a:t>
          </a:r>
        </a:p>
        <a:p>
          <a:r>
            <a:rPr lang="en-GB" sz="1100" b="0" i="0" u="none" strike="noStrike" baseline="0">
              <a:solidFill>
                <a:schemeClr val="dk1"/>
              </a:solidFill>
              <a:latin typeface="+mn-lt"/>
              <a:ea typeface="+mn-ea"/>
              <a:cs typeface="+mn-cs"/>
            </a:rPr>
            <a:t>27 March 2014</a:t>
          </a:r>
        </a:p>
        <a:p>
          <a:r>
            <a:rPr lang="ru-RU" sz="1100" b="0" i="0" u="none" strike="noStrike" baseline="0">
              <a:solidFill>
                <a:schemeClr val="dk1"/>
              </a:solidFill>
              <a:latin typeface="+mn-lt"/>
              <a:ea typeface="+mn-ea"/>
              <a:cs typeface="+mn-cs"/>
            </a:rPr>
            <a:t>2</a:t>
          </a:r>
        </a:p>
        <a:p>
          <a:r>
            <a:rPr lang="en-GB" sz="1100" b="0" i="0" u="none" strike="noStrike" baseline="0">
              <a:solidFill>
                <a:schemeClr val="dk1"/>
              </a:solidFill>
              <a:latin typeface="+mn-lt"/>
              <a:ea typeface="+mn-ea"/>
              <a:cs typeface="+mn-cs"/>
            </a:rPr>
            <a:t>In addition The 2011 Guidelines for the Carriage of Blends of Petroleum Oil and Biofuels state:-</a:t>
          </a:r>
        </a:p>
        <a:p>
          <a:r>
            <a:rPr lang="en-GB" sz="1100" b="0" i="0" u="none" strike="noStrike" baseline="0">
              <a:solidFill>
                <a:schemeClr val="dk1"/>
              </a:solidFill>
              <a:latin typeface="+mn-lt"/>
              <a:ea typeface="+mn-ea"/>
              <a:cs typeface="+mn-cs"/>
            </a:rPr>
            <a:t>5. Blending of Petroleum Oil and Biofuel on Board</a:t>
          </a:r>
        </a:p>
        <a:p>
          <a:r>
            <a:rPr lang="en-GB" sz="1100" b="0" i="0" u="none" strike="noStrike" baseline="0">
              <a:solidFill>
                <a:schemeClr val="dk1"/>
              </a:solidFill>
              <a:latin typeface="+mn-lt"/>
              <a:ea typeface="+mn-ea"/>
              <a:cs typeface="+mn-cs"/>
            </a:rPr>
            <a:t>5.1 Blending on board describes the mixing of two products resulting in one single product (a blended mixture) and reflects only physical mixing as distinct from any chemical processing. Such mixing operations should only be undertaken whilst the ship is within port limits.</a:t>
          </a:r>
        </a:p>
        <a:p>
          <a:r>
            <a:rPr lang="en-GB" sz="1100" b="0" i="0" u="none" strike="noStrike" baseline="0">
              <a:solidFill>
                <a:schemeClr val="dk1"/>
              </a:solidFill>
              <a:latin typeface="+mn-lt"/>
              <a:ea typeface="+mn-ea"/>
              <a:cs typeface="+mn-cs"/>
            </a:rPr>
            <a:t>5.2 The physical blending on board of petroleum oil and biofuels during a sea voyage to create new products is prohibited as indicated in MSC-MEPC.2/Circ.8 - Prohibition of blending MARPOL cargoes on board during the sea voyage.</a:t>
          </a:r>
        </a:p>
        <a:p>
          <a:r>
            <a:rPr lang="en-GB" sz="1100" b="0" i="0" u="none" strike="noStrike" baseline="0">
              <a:solidFill>
                <a:schemeClr val="dk1"/>
              </a:solidFill>
              <a:latin typeface="+mn-lt"/>
              <a:ea typeface="+mn-ea"/>
              <a:cs typeface="+mn-cs"/>
            </a:rPr>
            <a:t>Before undertaking any on-board blending Members should check the position with their Flag State or the local Coastal Authority.</a:t>
          </a:r>
        </a:p>
        <a:p>
          <a:r>
            <a:rPr lang="en-GB" sz="1100" b="0" i="0" u="none" strike="noStrike" baseline="0">
              <a:solidFill>
                <a:schemeClr val="dk1"/>
              </a:solidFill>
              <a:latin typeface="+mn-lt"/>
              <a:ea typeface="+mn-ea"/>
              <a:cs typeface="+mn-cs"/>
            </a:rPr>
            <a:t>There are ongoing discussions within the industry. Members should meantime note the following:-</a:t>
          </a:r>
        </a:p>
        <a:p>
          <a:r>
            <a:rPr lang="en-GB" sz="1100" b="0" i="0" u="none" strike="noStrike" baseline="0"/>
            <a:t>•  </a:t>
          </a:r>
          <a:r>
            <a:rPr lang="en-GB" sz="1100" b="0" i="0" u="none" strike="noStrike" baseline="0">
              <a:solidFill>
                <a:schemeClr val="dk1"/>
              </a:solidFill>
              <a:latin typeface="+mn-lt"/>
              <a:ea typeface="+mn-ea"/>
              <a:cs typeface="+mn-cs"/>
            </a:rPr>
            <a:t>"Bulk cargoes" includes liquefied gas and cargoes which are not MARPOL regulated.</a:t>
          </a:r>
        </a:p>
        <a:p>
          <a:r>
            <a:rPr lang="en-GB" sz="1100" b="0" i="0" u="none" strike="noStrike" baseline="0"/>
            <a:t>•  </a:t>
          </a:r>
          <a:r>
            <a:rPr lang="en-GB" sz="1100" b="0" i="0" u="none" strike="noStrike" baseline="0">
              <a:solidFill>
                <a:schemeClr val="dk1"/>
              </a:solidFill>
              <a:latin typeface="+mn-lt"/>
              <a:ea typeface="+mn-ea"/>
              <a:cs typeface="+mn-cs"/>
            </a:rPr>
            <a:t>Blending at an anchorage en route may not be permissible where, for example, there are no facilities for quick response to a spillage. Blending at an anchorage within a port may be permissible. The local port authority should be consulted;</a:t>
          </a:r>
        </a:p>
        <a:p>
          <a:r>
            <a:rPr lang="en-GB" sz="1100" b="0" i="0" u="none" strike="noStrike" baseline="0"/>
            <a:t>•  </a:t>
          </a:r>
          <a:r>
            <a:rPr lang="en-GB" sz="1100" b="0" i="0" u="none" strike="noStrike" baseline="0">
              <a:solidFill>
                <a:schemeClr val="dk1"/>
              </a:solidFill>
              <a:latin typeface="+mn-lt"/>
              <a:ea typeface="+mn-ea"/>
              <a:cs typeface="+mn-cs"/>
            </a:rPr>
            <a:t>A vessel undertaking this operation is exposed to the risk of quality/shortage claims – clear indemnities should be sought from Charterers/Cargo Interests;</a:t>
          </a:r>
        </a:p>
        <a:p>
          <a:r>
            <a:rPr lang="en-GB" sz="1100" b="0" i="0" u="none" strike="noStrike" baseline="0"/>
            <a:t>•  </a:t>
          </a:r>
          <a:r>
            <a:rPr lang="en-GB" sz="1100" b="0" i="0" u="none" strike="noStrike" baseline="0">
              <a:solidFill>
                <a:schemeClr val="dk1"/>
              </a:solidFill>
              <a:latin typeface="+mn-lt"/>
              <a:ea typeface="+mn-ea"/>
              <a:cs typeface="+mn-cs"/>
            </a:rPr>
            <a:t>All movements of oil cargoes must be recorded in the Oil Record Book (Regulation 20 of Annex I of MARPOL 73/78);</a:t>
          </a:r>
        </a:p>
        <a:p>
          <a:r>
            <a:rPr lang="en-GB" sz="1100" b="0" i="0" u="none" strike="noStrike" baseline="0"/>
            <a:t>•  </a:t>
          </a:r>
          <a:r>
            <a:rPr lang="en-GB" sz="1100" b="0" i="0" u="none" strike="noStrike" baseline="0">
              <a:solidFill>
                <a:schemeClr val="dk1"/>
              </a:solidFill>
              <a:latin typeface="+mn-lt"/>
              <a:ea typeface="+mn-ea"/>
              <a:cs typeface="+mn-cs"/>
            </a:rPr>
            <a:t>Great care to avoid claims must be taken especially if undertaking this operation in U.S. waters.</a:t>
          </a:r>
        </a:p>
        <a:p>
          <a:r>
            <a:rPr lang="en-GB" sz="1100" b="0" i="0" u="none" strike="noStrike" baseline="0">
              <a:solidFill>
                <a:schemeClr val="dk1"/>
              </a:solidFill>
              <a:latin typeface="+mn-lt"/>
              <a:ea typeface="+mn-ea"/>
              <a:cs typeface="+mn-cs"/>
            </a:rPr>
            <a:t>Specialist advice from the Club's local correspondents should always be sought if in doubt;</a:t>
          </a:r>
        </a:p>
        <a:p>
          <a:r>
            <a:rPr lang="en-GB" sz="1100" b="0" i="0" u="none" strike="noStrike" baseline="0"/>
            <a:t>•  </a:t>
          </a:r>
          <a:r>
            <a:rPr lang="en-GB" sz="1100" b="0" i="0" u="none" strike="noStrike" baseline="0">
              <a:solidFill>
                <a:schemeClr val="dk1"/>
              </a:solidFill>
              <a:latin typeface="+mn-lt"/>
              <a:ea typeface="+mn-ea"/>
              <a:cs typeface="+mn-cs"/>
            </a:rPr>
            <a:t>The prohibition of the blending of cargoes does not apply where cargo is recirculated within its cargo tank or through an external heat exchanger during the voyage for the purpose of maintaining cargo homogeneity or temperature control, including when two or more different products have previously been loaded into the same cargo tank within port limits;</a:t>
          </a:r>
        </a:p>
        <a:p>
          <a:r>
            <a:rPr lang="en-GB" sz="1100" b="0" i="0" u="none" strike="noStrike" baseline="0"/>
            <a:t>•  </a:t>
          </a:r>
          <a:r>
            <a:rPr lang="en-GB" sz="1100" b="0" i="0" u="none" strike="noStrike" baseline="0">
              <a:solidFill>
                <a:schemeClr val="dk1"/>
              </a:solidFill>
              <a:latin typeface="+mn-lt"/>
              <a:ea typeface="+mn-ea"/>
              <a:cs typeface="+mn-cs"/>
            </a:rPr>
            <a:t>Load on top and additives such as anti-static and dyes are not included in this regulation providing the chemical composition of the cargo is not changed. A pump maybe used to mix these within the tank, however circulating externally from the tank is not envisaged.</a:t>
          </a:r>
          <a:endParaRPr lang="en-US" b="0" i="0">
            <a:solidFill>
              <a:srgbClr val="333333"/>
            </a:solidFill>
            <a:effectLst/>
            <a:latin typeface="Oswald"/>
          </a:endParaRPr>
        </a:p>
      </xdr:txBody>
    </xdr:sp>
    <xdr:clientData/>
  </xdr:twoCellAnchor>
  <xdr:twoCellAnchor editAs="oneCell">
    <xdr:from>
      <xdr:col>3</xdr:col>
      <xdr:colOff>76200</xdr:colOff>
      <xdr:row>1</xdr:row>
      <xdr:rowOff>38100</xdr:rowOff>
    </xdr:from>
    <xdr:to>
      <xdr:col>3</xdr:col>
      <xdr:colOff>1135380</xdr:colOff>
      <xdr:row>2</xdr:row>
      <xdr:rowOff>251460</xdr:rowOff>
    </xdr:to>
    <xdr:pic>
      <xdr:nvPicPr>
        <xdr:cNvPr id="3" name="Рисунок 4">
          <a:extLst>
            <a:ext uri="{FF2B5EF4-FFF2-40B4-BE49-F238E27FC236}">
              <a16:creationId xmlns:a16="http://schemas.microsoft.com/office/drawing/2014/main" id="{00000000-0008-0000-3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05100" y="205740"/>
          <a:ext cx="1059180" cy="480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3</xdr:col>
      <xdr:colOff>30480</xdr:colOff>
      <xdr:row>3</xdr:row>
      <xdr:rowOff>264795</xdr:rowOff>
    </xdr:from>
    <xdr:to>
      <xdr:col>3</xdr:col>
      <xdr:colOff>7993382</xdr:colOff>
      <xdr:row>71</xdr:row>
      <xdr:rowOff>15240</xdr:rowOff>
    </xdr:to>
    <xdr:sp macro="" textlink="">
      <xdr:nvSpPr>
        <xdr:cNvPr id="2" name="TextBox 1">
          <a:extLst>
            <a:ext uri="{FF2B5EF4-FFF2-40B4-BE49-F238E27FC236}">
              <a16:creationId xmlns:a16="http://schemas.microsoft.com/office/drawing/2014/main" id="{00000000-0008-0000-3800-000002000000}"/>
            </a:ext>
          </a:extLst>
        </xdr:cNvPr>
        <xdr:cNvSpPr txBox="1"/>
      </xdr:nvSpPr>
      <xdr:spPr>
        <a:xfrm>
          <a:off x="2659380" y="965835"/>
          <a:ext cx="7962902" cy="14418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lnSpc>
              <a:spcPts val="1100"/>
            </a:lnSpc>
          </a:pPr>
          <a:endParaRPr lang="en-US" b="0" i="0">
            <a:solidFill>
              <a:srgbClr val="333333"/>
            </a:solidFill>
            <a:effectLst/>
            <a:latin typeface="Oswald"/>
          </a:endParaRPr>
        </a:p>
        <a:p>
          <a:pPr algn="l"/>
          <a:r>
            <a:rPr lang="en-US" sz="1600" b="0" i="0">
              <a:solidFill>
                <a:srgbClr val="333333"/>
              </a:solidFill>
              <a:effectLst/>
              <a:latin typeface="Oswald"/>
            </a:rPr>
            <a:t>Commingling and SOLAS compliance</a:t>
          </a:r>
        </a:p>
        <a:p>
          <a:pPr algn="l"/>
          <a:r>
            <a:rPr lang="en-US" b="0" i="0">
              <a:solidFill>
                <a:srgbClr val="AAAAAA"/>
              </a:solidFill>
              <a:effectLst/>
              <a:latin typeface="Tahoma" panose="020B0604030504040204" pitchFamily="34" charset="0"/>
            </a:rPr>
            <a:t>27 November 2014</a:t>
          </a:r>
        </a:p>
        <a:p>
          <a:pPr algn="l">
            <a:lnSpc>
              <a:spcPts val="1100"/>
            </a:lnSpc>
          </a:pPr>
          <a:endParaRPr lang="en-US" b="0" i="0">
            <a:solidFill>
              <a:srgbClr val="333333"/>
            </a:solidFill>
            <a:effectLst/>
            <a:latin typeface="Helvetica" panose="020B0604020202020204" pitchFamily="34" charset="0"/>
          </a:endParaRPr>
        </a:p>
        <a:p>
          <a:pPr algn="l"/>
          <a:r>
            <a:rPr lang="en-US" b="0" i="0">
              <a:solidFill>
                <a:srgbClr val="333333"/>
              </a:solidFill>
              <a:effectLst/>
              <a:latin typeface="Tahoma" panose="020B0604030504040204" pitchFamily="34" charset="0"/>
            </a:rPr>
            <a:t>Although niche in some ways, commingling is an interesting subject and does go to the heart of what we do at P&amp;I Clubs but it doesn’t receive the coverage it should. We are not talking about the legal term which refers to a financial situation but we are talking about the mixing of bulk oil cargoes in a tanker. Actually, we are talking about multiple parcels of same spec cargo being loaded from different suppliers into the same hold or tank without segregation. The intention is to deliver that cargo to many receivers under several bills of lading. The cargo from the same supplier even if loaded from separate sources ashore is not commingling. The carrier simply carries and delivers the cargo</a:t>
          </a:r>
        </a:p>
        <a:p>
          <a:pPr algn="l"/>
          <a:r>
            <a:rPr lang="en-US" b="0" i="0">
              <a:solidFill>
                <a:srgbClr val="333333"/>
              </a:solidFill>
              <a:effectLst/>
              <a:latin typeface="Tahoma" panose="020B0604030504040204" pitchFamily="34" charset="0"/>
            </a:rPr>
            <a:t>The other method for mixing cargo is “blending” which refers to the process of loading parcels of cargo with different specifications but originating from the same supplier and loading into the same cargo space. Therefore, these parcels are mixed on board. The objective is to produce a cargo that is different in specification from any of the parcels it comprises. Blending could be for creating a new cargo, dying, doping with additives for a specific purpose. Strictly speaking, blending is done ashore to produce a pre-defined product from different constituent parts. But in reality it is often done by taking x tonnes from one shore tank, y tonnes from another shore tank and z tonnes from a different shore tank and blending them in the loading pipeline. This approach does not guarantee a uniform blend of product on the vessel</a:t>
          </a:r>
        </a:p>
        <a:p>
          <a:pPr algn="l"/>
          <a:r>
            <a:rPr lang="en-US" b="1" i="0">
              <a:solidFill>
                <a:srgbClr val="FF0000"/>
              </a:solidFill>
              <a:effectLst/>
              <a:latin typeface="Tahoma" panose="020B0604030504040204" pitchFamily="34" charset="0"/>
            </a:rPr>
            <a:t>In May 2012, SOLAS amendments included amendment to SOLAS Chapter VI on “Carriage of Cargoes and Oil Fuels” to add a new regulation VI/5-2 which came into force on 1st Jan this year. The Regulation prohibits the blending of bulk liquid cargoes during the sea voyage and specifically prohibits production processes on board ships.</a:t>
          </a:r>
        </a:p>
        <a:p>
          <a:pPr algn="l">
            <a:lnSpc>
              <a:spcPts val="1200"/>
            </a:lnSpc>
          </a:pPr>
          <a:r>
            <a:rPr lang="en-US" b="0" i="0">
              <a:solidFill>
                <a:srgbClr val="333333"/>
              </a:solidFill>
              <a:effectLst/>
              <a:latin typeface="Tahoma" panose="020B0604030504040204" pitchFamily="34" charset="0"/>
            </a:rPr>
            <a:t>Increasingly, the practice of mixing cargo was discouraged on the open sea. </a:t>
          </a:r>
          <a:r>
            <a:rPr lang="en-US" b="1" i="0">
              <a:solidFill>
                <a:srgbClr val="FF0000"/>
              </a:solidFill>
              <a:effectLst/>
              <a:latin typeface="Tahoma" panose="020B0604030504040204" pitchFamily="34" charset="0"/>
            </a:rPr>
            <a:t>The 2011 “Guidelines for the Carriage of Blends of Petroleum Oil and Biofuels” (published in advance of the SOLAS amendment) specifies that mixing operations should only be undertaken whilst the ship is within port limits. Each port state and/or port authority defines where and in what circumstances blending can legitimately occur in their area. Permission and guidance should be obtained from the Port Authority in advance. You may find, for example, that blending at an anchorage of a port en route may not be permissible if there are no facilities there for spill response even if blending within that port is generally allowed. So, local port authorities should be consulted before undertaking the operation. Operators will also find that they have to check with their Flag State to ensure that the blending operation is allowed (according to ship type, configuration etc). We see quite a few queries too. Understandably, members are looking to establish if the proposed operation at the specified location will be covered</a:t>
          </a:r>
          <a:r>
            <a:rPr lang="en-US" b="0" i="0">
              <a:solidFill>
                <a:srgbClr val="FF0000"/>
              </a:solidFill>
              <a:effectLst/>
              <a:latin typeface="Tahoma" panose="020B0604030504040204" pitchFamily="34" charset="0"/>
            </a:rPr>
            <a:t>.</a:t>
          </a:r>
        </a:p>
        <a:p>
          <a:pPr algn="l"/>
          <a:r>
            <a:rPr lang="en-US" b="0" i="0">
              <a:solidFill>
                <a:srgbClr val="333333"/>
              </a:solidFill>
              <a:effectLst/>
              <a:latin typeface="Tahoma" panose="020B0604030504040204" pitchFamily="34" charset="0"/>
            </a:rPr>
            <a:t>Nowadays, where it is permitted blending/co-mingling in port occurs fairly regularly and, whilst not permitted everywhere at all times, it is a widespread operation. Many traders and/or charterers manage to get round the restriction on the open sea by undertaking STS operations, of course. </a:t>
          </a:r>
          <a:r>
            <a:rPr lang="en-US" b="1" i="0">
              <a:solidFill>
                <a:srgbClr val="FF0000"/>
              </a:solidFill>
              <a:effectLst/>
              <a:latin typeface="Tahoma" panose="020B0604030504040204" pitchFamily="34" charset="0"/>
            </a:rPr>
            <a:t>It goes without saying that all movements of oil cargoes should be recorded in the Oil Record Book in order to comply with MARPOL. Pollution is one of the areas the blending provisions are intended to address</a:t>
          </a:r>
          <a:r>
            <a:rPr lang="en-US" b="0" i="0">
              <a:solidFill>
                <a:srgbClr val="333333"/>
              </a:solidFill>
              <a:effectLst/>
              <a:latin typeface="Tahoma" panose="020B0604030504040204" pitchFamily="34" charset="0"/>
            </a:rPr>
            <a:t>. Essentially, if you’re moving oil around a ship, at sea, there is a real chance of overflow and pollution. Regulators have therefore decided to restrict the practice to avoid scenes like this and the economic nightmare they involve.</a:t>
          </a:r>
        </a:p>
        <a:p>
          <a:pPr algn="l">
            <a:lnSpc>
              <a:spcPts val="1200"/>
            </a:lnSpc>
          </a:pPr>
          <a:r>
            <a:rPr lang="en-US" b="0" i="0">
              <a:solidFill>
                <a:srgbClr val="333333"/>
              </a:solidFill>
              <a:effectLst/>
              <a:latin typeface="Tahoma" panose="020B0604030504040204" pitchFamily="34" charset="0"/>
            </a:rPr>
            <a:t>Ships treat blending and co-mingling as being one and the same – so whether we are talking about taking X tonnes from one shore tank, Y tonnes from another shore tank and Z tonnes from a different shore tank and blending them in the loading pipeline OR putting additives or dye into the cargo OR mixing whole tanks of cargo on the vessel we perceive that there is an increase in risk of pollution. That said, pollution is avoidable if the operation is performed carefully.</a:t>
          </a:r>
        </a:p>
        <a:p>
          <a:pPr algn="l"/>
          <a:r>
            <a:rPr lang="en-US" b="0" i="0">
              <a:solidFill>
                <a:srgbClr val="333333"/>
              </a:solidFill>
              <a:effectLst/>
              <a:latin typeface="Tahoma" panose="020B0604030504040204" pitchFamily="34" charset="0"/>
            </a:rPr>
            <a:t>Blending “in the loading line” does not guarantee a uniform blend of product on the vessel. This raises another issue; misdescription for one or other of the parcels being loaded / carried and result in a rejection of cargo at the destination.</a:t>
          </a:r>
        </a:p>
        <a:p>
          <a:pPr algn="l"/>
          <a:r>
            <a:rPr lang="en-US" b="0" i="0">
              <a:solidFill>
                <a:srgbClr val="333333"/>
              </a:solidFill>
              <a:effectLst/>
              <a:latin typeface="Tahoma" panose="020B0604030504040204" pitchFamily="34" charset="0"/>
            </a:rPr>
            <a:t>Co-mingling is done on the ship but can even be done by discharging part of a cargo ashore and back loading it together with other cargo. Again, even if you carry out that operation carefully there is a real possibility that the end product of either parcel will not be as described in the bills of lading. In essence, commingling and blending fall outside the scope of a Carrier’s obligations to care for the cargo as required by the usual Cargo Conventions.</a:t>
          </a:r>
        </a:p>
        <a:p>
          <a:pPr algn="l">
            <a:lnSpc>
              <a:spcPts val="1200"/>
            </a:lnSpc>
          </a:pPr>
          <a:r>
            <a:rPr lang="en-US" b="0" i="0">
              <a:solidFill>
                <a:srgbClr val="333333"/>
              </a:solidFill>
              <a:effectLst/>
              <a:latin typeface="Tahoma" panose="020B0604030504040204" pitchFamily="34" charset="0"/>
            </a:rPr>
            <a:t>In fact, whilst pollution can be expensive when it occurs, cargo misdescription and/or quality issues are the commonest problems. The cargo description in the b/l has to match the product carried. Otherwise you may find that Cargo reject the product at the disport, arrest the ship and so on. Your OM approval is on the line, not to mention potentially large sums of money. So, we encourage our members to deal with the situation in advance, when the orders are received from the Charterer. My approach, when I am asked to advise on an order to blend, is to first refer the member to Flag and local port authorities. If the operation is not permitted by them that could well be the end of the matter. Assuming the operation is permissible, though, what then? If the charter party has no pre-agreed provision to allow co-mingling – I would start by advising the member to simply refuse.</a:t>
          </a:r>
        </a:p>
        <a:p>
          <a:pPr algn="l"/>
          <a:r>
            <a:rPr lang="en-US" b="0" i="0">
              <a:solidFill>
                <a:srgbClr val="333333"/>
              </a:solidFill>
              <a:effectLst/>
              <a:latin typeface="Tahoma" panose="020B0604030504040204" pitchFamily="34" charset="0"/>
            </a:rPr>
            <a:t>In practice, even if the charter party does not permit co-mingling – and most do nowadays – the Charterer will request that the owner agree to it in return for a LoI. This is clearly a commercial decision Owners have to make for themselves. If the charter party does have a pre-agreed co-mingling clause clearly the member must comply with a lawful order, but bill of lading should describe what has happened.</a:t>
          </a:r>
        </a:p>
        <a:p>
          <a:pPr algn="l">
            <a:lnSpc>
              <a:spcPts val="1200"/>
            </a:lnSpc>
          </a:pPr>
          <a:r>
            <a:rPr lang="en-US" b="0" i="0">
              <a:solidFill>
                <a:srgbClr val="333333"/>
              </a:solidFill>
              <a:effectLst/>
              <a:latin typeface="Tahoma" panose="020B0604030504040204" pitchFamily="34" charset="0"/>
            </a:rPr>
            <a:t>That will not work if the bills of lading are already issued and in circulation. So, unless they can be cancelled there is an obvious risk of a claim. Unfortunately, as P&amp;I will not cover a contamination claim where the owner has deliberately mixed the cargo and issued bill of ladings that do not describe it properly, the owner will have to rely on his c/p indemnity under the co-mingling clause…. or possibly an LoI.</a:t>
          </a:r>
        </a:p>
        <a:p>
          <a:pPr algn="l"/>
          <a:r>
            <a:rPr lang="en-US" b="0" i="0">
              <a:solidFill>
                <a:srgbClr val="333333"/>
              </a:solidFill>
              <a:effectLst/>
              <a:latin typeface="Tahoma" panose="020B0604030504040204" pitchFamily="34" charset="0"/>
            </a:rPr>
            <a:t>“Just ask for an LoI” is a risky approach. Even before you try to answer questions about who is issuing you with your bit of paper promising to pay up if you run into trouble you may face other difficulties. If the bills of lading are not properly, or appropriately, claused the letter may well be unenforceable for legal reasons. If clean bills of lading have been issued which fail to reflect the provenance of the cargo, date of loading and (if commingling and/or blending has occurred) how the composite parcel was formed, the bills could be considered fraudulent or the cargo to have been misdescribed. An LoI in those circumstances would most probably not be enforced, leaving the owner without cover and without recourse under the indemnity.</a:t>
          </a:r>
        </a:p>
        <a:p>
          <a:pPr algn="l">
            <a:lnSpc>
              <a:spcPts val="1100"/>
            </a:lnSpc>
          </a:pPr>
          <a:r>
            <a:rPr lang="en-US" b="0" i="0">
              <a:solidFill>
                <a:srgbClr val="333333"/>
              </a:solidFill>
              <a:effectLst/>
              <a:latin typeface="Tahoma" panose="020B0604030504040204" pitchFamily="34" charset="0"/>
            </a:rPr>
            <a:t>Whilst we would doubt that a First Class Charterer or Oil Major would contest payment under the LoI on that basis it would be open to them to do so…. and there are a number of traders who might well use it to try to wriggle out of their obligations given half the chance.</a:t>
          </a:r>
        </a:p>
        <a:p>
          <a:pPr algn="l">
            <a:lnSpc>
              <a:spcPts val="1200"/>
            </a:lnSpc>
          </a:pPr>
          <a:r>
            <a:rPr lang="en-US" b="0" i="0">
              <a:solidFill>
                <a:srgbClr val="333333"/>
              </a:solidFill>
              <a:effectLst/>
              <a:latin typeface="Tahoma" panose="020B0604030504040204" pitchFamily="34" charset="0"/>
            </a:rPr>
            <a:t>Regarding the range of c/p clauses out there; if we put aside the potential regulatory issues for a moment, what you need to look for is actually quite straightforward: good clauses provide owners with a clear indemnity for any resultant claims and have a charterer giving the indemnity that will stand up and pay if required. That makes all the difference because if the Charterer doesn’t pay you will probably have no recourse. Whilst it’s an extreme example, a recent case illustrates the type of problem that you can run into: A charterer involved in the blending and selling of fuel oil buys in fuel oil and other oils. Routinely he does a chemical analysis and then blends the cargo as it comes onto the vessel to achieve the sale spec. So if they have bought in high sulphur, they blend on a volume basis with lower sulphur to hit the sales spec. They did this in Europe in winter last year for a cargo going to the Baltic and the blend components, for some unknown reason, did not combine properly. The vessel ended up unable to discharge cargo, because there was a layer of essentially the stuff you use to make motorways, about 0.5 metres thick, across the tank top. The cargo blend had split/reacted and produced asphalt. That needed to be heated and then dug out of the vessel using pneumatic drills. This was an expensive problem.</a:t>
          </a:r>
        </a:p>
        <a:p>
          <a:pPr algn="l">
            <a:lnSpc>
              <a:spcPts val="900"/>
            </a:lnSpc>
          </a:pPr>
          <a:r>
            <a:rPr lang="en-US" b="0" i="0">
              <a:solidFill>
                <a:srgbClr val="333333"/>
              </a:solidFill>
              <a:effectLst/>
              <a:latin typeface="Tahoma" panose="020B0604030504040204" pitchFamily="34" charset="0"/>
            </a:rPr>
            <a:t> </a:t>
          </a:r>
        </a:p>
        <a:p>
          <a:pPr algn="l">
            <a:lnSpc>
              <a:spcPts val="900"/>
            </a:lnSpc>
          </a:pPr>
          <a:r>
            <a:rPr lang="en-US" b="0" i="0">
              <a:solidFill>
                <a:srgbClr val="333333"/>
              </a:solidFill>
              <a:effectLst/>
              <a:latin typeface="Tahoma" panose="020B0604030504040204" pitchFamily="34" charset="0"/>
            </a:rPr>
            <a:t> </a:t>
          </a:r>
        </a:p>
        <a:p>
          <a:pPr algn="l">
            <a:lnSpc>
              <a:spcPts val="900"/>
            </a:lnSpc>
          </a:pPr>
          <a:r>
            <a:rPr lang="en-US" b="1" i="0">
              <a:solidFill>
                <a:srgbClr val="333333"/>
              </a:solidFill>
              <a:effectLst/>
              <a:latin typeface="Tahoma" panose="020B0604030504040204" pitchFamily="34" charset="0"/>
            </a:rPr>
            <a:t>Above article is an edited version of Nick Milner’s presentation during </a:t>
          </a:r>
          <a:r>
            <a:rPr lang="en-US" b="1" i="0" u="none" strike="noStrike">
              <a:solidFill>
                <a:srgbClr val="0089CD"/>
              </a:solidFill>
              <a:effectLst/>
              <a:latin typeface="Tahoma" panose="020B0604030504040204" pitchFamily="34" charset="0"/>
              <a:hlinkClick xmlns:r="http://schemas.openxmlformats.org/officeDocument/2006/relationships" r:id=""/>
            </a:rPr>
            <a:t>2014 SAFETY4SEA Forum</a:t>
          </a:r>
          <a:endParaRPr lang="en-US" b="0" i="0">
            <a:solidFill>
              <a:srgbClr val="333333"/>
            </a:solidFill>
            <a:effectLst/>
            <a:latin typeface="Tahoma" panose="020B0604030504040204" pitchFamily="34" charset="0"/>
          </a:endParaRPr>
        </a:p>
        <a:p>
          <a:pPr>
            <a:lnSpc>
              <a:spcPts val="800"/>
            </a:lnSpc>
          </a:pPr>
          <a:endParaRPr lang="en-US" sz="1100"/>
        </a:p>
        <a:p>
          <a:pPr>
            <a:lnSpc>
              <a:spcPts val="1000"/>
            </a:lnSpc>
          </a:pPr>
          <a:r>
            <a:rPr lang="en-US" sz="1100" b="1" i="0">
              <a:solidFill>
                <a:schemeClr val="dk1"/>
              </a:solidFill>
              <a:effectLst/>
              <a:latin typeface="+mn-lt"/>
              <a:ea typeface="+mn-ea"/>
              <a:cs typeface="+mn-cs"/>
            </a:rPr>
            <a:t>More details may be found by viewing his </a:t>
          </a:r>
          <a:r>
            <a:rPr lang="en-US" sz="1100" b="1" i="0" u="none" strike="noStrike">
              <a:solidFill>
                <a:schemeClr val="dk1"/>
              </a:solidFill>
              <a:effectLst/>
              <a:latin typeface="+mn-lt"/>
              <a:ea typeface="+mn-ea"/>
              <a:cs typeface="+mn-cs"/>
              <a:hlinkClick xmlns:r="http://schemas.openxmlformats.org/officeDocument/2006/relationships" r:id=""/>
            </a:rPr>
            <a:t>Presentation video</a:t>
          </a:r>
          <a:endParaRPr lang="en-US" sz="1100"/>
        </a:p>
      </xdr:txBody>
    </xdr:sp>
    <xdr:clientData/>
  </xdr:twoCellAnchor>
  <xdr:twoCellAnchor editAs="oneCell">
    <xdr:from>
      <xdr:col>3</xdr:col>
      <xdr:colOff>2080260</xdr:colOff>
      <xdr:row>1</xdr:row>
      <xdr:rowOff>45720</xdr:rowOff>
    </xdr:from>
    <xdr:to>
      <xdr:col>3</xdr:col>
      <xdr:colOff>5859780</xdr:colOff>
      <xdr:row>2</xdr:row>
      <xdr:rowOff>236220</xdr:rowOff>
    </xdr:to>
    <xdr:pic>
      <xdr:nvPicPr>
        <xdr:cNvPr id="3" name="Picture 2">
          <a:extLst>
            <a:ext uri="{FF2B5EF4-FFF2-40B4-BE49-F238E27FC236}">
              <a16:creationId xmlns:a16="http://schemas.microsoft.com/office/drawing/2014/main" id="{00000000-0008-0000-3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9160" y="213360"/>
          <a:ext cx="377952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3</xdr:col>
      <xdr:colOff>30480</xdr:colOff>
      <xdr:row>3</xdr:row>
      <xdr:rowOff>264795</xdr:rowOff>
    </xdr:from>
    <xdr:to>
      <xdr:col>3</xdr:col>
      <xdr:colOff>7993382</xdr:colOff>
      <xdr:row>71</xdr:row>
      <xdr:rowOff>15240</xdr:rowOff>
    </xdr:to>
    <xdr:sp macro="" textlink="">
      <xdr:nvSpPr>
        <xdr:cNvPr id="2" name="TextBox 1">
          <a:extLst>
            <a:ext uri="{FF2B5EF4-FFF2-40B4-BE49-F238E27FC236}">
              <a16:creationId xmlns:a16="http://schemas.microsoft.com/office/drawing/2014/main" id="{00000000-0008-0000-3900-000002000000}"/>
            </a:ext>
          </a:extLst>
        </xdr:cNvPr>
        <xdr:cNvSpPr txBox="1"/>
      </xdr:nvSpPr>
      <xdr:spPr>
        <a:xfrm>
          <a:off x="2651760" y="965835"/>
          <a:ext cx="7962902" cy="14418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algn="l">
            <a:lnSpc>
              <a:spcPts val="1100"/>
            </a:lnSpc>
          </a:pPr>
          <a:endParaRPr lang="en-US" b="0" i="0">
            <a:solidFill>
              <a:srgbClr val="333333"/>
            </a:solidFill>
            <a:effectLst/>
            <a:latin typeface="Oswald"/>
          </a:endParaRPr>
        </a:p>
        <a:p>
          <a:pPr marL="0" marR="0" lvl="0" indent="0" algn="l" defTabSz="914400" eaLnBrk="1" fontAlgn="auto" latinLnBrk="0" hangingPunct="1">
            <a:lnSpc>
              <a:spcPts val="1100"/>
            </a:lnSpc>
            <a:spcBef>
              <a:spcPts val="0"/>
            </a:spcBef>
            <a:spcAft>
              <a:spcPts val="0"/>
            </a:spcAft>
            <a:buClrTx/>
            <a:buSzTx/>
            <a:buFontTx/>
            <a:buNone/>
            <a:tabLst/>
            <a:defRPr/>
          </a:pPr>
          <a:r>
            <a:rPr lang="en-GB" sz="1200" b="1" i="0">
              <a:solidFill>
                <a:sysClr val="windowText" lastClr="000000"/>
              </a:solidFill>
              <a:effectLst/>
              <a:latin typeface="Arial" panose="020B0604020202020204" pitchFamily="34" charset="0"/>
              <a:ea typeface="+mn-ea"/>
              <a:cs typeface="Arial" panose="020B0604020202020204" pitchFamily="34" charset="0"/>
            </a:rPr>
            <a:t>Combined gas laws</a:t>
          </a:r>
          <a:r>
            <a:rPr lang="en-US" sz="1200" b="1" i="0">
              <a:solidFill>
                <a:sysClr val="windowText" lastClr="000000"/>
              </a:solidFill>
              <a:effectLst/>
              <a:latin typeface="Arial" panose="020B0604020202020204" pitchFamily="34" charset="0"/>
              <a:ea typeface="+mn-ea"/>
              <a:cs typeface="Arial" panose="020B0604020202020204" pitchFamily="34" charset="0"/>
            </a:rPr>
            <a:t>.</a:t>
          </a: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r>
            <a:rPr lang="en-US" sz="1200" b="0" i="0">
              <a:solidFill>
                <a:sysClr val="windowText" lastClr="000000"/>
              </a:solidFill>
              <a:effectLst/>
              <a:latin typeface="Arial" panose="020B0604020202020204" pitchFamily="34" charset="0"/>
              <a:cs typeface="Arial" panose="020B0604020202020204" pitchFamily="34" charset="0"/>
            </a:rPr>
            <a:t>Let us establish a connection between the pressure, volume and temperature of a certain mass of gas if </a:t>
          </a:r>
          <a:r>
            <a:rPr lang="en-US" sz="1200" b="0" i="1">
              <a:solidFill>
                <a:sysClr val="windowText" lastClr="000000"/>
              </a:solidFill>
              <a:effectLst/>
              <a:latin typeface="Arial" panose="020B0604020202020204" pitchFamily="34" charset="0"/>
              <a:cs typeface="Arial" panose="020B0604020202020204" pitchFamily="34" charset="0"/>
            </a:rPr>
            <a:t>all three of these quantities change</a:t>
          </a:r>
          <a:r>
            <a:rPr lang="en-US" sz="1200" b="0" i="0">
              <a:solidFill>
                <a:sysClr val="windowText" lastClr="000000"/>
              </a:solidFill>
              <a:effectLst/>
              <a:latin typeface="Arial" panose="020B0604020202020204" pitchFamily="34" charset="0"/>
              <a:cs typeface="Arial" panose="020B0604020202020204" pitchFamily="34" charset="0"/>
            </a:rPr>
            <a:t>.</a:t>
          </a: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r>
            <a:rPr lang="en-US" sz="1200" b="0" i="0">
              <a:solidFill>
                <a:sysClr val="windowText" lastClr="000000"/>
              </a:solidFill>
              <a:effectLst/>
              <a:latin typeface="Arial" panose="020B0604020202020204" pitchFamily="34" charset="0"/>
              <a:cs typeface="Arial" panose="020B0604020202020204" pitchFamily="34" charset="0"/>
            </a:rPr>
            <a:t>Let the initial volume, pressure and temperature of a certain mass of gas be equal to V</a:t>
          </a:r>
          <a:r>
            <a:rPr lang="en-US" sz="1200" b="0" i="0" baseline="-25000">
              <a:solidFill>
                <a:sysClr val="windowText" lastClr="000000"/>
              </a:solidFill>
              <a:effectLst/>
              <a:latin typeface="Arial" panose="020B0604020202020204" pitchFamily="34" charset="0"/>
              <a:cs typeface="Arial" panose="020B0604020202020204" pitchFamily="34" charset="0"/>
            </a:rPr>
            <a:t>1</a:t>
          </a:r>
          <a:r>
            <a:rPr lang="en-US" sz="1200" b="0" i="0">
              <a:solidFill>
                <a:sysClr val="windowText" lastClr="000000"/>
              </a:solidFill>
              <a:effectLst/>
              <a:latin typeface="Arial" panose="020B0604020202020204" pitchFamily="34" charset="0"/>
              <a:cs typeface="Arial" panose="020B0604020202020204" pitchFamily="34" charset="0"/>
            </a:rPr>
            <a:t>, P</a:t>
          </a:r>
          <a:r>
            <a:rPr lang="en-US" sz="1200" b="0" i="0" baseline="-25000">
              <a:solidFill>
                <a:sysClr val="windowText" lastClr="000000"/>
              </a:solidFill>
              <a:effectLst/>
              <a:latin typeface="Arial" panose="020B0604020202020204" pitchFamily="34" charset="0"/>
              <a:cs typeface="Arial" panose="020B0604020202020204" pitchFamily="34" charset="0"/>
            </a:rPr>
            <a:t>1</a:t>
          </a:r>
          <a:r>
            <a:rPr lang="en-US" sz="1200" b="0" i="0">
              <a:solidFill>
                <a:sysClr val="windowText" lastClr="000000"/>
              </a:solidFill>
              <a:effectLst/>
              <a:latin typeface="Arial" panose="020B0604020202020204" pitchFamily="34" charset="0"/>
              <a:cs typeface="Arial" panose="020B0604020202020204" pitchFamily="34" charset="0"/>
            </a:rPr>
            <a:t> and T</a:t>
          </a:r>
          <a:r>
            <a:rPr lang="en-US" sz="1200" b="0" i="0" baseline="-25000">
              <a:solidFill>
                <a:sysClr val="windowText" lastClr="000000"/>
              </a:solidFill>
              <a:effectLst/>
              <a:latin typeface="Arial" panose="020B0604020202020204" pitchFamily="34" charset="0"/>
              <a:cs typeface="Arial" panose="020B0604020202020204" pitchFamily="34" charset="0"/>
            </a:rPr>
            <a:t>1</a:t>
          </a:r>
          <a:r>
            <a:rPr lang="en-US" sz="1200" b="0" i="0">
              <a:solidFill>
                <a:sysClr val="windowText" lastClr="000000"/>
              </a:solidFill>
              <a:effectLst/>
              <a:latin typeface="Arial" panose="020B0604020202020204" pitchFamily="34" charset="0"/>
              <a:cs typeface="Arial" panose="020B0604020202020204" pitchFamily="34" charset="0"/>
            </a:rPr>
            <a:t> and the final volume - V</a:t>
          </a:r>
          <a:r>
            <a:rPr lang="en-US" sz="1200" b="0" i="0" baseline="-25000">
              <a:solidFill>
                <a:sysClr val="windowText" lastClr="000000"/>
              </a:solidFill>
              <a:effectLst/>
              <a:latin typeface="Arial" panose="020B0604020202020204" pitchFamily="34" charset="0"/>
              <a:cs typeface="Arial" panose="020B0604020202020204" pitchFamily="34" charset="0"/>
            </a:rPr>
            <a:t>2</a:t>
          </a:r>
          <a:r>
            <a:rPr lang="en-US" sz="1200" b="0" i="0">
              <a:solidFill>
                <a:sysClr val="windowText" lastClr="000000"/>
              </a:solidFill>
              <a:effectLst/>
              <a:latin typeface="Arial" panose="020B0604020202020204" pitchFamily="34" charset="0"/>
              <a:cs typeface="Arial" panose="020B0604020202020204" pitchFamily="34" charset="0"/>
            </a:rPr>
            <a:t>, P</a:t>
          </a:r>
          <a:r>
            <a:rPr lang="en-US" sz="1200" b="0" i="0" baseline="-25000">
              <a:solidFill>
                <a:sysClr val="windowText" lastClr="000000"/>
              </a:solidFill>
              <a:effectLst/>
              <a:latin typeface="Arial" panose="020B0604020202020204" pitchFamily="34" charset="0"/>
              <a:cs typeface="Arial" panose="020B0604020202020204" pitchFamily="34" charset="0"/>
            </a:rPr>
            <a:t>2</a:t>
          </a:r>
          <a:r>
            <a:rPr lang="en-US" sz="1200" b="0" i="0">
              <a:solidFill>
                <a:sysClr val="windowText" lastClr="000000"/>
              </a:solidFill>
              <a:effectLst/>
              <a:latin typeface="Arial" panose="020B0604020202020204" pitchFamily="34" charset="0"/>
              <a:cs typeface="Arial" panose="020B0604020202020204" pitchFamily="34" charset="0"/>
            </a:rPr>
            <a:t> and T</a:t>
          </a:r>
          <a:r>
            <a:rPr lang="en-US" sz="1200" b="0" i="0" baseline="-25000">
              <a:solidFill>
                <a:sysClr val="windowText" lastClr="000000"/>
              </a:solidFill>
              <a:effectLst/>
              <a:latin typeface="Arial" panose="020B0604020202020204" pitchFamily="34" charset="0"/>
              <a:cs typeface="Arial" panose="020B0604020202020204" pitchFamily="34" charset="0"/>
            </a:rPr>
            <a:t>2</a:t>
          </a: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r>
            <a:rPr lang="en-US" sz="1200" b="0" i="0">
              <a:solidFill>
                <a:sysClr val="windowText" lastClr="000000"/>
              </a:solidFill>
              <a:effectLst/>
              <a:latin typeface="Arial" panose="020B0604020202020204" pitchFamily="34" charset="0"/>
              <a:cs typeface="Arial" panose="020B0604020202020204" pitchFamily="34" charset="0"/>
            </a:rPr>
            <a:t>So, </a:t>
          </a:r>
          <a:r>
            <a:rPr lang="en-US" sz="1200" b="0" i="1">
              <a:solidFill>
                <a:sysClr val="windowText" lastClr="000000"/>
              </a:solidFill>
              <a:effectLst/>
              <a:latin typeface="Arial" panose="020B0604020202020204" pitchFamily="34" charset="0"/>
              <a:cs typeface="Arial" panose="020B0604020202020204" pitchFamily="34" charset="0"/>
            </a:rPr>
            <a:t>the product of the volume of a certain mass of gas and its pressure is proportional to the absolute temperature of the gas</a:t>
          </a:r>
          <a:r>
            <a:rPr lang="en-US" sz="1200" b="0" i="0">
              <a:solidFill>
                <a:sysClr val="windowText" lastClr="000000"/>
              </a:solidFill>
              <a:effectLst/>
              <a:latin typeface="Arial" panose="020B0604020202020204" pitchFamily="34" charset="0"/>
              <a:cs typeface="Arial" panose="020B0604020202020204" pitchFamily="34" charset="0"/>
            </a:rPr>
            <a:t>. </a:t>
          </a: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r>
            <a:rPr lang="en-US" sz="1200" b="0" i="0">
              <a:solidFill>
                <a:sysClr val="windowText" lastClr="000000"/>
              </a:solidFill>
              <a:effectLst/>
              <a:latin typeface="Arial" panose="020B0604020202020204" pitchFamily="34" charset="0"/>
              <a:cs typeface="Arial" panose="020B0604020202020204" pitchFamily="34" charset="0"/>
            </a:rPr>
            <a:t>This is the unified law of the gas state or the equation of state of the gas. </a:t>
          </a:r>
        </a:p>
        <a:p>
          <a:pPr algn="l">
            <a:lnSpc>
              <a:spcPts val="1100"/>
            </a:lnSpc>
          </a:pPr>
          <a:r>
            <a:rPr lang="en-US" sz="1200" b="0" i="1">
              <a:solidFill>
                <a:sysClr val="windowText" lastClr="000000"/>
              </a:solidFill>
              <a:effectLst/>
              <a:latin typeface="Arial" panose="020B0604020202020204" pitchFamily="34" charset="0"/>
              <a:cs typeface="Arial" panose="020B0604020202020204" pitchFamily="34" charset="0"/>
            </a:rPr>
            <a:t>From here we have the following</a:t>
          </a: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r>
            <a:rPr lang="en-US" sz="1200" b="0" i="0">
              <a:solidFill>
                <a:sysClr val="windowText" lastClr="000000"/>
              </a:solidFill>
              <a:effectLst/>
              <a:latin typeface="Arial" panose="020B0604020202020204" pitchFamily="34" charset="0"/>
              <a:cs typeface="Arial" panose="020B0604020202020204" pitchFamily="34" charset="0"/>
            </a:rPr>
            <a:t>The ratio                          will be insignificant and approximately equal to 1.</a:t>
          </a: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r>
            <a:rPr lang="en-US" sz="1200" b="0" i="0">
              <a:solidFill>
                <a:sysClr val="windowText" lastClr="000000"/>
              </a:solidFill>
              <a:effectLst/>
              <a:latin typeface="Arial" panose="020B0604020202020204" pitchFamily="34" charset="0"/>
              <a:cs typeface="Arial" panose="020B0604020202020204" pitchFamily="34" charset="0"/>
            </a:rPr>
            <a:t>Critical values can only be reached with very strong compression. </a:t>
          </a:r>
        </a:p>
        <a:p>
          <a:pPr algn="l">
            <a:lnSpc>
              <a:spcPts val="1100"/>
            </a:lnSpc>
          </a:pPr>
          <a:endParaRPr lang="en-US" sz="1200" b="0" i="0">
            <a:solidFill>
              <a:sysClr val="windowText" lastClr="000000"/>
            </a:solidFill>
            <a:effectLst/>
            <a:latin typeface="Arial" panose="020B0604020202020204" pitchFamily="34" charset="0"/>
            <a:cs typeface="Arial" panose="020B0604020202020204" pitchFamily="34" charset="0"/>
          </a:endParaRPr>
        </a:p>
        <a:p>
          <a:pPr algn="l">
            <a:lnSpc>
              <a:spcPts val="1100"/>
            </a:lnSpc>
          </a:pPr>
          <a:r>
            <a:rPr lang="en-US" sz="1200" b="0" i="0">
              <a:solidFill>
                <a:sysClr val="windowText" lastClr="000000"/>
              </a:solidFill>
              <a:effectLst/>
              <a:latin typeface="Arial" panose="020B0604020202020204" pitchFamily="34" charset="0"/>
              <a:cs typeface="Arial" panose="020B0604020202020204" pitchFamily="34" charset="0"/>
            </a:rPr>
            <a:t>Therefore, we have that the pressure of a gas is directly proportional to the change in its volume.</a:t>
          </a:r>
        </a:p>
      </xdr:txBody>
    </xdr:sp>
    <xdr:clientData/>
  </xdr:twoCellAnchor>
  <xdr:twoCellAnchor>
    <xdr:from>
      <xdr:col>3</xdr:col>
      <xdr:colOff>1577340</xdr:colOff>
      <xdr:row>5</xdr:row>
      <xdr:rowOff>53340</xdr:rowOff>
    </xdr:from>
    <xdr:to>
      <xdr:col>3</xdr:col>
      <xdr:colOff>5974080</xdr:colOff>
      <xdr:row>13</xdr:row>
      <xdr:rowOff>157837</xdr:rowOff>
    </xdr:to>
    <xdr:grpSp>
      <xdr:nvGrpSpPr>
        <xdr:cNvPr id="4" name="Group 12">
          <a:extLst>
            <a:ext uri="{FF2B5EF4-FFF2-40B4-BE49-F238E27FC236}">
              <a16:creationId xmlns:a16="http://schemas.microsoft.com/office/drawing/2014/main" id="{00000000-0008-0000-3900-000004000000}"/>
            </a:ext>
          </a:extLst>
        </xdr:cNvPr>
        <xdr:cNvGrpSpPr>
          <a:grpSpLocks/>
        </xdr:cNvGrpSpPr>
      </xdr:nvGrpSpPr>
      <xdr:grpSpPr bwMode="auto">
        <a:xfrm>
          <a:off x="4387215" y="1282065"/>
          <a:ext cx="4396740" cy="2238097"/>
          <a:chOff x="180" y="142"/>
          <a:chExt cx="462" cy="257"/>
        </a:xfrm>
      </xdr:grpSpPr>
      <xdr:sp macro="" textlink="">
        <xdr:nvSpPr>
          <xdr:cNvPr id="5" name="Rectangle 1">
            <a:extLst>
              <a:ext uri="{FF2B5EF4-FFF2-40B4-BE49-F238E27FC236}">
                <a16:creationId xmlns:a16="http://schemas.microsoft.com/office/drawing/2014/main" id="{00000000-0008-0000-3900-000005000000}"/>
              </a:ext>
            </a:extLst>
          </xdr:cNvPr>
          <xdr:cNvSpPr>
            <a:spLocks noChangeArrowheads="1"/>
          </xdr:cNvSpPr>
        </xdr:nvSpPr>
        <xdr:spPr bwMode="auto">
          <a:xfrm>
            <a:off x="180" y="142"/>
            <a:ext cx="215" cy="223"/>
          </a:xfrm>
          <a:prstGeom prst="rect">
            <a:avLst/>
          </a:prstGeom>
          <a:pattFill prst="pct5">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 name="Text Box 2">
            <a:extLst>
              <a:ext uri="{FF2B5EF4-FFF2-40B4-BE49-F238E27FC236}">
                <a16:creationId xmlns:a16="http://schemas.microsoft.com/office/drawing/2014/main" id="{00000000-0008-0000-3900-000006000000}"/>
              </a:ext>
            </a:extLst>
          </xdr:cNvPr>
          <xdr:cNvSpPr txBox="1">
            <a:spLocks noChangeArrowheads="1"/>
          </xdr:cNvSpPr>
        </xdr:nvSpPr>
        <xdr:spPr bwMode="auto">
          <a:xfrm>
            <a:off x="243" y="217"/>
            <a:ext cx="100" cy="4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ru-RU" sz="1000" b="0" i="0" u="none" strike="noStrike" baseline="0">
                <a:solidFill>
                  <a:srgbClr val="000000"/>
                </a:solidFill>
                <a:latin typeface="Arial"/>
                <a:cs typeface="Arial"/>
              </a:rPr>
              <a:t>IG Pressure</a:t>
            </a:r>
            <a:r>
              <a:rPr lang="en-GB" sz="1000" b="0" i="0" u="none" strike="noStrike" baseline="0">
                <a:solidFill>
                  <a:srgbClr val="000000"/>
                </a:solidFill>
                <a:latin typeface="Arial"/>
                <a:cs typeface="Arial"/>
              </a:rPr>
              <a:t> P</a:t>
            </a:r>
            <a:r>
              <a:rPr lang="en-GB" sz="1000" b="0" i="0" u="none" strike="noStrike" baseline="-25000">
                <a:solidFill>
                  <a:srgbClr val="000000"/>
                </a:solidFill>
                <a:latin typeface="Arial"/>
                <a:cs typeface="Arial"/>
              </a:rPr>
              <a:t>1</a:t>
            </a:r>
            <a:r>
              <a:rPr lang="ru-RU" sz="1000" b="0" i="0" u="none" strike="noStrike" baseline="0">
                <a:solidFill>
                  <a:srgbClr val="000000"/>
                </a:solidFill>
                <a:latin typeface="Arial"/>
                <a:cs typeface="Arial"/>
              </a:rPr>
              <a:t> mm/WG</a:t>
            </a:r>
          </a:p>
        </xdr:txBody>
      </xdr:sp>
      <xdr:sp macro="" textlink="">
        <xdr:nvSpPr>
          <xdr:cNvPr id="7" name="Rectangle 3">
            <a:extLst>
              <a:ext uri="{FF2B5EF4-FFF2-40B4-BE49-F238E27FC236}">
                <a16:creationId xmlns:a16="http://schemas.microsoft.com/office/drawing/2014/main" id="{00000000-0008-0000-3900-000007000000}"/>
              </a:ext>
            </a:extLst>
          </xdr:cNvPr>
          <xdr:cNvSpPr>
            <a:spLocks noChangeArrowheads="1"/>
          </xdr:cNvSpPr>
        </xdr:nvSpPr>
        <xdr:spPr bwMode="auto">
          <a:xfrm>
            <a:off x="427" y="142"/>
            <a:ext cx="215" cy="223"/>
          </a:xfrm>
          <a:prstGeom prst="rect">
            <a:avLst/>
          </a:prstGeom>
          <a:pattFill prst="pct2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8" name="Text Box 4">
            <a:extLst>
              <a:ext uri="{FF2B5EF4-FFF2-40B4-BE49-F238E27FC236}">
                <a16:creationId xmlns:a16="http://schemas.microsoft.com/office/drawing/2014/main" id="{00000000-0008-0000-3900-000008000000}"/>
              </a:ext>
            </a:extLst>
          </xdr:cNvPr>
          <xdr:cNvSpPr txBox="1">
            <a:spLocks noChangeArrowheads="1"/>
          </xdr:cNvSpPr>
        </xdr:nvSpPr>
        <xdr:spPr bwMode="auto">
          <a:xfrm>
            <a:off x="487" y="165"/>
            <a:ext cx="100" cy="4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27432" anchor="ctr" upright="1"/>
          <a:lstStyle/>
          <a:p>
            <a:pPr algn="ctr" rtl="0">
              <a:defRPr sz="1000"/>
            </a:pPr>
            <a:r>
              <a:rPr lang="ru-RU" sz="1000" b="0" i="0" u="none" strike="noStrike" baseline="0">
                <a:solidFill>
                  <a:srgbClr val="000000"/>
                </a:solidFill>
                <a:latin typeface="Arial"/>
                <a:cs typeface="Arial"/>
              </a:rPr>
              <a:t>IG Pressure</a:t>
            </a:r>
            <a:r>
              <a:rPr lang="en-GB" sz="1000" b="0" i="0" u="none" strike="noStrike" baseline="0">
                <a:solidFill>
                  <a:srgbClr val="000000"/>
                </a:solidFill>
                <a:latin typeface="Arial"/>
                <a:cs typeface="Arial"/>
              </a:rPr>
              <a:t> </a:t>
            </a:r>
            <a:r>
              <a:rPr lang="en-GB" sz="1000" b="0" i="0" baseline="0">
                <a:effectLst/>
                <a:latin typeface="+mn-lt"/>
                <a:ea typeface="+mn-ea"/>
                <a:cs typeface="+mn-cs"/>
              </a:rPr>
              <a:t>P</a:t>
            </a:r>
            <a:r>
              <a:rPr lang="en-GB" sz="1000" b="0" i="0" baseline="-25000">
                <a:effectLst/>
                <a:latin typeface="+mn-lt"/>
                <a:ea typeface="+mn-ea"/>
                <a:cs typeface="+mn-cs"/>
              </a:rPr>
              <a:t>2</a:t>
            </a:r>
            <a:endParaRPr lang="ru-RU" sz="1000" b="0" i="0" u="none" strike="noStrike" baseline="0">
              <a:solidFill>
                <a:srgbClr val="000000"/>
              </a:solidFill>
              <a:latin typeface="Arial"/>
              <a:cs typeface="Arial"/>
            </a:endParaRPr>
          </a:p>
          <a:p>
            <a:pPr algn="ctr" rtl="0">
              <a:defRPr sz="1000"/>
            </a:pPr>
            <a:r>
              <a:rPr lang="ru-RU" sz="1000" b="0" i="0" u="none" strike="noStrike" baseline="0">
                <a:solidFill>
                  <a:srgbClr val="000000"/>
                </a:solidFill>
                <a:latin typeface="Arial"/>
                <a:cs typeface="Arial"/>
              </a:rPr>
              <a:t> mm/WG</a:t>
            </a:r>
          </a:p>
        </xdr:txBody>
      </xdr:sp>
      <xdr:sp macro="" textlink="">
        <xdr:nvSpPr>
          <xdr:cNvPr id="9" name="Rectangle 5">
            <a:extLst>
              <a:ext uri="{FF2B5EF4-FFF2-40B4-BE49-F238E27FC236}">
                <a16:creationId xmlns:a16="http://schemas.microsoft.com/office/drawing/2014/main" id="{00000000-0008-0000-3900-000009000000}"/>
              </a:ext>
            </a:extLst>
          </xdr:cNvPr>
          <xdr:cNvSpPr>
            <a:spLocks noChangeArrowheads="1"/>
          </xdr:cNvSpPr>
        </xdr:nvSpPr>
        <xdr:spPr bwMode="auto">
          <a:xfrm>
            <a:off x="427" y="227"/>
            <a:ext cx="215" cy="141"/>
          </a:xfrm>
          <a:prstGeom prst="re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0" name="Text Box 6">
            <a:extLst>
              <a:ext uri="{FF2B5EF4-FFF2-40B4-BE49-F238E27FC236}">
                <a16:creationId xmlns:a16="http://schemas.microsoft.com/office/drawing/2014/main" id="{00000000-0008-0000-3900-00000A000000}"/>
              </a:ext>
            </a:extLst>
          </xdr:cNvPr>
          <xdr:cNvSpPr txBox="1">
            <a:spLocks noChangeArrowheads="1"/>
          </xdr:cNvSpPr>
        </xdr:nvSpPr>
        <xdr:spPr bwMode="auto">
          <a:xfrm>
            <a:off x="228" y="373"/>
            <a:ext cx="128" cy="23"/>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27432" bIns="27432" anchor="ctr" upright="1">
            <a:spAutoFit/>
          </a:bodyPr>
          <a:lstStyle/>
          <a:p>
            <a:pPr algn="ctr" rtl="0">
              <a:defRPr sz="1000"/>
            </a:pPr>
            <a:r>
              <a:rPr lang="ru-RU" sz="1000" b="0" i="0" u="none" strike="noStrike" baseline="0">
                <a:solidFill>
                  <a:srgbClr val="000000"/>
                </a:solidFill>
                <a:latin typeface="Arial"/>
                <a:cs typeface="Arial"/>
              </a:rPr>
              <a:t>COT before Loading</a:t>
            </a:r>
          </a:p>
        </xdr:txBody>
      </xdr:sp>
      <xdr:sp macro="" textlink="">
        <xdr:nvSpPr>
          <xdr:cNvPr id="11" name="Text Box 7">
            <a:extLst>
              <a:ext uri="{FF2B5EF4-FFF2-40B4-BE49-F238E27FC236}">
                <a16:creationId xmlns:a16="http://schemas.microsoft.com/office/drawing/2014/main" id="{00000000-0008-0000-3900-00000B000000}"/>
              </a:ext>
            </a:extLst>
          </xdr:cNvPr>
          <xdr:cNvSpPr txBox="1">
            <a:spLocks noChangeArrowheads="1"/>
          </xdr:cNvSpPr>
        </xdr:nvSpPr>
        <xdr:spPr bwMode="auto">
          <a:xfrm>
            <a:off x="477" y="376"/>
            <a:ext cx="118" cy="23"/>
          </a:xfrm>
          <a:prstGeom prst="rect">
            <a:avLst/>
          </a:prstGeom>
          <a:no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27432" tIns="27432" rIns="27432" bIns="27432" anchor="ctr" upright="1">
            <a:spAutoFit/>
          </a:bodyPr>
          <a:lstStyle/>
          <a:p>
            <a:pPr algn="ctr" rtl="0">
              <a:defRPr sz="1000"/>
            </a:pPr>
            <a:r>
              <a:rPr lang="ru-RU" sz="1000" b="0" i="0" u="none" strike="noStrike" baseline="0">
                <a:solidFill>
                  <a:srgbClr val="000000"/>
                </a:solidFill>
                <a:latin typeface="Arial"/>
                <a:cs typeface="Arial"/>
              </a:rPr>
              <a:t>COT After Loading</a:t>
            </a:r>
          </a:p>
        </xdr:txBody>
      </xdr:sp>
    </xdr:grpSp>
    <xdr:clientData/>
  </xdr:twoCellAnchor>
  <mc:AlternateContent xmlns:mc="http://schemas.openxmlformats.org/markup-compatibility/2006">
    <mc:Choice xmlns:a14="http://schemas.microsoft.com/office/drawing/2010/main" Requires="a14">
      <xdr:twoCellAnchor>
        <xdr:from>
          <xdr:col>3</xdr:col>
          <xdr:colOff>1076325</xdr:colOff>
          <xdr:row>19</xdr:row>
          <xdr:rowOff>9525</xdr:rowOff>
        </xdr:from>
        <xdr:to>
          <xdr:col>3</xdr:col>
          <xdr:colOff>1995488</xdr:colOff>
          <xdr:row>21</xdr:row>
          <xdr:rowOff>100013</xdr:rowOff>
        </xdr:to>
        <xdr:sp macro="" textlink="">
          <xdr:nvSpPr>
            <xdr:cNvPr id="241665" name="Object 1" hidden="1">
              <a:extLst>
                <a:ext uri="{63B3BB69-23CF-44E3-9099-C40C66FF867C}">
                  <a14:compatExt spid="_x0000_s241665"/>
                </a:ext>
                <a:ext uri="{FF2B5EF4-FFF2-40B4-BE49-F238E27FC236}">
                  <a16:creationId xmlns:a16="http://schemas.microsoft.com/office/drawing/2014/main" id="{00000000-0008-0000-3900-000001B00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1128713</xdr:colOff>
          <xdr:row>25</xdr:row>
          <xdr:rowOff>190500</xdr:rowOff>
        </xdr:from>
        <xdr:to>
          <xdr:col>3</xdr:col>
          <xdr:colOff>2224088</xdr:colOff>
          <xdr:row>28</xdr:row>
          <xdr:rowOff>9525</xdr:rowOff>
        </xdr:to>
        <xdr:sp macro="" textlink="">
          <xdr:nvSpPr>
            <xdr:cNvPr id="241666" name="Object 2" hidden="1">
              <a:extLst>
                <a:ext uri="{63B3BB69-23CF-44E3-9099-C40C66FF867C}">
                  <a14:compatExt spid="_x0000_s241666"/>
                </a:ext>
                <a:ext uri="{FF2B5EF4-FFF2-40B4-BE49-F238E27FC236}">
                  <a16:creationId xmlns:a16="http://schemas.microsoft.com/office/drawing/2014/main" id="{00000000-0008-0000-3900-000002B00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1181100</xdr:colOff>
          <xdr:row>28</xdr:row>
          <xdr:rowOff>128588</xdr:rowOff>
        </xdr:from>
        <xdr:to>
          <xdr:col>3</xdr:col>
          <xdr:colOff>1457325</xdr:colOff>
          <xdr:row>30</xdr:row>
          <xdr:rowOff>242888</xdr:rowOff>
        </xdr:to>
        <xdr:sp macro="" textlink="">
          <xdr:nvSpPr>
            <xdr:cNvPr id="241667" name="Object 3" hidden="1">
              <a:extLst>
                <a:ext uri="{63B3BB69-23CF-44E3-9099-C40C66FF867C}">
                  <a14:compatExt spid="_x0000_s241667"/>
                </a:ext>
                <a:ext uri="{FF2B5EF4-FFF2-40B4-BE49-F238E27FC236}">
                  <a16:creationId xmlns:a16="http://schemas.microsoft.com/office/drawing/2014/main" id="{00000000-0008-0000-3900-000003B00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34</xdr:row>
          <xdr:rowOff>85725</xdr:rowOff>
        </xdr:from>
        <xdr:to>
          <xdr:col>3</xdr:col>
          <xdr:colOff>2124075</xdr:colOff>
          <xdr:row>37</xdr:row>
          <xdr:rowOff>104775</xdr:rowOff>
        </xdr:to>
        <xdr:sp macro="" textlink="">
          <xdr:nvSpPr>
            <xdr:cNvPr id="241668" name="Object 4" hidden="1">
              <a:extLst>
                <a:ext uri="{63B3BB69-23CF-44E3-9099-C40C66FF867C}">
                  <a14:compatExt spid="_x0000_s241668"/>
                </a:ext>
                <a:ext uri="{FF2B5EF4-FFF2-40B4-BE49-F238E27FC236}">
                  <a16:creationId xmlns:a16="http://schemas.microsoft.com/office/drawing/2014/main" id="{00000000-0008-0000-3900-000004B00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3</xdr:col>
      <xdr:colOff>2133600</xdr:colOff>
      <xdr:row>39</xdr:row>
      <xdr:rowOff>152400</xdr:rowOff>
    </xdr:from>
    <xdr:to>
      <xdr:col>3</xdr:col>
      <xdr:colOff>4899660</xdr:colOff>
      <xdr:row>52</xdr:row>
      <xdr:rowOff>68580</xdr:rowOff>
    </xdr:to>
    <xdr:pic>
      <xdr:nvPicPr>
        <xdr:cNvPr id="12" name="Рисунок 11">
          <a:extLst>
            <a:ext uri="{FF2B5EF4-FFF2-40B4-BE49-F238E27FC236}">
              <a16:creationId xmlns:a16="http://schemas.microsoft.com/office/drawing/2014/main" id="{00000000-0008-0000-3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10157460"/>
          <a:ext cx="276606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38100</xdr:colOff>
      <xdr:row>1</xdr:row>
      <xdr:rowOff>30480</xdr:rowOff>
    </xdr:from>
    <xdr:to>
      <xdr:col>3</xdr:col>
      <xdr:colOff>1443989</xdr:colOff>
      <xdr:row>2</xdr:row>
      <xdr:rowOff>251046</xdr:rowOff>
    </xdr:to>
    <xdr:pic>
      <xdr:nvPicPr>
        <xdr:cNvPr id="2" name="Picture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7000" y="192405"/>
          <a:ext cx="1405889" cy="487266"/>
        </a:xfrm>
        <a:prstGeom prst="rect">
          <a:avLst/>
        </a:prstGeom>
      </xdr:spPr>
    </xdr:pic>
    <xdr:clientData/>
  </xdr:twoCellAnchor>
  <xdr:twoCellAnchor editAs="oneCell">
    <xdr:from>
      <xdr:col>3</xdr:col>
      <xdr:colOff>133351</xdr:colOff>
      <xdr:row>45</xdr:row>
      <xdr:rowOff>22861</xdr:rowOff>
    </xdr:from>
    <xdr:to>
      <xdr:col>3</xdr:col>
      <xdr:colOff>1314451</xdr:colOff>
      <xdr:row>48</xdr:row>
      <xdr:rowOff>26127</xdr:rowOff>
    </xdr:to>
    <xdr:pic>
      <xdr:nvPicPr>
        <xdr:cNvPr id="4" name="Picture 3">
          <a:extLst>
            <a:ext uri="{FF2B5EF4-FFF2-40B4-BE49-F238E27FC236}">
              <a16:creationId xmlns:a16="http://schemas.microsoft.com/office/drawing/2014/main" id="{00000000-0008-0000-3A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30831" y="9204961"/>
          <a:ext cx="1181100" cy="506186"/>
        </a:xfrm>
        <a:prstGeom prst="rect">
          <a:avLst/>
        </a:prstGeom>
      </xdr:spPr>
    </xdr:pic>
    <xdr:clientData/>
  </xdr:twoCellAnchor>
  <xdr:twoCellAnchor editAs="oneCell">
    <xdr:from>
      <xdr:col>3</xdr:col>
      <xdr:colOff>38100</xdr:colOff>
      <xdr:row>37</xdr:row>
      <xdr:rowOff>30480</xdr:rowOff>
    </xdr:from>
    <xdr:to>
      <xdr:col>3</xdr:col>
      <xdr:colOff>1432560</xdr:colOff>
      <xdr:row>38</xdr:row>
      <xdr:rowOff>79031</xdr:rowOff>
    </xdr:to>
    <xdr:pic>
      <xdr:nvPicPr>
        <xdr:cNvPr id="6" name="Рисунок 5">
          <a:extLst>
            <a:ext uri="{FF2B5EF4-FFF2-40B4-BE49-F238E27FC236}">
              <a16:creationId xmlns:a16="http://schemas.microsoft.com/office/drawing/2014/main" id="{00000000-0008-0000-3A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35580" y="5257800"/>
          <a:ext cx="1394460" cy="239051"/>
        </a:xfrm>
        <a:prstGeom prst="rect">
          <a:avLst/>
        </a:prstGeom>
      </xdr:spPr>
    </xdr:pic>
    <xdr:clientData/>
  </xdr:twoCellAnchor>
  <xdr:twoCellAnchor editAs="oneCell">
    <xdr:from>
      <xdr:col>3</xdr:col>
      <xdr:colOff>129540</xdr:colOff>
      <xdr:row>42</xdr:row>
      <xdr:rowOff>106680</xdr:rowOff>
    </xdr:from>
    <xdr:to>
      <xdr:col>3</xdr:col>
      <xdr:colOff>1424940</xdr:colOff>
      <xdr:row>43</xdr:row>
      <xdr:rowOff>106680</xdr:rowOff>
    </xdr:to>
    <xdr:pic>
      <xdr:nvPicPr>
        <xdr:cNvPr id="8" name="Рисунок 7">
          <a:extLst>
            <a:ext uri="{FF2B5EF4-FFF2-40B4-BE49-F238E27FC236}">
              <a16:creationId xmlns:a16="http://schemas.microsoft.com/office/drawing/2014/main" id="{00000000-0008-0000-3A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827020" y="8709660"/>
          <a:ext cx="1295400" cy="190500"/>
        </a:xfrm>
        <a:prstGeom prst="rect">
          <a:avLst/>
        </a:prstGeom>
      </xdr:spPr>
    </xdr:pic>
    <xdr:clientData/>
  </xdr:twoCellAnchor>
  <xdr:twoCellAnchor editAs="oneCell">
    <xdr:from>
      <xdr:col>3</xdr:col>
      <xdr:colOff>182880</xdr:colOff>
      <xdr:row>24</xdr:row>
      <xdr:rowOff>45720</xdr:rowOff>
    </xdr:from>
    <xdr:to>
      <xdr:col>3</xdr:col>
      <xdr:colOff>1108938</xdr:colOff>
      <xdr:row>25</xdr:row>
      <xdr:rowOff>228600</xdr:rowOff>
    </xdr:to>
    <xdr:pic>
      <xdr:nvPicPr>
        <xdr:cNvPr id="9" name="Рисунок 8">
          <a:extLst>
            <a:ext uri="{FF2B5EF4-FFF2-40B4-BE49-F238E27FC236}">
              <a16:creationId xmlns:a16="http://schemas.microsoft.com/office/drawing/2014/main" id="{00000000-0008-0000-3A00-000009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80360" y="3939540"/>
          <a:ext cx="926058" cy="44958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xdr:from>
      <xdr:col>3</xdr:col>
      <xdr:colOff>262890</xdr:colOff>
      <xdr:row>1</xdr:row>
      <xdr:rowOff>24765</xdr:rowOff>
    </xdr:from>
    <xdr:to>
      <xdr:col>17</xdr:col>
      <xdr:colOff>272415</xdr:colOff>
      <xdr:row>28</xdr:row>
      <xdr:rowOff>100965</xdr:rowOff>
    </xdr:to>
    <xdr:grpSp>
      <xdr:nvGrpSpPr>
        <xdr:cNvPr id="2" name="Группа 1">
          <a:extLst>
            <a:ext uri="{FF2B5EF4-FFF2-40B4-BE49-F238E27FC236}">
              <a16:creationId xmlns:a16="http://schemas.microsoft.com/office/drawing/2014/main" id="{00000000-0008-0000-3B00-000002000000}"/>
            </a:ext>
          </a:extLst>
        </xdr:cNvPr>
        <xdr:cNvGrpSpPr/>
      </xdr:nvGrpSpPr>
      <xdr:grpSpPr>
        <a:xfrm>
          <a:off x="1529715" y="186690"/>
          <a:ext cx="8877300" cy="4448175"/>
          <a:chOff x="1482090" y="192405"/>
          <a:chExt cx="8543925" cy="4602480"/>
        </a:xfrm>
      </xdr:grpSpPr>
      <xdr:sp macro="" textlink="">
        <xdr:nvSpPr>
          <xdr:cNvPr id="3" name="Прямоугольник 7">
            <a:extLst>
              <a:ext uri="{FF2B5EF4-FFF2-40B4-BE49-F238E27FC236}">
                <a16:creationId xmlns:a16="http://schemas.microsoft.com/office/drawing/2014/main" id="{00000000-0008-0000-3B00-000003000000}"/>
              </a:ext>
            </a:extLst>
          </xdr:cNvPr>
          <xdr:cNvSpPr/>
        </xdr:nvSpPr>
        <xdr:spPr bwMode="auto">
          <a:xfrm>
            <a:off x="1482090" y="517634"/>
            <a:ext cx="8543925" cy="4277251"/>
          </a:xfrm>
          <a:prstGeom prst="rect">
            <a:avLst/>
          </a:prstGeom>
          <a:solidFill>
            <a:schemeClr val="bg1">
              <a:lumMod val="85000"/>
            </a:schemeClr>
          </a:solidFill>
          <a:ln w="9525">
            <a:solidFill>
              <a:schemeClr val="tx1">
                <a:lumMod val="50000"/>
                <a:lumOff val="50000"/>
              </a:schemeClr>
            </a:solidFill>
            <a:miter lim="800000"/>
            <a:headEnd/>
            <a:tailEnd/>
          </a:ln>
        </xdr:spPr>
        <xdr:txBody>
          <a:bodyPr vertOverflow="clip" horzOverflow="clip" lIns="180000" tIns="252000" rIns="180000" bIns="0" rtlCol="0" anchor="t"/>
          <a:lstStyle/>
          <a:p>
            <a:pPr rtl="0"/>
            <a:endParaRPr lang="en-US" sz="1400">
              <a:solidFill>
                <a:sysClr val="windowText" lastClr="000000"/>
              </a:solidFill>
              <a:latin typeface="Arial" pitchFamily="34" charset="0"/>
              <a:cs typeface="Arial" pitchFamily="34" charset="0"/>
            </a:endParaRPr>
          </a:p>
          <a:p>
            <a:pPr rtl="0"/>
            <a:r>
              <a:rPr lang="en-US" sz="1400">
                <a:solidFill>
                  <a:sysClr val="windowText" lastClr="000000"/>
                </a:solidFill>
                <a:latin typeface="Arial" pitchFamily="34" charset="0"/>
                <a:ea typeface="+mn-ea"/>
                <a:cs typeface="Arial" pitchFamily="34" charset="0"/>
              </a:rPr>
              <a:t>In order to prevent damage of formulas - Sheets was protected (but without password).</a:t>
            </a:r>
            <a:endParaRPr lang="en-GB" sz="1400">
              <a:solidFill>
                <a:sysClr val="windowText" lastClr="000000"/>
              </a:solidFill>
              <a:latin typeface="Arial" pitchFamily="34" charset="0"/>
              <a:ea typeface="+mn-ea"/>
              <a:cs typeface="Arial" pitchFamily="34" charset="0"/>
            </a:endParaRPr>
          </a:p>
          <a:p>
            <a:r>
              <a:rPr lang="en-US" sz="1400">
                <a:solidFill>
                  <a:sysClr val="windowText" lastClr="000000"/>
                </a:solidFill>
                <a:latin typeface="Arial" pitchFamily="34" charset="0"/>
                <a:ea typeface="+mn-ea"/>
                <a:cs typeface="Arial" pitchFamily="34" charset="0"/>
              </a:rPr>
              <a:t>For unlock pages - REVIEW &gt; Unprotect Sheet.</a:t>
            </a:r>
          </a:p>
        </xdr:txBody>
      </xdr:sp>
      <xdr:sp macro="" textlink="">
        <xdr:nvSpPr>
          <xdr:cNvPr id="4" name="Прямоугольник 8">
            <a:extLst>
              <a:ext uri="{FF2B5EF4-FFF2-40B4-BE49-F238E27FC236}">
                <a16:creationId xmlns:a16="http://schemas.microsoft.com/office/drawing/2014/main" id="{00000000-0008-0000-3B00-000004000000}"/>
              </a:ext>
            </a:extLst>
          </xdr:cNvPr>
          <xdr:cNvSpPr/>
        </xdr:nvSpPr>
        <xdr:spPr bwMode="auto">
          <a:xfrm>
            <a:off x="1482090" y="192405"/>
            <a:ext cx="8543925" cy="335084"/>
          </a:xfrm>
          <a:prstGeom prst="rect">
            <a:avLst/>
          </a:prstGeom>
          <a:gradFill flip="none" rotWithShape="1">
            <a:gsLst>
              <a:gs pos="0">
                <a:schemeClr val="tx2">
                  <a:lumMod val="95000"/>
                  <a:lumOff val="5000"/>
                </a:schemeClr>
              </a:gs>
              <a:gs pos="100000">
                <a:schemeClr val="accent1"/>
              </a:gs>
            </a:gsLst>
            <a:lin ang="0" scaled="0"/>
            <a:tileRect/>
          </a:gradFill>
          <a:ln w="9525" cmpd="sng">
            <a:solidFill>
              <a:schemeClr val="tx1">
                <a:lumMod val="50000"/>
                <a:lumOff val="50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0" tIns="0" bIns="0" rtlCol="0" anchor="ctr"/>
          <a:lstStyle/>
          <a:p>
            <a:pPr marL="0" indent="0" algn="l"/>
            <a:r>
              <a:rPr lang="en-US" sz="1000" b="0" i="0" u="none" baseline="0">
                <a:solidFill>
                  <a:schemeClr val="bg1"/>
                </a:solidFill>
                <a:effectLst/>
                <a:latin typeface="Arial" pitchFamily="34" charset="0"/>
                <a:ea typeface="+mn-ea"/>
                <a:cs typeface="Arial" pitchFamily="34" charset="0"/>
              </a:rPr>
              <a:t>Help:</a:t>
            </a:r>
            <a:endParaRPr lang="ru-RU" sz="1000" b="0" i="0" u="none" baseline="0">
              <a:solidFill>
                <a:schemeClr val="bg1"/>
              </a:solidFill>
              <a:effectLst/>
              <a:latin typeface="Arial" pitchFamily="34" charset="0"/>
              <a:ea typeface="+mn-ea"/>
              <a:cs typeface="Arial" pitchFamily="34" charset="0"/>
            </a:endParaRPr>
          </a:p>
        </xdr:txBody>
      </xdr:sp>
      <xdr:pic>
        <xdr:nvPicPr>
          <xdr:cNvPr id="5" name="Рисунок 9">
            <a:hlinkClick xmlns:r="http://schemas.openxmlformats.org/officeDocument/2006/relationships" r:id="rId1"/>
            <a:extLst>
              <a:ext uri="{FF2B5EF4-FFF2-40B4-BE49-F238E27FC236}">
                <a16:creationId xmlns:a16="http://schemas.microsoft.com/office/drawing/2014/main" id="{00000000-0008-0000-3B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1394" y="241682"/>
            <a:ext cx="250752" cy="251352"/>
          </a:xfrm>
          <a:prstGeom prst="rect">
            <a:avLst/>
          </a:prstGeom>
          <a:noFill/>
          <a:ln w="9525">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grpSp>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542925</xdr:colOff>
      <xdr:row>0</xdr:row>
      <xdr:rowOff>95250</xdr:rowOff>
    </xdr:from>
    <xdr:to>
      <xdr:col>17</xdr:col>
      <xdr:colOff>285750</xdr:colOff>
      <xdr:row>33</xdr:row>
      <xdr:rowOff>104775</xdr:rowOff>
    </xdr:to>
    <xdr:grpSp>
      <xdr:nvGrpSpPr>
        <xdr:cNvPr id="20" name="Группа 19">
          <a:extLst>
            <a:ext uri="{FF2B5EF4-FFF2-40B4-BE49-F238E27FC236}">
              <a16:creationId xmlns:a16="http://schemas.microsoft.com/office/drawing/2014/main" id="{00000000-0008-0000-3C00-000014000000}"/>
            </a:ext>
          </a:extLst>
        </xdr:cNvPr>
        <xdr:cNvGrpSpPr/>
      </xdr:nvGrpSpPr>
      <xdr:grpSpPr>
        <a:xfrm>
          <a:off x="1847850" y="95250"/>
          <a:ext cx="8877300" cy="5353050"/>
          <a:chOff x="1792605" y="95250"/>
          <a:chExt cx="8490585" cy="5541645"/>
        </a:xfrm>
      </xdr:grpSpPr>
      <xdr:sp macro="" textlink="">
        <xdr:nvSpPr>
          <xdr:cNvPr id="5" name="Прямоугольник 2">
            <a:extLst>
              <a:ext uri="{FF2B5EF4-FFF2-40B4-BE49-F238E27FC236}">
                <a16:creationId xmlns:a16="http://schemas.microsoft.com/office/drawing/2014/main" id="{00000000-0008-0000-3C00-000005000000}"/>
              </a:ext>
            </a:extLst>
          </xdr:cNvPr>
          <xdr:cNvSpPr/>
        </xdr:nvSpPr>
        <xdr:spPr bwMode="auto">
          <a:xfrm>
            <a:off x="1792605" y="420649"/>
            <a:ext cx="8490585" cy="5216246"/>
          </a:xfrm>
          <a:prstGeom prst="rect">
            <a:avLst/>
          </a:prstGeom>
          <a:gradFill rotWithShape="1">
            <a:gsLst>
              <a:gs pos="0">
                <a:srgbClr xmlns:mc="http://schemas.openxmlformats.org/markup-compatibility/2006" xmlns:a14="http://schemas.microsoft.com/office/drawing/2010/main" val="008080" mc:Ignorable="a14" a14:legacySpreadsheetColorIndex="38"/>
              </a:gs>
              <a:gs pos="100000">
                <a:srgbClr val="003B3B"/>
              </a:gs>
            </a:gsLst>
            <a:lin ang="18900000" scaled="1"/>
          </a:gra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horzOverflow="clip" lIns="3600000" tIns="1044000" rIns="0" rtlCol="0" anchor="t"/>
          <a:lstStyle/>
          <a:p>
            <a:pPr rtl="0">
              <a:lnSpc>
                <a:spcPts val="1500"/>
              </a:lnSpc>
            </a:pPr>
            <a:r>
              <a:rPr lang="en-US" sz="1400">
                <a:solidFill>
                  <a:schemeClr val="bg1"/>
                </a:solidFill>
                <a:effectLst/>
              </a:rPr>
              <a:t>ASTM [D 1250-80] Converters &amp; CARGO Calculators</a:t>
            </a:r>
          </a:p>
          <a:p>
            <a:pPr rtl="0">
              <a:lnSpc>
                <a:spcPts val="1500"/>
              </a:lnSpc>
            </a:pPr>
            <a:endParaRPr lang="ru-RU">
              <a:solidFill>
                <a:schemeClr val="bg1"/>
              </a:solidFill>
              <a:effectLst/>
            </a:endParaRPr>
          </a:p>
          <a:p>
            <a:pPr rtl="0">
              <a:lnSpc>
                <a:spcPts val="1200"/>
              </a:lnSpc>
            </a:pPr>
            <a:r>
              <a:rPr lang="ru-RU" sz="1100" b="0" i="0" baseline="0">
                <a:solidFill>
                  <a:schemeClr val="bg1"/>
                </a:solidFill>
                <a:effectLst/>
                <a:latin typeface="+mn-lt"/>
                <a:ea typeface="+mn-ea"/>
                <a:cs typeface="+mn-cs"/>
              </a:rPr>
              <a:t>Copyleft © 20</a:t>
            </a:r>
            <a:r>
              <a:rPr lang="en-GB" sz="1100" b="0" i="0" baseline="0">
                <a:solidFill>
                  <a:schemeClr val="bg1"/>
                </a:solidFill>
                <a:effectLst/>
                <a:latin typeface="+mn-lt"/>
                <a:ea typeface="+mn-ea"/>
                <a:cs typeface="+mn-cs"/>
              </a:rPr>
              <a:t>20</a:t>
            </a:r>
            <a:r>
              <a:rPr lang="ru-RU" sz="1100" b="0" i="0" baseline="0">
                <a:solidFill>
                  <a:schemeClr val="bg1"/>
                </a:solidFill>
                <a:effectLst/>
                <a:latin typeface="+mn-lt"/>
                <a:ea typeface="+mn-ea"/>
                <a:cs typeface="+mn-cs"/>
              </a:rPr>
              <a:t> -</a:t>
            </a:r>
            <a:r>
              <a:rPr lang="en-US" sz="1100" b="0" i="0" baseline="0">
                <a:solidFill>
                  <a:schemeClr val="bg1"/>
                </a:solidFill>
                <a:effectLst/>
                <a:latin typeface="+mn-lt"/>
                <a:ea typeface="+mn-ea"/>
                <a:cs typeface="+mn-cs"/>
              </a:rPr>
              <a:t> </a:t>
            </a:r>
            <a:r>
              <a:rPr lang="ru-RU" sz="1100" b="0" i="0" baseline="0">
                <a:solidFill>
                  <a:schemeClr val="bg1"/>
                </a:solidFill>
                <a:effectLst/>
                <a:latin typeface="+mn-lt"/>
                <a:ea typeface="+mn-ea"/>
                <a:cs typeface="+mn-cs"/>
              </a:rPr>
              <a:t>202</a:t>
            </a:r>
            <a:r>
              <a:rPr lang="en-GB" sz="1100" b="0" i="0" baseline="0">
                <a:solidFill>
                  <a:schemeClr val="bg1"/>
                </a:solidFill>
                <a:effectLst/>
                <a:latin typeface="+mn-lt"/>
                <a:ea typeface="+mn-ea"/>
                <a:cs typeface="+mn-cs"/>
              </a:rPr>
              <a:t>5</a:t>
            </a:r>
            <a:r>
              <a:rPr lang="ru-RU" sz="1100" b="0" i="0" baseline="0">
                <a:solidFill>
                  <a:schemeClr val="bg1"/>
                </a:solidFill>
                <a:effectLst/>
                <a:latin typeface="+mn-lt"/>
                <a:ea typeface="+mn-ea"/>
                <a:cs typeface="+mn-cs"/>
              </a:rPr>
              <a:t>  </a:t>
            </a:r>
            <a:endParaRPr lang="ru-RU">
              <a:solidFill>
                <a:schemeClr val="bg1"/>
              </a:solidFill>
              <a:effectLst/>
            </a:endParaRPr>
          </a:p>
          <a:p>
            <a:pPr rtl="0">
              <a:lnSpc>
                <a:spcPts val="1200"/>
              </a:lnSpc>
            </a:pPr>
            <a:r>
              <a:rPr lang="en-GB" sz="1100" b="0" i="0" baseline="0">
                <a:solidFill>
                  <a:schemeClr val="bg1"/>
                </a:solidFill>
                <a:effectLst/>
                <a:latin typeface="+mn-lt"/>
                <a:ea typeface="+mn-ea"/>
                <a:cs typeface="+mn-cs"/>
              </a:rPr>
              <a:t>Version:      0</a:t>
            </a:r>
            <a:r>
              <a:rPr lang="ru-RU" sz="1100" b="0" i="0" baseline="0">
                <a:solidFill>
                  <a:schemeClr val="bg1"/>
                </a:solidFill>
                <a:effectLst/>
                <a:latin typeface="+mn-lt"/>
                <a:ea typeface="+mn-ea"/>
                <a:cs typeface="+mn-cs"/>
              </a:rPr>
              <a:t>2</a:t>
            </a:r>
            <a:r>
              <a:rPr lang="en-GB" sz="1100" b="0" i="0" baseline="0">
                <a:solidFill>
                  <a:schemeClr val="bg1"/>
                </a:solidFill>
                <a:effectLst/>
                <a:latin typeface="+mn-lt"/>
                <a:ea typeface="+mn-ea"/>
                <a:cs typeface="+mn-cs"/>
              </a:rPr>
              <a:t>.</a:t>
            </a:r>
            <a:r>
              <a:rPr lang="ru-RU" sz="1100" b="0" i="0" baseline="0">
                <a:solidFill>
                  <a:schemeClr val="bg1"/>
                </a:solidFill>
                <a:effectLst/>
                <a:latin typeface="+mn-lt"/>
                <a:ea typeface="+mn-ea"/>
                <a:cs typeface="+mn-cs"/>
              </a:rPr>
              <a:t>2</a:t>
            </a:r>
            <a:endParaRPr lang="en-GB" sz="1100" b="0" i="0" baseline="0">
              <a:solidFill>
                <a:schemeClr val="bg1"/>
              </a:solidFill>
              <a:effectLst/>
              <a:latin typeface="+mn-lt"/>
              <a:ea typeface="+mn-ea"/>
              <a:cs typeface="+mn-cs"/>
            </a:endParaRPr>
          </a:p>
          <a:p>
            <a:pPr rtl="0">
              <a:lnSpc>
                <a:spcPts val="1200"/>
              </a:lnSpc>
            </a:pPr>
            <a:r>
              <a:rPr lang="en-GB" sz="1100" b="0" i="0" baseline="0">
                <a:solidFill>
                  <a:schemeClr val="bg1"/>
                </a:solidFill>
                <a:effectLst/>
                <a:latin typeface="+mn-lt"/>
                <a:ea typeface="+mn-ea"/>
                <a:cs typeface="+mn-cs"/>
              </a:rPr>
              <a:t>Revision</a:t>
            </a:r>
            <a:r>
              <a:rPr lang="ru-RU" sz="1100" b="0" i="0" baseline="0">
                <a:solidFill>
                  <a:schemeClr val="bg1"/>
                </a:solidFill>
                <a:effectLst/>
                <a:latin typeface="+mn-lt"/>
                <a:ea typeface="+mn-ea"/>
                <a:cs typeface="+mn-cs"/>
              </a:rPr>
              <a:t>:     24 </a:t>
            </a:r>
            <a:r>
              <a:rPr lang="en-GB" sz="1100" b="0" i="0" baseline="0">
                <a:solidFill>
                  <a:schemeClr val="bg1"/>
                </a:solidFill>
                <a:effectLst/>
                <a:latin typeface="+mn-lt"/>
                <a:ea typeface="+mn-ea"/>
                <a:cs typeface="+mn-cs"/>
              </a:rPr>
              <a:t>De</a:t>
            </a:r>
            <a:r>
              <a:rPr lang="ru-RU" sz="1100" b="0" i="0" baseline="0">
                <a:solidFill>
                  <a:schemeClr val="bg1"/>
                </a:solidFill>
                <a:effectLst/>
                <a:latin typeface="+mn-lt"/>
                <a:ea typeface="+mn-ea"/>
                <a:cs typeface="+mn-cs"/>
              </a:rPr>
              <a:t>с</a:t>
            </a:r>
            <a:r>
              <a:rPr lang="en-GB" sz="1100" b="0" i="0" baseline="0">
                <a:solidFill>
                  <a:schemeClr val="bg1"/>
                </a:solidFill>
                <a:effectLst/>
                <a:latin typeface="+mn-lt"/>
                <a:ea typeface="+mn-ea"/>
                <a:cs typeface="+mn-cs"/>
              </a:rPr>
              <a:t>ember</a:t>
            </a:r>
            <a:r>
              <a:rPr lang="en-US" sz="1100" b="0" i="0" baseline="0">
                <a:solidFill>
                  <a:schemeClr val="bg1"/>
                </a:solidFill>
                <a:effectLst/>
                <a:latin typeface="+mn-lt"/>
                <a:ea typeface="+mn-ea"/>
                <a:cs typeface="+mn-cs"/>
              </a:rPr>
              <a:t> </a:t>
            </a:r>
            <a:r>
              <a:rPr lang="ru-RU" sz="1100" b="0" i="0" baseline="0">
                <a:solidFill>
                  <a:schemeClr val="bg1"/>
                </a:solidFill>
                <a:effectLst/>
                <a:latin typeface="+mn-lt"/>
                <a:ea typeface="+mn-ea"/>
                <a:cs typeface="+mn-cs"/>
              </a:rPr>
              <a:t>20</a:t>
            </a:r>
            <a:r>
              <a:rPr lang="en-GB" sz="1100" b="0" i="0" baseline="0">
                <a:solidFill>
                  <a:schemeClr val="bg1"/>
                </a:solidFill>
                <a:effectLst/>
                <a:latin typeface="+mn-lt"/>
                <a:ea typeface="+mn-ea"/>
                <a:cs typeface="+mn-cs"/>
              </a:rPr>
              <a:t>25</a:t>
            </a:r>
            <a:r>
              <a:rPr lang="ru-RU" sz="1100" b="0" i="0" baseline="0">
                <a:solidFill>
                  <a:schemeClr val="bg1"/>
                </a:solidFill>
                <a:effectLst/>
                <a:latin typeface="+mn-lt"/>
                <a:ea typeface="+mn-ea"/>
                <a:cs typeface="+mn-cs"/>
              </a:rPr>
              <a:t>                                                </a:t>
            </a:r>
            <a:endParaRPr lang="ru-RU">
              <a:solidFill>
                <a:schemeClr val="bg1"/>
              </a:solidFill>
              <a:effectLst/>
            </a:endParaRPr>
          </a:p>
          <a:p>
            <a:pPr rtl="0">
              <a:lnSpc>
                <a:spcPts val="1200"/>
              </a:lnSpc>
            </a:pPr>
            <a:endParaRPr lang="en-US" sz="1100" b="1" i="0" u="sng" baseline="0">
              <a:solidFill>
                <a:schemeClr val="bg1"/>
              </a:solidFill>
              <a:effectLst/>
              <a:latin typeface="+mn-lt"/>
              <a:ea typeface="+mn-ea"/>
              <a:cs typeface="+mn-cs"/>
            </a:endParaRPr>
          </a:p>
          <a:p>
            <a:pPr rtl="0">
              <a:lnSpc>
                <a:spcPts val="1200"/>
              </a:lnSpc>
            </a:pPr>
            <a:endParaRPr lang="en-US" sz="1100" b="1" i="0" u="sng" baseline="0">
              <a:solidFill>
                <a:schemeClr val="bg1"/>
              </a:solidFill>
              <a:effectLst/>
              <a:latin typeface="+mn-lt"/>
              <a:ea typeface="+mn-ea"/>
              <a:cs typeface="+mn-cs"/>
            </a:endParaRPr>
          </a:p>
          <a:p>
            <a:pPr rtl="0">
              <a:lnSpc>
                <a:spcPts val="1200"/>
              </a:lnSpc>
            </a:pPr>
            <a:r>
              <a:rPr lang="ru-RU" sz="1100" b="1" i="0" u="sng" baseline="0">
                <a:solidFill>
                  <a:schemeClr val="bg1"/>
                </a:solidFill>
                <a:effectLst/>
                <a:latin typeface="+mn-lt"/>
                <a:ea typeface="+mn-ea"/>
                <a:cs typeface="+mn-cs"/>
              </a:rPr>
              <a:t>Disclaimer</a:t>
            </a:r>
            <a:r>
              <a:rPr lang="ru-RU" sz="1100" b="1" i="0" baseline="0">
                <a:solidFill>
                  <a:schemeClr val="bg1"/>
                </a:solidFill>
                <a:effectLst/>
                <a:latin typeface="+mn-lt"/>
                <a:ea typeface="+mn-ea"/>
                <a:cs typeface="+mn-cs"/>
              </a:rPr>
              <a:t>:</a:t>
            </a:r>
            <a:endParaRPr lang="ru-RU">
              <a:solidFill>
                <a:schemeClr val="bg1"/>
              </a:solidFill>
              <a:effectLst/>
            </a:endParaRPr>
          </a:p>
          <a:p>
            <a:pPr rtl="0">
              <a:lnSpc>
                <a:spcPts val="1200"/>
              </a:lnSpc>
            </a:pPr>
            <a:r>
              <a:rPr lang="ru-RU" sz="1100" b="0" i="0" baseline="0">
                <a:solidFill>
                  <a:schemeClr val="bg1"/>
                </a:solidFill>
                <a:effectLst/>
                <a:latin typeface="+mn-lt"/>
                <a:ea typeface="+mn-ea"/>
                <a:cs typeface="+mn-cs"/>
              </a:rPr>
              <a:t>This spreadsheet has been thoroughly tested but, like any software, may still </a:t>
            </a:r>
            <a:endParaRPr lang="en-GB" sz="1100" b="0" i="0" baseline="0">
              <a:solidFill>
                <a:schemeClr val="bg1"/>
              </a:solidFill>
              <a:effectLst/>
              <a:latin typeface="+mn-lt"/>
              <a:ea typeface="+mn-ea"/>
              <a:cs typeface="+mn-cs"/>
            </a:endParaRPr>
          </a:p>
          <a:p>
            <a:pPr rtl="0">
              <a:lnSpc>
                <a:spcPts val="1200"/>
              </a:lnSpc>
            </a:pPr>
            <a:r>
              <a:rPr lang="ru-RU" sz="1100" b="0" i="0" baseline="0">
                <a:solidFill>
                  <a:schemeClr val="bg1"/>
                </a:solidFill>
                <a:effectLst/>
                <a:latin typeface="+mn-lt"/>
                <a:ea typeface="+mn-ea"/>
                <a:cs typeface="+mn-cs"/>
              </a:rPr>
              <a:t>contain bugs and errors. </a:t>
            </a:r>
            <a:endParaRPr lang="ru-RU">
              <a:solidFill>
                <a:schemeClr val="bg1"/>
              </a:solidFill>
              <a:effectLst/>
            </a:endParaRPr>
          </a:p>
          <a:p>
            <a:pPr rtl="0">
              <a:lnSpc>
                <a:spcPts val="1100"/>
              </a:lnSpc>
            </a:pPr>
            <a:r>
              <a:rPr lang="ru-RU" sz="1100" b="0" i="0" baseline="0">
                <a:solidFill>
                  <a:schemeClr val="bg1"/>
                </a:solidFill>
                <a:effectLst/>
                <a:latin typeface="+mn-lt"/>
                <a:ea typeface="+mn-ea"/>
                <a:cs typeface="+mn-cs"/>
              </a:rPr>
              <a:t>So use at your own risk. </a:t>
            </a:r>
            <a:endParaRPr lang="en-GB" sz="1100" b="0" i="0" baseline="0">
              <a:solidFill>
                <a:schemeClr val="bg1"/>
              </a:solidFill>
              <a:effectLst/>
              <a:latin typeface="+mn-lt"/>
              <a:ea typeface="+mn-ea"/>
              <a:cs typeface="+mn-cs"/>
            </a:endParaRPr>
          </a:p>
          <a:p>
            <a:pPr rtl="0">
              <a:lnSpc>
                <a:spcPts val="1100"/>
              </a:lnSpc>
            </a:pPr>
            <a:r>
              <a:rPr lang="ru-RU" sz="1100" b="0" i="0" baseline="0">
                <a:solidFill>
                  <a:schemeClr val="bg1"/>
                </a:solidFill>
                <a:effectLst/>
                <a:latin typeface="+mn-lt"/>
                <a:ea typeface="+mn-ea"/>
                <a:cs typeface="+mn-cs"/>
              </a:rPr>
              <a:t>The author will not be responsible for any kind of problem caused by the use of this spreadsheet.</a:t>
            </a:r>
            <a:endParaRPr lang="ru-RU">
              <a:solidFill>
                <a:schemeClr val="bg1"/>
              </a:solidFill>
              <a:effectLst/>
            </a:endParaRPr>
          </a:p>
          <a:p>
            <a:pPr algn="l">
              <a:lnSpc>
                <a:spcPts val="1100"/>
              </a:lnSpc>
            </a:pPr>
            <a:endParaRPr lang="en-GB" sz="1100" b="0" i="0">
              <a:solidFill>
                <a:schemeClr val="bg1"/>
              </a:solidFill>
              <a:effectLst/>
              <a:latin typeface="+mn-lt"/>
              <a:ea typeface="+mn-ea"/>
              <a:cs typeface="+mn-cs"/>
            </a:endParaRPr>
          </a:p>
          <a:p>
            <a:pPr algn="l">
              <a:lnSpc>
                <a:spcPts val="1100"/>
              </a:lnSpc>
            </a:pPr>
            <a:r>
              <a:rPr lang="en-GB" sz="1100" b="0" i="0">
                <a:solidFill>
                  <a:schemeClr val="bg1"/>
                </a:solidFill>
                <a:effectLst/>
                <a:latin typeface="+mn-lt"/>
                <a:ea typeface="+mn-ea"/>
                <a:cs typeface="+mn-cs"/>
              </a:rPr>
              <a:t>This program is a free tool. </a:t>
            </a:r>
          </a:p>
          <a:p>
            <a:pPr algn="l">
              <a:lnSpc>
                <a:spcPts val="1100"/>
              </a:lnSpc>
            </a:pPr>
            <a:r>
              <a:rPr lang="en-GB" sz="1100" b="0" i="0">
                <a:solidFill>
                  <a:schemeClr val="bg1"/>
                </a:solidFill>
                <a:effectLst/>
                <a:latin typeface="+mn-lt"/>
                <a:ea typeface="+mn-ea"/>
                <a:cs typeface="+mn-cs"/>
              </a:rPr>
              <a:t>Feedback and suggestions are most welcome.</a:t>
            </a:r>
            <a:endParaRPr lang="ru-RU" sz="1100">
              <a:solidFill>
                <a:schemeClr val="bg1"/>
              </a:solidFill>
            </a:endParaRPr>
          </a:p>
        </xdr:txBody>
      </xdr:sp>
      <xdr:sp macro="" textlink="">
        <xdr:nvSpPr>
          <xdr:cNvPr id="6" name="Прямоугольник 3">
            <a:extLst>
              <a:ext uri="{FF2B5EF4-FFF2-40B4-BE49-F238E27FC236}">
                <a16:creationId xmlns:a16="http://schemas.microsoft.com/office/drawing/2014/main" id="{00000000-0008-0000-3C00-000006000000}"/>
              </a:ext>
            </a:extLst>
          </xdr:cNvPr>
          <xdr:cNvSpPr/>
        </xdr:nvSpPr>
        <xdr:spPr bwMode="auto">
          <a:xfrm>
            <a:off x="1792605" y="95250"/>
            <a:ext cx="8490585" cy="335260"/>
          </a:xfrm>
          <a:prstGeom prst="rect">
            <a:avLst/>
          </a:prstGeom>
          <a:solidFill>
            <a:srgbClr val="FFFF00"/>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180000" rtlCol="0" anchor="ctr"/>
          <a:lstStyle/>
          <a:p>
            <a:pPr marL="0" indent="0" algn="l"/>
            <a:r>
              <a:rPr lang="en-US" sz="1000" b="0" i="0" u="none" baseline="0">
                <a:solidFill>
                  <a:schemeClr val="dk1"/>
                </a:solidFill>
                <a:effectLst/>
                <a:latin typeface="Arial" pitchFamily="34" charset="0"/>
                <a:ea typeface="+mn-ea"/>
                <a:cs typeface="Arial" pitchFamily="34" charset="0"/>
              </a:rPr>
              <a:t>Disclaimer</a:t>
            </a:r>
            <a:endParaRPr lang="ru-RU" sz="1000" b="0" i="0" u="none" baseline="0">
              <a:solidFill>
                <a:schemeClr val="dk1"/>
              </a:solidFill>
              <a:effectLst/>
              <a:latin typeface="Arial" pitchFamily="34" charset="0"/>
              <a:ea typeface="+mn-ea"/>
              <a:cs typeface="Arial" pitchFamily="34" charset="0"/>
            </a:endParaRPr>
          </a:p>
        </xdr:txBody>
      </xdr:sp>
      <xdr:sp macro="" textlink="">
        <xdr:nvSpPr>
          <xdr:cNvPr id="7" name="Прямоугольник 4">
            <a:extLst>
              <a:ext uri="{FF2B5EF4-FFF2-40B4-BE49-F238E27FC236}">
                <a16:creationId xmlns:a16="http://schemas.microsoft.com/office/drawing/2014/main" id="{00000000-0008-0000-3C00-000007000000}"/>
              </a:ext>
            </a:extLst>
          </xdr:cNvPr>
          <xdr:cNvSpPr/>
        </xdr:nvSpPr>
        <xdr:spPr bwMode="auto">
          <a:xfrm>
            <a:off x="2066180" y="4690279"/>
            <a:ext cx="8168158" cy="73954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US" sz="1100" b="0" i="0" baseline="0">
                <a:solidFill>
                  <a:schemeClr val="bg1"/>
                </a:solidFill>
                <a:effectLst/>
                <a:latin typeface="+mn-lt"/>
                <a:ea typeface="+mn-ea"/>
                <a:cs typeface="+mn-cs"/>
              </a:rPr>
              <a:t>This program is written by Capt. Yury SHISHKIN</a:t>
            </a:r>
            <a:endParaRPr lang="ru-RU" sz="1000">
              <a:solidFill>
                <a:schemeClr val="bg1"/>
              </a:solidFill>
              <a:effectLst/>
            </a:endParaRPr>
          </a:p>
          <a:p>
            <a:pPr rtl="0"/>
            <a:r>
              <a:rPr lang="en-US" sz="1100" b="0" i="0" baseline="0">
                <a:solidFill>
                  <a:schemeClr val="bg1"/>
                </a:solidFill>
                <a:effectLst/>
                <a:latin typeface="+mn-lt"/>
                <a:ea typeface="+mn-ea"/>
                <a:cs typeface="+mn-cs"/>
              </a:rPr>
              <a:t>If you have any suggestions to improve this program please contact  </a:t>
            </a:r>
            <a:endParaRPr lang="ru-RU" sz="1000">
              <a:solidFill>
                <a:schemeClr val="bg1"/>
              </a:solidFill>
              <a:effectLst/>
            </a:endParaRPr>
          </a:p>
          <a:p>
            <a:r>
              <a:rPr lang="en-US" sz="1100">
                <a:solidFill>
                  <a:schemeClr val="bg1"/>
                </a:solidFill>
                <a:effectLst/>
                <a:latin typeface="+mn-lt"/>
                <a:ea typeface="+mn-ea"/>
                <a:cs typeface="+mn-cs"/>
              </a:rPr>
              <a:t>e-mail:</a:t>
            </a:r>
            <a:r>
              <a:rPr lang="en-US" sz="1100" baseline="0">
                <a:solidFill>
                  <a:schemeClr val="bg1"/>
                </a:solidFill>
                <a:effectLst/>
                <a:latin typeface="+mn-lt"/>
                <a:ea typeface="+mn-ea"/>
                <a:cs typeface="+mn-cs"/>
              </a:rPr>
              <a:t>  </a:t>
            </a:r>
            <a:r>
              <a:rPr lang="en-US" sz="1100" b="0" i="0" baseline="0">
                <a:solidFill>
                  <a:schemeClr val="bg1"/>
                </a:solidFill>
                <a:effectLst/>
                <a:latin typeface="+mn-lt"/>
                <a:ea typeface="+mn-ea"/>
                <a:cs typeface="+mn-cs"/>
              </a:rPr>
              <a:t>Yury.Shishkin@rambler.ru    </a:t>
            </a:r>
            <a:endParaRPr lang="ru-RU" sz="1000">
              <a:solidFill>
                <a:schemeClr val="bg1"/>
              </a:solidFill>
              <a:effectLst/>
            </a:endParaRPr>
          </a:p>
          <a:p>
            <a:pPr marL="0" indent="0" algn="l"/>
            <a:endParaRPr lang="ru-RU" sz="1000" b="0" i="0" u="none" baseline="0">
              <a:solidFill>
                <a:schemeClr val="bg1"/>
              </a:solidFill>
              <a:effectLst/>
              <a:latin typeface="Arial" pitchFamily="34" charset="0"/>
              <a:ea typeface="+mn-ea"/>
              <a:cs typeface="Arial" pitchFamily="34" charset="0"/>
            </a:endParaRPr>
          </a:p>
        </xdr:txBody>
      </xdr:sp>
      <xdr:cxnSp macro="">
        <xdr:nvCxnSpPr>
          <xdr:cNvPr id="8" name="Прямая соединительная линия 5">
            <a:extLst>
              <a:ext uri="{FF2B5EF4-FFF2-40B4-BE49-F238E27FC236}">
                <a16:creationId xmlns:a16="http://schemas.microsoft.com/office/drawing/2014/main" id="{00000000-0008-0000-3C00-000008000000}"/>
              </a:ext>
            </a:extLst>
          </xdr:cNvPr>
          <xdr:cNvCxnSpPr/>
        </xdr:nvCxnSpPr>
        <xdr:spPr bwMode="auto">
          <a:xfrm>
            <a:off x="1792605" y="4680419"/>
            <a:ext cx="8490585"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Прямая соединительная линия 6">
            <a:extLst>
              <a:ext uri="{FF2B5EF4-FFF2-40B4-BE49-F238E27FC236}">
                <a16:creationId xmlns:a16="http://schemas.microsoft.com/office/drawing/2014/main" id="{00000000-0008-0000-3C00-000009000000}"/>
              </a:ext>
            </a:extLst>
          </xdr:cNvPr>
          <xdr:cNvCxnSpPr/>
        </xdr:nvCxnSpPr>
        <xdr:spPr bwMode="auto">
          <a:xfrm>
            <a:off x="1792605" y="5429823"/>
            <a:ext cx="8490585"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Прямая соединительная линия 7">
            <a:extLst>
              <a:ext uri="{FF2B5EF4-FFF2-40B4-BE49-F238E27FC236}">
                <a16:creationId xmlns:a16="http://schemas.microsoft.com/office/drawing/2014/main" id="{00000000-0008-0000-3C00-00000A000000}"/>
              </a:ext>
            </a:extLst>
          </xdr:cNvPr>
          <xdr:cNvCxnSpPr/>
        </xdr:nvCxnSpPr>
        <xdr:spPr bwMode="auto">
          <a:xfrm>
            <a:off x="7420427" y="4690279"/>
            <a:ext cx="0" cy="739543"/>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pic>
        <xdr:nvPicPr>
          <xdr:cNvPr id="11" name="Рисунок 2">
            <a:extLst>
              <a:ext uri="{FF2B5EF4-FFF2-40B4-BE49-F238E27FC236}">
                <a16:creationId xmlns:a16="http://schemas.microsoft.com/office/drawing/2014/main" id="{00000000-0008-0000-3C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41775" y="4768052"/>
            <a:ext cx="620157" cy="588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 name="Рисунок 10">
            <a:hlinkClick xmlns:r="http://schemas.openxmlformats.org/officeDocument/2006/relationships" r:id="rId2"/>
            <a:extLst>
              <a:ext uri="{FF2B5EF4-FFF2-40B4-BE49-F238E27FC236}">
                <a16:creationId xmlns:a16="http://schemas.microsoft.com/office/drawing/2014/main" id="{00000000-0008-0000-3C00-00000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5380" y="149444"/>
            <a:ext cx="249187" cy="251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3" name="Группа 2">
            <a:extLst>
              <a:ext uri="{FF2B5EF4-FFF2-40B4-BE49-F238E27FC236}">
                <a16:creationId xmlns:a16="http://schemas.microsoft.com/office/drawing/2014/main" id="{00000000-0008-0000-3C00-000003000000}"/>
              </a:ext>
            </a:extLst>
          </xdr:cNvPr>
          <xdr:cNvGrpSpPr/>
        </xdr:nvGrpSpPr>
        <xdr:grpSpPr>
          <a:xfrm>
            <a:off x="3063241" y="1638300"/>
            <a:ext cx="1996439" cy="1424940"/>
            <a:chOff x="6614160" y="1181100"/>
            <a:chExt cx="4316901" cy="3035240"/>
          </a:xfrm>
        </xdr:grpSpPr>
        <xdr:pic>
          <xdr:nvPicPr>
            <xdr:cNvPr id="4" name="Рисунок 3">
              <a:extLst>
                <a:ext uri="{FF2B5EF4-FFF2-40B4-BE49-F238E27FC236}">
                  <a16:creationId xmlns:a16="http://schemas.microsoft.com/office/drawing/2014/main" id="{00000000-0008-0000-3C00-00000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14160" y="1638300"/>
              <a:ext cx="2760920" cy="2578040"/>
            </a:xfrm>
            <a:prstGeom prst="rect">
              <a:avLst/>
            </a:prstGeom>
          </xdr:spPr>
        </xdr:pic>
        <xdr:pic>
          <xdr:nvPicPr>
            <xdr:cNvPr id="13" name="Рисунок 1">
              <a:extLst>
                <a:ext uri="{FF2B5EF4-FFF2-40B4-BE49-F238E27FC236}">
                  <a16:creationId xmlns:a16="http://schemas.microsoft.com/office/drawing/2014/main" id="{00000000-0008-0000-3C00-00000D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633460" y="1181100"/>
              <a:ext cx="2297601" cy="2243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nvGrpSpPr>
          <xdr:cNvPr id="15" name="Группа 14">
            <a:extLst>
              <a:ext uri="{FF2B5EF4-FFF2-40B4-BE49-F238E27FC236}">
                <a16:creationId xmlns:a16="http://schemas.microsoft.com/office/drawing/2014/main" id="{00000000-0008-0000-3C00-00000F000000}"/>
              </a:ext>
            </a:extLst>
          </xdr:cNvPr>
          <xdr:cNvGrpSpPr/>
        </xdr:nvGrpSpPr>
        <xdr:grpSpPr>
          <a:xfrm>
            <a:off x="2225040" y="1485900"/>
            <a:ext cx="883920" cy="868680"/>
            <a:chOff x="3093720" y="2689860"/>
            <a:chExt cx="1440000" cy="1440000"/>
          </a:xfrm>
        </xdr:grpSpPr>
        <xdr:sp macro="" textlink="">
          <xdr:nvSpPr>
            <xdr:cNvPr id="17" name="Rectangle 3">
              <a:extLst>
                <a:ext uri="{FF2B5EF4-FFF2-40B4-BE49-F238E27FC236}">
                  <a16:creationId xmlns:a16="http://schemas.microsoft.com/office/drawing/2014/main" id="{00000000-0008-0000-3C00-000011000000}"/>
                </a:ext>
              </a:extLst>
            </xdr:cNvPr>
            <xdr:cNvSpPr/>
          </xdr:nvSpPr>
          <xdr:spPr>
            <a:xfrm>
              <a:off x="3093720" y="2689860"/>
              <a:ext cx="1440000" cy="1440000"/>
            </a:xfrm>
            <a:prstGeom prst="rect">
              <a:avLst/>
            </a:prstGeom>
            <a:solidFill>
              <a:srgbClr val="008080"/>
            </a:solidFill>
            <a:ln w="31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8" name="Line 45">
              <a:extLst>
                <a:ext uri="{FF2B5EF4-FFF2-40B4-BE49-F238E27FC236}">
                  <a16:creationId xmlns:a16="http://schemas.microsoft.com/office/drawing/2014/main" id="{00000000-0008-0000-3C00-000012000000}"/>
                </a:ext>
              </a:extLst>
            </xdr:cNvPr>
            <xdr:cNvSpPr>
              <a:spLocks noChangeAspect="1" noChangeShapeType="1"/>
            </xdr:cNvSpPr>
          </xdr:nvSpPr>
          <xdr:spPr bwMode="auto">
            <a:xfrm>
              <a:off x="3379470" y="3232786"/>
              <a:ext cx="910590" cy="0"/>
            </a:xfrm>
            <a:prstGeom prst="line">
              <a:avLst/>
            </a:prstGeom>
            <a:noFill/>
            <a:ln w="76200">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19" name="Line 46">
              <a:extLst>
                <a:ext uri="{FF2B5EF4-FFF2-40B4-BE49-F238E27FC236}">
                  <a16:creationId xmlns:a16="http://schemas.microsoft.com/office/drawing/2014/main" id="{00000000-0008-0000-3C00-000013000000}"/>
                </a:ext>
              </a:extLst>
            </xdr:cNvPr>
            <xdr:cNvSpPr>
              <a:spLocks noChangeAspect="1" noChangeShapeType="1"/>
            </xdr:cNvSpPr>
          </xdr:nvSpPr>
          <xdr:spPr bwMode="auto">
            <a:xfrm rot="10800000">
              <a:off x="3402328" y="3612448"/>
              <a:ext cx="880111" cy="0"/>
            </a:xfrm>
            <a:prstGeom prst="line">
              <a:avLst/>
            </a:prstGeom>
            <a:noFill/>
            <a:ln w="76200">
              <a:solidFill>
                <a:srgbClr val="000000"/>
              </a:solidFill>
              <a:round/>
              <a:headEnd/>
              <a:tailEnd type="triangle" w="med" len="med"/>
            </a:ln>
            <a:extLst>
              <a:ext uri="{909E8E84-426E-40DD-AFC4-6F175D3DCCD1}">
                <a14:hiddenFill xmlns:a14="http://schemas.microsoft.com/office/drawing/2010/main">
                  <a:noFill/>
                </a14:hiddenFill>
              </a:ext>
            </a:extLst>
          </xdr:spPr>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y%20Documents\Front%20Duke%202002%20-%202003\V-Ships%20Salary\INV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Ch%20Officer\Front%20Line\115%20Condition\&#1050;&#1086;&#1087;&#1080;&#1103;%20June-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ch.Febr"/>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er Guide"/>
      <sheetName val="General"/>
      <sheetName val="Tanks &amp; holds"/>
      <sheetName val="Input list"/>
      <sheetName val="Import"/>
      <sheetName val="Server"/>
    </sheetNames>
    <sheetDataSet>
      <sheetData sheetId="0" refreshError="1"/>
      <sheetData sheetId="1" refreshError="1"/>
      <sheetData sheetId="2" refreshError="1"/>
      <sheetData sheetId="3">
        <row r="2">
          <cell r="D2">
            <v>1</v>
          </cell>
        </row>
        <row r="3">
          <cell r="D3">
            <v>2</v>
          </cell>
        </row>
        <row r="4">
          <cell r="D4">
            <v>3</v>
          </cell>
        </row>
        <row r="5">
          <cell r="D5">
            <v>4</v>
          </cell>
        </row>
        <row r="6">
          <cell r="D6">
            <v>5</v>
          </cell>
        </row>
        <row r="7">
          <cell r="D7">
            <v>6</v>
          </cell>
        </row>
        <row r="8">
          <cell r="D8">
            <v>7</v>
          </cell>
        </row>
        <row r="9">
          <cell r="D9">
            <v>8</v>
          </cell>
        </row>
        <row r="10">
          <cell r="D10">
            <v>9</v>
          </cell>
        </row>
        <row r="11">
          <cell r="D11">
            <v>10</v>
          </cell>
        </row>
        <row r="12">
          <cell r="D12">
            <v>11</v>
          </cell>
        </row>
        <row r="13">
          <cell r="D13">
            <v>12</v>
          </cell>
        </row>
        <row r="14">
          <cell r="D14">
            <v>13</v>
          </cell>
        </row>
        <row r="15">
          <cell r="D15">
            <v>14</v>
          </cell>
        </row>
        <row r="16">
          <cell r="D16">
            <v>15</v>
          </cell>
        </row>
        <row r="17">
          <cell r="D17">
            <v>16</v>
          </cell>
        </row>
        <row r="18">
          <cell r="D18">
            <v>17</v>
          </cell>
        </row>
        <row r="19">
          <cell r="D19">
            <v>18</v>
          </cell>
        </row>
        <row r="20">
          <cell r="D20">
            <v>19</v>
          </cell>
        </row>
        <row r="21">
          <cell r="D21">
            <v>20</v>
          </cell>
        </row>
        <row r="22">
          <cell r="D22">
            <v>21</v>
          </cell>
        </row>
        <row r="23">
          <cell r="D23">
            <v>22</v>
          </cell>
        </row>
        <row r="24">
          <cell r="D24">
            <v>23</v>
          </cell>
        </row>
        <row r="25">
          <cell r="D25">
            <v>24</v>
          </cell>
        </row>
        <row r="26">
          <cell r="D26">
            <v>25</v>
          </cell>
        </row>
        <row r="27">
          <cell r="D27">
            <v>26</v>
          </cell>
        </row>
        <row r="28">
          <cell r="D28">
            <v>27</v>
          </cell>
        </row>
        <row r="29">
          <cell r="D29">
            <v>28</v>
          </cell>
        </row>
        <row r="30">
          <cell r="D30">
            <v>29</v>
          </cell>
        </row>
        <row r="31">
          <cell r="D31">
            <v>30</v>
          </cell>
        </row>
        <row r="32">
          <cell r="D32">
            <v>31</v>
          </cell>
        </row>
      </sheetData>
      <sheetData sheetId="4" refreshError="1"/>
      <sheetData sheetId="5"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7.xml"/><Relationship Id="rId1" Type="http://schemas.openxmlformats.org/officeDocument/2006/relationships/printerSettings" Target="../printerSettings/printerSettings17.bin"/><Relationship Id="rId4" Type="http://schemas.openxmlformats.org/officeDocument/2006/relationships/comments" Target="../comments5.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8.xml"/><Relationship Id="rId1" Type="http://schemas.openxmlformats.org/officeDocument/2006/relationships/printerSettings" Target="../printerSettings/printerSettings18.bin"/><Relationship Id="rId4" Type="http://schemas.openxmlformats.org/officeDocument/2006/relationships/comments" Target="../comments6.xml"/></Relationships>
</file>

<file path=xl/worksheets/_rels/sheet19.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7.vml"/><Relationship Id="rId7" Type="http://schemas.openxmlformats.org/officeDocument/2006/relationships/ctrlProp" Target="../ctrlProps/ctrlProp4.xml"/><Relationship Id="rId2" Type="http://schemas.openxmlformats.org/officeDocument/2006/relationships/drawing" Target="../drawings/drawing19.xml"/><Relationship Id="rId1" Type="http://schemas.openxmlformats.org/officeDocument/2006/relationships/printerSettings" Target="../printerSettings/printerSettings19.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omments" Target="../comments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8.vml"/><Relationship Id="rId7" Type="http://schemas.openxmlformats.org/officeDocument/2006/relationships/ctrlProp" Target="../ctrlProps/ctrlProp10.xml"/><Relationship Id="rId2" Type="http://schemas.openxmlformats.org/officeDocument/2006/relationships/drawing" Target="../drawings/drawing20.xml"/><Relationship Id="rId1" Type="http://schemas.openxmlformats.org/officeDocument/2006/relationships/printerSettings" Target="../printerSettings/printerSettings20.bin"/><Relationship Id="rId6" Type="http://schemas.openxmlformats.org/officeDocument/2006/relationships/ctrlProp" Target="../ctrlProps/ctrlProp9.xml"/><Relationship Id="rId5" Type="http://schemas.openxmlformats.org/officeDocument/2006/relationships/ctrlProp" Target="../ctrlProps/ctrlProp8.xml"/><Relationship Id="rId10" Type="http://schemas.openxmlformats.org/officeDocument/2006/relationships/comments" Target="../comments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7" Type="http://schemas.openxmlformats.org/officeDocument/2006/relationships/comments" Target="../comments10.xml"/><Relationship Id="rId2" Type="http://schemas.openxmlformats.org/officeDocument/2006/relationships/drawing" Target="../drawings/drawing22.xml"/><Relationship Id="rId1" Type="http://schemas.openxmlformats.org/officeDocument/2006/relationships/printerSettings" Target="../printerSettings/printerSettings22.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23.xml.rels><?xml version="1.0" encoding="UTF-8" standalone="yes"?>
<Relationships xmlns="http://schemas.openxmlformats.org/package/2006/relationships"><Relationship Id="rId8" Type="http://schemas.openxmlformats.org/officeDocument/2006/relationships/comments" Target="../comments11.xml"/><Relationship Id="rId3" Type="http://schemas.openxmlformats.org/officeDocument/2006/relationships/vmlDrawing" Target="../drawings/vmlDrawing11.vml"/><Relationship Id="rId7" Type="http://schemas.openxmlformats.org/officeDocument/2006/relationships/ctrlProp" Target="../ctrlProps/ctrlProp19.xml"/><Relationship Id="rId2" Type="http://schemas.openxmlformats.org/officeDocument/2006/relationships/drawing" Target="../drawings/drawing23.xml"/><Relationship Id="rId1" Type="http://schemas.openxmlformats.org/officeDocument/2006/relationships/printerSettings" Target="../printerSettings/printerSettings23.bin"/><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ctrlProp" Target="../ctrlProps/ctrlProp16.xml"/></Relationships>
</file>

<file path=xl/worksheets/_rels/sheet24.xml.rels><?xml version="1.0" encoding="UTF-8" standalone="yes"?>
<Relationships xmlns="http://schemas.openxmlformats.org/package/2006/relationships"><Relationship Id="rId8" Type="http://schemas.openxmlformats.org/officeDocument/2006/relationships/comments" Target="../comments12.xml"/><Relationship Id="rId3" Type="http://schemas.openxmlformats.org/officeDocument/2006/relationships/vmlDrawing" Target="../drawings/vmlDrawing12.vml"/><Relationship Id="rId7" Type="http://schemas.openxmlformats.org/officeDocument/2006/relationships/ctrlProp" Target="../ctrlProps/ctrlProp23.xml"/><Relationship Id="rId2" Type="http://schemas.openxmlformats.org/officeDocument/2006/relationships/drawing" Target="../drawings/drawing24.xml"/><Relationship Id="rId1" Type="http://schemas.openxmlformats.org/officeDocument/2006/relationships/printerSettings" Target="../printerSettings/printerSettings24.bin"/><Relationship Id="rId6" Type="http://schemas.openxmlformats.org/officeDocument/2006/relationships/ctrlProp" Target="../ctrlProps/ctrlProp22.xml"/><Relationship Id="rId5" Type="http://schemas.openxmlformats.org/officeDocument/2006/relationships/ctrlProp" Target="../ctrlProps/ctrlProp21.xml"/><Relationship Id="rId4" Type="http://schemas.openxmlformats.org/officeDocument/2006/relationships/ctrlProp" Target="../ctrlProps/ctrlProp20.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5.xml"/><Relationship Id="rId1" Type="http://schemas.openxmlformats.org/officeDocument/2006/relationships/printerSettings" Target="../printerSettings/printerSettings25.bin"/><Relationship Id="rId4" Type="http://schemas.openxmlformats.org/officeDocument/2006/relationships/comments" Target="../comments13.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4.vml"/><Relationship Id="rId7" Type="http://schemas.openxmlformats.org/officeDocument/2006/relationships/ctrlProp" Target="../ctrlProps/ctrlProp27.xml"/><Relationship Id="rId2" Type="http://schemas.openxmlformats.org/officeDocument/2006/relationships/drawing" Target="../drawings/drawing26.xml"/><Relationship Id="rId1" Type="http://schemas.openxmlformats.org/officeDocument/2006/relationships/printerSettings" Target="../printerSettings/printerSettings26.bin"/><Relationship Id="rId6" Type="http://schemas.openxmlformats.org/officeDocument/2006/relationships/ctrlProp" Target="../ctrlProps/ctrlProp26.xml"/><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7.xml"/><Relationship Id="rId1" Type="http://schemas.openxmlformats.org/officeDocument/2006/relationships/printerSettings" Target="../printerSettings/printerSettings27.bin"/><Relationship Id="rId5" Type="http://schemas.openxmlformats.org/officeDocument/2006/relationships/ctrlProp" Target="../ctrlProps/ctrlProp29.xml"/><Relationship Id="rId4" Type="http://schemas.openxmlformats.org/officeDocument/2006/relationships/ctrlProp" Target="../ctrlProps/ctrlProp28.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9.xml"/><Relationship Id="rId1" Type="http://schemas.openxmlformats.org/officeDocument/2006/relationships/printerSettings" Target="../printerSettings/printerSettings29.bin"/><Relationship Id="rId4" Type="http://schemas.openxmlformats.org/officeDocument/2006/relationships/comments" Target="../comments14.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3" Type="http://schemas.openxmlformats.org/officeDocument/2006/relationships/ctrlProp" Target="../ctrlProps/ctrlProp39.xml"/><Relationship Id="rId18" Type="http://schemas.openxmlformats.org/officeDocument/2006/relationships/ctrlProp" Target="../ctrlProps/ctrlProp44.xml"/><Relationship Id="rId26" Type="http://schemas.openxmlformats.org/officeDocument/2006/relationships/ctrlProp" Target="../ctrlProps/ctrlProp52.xml"/><Relationship Id="rId3" Type="http://schemas.openxmlformats.org/officeDocument/2006/relationships/vmlDrawing" Target="../drawings/vmlDrawing17.vml"/><Relationship Id="rId21" Type="http://schemas.openxmlformats.org/officeDocument/2006/relationships/ctrlProp" Target="../ctrlProps/ctrlProp47.xml"/><Relationship Id="rId34" Type="http://schemas.openxmlformats.org/officeDocument/2006/relationships/ctrlProp" Target="../ctrlProps/ctrlProp60.x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5" Type="http://schemas.openxmlformats.org/officeDocument/2006/relationships/ctrlProp" Target="../ctrlProps/ctrlProp51.xml"/><Relationship Id="rId33" Type="http://schemas.openxmlformats.org/officeDocument/2006/relationships/ctrlProp" Target="../ctrlProps/ctrlProp59.xml"/><Relationship Id="rId2" Type="http://schemas.openxmlformats.org/officeDocument/2006/relationships/drawing" Target="../drawings/drawing31.xml"/><Relationship Id="rId16" Type="http://schemas.openxmlformats.org/officeDocument/2006/relationships/ctrlProp" Target="../ctrlProps/ctrlProp42.xml"/><Relationship Id="rId20" Type="http://schemas.openxmlformats.org/officeDocument/2006/relationships/ctrlProp" Target="../ctrlProps/ctrlProp46.xml"/><Relationship Id="rId29" Type="http://schemas.openxmlformats.org/officeDocument/2006/relationships/ctrlProp" Target="../ctrlProps/ctrlProp55.xml"/><Relationship Id="rId1" Type="http://schemas.openxmlformats.org/officeDocument/2006/relationships/printerSettings" Target="../printerSettings/printerSettings31.bin"/><Relationship Id="rId6" Type="http://schemas.openxmlformats.org/officeDocument/2006/relationships/ctrlProp" Target="../ctrlProps/ctrlProp32.xml"/><Relationship Id="rId11" Type="http://schemas.openxmlformats.org/officeDocument/2006/relationships/ctrlProp" Target="../ctrlProps/ctrlProp37.xml"/><Relationship Id="rId24" Type="http://schemas.openxmlformats.org/officeDocument/2006/relationships/ctrlProp" Target="../ctrlProps/ctrlProp50.xml"/><Relationship Id="rId32" Type="http://schemas.openxmlformats.org/officeDocument/2006/relationships/ctrlProp" Target="../ctrlProps/ctrlProp58.xml"/><Relationship Id="rId5" Type="http://schemas.openxmlformats.org/officeDocument/2006/relationships/ctrlProp" Target="../ctrlProps/ctrlProp31.xml"/><Relationship Id="rId15" Type="http://schemas.openxmlformats.org/officeDocument/2006/relationships/ctrlProp" Target="../ctrlProps/ctrlProp41.xml"/><Relationship Id="rId23" Type="http://schemas.openxmlformats.org/officeDocument/2006/relationships/ctrlProp" Target="../ctrlProps/ctrlProp49.xml"/><Relationship Id="rId28" Type="http://schemas.openxmlformats.org/officeDocument/2006/relationships/ctrlProp" Target="../ctrlProps/ctrlProp54.xml"/><Relationship Id="rId36" Type="http://schemas.openxmlformats.org/officeDocument/2006/relationships/ctrlProp" Target="../ctrlProps/ctrlProp62.xml"/><Relationship Id="rId10" Type="http://schemas.openxmlformats.org/officeDocument/2006/relationships/ctrlProp" Target="../ctrlProps/ctrlProp36.xml"/><Relationship Id="rId19" Type="http://schemas.openxmlformats.org/officeDocument/2006/relationships/ctrlProp" Target="../ctrlProps/ctrlProp45.xml"/><Relationship Id="rId31" Type="http://schemas.openxmlformats.org/officeDocument/2006/relationships/ctrlProp" Target="../ctrlProps/ctrlProp57.xml"/><Relationship Id="rId4" Type="http://schemas.openxmlformats.org/officeDocument/2006/relationships/ctrlProp" Target="../ctrlProps/ctrlProp30.xml"/><Relationship Id="rId9" Type="http://schemas.openxmlformats.org/officeDocument/2006/relationships/ctrlProp" Target="../ctrlProps/ctrlProp35.xml"/><Relationship Id="rId14" Type="http://schemas.openxmlformats.org/officeDocument/2006/relationships/ctrlProp" Target="../ctrlProps/ctrlProp40.xml"/><Relationship Id="rId22" Type="http://schemas.openxmlformats.org/officeDocument/2006/relationships/ctrlProp" Target="../ctrlProps/ctrlProp48.xml"/><Relationship Id="rId27" Type="http://schemas.openxmlformats.org/officeDocument/2006/relationships/ctrlProp" Target="../ctrlProps/ctrlProp53.xml"/><Relationship Id="rId30" Type="http://schemas.openxmlformats.org/officeDocument/2006/relationships/ctrlProp" Target="../ctrlProps/ctrlProp56.xml"/><Relationship Id="rId35" Type="http://schemas.openxmlformats.org/officeDocument/2006/relationships/ctrlProp" Target="../ctrlProps/ctrlProp61.xml"/><Relationship Id="rId8" Type="http://schemas.openxmlformats.org/officeDocument/2006/relationships/ctrlProp" Target="../ctrlProps/ctrlProp34.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36.xml"/><Relationship Id="rId1" Type="http://schemas.openxmlformats.org/officeDocument/2006/relationships/printerSettings" Target="../printerSettings/printerSettings36.bin"/><Relationship Id="rId5" Type="http://schemas.openxmlformats.org/officeDocument/2006/relationships/ctrlProp" Target="../ctrlProps/ctrlProp64.xml"/><Relationship Id="rId4" Type="http://schemas.openxmlformats.org/officeDocument/2006/relationships/ctrlProp" Target="../ctrlProps/ctrlProp63.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6" Type="http://schemas.openxmlformats.org/officeDocument/2006/relationships/oleObject" Target="../embeddings/oleObject16.bin"/><Relationship Id="rId21" Type="http://schemas.openxmlformats.org/officeDocument/2006/relationships/image" Target="../media/image18.emf"/><Relationship Id="rId42" Type="http://schemas.openxmlformats.org/officeDocument/2006/relationships/image" Target="../media/image21.emf"/><Relationship Id="rId47" Type="http://schemas.openxmlformats.org/officeDocument/2006/relationships/oleObject" Target="../embeddings/oleObject32.bin"/><Relationship Id="rId63" Type="http://schemas.openxmlformats.org/officeDocument/2006/relationships/oleObject" Target="../embeddings/oleObject43.bin"/><Relationship Id="rId68" Type="http://schemas.openxmlformats.org/officeDocument/2006/relationships/oleObject" Target="../embeddings/oleObject46.bin"/><Relationship Id="rId7" Type="http://schemas.openxmlformats.org/officeDocument/2006/relationships/image" Target="../media/image13.emf"/><Relationship Id="rId2" Type="http://schemas.openxmlformats.org/officeDocument/2006/relationships/drawing" Target="../drawings/drawing43.xml"/><Relationship Id="rId16" Type="http://schemas.openxmlformats.org/officeDocument/2006/relationships/oleObject" Target="../embeddings/oleObject8.bin"/><Relationship Id="rId29" Type="http://schemas.openxmlformats.org/officeDocument/2006/relationships/oleObject" Target="../embeddings/oleObject19.bin"/><Relationship Id="rId11" Type="http://schemas.openxmlformats.org/officeDocument/2006/relationships/oleObject" Target="../embeddings/oleObject5.bin"/><Relationship Id="rId24" Type="http://schemas.openxmlformats.org/officeDocument/2006/relationships/oleObject" Target="../embeddings/oleObject14.bin"/><Relationship Id="rId32" Type="http://schemas.openxmlformats.org/officeDocument/2006/relationships/oleObject" Target="../embeddings/oleObject22.bin"/><Relationship Id="rId37" Type="http://schemas.openxmlformats.org/officeDocument/2006/relationships/oleObject" Target="../embeddings/oleObject27.bin"/><Relationship Id="rId40" Type="http://schemas.openxmlformats.org/officeDocument/2006/relationships/image" Target="../media/image20.emf"/><Relationship Id="rId45" Type="http://schemas.openxmlformats.org/officeDocument/2006/relationships/oleObject" Target="../embeddings/oleObject31.bin"/><Relationship Id="rId53" Type="http://schemas.openxmlformats.org/officeDocument/2006/relationships/oleObject" Target="../embeddings/oleObject37.bin"/><Relationship Id="rId58" Type="http://schemas.openxmlformats.org/officeDocument/2006/relationships/image" Target="../media/image26.emf"/><Relationship Id="rId66" Type="http://schemas.openxmlformats.org/officeDocument/2006/relationships/image" Target="../media/image30.emf"/><Relationship Id="rId5" Type="http://schemas.openxmlformats.org/officeDocument/2006/relationships/image" Target="../media/image12.wmf"/><Relationship Id="rId61" Type="http://schemas.openxmlformats.org/officeDocument/2006/relationships/oleObject" Target="../embeddings/oleObject42.bin"/><Relationship Id="rId19" Type="http://schemas.openxmlformats.org/officeDocument/2006/relationships/oleObject" Target="../embeddings/oleObject10.bin"/><Relationship Id="rId14" Type="http://schemas.openxmlformats.org/officeDocument/2006/relationships/oleObject" Target="../embeddings/oleObject7.bin"/><Relationship Id="rId22" Type="http://schemas.openxmlformats.org/officeDocument/2006/relationships/oleObject" Target="../embeddings/oleObject12.bin"/><Relationship Id="rId27" Type="http://schemas.openxmlformats.org/officeDocument/2006/relationships/oleObject" Target="../embeddings/oleObject17.bin"/><Relationship Id="rId30" Type="http://schemas.openxmlformats.org/officeDocument/2006/relationships/oleObject" Target="../embeddings/oleObject20.bin"/><Relationship Id="rId35" Type="http://schemas.openxmlformats.org/officeDocument/2006/relationships/oleObject" Target="../embeddings/oleObject25.bin"/><Relationship Id="rId43" Type="http://schemas.openxmlformats.org/officeDocument/2006/relationships/oleObject" Target="../embeddings/oleObject30.bin"/><Relationship Id="rId48" Type="http://schemas.openxmlformats.org/officeDocument/2006/relationships/image" Target="../media/image24.emf"/><Relationship Id="rId56" Type="http://schemas.openxmlformats.org/officeDocument/2006/relationships/image" Target="../media/image25.emf"/><Relationship Id="rId64" Type="http://schemas.openxmlformats.org/officeDocument/2006/relationships/image" Target="../media/image29.emf"/><Relationship Id="rId69" Type="http://schemas.openxmlformats.org/officeDocument/2006/relationships/oleObject" Target="../embeddings/oleObject47.bin"/><Relationship Id="rId8" Type="http://schemas.openxmlformats.org/officeDocument/2006/relationships/oleObject" Target="../embeddings/oleObject3.bin"/><Relationship Id="rId51" Type="http://schemas.openxmlformats.org/officeDocument/2006/relationships/oleObject" Target="../embeddings/oleObject35.bin"/><Relationship Id="rId3" Type="http://schemas.openxmlformats.org/officeDocument/2006/relationships/vmlDrawing" Target="../drawings/vmlDrawing19.vml"/><Relationship Id="rId12" Type="http://schemas.openxmlformats.org/officeDocument/2006/relationships/image" Target="../media/image15.emf"/><Relationship Id="rId17" Type="http://schemas.openxmlformats.org/officeDocument/2006/relationships/image" Target="../media/image17.emf"/><Relationship Id="rId25" Type="http://schemas.openxmlformats.org/officeDocument/2006/relationships/oleObject" Target="../embeddings/oleObject15.bin"/><Relationship Id="rId33" Type="http://schemas.openxmlformats.org/officeDocument/2006/relationships/oleObject" Target="../embeddings/oleObject23.bin"/><Relationship Id="rId38" Type="http://schemas.openxmlformats.org/officeDocument/2006/relationships/image" Target="../media/image19.emf"/><Relationship Id="rId46" Type="http://schemas.openxmlformats.org/officeDocument/2006/relationships/image" Target="../media/image23.emf"/><Relationship Id="rId59" Type="http://schemas.openxmlformats.org/officeDocument/2006/relationships/oleObject" Target="../embeddings/oleObject41.bin"/><Relationship Id="rId67" Type="http://schemas.openxmlformats.org/officeDocument/2006/relationships/oleObject" Target="../embeddings/oleObject45.bin"/><Relationship Id="rId20" Type="http://schemas.openxmlformats.org/officeDocument/2006/relationships/oleObject" Target="../embeddings/oleObject11.bin"/><Relationship Id="rId41" Type="http://schemas.openxmlformats.org/officeDocument/2006/relationships/oleObject" Target="../embeddings/oleObject29.bin"/><Relationship Id="rId54" Type="http://schemas.openxmlformats.org/officeDocument/2006/relationships/oleObject" Target="../embeddings/oleObject38.bin"/><Relationship Id="rId62" Type="http://schemas.openxmlformats.org/officeDocument/2006/relationships/image" Target="../media/image28.emf"/><Relationship Id="rId1" Type="http://schemas.openxmlformats.org/officeDocument/2006/relationships/printerSettings" Target="../printerSettings/printerSettings43.bin"/><Relationship Id="rId6" Type="http://schemas.openxmlformats.org/officeDocument/2006/relationships/oleObject" Target="../embeddings/oleObject2.bin"/><Relationship Id="rId15" Type="http://schemas.openxmlformats.org/officeDocument/2006/relationships/image" Target="../media/image16.emf"/><Relationship Id="rId23" Type="http://schemas.openxmlformats.org/officeDocument/2006/relationships/oleObject" Target="../embeddings/oleObject13.bin"/><Relationship Id="rId28" Type="http://schemas.openxmlformats.org/officeDocument/2006/relationships/oleObject" Target="../embeddings/oleObject18.bin"/><Relationship Id="rId36" Type="http://schemas.openxmlformats.org/officeDocument/2006/relationships/oleObject" Target="../embeddings/oleObject26.bin"/><Relationship Id="rId49" Type="http://schemas.openxmlformats.org/officeDocument/2006/relationships/oleObject" Target="../embeddings/oleObject33.bin"/><Relationship Id="rId57" Type="http://schemas.openxmlformats.org/officeDocument/2006/relationships/oleObject" Target="../embeddings/oleObject40.bin"/><Relationship Id="rId10" Type="http://schemas.openxmlformats.org/officeDocument/2006/relationships/oleObject" Target="../embeddings/oleObject4.bin"/><Relationship Id="rId31" Type="http://schemas.openxmlformats.org/officeDocument/2006/relationships/oleObject" Target="../embeddings/oleObject21.bin"/><Relationship Id="rId44" Type="http://schemas.openxmlformats.org/officeDocument/2006/relationships/image" Target="../media/image22.emf"/><Relationship Id="rId52" Type="http://schemas.openxmlformats.org/officeDocument/2006/relationships/oleObject" Target="../embeddings/oleObject36.bin"/><Relationship Id="rId60" Type="http://schemas.openxmlformats.org/officeDocument/2006/relationships/image" Target="../media/image27.emf"/><Relationship Id="rId65" Type="http://schemas.openxmlformats.org/officeDocument/2006/relationships/oleObject" Target="../embeddings/oleObject44.bin"/><Relationship Id="rId4" Type="http://schemas.openxmlformats.org/officeDocument/2006/relationships/oleObject" Target="../embeddings/oleObject1.bin"/><Relationship Id="rId9" Type="http://schemas.openxmlformats.org/officeDocument/2006/relationships/image" Target="../media/image14.wmf"/><Relationship Id="rId13" Type="http://schemas.openxmlformats.org/officeDocument/2006/relationships/oleObject" Target="../embeddings/oleObject6.bin"/><Relationship Id="rId18" Type="http://schemas.openxmlformats.org/officeDocument/2006/relationships/oleObject" Target="../embeddings/oleObject9.bin"/><Relationship Id="rId39" Type="http://schemas.openxmlformats.org/officeDocument/2006/relationships/oleObject" Target="../embeddings/oleObject28.bin"/><Relationship Id="rId34" Type="http://schemas.openxmlformats.org/officeDocument/2006/relationships/oleObject" Target="../embeddings/oleObject24.bin"/><Relationship Id="rId50" Type="http://schemas.openxmlformats.org/officeDocument/2006/relationships/oleObject" Target="../embeddings/oleObject34.bin"/><Relationship Id="rId55" Type="http://schemas.openxmlformats.org/officeDocument/2006/relationships/oleObject" Target="../embeddings/oleObject39.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49.bin"/><Relationship Id="rId1" Type="http://schemas.openxmlformats.org/officeDocument/2006/relationships/hyperlink" Target="https://mooringmarineconsultancy.wordpress.com/2016/05/30/calculation-of-bottom-line-quantities-on-tankers/" TargetMode="Externa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57.bin"/><Relationship Id="rId1" Type="http://schemas.openxmlformats.org/officeDocument/2006/relationships/hyperlink" Target="http://www.safety4sea.com/commingling-and-solas-compliance/" TargetMode="External"/></Relationships>
</file>

<file path=xl/worksheets/_rels/sheet58.xml.rels><?xml version="1.0" encoding="UTF-8" standalone="yes"?>
<Relationships xmlns="http://schemas.openxmlformats.org/package/2006/relationships"><Relationship Id="rId8" Type="http://schemas.openxmlformats.org/officeDocument/2006/relationships/oleObject" Target="../embeddings/oleObject50.bin"/><Relationship Id="rId3" Type="http://schemas.openxmlformats.org/officeDocument/2006/relationships/vmlDrawing" Target="../drawings/vmlDrawing20.vml"/><Relationship Id="rId7" Type="http://schemas.openxmlformats.org/officeDocument/2006/relationships/image" Target="../media/image47.wmf"/><Relationship Id="rId2" Type="http://schemas.openxmlformats.org/officeDocument/2006/relationships/drawing" Target="../drawings/drawing57.xml"/><Relationship Id="rId1" Type="http://schemas.openxmlformats.org/officeDocument/2006/relationships/printerSettings" Target="../printerSettings/printerSettings58.bin"/><Relationship Id="rId6" Type="http://schemas.openxmlformats.org/officeDocument/2006/relationships/oleObject" Target="../embeddings/oleObject49.bin"/><Relationship Id="rId11" Type="http://schemas.openxmlformats.org/officeDocument/2006/relationships/image" Target="../media/image49.wmf"/><Relationship Id="rId5" Type="http://schemas.openxmlformats.org/officeDocument/2006/relationships/image" Target="../media/image46.wmf"/><Relationship Id="rId10" Type="http://schemas.openxmlformats.org/officeDocument/2006/relationships/oleObject" Target="../embeddings/oleObject51.bin"/><Relationship Id="rId4" Type="http://schemas.openxmlformats.org/officeDocument/2006/relationships/oleObject" Target="../embeddings/oleObject48.bin"/><Relationship Id="rId9" Type="http://schemas.openxmlformats.org/officeDocument/2006/relationships/image" Target="../media/image48.wmf"/></Relationships>
</file>

<file path=xl/worksheets/_rels/sheet59.xml.rels><?xml version="1.0" encoding="UTF-8" standalone="yes"?>
<Relationships xmlns="http://schemas.openxmlformats.org/package/2006/relationships"><Relationship Id="rId8" Type="http://schemas.openxmlformats.org/officeDocument/2006/relationships/hyperlink" Target="https://oilfieldteam.com/en/astm-tables" TargetMode="External"/><Relationship Id="rId13" Type="http://schemas.openxmlformats.org/officeDocument/2006/relationships/hyperlink" Target="http://www.chemicaltankerguide.com/cargo-calculation.html" TargetMode="External"/><Relationship Id="rId18" Type="http://schemas.openxmlformats.org/officeDocument/2006/relationships/hyperlink" Target="https://engineeringunits.com/api-gravity-temperature-correction-online-calculator/" TargetMode="External"/><Relationship Id="rId26" Type="http://schemas.openxmlformats.org/officeDocument/2006/relationships/hyperlink" Target="https://eballotprodstorage.blob.core.windows.net/eballotscontainer/17.4_e2%20reaff.pdf" TargetMode="External"/><Relationship Id="rId3" Type="http://schemas.openxmlformats.org/officeDocument/2006/relationships/hyperlink" Target="https://theworldmoveswithmariners.blogspot.com/2016/05/tanker-cargo-calculations-astm-tables.html" TargetMode="External"/><Relationship Id="rId21" Type="http://schemas.openxmlformats.org/officeDocument/2006/relationships/hyperlink" Target="https://sfkcorp.com/resources/vcf/" TargetMode="External"/><Relationship Id="rId7" Type="http://schemas.openxmlformats.org/officeDocument/2006/relationships/hyperlink" Target="https://www.youtube.com/watch?v=-sop8AW-PdI" TargetMode="External"/><Relationship Id="rId12" Type="http://schemas.openxmlformats.org/officeDocument/2006/relationships/hyperlink" Target="http://nautraj.blogspot.com/2011/04/tanker-cargo-calculations-astm-tables.html" TargetMode="External"/><Relationship Id="rId17" Type="http://schemas.openxmlformats.org/officeDocument/2006/relationships/hyperlink" Target="https://softadvice.informer.com/ext/https_www.calculator.net/density-calculator.html" TargetMode="External"/><Relationship Id="rId25" Type="http://schemas.openxmlformats.org/officeDocument/2006/relationships/hyperlink" Target="https://sevensurveyor.com/wedge-formula/" TargetMode="External"/><Relationship Id="rId2" Type="http://schemas.openxmlformats.org/officeDocument/2006/relationships/hyperlink" Target="https://cultofsea.com/tanker/cargo-calculations-tanker-work/" TargetMode="External"/><Relationship Id="rId16" Type="http://schemas.openxmlformats.org/officeDocument/2006/relationships/hyperlink" Target="https://www.engineeringtoolbox.com/density-converter-d_1038.html" TargetMode="External"/><Relationship Id="rId20" Type="http://schemas.openxmlformats.org/officeDocument/2006/relationships/hyperlink" Target="https://apsinsp.com/vcf-calculator/" TargetMode="External"/><Relationship Id="rId29" Type="http://schemas.openxmlformats.org/officeDocument/2006/relationships/hyperlink" Target="https://jobs.myseatime.com/blog/detail/cargo-calculations-on-tankers-astm-tables" TargetMode="External"/><Relationship Id="rId1" Type="http://schemas.openxmlformats.org/officeDocument/2006/relationships/hyperlink" Target="http://www.shipinspection.eu/index.php/chartering-terms/86-t/4955-tanker-bills-of-lading" TargetMode="External"/><Relationship Id="rId6" Type="http://schemas.openxmlformats.org/officeDocument/2006/relationships/hyperlink" Target="https://www.youtube.com/watch?v=-uq9Q6HIayo" TargetMode="External"/><Relationship Id="rId11" Type="http://schemas.openxmlformats.org/officeDocument/2006/relationships/hyperlink" Target="https://theworldmoveswithmariners.blogspot.com/2016/05/tanker-cargo-calculations-astm-tables.html" TargetMode="External"/><Relationship Id="rId24" Type="http://schemas.openxmlformats.org/officeDocument/2006/relationships/hyperlink" Target="https://en.wikipedia.org/wiki/Volume_correction_factor" TargetMode="External"/><Relationship Id="rId5" Type="http://schemas.openxmlformats.org/officeDocument/2006/relationships/hyperlink" Target="https://www.youtube.com/watch?v=qO_DaT_753s" TargetMode="External"/><Relationship Id="rId15" Type="http://schemas.openxmlformats.org/officeDocument/2006/relationships/hyperlink" Target="https://energy1.ru/en/calculator/" TargetMode="External"/><Relationship Id="rId23" Type="http://schemas.openxmlformats.org/officeDocument/2006/relationships/hyperlink" Target="https://mooringmarineconsultancy.wordpress.com/2016/05/30/calculation-of-bottom-line-quantities-on-tankers/" TargetMode="External"/><Relationship Id="rId28" Type="http://schemas.openxmlformats.org/officeDocument/2006/relationships/hyperlink" Target="https://sailor-ru.narod.ru/index.htm" TargetMode="External"/><Relationship Id="rId10" Type="http://schemas.openxmlformats.org/officeDocument/2006/relationships/hyperlink" Target="https://knowledgeofsea.com/measurement-of-oil-cargoes-astm-tables/" TargetMode="External"/><Relationship Id="rId19" Type="http://schemas.openxmlformats.org/officeDocument/2006/relationships/hyperlink" Target="https://engineeringunits.com/api-gravity-calculator/" TargetMode="External"/><Relationship Id="rId31" Type="http://schemas.openxmlformats.org/officeDocument/2006/relationships/drawing" Target="../drawings/drawing58.xml"/><Relationship Id="rId4" Type="http://schemas.openxmlformats.org/officeDocument/2006/relationships/hyperlink" Target="https://www.youtube.com/watch?v=XBn5OsE3XdM" TargetMode="External"/><Relationship Id="rId9" Type="http://schemas.openxmlformats.org/officeDocument/2006/relationships/hyperlink" Target="https://marinelegends.org/blog/2021/08/11/tanker-cargo-calculations-astm-tables-usage-procedure-of-calculations/" TargetMode="External"/><Relationship Id="rId14" Type="http://schemas.openxmlformats.org/officeDocument/2006/relationships/hyperlink" Target="https://knowledgeofsea.com/tanker-cargo-calculations/" TargetMode="External"/><Relationship Id="rId22" Type="http://schemas.openxmlformats.org/officeDocument/2006/relationships/hyperlink" Target="https://sherafy.com/sherafy-petroleum-institute/" TargetMode="External"/><Relationship Id="rId27" Type="http://schemas.openxmlformats.org/officeDocument/2006/relationships/hyperlink" Target="https://sailor-ru.narod.ru/chapter3/3-29.htm" TargetMode="External"/><Relationship Id="rId30"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FFFF00"/>
  </sheetPr>
  <dimension ref="B1:R57"/>
  <sheetViews>
    <sheetView showGridLines="0" showRowColHeaders="0" topLeftCell="B1" zoomScaleNormal="100" workbookViewId="0"/>
  </sheetViews>
  <sheetFormatPr defaultRowHeight="12.75"/>
  <cols>
    <col min="1" max="1" width="0" style="158" hidden="1" customWidth="1"/>
    <col min="2" max="2" width="36.6640625" style="60" customWidth="1"/>
    <col min="3" max="256" width="9.1328125" style="158"/>
    <col min="257" max="257" width="0" style="158" hidden="1" customWidth="1"/>
    <col min="258" max="258" width="30.6640625" style="158" customWidth="1"/>
    <col min="259" max="512" width="9.1328125" style="158"/>
    <col min="513" max="513" width="0" style="158" hidden="1" customWidth="1"/>
    <col min="514" max="514" width="30.6640625" style="158" customWidth="1"/>
    <col min="515" max="768" width="9.1328125" style="158"/>
    <col min="769" max="769" width="0" style="158" hidden="1" customWidth="1"/>
    <col min="770" max="770" width="30.6640625" style="158" customWidth="1"/>
    <col min="771" max="1024" width="9.1328125" style="158"/>
    <col min="1025" max="1025" width="0" style="158" hidden="1" customWidth="1"/>
    <col min="1026" max="1026" width="30.6640625" style="158" customWidth="1"/>
    <col min="1027" max="1280" width="9.1328125" style="158"/>
    <col min="1281" max="1281" width="0" style="158" hidden="1" customWidth="1"/>
    <col min="1282" max="1282" width="30.6640625" style="158" customWidth="1"/>
    <col min="1283" max="1536" width="9.1328125" style="158"/>
    <col min="1537" max="1537" width="0" style="158" hidden="1" customWidth="1"/>
    <col min="1538" max="1538" width="30.6640625" style="158" customWidth="1"/>
    <col min="1539" max="1792" width="9.1328125" style="158"/>
    <col min="1793" max="1793" width="0" style="158" hidden="1" customWidth="1"/>
    <col min="1794" max="1794" width="30.6640625" style="158" customWidth="1"/>
    <col min="1795" max="2048" width="9.1328125" style="158"/>
    <col min="2049" max="2049" width="0" style="158" hidden="1" customWidth="1"/>
    <col min="2050" max="2050" width="30.6640625" style="158" customWidth="1"/>
    <col min="2051" max="2304" width="9.1328125" style="158"/>
    <col min="2305" max="2305" width="0" style="158" hidden="1" customWidth="1"/>
    <col min="2306" max="2306" width="30.6640625" style="158" customWidth="1"/>
    <col min="2307" max="2560" width="9.1328125" style="158"/>
    <col min="2561" max="2561" width="0" style="158" hidden="1" customWidth="1"/>
    <col min="2562" max="2562" width="30.6640625" style="158" customWidth="1"/>
    <col min="2563" max="2816" width="9.1328125" style="158"/>
    <col min="2817" max="2817" width="0" style="158" hidden="1" customWidth="1"/>
    <col min="2818" max="2818" width="30.6640625" style="158" customWidth="1"/>
    <col min="2819" max="3072" width="9.1328125" style="158"/>
    <col min="3073" max="3073" width="0" style="158" hidden="1" customWidth="1"/>
    <col min="3074" max="3074" width="30.6640625" style="158" customWidth="1"/>
    <col min="3075" max="3328" width="9.1328125" style="158"/>
    <col min="3329" max="3329" width="0" style="158" hidden="1" customWidth="1"/>
    <col min="3330" max="3330" width="30.6640625" style="158" customWidth="1"/>
    <col min="3331" max="3584" width="9.1328125" style="158"/>
    <col min="3585" max="3585" width="0" style="158" hidden="1" customWidth="1"/>
    <col min="3586" max="3586" width="30.6640625" style="158" customWidth="1"/>
    <col min="3587" max="3840" width="9.1328125" style="158"/>
    <col min="3841" max="3841" width="0" style="158" hidden="1" customWidth="1"/>
    <col min="3842" max="3842" width="30.6640625" style="158" customWidth="1"/>
    <col min="3843" max="4096" width="9.1328125" style="158"/>
    <col min="4097" max="4097" width="0" style="158" hidden="1" customWidth="1"/>
    <col min="4098" max="4098" width="30.6640625" style="158" customWidth="1"/>
    <col min="4099" max="4352" width="9.1328125" style="158"/>
    <col min="4353" max="4353" width="0" style="158" hidden="1" customWidth="1"/>
    <col min="4354" max="4354" width="30.6640625" style="158" customWidth="1"/>
    <col min="4355" max="4608" width="9.1328125" style="158"/>
    <col min="4609" max="4609" width="0" style="158" hidden="1" customWidth="1"/>
    <col min="4610" max="4610" width="30.6640625" style="158" customWidth="1"/>
    <col min="4611" max="4864" width="9.1328125" style="158"/>
    <col min="4865" max="4865" width="0" style="158" hidden="1" customWidth="1"/>
    <col min="4866" max="4866" width="30.6640625" style="158" customWidth="1"/>
    <col min="4867" max="5120" width="9.1328125" style="158"/>
    <col min="5121" max="5121" width="0" style="158" hidden="1" customWidth="1"/>
    <col min="5122" max="5122" width="30.6640625" style="158" customWidth="1"/>
    <col min="5123" max="5376" width="9.1328125" style="158"/>
    <col min="5377" max="5377" width="0" style="158" hidden="1" customWidth="1"/>
    <col min="5378" max="5378" width="30.6640625" style="158" customWidth="1"/>
    <col min="5379" max="5632" width="9.1328125" style="158"/>
    <col min="5633" max="5633" width="0" style="158" hidden="1" customWidth="1"/>
    <col min="5634" max="5634" width="30.6640625" style="158" customWidth="1"/>
    <col min="5635" max="5888" width="9.1328125" style="158"/>
    <col min="5889" max="5889" width="0" style="158" hidden="1" customWidth="1"/>
    <col min="5890" max="5890" width="30.6640625" style="158" customWidth="1"/>
    <col min="5891" max="6144" width="9.1328125" style="158"/>
    <col min="6145" max="6145" width="0" style="158" hidden="1" customWidth="1"/>
    <col min="6146" max="6146" width="30.6640625" style="158" customWidth="1"/>
    <col min="6147" max="6400" width="9.1328125" style="158"/>
    <col min="6401" max="6401" width="0" style="158" hidden="1" customWidth="1"/>
    <col min="6402" max="6402" width="30.6640625" style="158" customWidth="1"/>
    <col min="6403" max="6656" width="9.1328125" style="158"/>
    <col min="6657" max="6657" width="0" style="158" hidden="1" customWidth="1"/>
    <col min="6658" max="6658" width="30.6640625" style="158" customWidth="1"/>
    <col min="6659" max="6912" width="9.1328125" style="158"/>
    <col min="6913" max="6913" width="0" style="158" hidden="1" customWidth="1"/>
    <col min="6914" max="6914" width="30.6640625" style="158" customWidth="1"/>
    <col min="6915" max="7168" width="9.1328125" style="158"/>
    <col min="7169" max="7169" width="0" style="158" hidden="1" customWidth="1"/>
    <col min="7170" max="7170" width="30.6640625" style="158" customWidth="1"/>
    <col min="7171" max="7424" width="9.1328125" style="158"/>
    <col min="7425" max="7425" width="0" style="158" hidden="1" customWidth="1"/>
    <col min="7426" max="7426" width="30.6640625" style="158" customWidth="1"/>
    <col min="7427" max="7680" width="9.1328125" style="158"/>
    <col min="7681" max="7681" width="0" style="158" hidden="1" customWidth="1"/>
    <col min="7682" max="7682" width="30.6640625" style="158" customWidth="1"/>
    <col min="7683" max="7936" width="9.1328125" style="158"/>
    <col min="7937" max="7937" width="0" style="158" hidden="1" customWidth="1"/>
    <col min="7938" max="7938" width="30.6640625" style="158" customWidth="1"/>
    <col min="7939" max="8192" width="9.1328125" style="158"/>
    <col min="8193" max="8193" width="0" style="158" hidden="1" customWidth="1"/>
    <col min="8194" max="8194" width="30.6640625" style="158" customWidth="1"/>
    <col min="8195" max="8448" width="9.1328125" style="158"/>
    <col min="8449" max="8449" width="0" style="158" hidden="1" customWidth="1"/>
    <col min="8450" max="8450" width="30.6640625" style="158" customWidth="1"/>
    <col min="8451" max="8704" width="9.1328125" style="158"/>
    <col min="8705" max="8705" width="0" style="158" hidden="1" customWidth="1"/>
    <col min="8706" max="8706" width="30.6640625" style="158" customWidth="1"/>
    <col min="8707" max="8960" width="9.1328125" style="158"/>
    <col min="8961" max="8961" width="0" style="158" hidden="1" customWidth="1"/>
    <col min="8962" max="8962" width="30.6640625" style="158" customWidth="1"/>
    <col min="8963" max="9216" width="9.1328125" style="158"/>
    <col min="9217" max="9217" width="0" style="158" hidden="1" customWidth="1"/>
    <col min="9218" max="9218" width="30.6640625" style="158" customWidth="1"/>
    <col min="9219" max="9472" width="9.1328125" style="158"/>
    <col min="9473" max="9473" width="0" style="158" hidden="1" customWidth="1"/>
    <col min="9474" max="9474" width="30.6640625" style="158" customWidth="1"/>
    <col min="9475" max="9728" width="9.1328125" style="158"/>
    <col min="9729" max="9729" width="0" style="158" hidden="1" customWidth="1"/>
    <col min="9730" max="9730" width="30.6640625" style="158" customWidth="1"/>
    <col min="9731" max="9984" width="9.1328125" style="158"/>
    <col min="9985" max="9985" width="0" style="158" hidden="1" customWidth="1"/>
    <col min="9986" max="9986" width="30.6640625" style="158" customWidth="1"/>
    <col min="9987" max="10240" width="9.1328125" style="158"/>
    <col min="10241" max="10241" width="0" style="158" hidden="1" customWidth="1"/>
    <col min="10242" max="10242" width="30.6640625" style="158" customWidth="1"/>
    <col min="10243" max="10496" width="9.1328125" style="158"/>
    <col min="10497" max="10497" width="0" style="158" hidden="1" customWidth="1"/>
    <col min="10498" max="10498" width="30.6640625" style="158" customWidth="1"/>
    <col min="10499" max="10752" width="9.1328125" style="158"/>
    <col min="10753" max="10753" width="0" style="158" hidden="1" customWidth="1"/>
    <col min="10754" max="10754" width="30.6640625" style="158" customWidth="1"/>
    <col min="10755" max="11008" width="9.1328125" style="158"/>
    <col min="11009" max="11009" width="0" style="158" hidden="1" customWidth="1"/>
    <col min="11010" max="11010" width="30.6640625" style="158" customWidth="1"/>
    <col min="11011" max="11264" width="9.1328125" style="158"/>
    <col min="11265" max="11265" width="0" style="158" hidden="1" customWidth="1"/>
    <col min="11266" max="11266" width="30.6640625" style="158" customWidth="1"/>
    <col min="11267" max="11520" width="9.1328125" style="158"/>
    <col min="11521" max="11521" width="0" style="158" hidden="1" customWidth="1"/>
    <col min="11522" max="11522" width="30.6640625" style="158" customWidth="1"/>
    <col min="11523" max="11776" width="9.1328125" style="158"/>
    <col min="11777" max="11777" width="0" style="158" hidden="1" customWidth="1"/>
    <col min="11778" max="11778" width="30.6640625" style="158" customWidth="1"/>
    <col min="11779" max="12032" width="9.1328125" style="158"/>
    <col min="12033" max="12033" width="0" style="158" hidden="1" customWidth="1"/>
    <col min="12034" max="12034" width="30.6640625" style="158" customWidth="1"/>
    <col min="12035" max="12288" width="9.1328125" style="158"/>
    <col min="12289" max="12289" width="0" style="158" hidden="1" customWidth="1"/>
    <col min="12290" max="12290" width="30.6640625" style="158" customWidth="1"/>
    <col min="12291" max="12544" width="9.1328125" style="158"/>
    <col min="12545" max="12545" width="0" style="158" hidden="1" customWidth="1"/>
    <col min="12546" max="12546" width="30.6640625" style="158" customWidth="1"/>
    <col min="12547" max="12800" width="9.1328125" style="158"/>
    <col min="12801" max="12801" width="0" style="158" hidden="1" customWidth="1"/>
    <col min="12802" max="12802" width="30.6640625" style="158" customWidth="1"/>
    <col min="12803" max="13056" width="9.1328125" style="158"/>
    <col min="13057" max="13057" width="0" style="158" hidden="1" customWidth="1"/>
    <col min="13058" max="13058" width="30.6640625" style="158" customWidth="1"/>
    <col min="13059" max="13312" width="9.1328125" style="158"/>
    <col min="13313" max="13313" width="0" style="158" hidden="1" customWidth="1"/>
    <col min="13314" max="13314" width="30.6640625" style="158" customWidth="1"/>
    <col min="13315" max="13568" width="9.1328125" style="158"/>
    <col min="13569" max="13569" width="0" style="158" hidden="1" customWidth="1"/>
    <col min="13570" max="13570" width="30.6640625" style="158" customWidth="1"/>
    <col min="13571" max="13824" width="9.1328125" style="158"/>
    <col min="13825" max="13825" width="0" style="158" hidden="1" customWidth="1"/>
    <col min="13826" max="13826" width="30.6640625" style="158" customWidth="1"/>
    <col min="13827" max="14080" width="9.1328125" style="158"/>
    <col min="14081" max="14081" width="0" style="158" hidden="1" customWidth="1"/>
    <col min="14082" max="14082" width="30.6640625" style="158" customWidth="1"/>
    <col min="14083" max="14336" width="9.1328125" style="158"/>
    <col min="14337" max="14337" width="0" style="158" hidden="1" customWidth="1"/>
    <col min="14338" max="14338" width="30.6640625" style="158" customWidth="1"/>
    <col min="14339" max="14592" width="9.1328125" style="158"/>
    <col min="14593" max="14593" width="0" style="158" hidden="1" customWidth="1"/>
    <col min="14594" max="14594" width="30.6640625" style="158" customWidth="1"/>
    <col min="14595" max="14848" width="9.1328125" style="158"/>
    <col min="14849" max="14849" width="0" style="158" hidden="1" customWidth="1"/>
    <col min="14850" max="14850" width="30.6640625" style="158" customWidth="1"/>
    <col min="14851" max="15104" width="9.1328125" style="158"/>
    <col min="15105" max="15105" width="0" style="158" hidden="1" customWidth="1"/>
    <col min="15106" max="15106" width="30.6640625" style="158" customWidth="1"/>
    <col min="15107" max="15360" width="9.1328125" style="158"/>
    <col min="15361" max="15361" width="0" style="158" hidden="1" customWidth="1"/>
    <col min="15362" max="15362" width="30.6640625" style="158" customWidth="1"/>
    <col min="15363" max="15616" width="9.1328125" style="158"/>
    <col min="15617" max="15617" width="0" style="158" hidden="1" customWidth="1"/>
    <col min="15618" max="15618" width="30.6640625" style="158" customWidth="1"/>
    <col min="15619" max="15872" width="9.1328125" style="158"/>
    <col min="15873" max="15873" width="0" style="158" hidden="1" customWidth="1"/>
    <col min="15874" max="15874" width="30.6640625" style="158" customWidth="1"/>
    <col min="15875" max="16128" width="9.1328125" style="158"/>
    <col min="16129" max="16129" width="0" style="158" hidden="1" customWidth="1"/>
    <col min="16130" max="16130" width="30.6640625" style="158" customWidth="1"/>
    <col min="16131" max="16384" width="9.1328125" style="158"/>
  </cols>
  <sheetData>
    <row r="1" spans="2:18" ht="12.75" customHeight="1"/>
    <row r="2" spans="2:18" s="61" customFormat="1" ht="21" customHeight="1">
      <c r="B2" s="3182"/>
      <c r="C2" s="3183" t="s">
        <v>1248</v>
      </c>
      <c r="D2" s="3183"/>
      <c r="E2" s="3183"/>
      <c r="F2" s="3183"/>
      <c r="G2" s="3183"/>
      <c r="H2" s="3183"/>
      <c r="I2" s="3183"/>
      <c r="J2" s="3183"/>
      <c r="K2" s="3183"/>
      <c r="L2" s="3183"/>
      <c r="M2" s="3183"/>
      <c r="N2" s="2102"/>
      <c r="O2" s="2102"/>
      <c r="P2" s="2102"/>
      <c r="Q2" s="2102"/>
      <c r="R2" s="2102"/>
    </row>
    <row r="3" spans="2:18" s="61" customFormat="1" ht="21" customHeight="1">
      <c r="B3" s="3182"/>
      <c r="C3" s="3183"/>
      <c r="D3" s="3183"/>
      <c r="E3" s="3183"/>
      <c r="F3" s="3183"/>
      <c r="G3" s="3183"/>
      <c r="H3" s="3183"/>
      <c r="I3" s="3183"/>
      <c r="J3" s="3183"/>
      <c r="K3" s="3183"/>
      <c r="L3" s="3183"/>
      <c r="M3" s="3183"/>
      <c r="N3" s="2102"/>
      <c r="O3" s="2102"/>
      <c r="P3" s="2102"/>
      <c r="Q3" s="2102"/>
      <c r="R3" s="2102"/>
    </row>
    <row r="4" spans="2:18" ht="21" customHeight="1">
      <c r="B4" s="62"/>
    </row>
    <row r="5" spans="2:18" ht="21" customHeight="1">
      <c r="B5" s="62" t="s">
        <v>1</v>
      </c>
    </row>
    <row r="6" spans="2:18" ht="21" customHeight="1">
      <c r="B6" s="397" t="s">
        <v>452</v>
      </c>
    </row>
    <row r="7" spans="2:18" ht="21" customHeight="1">
      <c r="B7" s="62" t="s">
        <v>239</v>
      </c>
    </row>
    <row r="8" spans="2:18" ht="21" customHeight="1">
      <c r="B8" s="62" t="s">
        <v>1263</v>
      </c>
    </row>
    <row r="9" spans="2:18" ht="21" customHeight="1">
      <c r="B9" s="62" t="s">
        <v>557</v>
      </c>
    </row>
    <row r="10" spans="2:18" ht="21" customHeight="1">
      <c r="B10" s="62" t="s">
        <v>238</v>
      </c>
    </row>
    <row r="11" spans="2:18" ht="21" customHeight="1">
      <c r="B11" s="62" t="s">
        <v>1652</v>
      </c>
    </row>
    <row r="12" spans="2:18" ht="21" customHeight="1">
      <c r="B12" s="62" t="s">
        <v>1653</v>
      </c>
    </row>
    <row r="13" spans="2:18" ht="21" customHeight="1">
      <c r="B13" s="62" t="s">
        <v>40</v>
      </c>
    </row>
    <row r="14" spans="2:18" ht="21" customHeight="1">
      <c r="B14" s="62" t="s">
        <v>238</v>
      </c>
    </row>
    <row r="15" spans="2:18" ht="21" customHeight="1">
      <c r="B15" s="62" t="s">
        <v>39</v>
      </c>
    </row>
    <row r="16" spans="2:18" ht="21" customHeight="1">
      <c r="B16" s="62" t="s">
        <v>38</v>
      </c>
    </row>
    <row r="17" spans="2:5" ht="21" customHeight="1">
      <c r="B17" s="63"/>
    </row>
    <row r="18" spans="2:5" ht="21" customHeight="1">
      <c r="B18" s="62"/>
    </row>
    <row r="19" spans="2:5" ht="21" customHeight="1">
      <c r="B19" s="62"/>
      <c r="E19" s="375"/>
    </row>
    <row r="20" spans="2:5" ht="21" customHeight="1">
      <c r="B20" s="62"/>
    </row>
    <row r="21" spans="2:5" ht="21" customHeight="1">
      <c r="B21" s="62"/>
    </row>
    <row r="22" spans="2:5" ht="21" customHeight="1">
      <c r="B22" s="62"/>
    </row>
    <row r="23" spans="2:5" ht="21" customHeight="1">
      <c r="B23" s="62"/>
    </row>
    <row r="24" spans="2:5" ht="21" customHeight="1">
      <c r="B24" s="62"/>
    </row>
    <row r="25" spans="2:5" ht="21" customHeight="1">
      <c r="B25" s="62"/>
    </row>
    <row r="26" spans="2:5" ht="21" customHeight="1">
      <c r="B26" s="62"/>
    </row>
    <row r="27" spans="2:5" ht="21" customHeight="1">
      <c r="B27" s="62"/>
    </row>
    <row r="28" spans="2:5" ht="21" customHeight="1">
      <c r="B28" s="62"/>
    </row>
    <row r="29" spans="2:5" ht="21" customHeight="1">
      <c r="B29" s="62"/>
    </row>
    <row r="30" spans="2:5" ht="21" customHeight="1">
      <c r="B30" s="62"/>
    </row>
    <row r="31" spans="2:5" ht="21" customHeight="1">
      <c r="B31" s="62"/>
    </row>
    <row r="32" spans="2:5" ht="21" customHeight="1">
      <c r="B32" s="62"/>
    </row>
    <row r="33" spans="2:2" ht="21" customHeight="1">
      <c r="B33" s="62"/>
    </row>
    <row r="34" spans="2:2" ht="21" customHeight="1">
      <c r="B34" s="62"/>
    </row>
    <row r="35" spans="2:2" ht="21" customHeight="1"/>
    <row r="36" spans="2:2" ht="21" customHeight="1"/>
    <row r="37" spans="2:2" ht="21" customHeight="1"/>
    <row r="38" spans="2:2" ht="21" customHeight="1"/>
    <row r="39" spans="2:2" ht="21" customHeight="1"/>
    <row r="40" spans="2:2" ht="21" customHeight="1"/>
    <row r="41" spans="2:2" ht="21" customHeight="1"/>
    <row r="42" spans="2:2" ht="21" customHeight="1"/>
    <row r="43" spans="2:2" ht="21" customHeight="1"/>
    <row r="44" spans="2:2" ht="21" customHeight="1"/>
    <row r="45" spans="2:2" ht="21" customHeight="1"/>
    <row r="46" spans="2:2" ht="21" customHeight="1"/>
    <row r="47" spans="2:2" ht="21" customHeight="1"/>
    <row r="48" spans="2:2" ht="21" customHeight="1"/>
    <row r="49" ht="21" customHeight="1"/>
    <row r="50" ht="21" customHeight="1"/>
    <row r="51" ht="21" customHeight="1"/>
    <row r="52" ht="21" customHeight="1"/>
    <row r="53" ht="21" customHeight="1"/>
    <row r="54" ht="21" customHeight="1"/>
    <row r="55" ht="21" customHeight="1"/>
    <row r="56" ht="21" customHeight="1"/>
    <row r="57" ht="21" customHeight="1"/>
  </sheetData>
  <mergeCells count="2">
    <mergeCell ref="B2:B3"/>
    <mergeCell ref="C2:M3"/>
  </mergeCells>
  <hyperlinks>
    <hyperlink ref="B5" location="'Documents Manager'!A1" display="DOCUMENTS MANAGER" xr:uid="{00000000-0004-0000-0000-000000000000}"/>
    <hyperlink ref="B11" location="'Guidelines - Definitions'!A1" display="GUIDELINES" xr:uid="{00000000-0004-0000-0000-000001000000}"/>
    <hyperlink ref="B16" location="Disclaimer!A1" display="Disclaimer" xr:uid="{00000000-0004-0000-0000-000002000000}"/>
    <hyperlink ref="B15" location="Help!A1" display="Help" xr:uid="{00000000-0004-0000-0000-000003000000}"/>
    <hyperlink ref="B13" location="'Source - Links'!A1" display="SOURCE / LINKS" xr:uid="{00000000-0004-0000-0000-000004000000}"/>
    <hyperlink ref="B6" location="'ASTM Table Series'!A1" display="ASTM TABLES" xr:uid="{00000000-0004-0000-0000-000005000000}"/>
    <hyperlink ref="B7" location="'ASTM Converter (Tab.1)'!A1" display="ASTM - CONVERTERS" xr:uid="{00000000-0004-0000-0000-000006000000}"/>
    <hyperlink ref="B9" location="'Initial&amp;Max. Loading Rate'!A1" display="CARGO - CALCULATORS" xr:uid="{8EB3A2A7-4F46-415E-94C3-988A6C172150}"/>
    <hyperlink ref="B8" location="'ASTM Calculator V.W.'!A1" display="ASTM - CALCULATORS" xr:uid="{1BDC083B-11D4-4900-8B86-0CB2155B1B4D}"/>
    <hyperlink ref="B12" location="'Guidelines - Bottom Lines'!A1" display="GUIDELINES - CARGO" xr:uid="{B201C2E7-710C-4CE6-833D-FC1D624FD1E3}"/>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dimension ref="A1:N30"/>
  <sheetViews>
    <sheetView showGridLines="0" showRowColHeaders="0" topLeftCell="B1" workbookViewId="0">
      <selection activeCell="I14" sqref="I14"/>
    </sheetView>
  </sheetViews>
  <sheetFormatPr defaultColWidth="9.1328125" defaultRowHeight="12.75"/>
  <cols>
    <col min="1" max="1" width="0" style="65" hidden="1" customWidth="1"/>
    <col min="2" max="2" width="36.6640625" style="63" customWidth="1"/>
    <col min="3" max="3" width="2.6640625" style="66" customWidth="1"/>
    <col min="4" max="4" width="3.6640625" style="66" customWidth="1"/>
    <col min="5" max="5" width="44.796875" style="66" customWidth="1"/>
    <col min="6" max="6" width="2.33203125" style="66" customWidth="1"/>
    <col min="7" max="7" width="46.53125" style="66" bestFit="1" customWidth="1"/>
    <col min="8" max="8" width="2.33203125" style="66" customWidth="1"/>
    <col min="9" max="9" width="44.796875" style="66" customWidth="1"/>
    <col min="10" max="10" width="2.33203125" style="66" customWidth="1"/>
    <col min="11" max="11" width="44.796875" style="66" customWidth="1"/>
    <col min="12" max="12" width="3.6640625" style="66" customWidth="1"/>
    <col min="13" max="13" width="44.796875" style="66" customWidth="1"/>
    <col min="14" max="14" width="3.6640625" style="66" customWidth="1"/>
    <col min="15" max="258" width="9.1328125" style="66"/>
    <col min="259" max="259" width="0" style="66" hidden="1" customWidth="1"/>
    <col min="260" max="260" width="33.6640625" style="66" customWidth="1"/>
    <col min="261" max="261" width="2.6640625" style="66" customWidth="1"/>
    <col min="262" max="262" width="3.6640625" style="66" customWidth="1"/>
    <col min="263" max="263" width="55.6640625" style="66" customWidth="1"/>
    <col min="264" max="264" width="3.6640625" style="66" customWidth="1"/>
    <col min="265" max="265" width="55.6640625" style="66" customWidth="1"/>
    <col min="266" max="266" width="3.6640625" style="66" customWidth="1"/>
    <col min="267" max="514" width="9.1328125" style="66"/>
    <col min="515" max="515" width="0" style="66" hidden="1" customWidth="1"/>
    <col min="516" max="516" width="33.6640625" style="66" customWidth="1"/>
    <col min="517" max="517" width="2.6640625" style="66" customWidth="1"/>
    <col min="518" max="518" width="3.6640625" style="66" customWidth="1"/>
    <col min="519" max="519" width="55.6640625" style="66" customWidth="1"/>
    <col min="520" max="520" width="3.6640625" style="66" customWidth="1"/>
    <col min="521" max="521" width="55.6640625" style="66" customWidth="1"/>
    <col min="522" max="522" width="3.6640625" style="66" customWidth="1"/>
    <col min="523" max="770" width="9.1328125" style="66"/>
    <col min="771" max="771" width="0" style="66" hidden="1" customWidth="1"/>
    <col min="772" max="772" width="33.6640625" style="66" customWidth="1"/>
    <col min="773" max="773" width="2.6640625" style="66" customWidth="1"/>
    <col min="774" max="774" width="3.6640625" style="66" customWidth="1"/>
    <col min="775" max="775" width="55.6640625" style="66" customWidth="1"/>
    <col min="776" max="776" width="3.6640625" style="66" customWidth="1"/>
    <col min="777" max="777" width="55.6640625" style="66" customWidth="1"/>
    <col min="778" max="778" width="3.6640625" style="66" customWidth="1"/>
    <col min="779" max="1026" width="9.1328125" style="66"/>
    <col min="1027" max="1027" width="0" style="66" hidden="1" customWidth="1"/>
    <col min="1028" max="1028" width="33.6640625" style="66" customWidth="1"/>
    <col min="1029" max="1029" width="2.6640625" style="66" customWidth="1"/>
    <col min="1030" max="1030" width="3.6640625" style="66" customWidth="1"/>
    <col min="1031" max="1031" width="55.6640625" style="66" customWidth="1"/>
    <col min="1032" max="1032" width="3.6640625" style="66" customWidth="1"/>
    <col min="1033" max="1033" width="55.6640625" style="66" customWidth="1"/>
    <col min="1034" max="1034" width="3.6640625" style="66" customWidth="1"/>
    <col min="1035" max="1282" width="9.1328125" style="66"/>
    <col min="1283" max="1283" width="0" style="66" hidden="1" customWidth="1"/>
    <col min="1284" max="1284" width="33.6640625" style="66" customWidth="1"/>
    <col min="1285" max="1285" width="2.6640625" style="66" customWidth="1"/>
    <col min="1286" max="1286" width="3.6640625" style="66" customWidth="1"/>
    <col min="1287" max="1287" width="55.6640625" style="66" customWidth="1"/>
    <col min="1288" max="1288" width="3.6640625" style="66" customWidth="1"/>
    <col min="1289" max="1289" width="55.6640625" style="66" customWidth="1"/>
    <col min="1290" max="1290" width="3.6640625" style="66" customWidth="1"/>
    <col min="1291" max="1538" width="9.1328125" style="66"/>
    <col min="1539" max="1539" width="0" style="66" hidden="1" customWidth="1"/>
    <col min="1540" max="1540" width="33.6640625" style="66" customWidth="1"/>
    <col min="1541" max="1541" width="2.6640625" style="66" customWidth="1"/>
    <col min="1542" max="1542" width="3.6640625" style="66" customWidth="1"/>
    <col min="1543" max="1543" width="55.6640625" style="66" customWidth="1"/>
    <col min="1544" max="1544" width="3.6640625" style="66" customWidth="1"/>
    <col min="1545" max="1545" width="55.6640625" style="66" customWidth="1"/>
    <col min="1546" max="1546" width="3.6640625" style="66" customWidth="1"/>
    <col min="1547" max="1794" width="9.1328125" style="66"/>
    <col min="1795" max="1795" width="0" style="66" hidden="1" customWidth="1"/>
    <col min="1796" max="1796" width="33.6640625" style="66" customWidth="1"/>
    <col min="1797" max="1797" width="2.6640625" style="66" customWidth="1"/>
    <col min="1798" max="1798" width="3.6640625" style="66" customWidth="1"/>
    <col min="1799" max="1799" width="55.6640625" style="66" customWidth="1"/>
    <col min="1800" max="1800" width="3.6640625" style="66" customWidth="1"/>
    <col min="1801" max="1801" width="55.6640625" style="66" customWidth="1"/>
    <col min="1802" max="1802" width="3.6640625" style="66" customWidth="1"/>
    <col min="1803" max="2050" width="9.1328125" style="66"/>
    <col min="2051" max="2051" width="0" style="66" hidden="1" customWidth="1"/>
    <col min="2052" max="2052" width="33.6640625" style="66" customWidth="1"/>
    <col min="2053" max="2053" width="2.6640625" style="66" customWidth="1"/>
    <col min="2054" max="2054" width="3.6640625" style="66" customWidth="1"/>
    <col min="2055" max="2055" width="55.6640625" style="66" customWidth="1"/>
    <col min="2056" max="2056" width="3.6640625" style="66" customWidth="1"/>
    <col min="2057" max="2057" width="55.6640625" style="66" customWidth="1"/>
    <col min="2058" max="2058" width="3.6640625" style="66" customWidth="1"/>
    <col min="2059" max="2306" width="9.1328125" style="66"/>
    <col min="2307" max="2307" width="0" style="66" hidden="1" customWidth="1"/>
    <col min="2308" max="2308" width="33.6640625" style="66" customWidth="1"/>
    <col min="2309" max="2309" width="2.6640625" style="66" customWidth="1"/>
    <col min="2310" max="2310" width="3.6640625" style="66" customWidth="1"/>
    <col min="2311" max="2311" width="55.6640625" style="66" customWidth="1"/>
    <col min="2312" max="2312" width="3.6640625" style="66" customWidth="1"/>
    <col min="2313" max="2313" width="55.6640625" style="66" customWidth="1"/>
    <col min="2314" max="2314" width="3.6640625" style="66" customWidth="1"/>
    <col min="2315" max="2562" width="9.1328125" style="66"/>
    <col min="2563" max="2563" width="0" style="66" hidden="1" customWidth="1"/>
    <col min="2564" max="2564" width="33.6640625" style="66" customWidth="1"/>
    <col min="2565" max="2565" width="2.6640625" style="66" customWidth="1"/>
    <col min="2566" max="2566" width="3.6640625" style="66" customWidth="1"/>
    <col min="2567" max="2567" width="55.6640625" style="66" customWidth="1"/>
    <col min="2568" max="2568" width="3.6640625" style="66" customWidth="1"/>
    <col min="2569" max="2569" width="55.6640625" style="66" customWidth="1"/>
    <col min="2570" max="2570" width="3.6640625" style="66" customWidth="1"/>
    <col min="2571" max="2818" width="9.1328125" style="66"/>
    <col min="2819" max="2819" width="0" style="66" hidden="1" customWidth="1"/>
    <col min="2820" max="2820" width="33.6640625" style="66" customWidth="1"/>
    <col min="2821" max="2821" width="2.6640625" style="66" customWidth="1"/>
    <col min="2822" max="2822" width="3.6640625" style="66" customWidth="1"/>
    <col min="2823" max="2823" width="55.6640625" style="66" customWidth="1"/>
    <col min="2824" max="2824" width="3.6640625" style="66" customWidth="1"/>
    <col min="2825" max="2825" width="55.6640625" style="66" customWidth="1"/>
    <col min="2826" max="2826" width="3.6640625" style="66" customWidth="1"/>
    <col min="2827" max="3074" width="9.1328125" style="66"/>
    <col min="3075" max="3075" width="0" style="66" hidden="1" customWidth="1"/>
    <col min="3076" max="3076" width="33.6640625" style="66" customWidth="1"/>
    <col min="3077" max="3077" width="2.6640625" style="66" customWidth="1"/>
    <col min="3078" max="3078" width="3.6640625" style="66" customWidth="1"/>
    <col min="3079" max="3079" width="55.6640625" style="66" customWidth="1"/>
    <col min="3080" max="3080" width="3.6640625" style="66" customWidth="1"/>
    <col min="3081" max="3081" width="55.6640625" style="66" customWidth="1"/>
    <col min="3082" max="3082" width="3.6640625" style="66" customWidth="1"/>
    <col min="3083" max="3330" width="9.1328125" style="66"/>
    <col min="3331" max="3331" width="0" style="66" hidden="1" customWidth="1"/>
    <col min="3332" max="3332" width="33.6640625" style="66" customWidth="1"/>
    <col min="3333" max="3333" width="2.6640625" style="66" customWidth="1"/>
    <col min="3334" max="3334" width="3.6640625" style="66" customWidth="1"/>
    <col min="3335" max="3335" width="55.6640625" style="66" customWidth="1"/>
    <col min="3336" max="3336" width="3.6640625" style="66" customWidth="1"/>
    <col min="3337" max="3337" width="55.6640625" style="66" customWidth="1"/>
    <col min="3338" max="3338" width="3.6640625" style="66" customWidth="1"/>
    <col min="3339" max="3586" width="9.1328125" style="66"/>
    <col min="3587" max="3587" width="0" style="66" hidden="1" customWidth="1"/>
    <col min="3588" max="3588" width="33.6640625" style="66" customWidth="1"/>
    <col min="3589" max="3589" width="2.6640625" style="66" customWidth="1"/>
    <col min="3590" max="3590" width="3.6640625" style="66" customWidth="1"/>
    <col min="3591" max="3591" width="55.6640625" style="66" customWidth="1"/>
    <col min="3592" max="3592" width="3.6640625" style="66" customWidth="1"/>
    <col min="3593" max="3593" width="55.6640625" style="66" customWidth="1"/>
    <col min="3594" max="3594" width="3.6640625" style="66" customWidth="1"/>
    <col min="3595" max="3842" width="9.1328125" style="66"/>
    <col min="3843" max="3843" width="0" style="66" hidden="1" customWidth="1"/>
    <col min="3844" max="3844" width="33.6640625" style="66" customWidth="1"/>
    <col min="3845" max="3845" width="2.6640625" style="66" customWidth="1"/>
    <col min="3846" max="3846" width="3.6640625" style="66" customWidth="1"/>
    <col min="3847" max="3847" width="55.6640625" style="66" customWidth="1"/>
    <col min="3848" max="3848" width="3.6640625" style="66" customWidth="1"/>
    <col min="3849" max="3849" width="55.6640625" style="66" customWidth="1"/>
    <col min="3850" max="3850" width="3.6640625" style="66" customWidth="1"/>
    <col min="3851" max="4098" width="9.1328125" style="66"/>
    <col min="4099" max="4099" width="0" style="66" hidden="1" customWidth="1"/>
    <col min="4100" max="4100" width="33.6640625" style="66" customWidth="1"/>
    <col min="4101" max="4101" width="2.6640625" style="66" customWidth="1"/>
    <col min="4102" max="4102" width="3.6640625" style="66" customWidth="1"/>
    <col min="4103" max="4103" width="55.6640625" style="66" customWidth="1"/>
    <col min="4104" max="4104" width="3.6640625" style="66" customWidth="1"/>
    <col min="4105" max="4105" width="55.6640625" style="66" customWidth="1"/>
    <col min="4106" max="4106" width="3.6640625" style="66" customWidth="1"/>
    <col min="4107" max="4354" width="9.1328125" style="66"/>
    <col min="4355" max="4355" width="0" style="66" hidden="1" customWidth="1"/>
    <col min="4356" max="4356" width="33.6640625" style="66" customWidth="1"/>
    <col min="4357" max="4357" width="2.6640625" style="66" customWidth="1"/>
    <col min="4358" max="4358" width="3.6640625" style="66" customWidth="1"/>
    <col min="4359" max="4359" width="55.6640625" style="66" customWidth="1"/>
    <col min="4360" max="4360" width="3.6640625" style="66" customWidth="1"/>
    <col min="4361" max="4361" width="55.6640625" style="66" customWidth="1"/>
    <col min="4362" max="4362" width="3.6640625" style="66" customWidth="1"/>
    <col min="4363" max="4610" width="9.1328125" style="66"/>
    <col min="4611" max="4611" width="0" style="66" hidden="1" customWidth="1"/>
    <col min="4612" max="4612" width="33.6640625" style="66" customWidth="1"/>
    <col min="4613" max="4613" width="2.6640625" style="66" customWidth="1"/>
    <col min="4614" max="4614" width="3.6640625" style="66" customWidth="1"/>
    <col min="4615" max="4615" width="55.6640625" style="66" customWidth="1"/>
    <col min="4616" max="4616" width="3.6640625" style="66" customWidth="1"/>
    <col min="4617" max="4617" width="55.6640625" style="66" customWidth="1"/>
    <col min="4618" max="4618" width="3.6640625" style="66" customWidth="1"/>
    <col min="4619" max="4866" width="9.1328125" style="66"/>
    <col min="4867" max="4867" width="0" style="66" hidden="1" customWidth="1"/>
    <col min="4868" max="4868" width="33.6640625" style="66" customWidth="1"/>
    <col min="4869" max="4869" width="2.6640625" style="66" customWidth="1"/>
    <col min="4870" max="4870" width="3.6640625" style="66" customWidth="1"/>
    <col min="4871" max="4871" width="55.6640625" style="66" customWidth="1"/>
    <col min="4872" max="4872" width="3.6640625" style="66" customWidth="1"/>
    <col min="4873" max="4873" width="55.6640625" style="66" customWidth="1"/>
    <col min="4874" max="4874" width="3.6640625" style="66" customWidth="1"/>
    <col min="4875" max="5122" width="9.1328125" style="66"/>
    <col min="5123" max="5123" width="0" style="66" hidden="1" customWidth="1"/>
    <col min="5124" max="5124" width="33.6640625" style="66" customWidth="1"/>
    <col min="5125" max="5125" width="2.6640625" style="66" customWidth="1"/>
    <col min="5126" max="5126" width="3.6640625" style="66" customWidth="1"/>
    <col min="5127" max="5127" width="55.6640625" style="66" customWidth="1"/>
    <col min="5128" max="5128" width="3.6640625" style="66" customWidth="1"/>
    <col min="5129" max="5129" width="55.6640625" style="66" customWidth="1"/>
    <col min="5130" max="5130" width="3.6640625" style="66" customWidth="1"/>
    <col min="5131" max="5378" width="9.1328125" style="66"/>
    <col min="5379" max="5379" width="0" style="66" hidden="1" customWidth="1"/>
    <col min="5380" max="5380" width="33.6640625" style="66" customWidth="1"/>
    <col min="5381" max="5381" width="2.6640625" style="66" customWidth="1"/>
    <col min="5382" max="5382" width="3.6640625" style="66" customWidth="1"/>
    <col min="5383" max="5383" width="55.6640625" style="66" customWidth="1"/>
    <col min="5384" max="5384" width="3.6640625" style="66" customWidth="1"/>
    <col min="5385" max="5385" width="55.6640625" style="66" customWidth="1"/>
    <col min="5386" max="5386" width="3.6640625" style="66" customWidth="1"/>
    <col min="5387" max="5634" width="9.1328125" style="66"/>
    <col min="5635" max="5635" width="0" style="66" hidden="1" customWidth="1"/>
    <col min="5636" max="5636" width="33.6640625" style="66" customWidth="1"/>
    <col min="5637" max="5637" width="2.6640625" style="66" customWidth="1"/>
    <col min="5638" max="5638" width="3.6640625" style="66" customWidth="1"/>
    <col min="5639" max="5639" width="55.6640625" style="66" customWidth="1"/>
    <col min="5640" max="5640" width="3.6640625" style="66" customWidth="1"/>
    <col min="5641" max="5641" width="55.6640625" style="66" customWidth="1"/>
    <col min="5642" max="5642" width="3.6640625" style="66" customWidth="1"/>
    <col min="5643" max="5890" width="9.1328125" style="66"/>
    <col min="5891" max="5891" width="0" style="66" hidden="1" customWidth="1"/>
    <col min="5892" max="5892" width="33.6640625" style="66" customWidth="1"/>
    <col min="5893" max="5893" width="2.6640625" style="66" customWidth="1"/>
    <col min="5894" max="5894" width="3.6640625" style="66" customWidth="1"/>
    <col min="5895" max="5895" width="55.6640625" style="66" customWidth="1"/>
    <col min="5896" max="5896" width="3.6640625" style="66" customWidth="1"/>
    <col min="5897" max="5897" width="55.6640625" style="66" customWidth="1"/>
    <col min="5898" max="5898" width="3.6640625" style="66" customWidth="1"/>
    <col min="5899" max="6146" width="9.1328125" style="66"/>
    <col min="6147" max="6147" width="0" style="66" hidden="1" customWidth="1"/>
    <col min="6148" max="6148" width="33.6640625" style="66" customWidth="1"/>
    <col min="6149" max="6149" width="2.6640625" style="66" customWidth="1"/>
    <col min="6150" max="6150" width="3.6640625" style="66" customWidth="1"/>
    <col min="6151" max="6151" width="55.6640625" style="66" customWidth="1"/>
    <col min="6152" max="6152" width="3.6640625" style="66" customWidth="1"/>
    <col min="6153" max="6153" width="55.6640625" style="66" customWidth="1"/>
    <col min="6154" max="6154" width="3.6640625" style="66" customWidth="1"/>
    <col min="6155" max="6402" width="9.1328125" style="66"/>
    <col min="6403" max="6403" width="0" style="66" hidden="1" customWidth="1"/>
    <col min="6404" max="6404" width="33.6640625" style="66" customWidth="1"/>
    <col min="6405" max="6405" width="2.6640625" style="66" customWidth="1"/>
    <col min="6406" max="6406" width="3.6640625" style="66" customWidth="1"/>
    <col min="6407" max="6407" width="55.6640625" style="66" customWidth="1"/>
    <col min="6408" max="6408" width="3.6640625" style="66" customWidth="1"/>
    <col min="6409" max="6409" width="55.6640625" style="66" customWidth="1"/>
    <col min="6410" max="6410" width="3.6640625" style="66" customWidth="1"/>
    <col min="6411" max="6658" width="9.1328125" style="66"/>
    <col min="6659" max="6659" width="0" style="66" hidden="1" customWidth="1"/>
    <col min="6660" max="6660" width="33.6640625" style="66" customWidth="1"/>
    <col min="6661" max="6661" width="2.6640625" style="66" customWidth="1"/>
    <col min="6662" max="6662" width="3.6640625" style="66" customWidth="1"/>
    <col min="6663" max="6663" width="55.6640625" style="66" customWidth="1"/>
    <col min="6664" max="6664" width="3.6640625" style="66" customWidth="1"/>
    <col min="6665" max="6665" width="55.6640625" style="66" customWidth="1"/>
    <col min="6666" max="6666" width="3.6640625" style="66" customWidth="1"/>
    <col min="6667" max="6914" width="9.1328125" style="66"/>
    <col min="6915" max="6915" width="0" style="66" hidden="1" customWidth="1"/>
    <col min="6916" max="6916" width="33.6640625" style="66" customWidth="1"/>
    <col min="6917" max="6917" width="2.6640625" style="66" customWidth="1"/>
    <col min="6918" max="6918" width="3.6640625" style="66" customWidth="1"/>
    <col min="6919" max="6919" width="55.6640625" style="66" customWidth="1"/>
    <col min="6920" max="6920" width="3.6640625" style="66" customWidth="1"/>
    <col min="6921" max="6921" width="55.6640625" style="66" customWidth="1"/>
    <col min="6922" max="6922" width="3.6640625" style="66" customWidth="1"/>
    <col min="6923" max="7170" width="9.1328125" style="66"/>
    <col min="7171" max="7171" width="0" style="66" hidden="1" customWidth="1"/>
    <col min="7172" max="7172" width="33.6640625" style="66" customWidth="1"/>
    <col min="7173" max="7173" width="2.6640625" style="66" customWidth="1"/>
    <col min="7174" max="7174" width="3.6640625" style="66" customWidth="1"/>
    <col min="7175" max="7175" width="55.6640625" style="66" customWidth="1"/>
    <col min="7176" max="7176" width="3.6640625" style="66" customWidth="1"/>
    <col min="7177" max="7177" width="55.6640625" style="66" customWidth="1"/>
    <col min="7178" max="7178" width="3.6640625" style="66" customWidth="1"/>
    <col min="7179" max="7426" width="9.1328125" style="66"/>
    <col min="7427" max="7427" width="0" style="66" hidden="1" customWidth="1"/>
    <col min="7428" max="7428" width="33.6640625" style="66" customWidth="1"/>
    <col min="7429" max="7429" width="2.6640625" style="66" customWidth="1"/>
    <col min="7430" max="7430" width="3.6640625" style="66" customWidth="1"/>
    <col min="7431" max="7431" width="55.6640625" style="66" customWidth="1"/>
    <col min="7432" max="7432" width="3.6640625" style="66" customWidth="1"/>
    <col min="7433" max="7433" width="55.6640625" style="66" customWidth="1"/>
    <col min="7434" max="7434" width="3.6640625" style="66" customWidth="1"/>
    <col min="7435" max="7682" width="9.1328125" style="66"/>
    <col min="7683" max="7683" width="0" style="66" hidden="1" customWidth="1"/>
    <col min="7684" max="7684" width="33.6640625" style="66" customWidth="1"/>
    <col min="7685" max="7685" width="2.6640625" style="66" customWidth="1"/>
    <col min="7686" max="7686" width="3.6640625" style="66" customWidth="1"/>
    <col min="7687" max="7687" width="55.6640625" style="66" customWidth="1"/>
    <col min="7688" max="7688" width="3.6640625" style="66" customWidth="1"/>
    <col min="7689" max="7689" width="55.6640625" style="66" customWidth="1"/>
    <col min="7690" max="7690" width="3.6640625" style="66" customWidth="1"/>
    <col min="7691" max="7938" width="9.1328125" style="66"/>
    <col min="7939" max="7939" width="0" style="66" hidden="1" customWidth="1"/>
    <col min="7940" max="7940" width="33.6640625" style="66" customWidth="1"/>
    <col min="7941" max="7941" width="2.6640625" style="66" customWidth="1"/>
    <col min="7942" max="7942" width="3.6640625" style="66" customWidth="1"/>
    <col min="7943" max="7943" width="55.6640625" style="66" customWidth="1"/>
    <col min="7944" max="7944" width="3.6640625" style="66" customWidth="1"/>
    <col min="7945" max="7945" width="55.6640625" style="66" customWidth="1"/>
    <col min="7946" max="7946" width="3.6640625" style="66" customWidth="1"/>
    <col min="7947" max="8194" width="9.1328125" style="66"/>
    <col min="8195" max="8195" width="0" style="66" hidden="1" customWidth="1"/>
    <col min="8196" max="8196" width="33.6640625" style="66" customWidth="1"/>
    <col min="8197" max="8197" width="2.6640625" style="66" customWidth="1"/>
    <col min="8198" max="8198" width="3.6640625" style="66" customWidth="1"/>
    <col min="8199" max="8199" width="55.6640625" style="66" customWidth="1"/>
    <col min="8200" max="8200" width="3.6640625" style="66" customWidth="1"/>
    <col min="8201" max="8201" width="55.6640625" style="66" customWidth="1"/>
    <col min="8202" max="8202" width="3.6640625" style="66" customWidth="1"/>
    <col min="8203" max="8450" width="9.1328125" style="66"/>
    <col min="8451" max="8451" width="0" style="66" hidden="1" customWidth="1"/>
    <col min="8452" max="8452" width="33.6640625" style="66" customWidth="1"/>
    <col min="8453" max="8453" width="2.6640625" style="66" customWidth="1"/>
    <col min="8454" max="8454" width="3.6640625" style="66" customWidth="1"/>
    <col min="8455" max="8455" width="55.6640625" style="66" customWidth="1"/>
    <col min="8456" max="8456" width="3.6640625" style="66" customWidth="1"/>
    <col min="8457" max="8457" width="55.6640625" style="66" customWidth="1"/>
    <col min="8458" max="8458" width="3.6640625" style="66" customWidth="1"/>
    <col min="8459" max="8706" width="9.1328125" style="66"/>
    <col min="8707" max="8707" width="0" style="66" hidden="1" customWidth="1"/>
    <col min="8708" max="8708" width="33.6640625" style="66" customWidth="1"/>
    <col min="8709" max="8709" width="2.6640625" style="66" customWidth="1"/>
    <col min="8710" max="8710" width="3.6640625" style="66" customWidth="1"/>
    <col min="8711" max="8711" width="55.6640625" style="66" customWidth="1"/>
    <col min="8712" max="8712" width="3.6640625" style="66" customWidth="1"/>
    <col min="8713" max="8713" width="55.6640625" style="66" customWidth="1"/>
    <col min="8714" max="8714" width="3.6640625" style="66" customWidth="1"/>
    <col min="8715" max="8962" width="9.1328125" style="66"/>
    <col min="8963" max="8963" width="0" style="66" hidden="1" customWidth="1"/>
    <col min="8964" max="8964" width="33.6640625" style="66" customWidth="1"/>
    <col min="8965" max="8965" width="2.6640625" style="66" customWidth="1"/>
    <col min="8966" max="8966" width="3.6640625" style="66" customWidth="1"/>
    <col min="8967" max="8967" width="55.6640625" style="66" customWidth="1"/>
    <col min="8968" max="8968" width="3.6640625" style="66" customWidth="1"/>
    <col min="8969" max="8969" width="55.6640625" style="66" customWidth="1"/>
    <col min="8970" max="8970" width="3.6640625" style="66" customWidth="1"/>
    <col min="8971" max="9218" width="9.1328125" style="66"/>
    <col min="9219" max="9219" width="0" style="66" hidden="1" customWidth="1"/>
    <col min="9220" max="9220" width="33.6640625" style="66" customWidth="1"/>
    <col min="9221" max="9221" width="2.6640625" style="66" customWidth="1"/>
    <col min="9222" max="9222" width="3.6640625" style="66" customWidth="1"/>
    <col min="9223" max="9223" width="55.6640625" style="66" customWidth="1"/>
    <col min="9224" max="9224" width="3.6640625" style="66" customWidth="1"/>
    <col min="9225" max="9225" width="55.6640625" style="66" customWidth="1"/>
    <col min="9226" max="9226" width="3.6640625" style="66" customWidth="1"/>
    <col min="9227" max="9474" width="9.1328125" style="66"/>
    <col min="9475" max="9475" width="0" style="66" hidden="1" customWidth="1"/>
    <col min="9476" max="9476" width="33.6640625" style="66" customWidth="1"/>
    <col min="9477" max="9477" width="2.6640625" style="66" customWidth="1"/>
    <col min="9478" max="9478" width="3.6640625" style="66" customWidth="1"/>
    <col min="9479" max="9479" width="55.6640625" style="66" customWidth="1"/>
    <col min="9480" max="9480" width="3.6640625" style="66" customWidth="1"/>
    <col min="9481" max="9481" width="55.6640625" style="66" customWidth="1"/>
    <col min="9482" max="9482" width="3.6640625" style="66" customWidth="1"/>
    <col min="9483" max="9730" width="9.1328125" style="66"/>
    <col min="9731" max="9731" width="0" style="66" hidden="1" customWidth="1"/>
    <col min="9732" max="9732" width="33.6640625" style="66" customWidth="1"/>
    <col min="9733" max="9733" width="2.6640625" style="66" customWidth="1"/>
    <col min="9734" max="9734" width="3.6640625" style="66" customWidth="1"/>
    <col min="9735" max="9735" width="55.6640625" style="66" customWidth="1"/>
    <col min="9736" max="9736" width="3.6640625" style="66" customWidth="1"/>
    <col min="9737" max="9737" width="55.6640625" style="66" customWidth="1"/>
    <col min="9738" max="9738" width="3.6640625" style="66" customWidth="1"/>
    <col min="9739" max="9986" width="9.1328125" style="66"/>
    <col min="9987" max="9987" width="0" style="66" hidden="1" customWidth="1"/>
    <col min="9988" max="9988" width="33.6640625" style="66" customWidth="1"/>
    <col min="9989" max="9989" width="2.6640625" style="66" customWidth="1"/>
    <col min="9990" max="9990" width="3.6640625" style="66" customWidth="1"/>
    <col min="9991" max="9991" width="55.6640625" style="66" customWidth="1"/>
    <col min="9992" max="9992" width="3.6640625" style="66" customWidth="1"/>
    <col min="9993" max="9993" width="55.6640625" style="66" customWidth="1"/>
    <col min="9994" max="9994" width="3.6640625" style="66" customWidth="1"/>
    <col min="9995" max="10242" width="9.1328125" style="66"/>
    <col min="10243" max="10243" width="0" style="66" hidden="1" customWidth="1"/>
    <col min="10244" max="10244" width="33.6640625" style="66" customWidth="1"/>
    <col min="10245" max="10245" width="2.6640625" style="66" customWidth="1"/>
    <col min="10246" max="10246" width="3.6640625" style="66" customWidth="1"/>
    <col min="10247" max="10247" width="55.6640625" style="66" customWidth="1"/>
    <col min="10248" max="10248" width="3.6640625" style="66" customWidth="1"/>
    <col min="10249" max="10249" width="55.6640625" style="66" customWidth="1"/>
    <col min="10250" max="10250" width="3.6640625" style="66" customWidth="1"/>
    <col min="10251" max="10498" width="9.1328125" style="66"/>
    <col min="10499" max="10499" width="0" style="66" hidden="1" customWidth="1"/>
    <col min="10500" max="10500" width="33.6640625" style="66" customWidth="1"/>
    <col min="10501" max="10501" width="2.6640625" style="66" customWidth="1"/>
    <col min="10502" max="10502" width="3.6640625" style="66" customWidth="1"/>
    <col min="10503" max="10503" width="55.6640625" style="66" customWidth="1"/>
    <col min="10504" max="10504" width="3.6640625" style="66" customWidth="1"/>
    <col min="10505" max="10505" width="55.6640625" style="66" customWidth="1"/>
    <col min="10506" max="10506" width="3.6640625" style="66" customWidth="1"/>
    <col min="10507" max="10754" width="9.1328125" style="66"/>
    <col min="10755" max="10755" width="0" style="66" hidden="1" customWidth="1"/>
    <col min="10756" max="10756" width="33.6640625" style="66" customWidth="1"/>
    <col min="10757" max="10757" width="2.6640625" style="66" customWidth="1"/>
    <col min="10758" max="10758" width="3.6640625" style="66" customWidth="1"/>
    <col min="10759" max="10759" width="55.6640625" style="66" customWidth="1"/>
    <col min="10760" max="10760" width="3.6640625" style="66" customWidth="1"/>
    <col min="10761" max="10761" width="55.6640625" style="66" customWidth="1"/>
    <col min="10762" max="10762" width="3.6640625" style="66" customWidth="1"/>
    <col min="10763" max="11010" width="9.1328125" style="66"/>
    <col min="11011" max="11011" width="0" style="66" hidden="1" customWidth="1"/>
    <col min="11012" max="11012" width="33.6640625" style="66" customWidth="1"/>
    <col min="11013" max="11013" width="2.6640625" style="66" customWidth="1"/>
    <col min="11014" max="11014" width="3.6640625" style="66" customWidth="1"/>
    <col min="11015" max="11015" width="55.6640625" style="66" customWidth="1"/>
    <col min="11016" max="11016" width="3.6640625" style="66" customWidth="1"/>
    <col min="11017" max="11017" width="55.6640625" style="66" customWidth="1"/>
    <col min="11018" max="11018" width="3.6640625" style="66" customWidth="1"/>
    <col min="11019" max="11266" width="9.1328125" style="66"/>
    <col min="11267" max="11267" width="0" style="66" hidden="1" customWidth="1"/>
    <col min="11268" max="11268" width="33.6640625" style="66" customWidth="1"/>
    <col min="11269" max="11269" width="2.6640625" style="66" customWidth="1"/>
    <col min="11270" max="11270" width="3.6640625" style="66" customWidth="1"/>
    <col min="11271" max="11271" width="55.6640625" style="66" customWidth="1"/>
    <col min="11272" max="11272" width="3.6640625" style="66" customWidth="1"/>
    <col min="11273" max="11273" width="55.6640625" style="66" customWidth="1"/>
    <col min="11274" max="11274" width="3.6640625" style="66" customWidth="1"/>
    <col min="11275" max="11522" width="9.1328125" style="66"/>
    <col min="11523" max="11523" width="0" style="66" hidden="1" customWidth="1"/>
    <col min="11524" max="11524" width="33.6640625" style="66" customWidth="1"/>
    <col min="11525" max="11525" width="2.6640625" style="66" customWidth="1"/>
    <col min="11526" max="11526" width="3.6640625" style="66" customWidth="1"/>
    <col min="11527" max="11527" width="55.6640625" style="66" customWidth="1"/>
    <col min="11528" max="11528" width="3.6640625" style="66" customWidth="1"/>
    <col min="11529" max="11529" width="55.6640625" style="66" customWidth="1"/>
    <col min="11530" max="11530" width="3.6640625" style="66" customWidth="1"/>
    <col min="11531" max="11778" width="9.1328125" style="66"/>
    <col min="11779" max="11779" width="0" style="66" hidden="1" customWidth="1"/>
    <col min="11780" max="11780" width="33.6640625" style="66" customWidth="1"/>
    <col min="11781" max="11781" width="2.6640625" style="66" customWidth="1"/>
    <col min="11782" max="11782" width="3.6640625" style="66" customWidth="1"/>
    <col min="11783" max="11783" width="55.6640625" style="66" customWidth="1"/>
    <col min="11784" max="11784" width="3.6640625" style="66" customWidth="1"/>
    <col min="11785" max="11785" width="55.6640625" style="66" customWidth="1"/>
    <col min="11786" max="11786" width="3.6640625" style="66" customWidth="1"/>
    <col min="11787" max="12034" width="9.1328125" style="66"/>
    <col min="12035" max="12035" width="0" style="66" hidden="1" customWidth="1"/>
    <col min="12036" max="12036" width="33.6640625" style="66" customWidth="1"/>
    <col min="12037" max="12037" width="2.6640625" style="66" customWidth="1"/>
    <col min="12038" max="12038" width="3.6640625" style="66" customWidth="1"/>
    <col min="12039" max="12039" width="55.6640625" style="66" customWidth="1"/>
    <col min="12040" max="12040" width="3.6640625" style="66" customWidth="1"/>
    <col min="12041" max="12041" width="55.6640625" style="66" customWidth="1"/>
    <col min="12042" max="12042" width="3.6640625" style="66" customWidth="1"/>
    <col min="12043" max="12290" width="9.1328125" style="66"/>
    <col min="12291" max="12291" width="0" style="66" hidden="1" customWidth="1"/>
    <col min="12292" max="12292" width="33.6640625" style="66" customWidth="1"/>
    <col min="12293" max="12293" width="2.6640625" style="66" customWidth="1"/>
    <col min="12294" max="12294" width="3.6640625" style="66" customWidth="1"/>
    <col min="12295" max="12295" width="55.6640625" style="66" customWidth="1"/>
    <col min="12296" max="12296" width="3.6640625" style="66" customWidth="1"/>
    <col min="12297" max="12297" width="55.6640625" style="66" customWidth="1"/>
    <col min="12298" max="12298" width="3.6640625" style="66" customWidth="1"/>
    <col min="12299" max="12546" width="9.1328125" style="66"/>
    <col min="12547" max="12547" width="0" style="66" hidden="1" customWidth="1"/>
    <col min="12548" max="12548" width="33.6640625" style="66" customWidth="1"/>
    <col min="12549" max="12549" width="2.6640625" style="66" customWidth="1"/>
    <col min="12550" max="12550" width="3.6640625" style="66" customWidth="1"/>
    <col min="12551" max="12551" width="55.6640625" style="66" customWidth="1"/>
    <col min="12552" max="12552" width="3.6640625" style="66" customWidth="1"/>
    <col min="12553" max="12553" width="55.6640625" style="66" customWidth="1"/>
    <col min="12554" max="12554" width="3.6640625" style="66" customWidth="1"/>
    <col min="12555" max="12802" width="9.1328125" style="66"/>
    <col min="12803" max="12803" width="0" style="66" hidden="1" customWidth="1"/>
    <col min="12804" max="12804" width="33.6640625" style="66" customWidth="1"/>
    <col min="12805" max="12805" width="2.6640625" style="66" customWidth="1"/>
    <col min="12806" max="12806" width="3.6640625" style="66" customWidth="1"/>
    <col min="12807" max="12807" width="55.6640625" style="66" customWidth="1"/>
    <col min="12808" max="12808" width="3.6640625" style="66" customWidth="1"/>
    <col min="12809" max="12809" width="55.6640625" style="66" customWidth="1"/>
    <col min="12810" max="12810" width="3.6640625" style="66" customWidth="1"/>
    <col min="12811" max="13058" width="9.1328125" style="66"/>
    <col min="13059" max="13059" width="0" style="66" hidden="1" customWidth="1"/>
    <col min="13060" max="13060" width="33.6640625" style="66" customWidth="1"/>
    <col min="13061" max="13061" width="2.6640625" style="66" customWidth="1"/>
    <col min="13062" max="13062" width="3.6640625" style="66" customWidth="1"/>
    <col min="13063" max="13063" width="55.6640625" style="66" customWidth="1"/>
    <col min="13064" max="13064" width="3.6640625" style="66" customWidth="1"/>
    <col min="13065" max="13065" width="55.6640625" style="66" customWidth="1"/>
    <col min="13066" max="13066" width="3.6640625" style="66" customWidth="1"/>
    <col min="13067" max="13314" width="9.1328125" style="66"/>
    <col min="13315" max="13315" width="0" style="66" hidden="1" customWidth="1"/>
    <col min="13316" max="13316" width="33.6640625" style="66" customWidth="1"/>
    <col min="13317" max="13317" width="2.6640625" style="66" customWidth="1"/>
    <col min="13318" max="13318" width="3.6640625" style="66" customWidth="1"/>
    <col min="13319" max="13319" width="55.6640625" style="66" customWidth="1"/>
    <col min="13320" max="13320" width="3.6640625" style="66" customWidth="1"/>
    <col min="13321" max="13321" width="55.6640625" style="66" customWidth="1"/>
    <col min="13322" max="13322" width="3.6640625" style="66" customWidth="1"/>
    <col min="13323" max="13570" width="9.1328125" style="66"/>
    <col min="13571" max="13571" width="0" style="66" hidden="1" customWidth="1"/>
    <col min="13572" max="13572" width="33.6640625" style="66" customWidth="1"/>
    <col min="13573" max="13573" width="2.6640625" style="66" customWidth="1"/>
    <col min="13574" max="13574" width="3.6640625" style="66" customWidth="1"/>
    <col min="13575" max="13575" width="55.6640625" style="66" customWidth="1"/>
    <col min="13576" max="13576" width="3.6640625" style="66" customWidth="1"/>
    <col min="13577" max="13577" width="55.6640625" style="66" customWidth="1"/>
    <col min="13578" max="13578" width="3.6640625" style="66" customWidth="1"/>
    <col min="13579" max="13826" width="9.1328125" style="66"/>
    <col min="13827" max="13827" width="0" style="66" hidden="1" customWidth="1"/>
    <col min="13828" max="13828" width="33.6640625" style="66" customWidth="1"/>
    <col min="13829" max="13829" width="2.6640625" style="66" customWidth="1"/>
    <col min="13830" max="13830" width="3.6640625" style="66" customWidth="1"/>
    <col min="13831" max="13831" width="55.6640625" style="66" customWidth="1"/>
    <col min="13832" max="13832" width="3.6640625" style="66" customWidth="1"/>
    <col min="13833" max="13833" width="55.6640625" style="66" customWidth="1"/>
    <col min="13834" max="13834" width="3.6640625" style="66" customWidth="1"/>
    <col min="13835" max="14082" width="9.1328125" style="66"/>
    <col min="14083" max="14083" width="0" style="66" hidden="1" customWidth="1"/>
    <col min="14084" max="14084" width="33.6640625" style="66" customWidth="1"/>
    <col min="14085" max="14085" width="2.6640625" style="66" customWidth="1"/>
    <col min="14086" max="14086" width="3.6640625" style="66" customWidth="1"/>
    <col min="14087" max="14087" width="55.6640625" style="66" customWidth="1"/>
    <col min="14088" max="14088" width="3.6640625" style="66" customWidth="1"/>
    <col min="14089" max="14089" width="55.6640625" style="66" customWidth="1"/>
    <col min="14090" max="14090" width="3.6640625" style="66" customWidth="1"/>
    <col min="14091" max="14338" width="9.1328125" style="66"/>
    <col min="14339" max="14339" width="0" style="66" hidden="1" customWidth="1"/>
    <col min="14340" max="14340" width="33.6640625" style="66" customWidth="1"/>
    <col min="14341" max="14341" width="2.6640625" style="66" customWidth="1"/>
    <col min="14342" max="14342" width="3.6640625" style="66" customWidth="1"/>
    <col min="14343" max="14343" width="55.6640625" style="66" customWidth="1"/>
    <col min="14344" max="14344" width="3.6640625" style="66" customWidth="1"/>
    <col min="14345" max="14345" width="55.6640625" style="66" customWidth="1"/>
    <col min="14346" max="14346" width="3.6640625" style="66" customWidth="1"/>
    <col min="14347" max="14594" width="9.1328125" style="66"/>
    <col min="14595" max="14595" width="0" style="66" hidden="1" customWidth="1"/>
    <col min="14596" max="14596" width="33.6640625" style="66" customWidth="1"/>
    <col min="14597" max="14597" width="2.6640625" style="66" customWidth="1"/>
    <col min="14598" max="14598" width="3.6640625" style="66" customWidth="1"/>
    <col min="14599" max="14599" width="55.6640625" style="66" customWidth="1"/>
    <col min="14600" max="14600" width="3.6640625" style="66" customWidth="1"/>
    <col min="14601" max="14601" width="55.6640625" style="66" customWidth="1"/>
    <col min="14602" max="14602" width="3.6640625" style="66" customWidth="1"/>
    <col min="14603" max="14850" width="9.1328125" style="66"/>
    <col min="14851" max="14851" width="0" style="66" hidden="1" customWidth="1"/>
    <col min="14852" max="14852" width="33.6640625" style="66" customWidth="1"/>
    <col min="14853" max="14853" width="2.6640625" style="66" customWidth="1"/>
    <col min="14854" max="14854" width="3.6640625" style="66" customWidth="1"/>
    <col min="14855" max="14855" width="55.6640625" style="66" customWidth="1"/>
    <col min="14856" max="14856" width="3.6640625" style="66" customWidth="1"/>
    <col min="14857" max="14857" width="55.6640625" style="66" customWidth="1"/>
    <col min="14858" max="14858" width="3.6640625" style="66" customWidth="1"/>
    <col min="14859" max="15106" width="9.1328125" style="66"/>
    <col min="15107" max="15107" width="0" style="66" hidden="1" customWidth="1"/>
    <col min="15108" max="15108" width="33.6640625" style="66" customWidth="1"/>
    <col min="15109" max="15109" width="2.6640625" style="66" customWidth="1"/>
    <col min="15110" max="15110" width="3.6640625" style="66" customWidth="1"/>
    <col min="15111" max="15111" width="55.6640625" style="66" customWidth="1"/>
    <col min="15112" max="15112" width="3.6640625" style="66" customWidth="1"/>
    <col min="15113" max="15113" width="55.6640625" style="66" customWidth="1"/>
    <col min="15114" max="15114" width="3.6640625" style="66" customWidth="1"/>
    <col min="15115" max="15362" width="9.1328125" style="66"/>
    <col min="15363" max="15363" width="0" style="66" hidden="1" customWidth="1"/>
    <col min="15364" max="15364" width="33.6640625" style="66" customWidth="1"/>
    <col min="15365" max="15365" width="2.6640625" style="66" customWidth="1"/>
    <col min="15366" max="15366" width="3.6640625" style="66" customWidth="1"/>
    <col min="15367" max="15367" width="55.6640625" style="66" customWidth="1"/>
    <col min="15368" max="15368" width="3.6640625" style="66" customWidth="1"/>
    <col min="15369" max="15369" width="55.6640625" style="66" customWidth="1"/>
    <col min="15370" max="15370" width="3.6640625" style="66" customWidth="1"/>
    <col min="15371" max="15618" width="9.1328125" style="66"/>
    <col min="15619" max="15619" width="0" style="66" hidden="1" customWidth="1"/>
    <col min="15620" max="15620" width="33.6640625" style="66" customWidth="1"/>
    <col min="15621" max="15621" width="2.6640625" style="66" customWidth="1"/>
    <col min="15622" max="15622" width="3.6640625" style="66" customWidth="1"/>
    <col min="15623" max="15623" width="55.6640625" style="66" customWidth="1"/>
    <col min="15624" max="15624" width="3.6640625" style="66" customWidth="1"/>
    <col min="15625" max="15625" width="55.6640625" style="66" customWidth="1"/>
    <col min="15626" max="15626" width="3.6640625" style="66" customWidth="1"/>
    <col min="15627" max="15874" width="9.1328125" style="66"/>
    <col min="15875" max="15875" width="0" style="66" hidden="1" customWidth="1"/>
    <col min="15876" max="15876" width="33.6640625" style="66" customWidth="1"/>
    <col min="15877" max="15877" width="2.6640625" style="66" customWidth="1"/>
    <col min="15878" max="15878" width="3.6640625" style="66" customWidth="1"/>
    <col min="15879" max="15879" width="55.6640625" style="66" customWidth="1"/>
    <col min="15880" max="15880" width="3.6640625" style="66" customWidth="1"/>
    <col min="15881" max="15881" width="55.6640625" style="66" customWidth="1"/>
    <col min="15882" max="15882" width="3.6640625" style="66" customWidth="1"/>
    <col min="15883" max="16130" width="9.1328125" style="66"/>
    <col min="16131" max="16131" width="0" style="66" hidden="1" customWidth="1"/>
    <col min="16132" max="16132" width="33.6640625" style="66" customWidth="1"/>
    <col min="16133" max="16133" width="2.6640625" style="66" customWidth="1"/>
    <col min="16134" max="16134" width="3.6640625" style="66" customWidth="1"/>
    <col min="16135" max="16135" width="55.6640625" style="66" customWidth="1"/>
    <col min="16136" max="16136" width="3.6640625" style="66" customWidth="1"/>
    <col min="16137" max="16137" width="55.6640625" style="66" customWidth="1"/>
    <col min="16138" max="16138" width="3.6640625" style="66" customWidth="1"/>
    <col min="16139" max="16384" width="9.1328125" style="66"/>
  </cols>
  <sheetData>
    <row r="1" spans="1:14" ht="12.75" customHeight="1"/>
    <row r="2" spans="1:14" s="70" customFormat="1" ht="21" customHeight="1">
      <c r="A2" s="66"/>
      <c r="B2" s="3187" t="s">
        <v>0</v>
      </c>
      <c r="C2" s="67"/>
      <c r="D2" s="68" t="s">
        <v>1</v>
      </c>
      <c r="E2" s="69"/>
      <c r="F2" s="69"/>
      <c r="G2" s="69"/>
      <c r="H2" s="69"/>
      <c r="I2" s="69"/>
      <c r="J2" s="69"/>
    </row>
    <row r="3" spans="1:14" ht="21" customHeight="1">
      <c r="A3" s="66"/>
      <c r="B3" s="3187"/>
      <c r="C3" s="67"/>
    </row>
    <row r="4" spans="1:14" ht="21" customHeight="1">
      <c r="D4" s="71"/>
      <c r="E4" s="72"/>
      <c r="F4" s="72"/>
      <c r="G4" s="72"/>
      <c r="H4" s="72"/>
      <c r="I4" s="72"/>
      <c r="J4" s="72"/>
      <c r="K4" s="70"/>
      <c r="L4" s="72"/>
      <c r="M4" s="72"/>
      <c r="N4" s="73"/>
    </row>
    <row r="5" spans="1:14" ht="21" customHeight="1">
      <c r="B5" s="74" t="s">
        <v>1</v>
      </c>
      <c r="D5" s="75"/>
      <c r="E5" s="3184" t="s">
        <v>1</v>
      </c>
      <c r="G5" s="3184" t="s">
        <v>1263</v>
      </c>
      <c r="I5" s="3184" t="s">
        <v>557</v>
      </c>
      <c r="J5" s="76"/>
      <c r="K5" s="3184" t="s">
        <v>1652</v>
      </c>
      <c r="M5" s="3184" t="s">
        <v>1654</v>
      </c>
      <c r="N5" s="76"/>
    </row>
    <row r="6" spans="1:14" ht="21" customHeight="1">
      <c r="B6" s="397" t="s">
        <v>452</v>
      </c>
      <c r="D6" s="75"/>
      <c r="E6" s="3185"/>
      <c r="G6" s="3185"/>
      <c r="I6" s="3185"/>
      <c r="J6" s="76"/>
      <c r="K6" s="3185"/>
      <c r="M6" s="3185"/>
      <c r="N6" s="76"/>
    </row>
    <row r="7" spans="1:14" ht="21" customHeight="1">
      <c r="B7" s="62" t="s">
        <v>239</v>
      </c>
      <c r="D7" s="75"/>
      <c r="E7" s="3184" t="s">
        <v>452</v>
      </c>
      <c r="G7" s="77" t="s">
        <v>486</v>
      </c>
      <c r="I7" s="77" t="s">
        <v>1296</v>
      </c>
      <c r="J7" s="76"/>
      <c r="K7" s="77" t="s">
        <v>95</v>
      </c>
      <c r="M7" s="77" t="s">
        <v>555</v>
      </c>
      <c r="N7" s="76"/>
    </row>
    <row r="8" spans="1:14" ht="21" customHeight="1">
      <c r="B8" s="62" t="s">
        <v>1263</v>
      </c>
      <c r="D8" s="75"/>
      <c r="E8" s="3185"/>
      <c r="G8" s="77" t="s">
        <v>1278</v>
      </c>
      <c r="I8" s="77" t="s">
        <v>1297</v>
      </c>
      <c r="J8" s="76"/>
      <c r="K8" s="77" t="s">
        <v>254</v>
      </c>
      <c r="M8" s="77" t="s">
        <v>685</v>
      </c>
      <c r="N8" s="76"/>
    </row>
    <row r="9" spans="1:14" ht="21" customHeight="1">
      <c r="B9" s="62" t="s">
        <v>557</v>
      </c>
      <c r="D9" s="75"/>
      <c r="E9" s="77" t="s">
        <v>300</v>
      </c>
      <c r="G9" s="77" t="s">
        <v>1274</v>
      </c>
      <c r="I9" s="77" t="s">
        <v>1298</v>
      </c>
      <c r="J9" s="76"/>
      <c r="K9" s="77" t="s">
        <v>1252</v>
      </c>
      <c r="M9" s="77" t="s">
        <v>1164</v>
      </c>
      <c r="N9" s="76"/>
    </row>
    <row r="10" spans="1:14" ht="21" customHeight="1">
      <c r="B10" s="62" t="s">
        <v>238</v>
      </c>
      <c r="D10" s="75"/>
      <c r="E10" s="77" t="s">
        <v>1392</v>
      </c>
      <c r="G10" s="77" t="s">
        <v>1277</v>
      </c>
      <c r="I10" s="77" t="s">
        <v>1299</v>
      </c>
      <c r="J10" s="76"/>
      <c r="K10" s="77" t="s">
        <v>1394</v>
      </c>
      <c r="M10" s="77" t="s">
        <v>701</v>
      </c>
      <c r="N10" s="76"/>
    </row>
    <row r="11" spans="1:14" ht="21" customHeight="1">
      <c r="B11" s="62" t="s">
        <v>1652</v>
      </c>
      <c r="D11" s="75"/>
      <c r="E11" s="77" t="s">
        <v>419</v>
      </c>
      <c r="G11" s="77" t="s">
        <v>1264</v>
      </c>
      <c r="I11" s="77" t="s">
        <v>1300</v>
      </c>
      <c r="J11" s="76"/>
      <c r="K11" s="77" t="s">
        <v>1395</v>
      </c>
      <c r="M11" s="77" t="s">
        <v>700</v>
      </c>
      <c r="N11" s="76"/>
    </row>
    <row r="12" spans="1:14" ht="21" customHeight="1">
      <c r="B12" s="62" t="s">
        <v>1653</v>
      </c>
      <c r="D12" s="75"/>
      <c r="E12" s="77" t="s">
        <v>420</v>
      </c>
      <c r="G12" s="77" t="s">
        <v>1265</v>
      </c>
      <c r="I12" s="77" t="s">
        <v>1301</v>
      </c>
      <c r="J12" s="76"/>
      <c r="K12" s="77" t="s">
        <v>1396</v>
      </c>
      <c r="M12" s="77" t="s">
        <v>748</v>
      </c>
      <c r="N12" s="76"/>
    </row>
    <row r="13" spans="1:14" ht="21" customHeight="1">
      <c r="B13" s="62" t="s">
        <v>40</v>
      </c>
      <c r="D13" s="75"/>
      <c r="E13" s="77" t="s">
        <v>52</v>
      </c>
      <c r="G13" s="77" t="s">
        <v>1266</v>
      </c>
      <c r="I13" s="77" t="s">
        <v>1302</v>
      </c>
      <c r="J13" s="76"/>
      <c r="K13" s="77" t="s">
        <v>1397</v>
      </c>
      <c r="M13" s="77" t="s">
        <v>1157</v>
      </c>
      <c r="N13" s="76"/>
    </row>
    <row r="14" spans="1:14" ht="21" customHeight="1">
      <c r="B14" s="62" t="s">
        <v>238</v>
      </c>
      <c r="D14" s="75"/>
      <c r="E14" s="77" t="s">
        <v>96</v>
      </c>
      <c r="G14" s="77" t="s">
        <v>1267</v>
      </c>
      <c r="I14" s="77" t="s">
        <v>1303</v>
      </c>
      <c r="J14" s="76"/>
      <c r="K14" s="77" t="s">
        <v>1398</v>
      </c>
      <c r="M14" s="77" t="s">
        <v>1155</v>
      </c>
      <c r="N14" s="76"/>
    </row>
    <row r="15" spans="1:14" ht="21" customHeight="1">
      <c r="B15" s="62" t="s">
        <v>39</v>
      </c>
      <c r="D15" s="75"/>
      <c r="E15" s="77" t="s">
        <v>1343</v>
      </c>
      <c r="G15" s="77" t="s">
        <v>556</v>
      </c>
      <c r="I15" s="77" t="s">
        <v>1304</v>
      </c>
      <c r="J15" s="76"/>
      <c r="K15" s="77" t="s">
        <v>1399</v>
      </c>
      <c r="M15" s="77" t="s">
        <v>1158</v>
      </c>
      <c r="N15" s="76"/>
    </row>
    <row r="16" spans="1:14" ht="21" customHeight="1">
      <c r="B16" s="62" t="s">
        <v>38</v>
      </c>
      <c r="D16" s="75"/>
      <c r="E16" s="3184" t="s">
        <v>561</v>
      </c>
      <c r="G16" s="77"/>
      <c r="I16" s="77" t="s">
        <v>1307</v>
      </c>
      <c r="J16" s="76"/>
      <c r="K16" s="77"/>
      <c r="M16" s="77" t="s">
        <v>1324</v>
      </c>
      <c r="N16" s="76"/>
    </row>
    <row r="17" spans="4:14" ht="21" customHeight="1">
      <c r="D17" s="75"/>
      <c r="E17" s="3185"/>
      <c r="G17" s="77"/>
      <c r="I17" s="77" t="s">
        <v>1305</v>
      </c>
      <c r="J17" s="76"/>
      <c r="K17" s="77"/>
      <c r="M17" s="77"/>
      <c r="N17" s="76"/>
    </row>
    <row r="18" spans="4:14" ht="21" customHeight="1">
      <c r="D18" s="75"/>
      <c r="E18" s="77" t="s">
        <v>558</v>
      </c>
      <c r="G18" s="77"/>
      <c r="I18" s="77" t="s">
        <v>1306</v>
      </c>
      <c r="J18" s="76"/>
      <c r="K18" s="77"/>
      <c r="M18" s="77"/>
      <c r="N18" s="76"/>
    </row>
    <row r="19" spans="4:14" ht="21" customHeight="1">
      <c r="D19" s="75"/>
      <c r="E19" s="77" t="s">
        <v>559</v>
      </c>
      <c r="G19" s="77"/>
      <c r="I19" s="77" t="s">
        <v>1323</v>
      </c>
      <c r="J19" s="76"/>
      <c r="K19" s="77"/>
      <c r="M19" s="77"/>
      <c r="N19" s="76"/>
    </row>
    <row r="20" spans="4:14" ht="21" customHeight="1">
      <c r="D20" s="75"/>
      <c r="E20" s="77" t="s">
        <v>509</v>
      </c>
      <c r="G20" s="77"/>
      <c r="I20" s="77" t="s">
        <v>1292</v>
      </c>
      <c r="J20" s="76"/>
      <c r="K20" s="77"/>
      <c r="M20" s="77"/>
      <c r="N20" s="76"/>
    </row>
    <row r="21" spans="4:14" ht="21" customHeight="1">
      <c r="D21" s="75"/>
      <c r="E21" s="77" t="s">
        <v>539</v>
      </c>
      <c r="G21" s="77"/>
      <c r="I21" s="77"/>
      <c r="J21" s="76"/>
      <c r="K21" s="77"/>
      <c r="M21" s="77"/>
      <c r="N21" s="76"/>
    </row>
    <row r="22" spans="4:14" ht="21" customHeight="1">
      <c r="D22" s="75"/>
      <c r="E22" s="77" t="s">
        <v>540</v>
      </c>
      <c r="G22" s="77"/>
      <c r="I22" s="77"/>
      <c r="J22" s="76"/>
      <c r="K22" s="77"/>
      <c r="M22" s="77"/>
      <c r="N22" s="76"/>
    </row>
    <row r="23" spans="4:14" ht="21" customHeight="1">
      <c r="D23" s="75"/>
      <c r="E23" s="77" t="s">
        <v>541</v>
      </c>
      <c r="G23" s="77"/>
      <c r="I23" s="77"/>
      <c r="J23" s="76"/>
      <c r="K23" s="77"/>
      <c r="M23" s="3184" t="s">
        <v>40</v>
      </c>
      <c r="N23" s="76"/>
    </row>
    <row r="24" spans="4:14" ht="21" customHeight="1">
      <c r="D24" s="75"/>
      <c r="E24" s="77" t="s">
        <v>1037</v>
      </c>
      <c r="G24" s="77"/>
      <c r="I24" s="875"/>
      <c r="J24" s="76"/>
      <c r="K24" s="77"/>
      <c r="M24" s="3186"/>
      <c r="N24" s="76"/>
    </row>
    <row r="25" spans="4:14" ht="21" customHeight="1">
      <c r="D25" s="78"/>
      <c r="E25" s="79"/>
      <c r="F25" s="80"/>
      <c r="G25" s="79"/>
      <c r="H25" s="80"/>
      <c r="I25" s="79"/>
      <c r="J25" s="80"/>
      <c r="K25" s="79"/>
      <c r="L25" s="80"/>
      <c r="M25" s="79"/>
      <c r="N25" s="81"/>
    </row>
    <row r="26" spans="4:14" ht="21" customHeight="1"/>
    <row r="27" spans="4:14" ht="21" customHeight="1"/>
    <row r="28" spans="4:14" ht="21" customHeight="1"/>
    <row r="29" spans="4:14" ht="21" customHeight="1"/>
    <row r="30" spans="4:14" ht="21" customHeight="1"/>
  </sheetData>
  <mergeCells count="9">
    <mergeCell ref="M5:M6"/>
    <mergeCell ref="K5:K6"/>
    <mergeCell ref="M23:M24"/>
    <mergeCell ref="I5:I6"/>
    <mergeCell ref="B2:B3"/>
    <mergeCell ref="E5:E6"/>
    <mergeCell ref="E16:E17"/>
    <mergeCell ref="E7:E8"/>
    <mergeCell ref="G5:G6"/>
  </mergeCells>
  <hyperlinks>
    <hyperlink ref="B5" location="'Documents Manager'!A1" display="DOCUMENTS MANAGER" xr:uid="{00000000-0004-0000-0100-000000000000}"/>
    <hyperlink ref="B2:B3" location="Home!A1" display="HOME" xr:uid="{00000000-0004-0000-0100-000001000000}"/>
    <hyperlink ref="E16:E17" location="'ASTM Converter (Tab.1)'!A1" display="ASTM - CONVERTERS" xr:uid="{00000000-0004-0000-0100-000002000000}"/>
    <hyperlink ref="E5:E6" location="'Documents Manager'!A1" display="DOCUMENTS MANAGER" xr:uid="{00000000-0004-0000-0100-000003000000}"/>
    <hyperlink ref="E7:E8" location="'ASTM Table Series'!A1" display="ASTM TABLES" xr:uid="{00000000-0004-0000-0100-000006000000}"/>
    <hyperlink ref="E18" location="'ASTM Converter (Tab.1)'!A1" display="• Converter - Table 1 (Volume XI)" xr:uid="{D6DB3708-C2A8-4BE9-AE2A-F0BAF140DBA0}"/>
    <hyperlink ref="E19" location="'ASTM Converter (Tab.2)'!A1" display="• Converter - Table 2 (Volume XI)" xr:uid="{21140B6B-4DDB-425B-A110-99F4CCC6A4AA}"/>
    <hyperlink ref="E21" location="'ASTM Converter (API)'!A1" display="• Entry with API Gravity" xr:uid="{48C57A4C-DE4E-4DEE-8103-30D6BF1DC493}"/>
    <hyperlink ref="E22" location="'ASTM Converter (R.Density)'!A1" display="• Conventer - Entry with Relative Density" xr:uid="{F811A266-E790-423B-8E8B-0F215053C264}"/>
    <hyperlink ref="E23" location="'ASTM Converter (Density)'!A1" display="• Conventer - Entry with Density" xr:uid="{BD7662CC-413B-447E-868F-FD2DB8062481}"/>
    <hyperlink ref="E20" location="'ASTM Converter API-RD-SG-Dens.'!A1" display="• Conventer API-RD-SG-Density" xr:uid="{BFF1A5D5-1ABE-4B30-A282-AD548B11199D}"/>
    <hyperlink ref="B16" location="Disclaimer!A1" display="Disclaimer" xr:uid="{677F87FE-4A74-4EB5-9BFC-4D9B1E15C990}"/>
    <hyperlink ref="B15" location="Help!A1" display="Help" xr:uid="{3010F3A5-83A6-4880-A10A-CA2DBF0F41F2}"/>
    <hyperlink ref="B13" location="'Source - Links'!A1" display="SOURCE / LINKS" xr:uid="{7A93FF2E-22AC-4C9C-85E3-23E5EA67475A}"/>
    <hyperlink ref="B6" location="'ASTM Table Series'!A1" display="ASTM TABLES" xr:uid="{AFE05CEF-4915-4E99-B075-2AA123FC96E5}"/>
    <hyperlink ref="I5:I6" location="'Initial&amp;Max. Loading Rate'!A1" display="CARGO - CALCULATORS" xr:uid="{00000000-0004-0000-0100-000010000000}"/>
    <hyperlink ref="B7" location="'ASTM Converter (Tab.1)'!A1" display="ASTM - CONVERTERS" xr:uid="{E443FA53-948E-4E8D-A452-DF3EEAB3F949}"/>
    <hyperlink ref="K5" location="Guidelines!A1" display="GUIDELINES " xr:uid="{1DBA7B9D-0C15-4F93-B1C3-5F3940537305}"/>
    <hyperlink ref="M23:M24" location="'Source - Links'!A1" display="SOURCE / LINKS" xr:uid="{1A743906-5271-48B7-B338-F44C995485A2}"/>
    <hyperlink ref="K5:K6" location="'Guidelines - Definitions'!A1" display="GUIDELINES " xr:uid="{A1DFDA93-4499-4F6E-BABF-13A8B07A67D0}"/>
    <hyperlink ref="K7" location="'Guidelines - Definitions'!A1" display="• Definitions" xr:uid="{7559BEBF-3CBF-4962-843D-4481F0BAE7D7}"/>
    <hyperlink ref="K8" location="'Guidelines - Procedure of Calc'!A1" display="• Procedure of Calculations" xr:uid="{A51C40F5-BB75-4D7E-8627-3C3ED697A76B}"/>
    <hyperlink ref="E24" location="'ASTM Converter for Crude Oil'!A1" display="• Converter - Tables for Crude Oil" xr:uid="{F67E347C-1874-499D-9065-0BCCF648C848}"/>
    <hyperlink ref="I14:I16" location="'Blended Cargo Prediction'!A1" display="• Blended Cargo Prediction" xr:uid="{D2B7F41F-3000-461D-908D-CB0D8EF37EBB}"/>
    <hyperlink ref="I11" location="'Volume Interpolation'!A1" display="• Volume Interpolation" xr:uid="{94226E0E-9DFD-4350-945C-4BD90FE6E22F}"/>
    <hyperlink ref="I13" location="'Wedge Volume Calculator'!A1" display="• Wedge Volume Calculator" xr:uid="{87B7946B-D684-4D3B-87C9-55A77591A75D}"/>
    <hyperlink ref="I12" location="'Cargo Lines Volume'!A1" display="• Volume of Cargo Lines Calculator" xr:uid="{57E5CB83-9DA0-491E-BF62-2DE799AA5972}"/>
    <hyperlink ref="I17" location="'Pipelines Capacities'!A1" display="• Pipelines Capacities" xr:uid="{F0A8721A-E2E2-47FA-B8AB-7E2781808D53}"/>
    <hyperlink ref="I15:I16" location="'Guidelines - Commingling Calc'!A1" display="• Commingling Calculation" xr:uid="{A1CBA946-9FA8-4461-B889-EDFD73C8DF47}"/>
    <hyperlink ref="I16" location="'Commingle-LOADING-DISCHARGING'!A1" display="• Commingle-LOADING-DISCHARGING" xr:uid="{897EBD00-BD88-4FE1-9BDD-502B59E7DD13}"/>
    <hyperlink ref="K9" location="'Guidelines - Saybolt Manual'!A1" display="• Saybolt Inspection Manual" xr:uid="{D5EF24A3-3E32-456E-B3BC-6BAFB32F1CE0}"/>
    <hyperlink ref="G5:G6" location="'ASTM Calculator V.W.'!A1" display="ASTM - CALCULATORS" xr:uid="{425EBFCF-D6C5-4C3B-A21E-3E16650AD0FA}"/>
    <hyperlink ref="I18" location="'IG Pressure Change'!A1" display="• Pipelines Capacities Calculator" xr:uid="{86A5DA95-312C-4D9E-915A-73D34F05B7B5}"/>
    <hyperlink ref="I7" location="'Initial&amp;Max. Loading Rate'!A1" display="• Initial &amp; Max. Loading Rate" xr:uid="{9B764028-ED60-4D86-8EC6-32E78732B523}"/>
    <hyperlink ref="I8" location="'One Tank Filling Rate'!A1" display="• One Tank Filling Rate" xr:uid="{E4007A2D-9636-4BFD-9825-171A81FF9C85}"/>
    <hyperlink ref="I9" location="'ETC Cargo operation'!A1" display="• ETC Cargo operation" xr:uid="{45889E69-2946-4A42-AC88-5D9F3E289546}"/>
    <hyperlink ref="I10" location="'Average Gravity-Temp'!A1" display="• Calculator - Average Gravity/Temp" xr:uid="{5D8795C8-EFCD-4E0F-97BF-B3DD1C8621CD}"/>
    <hyperlink ref="I14" location="'Blended API'!A1" display="• Blended API" xr:uid="{77EE5CA3-6FB6-4D5E-9D79-196CBFFF2248}"/>
    <hyperlink ref="I15" location="'Commingle-LOADING'!A1" display="• Commingle-LOADING" xr:uid="{D2CA2623-8DA1-4467-AD3C-D06EFACF8082}"/>
    <hyperlink ref="B8" location="'ASTM Calculator V.W.'!A1" display="ASTM - CALCULATORS" xr:uid="{FE46F9DA-FEA5-45DA-9F50-CEF40BBA8CFB}"/>
    <hyperlink ref="B9" location="'Initial&amp;Max. Loading Rate'!A1" display="CARGO - CALCULATORS" xr:uid="{E9A978C6-D25D-4A8C-94EC-17081C648C5D}"/>
    <hyperlink ref="E9" location="'ASTM Table Series'!A1" display="• ASTM Table Series for Oil Survey" xr:uid="{81150043-BD58-4EF5-9324-801D67BF8777}"/>
    <hyperlink ref="E13" location="'ASTM Vol. XI - Tab.1'!A1" display="• ASTM Volume XI  - Table 1" xr:uid="{54C7013D-AAC3-4BD4-A7A4-9F5295A0CAE0}"/>
    <hyperlink ref="E11" location="'Expl &amp; use Vol. XI'!A1" display="• Explanation &amp; use T. Volume XI" xr:uid="{E02FAB5F-3924-4398-90F6-371EB84FA319}"/>
    <hyperlink ref="E12" location="'Expl &amp; use Vol. XII'!A1" display="• Explanation &amp; use T. Volume XII" xr:uid="{A457CAEB-7D0F-4728-B361-304CEDCC9267}"/>
    <hyperlink ref="G7" location="'ASTM Calculator V.W.'!A1" display="• Calculator - Volume &amp; Weght" xr:uid="{0E8E8536-9D2B-4814-9385-CC40B96D9CD0}"/>
    <hyperlink ref="G15" location="'ASTM Calc BL Outturn Compare'!A1" display="• BL Figures &amp; Outturn Compare" xr:uid="{4B9D3235-F754-44C0-91BF-2625BE035710}"/>
    <hyperlink ref="G11" location="'ASTM CP min CARGO Check'!A1" display="• Calculator - C/P min CARGO Check" xr:uid="{F0E31D44-4644-41B6-B9A0-9C5557516D2A}"/>
    <hyperlink ref="G12" location="'ASTM Calculator Blended Cargo'!A1" display="• Calculator - Blended Cargo" xr:uid="{D99918EF-34B9-44E5-B519-22B63EEAB35F}"/>
    <hyperlink ref="G13" location="'ASTM Blended Cargo Prediction'!A1" display="• Calculator - Blended Cargo Prediction" xr:uid="{D9921974-4472-41BD-B5E1-DB3DB7D37BBD}"/>
    <hyperlink ref="G14" location="'ASTM Shore Line Displacement'!A1" display="• Calculator - Shore Line Displacement" xr:uid="{F588594F-FE82-42C7-A62F-3DF37837E789}"/>
    <hyperlink ref="G8" location="'ASTM Calculator Volume T.E.(1)'!A1" display="• Calculator - Volume (Therm. expansion) " xr:uid="{7FA78DA4-2326-41C1-95AA-CB81AE6500FD}"/>
    <hyperlink ref="G10" location="'ASTM Calculator Volume T.E.(3)'!A1" display="• Calculator - Volume (Therm. expan. 3) " xr:uid="{3B6268C0-9F64-4875-9B20-61CE2DC107FF}"/>
    <hyperlink ref="G9" location="'ASTM Calculator Volume T.E.(2)'!A1" display="• Calculator - Volume (Therm. expan. 2) " xr:uid="{F6D26FC2-4265-4EAD-8CBE-81DC937E3003}"/>
    <hyperlink ref="I20" location="'Converter Pressure '!A1" display="• Units Converter Pressure" xr:uid="{BE3BC8F6-14AC-43FE-B53E-D5AF166D195A}"/>
    <hyperlink ref="I19" location="'IG Pressure Change (2)'!A1" display="• IG Pressure Change-2" xr:uid="{9431EB06-7468-429B-B2C8-F403F80506DF}"/>
    <hyperlink ref="E14" location="'ASTM Vol. XI-XII'!A1" display="• ASTM Volume XII" xr:uid="{CB20A5A9-8F23-4AD1-80B6-29221EEF03AB}"/>
    <hyperlink ref="E15" location="'ASTM Tables'!A1" display="• ASTM Tables" xr:uid="{4FAEDA5E-7A92-4AF8-9F8A-BDEDCE535191}"/>
    <hyperlink ref="E10" location="'Expl &amp; use 6AB, 24AB, 54AB  '!A1" display="• Explanation &amp; use T. 6A&amp;B, 24A&amp;B, 54A&amp;B." xr:uid="{5323DDAA-C51A-4DB5-B319-9690730522B3}"/>
    <hyperlink ref="M5" location="Guidelines!A1" display="GUIDELINES " xr:uid="{F02073E5-2617-4998-B011-BAE5CEADC530}"/>
    <hyperlink ref="M5:M6" location="'Guidelines - Bottom Lines'!A1" display="GUIDELINES - CARGO " xr:uid="{813F1A7B-281C-4EA7-BAFA-4AF75C71A075}"/>
    <hyperlink ref="M7" location="'Guidelines - Bottom Lines'!A1" display="• Calculation of bottom lines" xr:uid="{A2D5E36A-6DEF-4A16-B82A-67C9CAA484B1}"/>
    <hyperlink ref="M8" location="'Guidelines - ISGOTT-6 '!A1" display="• ISGOTT Sixth Edition" xr:uid="{1D6E0BF9-CDA8-4B95-80B1-53E7A79BFCFE}"/>
    <hyperlink ref="M10" location="'Guidelines - Wedge Forla (1)'!A1" display="• Wedge formula - API MPMS" xr:uid="{0D01EA2B-8BF1-4175-9437-9308B7EFC1DC}"/>
    <hyperlink ref="M11" location="'Guidelines - Wedge Forla (2)'!A1" display="• Wedge formula - Saybolt" xr:uid="{A0361522-603E-47A7-9529-952DB4D2C12C}"/>
    <hyperlink ref="M12" location="'Guidelines - Wedge Formulas'!A1" display="• Wedge formulas" xr:uid="{B69EFA81-78C7-4A0F-935A-80F01AEDCB10}"/>
    <hyperlink ref="M13" location="'Guidelines - Commingling Calc'!A1" display="• Commingling Calculation" xr:uid="{C9905C3D-38CB-488B-84B7-92976D19250A}"/>
    <hyperlink ref="M14" location="'Guidelines - SOLAS'!A1" display="• SOLAS" xr:uid="{4B7B91B1-8D76-41CB-82FE-0E748CE84F7E}"/>
    <hyperlink ref="M15" location="'Guidelines - SOLAS compliance'!A1" display="• SOLAS compliance" xr:uid="{7643B6C8-72F5-4018-9F78-AFAF4A4F8EBF}"/>
    <hyperlink ref="M9" location="'Guidelines - Wedge Forla (0)'!A1" display="• Wedge formula - ISO-8697-1999 " xr:uid="{2E3653D3-A427-42BA-9520-61576E143379}"/>
    <hyperlink ref="M16" location="'Guidelines - IG Pressure'!A1" display="• IG Pressure" xr:uid="{1B31854A-0A9F-40B5-9012-F047B6716B88}"/>
    <hyperlink ref="K10" location="'ASTM Formulas'!A1" display="• ASTM Formulas" xr:uid="{476A705F-C96A-4EB6-BF72-1EA6CE6297BF}"/>
    <hyperlink ref="K11" location="'Which tables to use When'!A1" display="• Chart Which tables to use When" xr:uid="{595239D8-1D93-49BD-8947-1CFFE76C1DE8}"/>
    <hyperlink ref="K12" location="'Conversion Charts Metric'!A1" display="• Conversion Charts Metric system" xr:uid="{56E6BD23-6DD7-4FFF-BE9E-EAD89280573E}"/>
    <hyperlink ref="K13" location="'Conversion Charts Barrel'!A1" display="• Conversion Charts Barrel system" xr:uid="{B16EEF46-0F03-413E-99C8-A1A4D6F2FC25}"/>
    <hyperlink ref="K14" location="'Conversion Charts Mass &amp; Weight'!A1" display="• Conversion Charts Mass &amp; Weight" xr:uid="{3D132ACB-AB16-4CE6-B7C9-3969FE0B4759}"/>
    <hyperlink ref="K15" location="'Outturn Charts'!A1" display="• Outturn Charts" xr:uid="{3B8DE87A-9C51-48E8-9063-6FC8E9A638F3}"/>
    <hyperlink ref="B11" location="'Guidelines - Definitions'!A1" display="GUIDELINES" xr:uid="{EEBC2891-B48C-412E-9879-2116365669AE}"/>
    <hyperlink ref="B12" location="'Guidelines - Bottom Lines'!A1" display="GUIDELINES - CARGO" xr:uid="{0CB975D8-DBE2-4826-A120-15D6918F3114}"/>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9">
    <tabColor rgb="FF005034"/>
    <pageSetUpPr fitToPage="1"/>
  </sheetPr>
  <dimension ref="A1:IV125"/>
  <sheetViews>
    <sheetView showGridLines="0" showRowColHeaders="0" topLeftCell="B1" zoomScaleNormal="100" workbookViewId="0">
      <selection activeCell="B5" sqref="B5"/>
    </sheetView>
  </sheetViews>
  <sheetFormatPr defaultColWidth="9.1328125" defaultRowHeight="12.75"/>
  <cols>
    <col min="1" max="1" width="1.1328125" style="100" hidden="1" customWidth="1"/>
    <col min="2" max="2" width="36.6640625" style="142" customWidth="1"/>
    <col min="3" max="3" width="2.6640625" style="100" customWidth="1"/>
    <col min="4" max="4" width="99.33203125" style="100" customWidth="1"/>
    <col min="5" max="5" width="18.46484375" style="100" customWidth="1"/>
    <col min="6" max="6" width="30.33203125" style="100" customWidth="1"/>
    <col min="7" max="7" width="18.46484375" style="100" customWidth="1"/>
    <col min="8" max="8" width="12.1328125" style="100" customWidth="1"/>
    <col min="9" max="9" width="11.46484375" style="100" customWidth="1"/>
    <col min="10" max="10" width="5" style="100" customWidth="1"/>
    <col min="11" max="11" width="18.46484375" style="100" customWidth="1"/>
    <col min="12" max="12" width="12.1328125" style="100" customWidth="1"/>
    <col min="13" max="13" width="11.46484375" style="100" customWidth="1"/>
    <col min="14" max="256" width="9.1328125" style="100"/>
    <col min="257" max="257" width="0" style="100" hidden="1" customWidth="1"/>
    <col min="258" max="258" width="43.46484375" style="100" customWidth="1"/>
    <col min="259" max="259" width="3.6640625" style="100" customWidth="1"/>
    <col min="260" max="260" width="30.33203125" style="100" customWidth="1"/>
    <col min="261" max="261" width="18.46484375" style="100" customWidth="1"/>
    <col min="262" max="262" width="30.33203125" style="100" customWidth="1"/>
    <col min="263" max="263" width="18.46484375" style="100" customWidth="1"/>
    <col min="264" max="264" width="12.1328125" style="100" customWidth="1"/>
    <col min="265" max="265" width="11.46484375" style="100" customWidth="1"/>
    <col min="266" max="266" width="5" style="100" customWidth="1"/>
    <col min="267" max="267" width="18.46484375" style="100" customWidth="1"/>
    <col min="268" max="268" width="12.1328125" style="100" customWidth="1"/>
    <col min="269" max="269" width="11.46484375" style="100" customWidth="1"/>
    <col min="270" max="512" width="9.1328125" style="100"/>
    <col min="513" max="513" width="0" style="100" hidden="1" customWidth="1"/>
    <col min="514" max="514" width="43.46484375" style="100" customWidth="1"/>
    <col min="515" max="515" width="3.6640625" style="100" customWidth="1"/>
    <col min="516" max="516" width="30.33203125" style="100" customWidth="1"/>
    <col min="517" max="517" width="18.46484375" style="100" customWidth="1"/>
    <col min="518" max="518" width="30.33203125" style="100" customWidth="1"/>
    <col min="519" max="519" width="18.46484375" style="100" customWidth="1"/>
    <col min="520" max="520" width="12.1328125" style="100" customWidth="1"/>
    <col min="521" max="521" width="11.46484375" style="100" customWidth="1"/>
    <col min="522" max="522" width="5" style="100" customWidth="1"/>
    <col min="523" max="523" width="18.46484375" style="100" customWidth="1"/>
    <col min="524" max="524" width="12.1328125" style="100" customWidth="1"/>
    <col min="525" max="525" width="11.46484375" style="100" customWidth="1"/>
    <col min="526" max="768" width="9.1328125" style="100"/>
    <col min="769" max="769" width="0" style="100" hidden="1" customWidth="1"/>
    <col min="770" max="770" width="43.46484375" style="100" customWidth="1"/>
    <col min="771" max="771" width="3.6640625" style="100" customWidth="1"/>
    <col min="772" max="772" width="30.33203125" style="100" customWidth="1"/>
    <col min="773" max="773" width="18.46484375" style="100" customWidth="1"/>
    <col min="774" max="774" width="30.33203125" style="100" customWidth="1"/>
    <col min="775" max="775" width="18.46484375" style="100" customWidth="1"/>
    <col min="776" max="776" width="12.1328125" style="100" customWidth="1"/>
    <col min="777" max="777" width="11.46484375" style="100" customWidth="1"/>
    <col min="778" max="778" width="5" style="100" customWidth="1"/>
    <col min="779" max="779" width="18.46484375" style="100" customWidth="1"/>
    <col min="780" max="780" width="12.1328125" style="100" customWidth="1"/>
    <col min="781" max="781" width="11.46484375" style="100" customWidth="1"/>
    <col min="782" max="1024" width="9.1328125" style="100"/>
    <col min="1025" max="1025" width="0" style="100" hidden="1" customWidth="1"/>
    <col min="1026" max="1026" width="43.46484375" style="100" customWidth="1"/>
    <col min="1027" max="1027" width="3.6640625" style="100" customWidth="1"/>
    <col min="1028" max="1028" width="30.33203125" style="100" customWidth="1"/>
    <col min="1029" max="1029" width="18.46484375" style="100" customWidth="1"/>
    <col min="1030" max="1030" width="30.33203125" style="100" customWidth="1"/>
    <col min="1031" max="1031" width="18.46484375" style="100" customWidth="1"/>
    <col min="1032" max="1032" width="12.1328125" style="100" customWidth="1"/>
    <col min="1033" max="1033" width="11.46484375" style="100" customWidth="1"/>
    <col min="1034" max="1034" width="5" style="100" customWidth="1"/>
    <col min="1035" max="1035" width="18.46484375" style="100" customWidth="1"/>
    <col min="1036" max="1036" width="12.1328125" style="100" customWidth="1"/>
    <col min="1037" max="1037" width="11.46484375" style="100" customWidth="1"/>
    <col min="1038" max="1280" width="9.1328125" style="100"/>
    <col min="1281" max="1281" width="0" style="100" hidden="1" customWidth="1"/>
    <col min="1282" max="1282" width="43.46484375" style="100" customWidth="1"/>
    <col min="1283" max="1283" width="3.6640625" style="100" customWidth="1"/>
    <col min="1284" max="1284" width="30.33203125" style="100" customWidth="1"/>
    <col min="1285" max="1285" width="18.46484375" style="100" customWidth="1"/>
    <col min="1286" max="1286" width="30.33203125" style="100" customWidth="1"/>
    <col min="1287" max="1287" width="18.46484375" style="100" customWidth="1"/>
    <col min="1288" max="1288" width="12.1328125" style="100" customWidth="1"/>
    <col min="1289" max="1289" width="11.46484375" style="100" customWidth="1"/>
    <col min="1290" max="1290" width="5" style="100" customWidth="1"/>
    <col min="1291" max="1291" width="18.46484375" style="100" customWidth="1"/>
    <col min="1292" max="1292" width="12.1328125" style="100" customWidth="1"/>
    <col min="1293" max="1293" width="11.46484375" style="100" customWidth="1"/>
    <col min="1294" max="1536" width="9.1328125" style="100"/>
    <col min="1537" max="1537" width="0" style="100" hidden="1" customWidth="1"/>
    <col min="1538" max="1538" width="43.46484375" style="100" customWidth="1"/>
    <col min="1539" max="1539" width="3.6640625" style="100" customWidth="1"/>
    <col min="1540" max="1540" width="30.33203125" style="100" customWidth="1"/>
    <col min="1541" max="1541" width="18.46484375" style="100" customWidth="1"/>
    <col min="1542" max="1542" width="30.33203125" style="100" customWidth="1"/>
    <col min="1543" max="1543" width="18.46484375" style="100" customWidth="1"/>
    <col min="1544" max="1544" width="12.1328125" style="100" customWidth="1"/>
    <col min="1545" max="1545" width="11.46484375" style="100" customWidth="1"/>
    <col min="1546" max="1546" width="5" style="100" customWidth="1"/>
    <col min="1547" max="1547" width="18.46484375" style="100" customWidth="1"/>
    <col min="1548" max="1548" width="12.1328125" style="100" customWidth="1"/>
    <col min="1549" max="1549" width="11.46484375" style="100" customWidth="1"/>
    <col min="1550" max="1792" width="9.1328125" style="100"/>
    <col min="1793" max="1793" width="0" style="100" hidden="1" customWidth="1"/>
    <col min="1794" max="1794" width="43.46484375" style="100" customWidth="1"/>
    <col min="1795" max="1795" width="3.6640625" style="100" customWidth="1"/>
    <col min="1796" max="1796" width="30.33203125" style="100" customWidth="1"/>
    <col min="1797" max="1797" width="18.46484375" style="100" customWidth="1"/>
    <col min="1798" max="1798" width="30.33203125" style="100" customWidth="1"/>
    <col min="1799" max="1799" width="18.46484375" style="100" customWidth="1"/>
    <col min="1800" max="1800" width="12.1328125" style="100" customWidth="1"/>
    <col min="1801" max="1801" width="11.46484375" style="100" customWidth="1"/>
    <col min="1802" max="1802" width="5" style="100" customWidth="1"/>
    <col min="1803" max="1803" width="18.46484375" style="100" customWidth="1"/>
    <col min="1804" max="1804" width="12.1328125" style="100" customWidth="1"/>
    <col min="1805" max="1805" width="11.46484375" style="100" customWidth="1"/>
    <col min="1806" max="2048" width="9.1328125" style="100"/>
    <col min="2049" max="2049" width="0" style="100" hidden="1" customWidth="1"/>
    <col min="2050" max="2050" width="43.46484375" style="100" customWidth="1"/>
    <col min="2051" max="2051" width="3.6640625" style="100" customWidth="1"/>
    <col min="2052" max="2052" width="30.33203125" style="100" customWidth="1"/>
    <col min="2053" max="2053" width="18.46484375" style="100" customWidth="1"/>
    <col min="2054" max="2054" width="30.33203125" style="100" customWidth="1"/>
    <col min="2055" max="2055" width="18.46484375" style="100" customWidth="1"/>
    <col min="2056" max="2056" width="12.1328125" style="100" customWidth="1"/>
    <col min="2057" max="2057" width="11.46484375" style="100" customWidth="1"/>
    <col min="2058" max="2058" width="5" style="100" customWidth="1"/>
    <col min="2059" max="2059" width="18.46484375" style="100" customWidth="1"/>
    <col min="2060" max="2060" width="12.1328125" style="100" customWidth="1"/>
    <col min="2061" max="2061" width="11.46484375" style="100" customWidth="1"/>
    <col min="2062" max="2304" width="9.1328125" style="100"/>
    <col min="2305" max="2305" width="0" style="100" hidden="1" customWidth="1"/>
    <col min="2306" max="2306" width="43.46484375" style="100" customWidth="1"/>
    <col min="2307" max="2307" width="3.6640625" style="100" customWidth="1"/>
    <col min="2308" max="2308" width="30.33203125" style="100" customWidth="1"/>
    <col min="2309" max="2309" width="18.46484375" style="100" customWidth="1"/>
    <col min="2310" max="2310" width="30.33203125" style="100" customWidth="1"/>
    <col min="2311" max="2311" width="18.46484375" style="100" customWidth="1"/>
    <col min="2312" max="2312" width="12.1328125" style="100" customWidth="1"/>
    <col min="2313" max="2313" width="11.46484375" style="100" customWidth="1"/>
    <col min="2314" max="2314" width="5" style="100" customWidth="1"/>
    <col min="2315" max="2315" width="18.46484375" style="100" customWidth="1"/>
    <col min="2316" max="2316" width="12.1328125" style="100" customWidth="1"/>
    <col min="2317" max="2317" width="11.46484375" style="100" customWidth="1"/>
    <col min="2318" max="2560" width="9.1328125" style="100"/>
    <col min="2561" max="2561" width="0" style="100" hidden="1" customWidth="1"/>
    <col min="2562" max="2562" width="43.46484375" style="100" customWidth="1"/>
    <col min="2563" max="2563" width="3.6640625" style="100" customWidth="1"/>
    <col min="2564" max="2564" width="30.33203125" style="100" customWidth="1"/>
    <col min="2565" max="2565" width="18.46484375" style="100" customWidth="1"/>
    <col min="2566" max="2566" width="30.33203125" style="100" customWidth="1"/>
    <col min="2567" max="2567" width="18.46484375" style="100" customWidth="1"/>
    <col min="2568" max="2568" width="12.1328125" style="100" customWidth="1"/>
    <col min="2569" max="2569" width="11.46484375" style="100" customWidth="1"/>
    <col min="2570" max="2570" width="5" style="100" customWidth="1"/>
    <col min="2571" max="2571" width="18.46484375" style="100" customWidth="1"/>
    <col min="2572" max="2572" width="12.1328125" style="100" customWidth="1"/>
    <col min="2573" max="2573" width="11.46484375" style="100" customWidth="1"/>
    <col min="2574" max="2816" width="9.1328125" style="100"/>
    <col min="2817" max="2817" width="0" style="100" hidden="1" customWidth="1"/>
    <col min="2818" max="2818" width="43.46484375" style="100" customWidth="1"/>
    <col min="2819" max="2819" width="3.6640625" style="100" customWidth="1"/>
    <col min="2820" max="2820" width="30.33203125" style="100" customWidth="1"/>
    <col min="2821" max="2821" width="18.46484375" style="100" customWidth="1"/>
    <col min="2822" max="2822" width="30.33203125" style="100" customWidth="1"/>
    <col min="2823" max="2823" width="18.46484375" style="100" customWidth="1"/>
    <col min="2824" max="2824" width="12.1328125" style="100" customWidth="1"/>
    <col min="2825" max="2825" width="11.46484375" style="100" customWidth="1"/>
    <col min="2826" max="2826" width="5" style="100" customWidth="1"/>
    <col min="2827" max="2827" width="18.46484375" style="100" customWidth="1"/>
    <col min="2828" max="2828" width="12.1328125" style="100" customWidth="1"/>
    <col min="2829" max="2829" width="11.46484375" style="100" customWidth="1"/>
    <col min="2830" max="3072" width="9.1328125" style="100"/>
    <col min="3073" max="3073" width="0" style="100" hidden="1" customWidth="1"/>
    <col min="3074" max="3074" width="43.46484375" style="100" customWidth="1"/>
    <col min="3075" max="3075" width="3.6640625" style="100" customWidth="1"/>
    <col min="3076" max="3076" width="30.33203125" style="100" customWidth="1"/>
    <col min="3077" max="3077" width="18.46484375" style="100" customWidth="1"/>
    <col min="3078" max="3078" width="30.33203125" style="100" customWidth="1"/>
    <col min="3079" max="3079" width="18.46484375" style="100" customWidth="1"/>
    <col min="3080" max="3080" width="12.1328125" style="100" customWidth="1"/>
    <col min="3081" max="3081" width="11.46484375" style="100" customWidth="1"/>
    <col min="3082" max="3082" width="5" style="100" customWidth="1"/>
    <col min="3083" max="3083" width="18.46484375" style="100" customWidth="1"/>
    <col min="3084" max="3084" width="12.1328125" style="100" customWidth="1"/>
    <col min="3085" max="3085" width="11.46484375" style="100" customWidth="1"/>
    <col min="3086" max="3328" width="9.1328125" style="100"/>
    <col min="3329" max="3329" width="0" style="100" hidden="1" customWidth="1"/>
    <col min="3330" max="3330" width="43.46484375" style="100" customWidth="1"/>
    <col min="3331" max="3331" width="3.6640625" style="100" customWidth="1"/>
    <col min="3332" max="3332" width="30.33203125" style="100" customWidth="1"/>
    <col min="3333" max="3333" width="18.46484375" style="100" customWidth="1"/>
    <col min="3334" max="3334" width="30.33203125" style="100" customWidth="1"/>
    <col min="3335" max="3335" width="18.46484375" style="100" customWidth="1"/>
    <col min="3336" max="3336" width="12.1328125" style="100" customWidth="1"/>
    <col min="3337" max="3337" width="11.46484375" style="100" customWidth="1"/>
    <col min="3338" max="3338" width="5" style="100" customWidth="1"/>
    <col min="3339" max="3339" width="18.46484375" style="100" customWidth="1"/>
    <col min="3340" max="3340" width="12.1328125" style="100" customWidth="1"/>
    <col min="3341" max="3341" width="11.46484375" style="100" customWidth="1"/>
    <col min="3342" max="3584" width="9.1328125" style="100"/>
    <col min="3585" max="3585" width="0" style="100" hidden="1" customWidth="1"/>
    <col min="3586" max="3586" width="43.46484375" style="100" customWidth="1"/>
    <col min="3587" max="3587" width="3.6640625" style="100" customWidth="1"/>
    <col min="3588" max="3588" width="30.33203125" style="100" customWidth="1"/>
    <col min="3589" max="3589" width="18.46484375" style="100" customWidth="1"/>
    <col min="3590" max="3590" width="30.33203125" style="100" customWidth="1"/>
    <col min="3591" max="3591" width="18.46484375" style="100" customWidth="1"/>
    <col min="3592" max="3592" width="12.1328125" style="100" customWidth="1"/>
    <col min="3593" max="3593" width="11.46484375" style="100" customWidth="1"/>
    <col min="3594" max="3594" width="5" style="100" customWidth="1"/>
    <col min="3595" max="3595" width="18.46484375" style="100" customWidth="1"/>
    <col min="3596" max="3596" width="12.1328125" style="100" customWidth="1"/>
    <col min="3597" max="3597" width="11.46484375" style="100" customWidth="1"/>
    <col min="3598" max="3840" width="9.1328125" style="100"/>
    <col min="3841" max="3841" width="0" style="100" hidden="1" customWidth="1"/>
    <col min="3842" max="3842" width="43.46484375" style="100" customWidth="1"/>
    <col min="3843" max="3843" width="3.6640625" style="100" customWidth="1"/>
    <col min="3844" max="3844" width="30.33203125" style="100" customWidth="1"/>
    <col min="3845" max="3845" width="18.46484375" style="100" customWidth="1"/>
    <col min="3846" max="3846" width="30.33203125" style="100" customWidth="1"/>
    <col min="3847" max="3847" width="18.46484375" style="100" customWidth="1"/>
    <col min="3848" max="3848" width="12.1328125" style="100" customWidth="1"/>
    <col min="3849" max="3849" width="11.46484375" style="100" customWidth="1"/>
    <col min="3850" max="3850" width="5" style="100" customWidth="1"/>
    <col min="3851" max="3851" width="18.46484375" style="100" customWidth="1"/>
    <col min="3852" max="3852" width="12.1328125" style="100" customWidth="1"/>
    <col min="3853" max="3853" width="11.46484375" style="100" customWidth="1"/>
    <col min="3854" max="4096" width="9.1328125" style="100"/>
    <col min="4097" max="4097" width="0" style="100" hidden="1" customWidth="1"/>
    <col min="4098" max="4098" width="43.46484375" style="100" customWidth="1"/>
    <col min="4099" max="4099" width="3.6640625" style="100" customWidth="1"/>
    <col min="4100" max="4100" width="30.33203125" style="100" customWidth="1"/>
    <col min="4101" max="4101" width="18.46484375" style="100" customWidth="1"/>
    <col min="4102" max="4102" width="30.33203125" style="100" customWidth="1"/>
    <col min="4103" max="4103" width="18.46484375" style="100" customWidth="1"/>
    <col min="4104" max="4104" width="12.1328125" style="100" customWidth="1"/>
    <col min="4105" max="4105" width="11.46484375" style="100" customWidth="1"/>
    <col min="4106" max="4106" width="5" style="100" customWidth="1"/>
    <col min="4107" max="4107" width="18.46484375" style="100" customWidth="1"/>
    <col min="4108" max="4108" width="12.1328125" style="100" customWidth="1"/>
    <col min="4109" max="4109" width="11.46484375" style="100" customWidth="1"/>
    <col min="4110" max="4352" width="9.1328125" style="100"/>
    <col min="4353" max="4353" width="0" style="100" hidden="1" customWidth="1"/>
    <col min="4354" max="4354" width="43.46484375" style="100" customWidth="1"/>
    <col min="4355" max="4355" width="3.6640625" style="100" customWidth="1"/>
    <col min="4356" max="4356" width="30.33203125" style="100" customWidth="1"/>
    <col min="4357" max="4357" width="18.46484375" style="100" customWidth="1"/>
    <col min="4358" max="4358" width="30.33203125" style="100" customWidth="1"/>
    <col min="4359" max="4359" width="18.46484375" style="100" customWidth="1"/>
    <col min="4360" max="4360" width="12.1328125" style="100" customWidth="1"/>
    <col min="4361" max="4361" width="11.46484375" style="100" customWidth="1"/>
    <col min="4362" max="4362" width="5" style="100" customWidth="1"/>
    <col min="4363" max="4363" width="18.46484375" style="100" customWidth="1"/>
    <col min="4364" max="4364" width="12.1328125" style="100" customWidth="1"/>
    <col min="4365" max="4365" width="11.46484375" style="100" customWidth="1"/>
    <col min="4366" max="4608" width="9.1328125" style="100"/>
    <col min="4609" max="4609" width="0" style="100" hidden="1" customWidth="1"/>
    <col min="4610" max="4610" width="43.46484375" style="100" customWidth="1"/>
    <col min="4611" max="4611" width="3.6640625" style="100" customWidth="1"/>
    <col min="4612" max="4612" width="30.33203125" style="100" customWidth="1"/>
    <col min="4613" max="4613" width="18.46484375" style="100" customWidth="1"/>
    <col min="4614" max="4614" width="30.33203125" style="100" customWidth="1"/>
    <col min="4615" max="4615" width="18.46484375" style="100" customWidth="1"/>
    <col min="4616" max="4616" width="12.1328125" style="100" customWidth="1"/>
    <col min="4617" max="4617" width="11.46484375" style="100" customWidth="1"/>
    <col min="4618" max="4618" width="5" style="100" customWidth="1"/>
    <col min="4619" max="4619" width="18.46484375" style="100" customWidth="1"/>
    <col min="4620" max="4620" width="12.1328125" style="100" customWidth="1"/>
    <col min="4621" max="4621" width="11.46484375" style="100" customWidth="1"/>
    <col min="4622" max="4864" width="9.1328125" style="100"/>
    <col min="4865" max="4865" width="0" style="100" hidden="1" customWidth="1"/>
    <col min="4866" max="4866" width="43.46484375" style="100" customWidth="1"/>
    <col min="4867" max="4867" width="3.6640625" style="100" customWidth="1"/>
    <col min="4868" max="4868" width="30.33203125" style="100" customWidth="1"/>
    <col min="4869" max="4869" width="18.46484375" style="100" customWidth="1"/>
    <col min="4870" max="4870" width="30.33203125" style="100" customWidth="1"/>
    <col min="4871" max="4871" width="18.46484375" style="100" customWidth="1"/>
    <col min="4872" max="4872" width="12.1328125" style="100" customWidth="1"/>
    <col min="4873" max="4873" width="11.46484375" style="100" customWidth="1"/>
    <col min="4874" max="4874" width="5" style="100" customWidth="1"/>
    <col min="4875" max="4875" width="18.46484375" style="100" customWidth="1"/>
    <col min="4876" max="4876" width="12.1328125" style="100" customWidth="1"/>
    <col min="4877" max="4877" width="11.46484375" style="100" customWidth="1"/>
    <col min="4878" max="5120" width="9.1328125" style="100"/>
    <col min="5121" max="5121" width="0" style="100" hidden="1" customWidth="1"/>
    <col min="5122" max="5122" width="43.46484375" style="100" customWidth="1"/>
    <col min="5123" max="5123" width="3.6640625" style="100" customWidth="1"/>
    <col min="5124" max="5124" width="30.33203125" style="100" customWidth="1"/>
    <col min="5125" max="5125" width="18.46484375" style="100" customWidth="1"/>
    <col min="5126" max="5126" width="30.33203125" style="100" customWidth="1"/>
    <col min="5127" max="5127" width="18.46484375" style="100" customWidth="1"/>
    <col min="5128" max="5128" width="12.1328125" style="100" customWidth="1"/>
    <col min="5129" max="5129" width="11.46484375" style="100" customWidth="1"/>
    <col min="5130" max="5130" width="5" style="100" customWidth="1"/>
    <col min="5131" max="5131" width="18.46484375" style="100" customWidth="1"/>
    <col min="5132" max="5132" width="12.1328125" style="100" customWidth="1"/>
    <col min="5133" max="5133" width="11.46484375" style="100" customWidth="1"/>
    <col min="5134" max="5376" width="9.1328125" style="100"/>
    <col min="5377" max="5377" width="0" style="100" hidden="1" customWidth="1"/>
    <col min="5378" max="5378" width="43.46484375" style="100" customWidth="1"/>
    <col min="5379" max="5379" width="3.6640625" style="100" customWidth="1"/>
    <col min="5380" max="5380" width="30.33203125" style="100" customWidth="1"/>
    <col min="5381" max="5381" width="18.46484375" style="100" customWidth="1"/>
    <col min="5382" max="5382" width="30.33203125" style="100" customWidth="1"/>
    <col min="5383" max="5383" width="18.46484375" style="100" customWidth="1"/>
    <col min="5384" max="5384" width="12.1328125" style="100" customWidth="1"/>
    <col min="5385" max="5385" width="11.46484375" style="100" customWidth="1"/>
    <col min="5386" max="5386" width="5" style="100" customWidth="1"/>
    <col min="5387" max="5387" width="18.46484375" style="100" customWidth="1"/>
    <col min="5388" max="5388" width="12.1328125" style="100" customWidth="1"/>
    <col min="5389" max="5389" width="11.46484375" style="100" customWidth="1"/>
    <col min="5390" max="5632" width="9.1328125" style="100"/>
    <col min="5633" max="5633" width="0" style="100" hidden="1" customWidth="1"/>
    <col min="5634" max="5634" width="43.46484375" style="100" customWidth="1"/>
    <col min="5635" max="5635" width="3.6640625" style="100" customWidth="1"/>
    <col min="5636" max="5636" width="30.33203125" style="100" customWidth="1"/>
    <col min="5637" max="5637" width="18.46484375" style="100" customWidth="1"/>
    <col min="5638" max="5638" width="30.33203125" style="100" customWidth="1"/>
    <col min="5639" max="5639" width="18.46484375" style="100" customWidth="1"/>
    <col min="5640" max="5640" width="12.1328125" style="100" customWidth="1"/>
    <col min="5641" max="5641" width="11.46484375" style="100" customWidth="1"/>
    <col min="5642" max="5642" width="5" style="100" customWidth="1"/>
    <col min="5643" max="5643" width="18.46484375" style="100" customWidth="1"/>
    <col min="5644" max="5644" width="12.1328125" style="100" customWidth="1"/>
    <col min="5645" max="5645" width="11.46484375" style="100" customWidth="1"/>
    <col min="5646" max="5888" width="9.1328125" style="100"/>
    <col min="5889" max="5889" width="0" style="100" hidden="1" customWidth="1"/>
    <col min="5890" max="5890" width="43.46484375" style="100" customWidth="1"/>
    <col min="5891" max="5891" width="3.6640625" style="100" customWidth="1"/>
    <col min="5892" max="5892" width="30.33203125" style="100" customWidth="1"/>
    <col min="5893" max="5893" width="18.46484375" style="100" customWidth="1"/>
    <col min="5894" max="5894" width="30.33203125" style="100" customWidth="1"/>
    <col min="5895" max="5895" width="18.46484375" style="100" customWidth="1"/>
    <col min="5896" max="5896" width="12.1328125" style="100" customWidth="1"/>
    <col min="5897" max="5897" width="11.46484375" style="100" customWidth="1"/>
    <col min="5898" max="5898" width="5" style="100" customWidth="1"/>
    <col min="5899" max="5899" width="18.46484375" style="100" customWidth="1"/>
    <col min="5900" max="5900" width="12.1328125" style="100" customWidth="1"/>
    <col min="5901" max="5901" width="11.46484375" style="100" customWidth="1"/>
    <col min="5902" max="6144" width="9.1328125" style="100"/>
    <col min="6145" max="6145" width="0" style="100" hidden="1" customWidth="1"/>
    <col min="6146" max="6146" width="43.46484375" style="100" customWidth="1"/>
    <col min="6147" max="6147" width="3.6640625" style="100" customWidth="1"/>
    <col min="6148" max="6148" width="30.33203125" style="100" customWidth="1"/>
    <col min="6149" max="6149" width="18.46484375" style="100" customWidth="1"/>
    <col min="6150" max="6150" width="30.33203125" style="100" customWidth="1"/>
    <col min="6151" max="6151" width="18.46484375" style="100" customWidth="1"/>
    <col min="6152" max="6152" width="12.1328125" style="100" customWidth="1"/>
    <col min="6153" max="6153" width="11.46484375" style="100" customWidth="1"/>
    <col min="6154" max="6154" width="5" style="100" customWidth="1"/>
    <col min="6155" max="6155" width="18.46484375" style="100" customWidth="1"/>
    <col min="6156" max="6156" width="12.1328125" style="100" customWidth="1"/>
    <col min="6157" max="6157" width="11.46484375" style="100" customWidth="1"/>
    <col min="6158" max="6400" width="9.1328125" style="100"/>
    <col min="6401" max="6401" width="0" style="100" hidden="1" customWidth="1"/>
    <col min="6402" max="6402" width="43.46484375" style="100" customWidth="1"/>
    <col min="6403" max="6403" width="3.6640625" style="100" customWidth="1"/>
    <col min="6404" max="6404" width="30.33203125" style="100" customWidth="1"/>
    <col min="6405" max="6405" width="18.46484375" style="100" customWidth="1"/>
    <col min="6406" max="6406" width="30.33203125" style="100" customWidth="1"/>
    <col min="6407" max="6407" width="18.46484375" style="100" customWidth="1"/>
    <col min="6408" max="6408" width="12.1328125" style="100" customWidth="1"/>
    <col min="6409" max="6409" width="11.46484375" style="100" customWidth="1"/>
    <col min="6410" max="6410" width="5" style="100" customWidth="1"/>
    <col min="6411" max="6411" width="18.46484375" style="100" customWidth="1"/>
    <col min="6412" max="6412" width="12.1328125" style="100" customWidth="1"/>
    <col min="6413" max="6413" width="11.46484375" style="100" customWidth="1"/>
    <col min="6414" max="6656" width="9.1328125" style="100"/>
    <col min="6657" max="6657" width="0" style="100" hidden="1" customWidth="1"/>
    <col min="6658" max="6658" width="43.46484375" style="100" customWidth="1"/>
    <col min="6659" max="6659" width="3.6640625" style="100" customWidth="1"/>
    <col min="6660" max="6660" width="30.33203125" style="100" customWidth="1"/>
    <col min="6661" max="6661" width="18.46484375" style="100" customWidth="1"/>
    <col min="6662" max="6662" width="30.33203125" style="100" customWidth="1"/>
    <col min="6663" max="6663" width="18.46484375" style="100" customWidth="1"/>
    <col min="6664" max="6664" width="12.1328125" style="100" customWidth="1"/>
    <col min="6665" max="6665" width="11.46484375" style="100" customWidth="1"/>
    <col min="6666" max="6666" width="5" style="100" customWidth="1"/>
    <col min="6667" max="6667" width="18.46484375" style="100" customWidth="1"/>
    <col min="6668" max="6668" width="12.1328125" style="100" customWidth="1"/>
    <col min="6669" max="6669" width="11.46484375" style="100" customWidth="1"/>
    <col min="6670" max="6912" width="9.1328125" style="100"/>
    <col min="6913" max="6913" width="0" style="100" hidden="1" customWidth="1"/>
    <col min="6914" max="6914" width="43.46484375" style="100" customWidth="1"/>
    <col min="6915" max="6915" width="3.6640625" style="100" customWidth="1"/>
    <col min="6916" max="6916" width="30.33203125" style="100" customWidth="1"/>
    <col min="6917" max="6917" width="18.46484375" style="100" customWidth="1"/>
    <col min="6918" max="6918" width="30.33203125" style="100" customWidth="1"/>
    <col min="6919" max="6919" width="18.46484375" style="100" customWidth="1"/>
    <col min="6920" max="6920" width="12.1328125" style="100" customWidth="1"/>
    <col min="6921" max="6921" width="11.46484375" style="100" customWidth="1"/>
    <col min="6922" max="6922" width="5" style="100" customWidth="1"/>
    <col min="6923" max="6923" width="18.46484375" style="100" customWidth="1"/>
    <col min="6924" max="6924" width="12.1328125" style="100" customWidth="1"/>
    <col min="6925" max="6925" width="11.46484375" style="100" customWidth="1"/>
    <col min="6926" max="7168" width="9.1328125" style="100"/>
    <col min="7169" max="7169" width="0" style="100" hidden="1" customWidth="1"/>
    <col min="7170" max="7170" width="43.46484375" style="100" customWidth="1"/>
    <col min="7171" max="7171" width="3.6640625" style="100" customWidth="1"/>
    <col min="7172" max="7172" width="30.33203125" style="100" customWidth="1"/>
    <col min="7173" max="7173" width="18.46484375" style="100" customWidth="1"/>
    <col min="7174" max="7174" width="30.33203125" style="100" customWidth="1"/>
    <col min="7175" max="7175" width="18.46484375" style="100" customWidth="1"/>
    <col min="7176" max="7176" width="12.1328125" style="100" customWidth="1"/>
    <col min="7177" max="7177" width="11.46484375" style="100" customWidth="1"/>
    <col min="7178" max="7178" width="5" style="100" customWidth="1"/>
    <col min="7179" max="7179" width="18.46484375" style="100" customWidth="1"/>
    <col min="7180" max="7180" width="12.1328125" style="100" customWidth="1"/>
    <col min="7181" max="7181" width="11.46484375" style="100" customWidth="1"/>
    <col min="7182" max="7424" width="9.1328125" style="100"/>
    <col min="7425" max="7425" width="0" style="100" hidden="1" customWidth="1"/>
    <col min="7426" max="7426" width="43.46484375" style="100" customWidth="1"/>
    <col min="7427" max="7427" width="3.6640625" style="100" customWidth="1"/>
    <col min="7428" max="7428" width="30.33203125" style="100" customWidth="1"/>
    <col min="7429" max="7429" width="18.46484375" style="100" customWidth="1"/>
    <col min="7430" max="7430" width="30.33203125" style="100" customWidth="1"/>
    <col min="7431" max="7431" width="18.46484375" style="100" customWidth="1"/>
    <col min="7432" max="7432" width="12.1328125" style="100" customWidth="1"/>
    <col min="7433" max="7433" width="11.46484375" style="100" customWidth="1"/>
    <col min="7434" max="7434" width="5" style="100" customWidth="1"/>
    <col min="7435" max="7435" width="18.46484375" style="100" customWidth="1"/>
    <col min="7436" max="7436" width="12.1328125" style="100" customWidth="1"/>
    <col min="7437" max="7437" width="11.46484375" style="100" customWidth="1"/>
    <col min="7438" max="7680" width="9.1328125" style="100"/>
    <col min="7681" max="7681" width="0" style="100" hidden="1" customWidth="1"/>
    <col min="7682" max="7682" width="43.46484375" style="100" customWidth="1"/>
    <col min="7683" max="7683" width="3.6640625" style="100" customWidth="1"/>
    <col min="7684" max="7684" width="30.33203125" style="100" customWidth="1"/>
    <col min="7685" max="7685" width="18.46484375" style="100" customWidth="1"/>
    <col min="7686" max="7686" width="30.33203125" style="100" customWidth="1"/>
    <col min="7687" max="7687" width="18.46484375" style="100" customWidth="1"/>
    <col min="7688" max="7688" width="12.1328125" style="100" customWidth="1"/>
    <col min="7689" max="7689" width="11.46484375" style="100" customWidth="1"/>
    <col min="7690" max="7690" width="5" style="100" customWidth="1"/>
    <col min="7691" max="7691" width="18.46484375" style="100" customWidth="1"/>
    <col min="7692" max="7692" width="12.1328125" style="100" customWidth="1"/>
    <col min="7693" max="7693" width="11.46484375" style="100" customWidth="1"/>
    <col min="7694" max="7936" width="9.1328125" style="100"/>
    <col min="7937" max="7937" width="0" style="100" hidden="1" customWidth="1"/>
    <col min="7938" max="7938" width="43.46484375" style="100" customWidth="1"/>
    <col min="7939" max="7939" width="3.6640625" style="100" customWidth="1"/>
    <col min="7940" max="7940" width="30.33203125" style="100" customWidth="1"/>
    <col min="7941" max="7941" width="18.46484375" style="100" customWidth="1"/>
    <col min="7942" max="7942" width="30.33203125" style="100" customWidth="1"/>
    <col min="7943" max="7943" width="18.46484375" style="100" customWidth="1"/>
    <col min="7944" max="7944" width="12.1328125" style="100" customWidth="1"/>
    <col min="7945" max="7945" width="11.46484375" style="100" customWidth="1"/>
    <col min="7946" max="7946" width="5" style="100" customWidth="1"/>
    <col min="7947" max="7947" width="18.46484375" style="100" customWidth="1"/>
    <col min="7948" max="7948" width="12.1328125" style="100" customWidth="1"/>
    <col min="7949" max="7949" width="11.46484375" style="100" customWidth="1"/>
    <col min="7950" max="8192" width="9.1328125" style="100"/>
    <col min="8193" max="8193" width="0" style="100" hidden="1" customWidth="1"/>
    <col min="8194" max="8194" width="43.46484375" style="100" customWidth="1"/>
    <col min="8195" max="8195" width="3.6640625" style="100" customWidth="1"/>
    <col min="8196" max="8196" width="30.33203125" style="100" customWidth="1"/>
    <col min="8197" max="8197" width="18.46484375" style="100" customWidth="1"/>
    <col min="8198" max="8198" width="30.33203125" style="100" customWidth="1"/>
    <col min="8199" max="8199" width="18.46484375" style="100" customWidth="1"/>
    <col min="8200" max="8200" width="12.1328125" style="100" customWidth="1"/>
    <col min="8201" max="8201" width="11.46484375" style="100" customWidth="1"/>
    <col min="8202" max="8202" width="5" style="100" customWidth="1"/>
    <col min="8203" max="8203" width="18.46484375" style="100" customWidth="1"/>
    <col min="8204" max="8204" width="12.1328125" style="100" customWidth="1"/>
    <col min="8205" max="8205" width="11.46484375" style="100" customWidth="1"/>
    <col min="8206" max="8448" width="9.1328125" style="100"/>
    <col min="8449" max="8449" width="0" style="100" hidden="1" customWidth="1"/>
    <col min="8450" max="8450" width="43.46484375" style="100" customWidth="1"/>
    <col min="8451" max="8451" width="3.6640625" style="100" customWidth="1"/>
    <col min="8452" max="8452" width="30.33203125" style="100" customWidth="1"/>
    <col min="8453" max="8453" width="18.46484375" style="100" customWidth="1"/>
    <col min="8454" max="8454" width="30.33203125" style="100" customWidth="1"/>
    <col min="8455" max="8455" width="18.46484375" style="100" customWidth="1"/>
    <col min="8456" max="8456" width="12.1328125" style="100" customWidth="1"/>
    <col min="8457" max="8457" width="11.46484375" style="100" customWidth="1"/>
    <col min="8458" max="8458" width="5" style="100" customWidth="1"/>
    <col min="8459" max="8459" width="18.46484375" style="100" customWidth="1"/>
    <col min="8460" max="8460" width="12.1328125" style="100" customWidth="1"/>
    <col min="8461" max="8461" width="11.46484375" style="100" customWidth="1"/>
    <col min="8462" max="8704" width="9.1328125" style="100"/>
    <col min="8705" max="8705" width="0" style="100" hidden="1" customWidth="1"/>
    <col min="8706" max="8706" width="43.46484375" style="100" customWidth="1"/>
    <col min="8707" max="8707" width="3.6640625" style="100" customWidth="1"/>
    <col min="8708" max="8708" width="30.33203125" style="100" customWidth="1"/>
    <col min="8709" max="8709" width="18.46484375" style="100" customWidth="1"/>
    <col min="8710" max="8710" width="30.33203125" style="100" customWidth="1"/>
    <col min="8711" max="8711" width="18.46484375" style="100" customWidth="1"/>
    <col min="8712" max="8712" width="12.1328125" style="100" customWidth="1"/>
    <col min="8713" max="8713" width="11.46484375" style="100" customWidth="1"/>
    <col min="8714" max="8714" width="5" style="100" customWidth="1"/>
    <col min="8715" max="8715" width="18.46484375" style="100" customWidth="1"/>
    <col min="8716" max="8716" width="12.1328125" style="100" customWidth="1"/>
    <col min="8717" max="8717" width="11.46484375" style="100" customWidth="1"/>
    <col min="8718" max="8960" width="9.1328125" style="100"/>
    <col min="8961" max="8961" width="0" style="100" hidden="1" customWidth="1"/>
    <col min="8962" max="8962" width="43.46484375" style="100" customWidth="1"/>
    <col min="8963" max="8963" width="3.6640625" style="100" customWidth="1"/>
    <col min="8964" max="8964" width="30.33203125" style="100" customWidth="1"/>
    <col min="8965" max="8965" width="18.46484375" style="100" customWidth="1"/>
    <col min="8966" max="8966" width="30.33203125" style="100" customWidth="1"/>
    <col min="8967" max="8967" width="18.46484375" style="100" customWidth="1"/>
    <col min="8968" max="8968" width="12.1328125" style="100" customWidth="1"/>
    <col min="8969" max="8969" width="11.46484375" style="100" customWidth="1"/>
    <col min="8970" max="8970" width="5" style="100" customWidth="1"/>
    <col min="8971" max="8971" width="18.46484375" style="100" customWidth="1"/>
    <col min="8972" max="8972" width="12.1328125" style="100" customWidth="1"/>
    <col min="8973" max="8973" width="11.46484375" style="100" customWidth="1"/>
    <col min="8974" max="9216" width="9.1328125" style="100"/>
    <col min="9217" max="9217" width="0" style="100" hidden="1" customWidth="1"/>
    <col min="9218" max="9218" width="43.46484375" style="100" customWidth="1"/>
    <col min="9219" max="9219" width="3.6640625" style="100" customWidth="1"/>
    <col min="9220" max="9220" width="30.33203125" style="100" customWidth="1"/>
    <col min="9221" max="9221" width="18.46484375" style="100" customWidth="1"/>
    <col min="9222" max="9222" width="30.33203125" style="100" customWidth="1"/>
    <col min="9223" max="9223" width="18.46484375" style="100" customWidth="1"/>
    <col min="9224" max="9224" width="12.1328125" style="100" customWidth="1"/>
    <col min="9225" max="9225" width="11.46484375" style="100" customWidth="1"/>
    <col min="9226" max="9226" width="5" style="100" customWidth="1"/>
    <col min="9227" max="9227" width="18.46484375" style="100" customWidth="1"/>
    <col min="9228" max="9228" width="12.1328125" style="100" customWidth="1"/>
    <col min="9229" max="9229" width="11.46484375" style="100" customWidth="1"/>
    <col min="9230" max="9472" width="9.1328125" style="100"/>
    <col min="9473" max="9473" width="0" style="100" hidden="1" customWidth="1"/>
    <col min="9474" max="9474" width="43.46484375" style="100" customWidth="1"/>
    <col min="9475" max="9475" width="3.6640625" style="100" customWidth="1"/>
    <col min="9476" max="9476" width="30.33203125" style="100" customWidth="1"/>
    <col min="9477" max="9477" width="18.46484375" style="100" customWidth="1"/>
    <col min="9478" max="9478" width="30.33203125" style="100" customWidth="1"/>
    <col min="9479" max="9479" width="18.46484375" style="100" customWidth="1"/>
    <col min="9480" max="9480" width="12.1328125" style="100" customWidth="1"/>
    <col min="9481" max="9481" width="11.46484375" style="100" customWidth="1"/>
    <col min="9482" max="9482" width="5" style="100" customWidth="1"/>
    <col min="9483" max="9483" width="18.46484375" style="100" customWidth="1"/>
    <col min="9484" max="9484" width="12.1328125" style="100" customWidth="1"/>
    <col min="9485" max="9485" width="11.46484375" style="100" customWidth="1"/>
    <col min="9486" max="9728" width="9.1328125" style="100"/>
    <col min="9729" max="9729" width="0" style="100" hidden="1" customWidth="1"/>
    <col min="9730" max="9730" width="43.46484375" style="100" customWidth="1"/>
    <col min="9731" max="9731" width="3.6640625" style="100" customWidth="1"/>
    <col min="9732" max="9732" width="30.33203125" style="100" customWidth="1"/>
    <col min="9733" max="9733" width="18.46484375" style="100" customWidth="1"/>
    <col min="9734" max="9734" width="30.33203125" style="100" customWidth="1"/>
    <col min="9735" max="9735" width="18.46484375" style="100" customWidth="1"/>
    <col min="9736" max="9736" width="12.1328125" style="100" customWidth="1"/>
    <col min="9737" max="9737" width="11.46484375" style="100" customWidth="1"/>
    <col min="9738" max="9738" width="5" style="100" customWidth="1"/>
    <col min="9739" max="9739" width="18.46484375" style="100" customWidth="1"/>
    <col min="9740" max="9740" width="12.1328125" style="100" customWidth="1"/>
    <col min="9741" max="9741" width="11.46484375" style="100" customWidth="1"/>
    <col min="9742" max="9984" width="9.1328125" style="100"/>
    <col min="9985" max="9985" width="0" style="100" hidden="1" customWidth="1"/>
    <col min="9986" max="9986" width="43.46484375" style="100" customWidth="1"/>
    <col min="9987" max="9987" width="3.6640625" style="100" customWidth="1"/>
    <col min="9988" max="9988" width="30.33203125" style="100" customWidth="1"/>
    <col min="9989" max="9989" width="18.46484375" style="100" customWidth="1"/>
    <col min="9990" max="9990" width="30.33203125" style="100" customWidth="1"/>
    <col min="9991" max="9991" width="18.46484375" style="100" customWidth="1"/>
    <col min="9992" max="9992" width="12.1328125" style="100" customWidth="1"/>
    <col min="9993" max="9993" width="11.46484375" style="100" customWidth="1"/>
    <col min="9994" max="9994" width="5" style="100" customWidth="1"/>
    <col min="9995" max="9995" width="18.46484375" style="100" customWidth="1"/>
    <col min="9996" max="9996" width="12.1328125" style="100" customWidth="1"/>
    <col min="9997" max="9997" width="11.46484375" style="100" customWidth="1"/>
    <col min="9998" max="10240" width="9.1328125" style="100"/>
    <col min="10241" max="10241" width="0" style="100" hidden="1" customWidth="1"/>
    <col min="10242" max="10242" width="43.46484375" style="100" customWidth="1"/>
    <col min="10243" max="10243" width="3.6640625" style="100" customWidth="1"/>
    <col min="10244" max="10244" width="30.33203125" style="100" customWidth="1"/>
    <col min="10245" max="10245" width="18.46484375" style="100" customWidth="1"/>
    <col min="10246" max="10246" width="30.33203125" style="100" customWidth="1"/>
    <col min="10247" max="10247" width="18.46484375" style="100" customWidth="1"/>
    <col min="10248" max="10248" width="12.1328125" style="100" customWidth="1"/>
    <col min="10249" max="10249" width="11.46484375" style="100" customWidth="1"/>
    <col min="10250" max="10250" width="5" style="100" customWidth="1"/>
    <col min="10251" max="10251" width="18.46484375" style="100" customWidth="1"/>
    <col min="10252" max="10252" width="12.1328125" style="100" customWidth="1"/>
    <col min="10253" max="10253" width="11.46484375" style="100" customWidth="1"/>
    <col min="10254" max="10496" width="9.1328125" style="100"/>
    <col min="10497" max="10497" width="0" style="100" hidden="1" customWidth="1"/>
    <col min="10498" max="10498" width="43.46484375" style="100" customWidth="1"/>
    <col min="10499" max="10499" width="3.6640625" style="100" customWidth="1"/>
    <col min="10500" max="10500" width="30.33203125" style="100" customWidth="1"/>
    <col min="10501" max="10501" width="18.46484375" style="100" customWidth="1"/>
    <col min="10502" max="10502" width="30.33203125" style="100" customWidth="1"/>
    <col min="10503" max="10503" width="18.46484375" style="100" customWidth="1"/>
    <col min="10504" max="10504" width="12.1328125" style="100" customWidth="1"/>
    <col min="10505" max="10505" width="11.46484375" style="100" customWidth="1"/>
    <col min="10506" max="10506" width="5" style="100" customWidth="1"/>
    <col min="10507" max="10507" width="18.46484375" style="100" customWidth="1"/>
    <col min="10508" max="10508" width="12.1328125" style="100" customWidth="1"/>
    <col min="10509" max="10509" width="11.46484375" style="100" customWidth="1"/>
    <col min="10510" max="10752" width="9.1328125" style="100"/>
    <col min="10753" max="10753" width="0" style="100" hidden="1" customWidth="1"/>
    <col min="10754" max="10754" width="43.46484375" style="100" customWidth="1"/>
    <col min="10755" max="10755" width="3.6640625" style="100" customWidth="1"/>
    <col min="10756" max="10756" width="30.33203125" style="100" customWidth="1"/>
    <col min="10757" max="10757" width="18.46484375" style="100" customWidth="1"/>
    <col min="10758" max="10758" width="30.33203125" style="100" customWidth="1"/>
    <col min="10759" max="10759" width="18.46484375" style="100" customWidth="1"/>
    <col min="10760" max="10760" width="12.1328125" style="100" customWidth="1"/>
    <col min="10761" max="10761" width="11.46484375" style="100" customWidth="1"/>
    <col min="10762" max="10762" width="5" style="100" customWidth="1"/>
    <col min="10763" max="10763" width="18.46484375" style="100" customWidth="1"/>
    <col min="10764" max="10764" width="12.1328125" style="100" customWidth="1"/>
    <col min="10765" max="10765" width="11.46484375" style="100" customWidth="1"/>
    <col min="10766" max="11008" width="9.1328125" style="100"/>
    <col min="11009" max="11009" width="0" style="100" hidden="1" customWidth="1"/>
    <col min="11010" max="11010" width="43.46484375" style="100" customWidth="1"/>
    <col min="11011" max="11011" width="3.6640625" style="100" customWidth="1"/>
    <col min="11012" max="11012" width="30.33203125" style="100" customWidth="1"/>
    <col min="11013" max="11013" width="18.46484375" style="100" customWidth="1"/>
    <col min="11014" max="11014" width="30.33203125" style="100" customWidth="1"/>
    <col min="11015" max="11015" width="18.46484375" style="100" customWidth="1"/>
    <col min="11016" max="11016" width="12.1328125" style="100" customWidth="1"/>
    <col min="11017" max="11017" width="11.46484375" style="100" customWidth="1"/>
    <col min="11018" max="11018" width="5" style="100" customWidth="1"/>
    <col min="11019" max="11019" width="18.46484375" style="100" customWidth="1"/>
    <col min="11020" max="11020" width="12.1328125" style="100" customWidth="1"/>
    <col min="11021" max="11021" width="11.46484375" style="100" customWidth="1"/>
    <col min="11022" max="11264" width="9.1328125" style="100"/>
    <col min="11265" max="11265" width="0" style="100" hidden="1" customWidth="1"/>
    <col min="11266" max="11266" width="43.46484375" style="100" customWidth="1"/>
    <col min="11267" max="11267" width="3.6640625" style="100" customWidth="1"/>
    <col min="11268" max="11268" width="30.33203125" style="100" customWidth="1"/>
    <col min="11269" max="11269" width="18.46484375" style="100" customWidth="1"/>
    <col min="11270" max="11270" width="30.33203125" style="100" customWidth="1"/>
    <col min="11271" max="11271" width="18.46484375" style="100" customWidth="1"/>
    <col min="11272" max="11272" width="12.1328125" style="100" customWidth="1"/>
    <col min="11273" max="11273" width="11.46484375" style="100" customWidth="1"/>
    <col min="11274" max="11274" width="5" style="100" customWidth="1"/>
    <col min="11275" max="11275" width="18.46484375" style="100" customWidth="1"/>
    <col min="11276" max="11276" width="12.1328125" style="100" customWidth="1"/>
    <col min="11277" max="11277" width="11.46484375" style="100" customWidth="1"/>
    <col min="11278" max="11520" width="9.1328125" style="100"/>
    <col min="11521" max="11521" width="0" style="100" hidden="1" customWidth="1"/>
    <col min="11522" max="11522" width="43.46484375" style="100" customWidth="1"/>
    <col min="11523" max="11523" width="3.6640625" style="100" customWidth="1"/>
    <col min="11524" max="11524" width="30.33203125" style="100" customWidth="1"/>
    <col min="11525" max="11525" width="18.46484375" style="100" customWidth="1"/>
    <col min="11526" max="11526" width="30.33203125" style="100" customWidth="1"/>
    <col min="11527" max="11527" width="18.46484375" style="100" customWidth="1"/>
    <col min="11528" max="11528" width="12.1328125" style="100" customWidth="1"/>
    <col min="11529" max="11529" width="11.46484375" style="100" customWidth="1"/>
    <col min="11530" max="11530" width="5" style="100" customWidth="1"/>
    <col min="11531" max="11531" width="18.46484375" style="100" customWidth="1"/>
    <col min="11532" max="11532" width="12.1328125" style="100" customWidth="1"/>
    <col min="11533" max="11533" width="11.46484375" style="100" customWidth="1"/>
    <col min="11534" max="11776" width="9.1328125" style="100"/>
    <col min="11777" max="11777" width="0" style="100" hidden="1" customWidth="1"/>
    <col min="11778" max="11778" width="43.46484375" style="100" customWidth="1"/>
    <col min="11779" max="11779" width="3.6640625" style="100" customWidth="1"/>
    <col min="11780" max="11780" width="30.33203125" style="100" customWidth="1"/>
    <col min="11781" max="11781" width="18.46484375" style="100" customWidth="1"/>
    <col min="11782" max="11782" width="30.33203125" style="100" customWidth="1"/>
    <col min="11783" max="11783" width="18.46484375" style="100" customWidth="1"/>
    <col min="11784" max="11784" width="12.1328125" style="100" customWidth="1"/>
    <col min="11785" max="11785" width="11.46484375" style="100" customWidth="1"/>
    <col min="11786" max="11786" width="5" style="100" customWidth="1"/>
    <col min="11787" max="11787" width="18.46484375" style="100" customWidth="1"/>
    <col min="11788" max="11788" width="12.1328125" style="100" customWidth="1"/>
    <col min="11789" max="11789" width="11.46484375" style="100" customWidth="1"/>
    <col min="11790" max="12032" width="9.1328125" style="100"/>
    <col min="12033" max="12033" width="0" style="100" hidden="1" customWidth="1"/>
    <col min="12034" max="12034" width="43.46484375" style="100" customWidth="1"/>
    <col min="12035" max="12035" width="3.6640625" style="100" customWidth="1"/>
    <col min="12036" max="12036" width="30.33203125" style="100" customWidth="1"/>
    <col min="12037" max="12037" width="18.46484375" style="100" customWidth="1"/>
    <col min="12038" max="12038" width="30.33203125" style="100" customWidth="1"/>
    <col min="12039" max="12039" width="18.46484375" style="100" customWidth="1"/>
    <col min="12040" max="12040" width="12.1328125" style="100" customWidth="1"/>
    <col min="12041" max="12041" width="11.46484375" style="100" customWidth="1"/>
    <col min="12042" max="12042" width="5" style="100" customWidth="1"/>
    <col min="12043" max="12043" width="18.46484375" style="100" customWidth="1"/>
    <col min="12044" max="12044" width="12.1328125" style="100" customWidth="1"/>
    <col min="12045" max="12045" width="11.46484375" style="100" customWidth="1"/>
    <col min="12046" max="12288" width="9.1328125" style="100"/>
    <col min="12289" max="12289" width="0" style="100" hidden="1" customWidth="1"/>
    <col min="12290" max="12290" width="43.46484375" style="100" customWidth="1"/>
    <col min="12291" max="12291" width="3.6640625" style="100" customWidth="1"/>
    <col min="12292" max="12292" width="30.33203125" style="100" customWidth="1"/>
    <col min="12293" max="12293" width="18.46484375" style="100" customWidth="1"/>
    <col min="12294" max="12294" width="30.33203125" style="100" customWidth="1"/>
    <col min="12295" max="12295" width="18.46484375" style="100" customWidth="1"/>
    <col min="12296" max="12296" width="12.1328125" style="100" customWidth="1"/>
    <col min="12297" max="12297" width="11.46484375" style="100" customWidth="1"/>
    <col min="12298" max="12298" width="5" style="100" customWidth="1"/>
    <col min="12299" max="12299" width="18.46484375" style="100" customWidth="1"/>
    <col min="12300" max="12300" width="12.1328125" style="100" customWidth="1"/>
    <col min="12301" max="12301" width="11.46484375" style="100" customWidth="1"/>
    <col min="12302" max="12544" width="9.1328125" style="100"/>
    <col min="12545" max="12545" width="0" style="100" hidden="1" customWidth="1"/>
    <col min="12546" max="12546" width="43.46484375" style="100" customWidth="1"/>
    <col min="12547" max="12547" width="3.6640625" style="100" customWidth="1"/>
    <col min="12548" max="12548" width="30.33203125" style="100" customWidth="1"/>
    <col min="12549" max="12549" width="18.46484375" style="100" customWidth="1"/>
    <col min="12550" max="12550" width="30.33203125" style="100" customWidth="1"/>
    <col min="12551" max="12551" width="18.46484375" style="100" customWidth="1"/>
    <col min="12552" max="12552" width="12.1328125" style="100" customWidth="1"/>
    <col min="12553" max="12553" width="11.46484375" style="100" customWidth="1"/>
    <col min="12554" max="12554" width="5" style="100" customWidth="1"/>
    <col min="12555" max="12555" width="18.46484375" style="100" customWidth="1"/>
    <col min="12556" max="12556" width="12.1328125" style="100" customWidth="1"/>
    <col min="12557" max="12557" width="11.46484375" style="100" customWidth="1"/>
    <col min="12558" max="12800" width="9.1328125" style="100"/>
    <col min="12801" max="12801" width="0" style="100" hidden="1" customWidth="1"/>
    <col min="12802" max="12802" width="43.46484375" style="100" customWidth="1"/>
    <col min="12803" max="12803" width="3.6640625" style="100" customWidth="1"/>
    <col min="12804" max="12804" width="30.33203125" style="100" customWidth="1"/>
    <col min="12805" max="12805" width="18.46484375" style="100" customWidth="1"/>
    <col min="12806" max="12806" width="30.33203125" style="100" customWidth="1"/>
    <col min="12807" max="12807" width="18.46484375" style="100" customWidth="1"/>
    <col min="12808" max="12808" width="12.1328125" style="100" customWidth="1"/>
    <col min="12809" max="12809" width="11.46484375" style="100" customWidth="1"/>
    <col min="12810" max="12810" width="5" style="100" customWidth="1"/>
    <col min="12811" max="12811" width="18.46484375" style="100" customWidth="1"/>
    <col min="12812" max="12812" width="12.1328125" style="100" customWidth="1"/>
    <col min="12813" max="12813" width="11.46484375" style="100" customWidth="1"/>
    <col min="12814" max="13056" width="9.1328125" style="100"/>
    <col min="13057" max="13057" width="0" style="100" hidden="1" customWidth="1"/>
    <col min="13058" max="13058" width="43.46484375" style="100" customWidth="1"/>
    <col min="13059" max="13059" width="3.6640625" style="100" customWidth="1"/>
    <col min="13060" max="13060" width="30.33203125" style="100" customWidth="1"/>
    <col min="13061" max="13061" width="18.46484375" style="100" customWidth="1"/>
    <col min="13062" max="13062" width="30.33203125" style="100" customWidth="1"/>
    <col min="13063" max="13063" width="18.46484375" style="100" customWidth="1"/>
    <col min="13064" max="13064" width="12.1328125" style="100" customWidth="1"/>
    <col min="13065" max="13065" width="11.46484375" style="100" customWidth="1"/>
    <col min="13066" max="13066" width="5" style="100" customWidth="1"/>
    <col min="13067" max="13067" width="18.46484375" style="100" customWidth="1"/>
    <col min="13068" max="13068" width="12.1328125" style="100" customWidth="1"/>
    <col min="13069" max="13069" width="11.46484375" style="100" customWidth="1"/>
    <col min="13070" max="13312" width="9.1328125" style="100"/>
    <col min="13313" max="13313" width="0" style="100" hidden="1" customWidth="1"/>
    <col min="13314" max="13314" width="43.46484375" style="100" customWidth="1"/>
    <col min="13315" max="13315" width="3.6640625" style="100" customWidth="1"/>
    <col min="13316" max="13316" width="30.33203125" style="100" customWidth="1"/>
    <col min="13317" max="13317" width="18.46484375" style="100" customWidth="1"/>
    <col min="13318" max="13318" width="30.33203125" style="100" customWidth="1"/>
    <col min="13319" max="13319" width="18.46484375" style="100" customWidth="1"/>
    <col min="13320" max="13320" width="12.1328125" style="100" customWidth="1"/>
    <col min="13321" max="13321" width="11.46484375" style="100" customWidth="1"/>
    <col min="13322" max="13322" width="5" style="100" customWidth="1"/>
    <col min="13323" max="13323" width="18.46484375" style="100" customWidth="1"/>
    <col min="13324" max="13324" width="12.1328125" style="100" customWidth="1"/>
    <col min="13325" max="13325" width="11.46484375" style="100" customWidth="1"/>
    <col min="13326" max="13568" width="9.1328125" style="100"/>
    <col min="13569" max="13569" width="0" style="100" hidden="1" customWidth="1"/>
    <col min="13570" max="13570" width="43.46484375" style="100" customWidth="1"/>
    <col min="13571" max="13571" width="3.6640625" style="100" customWidth="1"/>
    <col min="13572" max="13572" width="30.33203125" style="100" customWidth="1"/>
    <col min="13573" max="13573" width="18.46484375" style="100" customWidth="1"/>
    <col min="13574" max="13574" width="30.33203125" style="100" customWidth="1"/>
    <col min="13575" max="13575" width="18.46484375" style="100" customWidth="1"/>
    <col min="13576" max="13576" width="12.1328125" style="100" customWidth="1"/>
    <col min="13577" max="13577" width="11.46484375" style="100" customWidth="1"/>
    <col min="13578" max="13578" width="5" style="100" customWidth="1"/>
    <col min="13579" max="13579" width="18.46484375" style="100" customWidth="1"/>
    <col min="13580" max="13580" width="12.1328125" style="100" customWidth="1"/>
    <col min="13581" max="13581" width="11.46484375" style="100" customWidth="1"/>
    <col min="13582" max="13824" width="9.1328125" style="100"/>
    <col min="13825" max="13825" width="0" style="100" hidden="1" customWidth="1"/>
    <col min="13826" max="13826" width="43.46484375" style="100" customWidth="1"/>
    <col min="13827" max="13827" width="3.6640625" style="100" customWidth="1"/>
    <col min="13828" max="13828" width="30.33203125" style="100" customWidth="1"/>
    <col min="13829" max="13829" width="18.46484375" style="100" customWidth="1"/>
    <col min="13830" max="13830" width="30.33203125" style="100" customWidth="1"/>
    <col min="13831" max="13831" width="18.46484375" style="100" customWidth="1"/>
    <col min="13832" max="13832" width="12.1328125" style="100" customWidth="1"/>
    <col min="13833" max="13833" width="11.46484375" style="100" customWidth="1"/>
    <col min="13834" max="13834" width="5" style="100" customWidth="1"/>
    <col min="13835" max="13835" width="18.46484375" style="100" customWidth="1"/>
    <col min="13836" max="13836" width="12.1328125" style="100" customWidth="1"/>
    <col min="13837" max="13837" width="11.46484375" style="100" customWidth="1"/>
    <col min="13838" max="14080" width="9.1328125" style="100"/>
    <col min="14081" max="14081" width="0" style="100" hidden="1" customWidth="1"/>
    <col min="14082" max="14082" width="43.46484375" style="100" customWidth="1"/>
    <col min="14083" max="14083" width="3.6640625" style="100" customWidth="1"/>
    <col min="14084" max="14084" width="30.33203125" style="100" customWidth="1"/>
    <col min="14085" max="14085" width="18.46484375" style="100" customWidth="1"/>
    <col min="14086" max="14086" width="30.33203125" style="100" customWidth="1"/>
    <col min="14087" max="14087" width="18.46484375" style="100" customWidth="1"/>
    <col min="14088" max="14088" width="12.1328125" style="100" customWidth="1"/>
    <col min="14089" max="14089" width="11.46484375" style="100" customWidth="1"/>
    <col min="14090" max="14090" width="5" style="100" customWidth="1"/>
    <col min="14091" max="14091" width="18.46484375" style="100" customWidth="1"/>
    <col min="14092" max="14092" width="12.1328125" style="100" customWidth="1"/>
    <col min="14093" max="14093" width="11.46484375" style="100" customWidth="1"/>
    <col min="14094" max="14336" width="9.1328125" style="100"/>
    <col min="14337" max="14337" width="0" style="100" hidden="1" customWidth="1"/>
    <col min="14338" max="14338" width="43.46484375" style="100" customWidth="1"/>
    <col min="14339" max="14339" width="3.6640625" style="100" customWidth="1"/>
    <col min="14340" max="14340" width="30.33203125" style="100" customWidth="1"/>
    <col min="14341" max="14341" width="18.46484375" style="100" customWidth="1"/>
    <col min="14342" max="14342" width="30.33203125" style="100" customWidth="1"/>
    <col min="14343" max="14343" width="18.46484375" style="100" customWidth="1"/>
    <col min="14344" max="14344" width="12.1328125" style="100" customWidth="1"/>
    <col min="14345" max="14345" width="11.46484375" style="100" customWidth="1"/>
    <col min="14346" max="14346" width="5" style="100" customWidth="1"/>
    <col min="14347" max="14347" width="18.46484375" style="100" customWidth="1"/>
    <col min="14348" max="14348" width="12.1328125" style="100" customWidth="1"/>
    <col min="14349" max="14349" width="11.46484375" style="100" customWidth="1"/>
    <col min="14350" max="14592" width="9.1328125" style="100"/>
    <col min="14593" max="14593" width="0" style="100" hidden="1" customWidth="1"/>
    <col min="14594" max="14594" width="43.46484375" style="100" customWidth="1"/>
    <col min="14595" max="14595" width="3.6640625" style="100" customWidth="1"/>
    <col min="14596" max="14596" width="30.33203125" style="100" customWidth="1"/>
    <col min="14597" max="14597" width="18.46484375" style="100" customWidth="1"/>
    <col min="14598" max="14598" width="30.33203125" style="100" customWidth="1"/>
    <col min="14599" max="14599" width="18.46484375" style="100" customWidth="1"/>
    <col min="14600" max="14600" width="12.1328125" style="100" customWidth="1"/>
    <col min="14601" max="14601" width="11.46484375" style="100" customWidth="1"/>
    <col min="14602" max="14602" width="5" style="100" customWidth="1"/>
    <col min="14603" max="14603" width="18.46484375" style="100" customWidth="1"/>
    <col min="14604" max="14604" width="12.1328125" style="100" customWidth="1"/>
    <col min="14605" max="14605" width="11.46484375" style="100" customWidth="1"/>
    <col min="14606" max="14848" width="9.1328125" style="100"/>
    <col min="14849" max="14849" width="0" style="100" hidden="1" customWidth="1"/>
    <col min="14850" max="14850" width="43.46484375" style="100" customWidth="1"/>
    <col min="14851" max="14851" width="3.6640625" style="100" customWidth="1"/>
    <col min="14852" max="14852" width="30.33203125" style="100" customWidth="1"/>
    <col min="14853" max="14853" width="18.46484375" style="100" customWidth="1"/>
    <col min="14854" max="14854" width="30.33203125" style="100" customWidth="1"/>
    <col min="14855" max="14855" width="18.46484375" style="100" customWidth="1"/>
    <col min="14856" max="14856" width="12.1328125" style="100" customWidth="1"/>
    <col min="14857" max="14857" width="11.46484375" style="100" customWidth="1"/>
    <col min="14858" max="14858" width="5" style="100" customWidth="1"/>
    <col min="14859" max="14859" width="18.46484375" style="100" customWidth="1"/>
    <col min="14860" max="14860" width="12.1328125" style="100" customWidth="1"/>
    <col min="14861" max="14861" width="11.46484375" style="100" customWidth="1"/>
    <col min="14862" max="15104" width="9.1328125" style="100"/>
    <col min="15105" max="15105" width="0" style="100" hidden="1" customWidth="1"/>
    <col min="15106" max="15106" width="43.46484375" style="100" customWidth="1"/>
    <col min="15107" max="15107" width="3.6640625" style="100" customWidth="1"/>
    <col min="15108" max="15108" width="30.33203125" style="100" customWidth="1"/>
    <col min="15109" max="15109" width="18.46484375" style="100" customWidth="1"/>
    <col min="15110" max="15110" width="30.33203125" style="100" customWidth="1"/>
    <col min="15111" max="15111" width="18.46484375" style="100" customWidth="1"/>
    <col min="15112" max="15112" width="12.1328125" style="100" customWidth="1"/>
    <col min="15113" max="15113" width="11.46484375" style="100" customWidth="1"/>
    <col min="15114" max="15114" width="5" style="100" customWidth="1"/>
    <col min="15115" max="15115" width="18.46484375" style="100" customWidth="1"/>
    <col min="15116" max="15116" width="12.1328125" style="100" customWidth="1"/>
    <col min="15117" max="15117" width="11.46484375" style="100" customWidth="1"/>
    <col min="15118" max="15360" width="9.1328125" style="100"/>
    <col min="15361" max="15361" width="0" style="100" hidden="1" customWidth="1"/>
    <col min="15362" max="15362" width="43.46484375" style="100" customWidth="1"/>
    <col min="15363" max="15363" width="3.6640625" style="100" customWidth="1"/>
    <col min="15364" max="15364" width="30.33203125" style="100" customWidth="1"/>
    <col min="15365" max="15365" width="18.46484375" style="100" customWidth="1"/>
    <col min="15366" max="15366" width="30.33203125" style="100" customWidth="1"/>
    <col min="15367" max="15367" width="18.46484375" style="100" customWidth="1"/>
    <col min="15368" max="15368" width="12.1328125" style="100" customWidth="1"/>
    <col min="15369" max="15369" width="11.46484375" style="100" customWidth="1"/>
    <col min="15370" max="15370" width="5" style="100" customWidth="1"/>
    <col min="15371" max="15371" width="18.46484375" style="100" customWidth="1"/>
    <col min="15372" max="15372" width="12.1328125" style="100" customWidth="1"/>
    <col min="15373" max="15373" width="11.46484375" style="100" customWidth="1"/>
    <col min="15374" max="15616" width="9.1328125" style="100"/>
    <col min="15617" max="15617" width="0" style="100" hidden="1" customWidth="1"/>
    <col min="15618" max="15618" width="43.46484375" style="100" customWidth="1"/>
    <col min="15619" max="15619" width="3.6640625" style="100" customWidth="1"/>
    <col min="15620" max="15620" width="30.33203125" style="100" customWidth="1"/>
    <col min="15621" max="15621" width="18.46484375" style="100" customWidth="1"/>
    <col min="15622" max="15622" width="30.33203125" style="100" customWidth="1"/>
    <col min="15623" max="15623" width="18.46484375" style="100" customWidth="1"/>
    <col min="15624" max="15624" width="12.1328125" style="100" customWidth="1"/>
    <col min="15625" max="15625" width="11.46484375" style="100" customWidth="1"/>
    <col min="15626" max="15626" width="5" style="100" customWidth="1"/>
    <col min="15627" max="15627" width="18.46484375" style="100" customWidth="1"/>
    <col min="15628" max="15628" width="12.1328125" style="100" customWidth="1"/>
    <col min="15629" max="15629" width="11.46484375" style="100" customWidth="1"/>
    <col min="15630" max="15872" width="9.1328125" style="100"/>
    <col min="15873" max="15873" width="0" style="100" hidden="1" customWidth="1"/>
    <col min="15874" max="15874" width="43.46484375" style="100" customWidth="1"/>
    <col min="15875" max="15875" width="3.6640625" style="100" customWidth="1"/>
    <col min="15876" max="15876" width="30.33203125" style="100" customWidth="1"/>
    <col min="15877" max="15877" width="18.46484375" style="100" customWidth="1"/>
    <col min="15878" max="15878" width="30.33203125" style="100" customWidth="1"/>
    <col min="15879" max="15879" width="18.46484375" style="100" customWidth="1"/>
    <col min="15880" max="15880" width="12.1328125" style="100" customWidth="1"/>
    <col min="15881" max="15881" width="11.46484375" style="100" customWidth="1"/>
    <col min="15882" max="15882" width="5" style="100" customWidth="1"/>
    <col min="15883" max="15883" width="18.46484375" style="100" customWidth="1"/>
    <col min="15884" max="15884" width="12.1328125" style="100" customWidth="1"/>
    <col min="15885" max="15885" width="11.46484375" style="100" customWidth="1"/>
    <col min="15886" max="16128" width="9.1328125" style="100"/>
    <col min="16129" max="16129" width="0" style="100" hidden="1" customWidth="1"/>
    <col min="16130" max="16130" width="43.46484375" style="100" customWidth="1"/>
    <col min="16131" max="16131" width="3.6640625" style="100" customWidth="1"/>
    <col min="16132" max="16132" width="30.33203125" style="100" customWidth="1"/>
    <col min="16133" max="16133" width="18.46484375" style="100" customWidth="1"/>
    <col min="16134" max="16134" width="30.33203125" style="100" customWidth="1"/>
    <col min="16135" max="16135" width="18.46484375" style="100" customWidth="1"/>
    <col min="16136" max="16136" width="12.1328125" style="100" customWidth="1"/>
    <col min="16137" max="16137" width="11.46484375" style="100" customWidth="1"/>
    <col min="16138" max="16138" width="5" style="100" customWidth="1"/>
    <col min="16139" max="16139" width="18.46484375" style="100" customWidth="1"/>
    <col min="16140" max="16140" width="12.1328125" style="100" customWidth="1"/>
    <col min="16141" max="16141" width="11.46484375" style="100" customWidth="1"/>
    <col min="16142" max="16384" width="9.1328125" style="100"/>
  </cols>
  <sheetData>
    <row r="1" spans="1:256" ht="12.75" customHeight="1">
      <c r="A1" s="97"/>
      <c r="B1" s="140"/>
      <c r="C1" s="97"/>
      <c r="D1" s="97"/>
      <c r="E1" s="97"/>
      <c r="F1" s="97"/>
      <c r="G1" s="97"/>
      <c r="H1" s="97"/>
      <c r="I1" s="97"/>
      <c r="J1" s="98"/>
      <c r="K1" s="97"/>
      <c r="L1" s="97"/>
      <c r="M1" s="97"/>
      <c r="N1" s="99"/>
      <c r="O1" s="99"/>
      <c r="P1" s="99"/>
      <c r="Q1" s="99"/>
      <c r="R1" s="99"/>
      <c r="S1" s="99"/>
      <c r="T1" s="99"/>
      <c r="U1" s="99"/>
      <c r="V1" s="99"/>
      <c r="W1" s="99"/>
      <c r="X1" s="99"/>
      <c r="Y1" s="99"/>
      <c r="Z1" s="99"/>
      <c r="AA1" s="99"/>
      <c r="AB1" s="99"/>
      <c r="AC1" s="99"/>
      <c r="AD1" s="99"/>
      <c r="AE1" s="99"/>
    </row>
    <row r="2" spans="1:256" s="221" customFormat="1" ht="21" customHeight="1">
      <c r="A2" s="97"/>
      <c r="B2" s="3188" t="s">
        <v>0</v>
      </c>
      <c r="C2" s="99"/>
      <c r="D2" s="217" t="s">
        <v>255</v>
      </c>
      <c r="E2" s="693"/>
      <c r="F2" s="218"/>
      <c r="G2" s="219"/>
      <c r="H2" s="220"/>
      <c r="I2" s="218"/>
      <c r="J2" s="218"/>
      <c r="K2" s="218"/>
      <c r="L2" s="218"/>
      <c r="M2" s="218"/>
      <c r="N2" s="220"/>
      <c r="O2" s="220"/>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c r="EA2" s="218"/>
      <c r="EB2" s="218"/>
      <c r="EC2" s="218"/>
      <c r="ED2" s="218"/>
      <c r="EE2" s="218"/>
      <c r="EF2" s="218"/>
      <c r="EG2" s="218"/>
      <c r="EH2" s="218"/>
      <c r="EI2" s="218"/>
      <c r="EJ2" s="218"/>
      <c r="EK2" s="218"/>
      <c r="EL2" s="218"/>
      <c r="EM2" s="218"/>
      <c r="EN2" s="218"/>
      <c r="EO2" s="218"/>
      <c r="EP2" s="218"/>
      <c r="EQ2" s="218"/>
      <c r="ER2" s="218"/>
      <c r="ES2" s="218"/>
      <c r="ET2" s="218"/>
      <c r="EU2" s="218"/>
      <c r="EV2" s="218"/>
      <c r="EW2" s="218"/>
      <c r="EX2" s="218"/>
      <c r="EY2" s="218"/>
      <c r="EZ2" s="218"/>
      <c r="FA2" s="218"/>
      <c r="FB2" s="218"/>
      <c r="FC2" s="218"/>
      <c r="FD2" s="218"/>
      <c r="FE2" s="218"/>
      <c r="FF2" s="218"/>
      <c r="FG2" s="218"/>
      <c r="FH2" s="218"/>
      <c r="FI2" s="218"/>
      <c r="FJ2" s="218"/>
      <c r="FK2" s="218"/>
      <c r="FL2" s="218"/>
      <c r="FM2" s="218"/>
      <c r="FN2" s="218"/>
      <c r="FO2" s="218"/>
      <c r="FP2" s="218"/>
      <c r="FQ2" s="218"/>
      <c r="FR2" s="218"/>
      <c r="FS2" s="218"/>
      <c r="FT2" s="218"/>
      <c r="FU2" s="218"/>
      <c r="FV2" s="218"/>
      <c r="FW2" s="218"/>
      <c r="FX2" s="218"/>
      <c r="FY2" s="218"/>
      <c r="FZ2" s="218"/>
      <c r="GA2" s="218"/>
      <c r="GB2" s="218"/>
      <c r="GC2" s="218"/>
      <c r="GD2" s="218"/>
      <c r="GE2" s="218"/>
      <c r="GF2" s="218"/>
      <c r="GG2" s="218"/>
      <c r="GH2" s="218"/>
      <c r="GI2" s="218"/>
      <c r="GJ2" s="218"/>
      <c r="GK2" s="218"/>
      <c r="GL2" s="218"/>
      <c r="GM2" s="218"/>
      <c r="GN2" s="218"/>
      <c r="GO2" s="218"/>
      <c r="GP2" s="218"/>
      <c r="GQ2" s="218"/>
      <c r="GR2" s="218"/>
      <c r="GS2" s="218"/>
      <c r="GT2" s="218"/>
      <c r="GU2" s="218"/>
      <c r="GV2" s="218"/>
      <c r="GW2" s="218"/>
      <c r="GX2" s="218"/>
      <c r="GY2" s="218"/>
      <c r="GZ2" s="218"/>
      <c r="HA2" s="218"/>
      <c r="HB2" s="218"/>
      <c r="HC2" s="218"/>
      <c r="HD2" s="218"/>
      <c r="HE2" s="218"/>
      <c r="HF2" s="218"/>
      <c r="HG2" s="218"/>
      <c r="HH2" s="218"/>
      <c r="HI2" s="218"/>
      <c r="HJ2" s="218"/>
      <c r="HK2" s="218"/>
      <c r="HL2" s="218"/>
      <c r="HM2" s="218"/>
      <c r="HN2" s="218"/>
      <c r="HO2" s="218"/>
      <c r="HP2" s="218"/>
      <c r="HQ2" s="218"/>
      <c r="HR2" s="218"/>
      <c r="HS2" s="218"/>
      <c r="HT2" s="218"/>
      <c r="HU2" s="218"/>
      <c r="HV2" s="218"/>
      <c r="HW2" s="218"/>
      <c r="HX2" s="218"/>
      <c r="HY2" s="218"/>
      <c r="HZ2" s="218"/>
      <c r="IA2" s="218"/>
      <c r="IB2" s="218"/>
      <c r="IC2" s="218"/>
      <c r="ID2" s="218"/>
      <c r="IE2" s="218"/>
      <c r="IF2" s="218"/>
      <c r="IG2" s="218"/>
      <c r="IH2" s="218"/>
      <c r="II2" s="218"/>
      <c r="IJ2" s="218"/>
      <c r="IK2" s="218"/>
      <c r="IL2" s="218"/>
      <c r="IM2" s="218"/>
      <c r="IN2" s="218"/>
      <c r="IO2" s="218"/>
      <c r="IP2" s="218"/>
      <c r="IQ2" s="218"/>
      <c r="IR2" s="218"/>
      <c r="IS2" s="218"/>
      <c r="IT2" s="218"/>
      <c r="IU2" s="218"/>
      <c r="IV2" s="218"/>
    </row>
    <row r="3" spans="1:256" ht="21" customHeight="1">
      <c r="A3" s="97"/>
      <c r="B3" s="3188"/>
    </row>
    <row r="4" spans="1:256" ht="21" customHeight="1">
      <c r="A4" s="97"/>
      <c r="B4" s="62"/>
      <c r="D4" s="874" t="s">
        <v>256</v>
      </c>
      <c r="E4" s="689"/>
      <c r="F4" s="689"/>
      <c r="G4" s="690"/>
    </row>
    <row r="5" spans="1:256" ht="21" customHeight="1">
      <c r="A5" s="97"/>
      <c r="B5" s="62" t="s">
        <v>1</v>
      </c>
      <c r="D5" s="342" t="s">
        <v>257</v>
      </c>
      <c r="E5" s="687"/>
      <c r="F5" s="687"/>
      <c r="G5" s="687"/>
    </row>
    <row r="6" spans="1:256" ht="21" customHeight="1">
      <c r="A6" s="97"/>
      <c r="B6" s="146" t="s">
        <v>452</v>
      </c>
      <c r="D6" s="342" t="s">
        <v>258</v>
      </c>
      <c r="E6" s="687"/>
      <c r="F6" s="687"/>
      <c r="G6" s="687"/>
    </row>
    <row r="7" spans="1:256" ht="21" customHeight="1">
      <c r="A7" s="97"/>
      <c r="B7" s="147" t="s">
        <v>300</v>
      </c>
      <c r="D7" s="342" t="s">
        <v>259</v>
      </c>
      <c r="E7" s="687"/>
      <c r="F7" s="687"/>
      <c r="G7" s="687"/>
    </row>
    <row r="8" spans="1:256" ht="21" customHeight="1">
      <c r="A8" s="97"/>
      <c r="B8" s="810" t="s">
        <v>1392</v>
      </c>
      <c r="D8" s="874" t="s">
        <v>260</v>
      </c>
      <c r="E8" s="127"/>
      <c r="F8" s="688"/>
      <c r="G8" s="127"/>
    </row>
    <row r="9" spans="1:256" ht="21" customHeight="1">
      <c r="A9" s="97"/>
      <c r="B9" s="810" t="s">
        <v>419</v>
      </c>
      <c r="D9" s="342" t="s">
        <v>261</v>
      </c>
      <c r="E9" s="127"/>
      <c r="F9" s="682"/>
      <c r="G9" s="683"/>
    </row>
    <row r="10" spans="1:256" ht="21" customHeight="1">
      <c r="A10" s="97"/>
      <c r="B10" s="145" t="s">
        <v>420</v>
      </c>
      <c r="D10" s="342" t="s">
        <v>262</v>
      </c>
      <c r="E10" s="127"/>
      <c r="F10" s="682"/>
      <c r="G10" s="127"/>
    </row>
    <row r="11" spans="1:256" ht="21" customHeight="1">
      <c r="A11" s="97"/>
      <c r="B11" s="810" t="s">
        <v>52</v>
      </c>
      <c r="D11" s="342" t="s">
        <v>263</v>
      </c>
      <c r="E11" s="127"/>
      <c r="F11" s="682"/>
      <c r="G11" s="127"/>
    </row>
    <row r="12" spans="1:256" ht="21" customHeight="1">
      <c r="A12" s="97"/>
      <c r="B12" s="168" t="s">
        <v>96</v>
      </c>
      <c r="D12" s="874" t="s">
        <v>264</v>
      </c>
      <c r="E12" s="125"/>
      <c r="F12" s="682"/>
      <c r="G12" s="127"/>
    </row>
    <row r="13" spans="1:256" ht="21" customHeight="1">
      <c r="A13" s="97"/>
      <c r="B13" s="810" t="s">
        <v>1343</v>
      </c>
      <c r="D13" s="342" t="s">
        <v>265</v>
      </c>
      <c r="E13" s="125"/>
      <c r="F13" s="682"/>
      <c r="G13" s="127"/>
    </row>
    <row r="14" spans="1:256" ht="21" customHeight="1">
      <c r="A14" s="97"/>
      <c r="B14" s="62" t="s">
        <v>239</v>
      </c>
      <c r="D14" s="342" t="s">
        <v>266</v>
      </c>
      <c r="E14" s="127"/>
      <c r="F14" s="688"/>
      <c r="G14" s="127"/>
    </row>
    <row r="15" spans="1:256" ht="21" customHeight="1">
      <c r="A15" s="97"/>
      <c r="B15" s="62" t="s">
        <v>1263</v>
      </c>
      <c r="D15" s="342" t="s">
        <v>267</v>
      </c>
      <c r="E15" s="684"/>
      <c r="F15" s="682"/>
      <c r="G15" s="683"/>
    </row>
    <row r="16" spans="1:256" ht="21" customHeight="1">
      <c r="A16" s="97"/>
      <c r="B16" s="62" t="s">
        <v>557</v>
      </c>
      <c r="D16" s="342" t="s">
        <v>268</v>
      </c>
      <c r="E16" s="125"/>
      <c r="F16" s="682"/>
      <c r="G16" s="683"/>
    </row>
    <row r="17" spans="1:7" ht="21" customHeight="1">
      <c r="A17" s="97"/>
      <c r="B17" s="62" t="s">
        <v>238</v>
      </c>
      <c r="D17" s="342" t="s">
        <v>269</v>
      </c>
      <c r="E17" s="127"/>
      <c r="F17" s="682"/>
      <c r="G17" s="127"/>
    </row>
    <row r="18" spans="1:7" ht="21" customHeight="1">
      <c r="A18" s="97"/>
      <c r="B18" s="62" t="s">
        <v>1652</v>
      </c>
      <c r="D18" s="855" t="s">
        <v>270</v>
      </c>
      <c r="E18" s="684"/>
      <c r="F18" s="682"/>
      <c r="G18" s="127"/>
    </row>
    <row r="19" spans="1:7" ht="21" customHeight="1">
      <c r="A19" s="97"/>
      <c r="B19" s="62" t="s">
        <v>1653</v>
      </c>
      <c r="D19" s="342" t="s">
        <v>271</v>
      </c>
      <c r="E19" s="125"/>
      <c r="F19" s="682"/>
      <c r="G19" s="127"/>
    </row>
    <row r="20" spans="1:7" ht="21" customHeight="1">
      <c r="A20" s="97"/>
      <c r="B20" s="62" t="s">
        <v>40</v>
      </c>
      <c r="D20" s="342" t="s">
        <v>272</v>
      </c>
      <c r="E20" s="127"/>
      <c r="F20" s="688"/>
      <c r="G20" s="127"/>
    </row>
    <row r="21" spans="1:7" ht="21" customHeight="1">
      <c r="A21" s="97"/>
      <c r="B21" s="62" t="s">
        <v>238</v>
      </c>
      <c r="D21" s="342" t="s">
        <v>273</v>
      </c>
      <c r="E21" s="685"/>
      <c r="F21" s="682"/>
      <c r="G21" s="127"/>
    </row>
    <row r="22" spans="1:7" ht="21" customHeight="1">
      <c r="A22" s="97"/>
      <c r="B22" s="62" t="s">
        <v>39</v>
      </c>
      <c r="D22" s="342" t="s">
        <v>274</v>
      </c>
      <c r="E22" s="691"/>
      <c r="F22" s="682"/>
      <c r="G22" s="127"/>
    </row>
    <row r="23" spans="1:7" ht="21" customHeight="1">
      <c r="A23" s="97"/>
      <c r="B23" s="62" t="s">
        <v>38</v>
      </c>
      <c r="D23" s="342" t="s">
        <v>275</v>
      </c>
      <c r="E23" s="691"/>
      <c r="F23" s="682"/>
      <c r="G23" s="127"/>
    </row>
    <row r="24" spans="1:7" ht="21" customHeight="1">
      <c r="A24" s="97"/>
      <c r="B24" s="62"/>
      <c r="D24" s="342" t="s">
        <v>276</v>
      </c>
      <c r="E24" s="691"/>
      <c r="F24" s="682"/>
      <c r="G24" s="127"/>
    </row>
    <row r="25" spans="1:7" ht="21" customHeight="1">
      <c r="A25" s="97"/>
      <c r="B25" s="62"/>
      <c r="D25" s="342" t="s">
        <v>277</v>
      </c>
      <c r="E25" s="691"/>
      <c r="F25" s="682"/>
      <c r="G25" s="127"/>
    </row>
    <row r="26" spans="1:7" ht="21" customHeight="1">
      <c r="A26" s="97"/>
      <c r="B26" s="62"/>
      <c r="D26" s="342" t="s">
        <v>278</v>
      </c>
      <c r="E26" s="691"/>
      <c r="F26" s="688"/>
      <c r="G26" s="127"/>
    </row>
    <row r="27" spans="1:7" ht="21" customHeight="1">
      <c r="A27" s="97"/>
      <c r="B27" s="62"/>
      <c r="D27" s="342" t="s">
        <v>279</v>
      </c>
      <c r="E27" s="127"/>
      <c r="F27" s="682"/>
      <c r="G27" s="127"/>
    </row>
    <row r="28" spans="1:7" ht="21" customHeight="1">
      <c r="A28" s="97"/>
      <c r="B28" s="62"/>
      <c r="D28" s="342" t="s">
        <v>280</v>
      </c>
      <c r="E28" s="683"/>
      <c r="F28" s="682"/>
      <c r="G28" s="127"/>
    </row>
    <row r="29" spans="1:7" ht="21" customHeight="1">
      <c r="A29" s="97"/>
      <c r="B29" s="62"/>
      <c r="D29" s="342" t="s">
        <v>281</v>
      </c>
      <c r="E29" s="685"/>
      <c r="F29" s="682"/>
      <c r="G29" s="127"/>
    </row>
    <row r="30" spans="1:7" ht="21" customHeight="1">
      <c r="A30" s="97"/>
      <c r="B30" s="62"/>
      <c r="D30" s="855" t="s">
        <v>282</v>
      </c>
      <c r="E30" s="127"/>
      <c r="F30" s="682"/>
      <c r="G30" s="127"/>
    </row>
    <row r="31" spans="1:7" ht="21" customHeight="1">
      <c r="A31" s="97"/>
      <c r="B31" s="62"/>
      <c r="D31" s="342" t="s">
        <v>283</v>
      </c>
      <c r="E31" s="125"/>
      <c r="F31" s="682"/>
      <c r="G31" s="127"/>
    </row>
    <row r="32" spans="1:7" ht="21" customHeight="1">
      <c r="A32" s="97"/>
      <c r="B32" s="62"/>
      <c r="D32" s="342" t="s">
        <v>284</v>
      </c>
      <c r="E32" s="125"/>
      <c r="F32" s="688"/>
      <c r="G32" s="127"/>
    </row>
    <row r="33" spans="1:7" ht="21" customHeight="1">
      <c r="A33" s="97"/>
      <c r="B33" s="140"/>
      <c r="D33" s="342" t="s">
        <v>285</v>
      </c>
      <c r="E33" s="127"/>
      <c r="F33" s="682"/>
      <c r="G33" s="127"/>
    </row>
    <row r="34" spans="1:7" ht="21" customHeight="1">
      <c r="A34" s="97"/>
      <c r="B34" s="140"/>
      <c r="D34" s="342" t="s">
        <v>286</v>
      </c>
      <c r="E34" s="683"/>
      <c r="F34" s="682"/>
      <c r="G34" s="127"/>
    </row>
    <row r="35" spans="1:7" ht="21" customHeight="1">
      <c r="A35" s="97"/>
      <c r="B35" s="140"/>
      <c r="D35" s="342" t="s">
        <v>287</v>
      </c>
      <c r="E35" s="127"/>
      <c r="F35" s="682"/>
      <c r="G35" s="127"/>
    </row>
    <row r="36" spans="1:7" ht="21" customHeight="1">
      <c r="A36" s="97"/>
      <c r="B36" s="140"/>
      <c r="D36" s="342" t="s">
        <v>288</v>
      </c>
      <c r="E36" s="127"/>
      <c r="F36" s="688"/>
      <c r="G36" s="127"/>
    </row>
    <row r="37" spans="1:7" ht="21" customHeight="1">
      <c r="A37" s="97"/>
      <c r="B37" s="140"/>
      <c r="D37" s="342" t="s">
        <v>289</v>
      </c>
      <c r="E37" s="125"/>
      <c r="F37" s="682"/>
      <c r="G37" s="127"/>
    </row>
    <row r="38" spans="1:7" ht="21" customHeight="1">
      <c r="A38" s="97"/>
      <c r="B38" s="140"/>
      <c r="D38" s="342" t="s">
        <v>290</v>
      </c>
      <c r="E38" s="127"/>
      <c r="F38" s="682"/>
      <c r="G38" s="127"/>
    </row>
    <row r="39" spans="1:7" ht="21" customHeight="1">
      <c r="A39" s="97"/>
      <c r="B39" s="140"/>
      <c r="D39" s="342" t="s">
        <v>291</v>
      </c>
      <c r="E39" s="686"/>
      <c r="F39" s="682"/>
      <c r="G39" s="127"/>
    </row>
    <row r="40" spans="1:7" ht="21" customHeight="1">
      <c r="A40" s="97"/>
      <c r="B40" s="140"/>
      <c r="D40" s="342" t="s">
        <v>292</v>
      </c>
      <c r="E40" s="686"/>
      <c r="F40" s="682"/>
      <c r="G40" s="127"/>
    </row>
    <row r="41" spans="1:7" ht="21" customHeight="1">
      <c r="A41" s="97"/>
      <c r="B41" s="140"/>
      <c r="D41" s="342" t="s">
        <v>293</v>
      </c>
      <c r="E41" s="125"/>
      <c r="F41" s="682"/>
      <c r="G41" s="127"/>
    </row>
    <row r="42" spans="1:7" ht="21" customHeight="1">
      <c r="A42" s="97"/>
      <c r="B42" s="140"/>
      <c r="D42" s="342" t="s">
        <v>294</v>
      </c>
      <c r="E42" s="127"/>
      <c r="F42" s="688"/>
      <c r="G42" s="127"/>
    </row>
    <row r="43" spans="1:7" ht="21" customHeight="1">
      <c r="A43" s="97"/>
      <c r="B43" s="140"/>
      <c r="D43" s="342" t="s">
        <v>295</v>
      </c>
      <c r="E43" s="127"/>
      <c r="F43" s="682"/>
      <c r="G43" s="127"/>
    </row>
    <row r="44" spans="1:7" ht="21" customHeight="1">
      <c r="A44" s="97"/>
      <c r="B44" s="140"/>
      <c r="D44" s="342" t="s">
        <v>296</v>
      </c>
      <c r="E44" s="125"/>
      <c r="F44" s="682"/>
      <c r="G44" s="127"/>
    </row>
    <row r="45" spans="1:7" ht="21" customHeight="1">
      <c r="A45" s="97"/>
      <c r="B45" s="140"/>
      <c r="D45" s="342" t="s">
        <v>297</v>
      </c>
      <c r="E45" s="127"/>
      <c r="F45" s="682"/>
      <c r="G45" s="127"/>
    </row>
    <row r="46" spans="1:7" ht="21" customHeight="1">
      <c r="A46" s="97"/>
      <c r="B46" s="140"/>
      <c r="D46" s="342" t="s">
        <v>298</v>
      </c>
      <c r="E46" s="127"/>
      <c r="F46" s="682"/>
      <c r="G46" s="127"/>
    </row>
    <row r="47" spans="1:7" ht="21" customHeight="1">
      <c r="A47" s="97"/>
      <c r="B47" s="140"/>
      <c r="D47" s="342" t="s">
        <v>299</v>
      </c>
      <c r="E47" s="125"/>
      <c r="F47" s="125"/>
      <c r="G47" s="125"/>
    </row>
    <row r="48" spans="1:7" ht="21" customHeight="1">
      <c r="A48" s="97"/>
      <c r="B48" s="140"/>
      <c r="D48" s="3189" t="s">
        <v>449</v>
      </c>
      <c r="E48" s="125"/>
      <c r="F48" s="125"/>
      <c r="G48" s="125"/>
    </row>
    <row r="49" spans="1:31" ht="21" customHeight="1">
      <c r="A49" s="97"/>
      <c r="B49" s="140"/>
      <c r="D49" s="3189"/>
      <c r="E49" s="125"/>
      <c r="F49" s="125"/>
      <c r="G49" s="125"/>
    </row>
    <row r="50" spans="1:31" ht="21" customHeight="1">
      <c r="A50" s="97"/>
      <c r="B50" s="140"/>
      <c r="D50" s="3189"/>
      <c r="E50" s="692"/>
      <c r="F50" s="692"/>
      <c r="G50" s="692"/>
    </row>
    <row r="51" spans="1:31" ht="12.75" customHeight="1">
      <c r="A51" s="97"/>
      <c r="B51" s="140"/>
      <c r="C51" s="139"/>
      <c r="D51" s="318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row>
    <row r="52" spans="1:31" ht="12.75" customHeight="1">
      <c r="A52" s="97"/>
      <c r="B52" s="140"/>
      <c r="C52" s="139"/>
      <c r="D52" s="318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row>
    <row r="53" spans="1:31" ht="12.75" customHeight="1">
      <c r="A53" s="97"/>
      <c r="B53" s="140"/>
      <c r="C53" s="139"/>
      <c r="D53" s="318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row>
    <row r="54" spans="1:31" ht="12.75" customHeight="1">
      <c r="A54" s="97"/>
      <c r="B54" s="140"/>
      <c r="C54" s="139"/>
      <c r="D54" s="318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row>
    <row r="55" spans="1:31" ht="12.75" customHeight="1">
      <c r="A55" s="97"/>
      <c r="B55" s="140"/>
      <c r="C55" s="139"/>
      <c r="D55" s="318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row>
    <row r="56" spans="1:31" ht="12.75" customHeight="1">
      <c r="A56" s="97"/>
      <c r="B56" s="140"/>
      <c r="C56" s="139"/>
      <c r="D56" s="318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row>
    <row r="57" spans="1:31" ht="12.75" customHeight="1">
      <c r="A57" s="97"/>
      <c r="B57" s="140"/>
      <c r="C57" s="139"/>
      <c r="D57" s="318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row>
    <row r="58" spans="1:31" ht="12.75" customHeight="1">
      <c r="A58" s="97"/>
      <c r="B58" s="140"/>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row>
    <row r="59" spans="1:31" ht="12.75" customHeight="1">
      <c r="A59" s="97"/>
      <c r="B59" s="140"/>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row>
    <row r="60" spans="1:31" ht="12.75" customHeight="1">
      <c r="A60" s="97"/>
      <c r="B60" s="140"/>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row>
    <row r="61" spans="1:31" ht="12.75" customHeight="1">
      <c r="A61" s="97"/>
      <c r="B61" s="140"/>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row>
    <row r="62" spans="1:31" ht="12.75" customHeight="1">
      <c r="A62" s="97"/>
      <c r="B62" s="140"/>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row>
    <row r="63" spans="1:31" ht="12.75" customHeight="1">
      <c r="A63" s="97"/>
      <c r="B63" s="140"/>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row>
    <row r="64" spans="1:31" ht="12.75" customHeight="1">
      <c r="A64" s="97"/>
      <c r="B64" s="140"/>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row>
    <row r="65" spans="1:31" ht="12.75" customHeight="1">
      <c r="A65" s="97"/>
      <c r="B65" s="140"/>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row>
    <row r="66" spans="1:31" ht="12.75" customHeight="1">
      <c r="A66" s="97"/>
      <c r="B66" s="140"/>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row>
    <row r="67" spans="1:31" ht="12.75" customHeight="1">
      <c r="A67" s="97"/>
      <c r="B67" s="140"/>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row>
    <row r="68" spans="1:31" ht="12.75" customHeight="1">
      <c r="A68" s="97"/>
      <c r="B68" s="140"/>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row>
    <row r="69" spans="1:31" ht="12.75" customHeight="1">
      <c r="A69" s="97"/>
      <c r="B69" s="140"/>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row>
    <row r="70" spans="1:31" ht="12.75" customHeight="1">
      <c r="A70" s="97"/>
      <c r="B70" s="140"/>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row>
    <row r="71" spans="1:31" ht="12.75" customHeight="1">
      <c r="A71" s="97"/>
      <c r="B71" s="140"/>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row>
    <row r="72" spans="1:31" ht="12.75" customHeight="1">
      <c r="A72" s="97"/>
      <c r="B72" s="140"/>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row>
    <row r="73" spans="1:31" ht="12.75" customHeight="1">
      <c r="A73" s="97"/>
      <c r="B73" s="140"/>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row>
    <row r="74" spans="1:31" ht="12.75" customHeight="1">
      <c r="A74" s="97"/>
      <c r="B74" s="140"/>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row>
    <row r="75" spans="1:31" ht="12.75" customHeight="1">
      <c r="A75" s="97"/>
      <c r="B75" s="140"/>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row>
    <row r="76" spans="1:31" ht="12.75" customHeight="1">
      <c r="A76" s="97"/>
      <c r="B76" s="140"/>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row>
    <row r="77" spans="1:31" ht="12.75" customHeight="1">
      <c r="A77" s="97"/>
      <c r="B77" s="140"/>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row>
    <row r="78" spans="1:31" ht="12.75" customHeight="1">
      <c r="A78" s="97"/>
      <c r="B78" s="140"/>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row>
    <row r="79" spans="1:31" ht="12.75" customHeight="1">
      <c r="A79" s="97"/>
      <c r="B79" s="140"/>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row>
    <row r="80" spans="1:31" ht="12.75" customHeight="1">
      <c r="A80" s="97"/>
      <c r="B80" s="140"/>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row>
    <row r="81" spans="1:31" ht="12.75" customHeight="1">
      <c r="A81" s="97"/>
      <c r="B81" s="140"/>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row>
    <row r="82" spans="1:31" ht="12.75" customHeight="1">
      <c r="A82" s="97"/>
      <c r="B82" s="140"/>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row>
    <row r="83" spans="1:31" ht="12.75" customHeight="1">
      <c r="A83" s="97"/>
      <c r="B83" s="140"/>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row>
    <row r="84" spans="1:31" ht="12.75" customHeight="1">
      <c r="A84" s="97"/>
      <c r="B84" s="140"/>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row>
    <row r="85" spans="1:31" ht="12.75" customHeight="1">
      <c r="A85" s="97"/>
      <c r="B85" s="140"/>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row>
    <row r="86" spans="1:31" ht="12.75" customHeight="1">
      <c r="A86" s="97"/>
      <c r="B86" s="140"/>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row>
    <row r="87" spans="1:31" ht="12.75" customHeight="1">
      <c r="B87" s="140"/>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row>
    <row r="88" spans="1:31" ht="12.75" customHeight="1">
      <c r="B88" s="140"/>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row>
    <row r="89" spans="1:31" ht="12.75" customHeight="1">
      <c r="B89" s="140"/>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row>
    <row r="90" spans="1:31" ht="12.75" customHeight="1">
      <c r="B90" s="140"/>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row>
    <row r="91" spans="1:31" ht="12.75" customHeight="1">
      <c r="B91" s="140"/>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row>
    <row r="92" spans="1:31" ht="12.75" customHeight="1">
      <c r="B92" s="140"/>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row>
    <row r="93" spans="1:31" ht="12.75" customHeight="1">
      <c r="B93" s="140"/>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row>
    <row r="94" spans="1:31" ht="12.75" customHeight="1">
      <c r="B94" s="140"/>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row>
    <row r="95" spans="1:31" ht="12.75" customHeight="1">
      <c r="B95" s="140"/>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row>
    <row r="96" spans="1:31" ht="12.75" customHeight="1">
      <c r="B96" s="140"/>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row>
    <row r="97" spans="2:31" ht="12.75" customHeight="1">
      <c r="B97" s="140"/>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row>
    <row r="98" spans="2:31" ht="12.75" customHeight="1">
      <c r="B98" s="140"/>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row>
    <row r="99" spans="2:31" ht="12.75" customHeight="1">
      <c r="B99" s="140"/>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row>
    <row r="100" spans="2:31" ht="12.75" customHeight="1">
      <c r="B100" s="140"/>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row>
    <row r="101" spans="2:31" ht="20.65">
      <c r="B101" s="140"/>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row>
    <row r="102" spans="2:31" ht="20.65">
      <c r="B102" s="140"/>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row>
    <row r="103" spans="2:31" ht="20.65">
      <c r="B103" s="140"/>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row>
    <row r="104" spans="2:31" ht="20.65">
      <c r="B104" s="140"/>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row>
    <row r="105" spans="2:31" ht="20.65">
      <c r="B105" s="140"/>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row>
    <row r="106" spans="2:31" ht="20.65">
      <c r="B106" s="140"/>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row>
    <row r="107" spans="2:31" ht="20.65">
      <c r="B107" s="140"/>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row>
    <row r="108" spans="2:31" ht="20.65">
      <c r="B108" s="140"/>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row>
    <row r="109" spans="2:31" ht="20.65">
      <c r="B109" s="140"/>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row>
    <row r="110" spans="2:31" ht="20.65">
      <c r="B110" s="140"/>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row>
    <row r="111" spans="2:31" ht="20.65">
      <c r="B111" s="140"/>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row>
    <row r="112" spans="2:31" ht="20.65">
      <c r="B112" s="140"/>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row>
    <row r="113" spans="2:31">
      <c r="B113" s="141"/>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row>
    <row r="114" spans="2:31">
      <c r="B114" s="141"/>
    </row>
    <row r="115" spans="2:31">
      <c r="B115" s="141"/>
    </row>
    <row r="116" spans="2:31" ht="12.75" customHeight="1">
      <c r="B116" s="141"/>
    </row>
    <row r="117" spans="2:31">
      <c r="B117" s="141"/>
    </row>
    <row r="118" spans="2:31">
      <c r="B118" s="141"/>
    </row>
    <row r="119" spans="2:31">
      <c r="B119" s="141"/>
    </row>
    <row r="120" spans="2:31">
      <c r="B120" s="141"/>
    </row>
    <row r="121" spans="2:31">
      <c r="B121" s="141"/>
    </row>
    <row r="122" spans="2:31">
      <c r="B122" s="141"/>
    </row>
    <row r="123" spans="2:31">
      <c r="B123" s="141"/>
    </row>
    <row r="124" spans="2:31">
      <c r="B124" s="141"/>
    </row>
    <row r="125" spans="2:31">
      <c r="B125" s="141"/>
    </row>
  </sheetData>
  <mergeCells count="2">
    <mergeCell ref="B2:B3"/>
    <mergeCell ref="D48:D57"/>
  </mergeCells>
  <hyperlinks>
    <hyperlink ref="B2:B3" location="Home!A1" display="HOME" xr:uid="{00000000-0004-0000-0700-000000000000}"/>
    <hyperlink ref="B5" location="'Documents Manager'!A1" display="DOCUMENTS MANAGER" xr:uid="{00000000-0004-0000-0700-000002000000}"/>
    <hyperlink ref="B23" location="Disclaimer!A1" display="Disclaimer" xr:uid="{00000000-0004-0000-0700-000004000000}"/>
    <hyperlink ref="B22" location="Help!A1" display="Help" xr:uid="{00000000-0004-0000-0700-000005000000}"/>
    <hyperlink ref="B20" location="'Source - Links'!A1" display="SOURCE / LINKS" xr:uid="{00000000-0004-0000-0700-000006000000}"/>
    <hyperlink ref="B7" location="'ASTM Table Series'!A1" display="• ASTM Table Series for Oil Survey" xr:uid="{00000000-0004-0000-0700-00000B000000}"/>
    <hyperlink ref="B6" location="'ASTM Table Series'!A1" display="ASTM TABLES" xr:uid="{00000000-0004-0000-0700-00000C000000}"/>
    <hyperlink ref="B11" location="'ASTM Vol. XI - Tab.1'!A1" display="• ASTM Volume XI  - Table 1" xr:uid="{C441CD14-C366-4DA1-861A-9A10234B8B5B}"/>
    <hyperlink ref="B12" location="'ASTM Vol. XI-XII'!A1" display="• ASTM Volume XII" xr:uid="{13E734EF-3EF0-43D8-94F0-CC09E8B6B96B}"/>
    <hyperlink ref="B9" location="'Expl &amp; use Vol. XI'!A1" display="• Explanation &amp; use T. Volume XI" xr:uid="{E3EFF7F9-D711-4649-9928-6673070F01A6}"/>
    <hyperlink ref="B10" location="'Expl &amp; use Vol. XII'!A1" display="• Explanation &amp; use T. Volume XII" xr:uid="{73878811-3172-444F-8CA9-EEF76E3B302C}"/>
    <hyperlink ref="B14" location="'ASTM Converter (Tab.1)'!A1" display="ASTM - CONVERTERS" xr:uid="{EF8A9E6D-144B-4594-AC9E-7A69B008F759}"/>
    <hyperlink ref="B15" location="'ASTM Calculator V.W.'!A1" display="ASTM - CALCULATORS" xr:uid="{BFCF0B10-F9AF-46F1-820A-F6EC0118B46E}"/>
    <hyperlink ref="B13" location="'ASTM Tables'!A1" display="• ASTM Tables" xr:uid="{D0C66E5F-C4E2-4351-8CA5-12E74AEE9A69}"/>
    <hyperlink ref="B8" location="'Expl &amp; use 6AB, 24AB, 54AB  '!A1" display="• Explanation &amp; use T. 6A&amp;B, 24A&amp;B, 54A&amp;B." xr:uid="{A22768C6-AF2C-4501-95AF-8E271547196F}"/>
    <hyperlink ref="B18" location="'Guidelines - Definitions'!A1" display="GUIDELINES" xr:uid="{5F52556A-A2F0-4D9B-B700-A87659E62E4F}"/>
    <hyperlink ref="B19" location="'Guidelines - Bottom Lines'!A1" display="GUIDELINES - CARGO" xr:uid="{3441552A-A6C0-48E0-A30E-0FCFD1EBC876}"/>
    <hyperlink ref="B16" location="'Initial&amp;Max. Loading Rate'!A1" display="CARGO - CALCULATORS" xr:uid="{066268FE-7A80-4D96-9A95-BBC3456DF91B}"/>
  </hyperlinks>
  <printOptions headings="1"/>
  <pageMargins left="0.75" right="0.75" top="1" bottom="1" header="0.5" footer="0.5"/>
  <pageSetup paperSize="9" scale="71" orientation="portrait" blackAndWhite="1" horizontalDpi="4294967294"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412E-C021-4FFE-B9C6-89DFFA48BC47}">
  <sheetPr>
    <tabColor rgb="FF005034"/>
  </sheetPr>
  <dimension ref="A1:IV93"/>
  <sheetViews>
    <sheetView showGridLines="0" showRowColHeaders="0" topLeftCell="B1" workbookViewId="0">
      <selection activeCell="B9" sqref="B9"/>
    </sheetView>
  </sheetViews>
  <sheetFormatPr defaultColWidth="9.1328125" defaultRowHeight="12.75"/>
  <cols>
    <col min="1" max="1" width="0" style="3045" hidden="1" customWidth="1"/>
    <col min="2" max="2" width="36.6640625" style="3056" customWidth="1"/>
    <col min="3" max="3" width="3.6640625" style="3045" customWidth="1"/>
    <col min="4" max="4" width="32.6640625" style="3045" customWidth="1"/>
    <col min="5" max="5" width="27" style="3045" customWidth="1"/>
    <col min="6" max="7" width="9.1328125" style="3045" customWidth="1"/>
    <col min="8" max="8" width="5" style="3045" customWidth="1"/>
    <col min="9" max="10" width="9.1328125" style="3045" customWidth="1"/>
    <col min="11" max="11" width="10.53125" style="3045" customWidth="1"/>
    <col min="12" max="256" width="9.1328125" style="3045"/>
    <col min="257" max="257" width="0" style="3045" hidden="1" customWidth="1"/>
    <col min="258" max="258" width="43.46484375" style="3045" customWidth="1"/>
    <col min="259" max="259" width="3.6640625" style="3045" customWidth="1"/>
    <col min="260" max="260" width="32.6640625" style="3045" customWidth="1"/>
    <col min="261" max="261" width="27" style="3045" customWidth="1"/>
    <col min="262" max="263" width="9.1328125" style="3045" customWidth="1"/>
    <col min="264" max="264" width="5" style="3045" customWidth="1"/>
    <col min="265" max="266" width="9.1328125" style="3045" customWidth="1"/>
    <col min="267" max="267" width="10.53125" style="3045" customWidth="1"/>
    <col min="268" max="512" width="9.1328125" style="3045"/>
    <col min="513" max="513" width="0" style="3045" hidden="1" customWidth="1"/>
    <col min="514" max="514" width="43.46484375" style="3045" customWidth="1"/>
    <col min="515" max="515" width="3.6640625" style="3045" customWidth="1"/>
    <col min="516" max="516" width="32.6640625" style="3045" customWidth="1"/>
    <col min="517" max="517" width="27" style="3045" customWidth="1"/>
    <col min="518" max="519" width="9.1328125" style="3045" customWidth="1"/>
    <col min="520" max="520" width="5" style="3045" customWidth="1"/>
    <col min="521" max="522" width="9.1328125" style="3045" customWidth="1"/>
    <col min="523" max="523" width="10.53125" style="3045" customWidth="1"/>
    <col min="524" max="768" width="9.1328125" style="3045"/>
    <col min="769" max="769" width="0" style="3045" hidden="1" customWidth="1"/>
    <col min="770" max="770" width="43.46484375" style="3045" customWidth="1"/>
    <col min="771" max="771" width="3.6640625" style="3045" customWidth="1"/>
    <col min="772" max="772" width="32.6640625" style="3045" customWidth="1"/>
    <col min="773" max="773" width="27" style="3045" customWidth="1"/>
    <col min="774" max="775" width="9.1328125" style="3045" customWidth="1"/>
    <col min="776" max="776" width="5" style="3045" customWidth="1"/>
    <col min="777" max="778" width="9.1328125" style="3045" customWidth="1"/>
    <col min="779" max="779" width="10.53125" style="3045" customWidth="1"/>
    <col min="780" max="1024" width="9.1328125" style="3045"/>
    <col min="1025" max="1025" width="0" style="3045" hidden="1" customWidth="1"/>
    <col min="1026" max="1026" width="43.46484375" style="3045" customWidth="1"/>
    <col min="1027" max="1027" width="3.6640625" style="3045" customWidth="1"/>
    <col min="1028" max="1028" width="32.6640625" style="3045" customWidth="1"/>
    <col min="1029" max="1029" width="27" style="3045" customWidth="1"/>
    <col min="1030" max="1031" width="9.1328125" style="3045" customWidth="1"/>
    <col min="1032" max="1032" width="5" style="3045" customWidth="1"/>
    <col min="1033" max="1034" width="9.1328125" style="3045" customWidth="1"/>
    <col min="1035" max="1035" width="10.53125" style="3045" customWidth="1"/>
    <col min="1036" max="1280" width="9.1328125" style="3045"/>
    <col min="1281" max="1281" width="0" style="3045" hidden="1" customWidth="1"/>
    <col min="1282" max="1282" width="43.46484375" style="3045" customWidth="1"/>
    <col min="1283" max="1283" width="3.6640625" style="3045" customWidth="1"/>
    <col min="1284" max="1284" width="32.6640625" style="3045" customWidth="1"/>
    <col min="1285" max="1285" width="27" style="3045" customWidth="1"/>
    <col min="1286" max="1287" width="9.1328125" style="3045" customWidth="1"/>
    <col min="1288" max="1288" width="5" style="3045" customWidth="1"/>
    <col min="1289" max="1290" width="9.1328125" style="3045" customWidth="1"/>
    <col min="1291" max="1291" width="10.53125" style="3045" customWidth="1"/>
    <col min="1292" max="1536" width="9.1328125" style="3045"/>
    <col min="1537" max="1537" width="0" style="3045" hidden="1" customWidth="1"/>
    <col min="1538" max="1538" width="43.46484375" style="3045" customWidth="1"/>
    <col min="1539" max="1539" width="3.6640625" style="3045" customWidth="1"/>
    <col min="1540" max="1540" width="32.6640625" style="3045" customWidth="1"/>
    <col min="1541" max="1541" width="27" style="3045" customWidth="1"/>
    <col min="1542" max="1543" width="9.1328125" style="3045" customWidth="1"/>
    <col min="1544" max="1544" width="5" style="3045" customWidth="1"/>
    <col min="1545" max="1546" width="9.1328125" style="3045" customWidth="1"/>
    <col min="1547" max="1547" width="10.53125" style="3045" customWidth="1"/>
    <col min="1548" max="1792" width="9.1328125" style="3045"/>
    <col min="1793" max="1793" width="0" style="3045" hidden="1" customWidth="1"/>
    <col min="1794" max="1794" width="43.46484375" style="3045" customWidth="1"/>
    <col min="1795" max="1795" width="3.6640625" style="3045" customWidth="1"/>
    <col min="1796" max="1796" width="32.6640625" style="3045" customWidth="1"/>
    <col min="1797" max="1797" width="27" style="3045" customWidth="1"/>
    <col min="1798" max="1799" width="9.1328125" style="3045" customWidth="1"/>
    <col min="1800" max="1800" width="5" style="3045" customWidth="1"/>
    <col min="1801" max="1802" width="9.1328125" style="3045" customWidth="1"/>
    <col min="1803" max="1803" width="10.53125" style="3045" customWidth="1"/>
    <col min="1804" max="2048" width="9.1328125" style="3045"/>
    <col min="2049" max="2049" width="0" style="3045" hidden="1" customWidth="1"/>
    <col min="2050" max="2050" width="43.46484375" style="3045" customWidth="1"/>
    <col min="2051" max="2051" width="3.6640625" style="3045" customWidth="1"/>
    <col min="2052" max="2052" width="32.6640625" style="3045" customWidth="1"/>
    <col min="2053" max="2053" width="27" style="3045" customWidth="1"/>
    <col min="2054" max="2055" width="9.1328125" style="3045" customWidth="1"/>
    <col min="2056" max="2056" width="5" style="3045" customWidth="1"/>
    <col min="2057" max="2058" width="9.1328125" style="3045" customWidth="1"/>
    <col min="2059" max="2059" width="10.53125" style="3045" customWidth="1"/>
    <col min="2060" max="2304" width="9.1328125" style="3045"/>
    <col min="2305" max="2305" width="0" style="3045" hidden="1" customWidth="1"/>
    <col min="2306" max="2306" width="43.46484375" style="3045" customWidth="1"/>
    <col min="2307" max="2307" width="3.6640625" style="3045" customWidth="1"/>
    <col min="2308" max="2308" width="32.6640625" style="3045" customWidth="1"/>
    <col min="2309" max="2309" width="27" style="3045" customWidth="1"/>
    <col min="2310" max="2311" width="9.1328125" style="3045" customWidth="1"/>
    <col min="2312" max="2312" width="5" style="3045" customWidth="1"/>
    <col min="2313" max="2314" width="9.1328125" style="3045" customWidth="1"/>
    <col min="2315" max="2315" width="10.53125" style="3045" customWidth="1"/>
    <col min="2316" max="2560" width="9.1328125" style="3045"/>
    <col min="2561" max="2561" width="0" style="3045" hidden="1" customWidth="1"/>
    <col min="2562" max="2562" width="43.46484375" style="3045" customWidth="1"/>
    <col min="2563" max="2563" width="3.6640625" style="3045" customWidth="1"/>
    <col min="2564" max="2564" width="32.6640625" style="3045" customWidth="1"/>
    <col min="2565" max="2565" width="27" style="3045" customWidth="1"/>
    <col min="2566" max="2567" width="9.1328125" style="3045" customWidth="1"/>
    <col min="2568" max="2568" width="5" style="3045" customWidth="1"/>
    <col min="2569" max="2570" width="9.1328125" style="3045" customWidth="1"/>
    <col min="2571" max="2571" width="10.53125" style="3045" customWidth="1"/>
    <col min="2572" max="2816" width="9.1328125" style="3045"/>
    <col min="2817" max="2817" width="0" style="3045" hidden="1" customWidth="1"/>
    <col min="2818" max="2818" width="43.46484375" style="3045" customWidth="1"/>
    <col min="2819" max="2819" width="3.6640625" style="3045" customWidth="1"/>
    <col min="2820" max="2820" width="32.6640625" style="3045" customWidth="1"/>
    <col min="2821" max="2821" width="27" style="3045" customWidth="1"/>
    <col min="2822" max="2823" width="9.1328125" style="3045" customWidth="1"/>
    <col min="2824" max="2824" width="5" style="3045" customWidth="1"/>
    <col min="2825" max="2826" width="9.1328125" style="3045" customWidth="1"/>
    <col min="2827" max="2827" width="10.53125" style="3045" customWidth="1"/>
    <col min="2828" max="3072" width="9.1328125" style="3045"/>
    <col min="3073" max="3073" width="0" style="3045" hidden="1" customWidth="1"/>
    <col min="3074" max="3074" width="43.46484375" style="3045" customWidth="1"/>
    <col min="3075" max="3075" width="3.6640625" style="3045" customWidth="1"/>
    <col min="3076" max="3076" width="32.6640625" style="3045" customWidth="1"/>
    <col min="3077" max="3077" width="27" style="3045" customWidth="1"/>
    <col min="3078" max="3079" width="9.1328125" style="3045" customWidth="1"/>
    <col min="3080" max="3080" width="5" style="3045" customWidth="1"/>
    <col min="3081" max="3082" width="9.1328125" style="3045" customWidth="1"/>
    <col min="3083" max="3083" width="10.53125" style="3045" customWidth="1"/>
    <col min="3084" max="3328" width="9.1328125" style="3045"/>
    <col min="3329" max="3329" width="0" style="3045" hidden="1" customWidth="1"/>
    <col min="3330" max="3330" width="43.46484375" style="3045" customWidth="1"/>
    <col min="3331" max="3331" width="3.6640625" style="3045" customWidth="1"/>
    <col min="3332" max="3332" width="32.6640625" style="3045" customWidth="1"/>
    <col min="3333" max="3333" width="27" style="3045" customWidth="1"/>
    <col min="3334" max="3335" width="9.1328125" style="3045" customWidth="1"/>
    <col min="3336" max="3336" width="5" style="3045" customWidth="1"/>
    <col min="3337" max="3338" width="9.1328125" style="3045" customWidth="1"/>
    <col min="3339" max="3339" width="10.53125" style="3045" customWidth="1"/>
    <col min="3340" max="3584" width="9.1328125" style="3045"/>
    <col min="3585" max="3585" width="0" style="3045" hidden="1" customWidth="1"/>
    <col min="3586" max="3586" width="43.46484375" style="3045" customWidth="1"/>
    <col min="3587" max="3587" width="3.6640625" style="3045" customWidth="1"/>
    <col min="3588" max="3588" width="32.6640625" style="3045" customWidth="1"/>
    <col min="3589" max="3589" width="27" style="3045" customWidth="1"/>
    <col min="3590" max="3591" width="9.1328125" style="3045" customWidth="1"/>
    <col min="3592" max="3592" width="5" style="3045" customWidth="1"/>
    <col min="3593" max="3594" width="9.1328125" style="3045" customWidth="1"/>
    <col min="3595" max="3595" width="10.53125" style="3045" customWidth="1"/>
    <col min="3596" max="3840" width="9.1328125" style="3045"/>
    <col min="3841" max="3841" width="0" style="3045" hidden="1" customWidth="1"/>
    <col min="3842" max="3842" width="43.46484375" style="3045" customWidth="1"/>
    <col min="3843" max="3843" width="3.6640625" style="3045" customWidth="1"/>
    <col min="3844" max="3844" width="32.6640625" style="3045" customWidth="1"/>
    <col min="3845" max="3845" width="27" style="3045" customWidth="1"/>
    <col min="3846" max="3847" width="9.1328125" style="3045" customWidth="1"/>
    <col min="3848" max="3848" width="5" style="3045" customWidth="1"/>
    <col min="3849" max="3850" width="9.1328125" style="3045" customWidth="1"/>
    <col min="3851" max="3851" width="10.53125" style="3045" customWidth="1"/>
    <col min="3852" max="4096" width="9.1328125" style="3045"/>
    <col min="4097" max="4097" width="0" style="3045" hidden="1" customWidth="1"/>
    <col min="4098" max="4098" width="43.46484375" style="3045" customWidth="1"/>
    <col min="4099" max="4099" width="3.6640625" style="3045" customWidth="1"/>
    <col min="4100" max="4100" width="32.6640625" style="3045" customWidth="1"/>
    <col min="4101" max="4101" width="27" style="3045" customWidth="1"/>
    <col min="4102" max="4103" width="9.1328125" style="3045" customWidth="1"/>
    <col min="4104" max="4104" width="5" style="3045" customWidth="1"/>
    <col min="4105" max="4106" width="9.1328125" style="3045" customWidth="1"/>
    <col min="4107" max="4107" width="10.53125" style="3045" customWidth="1"/>
    <col min="4108" max="4352" width="9.1328125" style="3045"/>
    <col min="4353" max="4353" width="0" style="3045" hidden="1" customWidth="1"/>
    <col min="4354" max="4354" width="43.46484375" style="3045" customWidth="1"/>
    <col min="4355" max="4355" width="3.6640625" style="3045" customWidth="1"/>
    <col min="4356" max="4356" width="32.6640625" style="3045" customWidth="1"/>
    <col min="4357" max="4357" width="27" style="3045" customWidth="1"/>
    <col min="4358" max="4359" width="9.1328125" style="3045" customWidth="1"/>
    <col min="4360" max="4360" width="5" style="3045" customWidth="1"/>
    <col min="4361" max="4362" width="9.1328125" style="3045" customWidth="1"/>
    <col min="4363" max="4363" width="10.53125" style="3045" customWidth="1"/>
    <col min="4364" max="4608" width="9.1328125" style="3045"/>
    <col min="4609" max="4609" width="0" style="3045" hidden="1" customWidth="1"/>
    <col min="4610" max="4610" width="43.46484375" style="3045" customWidth="1"/>
    <col min="4611" max="4611" width="3.6640625" style="3045" customWidth="1"/>
    <col min="4612" max="4612" width="32.6640625" style="3045" customWidth="1"/>
    <col min="4613" max="4613" width="27" style="3045" customWidth="1"/>
    <col min="4614" max="4615" width="9.1328125" style="3045" customWidth="1"/>
    <col min="4616" max="4616" width="5" style="3045" customWidth="1"/>
    <col min="4617" max="4618" width="9.1328125" style="3045" customWidth="1"/>
    <col min="4619" max="4619" width="10.53125" style="3045" customWidth="1"/>
    <col min="4620" max="4864" width="9.1328125" style="3045"/>
    <col min="4865" max="4865" width="0" style="3045" hidden="1" customWidth="1"/>
    <col min="4866" max="4866" width="43.46484375" style="3045" customWidth="1"/>
    <col min="4867" max="4867" width="3.6640625" style="3045" customWidth="1"/>
    <col min="4868" max="4868" width="32.6640625" style="3045" customWidth="1"/>
    <col min="4869" max="4869" width="27" style="3045" customWidth="1"/>
    <col min="4870" max="4871" width="9.1328125" style="3045" customWidth="1"/>
    <col min="4872" max="4872" width="5" style="3045" customWidth="1"/>
    <col min="4873" max="4874" width="9.1328125" style="3045" customWidth="1"/>
    <col min="4875" max="4875" width="10.53125" style="3045" customWidth="1"/>
    <col min="4876" max="5120" width="9.1328125" style="3045"/>
    <col min="5121" max="5121" width="0" style="3045" hidden="1" customWidth="1"/>
    <col min="5122" max="5122" width="43.46484375" style="3045" customWidth="1"/>
    <col min="5123" max="5123" width="3.6640625" style="3045" customWidth="1"/>
    <col min="5124" max="5124" width="32.6640625" style="3045" customWidth="1"/>
    <col min="5125" max="5125" width="27" style="3045" customWidth="1"/>
    <col min="5126" max="5127" width="9.1328125" style="3045" customWidth="1"/>
    <col min="5128" max="5128" width="5" style="3045" customWidth="1"/>
    <col min="5129" max="5130" width="9.1328125" style="3045" customWidth="1"/>
    <col min="5131" max="5131" width="10.53125" style="3045" customWidth="1"/>
    <col min="5132" max="5376" width="9.1328125" style="3045"/>
    <col min="5377" max="5377" width="0" style="3045" hidden="1" customWidth="1"/>
    <col min="5378" max="5378" width="43.46484375" style="3045" customWidth="1"/>
    <col min="5379" max="5379" width="3.6640625" style="3045" customWidth="1"/>
    <col min="5380" max="5380" width="32.6640625" style="3045" customWidth="1"/>
    <col min="5381" max="5381" width="27" style="3045" customWidth="1"/>
    <col min="5382" max="5383" width="9.1328125" style="3045" customWidth="1"/>
    <col min="5384" max="5384" width="5" style="3045" customWidth="1"/>
    <col min="5385" max="5386" width="9.1328125" style="3045" customWidth="1"/>
    <col min="5387" max="5387" width="10.53125" style="3045" customWidth="1"/>
    <col min="5388" max="5632" width="9.1328125" style="3045"/>
    <col min="5633" max="5633" width="0" style="3045" hidden="1" customWidth="1"/>
    <col min="5634" max="5634" width="43.46484375" style="3045" customWidth="1"/>
    <col min="5635" max="5635" width="3.6640625" style="3045" customWidth="1"/>
    <col min="5636" max="5636" width="32.6640625" style="3045" customWidth="1"/>
    <col min="5637" max="5637" width="27" style="3045" customWidth="1"/>
    <col min="5638" max="5639" width="9.1328125" style="3045" customWidth="1"/>
    <col min="5640" max="5640" width="5" style="3045" customWidth="1"/>
    <col min="5641" max="5642" width="9.1328125" style="3045" customWidth="1"/>
    <col min="5643" max="5643" width="10.53125" style="3045" customWidth="1"/>
    <col min="5644" max="5888" width="9.1328125" style="3045"/>
    <col min="5889" max="5889" width="0" style="3045" hidden="1" customWidth="1"/>
    <col min="5890" max="5890" width="43.46484375" style="3045" customWidth="1"/>
    <col min="5891" max="5891" width="3.6640625" style="3045" customWidth="1"/>
    <col min="5892" max="5892" width="32.6640625" style="3045" customWidth="1"/>
    <col min="5893" max="5893" width="27" style="3045" customWidth="1"/>
    <col min="5894" max="5895" width="9.1328125" style="3045" customWidth="1"/>
    <col min="5896" max="5896" width="5" style="3045" customWidth="1"/>
    <col min="5897" max="5898" width="9.1328125" style="3045" customWidth="1"/>
    <col min="5899" max="5899" width="10.53125" style="3045" customWidth="1"/>
    <col min="5900" max="6144" width="9.1328125" style="3045"/>
    <col min="6145" max="6145" width="0" style="3045" hidden="1" customWidth="1"/>
    <col min="6146" max="6146" width="43.46484375" style="3045" customWidth="1"/>
    <col min="6147" max="6147" width="3.6640625" style="3045" customWidth="1"/>
    <col min="6148" max="6148" width="32.6640625" style="3045" customWidth="1"/>
    <col min="6149" max="6149" width="27" style="3045" customWidth="1"/>
    <col min="6150" max="6151" width="9.1328125" style="3045" customWidth="1"/>
    <col min="6152" max="6152" width="5" style="3045" customWidth="1"/>
    <col min="6153" max="6154" width="9.1328125" style="3045" customWidth="1"/>
    <col min="6155" max="6155" width="10.53125" style="3045" customWidth="1"/>
    <col min="6156" max="6400" width="9.1328125" style="3045"/>
    <col min="6401" max="6401" width="0" style="3045" hidden="1" customWidth="1"/>
    <col min="6402" max="6402" width="43.46484375" style="3045" customWidth="1"/>
    <col min="6403" max="6403" width="3.6640625" style="3045" customWidth="1"/>
    <col min="6404" max="6404" width="32.6640625" style="3045" customWidth="1"/>
    <col min="6405" max="6405" width="27" style="3045" customWidth="1"/>
    <col min="6406" max="6407" width="9.1328125" style="3045" customWidth="1"/>
    <col min="6408" max="6408" width="5" style="3045" customWidth="1"/>
    <col min="6409" max="6410" width="9.1328125" style="3045" customWidth="1"/>
    <col min="6411" max="6411" width="10.53125" style="3045" customWidth="1"/>
    <col min="6412" max="6656" width="9.1328125" style="3045"/>
    <col min="6657" max="6657" width="0" style="3045" hidden="1" customWidth="1"/>
    <col min="6658" max="6658" width="43.46484375" style="3045" customWidth="1"/>
    <col min="6659" max="6659" width="3.6640625" style="3045" customWidth="1"/>
    <col min="6660" max="6660" width="32.6640625" style="3045" customWidth="1"/>
    <col min="6661" max="6661" width="27" style="3045" customWidth="1"/>
    <col min="6662" max="6663" width="9.1328125" style="3045" customWidth="1"/>
    <col min="6664" max="6664" width="5" style="3045" customWidth="1"/>
    <col min="6665" max="6666" width="9.1328125" style="3045" customWidth="1"/>
    <col min="6667" max="6667" width="10.53125" style="3045" customWidth="1"/>
    <col min="6668" max="6912" width="9.1328125" style="3045"/>
    <col min="6913" max="6913" width="0" style="3045" hidden="1" customWidth="1"/>
    <col min="6914" max="6914" width="43.46484375" style="3045" customWidth="1"/>
    <col min="6915" max="6915" width="3.6640625" style="3045" customWidth="1"/>
    <col min="6916" max="6916" width="32.6640625" style="3045" customWidth="1"/>
    <col min="6917" max="6917" width="27" style="3045" customWidth="1"/>
    <col min="6918" max="6919" width="9.1328125" style="3045" customWidth="1"/>
    <col min="6920" max="6920" width="5" style="3045" customWidth="1"/>
    <col min="6921" max="6922" width="9.1328125" style="3045" customWidth="1"/>
    <col min="6923" max="6923" width="10.53125" style="3045" customWidth="1"/>
    <col min="6924" max="7168" width="9.1328125" style="3045"/>
    <col min="7169" max="7169" width="0" style="3045" hidden="1" customWidth="1"/>
    <col min="7170" max="7170" width="43.46484375" style="3045" customWidth="1"/>
    <col min="7171" max="7171" width="3.6640625" style="3045" customWidth="1"/>
    <col min="7172" max="7172" width="32.6640625" style="3045" customWidth="1"/>
    <col min="7173" max="7173" width="27" style="3045" customWidth="1"/>
    <col min="7174" max="7175" width="9.1328125" style="3045" customWidth="1"/>
    <col min="7176" max="7176" width="5" style="3045" customWidth="1"/>
    <col min="7177" max="7178" width="9.1328125" style="3045" customWidth="1"/>
    <col min="7179" max="7179" width="10.53125" style="3045" customWidth="1"/>
    <col min="7180" max="7424" width="9.1328125" style="3045"/>
    <col min="7425" max="7425" width="0" style="3045" hidden="1" customWidth="1"/>
    <col min="7426" max="7426" width="43.46484375" style="3045" customWidth="1"/>
    <col min="7427" max="7427" width="3.6640625" style="3045" customWidth="1"/>
    <col min="7428" max="7428" width="32.6640625" style="3045" customWidth="1"/>
    <col min="7429" max="7429" width="27" style="3045" customWidth="1"/>
    <col min="7430" max="7431" width="9.1328125" style="3045" customWidth="1"/>
    <col min="7432" max="7432" width="5" style="3045" customWidth="1"/>
    <col min="7433" max="7434" width="9.1328125" style="3045" customWidth="1"/>
    <col min="7435" max="7435" width="10.53125" style="3045" customWidth="1"/>
    <col min="7436" max="7680" width="9.1328125" style="3045"/>
    <col min="7681" max="7681" width="0" style="3045" hidden="1" customWidth="1"/>
    <col min="7682" max="7682" width="43.46484375" style="3045" customWidth="1"/>
    <col min="7683" max="7683" width="3.6640625" style="3045" customWidth="1"/>
    <col min="7684" max="7684" width="32.6640625" style="3045" customWidth="1"/>
    <col min="7685" max="7685" width="27" style="3045" customWidth="1"/>
    <col min="7686" max="7687" width="9.1328125" style="3045" customWidth="1"/>
    <col min="7688" max="7688" width="5" style="3045" customWidth="1"/>
    <col min="7689" max="7690" width="9.1328125" style="3045" customWidth="1"/>
    <col min="7691" max="7691" width="10.53125" style="3045" customWidth="1"/>
    <col min="7692" max="7936" width="9.1328125" style="3045"/>
    <col min="7937" max="7937" width="0" style="3045" hidden="1" customWidth="1"/>
    <col min="7938" max="7938" width="43.46484375" style="3045" customWidth="1"/>
    <col min="7939" max="7939" width="3.6640625" style="3045" customWidth="1"/>
    <col min="7940" max="7940" width="32.6640625" style="3045" customWidth="1"/>
    <col min="7941" max="7941" width="27" style="3045" customWidth="1"/>
    <col min="7942" max="7943" width="9.1328125" style="3045" customWidth="1"/>
    <col min="7944" max="7944" width="5" style="3045" customWidth="1"/>
    <col min="7945" max="7946" width="9.1328125" style="3045" customWidth="1"/>
    <col min="7947" max="7947" width="10.53125" style="3045" customWidth="1"/>
    <col min="7948" max="8192" width="9.1328125" style="3045"/>
    <col min="8193" max="8193" width="0" style="3045" hidden="1" customWidth="1"/>
    <col min="8194" max="8194" width="43.46484375" style="3045" customWidth="1"/>
    <col min="8195" max="8195" width="3.6640625" style="3045" customWidth="1"/>
    <col min="8196" max="8196" width="32.6640625" style="3045" customWidth="1"/>
    <col min="8197" max="8197" width="27" style="3045" customWidth="1"/>
    <col min="8198" max="8199" width="9.1328125" style="3045" customWidth="1"/>
    <col min="8200" max="8200" width="5" style="3045" customWidth="1"/>
    <col min="8201" max="8202" width="9.1328125" style="3045" customWidth="1"/>
    <col min="8203" max="8203" width="10.53125" style="3045" customWidth="1"/>
    <col min="8204" max="8448" width="9.1328125" style="3045"/>
    <col min="8449" max="8449" width="0" style="3045" hidden="1" customWidth="1"/>
    <col min="8450" max="8450" width="43.46484375" style="3045" customWidth="1"/>
    <col min="8451" max="8451" width="3.6640625" style="3045" customWidth="1"/>
    <col min="8452" max="8452" width="32.6640625" style="3045" customWidth="1"/>
    <col min="8453" max="8453" width="27" style="3045" customWidth="1"/>
    <col min="8454" max="8455" width="9.1328125" style="3045" customWidth="1"/>
    <col min="8456" max="8456" width="5" style="3045" customWidth="1"/>
    <col min="8457" max="8458" width="9.1328125" style="3045" customWidth="1"/>
    <col min="8459" max="8459" width="10.53125" style="3045" customWidth="1"/>
    <col min="8460" max="8704" width="9.1328125" style="3045"/>
    <col min="8705" max="8705" width="0" style="3045" hidden="1" customWidth="1"/>
    <col min="8706" max="8706" width="43.46484375" style="3045" customWidth="1"/>
    <col min="8707" max="8707" width="3.6640625" style="3045" customWidth="1"/>
    <col min="8708" max="8708" width="32.6640625" style="3045" customWidth="1"/>
    <col min="8709" max="8709" width="27" style="3045" customWidth="1"/>
    <col min="8710" max="8711" width="9.1328125" style="3045" customWidth="1"/>
    <col min="8712" max="8712" width="5" style="3045" customWidth="1"/>
    <col min="8713" max="8714" width="9.1328125" style="3045" customWidth="1"/>
    <col min="8715" max="8715" width="10.53125" style="3045" customWidth="1"/>
    <col min="8716" max="8960" width="9.1328125" style="3045"/>
    <col min="8961" max="8961" width="0" style="3045" hidden="1" customWidth="1"/>
    <col min="8962" max="8962" width="43.46484375" style="3045" customWidth="1"/>
    <col min="8963" max="8963" width="3.6640625" style="3045" customWidth="1"/>
    <col min="8964" max="8964" width="32.6640625" style="3045" customWidth="1"/>
    <col min="8965" max="8965" width="27" style="3045" customWidth="1"/>
    <col min="8966" max="8967" width="9.1328125" style="3045" customWidth="1"/>
    <col min="8968" max="8968" width="5" style="3045" customWidth="1"/>
    <col min="8969" max="8970" width="9.1328125" style="3045" customWidth="1"/>
    <col min="8971" max="8971" width="10.53125" style="3045" customWidth="1"/>
    <col min="8972" max="9216" width="9.1328125" style="3045"/>
    <col min="9217" max="9217" width="0" style="3045" hidden="1" customWidth="1"/>
    <col min="9218" max="9218" width="43.46484375" style="3045" customWidth="1"/>
    <col min="9219" max="9219" width="3.6640625" style="3045" customWidth="1"/>
    <col min="9220" max="9220" width="32.6640625" style="3045" customWidth="1"/>
    <col min="9221" max="9221" width="27" style="3045" customWidth="1"/>
    <col min="9222" max="9223" width="9.1328125" style="3045" customWidth="1"/>
    <col min="9224" max="9224" width="5" style="3045" customWidth="1"/>
    <col min="9225" max="9226" width="9.1328125" style="3045" customWidth="1"/>
    <col min="9227" max="9227" width="10.53125" style="3045" customWidth="1"/>
    <col min="9228" max="9472" width="9.1328125" style="3045"/>
    <col min="9473" max="9473" width="0" style="3045" hidden="1" customWidth="1"/>
    <col min="9474" max="9474" width="43.46484375" style="3045" customWidth="1"/>
    <col min="9475" max="9475" width="3.6640625" style="3045" customWidth="1"/>
    <col min="9476" max="9476" width="32.6640625" style="3045" customWidth="1"/>
    <col min="9477" max="9477" width="27" style="3045" customWidth="1"/>
    <col min="9478" max="9479" width="9.1328125" style="3045" customWidth="1"/>
    <col min="9480" max="9480" width="5" style="3045" customWidth="1"/>
    <col min="9481" max="9482" width="9.1328125" style="3045" customWidth="1"/>
    <col min="9483" max="9483" width="10.53125" style="3045" customWidth="1"/>
    <col min="9484" max="9728" width="9.1328125" style="3045"/>
    <col min="9729" max="9729" width="0" style="3045" hidden="1" customWidth="1"/>
    <col min="9730" max="9730" width="43.46484375" style="3045" customWidth="1"/>
    <col min="9731" max="9731" width="3.6640625" style="3045" customWidth="1"/>
    <col min="9732" max="9732" width="32.6640625" style="3045" customWidth="1"/>
    <col min="9733" max="9733" width="27" style="3045" customWidth="1"/>
    <col min="9734" max="9735" width="9.1328125" style="3045" customWidth="1"/>
    <col min="9736" max="9736" width="5" style="3045" customWidth="1"/>
    <col min="9737" max="9738" width="9.1328125" style="3045" customWidth="1"/>
    <col min="9739" max="9739" width="10.53125" style="3045" customWidth="1"/>
    <col min="9740" max="9984" width="9.1328125" style="3045"/>
    <col min="9985" max="9985" width="0" style="3045" hidden="1" customWidth="1"/>
    <col min="9986" max="9986" width="43.46484375" style="3045" customWidth="1"/>
    <col min="9987" max="9987" width="3.6640625" style="3045" customWidth="1"/>
    <col min="9988" max="9988" width="32.6640625" style="3045" customWidth="1"/>
    <col min="9989" max="9989" width="27" style="3045" customWidth="1"/>
    <col min="9990" max="9991" width="9.1328125" style="3045" customWidth="1"/>
    <col min="9992" max="9992" width="5" style="3045" customWidth="1"/>
    <col min="9993" max="9994" width="9.1328125" style="3045" customWidth="1"/>
    <col min="9995" max="9995" width="10.53125" style="3045" customWidth="1"/>
    <col min="9996" max="10240" width="9.1328125" style="3045"/>
    <col min="10241" max="10241" width="0" style="3045" hidden="1" customWidth="1"/>
    <col min="10242" max="10242" width="43.46484375" style="3045" customWidth="1"/>
    <col min="10243" max="10243" width="3.6640625" style="3045" customWidth="1"/>
    <col min="10244" max="10244" width="32.6640625" style="3045" customWidth="1"/>
    <col min="10245" max="10245" width="27" style="3045" customWidth="1"/>
    <col min="10246" max="10247" width="9.1328125" style="3045" customWidth="1"/>
    <col min="10248" max="10248" width="5" style="3045" customWidth="1"/>
    <col min="10249" max="10250" width="9.1328125" style="3045" customWidth="1"/>
    <col min="10251" max="10251" width="10.53125" style="3045" customWidth="1"/>
    <col min="10252" max="10496" width="9.1328125" style="3045"/>
    <col min="10497" max="10497" width="0" style="3045" hidden="1" customWidth="1"/>
    <col min="10498" max="10498" width="43.46484375" style="3045" customWidth="1"/>
    <col min="10499" max="10499" width="3.6640625" style="3045" customWidth="1"/>
    <col min="10500" max="10500" width="32.6640625" style="3045" customWidth="1"/>
    <col min="10501" max="10501" width="27" style="3045" customWidth="1"/>
    <col min="10502" max="10503" width="9.1328125" style="3045" customWidth="1"/>
    <col min="10504" max="10504" width="5" style="3045" customWidth="1"/>
    <col min="10505" max="10506" width="9.1328125" style="3045" customWidth="1"/>
    <col min="10507" max="10507" width="10.53125" style="3045" customWidth="1"/>
    <col min="10508" max="10752" width="9.1328125" style="3045"/>
    <col min="10753" max="10753" width="0" style="3045" hidden="1" customWidth="1"/>
    <col min="10754" max="10754" width="43.46484375" style="3045" customWidth="1"/>
    <col min="10755" max="10755" width="3.6640625" style="3045" customWidth="1"/>
    <col min="10756" max="10756" width="32.6640625" style="3045" customWidth="1"/>
    <col min="10757" max="10757" width="27" style="3045" customWidth="1"/>
    <col min="10758" max="10759" width="9.1328125" style="3045" customWidth="1"/>
    <col min="10760" max="10760" width="5" style="3045" customWidth="1"/>
    <col min="10761" max="10762" width="9.1328125" style="3045" customWidth="1"/>
    <col min="10763" max="10763" width="10.53125" style="3045" customWidth="1"/>
    <col min="10764" max="11008" width="9.1328125" style="3045"/>
    <col min="11009" max="11009" width="0" style="3045" hidden="1" customWidth="1"/>
    <col min="11010" max="11010" width="43.46484375" style="3045" customWidth="1"/>
    <col min="11011" max="11011" width="3.6640625" style="3045" customWidth="1"/>
    <col min="11012" max="11012" width="32.6640625" style="3045" customWidth="1"/>
    <col min="11013" max="11013" width="27" style="3045" customWidth="1"/>
    <col min="11014" max="11015" width="9.1328125" style="3045" customWidth="1"/>
    <col min="11016" max="11016" width="5" style="3045" customWidth="1"/>
    <col min="11017" max="11018" width="9.1328125" style="3045" customWidth="1"/>
    <col min="11019" max="11019" width="10.53125" style="3045" customWidth="1"/>
    <col min="11020" max="11264" width="9.1328125" style="3045"/>
    <col min="11265" max="11265" width="0" style="3045" hidden="1" customWidth="1"/>
    <col min="11266" max="11266" width="43.46484375" style="3045" customWidth="1"/>
    <col min="11267" max="11267" width="3.6640625" style="3045" customWidth="1"/>
    <col min="11268" max="11268" width="32.6640625" style="3045" customWidth="1"/>
    <col min="11269" max="11269" width="27" style="3045" customWidth="1"/>
    <col min="11270" max="11271" width="9.1328125" style="3045" customWidth="1"/>
    <col min="11272" max="11272" width="5" style="3045" customWidth="1"/>
    <col min="11273" max="11274" width="9.1328125" style="3045" customWidth="1"/>
    <col min="11275" max="11275" width="10.53125" style="3045" customWidth="1"/>
    <col min="11276" max="11520" width="9.1328125" style="3045"/>
    <col min="11521" max="11521" width="0" style="3045" hidden="1" customWidth="1"/>
    <col min="11522" max="11522" width="43.46484375" style="3045" customWidth="1"/>
    <col min="11523" max="11523" width="3.6640625" style="3045" customWidth="1"/>
    <col min="11524" max="11524" width="32.6640625" style="3045" customWidth="1"/>
    <col min="11525" max="11525" width="27" style="3045" customWidth="1"/>
    <col min="11526" max="11527" width="9.1328125" style="3045" customWidth="1"/>
    <col min="11528" max="11528" width="5" style="3045" customWidth="1"/>
    <col min="11529" max="11530" width="9.1328125" style="3045" customWidth="1"/>
    <col min="11531" max="11531" width="10.53125" style="3045" customWidth="1"/>
    <col min="11532" max="11776" width="9.1328125" style="3045"/>
    <col min="11777" max="11777" width="0" style="3045" hidden="1" customWidth="1"/>
    <col min="11778" max="11778" width="43.46484375" style="3045" customWidth="1"/>
    <col min="11779" max="11779" width="3.6640625" style="3045" customWidth="1"/>
    <col min="11780" max="11780" width="32.6640625" style="3045" customWidth="1"/>
    <col min="11781" max="11781" width="27" style="3045" customWidth="1"/>
    <col min="11782" max="11783" width="9.1328125" style="3045" customWidth="1"/>
    <col min="11784" max="11784" width="5" style="3045" customWidth="1"/>
    <col min="11785" max="11786" width="9.1328125" style="3045" customWidth="1"/>
    <col min="11787" max="11787" width="10.53125" style="3045" customWidth="1"/>
    <col min="11788" max="12032" width="9.1328125" style="3045"/>
    <col min="12033" max="12033" width="0" style="3045" hidden="1" customWidth="1"/>
    <col min="12034" max="12034" width="43.46484375" style="3045" customWidth="1"/>
    <col min="12035" max="12035" width="3.6640625" style="3045" customWidth="1"/>
    <col min="12036" max="12036" width="32.6640625" style="3045" customWidth="1"/>
    <col min="12037" max="12037" width="27" style="3045" customWidth="1"/>
    <col min="12038" max="12039" width="9.1328125" style="3045" customWidth="1"/>
    <col min="12040" max="12040" width="5" style="3045" customWidth="1"/>
    <col min="12041" max="12042" width="9.1328125" style="3045" customWidth="1"/>
    <col min="12043" max="12043" width="10.53125" style="3045" customWidth="1"/>
    <col min="12044" max="12288" width="9.1328125" style="3045"/>
    <col min="12289" max="12289" width="0" style="3045" hidden="1" customWidth="1"/>
    <col min="12290" max="12290" width="43.46484375" style="3045" customWidth="1"/>
    <col min="12291" max="12291" width="3.6640625" style="3045" customWidth="1"/>
    <col min="12292" max="12292" width="32.6640625" style="3045" customWidth="1"/>
    <col min="12293" max="12293" width="27" style="3045" customWidth="1"/>
    <col min="12294" max="12295" width="9.1328125" style="3045" customWidth="1"/>
    <col min="12296" max="12296" width="5" style="3045" customWidth="1"/>
    <col min="12297" max="12298" width="9.1328125" style="3045" customWidth="1"/>
    <col min="12299" max="12299" width="10.53125" style="3045" customWidth="1"/>
    <col min="12300" max="12544" width="9.1328125" style="3045"/>
    <col min="12545" max="12545" width="0" style="3045" hidden="1" customWidth="1"/>
    <col min="12546" max="12546" width="43.46484375" style="3045" customWidth="1"/>
    <col min="12547" max="12547" width="3.6640625" style="3045" customWidth="1"/>
    <col min="12548" max="12548" width="32.6640625" style="3045" customWidth="1"/>
    <col min="12549" max="12549" width="27" style="3045" customWidth="1"/>
    <col min="12550" max="12551" width="9.1328125" style="3045" customWidth="1"/>
    <col min="12552" max="12552" width="5" style="3045" customWidth="1"/>
    <col min="12553" max="12554" width="9.1328125" style="3045" customWidth="1"/>
    <col min="12555" max="12555" width="10.53125" style="3045" customWidth="1"/>
    <col min="12556" max="12800" width="9.1328125" style="3045"/>
    <col min="12801" max="12801" width="0" style="3045" hidden="1" customWidth="1"/>
    <col min="12802" max="12802" width="43.46484375" style="3045" customWidth="1"/>
    <col min="12803" max="12803" width="3.6640625" style="3045" customWidth="1"/>
    <col min="12804" max="12804" width="32.6640625" style="3045" customWidth="1"/>
    <col min="12805" max="12805" width="27" style="3045" customWidth="1"/>
    <col min="12806" max="12807" width="9.1328125" style="3045" customWidth="1"/>
    <col min="12808" max="12808" width="5" style="3045" customWidth="1"/>
    <col min="12809" max="12810" width="9.1328125" style="3045" customWidth="1"/>
    <col min="12811" max="12811" width="10.53125" style="3045" customWidth="1"/>
    <col min="12812" max="13056" width="9.1328125" style="3045"/>
    <col min="13057" max="13057" width="0" style="3045" hidden="1" customWidth="1"/>
    <col min="13058" max="13058" width="43.46484375" style="3045" customWidth="1"/>
    <col min="13059" max="13059" width="3.6640625" style="3045" customWidth="1"/>
    <col min="13060" max="13060" width="32.6640625" style="3045" customWidth="1"/>
    <col min="13061" max="13061" width="27" style="3045" customWidth="1"/>
    <col min="13062" max="13063" width="9.1328125" style="3045" customWidth="1"/>
    <col min="13064" max="13064" width="5" style="3045" customWidth="1"/>
    <col min="13065" max="13066" width="9.1328125" style="3045" customWidth="1"/>
    <col min="13067" max="13067" width="10.53125" style="3045" customWidth="1"/>
    <col min="13068" max="13312" width="9.1328125" style="3045"/>
    <col min="13313" max="13313" width="0" style="3045" hidden="1" customWidth="1"/>
    <col min="13314" max="13314" width="43.46484375" style="3045" customWidth="1"/>
    <col min="13315" max="13315" width="3.6640625" style="3045" customWidth="1"/>
    <col min="13316" max="13316" width="32.6640625" style="3045" customWidth="1"/>
    <col min="13317" max="13317" width="27" style="3045" customWidth="1"/>
    <col min="13318" max="13319" width="9.1328125" style="3045" customWidth="1"/>
    <col min="13320" max="13320" width="5" style="3045" customWidth="1"/>
    <col min="13321" max="13322" width="9.1328125" style="3045" customWidth="1"/>
    <col min="13323" max="13323" width="10.53125" style="3045" customWidth="1"/>
    <col min="13324" max="13568" width="9.1328125" style="3045"/>
    <col min="13569" max="13569" width="0" style="3045" hidden="1" customWidth="1"/>
    <col min="13570" max="13570" width="43.46484375" style="3045" customWidth="1"/>
    <col min="13571" max="13571" width="3.6640625" style="3045" customWidth="1"/>
    <col min="13572" max="13572" width="32.6640625" style="3045" customWidth="1"/>
    <col min="13573" max="13573" width="27" style="3045" customWidth="1"/>
    <col min="13574" max="13575" width="9.1328125" style="3045" customWidth="1"/>
    <col min="13576" max="13576" width="5" style="3045" customWidth="1"/>
    <col min="13577" max="13578" width="9.1328125" style="3045" customWidth="1"/>
    <col min="13579" max="13579" width="10.53125" style="3045" customWidth="1"/>
    <col min="13580" max="13824" width="9.1328125" style="3045"/>
    <col min="13825" max="13825" width="0" style="3045" hidden="1" customWidth="1"/>
    <col min="13826" max="13826" width="43.46484375" style="3045" customWidth="1"/>
    <col min="13827" max="13827" width="3.6640625" style="3045" customWidth="1"/>
    <col min="13828" max="13828" width="32.6640625" style="3045" customWidth="1"/>
    <col min="13829" max="13829" width="27" style="3045" customWidth="1"/>
    <col min="13830" max="13831" width="9.1328125" style="3045" customWidth="1"/>
    <col min="13832" max="13832" width="5" style="3045" customWidth="1"/>
    <col min="13833" max="13834" width="9.1328125" style="3045" customWidth="1"/>
    <col min="13835" max="13835" width="10.53125" style="3045" customWidth="1"/>
    <col min="13836" max="14080" width="9.1328125" style="3045"/>
    <col min="14081" max="14081" width="0" style="3045" hidden="1" customWidth="1"/>
    <col min="14082" max="14082" width="43.46484375" style="3045" customWidth="1"/>
    <col min="14083" max="14083" width="3.6640625" style="3045" customWidth="1"/>
    <col min="14084" max="14084" width="32.6640625" style="3045" customWidth="1"/>
    <col min="14085" max="14085" width="27" style="3045" customWidth="1"/>
    <col min="14086" max="14087" width="9.1328125" style="3045" customWidth="1"/>
    <col min="14088" max="14088" width="5" style="3045" customWidth="1"/>
    <col min="14089" max="14090" width="9.1328125" style="3045" customWidth="1"/>
    <col min="14091" max="14091" width="10.53125" style="3045" customWidth="1"/>
    <col min="14092" max="14336" width="9.1328125" style="3045"/>
    <col min="14337" max="14337" width="0" style="3045" hidden="1" customWidth="1"/>
    <col min="14338" max="14338" width="43.46484375" style="3045" customWidth="1"/>
    <col min="14339" max="14339" width="3.6640625" style="3045" customWidth="1"/>
    <col min="14340" max="14340" width="32.6640625" style="3045" customWidth="1"/>
    <col min="14341" max="14341" width="27" style="3045" customWidth="1"/>
    <col min="14342" max="14343" width="9.1328125" style="3045" customWidth="1"/>
    <col min="14344" max="14344" width="5" style="3045" customWidth="1"/>
    <col min="14345" max="14346" width="9.1328125" style="3045" customWidth="1"/>
    <col min="14347" max="14347" width="10.53125" style="3045" customWidth="1"/>
    <col min="14348" max="14592" width="9.1328125" style="3045"/>
    <col min="14593" max="14593" width="0" style="3045" hidden="1" customWidth="1"/>
    <col min="14594" max="14594" width="43.46484375" style="3045" customWidth="1"/>
    <col min="14595" max="14595" width="3.6640625" style="3045" customWidth="1"/>
    <col min="14596" max="14596" width="32.6640625" style="3045" customWidth="1"/>
    <col min="14597" max="14597" width="27" style="3045" customWidth="1"/>
    <col min="14598" max="14599" width="9.1328125" style="3045" customWidth="1"/>
    <col min="14600" max="14600" width="5" style="3045" customWidth="1"/>
    <col min="14601" max="14602" width="9.1328125" style="3045" customWidth="1"/>
    <col min="14603" max="14603" width="10.53125" style="3045" customWidth="1"/>
    <col min="14604" max="14848" width="9.1328125" style="3045"/>
    <col min="14849" max="14849" width="0" style="3045" hidden="1" customWidth="1"/>
    <col min="14850" max="14850" width="43.46484375" style="3045" customWidth="1"/>
    <col min="14851" max="14851" width="3.6640625" style="3045" customWidth="1"/>
    <col min="14852" max="14852" width="32.6640625" style="3045" customWidth="1"/>
    <col min="14853" max="14853" width="27" style="3045" customWidth="1"/>
    <col min="14854" max="14855" width="9.1328125" style="3045" customWidth="1"/>
    <col min="14856" max="14856" width="5" style="3045" customWidth="1"/>
    <col min="14857" max="14858" width="9.1328125" style="3045" customWidth="1"/>
    <col min="14859" max="14859" width="10.53125" style="3045" customWidth="1"/>
    <col min="14860" max="15104" width="9.1328125" style="3045"/>
    <col min="15105" max="15105" width="0" style="3045" hidden="1" customWidth="1"/>
    <col min="15106" max="15106" width="43.46484375" style="3045" customWidth="1"/>
    <col min="15107" max="15107" width="3.6640625" style="3045" customWidth="1"/>
    <col min="15108" max="15108" width="32.6640625" style="3045" customWidth="1"/>
    <col min="15109" max="15109" width="27" style="3045" customWidth="1"/>
    <col min="15110" max="15111" width="9.1328125" style="3045" customWidth="1"/>
    <col min="15112" max="15112" width="5" style="3045" customWidth="1"/>
    <col min="15113" max="15114" width="9.1328125" style="3045" customWidth="1"/>
    <col min="15115" max="15115" width="10.53125" style="3045" customWidth="1"/>
    <col min="15116" max="15360" width="9.1328125" style="3045"/>
    <col min="15361" max="15361" width="0" style="3045" hidden="1" customWidth="1"/>
    <col min="15362" max="15362" width="43.46484375" style="3045" customWidth="1"/>
    <col min="15363" max="15363" width="3.6640625" style="3045" customWidth="1"/>
    <col min="15364" max="15364" width="32.6640625" style="3045" customWidth="1"/>
    <col min="15365" max="15365" width="27" style="3045" customWidth="1"/>
    <col min="15366" max="15367" width="9.1328125" style="3045" customWidth="1"/>
    <col min="15368" max="15368" width="5" style="3045" customWidth="1"/>
    <col min="15369" max="15370" width="9.1328125" style="3045" customWidth="1"/>
    <col min="15371" max="15371" width="10.53125" style="3045" customWidth="1"/>
    <col min="15372" max="15616" width="9.1328125" style="3045"/>
    <col min="15617" max="15617" width="0" style="3045" hidden="1" customWidth="1"/>
    <col min="15618" max="15618" width="43.46484375" style="3045" customWidth="1"/>
    <col min="15619" max="15619" width="3.6640625" style="3045" customWidth="1"/>
    <col min="15620" max="15620" width="32.6640625" style="3045" customWidth="1"/>
    <col min="15621" max="15621" width="27" style="3045" customWidth="1"/>
    <col min="15622" max="15623" width="9.1328125" style="3045" customWidth="1"/>
    <col min="15624" max="15624" width="5" style="3045" customWidth="1"/>
    <col min="15625" max="15626" width="9.1328125" style="3045" customWidth="1"/>
    <col min="15627" max="15627" width="10.53125" style="3045" customWidth="1"/>
    <col min="15628" max="15872" width="9.1328125" style="3045"/>
    <col min="15873" max="15873" width="0" style="3045" hidden="1" customWidth="1"/>
    <col min="15874" max="15874" width="43.46484375" style="3045" customWidth="1"/>
    <col min="15875" max="15875" width="3.6640625" style="3045" customWidth="1"/>
    <col min="15876" max="15876" width="32.6640625" style="3045" customWidth="1"/>
    <col min="15877" max="15877" width="27" style="3045" customWidth="1"/>
    <col min="15878" max="15879" width="9.1328125" style="3045" customWidth="1"/>
    <col min="15880" max="15880" width="5" style="3045" customWidth="1"/>
    <col min="15881" max="15882" width="9.1328125" style="3045" customWidth="1"/>
    <col min="15883" max="15883" width="10.53125" style="3045" customWidth="1"/>
    <col min="15884" max="16128" width="9.1328125" style="3045"/>
    <col min="16129" max="16129" width="0" style="3045" hidden="1" customWidth="1"/>
    <col min="16130" max="16130" width="43.46484375" style="3045" customWidth="1"/>
    <col min="16131" max="16131" width="3.6640625" style="3045" customWidth="1"/>
    <col min="16132" max="16132" width="32.6640625" style="3045" customWidth="1"/>
    <col min="16133" max="16133" width="27" style="3045" customWidth="1"/>
    <col min="16134" max="16135" width="9.1328125" style="3045" customWidth="1"/>
    <col min="16136" max="16136" width="5" style="3045" customWidth="1"/>
    <col min="16137" max="16138" width="9.1328125" style="3045" customWidth="1"/>
    <col min="16139" max="16139" width="10.53125" style="3045" customWidth="1"/>
    <col min="16140" max="16384" width="9.1328125" style="3045"/>
  </cols>
  <sheetData>
    <row r="1" spans="1:256" ht="12.75" customHeight="1">
      <c r="B1" s="63"/>
    </row>
    <row r="2" spans="1:256" s="3047" customFormat="1" ht="21" customHeight="1">
      <c r="A2" s="3045"/>
      <c r="B2" s="3187" t="s">
        <v>0</v>
      </c>
      <c r="C2" s="3046"/>
      <c r="D2" s="3190" t="s">
        <v>1391</v>
      </c>
      <c r="E2" s="3190"/>
      <c r="F2" s="3190"/>
      <c r="G2" s="3190"/>
      <c r="H2" s="3190"/>
      <c r="I2" s="3190"/>
      <c r="J2" s="3190"/>
      <c r="K2" s="3190"/>
      <c r="L2" s="155"/>
      <c r="M2" s="155"/>
      <c r="N2" s="155"/>
      <c r="O2" s="155"/>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row>
    <row r="3" spans="1:256" s="3047" customFormat="1" ht="21" customHeight="1">
      <c r="A3" s="3045"/>
      <c r="B3" s="3187"/>
      <c r="C3" s="3046"/>
      <c r="D3" s="3190"/>
      <c r="E3" s="3190"/>
      <c r="F3" s="3190"/>
      <c r="G3" s="3190"/>
      <c r="H3" s="3190"/>
      <c r="I3" s="3190"/>
      <c r="J3" s="3190"/>
      <c r="K3" s="3190"/>
    </row>
    <row r="4" spans="1:256" ht="21" customHeight="1">
      <c r="B4" s="63"/>
      <c r="C4" s="3048"/>
      <c r="D4" s="3049"/>
      <c r="E4" s="3048"/>
      <c r="F4" s="3048"/>
      <c r="G4" s="3048"/>
      <c r="H4" s="3048"/>
      <c r="I4" s="3048"/>
      <c r="J4" s="3048"/>
      <c r="K4" s="3048"/>
    </row>
    <row r="5" spans="1:256" ht="21" customHeight="1">
      <c r="B5" s="3050" t="s">
        <v>1</v>
      </c>
      <c r="D5" s="3051"/>
    </row>
    <row r="6" spans="1:256" ht="21" customHeight="1">
      <c r="B6" s="146" t="s">
        <v>452</v>
      </c>
      <c r="D6" s="3052"/>
    </row>
    <row r="7" spans="1:256" ht="21" customHeight="1">
      <c r="B7" s="145" t="s">
        <v>300</v>
      </c>
    </row>
    <row r="8" spans="1:256" ht="21" customHeight="1">
      <c r="B8" s="3053" t="s">
        <v>1393</v>
      </c>
    </row>
    <row r="9" spans="1:256" ht="21" customHeight="1">
      <c r="B9" s="810" t="s">
        <v>419</v>
      </c>
      <c r="D9" s="3051"/>
    </row>
    <row r="10" spans="1:256" ht="21" customHeight="1">
      <c r="B10" s="145" t="s">
        <v>420</v>
      </c>
      <c r="D10" s="3052"/>
    </row>
    <row r="11" spans="1:256" ht="21" customHeight="1">
      <c r="B11" s="810" t="s">
        <v>52</v>
      </c>
      <c r="D11" s="3052"/>
    </row>
    <row r="12" spans="1:256" ht="21" customHeight="1">
      <c r="B12" s="168" t="s">
        <v>96</v>
      </c>
      <c r="D12" s="3052"/>
    </row>
    <row r="13" spans="1:256" ht="21" customHeight="1">
      <c r="B13" s="145" t="s">
        <v>1343</v>
      </c>
      <c r="D13" s="3052"/>
    </row>
    <row r="14" spans="1:256" ht="21" customHeight="1">
      <c r="B14" s="3050" t="s">
        <v>239</v>
      </c>
      <c r="D14" s="3052"/>
    </row>
    <row r="15" spans="1:256" ht="21" customHeight="1">
      <c r="B15" s="3050" t="s">
        <v>1263</v>
      </c>
      <c r="D15" s="3051"/>
    </row>
    <row r="16" spans="1:256" ht="21" customHeight="1">
      <c r="B16" s="62" t="s">
        <v>557</v>
      </c>
      <c r="D16" s="3052"/>
    </row>
    <row r="17" spans="2:4" ht="21" customHeight="1">
      <c r="B17" s="3050" t="s">
        <v>238</v>
      </c>
      <c r="D17" s="3052"/>
    </row>
    <row r="18" spans="2:4" ht="21" customHeight="1">
      <c r="B18" s="62" t="s">
        <v>1652</v>
      </c>
      <c r="D18" s="3052"/>
    </row>
    <row r="19" spans="2:4" ht="21" customHeight="1">
      <c r="B19" s="62" t="s">
        <v>1653</v>
      </c>
      <c r="D19" s="3051"/>
    </row>
    <row r="20" spans="2:4" ht="21" customHeight="1">
      <c r="B20" s="3050" t="s">
        <v>40</v>
      </c>
      <c r="D20" s="3052"/>
    </row>
    <row r="21" spans="2:4" ht="21" customHeight="1">
      <c r="B21" s="3050" t="s">
        <v>238</v>
      </c>
      <c r="D21" s="3052"/>
    </row>
    <row r="22" spans="2:4" ht="21" customHeight="1">
      <c r="B22" s="3050" t="s">
        <v>39</v>
      </c>
      <c r="D22" s="3054"/>
    </row>
    <row r="23" spans="2:4" ht="21" customHeight="1">
      <c r="B23" s="3050" t="s">
        <v>38</v>
      </c>
      <c r="D23" s="3051"/>
    </row>
    <row r="24" spans="2:4" ht="21" customHeight="1">
      <c r="B24" s="3055"/>
      <c r="D24" s="3052"/>
    </row>
    <row r="25" spans="2:4" ht="21" customHeight="1">
      <c r="B25" s="3055"/>
      <c r="D25" s="3052"/>
    </row>
    <row r="26" spans="2:4" ht="21" customHeight="1">
      <c r="B26" s="3055"/>
      <c r="D26" s="3052"/>
    </row>
    <row r="27" spans="2:4" ht="21" customHeight="1">
      <c r="B27" s="3055"/>
      <c r="D27" s="3052"/>
    </row>
    <row r="28" spans="2:4" ht="21" customHeight="1">
      <c r="D28" s="3052"/>
    </row>
    <row r="29" spans="2:4" ht="21" customHeight="1">
      <c r="D29" s="3052"/>
    </row>
    <row r="30" spans="2:4" ht="21" customHeight="1">
      <c r="D30" s="3052"/>
    </row>
    <row r="31" spans="2:4" ht="21" customHeight="1">
      <c r="D31" s="3052"/>
    </row>
    <row r="32" spans="2:4" ht="21" customHeight="1"/>
    <row r="33" spans="2:2" ht="21" customHeight="1"/>
    <row r="34" spans="2:2" ht="21" customHeight="1"/>
    <row r="35" spans="2:2" ht="21" customHeight="1"/>
    <row r="36" spans="2:2" ht="21" customHeight="1"/>
    <row r="37" spans="2:2" ht="21" customHeight="1"/>
    <row r="38" spans="2:2" ht="18" customHeight="1"/>
    <row r="39" spans="2:2" ht="18" customHeight="1"/>
    <row r="40" spans="2:2" ht="18" customHeight="1"/>
    <row r="41" spans="2:2" ht="18" customHeight="1">
      <c r="B41" s="3180" t="s">
        <v>1651</v>
      </c>
    </row>
    <row r="42" spans="2:2" ht="18" customHeight="1"/>
    <row r="43" spans="2:2" ht="18" customHeight="1"/>
    <row r="44" spans="2:2" ht="18" customHeight="1"/>
    <row r="45" spans="2:2" ht="18" customHeight="1"/>
    <row r="46" spans="2:2" ht="18" customHeight="1"/>
    <row r="47" spans="2:2" ht="18" customHeight="1"/>
    <row r="48" spans="2:2" ht="18" customHeight="1"/>
    <row r="49" spans="2:2" ht="18" customHeight="1"/>
    <row r="50" spans="2:2" ht="18" customHeight="1"/>
    <row r="51" spans="2:2" ht="18" customHeight="1"/>
    <row r="52" spans="2:2" ht="18" customHeight="1"/>
    <row r="53" spans="2:2" ht="18" customHeight="1"/>
    <row r="54" spans="2:2" ht="18" customHeight="1">
      <c r="B54" s="3180" t="s">
        <v>1651</v>
      </c>
    </row>
    <row r="72" spans="2:2">
      <c r="B72" s="3180" t="s">
        <v>1651</v>
      </c>
    </row>
    <row r="93" spans="2:2">
      <c r="B93" s="3180" t="s">
        <v>1651</v>
      </c>
    </row>
  </sheetData>
  <mergeCells count="2">
    <mergeCell ref="B2:B3"/>
    <mergeCell ref="D2:K3"/>
  </mergeCells>
  <hyperlinks>
    <hyperlink ref="B2:B3" location="Home!A1" display="HOME" xr:uid="{AA78AA59-12F8-42BF-B69C-2A2521CEE72A}"/>
    <hyperlink ref="B30" location="Disclaimer!A1" display="Disclaimer" xr:uid="{D769B081-36AB-4440-9D53-194F8F78C95C}"/>
    <hyperlink ref="B29" location="Help!A1" display="Help" xr:uid="{D217B094-A582-4DAD-8F5F-A1B036416F54}"/>
    <hyperlink ref="B5" location="'Documents Manager'!A1" display="DOCUMENTS MANAGER" xr:uid="{D207B70B-B8E1-40CA-A51E-E527FC3B99DE}"/>
    <hyperlink ref="B23" location="Disclaimer!A1" display="Disclaimer" xr:uid="{12E6EC33-EEAD-4B55-8B93-FA9A34670D1B}"/>
    <hyperlink ref="B22" location="Help!A1" display="Help" xr:uid="{D683E2B1-403D-4FAC-81A4-20481FA07C58}"/>
    <hyperlink ref="B20" location="'Source - Links'!A1" display="SOURCE / LINKS" xr:uid="{3B8250B5-A327-44D7-BA42-B4339C659BF8}"/>
    <hyperlink ref="B7" location="'ASTM Table Series'!A1" display="• ASTM Table Series for Oil Survey" xr:uid="{785B9A5C-A4E4-4B09-B02C-6501D63EBE23}"/>
    <hyperlink ref="B6" location="'ASTM Table Series'!A1" display="ASTM TABLES" xr:uid="{D8EF0283-A188-43EE-8FC8-D7E627BC6E58}"/>
    <hyperlink ref="B8" location="'Expl &amp; use 6AB, 24AB, 54AB  '!A1" display="• Explanation &amp; use T. 6A&amp;B, 24A&amp;B, 54A&amp;B." xr:uid="{76B38CBC-44A8-4E22-99D6-7787A5B67A2B}"/>
    <hyperlink ref="B11" location="'ASTM Vol. XI - Tab.1'!A1" display="• ASTM Volume XI  - Table 1" xr:uid="{486D7BB5-853C-4CCA-B3DB-6567883082BD}"/>
    <hyperlink ref="B12" location="'ASTM Vol. XI-XII'!A1" display="• ASTM Volume XII" xr:uid="{56E183D6-F15E-428F-AB3A-030E85493EFA}"/>
    <hyperlink ref="B9" location="'Expl &amp; use Vol. XI'!A1" display="• Explanation &amp; use T. Volume XI" xr:uid="{65032CC3-16E2-423E-970C-EE67D5083DDC}"/>
    <hyperlink ref="B10" location="'Expl &amp; use Vol. XII'!A1" display="• Explanation &amp; use T. Volume XII" xr:uid="{11888A5A-A78F-4099-9B59-4E3B4C56FF98}"/>
    <hyperlink ref="B14" location="'ASTM Converter (Tab.1)'!A1" display="ASTM - CONVERTERS" xr:uid="{70462C1E-21A0-4D64-A2B2-74FFAA7A8C52}"/>
    <hyperlink ref="B15" location="'ASTM Calculator V.W.'!A1" display="ASTM - CALCULATORS" xr:uid="{B4E61FBB-B4D2-442E-8C13-FF9AC85CEACD}"/>
    <hyperlink ref="B13" location="'ASTM Tables'!A1" display="• ASTM Tables" xr:uid="{EF2887DC-9A5E-4B6B-9DE6-AE522B3702AF}"/>
    <hyperlink ref="B41" location="'ASTM Tables'!A1" display="Go to ASTM Tables" xr:uid="{8662CC57-2965-4341-B12E-C4FDADBD5082}"/>
    <hyperlink ref="B54" location="'ASTM Tables'!A1" display="Go to ASTM Tables" xr:uid="{42D4C409-8DA1-4E62-9387-30A5F5FCBC9E}"/>
    <hyperlink ref="B72" location="'ASTM Tables'!A1" display="Go to ASTM Tables" xr:uid="{1B6DCF4B-402A-4F3B-BB01-4652C48EF3D1}"/>
    <hyperlink ref="B93" location="'ASTM Tables'!A1" display="Go to ASTM Tables" xr:uid="{69FF8012-E663-427A-8B05-30DAD98574FB}"/>
    <hyperlink ref="B18" location="'Guidelines - Definitions'!A1" display="GUIDELINES" xr:uid="{D43FE071-D078-4500-8432-B580B75000C0}"/>
    <hyperlink ref="B19" location="'Guidelines - Bottom Lines'!A1" display="GUIDELINES - CARGO" xr:uid="{ABA371B3-8628-40EC-9C64-434F85B5E4B8}"/>
    <hyperlink ref="B16" location="'Initial&amp;Max. Loading Rate'!A1" display="CARGO - CALCULATORS" xr:uid="{89EAC677-3EF9-4299-8F39-1293DC15C790}"/>
  </hyperlinks>
  <pageMargins left="0.75" right="0.75" top="1" bottom="1" header="0.5" footer="0.5"/>
  <pageSetup paperSize="9" orientation="portrait" horizontalDpi="4294967294"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A19DF-4103-407D-B5AE-09CED92A184C}">
  <sheetPr codeName="Лист11">
    <tabColor rgb="FF005034"/>
  </sheetPr>
  <dimension ref="A1:IV227"/>
  <sheetViews>
    <sheetView showGridLines="0" showRowColHeaders="0" topLeftCell="B1" workbookViewId="0">
      <selection activeCell="B10" sqref="B10"/>
    </sheetView>
  </sheetViews>
  <sheetFormatPr defaultColWidth="9.1328125" defaultRowHeight="12.75"/>
  <cols>
    <col min="1" max="1" width="0" style="148" hidden="1" customWidth="1"/>
    <col min="2" max="2" width="36.6640625" style="820" customWidth="1"/>
    <col min="3" max="3" width="2.6640625" style="148" customWidth="1"/>
    <col min="4" max="4" width="32.6640625" style="148" customWidth="1"/>
    <col min="5" max="5" width="27" style="148" customWidth="1"/>
    <col min="6" max="7" width="9.1328125" style="148" customWidth="1"/>
    <col min="8" max="8" width="5" style="148" customWidth="1"/>
    <col min="9" max="10" width="9.1328125" style="148" customWidth="1"/>
    <col min="11" max="11" width="10.53125" style="148" customWidth="1"/>
    <col min="12" max="256" width="9.1328125" style="148"/>
    <col min="257" max="257" width="0" style="148" hidden="1" customWidth="1"/>
    <col min="258" max="258" width="43.46484375" style="148" customWidth="1"/>
    <col min="259" max="259" width="3.6640625" style="148" customWidth="1"/>
    <col min="260" max="260" width="32.6640625" style="148" customWidth="1"/>
    <col min="261" max="261" width="27" style="148" customWidth="1"/>
    <col min="262" max="263" width="9.1328125" style="148" customWidth="1"/>
    <col min="264" max="264" width="5" style="148" customWidth="1"/>
    <col min="265" max="266" width="9.1328125" style="148" customWidth="1"/>
    <col min="267" max="267" width="10.53125" style="148" customWidth="1"/>
    <col min="268" max="512" width="9.1328125" style="148"/>
    <col min="513" max="513" width="0" style="148" hidden="1" customWidth="1"/>
    <col min="514" max="514" width="43.46484375" style="148" customWidth="1"/>
    <col min="515" max="515" width="3.6640625" style="148" customWidth="1"/>
    <col min="516" max="516" width="32.6640625" style="148" customWidth="1"/>
    <col min="517" max="517" width="27" style="148" customWidth="1"/>
    <col min="518" max="519" width="9.1328125" style="148" customWidth="1"/>
    <col min="520" max="520" width="5" style="148" customWidth="1"/>
    <col min="521" max="522" width="9.1328125" style="148" customWidth="1"/>
    <col min="523" max="523" width="10.53125" style="148" customWidth="1"/>
    <col min="524" max="768" width="9.1328125" style="148"/>
    <col min="769" max="769" width="0" style="148" hidden="1" customWidth="1"/>
    <col min="770" max="770" width="43.46484375" style="148" customWidth="1"/>
    <col min="771" max="771" width="3.6640625" style="148" customWidth="1"/>
    <col min="772" max="772" width="32.6640625" style="148" customWidth="1"/>
    <col min="773" max="773" width="27" style="148" customWidth="1"/>
    <col min="774" max="775" width="9.1328125" style="148" customWidth="1"/>
    <col min="776" max="776" width="5" style="148" customWidth="1"/>
    <col min="777" max="778" width="9.1328125" style="148" customWidth="1"/>
    <col min="779" max="779" width="10.53125" style="148" customWidth="1"/>
    <col min="780" max="1024" width="9.1328125" style="148"/>
    <col min="1025" max="1025" width="0" style="148" hidden="1" customWidth="1"/>
    <col min="1026" max="1026" width="43.46484375" style="148" customWidth="1"/>
    <col min="1027" max="1027" width="3.6640625" style="148" customWidth="1"/>
    <col min="1028" max="1028" width="32.6640625" style="148" customWidth="1"/>
    <col min="1029" max="1029" width="27" style="148" customWidth="1"/>
    <col min="1030" max="1031" width="9.1328125" style="148" customWidth="1"/>
    <col min="1032" max="1032" width="5" style="148" customWidth="1"/>
    <col min="1033" max="1034" width="9.1328125" style="148" customWidth="1"/>
    <col min="1035" max="1035" width="10.53125" style="148" customWidth="1"/>
    <col min="1036" max="1280" width="9.1328125" style="148"/>
    <col min="1281" max="1281" width="0" style="148" hidden="1" customWidth="1"/>
    <col min="1282" max="1282" width="43.46484375" style="148" customWidth="1"/>
    <col min="1283" max="1283" width="3.6640625" style="148" customWidth="1"/>
    <col min="1284" max="1284" width="32.6640625" style="148" customWidth="1"/>
    <col min="1285" max="1285" width="27" style="148" customWidth="1"/>
    <col min="1286" max="1287" width="9.1328125" style="148" customWidth="1"/>
    <col min="1288" max="1288" width="5" style="148" customWidth="1"/>
    <col min="1289" max="1290" width="9.1328125" style="148" customWidth="1"/>
    <col min="1291" max="1291" width="10.53125" style="148" customWidth="1"/>
    <col min="1292" max="1536" width="9.1328125" style="148"/>
    <col min="1537" max="1537" width="0" style="148" hidden="1" customWidth="1"/>
    <col min="1538" max="1538" width="43.46484375" style="148" customWidth="1"/>
    <col min="1539" max="1539" width="3.6640625" style="148" customWidth="1"/>
    <col min="1540" max="1540" width="32.6640625" style="148" customWidth="1"/>
    <col min="1541" max="1541" width="27" style="148" customWidth="1"/>
    <col min="1542" max="1543" width="9.1328125" style="148" customWidth="1"/>
    <col min="1544" max="1544" width="5" style="148" customWidth="1"/>
    <col min="1545" max="1546" width="9.1328125" style="148" customWidth="1"/>
    <col min="1547" max="1547" width="10.53125" style="148" customWidth="1"/>
    <col min="1548" max="1792" width="9.1328125" style="148"/>
    <col min="1793" max="1793" width="0" style="148" hidden="1" customWidth="1"/>
    <col min="1794" max="1794" width="43.46484375" style="148" customWidth="1"/>
    <col min="1795" max="1795" width="3.6640625" style="148" customWidth="1"/>
    <col min="1796" max="1796" width="32.6640625" style="148" customWidth="1"/>
    <col min="1797" max="1797" width="27" style="148" customWidth="1"/>
    <col min="1798" max="1799" width="9.1328125" style="148" customWidth="1"/>
    <col min="1800" max="1800" width="5" style="148" customWidth="1"/>
    <col min="1801" max="1802" width="9.1328125" style="148" customWidth="1"/>
    <col min="1803" max="1803" width="10.53125" style="148" customWidth="1"/>
    <col min="1804" max="2048" width="9.1328125" style="148"/>
    <col min="2049" max="2049" width="0" style="148" hidden="1" customWidth="1"/>
    <col min="2050" max="2050" width="43.46484375" style="148" customWidth="1"/>
    <col min="2051" max="2051" width="3.6640625" style="148" customWidth="1"/>
    <col min="2052" max="2052" width="32.6640625" style="148" customWidth="1"/>
    <col min="2053" max="2053" width="27" style="148" customWidth="1"/>
    <col min="2054" max="2055" width="9.1328125" style="148" customWidth="1"/>
    <col min="2056" max="2056" width="5" style="148" customWidth="1"/>
    <col min="2057" max="2058" width="9.1328125" style="148" customWidth="1"/>
    <col min="2059" max="2059" width="10.53125" style="148" customWidth="1"/>
    <col min="2060" max="2304" width="9.1328125" style="148"/>
    <col min="2305" max="2305" width="0" style="148" hidden="1" customWidth="1"/>
    <col min="2306" max="2306" width="43.46484375" style="148" customWidth="1"/>
    <col min="2307" max="2307" width="3.6640625" style="148" customWidth="1"/>
    <col min="2308" max="2308" width="32.6640625" style="148" customWidth="1"/>
    <col min="2309" max="2309" width="27" style="148" customWidth="1"/>
    <col min="2310" max="2311" width="9.1328125" style="148" customWidth="1"/>
    <col min="2312" max="2312" width="5" style="148" customWidth="1"/>
    <col min="2313" max="2314" width="9.1328125" style="148" customWidth="1"/>
    <col min="2315" max="2315" width="10.53125" style="148" customWidth="1"/>
    <col min="2316" max="2560" width="9.1328125" style="148"/>
    <col min="2561" max="2561" width="0" style="148" hidden="1" customWidth="1"/>
    <col min="2562" max="2562" width="43.46484375" style="148" customWidth="1"/>
    <col min="2563" max="2563" width="3.6640625" style="148" customWidth="1"/>
    <col min="2564" max="2564" width="32.6640625" style="148" customWidth="1"/>
    <col min="2565" max="2565" width="27" style="148" customWidth="1"/>
    <col min="2566" max="2567" width="9.1328125" style="148" customWidth="1"/>
    <col min="2568" max="2568" width="5" style="148" customWidth="1"/>
    <col min="2569" max="2570" width="9.1328125" style="148" customWidth="1"/>
    <col min="2571" max="2571" width="10.53125" style="148" customWidth="1"/>
    <col min="2572" max="2816" width="9.1328125" style="148"/>
    <col min="2817" max="2817" width="0" style="148" hidden="1" customWidth="1"/>
    <col min="2818" max="2818" width="43.46484375" style="148" customWidth="1"/>
    <col min="2819" max="2819" width="3.6640625" style="148" customWidth="1"/>
    <col min="2820" max="2820" width="32.6640625" style="148" customWidth="1"/>
    <col min="2821" max="2821" width="27" style="148" customWidth="1"/>
    <col min="2822" max="2823" width="9.1328125" style="148" customWidth="1"/>
    <col min="2824" max="2824" width="5" style="148" customWidth="1"/>
    <col min="2825" max="2826" width="9.1328125" style="148" customWidth="1"/>
    <col min="2827" max="2827" width="10.53125" style="148" customWidth="1"/>
    <col min="2828" max="3072" width="9.1328125" style="148"/>
    <col min="3073" max="3073" width="0" style="148" hidden="1" customWidth="1"/>
    <col min="3074" max="3074" width="43.46484375" style="148" customWidth="1"/>
    <col min="3075" max="3075" width="3.6640625" style="148" customWidth="1"/>
    <col min="3076" max="3076" width="32.6640625" style="148" customWidth="1"/>
    <col min="3077" max="3077" width="27" style="148" customWidth="1"/>
    <col min="3078" max="3079" width="9.1328125" style="148" customWidth="1"/>
    <col min="3080" max="3080" width="5" style="148" customWidth="1"/>
    <col min="3081" max="3082" width="9.1328125" style="148" customWidth="1"/>
    <col min="3083" max="3083" width="10.53125" style="148" customWidth="1"/>
    <col min="3084" max="3328" width="9.1328125" style="148"/>
    <col min="3329" max="3329" width="0" style="148" hidden="1" customWidth="1"/>
    <col min="3330" max="3330" width="43.46484375" style="148" customWidth="1"/>
    <col min="3331" max="3331" width="3.6640625" style="148" customWidth="1"/>
    <col min="3332" max="3332" width="32.6640625" style="148" customWidth="1"/>
    <col min="3333" max="3333" width="27" style="148" customWidth="1"/>
    <col min="3334" max="3335" width="9.1328125" style="148" customWidth="1"/>
    <col min="3336" max="3336" width="5" style="148" customWidth="1"/>
    <col min="3337" max="3338" width="9.1328125" style="148" customWidth="1"/>
    <col min="3339" max="3339" width="10.53125" style="148" customWidth="1"/>
    <col min="3340" max="3584" width="9.1328125" style="148"/>
    <col min="3585" max="3585" width="0" style="148" hidden="1" customWidth="1"/>
    <col min="3586" max="3586" width="43.46484375" style="148" customWidth="1"/>
    <col min="3587" max="3587" width="3.6640625" style="148" customWidth="1"/>
    <col min="3588" max="3588" width="32.6640625" style="148" customWidth="1"/>
    <col min="3589" max="3589" width="27" style="148" customWidth="1"/>
    <col min="3590" max="3591" width="9.1328125" style="148" customWidth="1"/>
    <col min="3592" max="3592" width="5" style="148" customWidth="1"/>
    <col min="3593" max="3594" width="9.1328125" style="148" customWidth="1"/>
    <col min="3595" max="3595" width="10.53125" style="148" customWidth="1"/>
    <col min="3596" max="3840" width="9.1328125" style="148"/>
    <col min="3841" max="3841" width="0" style="148" hidden="1" customWidth="1"/>
    <col min="3842" max="3842" width="43.46484375" style="148" customWidth="1"/>
    <col min="3843" max="3843" width="3.6640625" style="148" customWidth="1"/>
    <col min="3844" max="3844" width="32.6640625" style="148" customWidth="1"/>
    <col min="3845" max="3845" width="27" style="148" customWidth="1"/>
    <col min="3846" max="3847" width="9.1328125" style="148" customWidth="1"/>
    <col min="3848" max="3848" width="5" style="148" customWidth="1"/>
    <col min="3849" max="3850" width="9.1328125" style="148" customWidth="1"/>
    <col min="3851" max="3851" width="10.53125" style="148" customWidth="1"/>
    <col min="3852" max="4096" width="9.1328125" style="148"/>
    <col min="4097" max="4097" width="0" style="148" hidden="1" customWidth="1"/>
    <col min="4098" max="4098" width="43.46484375" style="148" customWidth="1"/>
    <col min="4099" max="4099" width="3.6640625" style="148" customWidth="1"/>
    <col min="4100" max="4100" width="32.6640625" style="148" customWidth="1"/>
    <col min="4101" max="4101" width="27" style="148" customWidth="1"/>
    <col min="4102" max="4103" width="9.1328125" style="148" customWidth="1"/>
    <col min="4104" max="4104" width="5" style="148" customWidth="1"/>
    <col min="4105" max="4106" width="9.1328125" style="148" customWidth="1"/>
    <col min="4107" max="4107" width="10.53125" style="148" customWidth="1"/>
    <col min="4108" max="4352" width="9.1328125" style="148"/>
    <col min="4353" max="4353" width="0" style="148" hidden="1" customWidth="1"/>
    <col min="4354" max="4354" width="43.46484375" style="148" customWidth="1"/>
    <col min="4355" max="4355" width="3.6640625" style="148" customWidth="1"/>
    <col min="4356" max="4356" width="32.6640625" style="148" customWidth="1"/>
    <col min="4357" max="4357" width="27" style="148" customWidth="1"/>
    <col min="4358" max="4359" width="9.1328125" style="148" customWidth="1"/>
    <col min="4360" max="4360" width="5" style="148" customWidth="1"/>
    <col min="4361" max="4362" width="9.1328125" style="148" customWidth="1"/>
    <col min="4363" max="4363" width="10.53125" style="148" customWidth="1"/>
    <col min="4364" max="4608" width="9.1328125" style="148"/>
    <col min="4609" max="4609" width="0" style="148" hidden="1" customWidth="1"/>
    <col min="4610" max="4610" width="43.46484375" style="148" customWidth="1"/>
    <col min="4611" max="4611" width="3.6640625" style="148" customWidth="1"/>
    <col min="4612" max="4612" width="32.6640625" style="148" customWidth="1"/>
    <col min="4613" max="4613" width="27" style="148" customWidth="1"/>
    <col min="4614" max="4615" width="9.1328125" style="148" customWidth="1"/>
    <col min="4616" max="4616" width="5" style="148" customWidth="1"/>
    <col min="4617" max="4618" width="9.1328125" style="148" customWidth="1"/>
    <col min="4619" max="4619" width="10.53125" style="148" customWidth="1"/>
    <col min="4620" max="4864" width="9.1328125" style="148"/>
    <col min="4865" max="4865" width="0" style="148" hidden="1" customWidth="1"/>
    <col min="4866" max="4866" width="43.46484375" style="148" customWidth="1"/>
    <col min="4867" max="4867" width="3.6640625" style="148" customWidth="1"/>
    <col min="4868" max="4868" width="32.6640625" style="148" customWidth="1"/>
    <col min="4869" max="4869" width="27" style="148" customWidth="1"/>
    <col min="4870" max="4871" width="9.1328125" style="148" customWidth="1"/>
    <col min="4872" max="4872" width="5" style="148" customWidth="1"/>
    <col min="4873" max="4874" width="9.1328125" style="148" customWidth="1"/>
    <col min="4875" max="4875" width="10.53125" style="148" customWidth="1"/>
    <col min="4876" max="5120" width="9.1328125" style="148"/>
    <col min="5121" max="5121" width="0" style="148" hidden="1" customWidth="1"/>
    <col min="5122" max="5122" width="43.46484375" style="148" customWidth="1"/>
    <col min="5123" max="5123" width="3.6640625" style="148" customWidth="1"/>
    <col min="5124" max="5124" width="32.6640625" style="148" customWidth="1"/>
    <col min="5125" max="5125" width="27" style="148" customWidth="1"/>
    <col min="5126" max="5127" width="9.1328125" style="148" customWidth="1"/>
    <col min="5128" max="5128" width="5" style="148" customWidth="1"/>
    <col min="5129" max="5130" width="9.1328125" style="148" customWidth="1"/>
    <col min="5131" max="5131" width="10.53125" style="148" customWidth="1"/>
    <col min="5132" max="5376" width="9.1328125" style="148"/>
    <col min="5377" max="5377" width="0" style="148" hidden="1" customWidth="1"/>
    <col min="5378" max="5378" width="43.46484375" style="148" customWidth="1"/>
    <col min="5379" max="5379" width="3.6640625" style="148" customWidth="1"/>
    <col min="5380" max="5380" width="32.6640625" style="148" customWidth="1"/>
    <col min="5381" max="5381" width="27" style="148" customWidth="1"/>
    <col min="5382" max="5383" width="9.1328125" style="148" customWidth="1"/>
    <col min="5384" max="5384" width="5" style="148" customWidth="1"/>
    <col min="5385" max="5386" width="9.1328125" style="148" customWidth="1"/>
    <col min="5387" max="5387" width="10.53125" style="148" customWidth="1"/>
    <col min="5388" max="5632" width="9.1328125" style="148"/>
    <col min="5633" max="5633" width="0" style="148" hidden="1" customWidth="1"/>
    <col min="5634" max="5634" width="43.46484375" style="148" customWidth="1"/>
    <col min="5635" max="5635" width="3.6640625" style="148" customWidth="1"/>
    <col min="5636" max="5636" width="32.6640625" style="148" customWidth="1"/>
    <col min="5637" max="5637" width="27" style="148" customWidth="1"/>
    <col min="5638" max="5639" width="9.1328125" style="148" customWidth="1"/>
    <col min="5640" max="5640" width="5" style="148" customWidth="1"/>
    <col min="5641" max="5642" width="9.1328125" style="148" customWidth="1"/>
    <col min="5643" max="5643" width="10.53125" style="148" customWidth="1"/>
    <col min="5644" max="5888" width="9.1328125" style="148"/>
    <col min="5889" max="5889" width="0" style="148" hidden="1" customWidth="1"/>
    <col min="5890" max="5890" width="43.46484375" style="148" customWidth="1"/>
    <col min="5891" max="5891" width="3.6640625" style="148" customWidth="1"/>
    <col min="5892" max="5892" width="32.6640625" style="148" customWidth="1"/>
    <col min="5893" max="5893" width="27" style="148" customWidth="1"/>
    <col min="5894" max="5895" width="9.1328125" style="148" customWidth="1"/>
    <col min="5896" max="5896" width="5" style="148" customWidth="1"/>
    <col min="5897" max="5898" width="9.1328125" style="148" customWidth="1"/>
    <col min="5899" max="5899" width="10.53125" style="148" customWidth="1"/>
    <col min="5900" max="6144" width="9.1328125" style="148"/>
    <col min="6145" max="6145" width="0" style="148" hidden="1" customWidth="1"/>
    <col min="6146" max="6146" width="43.46484375" style="148" customWidth="1"/>
    <col min="6147" max="6147" width="3.6640625" style="148" customWidth="1"/>
    <col min="6148" max="6148" width="32.6640625" style="148" customWidth="1"/>
    <col min="6149" max="6149" width="27" style="148" customWidth="1"/>
    <col min="6150" max="6151" width="9.1328125" style="148" customWidth="1"/>
    <col min="6152" max="6152" width="5" style="148" customWidth="1"/>
    <col min="6153" max="6154" width="9.1328125" style="148" customWidth="1"/>
    <col min="6155" max="6155" width="10.53125" style="148" customWidth="1"/>
    <col min="6156" max="6400" width="9.1328125" style="148"/>
    <col min="6401" max="6401" width="0" style="148" hidden="1" customWidth="1"/>
    <col min="6402" max="6402" width="43.46484375" style="148" customWidth="1"/>
    <col min="6403" max="6403" width="3.6640625" style="148" customWidth="1"/>
    <col min="6404" max="6404" width="32.6640625" style="148" customWidth="1"/>
    <col min="6405" max="6405" width="27" style="148" customWidth="1"/>
    <col min="6406" max="6407" width="9.1328125" style="148" customWidth="1"/>
    <col min="6408" max="6408" width="5" style="148" customWidth="1"/>
    <col min="6409" max="6410" width="9.1328125" style="148" customWidth="1"/>
    <col min="6411" max="6411" width="10.53125" style="148" customWidth="1"/>
    <col min="6412" max="6656" width="9.1328125" style="148"/>
    <col min="6657" max="6657" width="0" style="148" hidden="1" customWidth="1"/>
    <col min="6658" max="6658" width="43.46484375" style="148" customWidth="1"/>
    <col min="6659" max="6659" width="3.6640625" style="148" customWidth="1"/>
    <col min="6660" max="6660" width="32.6640625" style="148" customWidth="1"/>
    <col min="6661" max="6661" width="27" style="148" customWidth="1"/>
    <col min="6662" max="6663" width="9.1328125" style="148" customWidth="1"/>
    <col min="6664" max="6664" width="5" style="148" customWidth="1"/>
    <col min="6665" max="6666" width="9.1328125" style="148" customWidth="1"/>
    <col min="6667" max="6667" width="10.53125" style="148" customWidth="1"/>
    <col min="6668" max="6912" width="9.1328125" style="148"/>
    <col min="6913" max="6913" width="0" style="148" hidden="1" customWidth="1"/>
    <col min="6914" max="6914" width="43.46484375" style="148" customWidth="1"/>
    <col min="6915" max="6915" width="3.6640625" style="148" customWidth="1"/>
    <col min="6916" max="6916" width="32.6640625" style="148" customWidth="1"/>
    <col min="6917" max="6917" width="27" style="148" customWidth="1"/>
    <col min="6918" max="6919" width="9.1328125" style="148" customWidth="1"/>
    <col min="6920" max="6920" width="5" style="148" customWidth="1"/>
    <col min="6921" max="6922" width="9.1328125" style="148" customWidth="1"/>
    <col min="6923" max="6923" width="10.53125" style="148" customWidth="1"/>
    <col min="6924" max="7168" width="9.1328125" style="148"/>
    <col min="7169" max="7169" width="0" style="148" hidden="1" customWidth="1"/>
    <col min="7170" max="7170" width="43.46484375" style="148" customWidth="1"/>
    <col min="7171" max="7171" width="3.6640625" style="148" customWidth="1"/>
    <col min="7172" max="7172" width="32.6640625" style="148" customWidth="1"/>
    <col min="7173" max="7173" width="27" style="148" customWidth="1"/>
    <col min="7174" max="7175" width="9.1328125" style="148" customWidth="1"/>
    <col min="7176" max="7176" width="5" style="148" customWidth="1"/>
    <col min="7177" max="7178" width="9.1328125" style="148" customWidth="1"/>
    <col min="7179" max="7179" width="10.53125" style="148" customWidth="1"/>
    <col min="7180" max="7424" width="9.1328125" style="148"/>
    <col min="7425" max="7425" width="0" style="148" hidden="1" customWidth="1"/>
    <col min="7426" max="7426" width="43.46484375" style="148" customWidth="1"/>
    <col min="7427" max="7427" width="3.6640625" style="148" customWidth="1"/>
    <col min="7428" max="7428" width="32.6640625" style="148" customWidth="1"/>
    <col min="7429" max="7429" width="27" style="148" customWidth="1"/>
    <col min="7430" max="7431" width="9.1328125" style="148" customWidth="1"/>
    <col min="7432" max="7432" width="5" style="148" customWidth="1"/>
    <col min="7433" max="7434" width="9.1328125" style="148" customWidth="1"/>
    <col min="7435" max="7435" width="10.53125" style="148" customWidth="1"/>
    <col min="7436" max="7680" width="9.1328125" style="148"/>
    <col min="7681" max="7681" width="0" style="148" hidden="1" customWidth="1"/>
    <col min="7682" max="7682" width="43.46484375" style="148" customWidth="1"/>
    <col min="7683" max="7683" width="3.6640625" style="148" customWidth="1"/>
    <col min="7684" max="7684" width="32.6640625" style="148" customWidth="1"/>
    <col min="7685" max="7685" width="27" style="148" customWidth="1"/>
    <col min="7686" max="7687" width="9.1328125" style="148" customWidth="1"/>
    <col min="7688" max="7688" width="5" style="148" customWidth="1"/>
    <col min="7689" max="7690" width="9.1328125" style="148" customWidth="1"/>
    <col min="7691" max="7691" width="10.53125" style="148" customWidth="1"/>
    <col min="7692" max="7936" width="9.1328125" style="148"/>
    <col min="7937" max="7937" width="0" style="148" hidden="1" customWidth="1"/>
    <col min="7938" max="7938" width="43.46484375" style="148" customWidth="1"/>
    <col min="7939" max="7939" width="3.6640625" style="148" customWidth="1"/>
    <col min="7940" max="7940" width="32.6640625" style="148" customWidth="1"/>
    <col min="7941" max="7941" width="27" style="148" customWidth="1"/>
    <col min="7942" max="7943" width="9.1328125" style="148" customWidth="1"/>
    <col min="7944" max="7944" width="5" style="148" customWidth="1"/>
    <col min="7945" max="7946" width="9.1328125" style="148" customWidth="1"/>
    <col min="7947" max="7947" width="10.53125" style="148" customWidth="1"/>
    <col min="7948" max="8192" width="9.1328125" style="148"/>
    <col min="8193" max="8193" width="0" style="148" hidden="1" customWidth="1"/>
    <col min="8194" max="8194" width="43.46484375" style="148" customWidth="1"/>
    <col min="8195" max="8195" width="3.6640625" style="148" customWidth="1"/>
    <col min="8196" max="8196" width="32.6640625" style="148" customWidth="1"/>
    <col min="8197" max="8197" width="27" style="148" customWidth="1"/>
    <col min="8198" max="8199" width="9.1328125" style="148" customWidth="1"/>
    <col min="8200" max="8200" width="5" style="148" customWidth="1"/>
    <col min="8201" max="8202" width="9.1328125" style="148" customWidth="1"/>
    <col min="8203" max="8203" width="10.53125" style="148" customWidth="1"/>
    <col min="8204" max="8448" width="9.1328125" style="148"/>
    <col min="8449" max="8449" width="0" style="148" hidden="1" customWidth="1"/>
    <col min="8450" max="8450" width="43.46484375" style="148" customWidth="1"/>
    <col min="8451" max="8451" width="3.6640625" style="148" customWidth="1"/>
    <col min="8452" max="8452" width="32.6640625" style="148" customWidth="1"/>
    <col min="8453" max="8453" width="27" style="148" customWidth="1"/>
    <col min="8454" max="8455" width="9.1328125" style="148" customWidth="1"/>
    <col min="8456" max="8456" width="5" style="148" customWidth="1"/>
    <col min="8457" max="8458" width="9.1328125" style="148" customWidth="1"/>
    <col min="8459" max="8459" width="10.53125" style="148" customWidth="1"/>
    <col min="8460" max="8704" width="9.1328125" style="148"/>
    <col min="8705" max="8705" width="0" style="148" hidden="1" customWidth="1"/>
    <col min="8706" max="8706" width="43.46484375" style="148" customWidth="1"/>
    <col min="8707" max="8707" width="3.6640625" style="148" customWidth="1"/>
    <col min="8708" max="8708" width="32.6640625" style="148" customWidth="1"/>
    <col min="8709" max="8709" width="27" style="148" customWidth="1"/>
    <col min="8710" max="8711" width="9.1328125" style="148" customWidth="1"/>
    <col min="8712" max="8712" width="5" style="148" customWidth="1"/>
    <col min="8713" max="8714" width="9.1328125" style="148" customWidth="1"/>
    <col min="8715" max="8715" width="10.53125" style="148" customWidth="1"/>
    <col min="8716" max="8960" width="9.1328125" style="148"/>
    <col min="8961" max="8961" width="0" style="148" hidden="1" customWidth="1"/>
    <col min="8962" max="8962" width="43.46484375" style="148" customWidth="1"/>
    <col min="8963" max="8963" width="3.6640625" style="148" customWidth="1"/>
    <col min="8964" max="8964" width="32.6640625" style="148" customWidth="1"/>
    <col min="8965" max="8965" width="27" style="148" customWidth="1"/>
    <col min="8966" max="8967" width="9.1328125" style="148" customWidth="1"/>
    <col min="8968" max="8968" width="5" style="148" customWidth="1"/>
    <col min="8969" max="8970" width="9.1328125" style="148" customWidth="1"/>
    <col min="8971" max="8971" width="10.53125" style="148" customWidth="1"/>
    <col min="8972" max="9216" width="9.1328125" style="148"/>
    <col min="9217" max="9217" width="0" style="148" hidden="1" customWidth="1"/>
    <col min="9218" max="9218" width="43.46484375" style="148" customWidth="1"/>
    <col min="9219" max="9219" width="3.6640625" style="148" customWidth="1"/>
    <col min="9220" max="9220" width="32.6640625" style="148" customWidth="1"/>
    <col min="9221" max="9221" width="27" style="148" customWidth="1"/>
    <col min="9222" max="9223" width="9.1328125" style="148" customWidth="1"/>
    <col min="9224" max="9224" width="5" style="148" customWidth="1"/>
    <col min="9225" max="9226" width="9.1328125" style="148" customWidth="1"/>
    <col min="9227" max="9227" width="10.53125" style="148" customWidth="1"/>
    <col min="9228" max="9472" width="9.1328125" style="148"/>
    <col min="9473" max="9473" width="0" style="148" hidden="1" customWidth="1"/>
    <col min="9474" max="9474" width="43.46484375" style="148" customWidth="1"/>
    <col min="9475" max="9475" width="3.6640625" style="148" customWidth="1"/>
    <col min="9476" max="9476" width="32.6640625" style="148" customWidth="1"/>
    <col min="9477" max="9477" width="27" style="148" customWidth="1"/>
    <col min="9478" max="9479" width="9.1328125" style="148" customWidth="1"/>
    <col min="9480" max="9480" width="5" style="148" customWidth="1"/>
    <col min="9481" max="9482" width="9.1328125" style="148" customWidth="1"/>
    <col min="9483" max="9483" width="10.53125" style="148" customWidth="1"/>
    <col min="9484" max="9728" width="9.1328125" style="148"/>
    <col min="9729" max="9729" width="0" style="148" hidden="1" customWidth="1"/>
    <col min="9730" max="9730" width="43.46484375" style="148" customWidth="1"/>
    <col min="9731" max="9731" width="3.6640625" style="148" customWidth="1"/>
    <col min="9732" max="9732" width="32.6640625" style="148" customWidth="1"/>
    <col min="9733" max="9733" width="27" style="148" customWidth="1"/>
    <col min="9734" max="9735" width="9.1328125" style="148" customWidth="1"/>
    <col min="9736" max="9736" width="5" style="148" customWidth="1"/>
    <col min="9737" max="9738" width="9.1328125" style="148" customWidth="1"/>
    <col min="9739" max="9739" width="10.53125" style="148" customWidth="1"/>
    <col min="9740" max="9984" width="9.1328125" style="148"/>
    <col min="9985" max="9985" width="0" style="148" hidden="1" customWidth="1"/>
    <col min="9986" max="9986" width="43.46484375" style="148" customWidth="1"/>
    <col min="9987" max="9987" width="3.6640625" style="148" customWidth="1"/>
    <col min="9988" max="9988" width="32.6640625" style="148" customWidth="1"/>
    <col min="9989" max="9989" width="27" style="148" customWidth="1"/>
    <col min="9990" max="9991" width="9.1328125" style="148" customWidth="1"/>
    <col min="9992" max="9992" width="5" style="148" customWidth="1"/>
    <col min="9993" max="9994" width="9.1328125" style="148" customWidth="1"/>
    <col min="9995" max="9995" width="10.53125" style="148" customWidth="1"/>
    <col min="9996" max="10240" width="9.1328125" style="148"/>
    <col min="10241" max="10241" width="0" style="148" hidden="1" customWidth="1"/>
    <col min="10242" max="10242" width="43.46484375" style="148" customWidth="1"/>
    <col min="10243" max="10243" width="3.6640625" style="148" customWidth="1"/>
    <col min="10244" max="10244" width="32.6640625" style="148" customWidth="1"/>
    <col min="10245" max="10245" width="27" style="148" customWidth="1"/>
    <col min="10246" max="10247" width="9.1328125" style="148" customWidth="1"/>
    <col min="10248" max="10248" width="5" style="148" customWidth="1"/>
    <col min="10249" max="10250" width="9.1328125" style="148" customWidth="1"/>
    <col min="10251" max="10251" width="10.53125" style="148" customWidth="1"/>
    <col min="10252" max="10496" width="9.1328125" style="148"/>
    <col min="10497" max="10497" width="0" style="148" hidden="1" customWidth="1"/>
    <col min="10498" max="10498" width="43.46484375" style="148" customWidth="1"/>
    <col min="10499" max="10499" width="3.6640625" style="148" customWidth="1"/>
    <col min="10500" max="10500" width="32.6640625" style="148" customWidth="1"/>
    <col min="10501" max="10501" width="27" style="148" customWidth="1"/>
    <col min="10502" max="10503" width="9.1328125" style="148" customWidth="1"/>
    <col min="10504" max="10504" width="5" style="148" customWidth="1"/>
    <col min="10505" max="10506" width="9.1328125" style="148" customWidth="1"/>
    <col min="10507" max="10507" width="10.53125" style="148" customWidth="1"/>
    <col min="10508" max="10752" width="9.1328125" style="148"/>
    <col min="10753" max="10753" width="0" style="148" hidden="1" customWidth="1"/>
    <col min="10754" max="10754" width="43.46484375" style="148" customWidth="1"/>
    <col min="10755" max="10755" width="3.6640625" style="148" customWidth="1"/>
    <col min="10756" max="10756" width="32.6640625" style="148" customWidth="1"/>
    <col min="10757" max="10757" width="27" style="148" customWidth="1"/>
    <col min="10758" max="10759" width="9.1328125" style="148" customWidth="1"/>
    <col min="10760" max="10760" width="5" style="148" customWidth="1"/>
    <col min="10761" max="10762" width="9.1328125" style="148" customWidth="1"/>
    <col min="10763" max="10763" width="10.53125" style="148" customWidth="1"/>
    <col min="10764" max="11008" width="9.1328125" style="148"/>
    <col min="11009" max="11009" width="0" style="148" hidden="1" customWidth="1"/>
    <col min="11010" max="11010" width="43.46484375" style="148" customWidth="1"/>
    <col min="11011" max="11011" width="3.6640625" style="148" customWidth="1"/>
    <col min="11012" max="11012" width="32.6640625" style="148" customWidth="1"/>
    <col min="11013" max="11013" width="27" style="148" customWidth="1"/>
    <col min="11014" max="11015" width="9.1328125" style="148" customWidth="1"/>
    <col min="11016" max="11016" width="5" style="148" customWidth="1"/>
    <col min="11017" max="11018" width="9.1328125" style="148" customWidth="1"/>
    <col min="11019" max="11019" width="10.53125" style="148" customWidth="1"/>
    <col min="11020" max="11264" width="9.1328125" style="148"/>
    <col min="11265" max="11265" width="0" style="148" hidden="1" customWidth="1"/>
    <col min="11266" max="11266" width="43.46484375" style="148" customWidth="1"/>
    <col min="11267" max="11267" width="3.6640625" style="148" customWidth="1"/>
    <col min="11268" max="11268" width="32.6640625" style="148" customWidth="1"/>
    <col min="11269" max="11269" width="27" style="148" customWidth="1"/>
    <col min="11270" max="11271" width="9.1328125" style="148" customWidth="1"/>
    <col min="11272" max="11272" width="5" style="148" customWidth="1"/>
    <col min="11273" max="11274" width="9.1328125" style="148" customWidth="1"/>
    <col min="11275" max="11275" width="10.53125" style="148" customWidth="1"/>
    <col min="11276" max="11520" width="9.1328125" style="148"/>
    <col min="11521" max="11521" width="0" style="148" hidden="1" customWidth="1"/>
    <col min="11522" max="11522" width="43.46484375" style="148" customWidth="1"/>
    <col min="11523" max="11523" width="3.6640625" style="148" customWidth="1"/>
    <col min="11524" max="11524" width="32.6640625" style="148" customWidth="1"/>
    <col min="11525" max="11525" width="27" style="148" customWidth="1"/>
    <col min="11526" max="11527" width="9.1328125" style="148" customWidth="1"/>
    <col min="11528" max="11528" width="5" style="148" customWidth="1"/>
    <col min="11529" max="11530" width="9.1328125" style="148" customWidth="1"/>
    <col min="11531" max="11531" width="10.53125" style="148" customWidth="1"/>
    <col min="11532" max="11776" width="9.1328125" style="148"/>
    <col min="11777" max="11777" width="0" style="148" hidden="1" customWidth="1"/>
    <col min="11778" max="11778" width="43.46484375" style="148" customWidth="1"/>
    <col min="11779" max="11779" width="3.6640625" style="148" customWidth="1"/>
    <col min="11780" max="11780" width="32.6640625" style="148" customWidth="1"/>
    <col min="11781" max="11781" width="27" style="148" customWidth="1"/>
    <col min="11782" max="11783" width="9.1328125" style="148" customWidth="1"/>
    <col min="11784" max="11784" width="5" style="148" customWidth="1"/>
    <col min="11785" max="11786" width="9.1328125" style="148" customWidth="1"/>
    <col min="11787" max="11787" width="10.53125" style="148" customWidth="1"/>
    <col min="11788" max="12032" width="9.1328125" style="148"/>
    <col min="12033" max="12033" width="0" style="148" hidden="1" customWidth="1"/>
    <col min="12034" max="12034" width="43.46484375" style="148" customWidth="1"/>
    <col min="12035" max="12035" width="3.6640625" style="148" customWidth="1"/>
    <col min="12036" max="12036" width="32.6640625" style="148" customWidth="1"/>
    <col min="12037" max="12037" width="27" style="148" customWidth="1"/>
    <col min="12038" max="12039" width="9.1328125" style="148" customWidth="1"/>
    <col min="12040" max="12040" width="5" style="148" customWidth="1"/>
    <col min="12041" max="12042" width="9.1328125" style="148" customWidth="1"/>
    <col min="12043" max="12043" width="10.53125" style="148" customWidth="1"/>
    <col min="12044" max="12288" width="9.1328125" style="148"/>
    <col min="12289" max="12289" width="0" style="148" hidden="1" customWidth="1"/>
    <col min="12290" max="12290" width="43.46484375" style="148" customWidth="1"/>
    <col min="12291" max="12291" width="3.6640625" style="148" customWidth="1"/>
    <col min="12292" max="12292" width="32.6640625" style="148" customWidth="1"/>
    <col min="12293" max="12293" width="27" style="148" customWidth="1"/>
    <col min="12294" max="12295" width="9.1328125" style="148" customWidth="1"/>
    <col min="12296" max="12296" width="5" style="148" customWidth="1"/>
    <col min="12297" max="12298" width="9.1328125" style="148" customWidth="1"/>
    <col min="12299" max="12299" width="10.53125" style="148" customWidth="1"/>
    <col min="12300" max="12544" width="9.1328125" style="148"/>
    <col min="12545" max="12545" width="0" style="148" hidden="1" customWidth="1"/>
    <col min="12546" max="12546" width="43.46484375" style="148" customWidth="1"/>
    <col min="12547" max="12547" width="3.6640625" style="148" customWidth="1"/>
    <col min="12548" max="12548" width="32.6640625" style="148" customWidth="1"/>
    <col min="12549" max="12549" width="27" style="148" customWidth="1"/>
    <col min="12550" max="12551" width="9.1328125" style="148" customWidth="1"/>
    <col min="12552" max="12552" width="5" style="148" customWidth="1"/>
    <col min="12553" max="12554" width="9.1328125" style="148" customWidth="1"/>
    <col min="12555" max="12555" width="10.53125" style="148" customWidth="1"/>
    <col min="12556" max="12800" width="9.1328125" style="148"/>
    <col min="12801" max="12801" width="0" style="148" hidden="1" customWidth="1"/>
    <col min="12802" max="12802" width="43.46484375" style="148" customWidth="1"/>
    <col min="12803" max="12803" width="3.6640625" style="148" customWidth="1"/>
    <col min="12804" max="12804" width="32.6640625" style="148" customWidth="1"/>
    <col min="12805" max="12805" width="27" style="148" customWidth="1"/>
    <col min="12806" max="12807" width="9.1328125" style="148" customWidth="1"/>
    <col min="12808" max="12808" width="5" style="148" customWidth="1"/>
    <col min="12809" max="12810" width="9.1328125" style="148" customWidth="1"/>
    <col min="12811" max="12811" width="10.53125" style="148" customWidth="1"/>
    <col min="12812" max="13056" width="9.1328125" style="148"/>
    <col min="13057" max="13057" width="0" style="148" hidden="1" customWidth="1"/>
    <col min="13058" max="13058" width="43.46484375" style="148" customWidth="1"/>
    <col min="13059" max="13059" width="3.6640625" style="148" customWidth="1"/>
    <col min="13060" max="13060" width="32.6640625" style="148" customWidth="1"/>
    <col min="13061" max="13061" width="27" style="148" customWidth="1"/>
    <col min="13062" max="13063" width="9.1328125" style="148" customWidth="1"/>
    <col min="13064" max="13064" width="5" style="148" customWidth="1"/>
    <col min="13065" max="13066" width="9.1328125" style="148" customWidth="1"/>
    <col min="13067" max="13067" width="10.53125" style="148" customWidth="1"/>
    <col min="13068" max="13312" width="9.1328125" style="148"/>
    <col min="13313" max="13313" width="0" style="148" hidden="1" customWidth="1"/>
    <col min="13314" max="13314" width="43.46484375" style="148" customWidth="1"/>
    <col min="13315" max="13315" width="3.6640625" style="148" customWidth="1"/>
    <col min="13316" max="13316" width="32.6640625" style="148" customWidth="1"/>
    <col min="13317" max="13317" width="27" style="148" customWidth="1"/>
    <col min="13318" max="13319" width="9.1328125" style="148" customWidth="1"/>
    <col min="13320" max="13320" width="5" style="148" customWidth="1"/>
    <col min="13321" max="13322" width="9.1328125" style="148" customWidth="1"/>
    <col min="13323" max="13323" width="10.53125" style="148" customWidth="1"/>
    <col min="13324" max="13568" width="9.1328125" style="148"/>
    <col min="13569" max="13569" width="0" style="148" hidden="1" customWidth="1"/>
    <col min="13570" max="13570" width="43.46484375" style="148" customWidth="1"/>
    <col min="13571" max="13571" width="3.6640625" style="148" customWidth="1"/>
    <col min="13572" max="13572" width="32.6640625" style="148" customWidth="1"/>
    <col min="13573" max="13573" width="27" style="148" customWidth="1"/>
    <col min="13574" max="13575" width="9.1328125" style="148" customWidth="1"/>
    <col min="13576" max="13576" width="5" style="148" customWidth="1"/>
    <col min="13577" max="13578" width="9.1328125" style="148" customWidth="1"/>
    <col min="13579" max="13579" width="10.53125" style="148" customWidth="1"/>
    <col min="13580" max="13824" width="9.1328125" style="148"/>
    <col min="13825" max="13825" width="0" style="148" hidden="1" customWidth="1"/>
    <col min="13826" max="13826" width="43.46484375" style="148" customWidth="1"/>
    <col min="13827" max="13827" width="3.6640625" style="148" customWidth="1"/>
    <col min="13828" max="13828" width="32.6640625" style="148" customWidth="1"/>
    <col min="13829" max="13829" width="27" style="148" customWidth="1"/>
    <col min="13830" max="13831" width="9.1328125" style="148" customWidth="1"/>
    <col min="13832" max="13832" width="5" style="148" customWidth="1"/>
    <col min="13833" max="13834" width="9.1328125" style="148" customWidth="1"/>
    <col min="13835" max="13835" width="10.53125" style="148" customWidth="1"/>
    <col min="13836" max="14080" width="9.1328125" style="148"/>
    <col min="14081" max="14081" width="0" style="148" hidden="1" customWidth="1"/>
    <col min="14082" max="14082" width="43.46484375" style="148" customWidth="1"/>
    <col min="14083" max="14083" width="3.6640625" style="148" customWidth="1"/>
    <col min="14084" max="14084" width="32.6640625" style="148" customWidth="1"/>
    <col min="14085" max="14085" width="27" style="148" customWidth="1"/>
    <col min="14086" max="14087" width="9.1328125" style="148" customWidth="1"/>
    <col min="14088" max="14088" width="5" style="148" customWidth="1"/>
    <col min="14089" max="14090" width="9.1328125" style="148" customWidth="1"/>
    <col min="14091" max="14091" width="10.53125" style="148" customWidth="1"/>
    <col min="14092" max="14336" width="9.1328125" style="148"/>
    <col min="14337" max="14337" width="0" style="148" hidden="1" customWidth="1"/>
    <col min="14338" max="14338" width="43.46484375" style="148" customWidth="1"/>
    <col min="14339" max="14339" width="3.6640625" style="148" customWidth="1"/>
    <col min="14340" max="14340" width="32.6640625" style="148" customWidth="1"/>
    <col min="14341" max="14341" width="27" style="148" customWidth="1"/>
    <col min="14342" max="14343" width="9.1328125" style="148" customWidth="1"/>
    <col min="14344" max="14344" width="5" style="148" customWidth="1"/>
    <col min="14345" max="14346" width="9.1328125" style="148" customWidth="1"/>
    <col min="14347" max="14347" width="10.53125" style="148" customWidth="1"/>
    <col min="14348" max="14592" width="9.1328125" style="148"/>
    <col min="14593" max="14593" width="0" style="148" hidden="1" customWidth="1"/>
    <col min="14594" max="14594" width="43.46484375" style="148" customWidth="1"/>
    <col min="14595" max="14595" width="3.6640625" style="148" customWidth="1"/>
    <col min="14596" max="14596" width="32.6640625" style="148" customWidth="1"/>
    <col min="14597" max="14597" width="27" style="148" customWidth="1"/>
    <col min="14598" max="14599" width="9.1328125" style="148" customWidth="1"/>
    <col min="14600" max="14600" width="5" style="148" customWidth="1"/>
    <col min="14601" max="14602" width="9.1328125" style="148" customWidth="1"/>
    <col min="14603" max="14603" width="10.53125" style="148" customWidth="1"/>
    <col min="14604" max="14848" width="9.1328125" style="148"/>
    <col min="14849" max="14849" width="0" style="148" hidden="1" customWidth="1"/>
    <col min="14850" max="14850" width="43.46484375" style="148" customWidth="1"/>
    <col min="14851" max="14851" width="3.6640625" style="148" customWidth="1"/>
    <col min="14852" max="14852" width="32.6640625" style="148" customWidth="1"/>
    <col min="14853" max="14853" width="27" style="148" customWidth="1"/>
    <col min="14854" max="14855" width="9.1328125" style="148" customWidth="1"/>
    <col min="14856" max="14856" width="5" style="148" customWidth="1"/>
    <col min="14857" max="14858" width="9.1328125" style="148" customWidth="1"/>
    <col min="14859" max="14859" width="10.53125" style="148" customWidth="1"/>
    <col min="14860" max="15104" width="9.1328125" style="148"/>
    <col min="15105" max="15105" width="0" style="148" hidden="1" customWidth="1"/>
    <col min="15106" max="15106" width="43.46484375" style="148" customWidth="1"/>
    <col min="15107" max="15107" width="3.6640625" style="148" customWidth="1"/>
    <col min="15108" max="15108" width="32.6640625" style="148" customWidth="1"/>
    <col min="15109" max="15109" width="27" style="148" customWidth="1"/>
    <col min="15110" max="15111" width="9.1328125" style="148" customWidth="1"/>
    <col min="15112" max="15112" width="5" style="148" customWidth="1"/>
    <col min="15113" max="15114" width="9.1328125" style="148" customWidth="1"/>
    <col min="15115" max="15115" width="10.53125" style="148" customWidth="1"/>
    <col min="15116" max="15360" width="9.1328125" style="148"/>
    <col min="15361" max="15361" width="0" style="148" hidden="1" customWidth="1"/>
    <col min="15362" max="15362" width="43.46484375" style="148" customWidth="1"/>
    <col min="15363" max="15363" width="3.6640625" style="148" customWidth="1"/>
    <col min="15364" max="15364" width="32.6640625" style="148" customWidth="1"/>
    <col min="15365" max="15365" width="27" style="148" customWidth="1"/>
    <col min="15366" max="15367" width="9.1328125" style="148" customWidth="1"/>
    <col min="15368" max="15368" width="5" style="148" customWidth="1"/>
    <col min="15369" max="15370" width="9.1328125" style="148" customWidth="1"/>
    <col min="15371" max="15371" width="10.53125" style="148" customWidth="1"/>
    <col min="15372" max="15616" width="9.1328125" style="148"/>
    <col min="15617" max="15617" width="0" style="148" hidden="1" customWidth="1"/>
    <col min="15618" max="15618" width="43.46484375" style="148" customWidth="1"/>
    <col min="15619" max="15619" width="3.6640625" style="148" customWidth="1"/>
    <col min="15620" max="15620" width="32.6640625" style="148" customWidth="1"/>
    <col min="15621" max="15621" width="27" style="148" customWidth="1"/>
    <col min="15622" max="15623" width="9.1328125" style="148" customWidth="1"/>
    <col min="15624" max="15624" width="5" style="148" customWidth="1"/>
    <col min="15625" max="15626" width="9.1328125" style="148" customWidth="1"/>
    <col min="15627" max="15627" width="10.53125" style="148" customWidth="1"/>
    <col min="15628" max="15872" width="9.1328125" style="148"/>
    <col min="15873" max="15873" width="0" style="148" hidden="1" customWidth="1"/>
    <col min="15874" max="15874" width="43.46484375" style="148" customWidth="1"/>
    <col min="15875" max="15875" width="3.6640625" style="148" customWidth="1"/>
    <col min="15876" max="15876" width="32.6640625" style="148" customWidth="1"/>
    <col min="15877" max="15877" width="27" style="148" customWidth="1"/>
    <col min="15878" max="15879" width="9.1328125" style="148" customWidth="1"/>
    <col min="15880" max="15880" width="5" style="148" customWidth="1"/>
    <col min="15881" max="15882" width="9.1328125" style="148" customWidth="1"/>
    <col min="15883" max="15883" width="10.53125" style="148" customWidth="1"/>
    <col min="15884" max="16128" width="9.1328125" style="148"/>
    <col min="16129" max="16129" width="0" style="148" hidden="1" customWidth="1"/>
    <col min="16130" max="16130" width="43.46484375" style="148" customWidth="1"/>
    <col min="16131" max="16131" width="3.6640625" style="148" customWidth="1"/>
    <col min="16132" max="16132" width="32.6640625" style="148" customWidth="1"/>
    <col min="16133" max="16133" width="27" style="148" customWidth="1"/>
    <col min="16134" max="16135" width="9.1328125" style="148" customWidth="1"/>
    <col min="16136" max="16136" width="5" style="148" customWidth="1"/>
    <col min="16137" max="16138" width="9.1328125" style="148" customWidth="1"/>
    <col min="16139" max="16139" width="10.53125" style="148" customWidth="1"/>
    <col min="16140" max="16384" width="9.1328125" style="148"/>
  </cols>
  <sheetData>
    <row r="1" spans="1:256" ht="12.75" customHeight="1">
      <c r="B1" s="63"/>
    </row>
    <row r="2" spans="1:256" s="157" customFormat="1" ht="21" customHeight="1">
      <c r="A2" s="148"/>
      <c r="B2" s="3187" t="s">
        <v>0</v>
      </c>
      <c r="C2" s="149"/>
      <c r="D2" s="3191" t="s">
        <v>431</v>
      </c>
      <c r="E2" s="3190"/>
      <c r="F2" s="3190"/>
      <c r="G2" s="3190"/>
      <c r="H2" s="3190"/>
      <c r="I2" s="3190"/>
      <c r="J2" s="3190"/>
      <c r="K2" s="3190"/>
      <c r="L2" s="155"/>
      <c r="M2" s="155"/>
      <c r="N2" s="155"/>
      <c r="O2" s="155"/>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row>
    <row r="3" spans="1:256" s="157" customFormat="1" ht="21" customHeight="1">
      <c r="A3" s="148"/>
      <c r="B3" s="3187"/>
      <c r="C3" s="149"/>
      <c r="D3" s="3190"/>
      <c r="E3" s="3190"/>
      <c r="F3" s="3190"/>
      <c r="G3" s="3190"/>
      <c r="H3" s="3190"/>
      <c r="I3" s="3190"/>
      <c r="J3" s="3190"/>
      <c r="K3" s="3190"/>
    </row>
    <row r="4" spans="1:256" ht="21" customHeight="1">
      <c r="B4" s="63"/>
      <c r="C4" s="150"/>
      <c r="D4" s="151"/>
      <c r="E4" s="150"/>
      <c r="F4" s="150"/>
      <c r="G4" s="150"/>
      <c r="H4" s="150"/>
      <c r="I4" s="150"/>
      <c r="J4" s="150"/>
      <c r="K4" s="150"/>
    </row>
    <row r="5" spans="1:256" ht="21" customHeight="1">
      <c r="B5" s="62" t="s">
        <v>1</v>
      </c>
      <c r="D5" s="152"/>
    </row>
    <row r="6" spans="1:256" ht="21" customHeight="1">
      <c r="B6" s="146" t="s">
        <v>452</v>
      </c>
      <c r="D6" s="153"/>
    </row>
    <row r="7" spans="1:256" ht="21" customHeight="1">
      <c r="B7" s="145" t="s">
        <v>300</v>
      </c>
    </row>
    <row r="8" spans="1:256" ht="21" customHeight="1">
      <c r="B8" s="810" t="s">
        <v>1392</v>
      </c>
    </row>
    <row r="9" spans="1:256" ht="21" customHeight="1">
      <c r="B9" s="147" t="s">
        <v>419</v>
      </c>
      <c r="D9" s="152"/>
    </row>
    <row r="10" spans="1:256" ht="21" customHeight="1">
      <c r="B10" s="145" t="s">
        <v>420</v>
      </c>
      <c r="D10" s="153"/>
    </row>
    <row r="11" spans="1:256" ht="21" customHeight="1">
      <c r="B11" s="810" t="s">
        <v>52</v>
      </c>
      <c r="D11" s="153"/>
    </row>
    <row r="12" spans="1:256" ht="21" customHeight="1">
      <c r="B12" s="168" t="s">
        <v>96</v>
      </c>
      <c r="D12" s="153"/>
    </row>
    <row r="13" spans="1:256" ht="21" customHeight="1">
      <c r="B13" s="810" t="s">
        <v>1343</v>
      </c>
      <c r="D13" s="153"/>
    </row>
    <row r="14" spans="1:256" ht="21" customHeight="1">
      <c r="B14" s="62" t="s">
        <v>239</v>
      </c>
      <c r="D14" s="153"/>
    </row>
    <row r="15" spans="1:256" ht="21" customHeight="1">
      <c r="B15" s="62" t="s">
        <v>1263</v>
      </c>
      <c r="D15" s="152"/>
    </row>
    <row r="16" spans="1:256" ht="21" customHeight="1">
      <c r="B16" s="62" t="s">
        <v>557</v>
      </c>
      <c r="D16" s="153"/>
    </row>
    <row r="17" spans="2:4" ht="21" customHeight="1">
      <c r="B17" s="62" t="s">
        <v>238</v>
      </c>
      <c r="D17" s="153"/>
    </row>
    <row r="18" spans="2:4" ht="21" customHeight="1">
      <c r="B18" s="62" t="s">
        <v>1652</v>
      </c>
      <c r="D18" s="153"/>
    </row>
    <row r="19" spans="2:4" ht="21" customHeight="1">
      <c r="B19" s="62" t="s">
        <v>1653</v>
      </c>
      <c r="D19" s="152"/>
    </row>
    <row r="20" spans="2:4" ht="21" customHeight="1">
      <c r="B20" s="62" t="s">
        <v>40</v>
      </c>
      <c r="D20" s="153"/>
    </row>
    <row r="21" spans="2:4" ht="21" customHeight="1">
      <c r="B21" s="62" t="s">
        <v>238</v>
      </c>
      <c r="D21" s="153"/>
    </row>
    <row r="22" spans="2:4" ht="21" customHeight="1">
      <c r="B22" s="62" t="s">
        <v>39</v>
      </c>
      <c r="D22" s="154"/>
    </row>
    <row r="23" spans="2:4" ht="21" customHeight="1">
      <c r="B23" s="62" t="s">
        <v>38</v>
      </c>
      <c r="D23" s="152"/>
    </row>
    <row r="24" spans="2:4" ht="21" customHeight="1">
      <c r="B24" s="819"/>
      <c r="D24" s="153"/>
    </row>
    <row r="25" spans="2:4" ht="21" customHeight="1">
      <c r="B25" s="819"/>
      <c r="D25" s="153"/>
    </row>
    <row r="26" spans="2:4" ht="21" customHeight="1">
      <c r="B26" s="819"/>
      <c r="D26" s="153"/>
    </row>
    <row r="27" spans="2:4" ht="21" customHeight="1">
      <c r="B27" s="819"/>
      <c r="D27" s="153"/>
    </row>
    <row r="28" spans="2:4" ht="21" customHeight="1">
      <c r="D28" s="153"/>
    </row>
    <row r="29" spans="2:4" ht="21" customHeight="1">
      <c r="D29" s="153"/>
    </row>
    <row r="30" spans="2:4" ht="21" customHeight="1">
      <c r="D30" s="153"/>
    </row>
    <row r="31" spans="2:4" ht="21" customHeight="1">
      <c r="D31" s="153"/>
    </row>
    <row r="32" spans="2:4" ht="21" customHeight="1"/>
    <row r="33" spans="2:2" ht="21" customHeight="1"/>
    <row r="34" spans="2:2" ht="21" customHeight="1"/>
    <row r="35" spans="2:2" ht="21" customHeight="1">
      <c r="B35" s="823" t="s">
        <v>430</v>
      </c>
    </row>
    <row r="36" spans="2:2" ht="21" customHeight="1">
      <c r="B36" s="822" t="s">
        <v>429</v>
      </c>
    </row>
    <row r="37" spans="2:2" ht="21" customHeight="1">
      <c r="B37" s="822" t="s">
        <v>428</v>
      </c>
    </row>
    <row r="38" spans="2:2" ht="18" customHeight="1">
      <c r="B38" s="822" t="s">
        <v>427</v>
      </c>
    </row>
    <row r="39" spans="2:2" ht="18" customHeight="1">
      <c r="B39" s="822" t="s">
        <v>426</v>
      </c>
    </row>
    <row r="40" spans="2:2" ht="18" customHeight="1">
      <c r="B40" s="822" t="s">
        <v>421</v>
      </c>
    </row>
    <row r="41" spans="2:2" ht="18" customHeight="1">
      <c r="B41" s="822" t="s">
        <v>422</v>
      </c>
    </row>
    <row r="42" spans="2:2" ht="18" customHeight="1">
      <c r="B42" s="822" t="s">
        <v>423</v>
      </c>
    </row>
    <row r="43" spans="2:2" ht="18" customHeight="1">
      <c r="B43" s="822" t="s">
        <v>424</v>
      </c>
    </row>
    <row r="44" spans="2:2" ht="18" customHeight="1">
      <c r="B44" s="822" t="s">
        <v>425</v>
      </c>
    </row>
    <row r="45" spans="2:2" ht="18" customHeight="1"/>
    <row r="46" spans="2:2" ht="18" customHeight="1"/>
    <row r="47" spans="2:2" ht="18" customHeight="1"/>
    <row r="48" spans="2:2" ht="18" customHeight="1"/>
    <row r="49" ht="18" customHeight="1"/>
    <row r="50" ht="18" customHeight="1"/>
    <row r="51" ht="18" customHeight="1"/>
    <row r="52" ht="18" customHeight="1"/>
    <row r="53" ht="18" customHeight="1"/>
    <row r="54" ht="18" customHeight="1"/>
    <row r="74" spans="2:2">
      <c r="B74" s="823" t="s">
        <v>430</v>
      </c>
    </row>
    <row r="75" spans="2:2">
      <c r="B75" s="822" t="s">
        <v>429</v>
      </c>
    </row>
    <row r="76" spans="2:2">
      <c r="B76" s="822" t="s">
        <v>428</v>
      </c>
    </row>
    <row r="77" spans="2:2">
      <c r="B77" s="822" t="s">
        <v>427</v>
      </c>
    </row>
    <row r="78" spans="2:2">
      <c r="B78" s="822" t="s">
        <v>426</v>
      </c>
    </row>
    <row r="79" spans="2:2">
      <c r="B79" s="822" t="s">
        <v>421</v>
      </c>
    </row>
    <row r="80" spans="2:2">
      <c r="B80" s="822" t="s">
        <v>422</v>
      </c>
    </row>
    <row r="81" spans="2:2">
      <c r="B81" s="822" t="s">
        <v>423</v>
      </c>
    </row>
    <row r="82" spans="2:2">
      <c r="B82" s="822" t="s">
        <v>424</v>
      </c>
    </row>
    <row r="83" spans="2:2">
      <c r="B83" s="822" t="s">
        <v>425</v>
      </c>
    </row>
    <row r="104" spans="2:2">
      <c r="B104" s="823" t="s">
        <v>430</v>
      </c>
    </row>
    <row r="105" spans="2:2">
      <c r="B105" s="822" t="s">
        <v>429</v>
      </c>
    </row>
    <row r="106" spans="2:2">
      <c r="B106" s="822" t="s">
        <v>428</v>
      </c>
    </row>
    <row r="107" spans="2:2">
      <c r="B107" s="822" t="s">
        <v>427</v>
      </c>
    </row>
    <row r="108" spans="2:2">
      <c r="B108" s="822" t="s">
        <v>426</v>
      </c>
    </row>
    <row r="109" spans="2:2">
      <c r="B109" s="822" t="s">
        <v>421</v>
      </c>
    </row>
    <row r="110" spans="2:2">
      <c r="B110" s="822" t="s">
        <v>422</v>
      </c>
    </row>
    <row r="111" spans="2:2">
      <c r="B111" s="822" t="s">
        <v>423</v>
      </c>
    </row>
    <row r="112" spans="2:2">
      <c r="B112" s="822" t="s">
        <v>424</v>
      </c>
    </row>
    <row r="113" spans="2:2">
      <c r="B113" s="822" t="s">
        <v>425</v>
      </c>
    </row>
    <row r="131" spans="2:2">
      <c r="B131" s="823" t="s">
        <v>430</v>
      </c>
    </row>
    <row r="132" spans="2:2">
      <c r="B132" s="822" t="s">
        <v>429</v>
      </c>
    </row>
    <row r="133" spans="2:2">
      <c r="B133" s="822" t="s">
        <v>428</v>
      </c>
    </row>
    <row r="134" spans="2:2">
      <c r="B134" s="822" t="s">
        <v>427</v>
      </c>
    </row>
    <row r="135" spans="2:2">
      <c r="B135" s="822" t="s">
        <v>426</v>
      </c>
    </row>
    <row r="136" spans="2:2">
      <c r="B136" s="822" t="s">
        <v>421</v>
      </c>
    </row>
    <row r="137" spans="2:2">
      <c r="B137" s="822" t="s">
        <v>422</v>
      </c>
    </row>
    <row r="138" spans="2:2">
      <c r="B138" s="822" t="s">
        <v>423</v>
      </c>
    </row>
    <row r="139" spans="2:2">
      <c r="B139" s="822" t="s">
        <v>424</v>
      </c>
    </row>
    <row r="140" spans="2:2">
      <c r="B140" s="822" t="s">
        <v>425</v>
      </c>
    </row>
    <row r="161" spans="2:2">
      <c r="B161" s="823" t="s">
        <v>430</v>
      </c>
    </row>
    <row r="162" spans="2:2">
      <c r="B162" s="822" t="s">
        <v>429</v>
      </c>
    </row>
    <row r="163" spans="2:2">
      <c r="B163" s="822" t="s">
        <v>428</v>
      </c>
    </row>
    <row r="164" spans="2:2">
      <c r="B164" s="822" t="s">
        <v>427</v>
      </c>
    </row>
    <row r="165" spans="2:2">
      <c r="B165" s="822" t="s">
        <v>426</v>
      </c>
    </row>
    <row r="166" spans="2:2">
      <c r="B166" s="822" t="s">
        <v>421</v>
      </c>
    </row>
    <row r="167" spans="2:2">
      <c r="B167" s="822" t="s">
        <v>422</v>
      </c>
    </row>
    <row r="168" spans="2:2">
      <c r="B168" s="822" t="s">
        <v>423</v>
      </c>
    </row>
    <row r="169" spans="2:2">
      <c r="B169" s="822" t="s">
        <v>424</v>
      </c>
    </row>
    <row r="170" spans="2:2">
      <c r="B170" s="822" t="s">
        <v>425</v>
      </c>
    </row>
    <row r="188" spans="2:2">
      <c r="B188" s="823" t="s">
        <v>430</v>
      </c>
    </row>
    <row r="189" spans="2:2">
      <c r="B189" s="822" t="s">
        <v>429</v>
      </c>
    </row>
    <row r="190" spans="2:2">
      <c r="B190" s="822" t="s">
        <v>428</v>
      </c>
    </row>
    <row r="191" spans="2:2">
      <c r="B191" s="822" t="s">
        <v>427</v>
      </c>
    </row>
    <row r="192" spans="2:2">
      <c r="B192" s="822" t="s">
        <v>426</v>
      </c>
    </row>
    <row r="193" spans="2:2">
      <c r="B193" s="822" t="s">
        <v>421</v>
      </c>
    </row>
    <row r="194" spans="2:2">
      <c r="B194" s="822" t="s">
        <v>422</v>
      </c>
    </row>
    <row r="195" spans="2:2">
      <c r="B195" s="822" t="s">
        <v>423</v>
      </c>
    </row>
    <row r="196" spans="2:2">
      <c r="B196" s="822" t="s">
        <v>424</v>
      </c>
    </row>
    <row r="197" spans="2:2">
      <c r="B197" s="822" t="s">
        <v>425</v>
      </c>
    </row>
    <row r="218" spans="2:2">
      <c r="B218" s="823" t="s">
        <v>430</v>
      </c>
    </row>
    <row r="219" spans="2:2">
      <c r="B219" s="822" t="s">
        <v>429</v>
      </c>
    </row>
    <row r="220" spans="2:2">
      <c r="B220" s="822" t="s">
        <v>428</v>
      </c>
    </row>
    <row r="221" spans="2:2">
      <c r="B221" s="822" t="s">
        <v>427</v>
      </c>
    </row>
    <row r="222" spans="2:2">
      <c r="B222" s="822" t="s">
        <v>426</v>
      </c>
    </row>
    <row r="223" spans="2:2">
      <c r="B223" s="822" t="s">
        <v>421</v>
      </c>
    </row>
    <row r="224" spans="2:2">
      <c r="B224" s="822" t="s">
        <v>422</v>
      </c>
    </row>
    <row r="225" spans="2:2">
      <c r="B225" s="822" t="s">
        <v>423</v>
      </c>
    </row>
    <row r="226" spans="2:2">
      <c r="B226" s="822" t="s">
        <v>424</v>
      </c>
    </row>
    <row r="227" spans="2:2">
      <c r="B227" s="822" t="s">
        <v>425</v>
      </c>
    </row>
  </sheetData>
  <mergeCells count="2">
    <mergeCell ref="B2:B3"/>
    <mergeCell ref="D2:K3"/>
  </mergeCells>
  <hyperlinks>
    <hyperlink ref="B2:B3" location="Home!A1" display="HOME" xr:uid="{67363365-8379-4879-AEEC-E370AE670EDD}"/>
    <hyperlink ref="B30" location="Disclaimer!A1" display="Disclaimer" xr:uid="{8CB0E5B9-67EF-4FA0-9E87-B7B88665E7A7}"/>
    <hyperlink ref="B29" location="Help!A1" display="Help" xr:uid="{8D2BE110-C605-4D93-9E58-1AFE7E9DA8CB}"/>
    <hyperlink ref="B35" location="'Expl &amp; use Vol. XI'!A1" display="é    Go to Top" xr:uid="{BD0A174B-A15F-4020-A2DD-B05535F24EE0}"/>
    <hyperlink ref="B36" location="'Expl &amp; use Vol. XI'!A1" display="Explanation &amp; use Table   3" xr:uid="{DA2A2870-BEE2-419A-A63A-357BB33C3B56}"/>
    <hyperlink ref="B37" location="'Expl &amp; use Vol. XI'!A41" display="Explanation &amp; use Table   4" xr:uid="{8F33448C-9746-4C9E-8E4A-D672B31B8BE5}"/>
    <hyperlink ref="B38" location="'Expl &amp; use Vol. XI'!A59" display="Explanation &amp; use Table   8" xr:uid="{E5E1BE13-6420-401C-9481-206C0E823221}"/>
    <hyperlink ref="B39" location="'Expl &amp; use Vol. XI'!A104" display="Explanation &amp; use Table   9" xr:uid="{DCDBF3F6-1C42-44B4-866B-7636B521C7D9}"/>
    <hyperlink ref="B40" location="'Expl &amp; use Vol. XI'!A131" display="Explanation &amp; use Table 10" xr:uid="{C9203A6C-453C-4124-A59A-65EBD112D102}"/>
    <hyperlink ref="B41" location="'Expl &amp; use Vol. XI'!A161" display="Explanation &amp; use Table 11" xr:uid="{0B8C9005-D868-4C2E-AF4E-D6311E3EDC55}"/>
    <hyperlink ref="B42" location="'Expl &amp; use Vol. XI'!A188" display="Explanation &amp; use Table 12" xr:uid="{1BEF772C-A8F8-4772-82C1-241C4E1D19ED}"/>
    <hyperlink ref="B43" location="'Expl &amp; use Vol. XI'!A218" display="Explanation &amp; use Table 13" xr:uid="{23569725-DD00-4F56-8E17-098F7F59E984}"/>
    <hyperlink ref="B44" location="'Expl &amp; use Vol. XI'!A245" display="Explanation &amp; use Table 14" xr:uid="{23EB70D2-AD33-4654-8C57-8F1575208134}"/>
    <hyperlink ref="B129" location="'Expl &amp; use Vol. XI'!A1" display="é    Go to Top" xr:uid="{7366ED4A-731D-43DC-8450-7A4A10E6E82A}"/>
    <hyperlink ref="B130" location="'Expl &amp; use Vol. XI'!A1" display="Explanation &amp; use Table   3" xr:uid="{08F3D8D9-1BEB-45DA-B1E4-7C8BA7AFE8E4}"/>
    <hyperlink ref="B74" location="'Expl &amp; use Vol. XI'!A1" display="é    Go to Top" xr:uid="{CA63FD25-BEC1-4149-86BF-210DBB4A7168}"/>
    <hyperlink ref="B75" location="'Expl &amp; use Vol. XI'!A1" display="Explanation &amp; use Table   3" xr:uid="{A5F49A78-E2EE-4B0F-99A2-A96FFA80AC70}"/>
    <hyperlink ref="B76" location="'Expl &amp; use Vol. XI'!A41" display="Explanation &amp; use Table   4" xr:uid="{70856786-BF06-4A10-89C9-2840FCCBB21A}"/>
    <hyperlink ref="B77" location="'Expl &amp; use Vol. XI'!A59" display="Explanation &amp; use Table   8" xr:uid="{5C11EE14-0B05-42B2-A22C-039E84D4AB1A}"/>
    <hyperlink ref="B78" location="'Expl &amp; use Vol. XI'!A104" display="Explanation &amp; use Table   9" xr:uid="{00DA462E-0F6F-4901-A010-652BB94D2047}"/>
    <hyperlink ref="B79" location="'Expl &amp; use Vol. XI'!A131" display="Explanation &amp; use Table 10" xr:uid="{4E97C1E8-517D-4955-8B0C-E2612C37D1E9}"/>
    <hyperlink ref="B80" location="'Expl &amp; use Vol. XI'!A161" display="Explanation &amp; use Table 11" xr:uid="{04181349-D77F-4A9F-84CA-DE5A734E9A72}"/>
    <hyperlink ref="B81" location="'Expl &amp; use Vol. XI'!A188" display="Explanation &amp; use Table 12" xr:uid="{E40C8262-F954-465F-8B1F-DBE6E74ABF31}"/>
    <hyperlink ref="B82" location="'Expl &amp; use Vol. XI'!A218" display="Explanation &amp; use Table 13" xr:uid="{E635AA8F-F8B8-4D31-9C8C-B73D2408FF21}"/>
    <hyperlink ref="B83" location="'Expl &amp; use Vol. XI'!A245" display="Explanation &amp; use Table 14" xr:uid="{F8F1A276-0E6F-4410-A708-10C70BAB1C45}"/>
    <hyperlink ref="B104" location="'Expl &amp; use Vol. XI'!A1" display="é    Go to Top" xr:uid="{609A4FC2-4902-46D4-B8FB-6D0C9E2D5BF4}"/>
    <hyperlink ref="B105" location="'Expl &amp; use Vol. XI'!A1" display="Explanation &amp; use Table   3" xr:uid="{C45B1405-BC7F-4320-95B2-038845880E97}"/>
    <hyperlink ref="B106" location="'Expl &amp; use Vol. XI'!A41" display="Explanation &amp; use Table   4" xr:uid="{3A537517-CAF6-4D58-B499-3886024509C8}"/>
    <hyperlink ref="B107" location="'Expl &amp; use Vol. XI'!A59" display="Explanation &amp; use Table   8" xr:uid="{E4EC951C-AE6D-4588-9EFE-4825F70297FB}"/>
    <hyperlink ref="B108" location="'Expl &amp; use Vol. XI'!A104" display="Explanation &amp; use Table   9" xr:uid="{25717D24-988D-4E84-8A42-3BE59B2913D8}"/>
    <hyperlink ref="B109" location="'Expl &amp; use Vol. XI'!A131" display="Explanation &amp; use Table 10" xr:uid="{4CBB61A9-2246-4A94-88F9-922CDA8E93F5}"/>
    <hyperlink ref="B110" location="'Expl &amp; use Vol. XI'!A161" display="Explanation &amp; use Table 11" xr:uid="{351A90FF-40A4-4329-BE58-C1F4C6416174}"/>
    <hyperlink ref="B111" location="'Expl &amp; use Vol. XI'!A188" display="Explanation &amp; use Table 12" xr:uid="{4800DCAD-D231-4570-BC7B-D322E43FC0EB}"/>
    <hyperlink ref="B112" location="'Expl &amp; use Vol. XI'!A218" display="Explanation &amp; use Table 13" xr:uid="{FE2360C4-76DB-4772-B408-08E00B0170CB}"/>
    <hyperlink ref="B113" location="'Expl &amp; use Vol. XI'!A245" display="Explanation &amp; use Table 14" xr:uid="{7C427ABC-CD3B-4F71-B80B-2186810B703F}"/>
    <hyperlink ref="B131" location="'Expl &amp; use Vol. XI'!A1" display="é    Go to Top" xr:uid="{C99E6ABA-005E-4211-8A3C-6EC2A7592C65}"/>
    <hyperlink ref="B132" location="'Expl &amp; use Vol. XI'!A1" display="Explanation &amp; use Table   3" xr:uid="{7096CF22-18D1-4305-9BBD-51C2869DF192}"/>
    <hyperlink ref="B133" location="'Expl &amp; use Vol. XI'!A41" display="Explanation &amp; use Table   4" xr:uid="{9459F118-E33F-4663-AFE2-99BA2F2FD2F5}"/>
    <hyperlink ref="B134" location="'Expl &amp; use Vol. XI'!A59" display="Explanation &amp; use Table   8" xr:uid="{F8D90650-64CB-42BB-9599-4069D1FEF849}"/>
    <hyperlink ref="B135" location="'Expl &amp; use Vol. XI'!A104" display="Explanation &amp; use Table   9" xr:uid="{04BE1F88-8F79-43BA-A019-D6713F7AB8EA}"/>
    <hyperlink ref="B136" location="'Expl &amp; use Vol. XI'!A131" display="Explanation &amp; use Table 10" xr:uid="{6595F1E3-D302-4842-BFE6-CDE4419A5825}"/>
    <hyperlink ref="B137" location="'Expl &amp; use Vol. XI'!A161" display="Explanation &amp; use Table 11" xr:uid="{FF697E13-93D4-4308-AF53-57EAC6DAFFF1}"/>
    <hyperlink ref="B138" location="'Expl &amp; use Vol. XI'!A188" display="Explanation &amp; use Table 12" xr:uid="{F9C2B544-1B35-4D08-BD5C-BBD0795A8685}"/>
    <hyperlink ref="B139" location="'Expl &amp; use Vol. XI'!A218" display="Explanation &amp; use Table 13" xr:uid="{B8DA2B7E-6407-4281-8B65-6650B387367A}"/>
    <hyperlink ref="B140" location="'Expl &amp; use Vol. XI'!A245" display="Explanation &amp; use Table 14" xr:uid="{B115CDF9-B524-47C7-BC64-005C7A37F052}"/>
    <hyperlink ref="B161" location="'Expl &amp; use Vol. XI'!A1" display="é    Go to Top" xr:uid="{9BC3B989-8F29-4722-BB8B-5A8D3C847905}"/>
    <hyperlink ref="B162" location="'Expl &amp; use Vol. XI'!A1" display="Explanation &amp; use Table   3" xr:uid="{04337E6B-F083-4E57-B72D-287657232F77}"/>
    <hyperlink ref="B163" location="'Expl &amp; use Vol. XI'!A41" display="Explanation &amp; use Table   4" xr:uid="{D1EDD6B0-AADE-47EE-A2D9-EA07CFED3818}"/>
    <hyperlink ref="B164" location="'Expl &amp; use Vol. XI'!A59" display="Explanation &amp; use Table   8" xr:uid="{986AE894-54A9-4C6A-933F-1030FF389806}"/>
    <hyperlink ref="B165" location="'Expl &amp; use Vol. XI'!A104" display="Explanation &amp; use Table   9" xr:uid="{B428D51A-2650-41F9-94BA-E18041C8A99A}"/>
    <hyperlink ref="B166" location="'Expl &amp; use Vol. XI'!A131" display="Explanation &amp; use Table 10" xr:uid="{BC57FC8B-2010-45DC-B5D7-6889E19CFF21}"/>
    <hyperlink ref="B167" location="'Expl &amp; use Vol. XI'!A161" display="Explanation &amp; use Table 11" xr:uid="{F31493EA-0F99-48D4-AEDB-CBC70AB0D2A1}"/>
    <hyperlink ref="B168" location="'Expl &amp; use Vol. XI'!A188" display="Explanation &amp; use Table 12" xr:uid="{D4FE9C21-2C51-48A7-B958-01CB999A2B6C}"/>
    <hyperlink ref="B169" location="'Expl &amp; use Vol. XI'!A218" display="Explanation &amp; use Table 13" xr:uid="{43F6F9A8-FDA9-4B60-AE6C-00654A0162BE}"/>
    <hyperlink ref="B170" location="'Expl &amp; use Vol. XI'!A245" display="Explanation &amp; use Table 14" xr:uid="{73464F68-7765-41AF-B2E2-2825732E8FB2}"/>
    <hyperlink ref="B188" location="'Expl &amp; use Vol. XI'!A1" display="é    Go to Top" xr:uid="{BE38CF31-F4B3-46A9-98E2-973688D56BC7}"/>
    <hyperlink ref="B189" location="'Expl &amp; use Vol. XI'!A1" display="Explanation &amp; use Table   3" xr:uid="{AAC3014D-5E2F-4C8D-AB20-98661F289328}"/>
    <hyperlink ref="B190" location="'Expl &amp; use Vol. XI'!A41" display="Explanation &amp; use Table   4" xr:uid="{21A6CCB5-9094-41C1-8A0E-A5B96BA3743B}"/>
    <hyperlink ref="B191" location="'Expl &amp; use Vol. XI'!A59" display="Explanation &amp; use Table   8" xr:uid="{0ED379EC-968A-4280-BBDA-50C0B1A88F04}"/>
    <hyperlink ref="B192" location="'Expl &amp; use Vol. XI'!A104" display="Explanation &amp; use Table   9" xr:uid="{AD0F7872-651D-416C-AF8B-5C3DFAD6AE62}"/>
    <hyperlink ref="B193" location="'Expl &amp; use Vol. XI'!A131" display="Explanation &amp; use Table 10" xr:uid="{CCD8AEA7-18B0-4A1B-AF79-5E653C2EA3CF}"/>
    <hyperlink ref="B194" location="'Expl &amp; use Vol. XI'!A161" display="Explanation &amp; use Table 11" xr:uid="{7B62DCE9-6C13-416F-BE55-9FE3A4A0FE37}"/>
    <hyperlink ref="B195" location="'Expl &amp; use Vol. XI'!A188" display="Explanation &amp; use Table 12" xr:uid="{355459DF-FB68-4629-A388-E490F79D0BBB}"/>
    <hyperlink ref="B196" location="'Expl &amp; use Vol. XI'!A218" display="Explanation &amp; use Table 13" xr:uid="{F2EA20A7-46A1-4912-8453-5DB3AF1AB445}"/>
    <hyperlink ref="B197" location="'Expl &amp; use Vol. XI'!A245" display="Explanation &amp; use Table 14" xr:uid="{DBF802A1-1850-4C66-BC37-583DC46AB2DF}"/>
    <hyperlink ref="B218" location="'Expl &amp; use Vol. XI'!A1" display="é    Go to Top" xr:uid="{0679E7D3-51B0-414D-BA30-7C3049289FE6}"/>
    <hyperlink ref="B219" location="'Expl &amp; use Vol. XI'!A1" display="Explanation &amp; use Table   3" xr:uid="{387CF43D-F963-4B32-95E8-24971CDF123A}"/>
    <hyperlink ref="B220" location="'Expl &amp; use Vol. XI'!A41" display="Explanation &amp; use Table   4" xr:uid="{133AB1CA-7455-4912-BBCB-C9B3C4F65864}"/>
    <hyperlink ref="B221" location="'Expl &amp; use Vol. XI'!A59" display="Explanation &amp; use Table   8" xr:uid="{33F2C174-0863-4F02-B739-8A77C4C69FC0}"/>
    <hyperlink ref="B222" location="'Expl &amp; use Vol. XI'!A104" display="Explanation &amp; use Table   9" xr:uid="{103FD672-B15B-43CE-8796-A243669B4277}"/>
    <hyperlink ref="B223" location="'Expl &amp; use Vol. XI'!A131" display="Explanation &amp; use Table 10" xr:uid="{E9A73EAF-0686-4A7A-877D-893D890F580B}"/>
    <hyperlink ref="B224" location="'Expl &amp; use Vol. XI'!A161" display="Explanation &amp; use Table 11" xr:uid="{FF9E8136-6BAE-46B5-B4E8-FB32095473AD}"/>
    <hyperlink ref="B225" location="'Expl &amp; use Vol. XI'!A188" display="Explanation &amp; use Table 12" xr:uid="{4296EC9E-6E64-402A-9E81-6FDD79551BA4}"/>
    <hyperlink ref="B226" location="'Expl &amp; use Vol. XI'!A218" display="Explanation &amp; use Table 13" xr:uid="{56AC54E4-42F6-49AC-9768-7E98825DDF56}"/>
    <hyperlink ref="B227" location="'Expl &amp; use Vol. XI'!A245" display="Explanation &amp; use Table 14" xr:uid="{631B1F97-E293-4812-A8BA-C33720A6F213}"/>
    <hyperlink ref="B5" location="'Documents Manager'!A1" display="DOCUMENTS MANAGER" xr:uid="{DCDAC688-EE38-4F16-9B2F-25B51E1744D4}"/>
    <hyperlink ref="B23" location="Disclaimer!A1" display="Disclaimer" xr:uid="{47581445-E111-408F-9248-DDCE207160B0}"/>
    <hyperlink ref="B22" location="Help!A1" display="Help" xr:uid="{FA3EA0BD-E541-4CF2-A9CD-443191C7DBDC}"/>
    <hyperlink ref="B20" location="'Source - Links'!A1" display="SOURCE / LINKS" xr:uid="{3C7303B2-1E6A-42B9-8476-B9E265377C9A}"/>
    <hyperlink ref="B7" location="'ASTM Table Series'!A1" display="• ASTM Table Series for Oil Survey" xr:uid="{02A9F005-DD0C-4E09-B122-E962FFEB6772}"/>
    <hyperlink ref="B6" location="'ASTM Table Series'!A1" display="ASTM TABLES" xr:uid="{C08C16E4-1ADF-4F64-82D2-102B0109DBE1}"/>
    <hyperlink ref="B11" location="'ASTM Vol. XI - Tab.1'!A1" display="• ASTM Volume XI  - Table 1" xr:uid="{B539620F-8F6C-41DB-9EAB-3C996AA7A4AE}"/>
    <hyperlink ref="B12" location="'ASTM Vol. XI-XII'!A1" display="• ASTM Volume XII" xr:uid="{1D8B5818-F0F1-40D4-AA54-CCF0A2025DBC}"/>
    <hyperlink ref="B9" location="'Expl &amp; use Vol. XI'!A1" display="• Explanation &amp; use T. Volume XI" xr:uid="{BEE1343F-90B5-4186-8AF0-30B24E1826CF}"/>
    <hyperlink ref="B10" location="'Expl &amp; use Vol. XII'!A1" display="• Explanation &amp; use T. Volume XII" xr:uid="{837821A8-4DC6-4C87-9CC7-2080F2217374}"/>
    <hyperlink ref="B14" location="'ASTM Converter (Tab.1)'!A1" display="ASTM - CONVERTERS" xr:uid="{36D08951-D614-4C29-A433-3FB955262727}"/>
    <hyperlink ref="B15" location="'ASTM Calculator V.W.'!A1" display="ASTM - CALCULATORS" xr:uid="{B4AAB379-AF3A-45C4-9912-918BF0A1C5CE}"/>
    <hyperlink ref="B13" location="'ASTM Tables'!A1" display="• ASTM Tables" xr:uid="{EC163C91-7EED-45E2-8E11-3C6448A7297D}"/>
    <hyperlink ref="B8" location="'Expl &amp; use 6AB, 24AB, 54AB  '!A1" display="• Explanation &amp; use T. 6A&amp;B, 24A&amp;B, 54A&amp;B." xr:uid="{64E1EECE-ACDB-4058-8BF5-31F3735ACCB2}"/>
    <hyperlink ref="B18" location="'Guidelines - Definitions'!A1" display="GUIDELINES" xr:uid="{38B580AE-8F1B-4111-8666-584A238E626B}"/>
    <hyperlink ref="B19" location="'Guidelines - Bottom Lines'!A1" display="GUIDELINES - CARGO" xr:uid="{9F18834A-0CA5-4983-8CC9-C99D6320F6B1}"/>
    <hyperlink ref="B16" location="'Initial&amp;Max. Loading Rate'!A1" display="CARGO - CALCULATORS" xr:uid="{D6B1AE8F-D78D-4C0B-8019-1B6E3D40917F}"/>
  </hyperlinks>
  <pageMargins left="0.75" right="0.75" top="1" bottom="1" header="0.5" footer="0.5"/>
  <pageSetup paperSize="9" orientation="portrait" horizontalDpi="4294967294"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0DE6-53B3-4C65-BD84-B2FBFDDEB2EE}">
  <sheetPr codeName="Лист12">
    <tabColor rgb="FF005034"/>
  </sheetPr>
  <dimension ref="A1:IV317"/>
  <sheetViews>
    <sheetView showGridLines="0" showRowColHeaders="0" topLeftCell="B1" workbookViewId="0">
      <selection activeCell="B11" sqref="B11"/>
    </sheetView>
  </sheetViews>
  <sheetFormatPr defaultColWidth="9.1328125" defaultRowHeight="12.75"/>
  <cols>
    <col min="1" max="1" width="0" style="148" hidden="1" customWidth="1"/>
    <col min="2" max="2" width="36.6640625" style="820" customWidth="1"/>
    <col min="3" max="3" width="2.6640625" style="148" customWidth="1"/>
    <col min="4" max="4" width="32.6640625" style="148" customWidth="1"/>
    <col min="5" max="5" width="27" style="148" customWidth="1"/>
    <col min="6" max="7" width="9.1328125" style="148" customWidth="1"/>
    <col min="8" max="8" width="5" style="148" customWidth="1"/>
    <col min="9" max="10" width="9.1328125" style="148" customWidth="1"/>
    <col min="11" max="11" width="10.53125" style="148" customWidth="1"/>
    <col min="12" max="256" width="9.1328125" style="148"/>
    <col min="257" max="257" width="0" style="148" hidden="1" customWidth="1"/>
    <col min="258" max="258" width="43.46484375" style="148" customWidth="1"/>
    <col min="259" max="259" width="3.6640625" style="148" customWidth="1"/>
    <col min="260" max="260" width="32.6640625" style="148" customWidth="1"/>
    <col min="261" max="261" width="27" style="148" customWidth="1"/>
    <col min="262" max="263" width="9.1328125" style="148" customWidth="1"/>
    <col min="264" max="264" width="5" style="148" customWidth="1"/>
    <col min="265" max="266" width="9.1328125" style="148" customWidth="1"/>
    <col min="267" max="267" width="10.53125" style="148" customWidth="1"/>
    <col min="268" max="512" width="9.1328125" style="148"/>
    <col min="513" max="513" width="0" style="148" hidden="1" customWidth="1"/>
    <col min="514" max="514" width="43.46484375" style="148" customWidth="1"/>
    <col min="515" max="515" width="3.6640625" style="148" customWidth="1"/>
    <col min="516" max="516" width="32.6640625" style="148" customWidth="1"/>
    <col min="517" max="517" width="27" style="148" customWidth="1"/>
    <col min="518" max="519" width="9.1328125" style="148" customWidth="1"/>
    <col min="520" max="520" width="5" style="148" customWidth="1"/>
    <col min="521" max="522" width="9.1328125" style="148" customWidth="1"/>
    <col min="523" max="523" width="10.53125" style="148" customWidth="1"/>
    <col min="524" max="768" width="9.1328125" style="148"/>
    <col min="769" max="769" width="0" style="148" hidden="1" customWidth="1"/>
    <col min="770" max="770" width="43.46484375" style="148" customWidth="1"/>
    <col min="771" max="771" width="3.6640625" style="148" customWidth="1"/>
    <col min="772" max="772" width="32.6640625" style="148" customWidth="1"/>
    <col min="773" max="773" width="27" style="148" customWidth="1"/>
    <col min="774" max="775" width="9.1328125" style="148" customWidth="1"/>
    <col min="776" max="776" width="5" style="148" customWidth="1"/>
    <col min="777" max="778" width="9.1328125" style="148" customWidth="1"/>
    <col min="779" max="779" width="10.53125" style="148" customWidth="1"/>
    <col min="780" max="1024" width="9.1328125" style="148"/>
    <col min="1025" max="1025" width="0" style="148" hidden="1" customWidth="1"/>
    <col min="1026" max="1026" width="43.46484375" style="148" customWidth="1"/>
    <col min="1027" max="1027" width="3.6640625" style="148" customWidth="1"/>
    <col min="1028" max="1028" width="32.6640625" style="148" customWidth="1"/>
    <col min="1029" max="1029" width="27" style="148" customWidth="1"/>
    <col min="1030" max="1031" width="9.1328125" style="148" customWidth="1"/>
    <col min="1032" max="1032" width="5" style="148" customWidth="1"/>
    <col min="1033" max="1034" width="9.1328125" style="148" customWidth="1"/>
    <col min="1035" max="1035" width="10.53125" style="148" customWidth="1"/>
    <col min="1036" max="1280" width="9.1328125" style="148"/>
    <col min="1281" max="1281" width="0" style="148" hidden="1" customWidth="1"/>
    <col min="1282" max="1282" width="43.46484375" style="148" customWidth="1"/>
    <col min="1283" max="1283" width="3.6640625" style="148" customWidth="1"/>
    <col min="1284" max="1284" width="32.6640625" style="148" customWidth="1"/>
    <col min="1285" max="1285" width="27" style="148" customWidth="1"/>
    <col min="1286" max="1287" width="9.1328125" style="148" customWidth="1"/>
    <col min="1288" max="1288" width="5" style="148" customWidth="1"/>
    <col min="1289" max="1290" width="9.1328125" style="148" customWidth="1"/>
    <col min="1291" max="1291" width="10.53125" style="148" customWidth="1"/>
    <col min="1292" max="1536" width="9.1328125" style="148"/>
    <col min="1537" max="1537" width="0" style="148" hidden="1" customWidth="1"/>
    <col min="1538" max="1538" width="43.46484375" style="148" customWidth="1"/>
    <col min="1539" max="1539" width="3.6640625" style="148" customWidth="1"/>
    <col min="1540" max="1540" width="32.6640625" style="148" customWidth="1"/>
    <col min="1541" max="1541" width="27" style="148" customWidth="1"/>
    <col min="1542" max="1543" width="9.1328125" style="148" customWidth="1"/>
    <col min="1544" max="1544" width="5" style="148" customWidth="1"/>
    <col min="1545" max="1546" width="9.1328125" style="148" customWidth="1"/>
    <col min="1547" max="1547" width="10.53125" style="148" customWidth="1"/>
    <col min="1548" max="1792" width="9.1328125" style="148"/>
    <col min="1793" max="1793" width="0" style="148" hidden="1" customWidth="1"/>
    <col min="1794" max="1794" width="43.46484375" style="148" customWidth="1"/>
    <col min="1795" max="1795" width="3.6640625" style="148" customWidth="1"/>
    <col min="1796" max="1796" width="32.6640625" style="148" customWidth="1"/>
    <col min="1797" max="1797" width="27" style="148" customWidth="1"/>
    <col min="1798" max="1799" width="9.1328125" style="148" customWidth="1"/>
    <col min="1800" max="1800" width="5" style="148" customWidth="1"/>
    <col min="1801" max="1802" width="9.1328125" style="148" customWidth="1"/>
    <col min="1803" max="1803" width="10.53125" style="148" customWidth="1"/>
    <col min="1804" max="2048" width="9.1328125" style="148"/>
    <col min="2049" max="2049" width="0" style="148" hidden="1" customWidth="1"/>
    <col min="2050" max="2050" width="43.46484375" style="148" customWidth="1"/>
    <col min="2051" max="2051" width="3.6640625" style="148" customWidth="1"/>
    <col min="2052" max="2052" width="32.6640625" style="148" customWidth="1"/>
    <col min="2053" max="2053" width="27" style="148" customWidth="1"/>
    <col min="2054" max="2055" width="9.1328125" style="148" customWidth="1"/>
    <col min="2056" max="2056" width="5" style="148" customWidth="1"/>
    <col min="2057" max="2058" width="9.1328125" style="148" customWidth="1"/>
    <col min="2059" max="2059" width="10.53125" style="148" customWidth="1"/>
    <col min="2060" max="2304" width="9.1328125" style="148"/>
    <col min="2305" max="2305" width="0" style="148" hidden="1" customWidth="1"/>
    <col min="2306" max="2306" width="43.46484375" style="148" customWidth="1"/>
    <col min="2307" max="2307" width="3.6640625" style="148" customWidth="1"/>
    <col min="2308" max="2308" width="32.6640625" style="148" customWidth="1"/>
    <col min="2309" max="2309" width="27" style="148" customWidth="1"/>
    <col min="2310" max="2311" width="9.1328125" style="148" customWidth="1"/>
    <col min="2312" max="2312" width="5" style="148" customWidth="1"/>
    <col min="2313" max="2314" width="9.1328125" style="148" customWidth="1"/>
    <col min="2315" max="2315" width="10.53125" style="148" customWidth="1"/>
    <col min="2316" max="2560" width="9.1328125" style="148"/>
    <col min="2561" max="2561" width="0" style="148" hidden="1" customWidth="1"/>
    <col min="2562" max="2562" width="43.46484375" style="148" customWidth="1"/>
    <col min="2563" max="2563" width="3.6640625" style="148" customWidth="1"/>
    <col min="2564" max="2564" width="32.6640625" style="148" customWidth="1"/>
    <col min="2565" max="2565" width="27" style="148" customWidth="1"/>
    <col min="2566" max="2567" width="9.1328125" style="148" customWidth="1"/>
    <col min="2568" max="2568" width="5" style="148" customWidth="1"/>
    <col min="2569" max="2570" width="9.1328125" style="148" customWidth="1"/>
    <col min="2571" max="2571" width="10.53125" style="148" customWidth="1"/>
    <col min="2572" max="2816" width="9.1328125" style="148"/>
    <col min="2817" max="2817" width="0" style="148" hidden="1" customWidth="1"/>
    <col min="2818" max="2818" width="43.46484375" style="148" customWidth="1"/>
    <col min="2819" max="2819" width="3.6640625" style="148" customWidth="1"/>
    <col min="2820" max="2820" width="32.6640625" style="148" customWidth="1"/>
    <col min="2821" max="2821" width="27" style="148" customWidth="1"/>
    <col min="2822" max="2823" width="9.1328125" style="148" customWidth="1"/>
    <col min="2824" max="2824" width="5" style="148" customWidth="1"/>
    <col min="2825" max="2826" width="9.1328125" style="148" customWidth="1"/>
    <col min="2827" max="2827" width="10.53125" style="148" customWidth="1"/>
    <col min="2828" max="3072" width="9.1328125" style="148"/>
    <col min="3073" max="3073" width="0" style="148" hidden="1" customWidth="1"/>
    <col min="3074" max="3074" width="43.46484375" style="148" customWidth="1"/>
    <col min="3075" max="3075" width="3.6640625" style="148" customWidth="1"/>
    <col min="3076" max="3076" width="32.6640625" style="148" customWidth="1"/>
    <col min="3077" max="3077" width="27" style="148" customWidth="1"/>
    <col min="3078" max="3079" width="9.1328125" style="148" customWidth="1"/>
    <col min="3080" max="3080" width="5" style="148" customWidth="1"/>
    <col min="3081" max="3082" width="9.1328125" style="148" customWidth="1"/>
    <col min="3083" max="3083" width="10.53125" style="148" customWidth="1"/>
    <col min="3084" max="3328" width="9.1328125" style="148"/>
    <col min="3329" max="3329" width="0" style="148" hidden="1" customWidth="1"/>
    <col min="3330" max="3330" width="43.46484375" style="148" customWidth="1"/>
    <col min="3331" max="3331" width="3.6640625" style="148" customWidth="1"/>
    <col min="3332" max="3332" width="32.6640625" style="148" customWidth="1"/>
    <col min="3333" max="3333" width="27" style="148" customWidth="1"/>
    <col min="3334" max="3335" width="9.1328125" style="148" customWidth="1"/>
    <col min="3336" max="3336" width="5" style="148" customWidth="1"/>
    <col min="3337" max="3338" width="9.1328125" style="148" customWidth="1"/>
    <col min="3339" max="3339" width="10.53125" style="148" customWidth="1"/>
    <col min="3340" max="3584" width="9.1328125" style="148"/>
    <col min="3585" max="3585" width="0" style="148" hidden="1" customWidth="1"/>
    <col min="3586" max="3586" width="43.46484375" style="148" customWidth="1"/>
    <col min="3587" max="3587" width="3.6640625" style="148" customWidth="1"/>
    <col min="3588" max="3588" width="32.6640625" style="148" customWidth="1"/>
    <col min="3589" max="3589" width="27" style="148" customWidth="1"/>
    <col min="3590" max="3591" width="9.1328125" style="148" customWidth="1"/>
    <col min="3592" max="3592" width="5" style="148" customWidth="1"/>
    <col min="3593" max="3594" width="9.1328125" style="148" customWidth="1"/>
    <col min="3595" max="3595" width="10.53125" style="148" customWidth="1"/>
    <col min="3596" max="3840" width="9.1328125" style="148"/>
    <col min="3841" max="3841" width="0" style="148" hidden="1" customWidth="1"/>
    <col min="3842" max="3842" width="43.46484375" style="148" customWidth="1"/>
    <col min="3843" max="3843" width="3.6640625" style="148" customWidth="1"/>
    <col min="3844" max="3844" width="32.6640625" style="148" customWidth="1"/>
    <col min="3845" max="3845" width="27" style="148" customWidth="1"/>
    <col min="3846" max="3847" width="9.1328125" style="148" customWidth="1"/>
    <col min="3848" max="3848" width="5" style="148" customWidth="1"/>
    <col min="3849" max="3850" width="9.1328125" style="148" customWidth="1"/>
    <col min="3851" max="3851" width="10.53125" style="148" customWidth="1"/>
    <col min="3852" max="4096" width="9.1328125" style="148"/>
    <col min="4097" max="4097" width="0" style="148" hidden="1" customWidth="1"/>
    <col min="4098" max="4098" width="43.46484375" style="148" customWidth="1"/>
    <col min="4099" max="4099" width="3.6640625" style="148" customWidth="1"/>
    <col min="4100" max="4100" width="32.6640625" style="148" customWidth="1"/>
    <col min="4101" max="4101" width="27" style="148" customWidth="1"/>
    <col min="4102" max="4103" width="9.1328125" style="148" customWidth="1"/>
    <col min="4104" max="4104" width="5" style="148" customWidth="1"/>
    <col min="4105" max="4106" width="9.1328125" style="148" customWidth="1"/>
    <col min="4107" max="4107" width="10.53125" style="148" customWidth="1"/>
    <col min="4108" max="4352" width="9.1328125" style="148"/>
    <col min="4353" max="4353" width="0" style="148" hidden="1" customWidth="1"/>
    <col min="4354" max="4354" width="43.46484375" style="148" customWidth="1"/>
    <col min="4355" max="4355" width="3.6640625" style="148" customWidth="1"/>
    <col min="4356" max="4356" width="32.6640625" style="148" customWidth="1"/>
    <col min="4357" max="4357" width="27" style="148" customWidth="1"/>
    <col min="4358" max="4359" width="9.1328125" style="148" customWidth="1"/>
    <col min="4360" max="4360" width="5" style="148" customWidth="1"/>
    <col min="4361" max="4362" width="9.1328125" style="148" customWidth="1"/>
    <col min="4363" max="4363" width="10.53125" style="148" customWidth="1"/>
    <col min="4364" max="4608" width="9.1328125" style="148"/>
    <col min="4609" max="4609" width="0" style="148" hidden="1" customWidth="1"/>
    <col min="4610" max="4610" width="43.46484375" style="148" customWidth="1"/>
    <col min="4611" max="4611" width="3.6640625" style="148" customWidth="1"/>
    <col min="4612" max="4612" width="32.6640625" style="148" customWidth="1"/>
    <col min="4613" max="4613" width="27" style="148" customWidth="1"/>
    <col min="4614" max="4615" width="9.1328125" style="148" customWidth="1"/>
    <col min="4616" max="4616" width="5" style="148" customWidth="1"/>
    <col min="4617" max="4618" width="9.1328125" style="148" customWidth="1"/>
    <col min="4619" max="4619" width="10.53125" style="148" customWidth="1"/>
    <col min="4620" max="4864" width="9.1328125" style="148"/>
    <col min="4865" max="4865" width="0" style="148" hidden="1" customWidth="1"/>
    <col min="4866" max="4866" width="43.46484375" style="148" customWidth="1"/>
    <col min="4867" max="4867" width="3.6640625" style="148" customWidth="1"/>
    <col min="4868" max="4868" width="32.6640625" style="148" customWidth="1"/>
    <col min="4869" max="4869" width="27" style="148" customWidth="1"/>
    <col min="4870" max="4871" width="9.1328125" style="148" customWidth="1"/>
    <col min="4872" max="4872" width="5" style="148" customWidth="1"/>
    <col min="4873" max="4874" width="9.1328125" style="148" customWidth="1"/>
    <col min="4875" max="4875" width="10.53125" style="148" customWidth="1"/>
    <col min="4876" max="5120" width="9.1328125" style="148"/>
    <col min="5121" max="5121" width="0" style="148" hidden="1" customWidth="1"/>
    <col min="5122" max="5122" width="43.46484375" style="148" customWidth="1"/>
    <col min="5123" max="5123" width="3.6640625" style="148" customWidth="1"/>
    <col min="5124" max="5124" width="32.6640625" style="148" customWidth="1"/>
    <col min="5125" max="5125" width="27" style="148" customWidth="1"/>
    <col min="5126" max="5127" width="9.1328125" style="148" customWidth="1"/>
    <col min="5128" max="5128" width="5" style="148" customWidth="1"/>
    <col min="5129" max="5130" width="9.1328125" style="148" customWidth="1"/>
    <col min="5131" max="5131" width="10.53125" style="148" customWidth="1"/>
    <col min="5132" max="5376" width="9.1328125" style="148"/>
    <col min="5377" max="5377" width="0" style="148" hidden="1" customWidth="1"/>
    <col min="5378" max="5378" width="43.46484375" style="148" customWidth="1"/>
    <col min="5379" max="5379" width="3.6640625" style="148" customWidth="1"/>
    <col min="5380" max="5380" width="32.6640625" style="148" customWidth="1"/>
    <col min="5381" max="5381" width="27" style="148" customWidth="1"/>
    <col min="5382" max="5383" width="9.1328125" style="148" customWidth="1"/>
    <col min="5384" max="5384" width="5" style="148" customWidth="1"/>
    <col min="5385" max="5386" width="9.1328125" style="148" customWidth="1"/>
    <col min="5387" max="5387" width="10.53125" style="148" customWidth="1"/>
    <col min="5388" max="5632" width="9.1328125" style="148"/>
    <col min="5633" max="5633" width="0" style="148" hidden="1" customWidth="1"/>
    <col min="5634" max="5634" width="43.46484375" style="148" customWidth="1"/>
    <col min="5635" max="5635" width="3.6640625" style="148" customWidth="1"/>
    <col min="5636" max="5636" width="32.6640625" style="148" customWidth="1"/>
    <col min="5637" max="5637" width="27" style="148" customWidth="1"/>
    <col min="5638" max="5639" width="9.1328125" style="148" customWidth="1"/>
    <col min="5640" max="5640" width="5" style="148" customWidth="1"/>
    <col min="5641" max="5642" width="9.1328125" style="148" customWidth="1"/>
    <col min="5643" max="5643" width="10.53125" style="148" customWidth="1"/>
    <col min="5644" max="5888" width="9.1328125" style="148"/>
    <col min="5889" max="5889" width="0" style="148" hidden="1" customWidth="1"/>
    <col min="5890" max="5890" width="43.46484375" style="148" customWidth="1"/>
    <col min="5891" max="5891" width="3.6640625" style="148" customWidth="1"/>
    <col min="5892" max="5892" width="32.6640625" style="148" customWidth="1"/>
    <col min="5893" max="5893" width="27" style="148" customWidth="1"/>
    <col min="5894" max="5895" width="9.1328125" style="148" customWidth="1"/>
    <col min="5896" max="5896" width="5" style="148" customWidth="1"/>
    <col min="5897" max="5898" width="9.1328125" style="148" customWidth="1"/>
    <col min="5899" max="5899" width="10.53125" style="148" customWidth="1"/>
    <col min="5900" max="6144" width="9.1328125" style="148"/>
    <col min="6145" max="6145" width="0" style="148" hidden="1" customWidth="1"/>
    <col min="6146" max="6146" width="43.46484375" style="148" customWidth="1"/>
    <col min="6147" max="6147" width="3.6640625" style="148" customWidth="1"/>
    <col min="6148" max="6148" width="32.6640625" style="148" customWidth="1"/>
    <col min="6149" max="6149" width="27" style="148" customWidth="1"/>
    <col min="6150" max="6151" width="9.1328125" style="148" customWidth="1"/>
    <col min="6152" max="6152" width="5" style="148" customWidth="1"/>
    <col min="6153" max="6154" width="9.1328125" style="148" customWidth="1"/>
    <col min="6155" max="6155" width="10.53125" style="148" customWidth="1"/>
    <col min="6156" max="6400" width="9.1328125" style="148"/>
    <col min="6401" max="6401" width="0" style="148" hidden="1" customWidth="1"/>
    <col min="6402" max="6402" width="43.46484375" style="148" customWidth="1"/>
    <col min="6403" max="6403" width="3.6640625" style="148" customWidth="1"/>
    <col min="6404" max="6404" width="32.6640625" style="148" customWidth="1"/>
    <col min="6405" max="6405" width="27" style="148" customWidth="1"/>
    <col min="6406" max="6407" width="9.1328125" style="148" customWidth="1"/>
    <col min="6408" max="6408" width="5" style="148" customWidth="1"/>
    <col min="6409" max="6410" width="9.1328125" style="148" customWidth="1"/>
    <col min="6411" max="6411" width="10.53125" style="148" customWidth="1"/>
    <col min="6412" max="6656" width="9.1328125" style="148"/>
    <col min="6657" max="6657" width="0" style="148" hidden="1" customWidth="1"/>
    <col min="6658" max="6658" width="43.46484375" style="148" customWidth="1"/>
    <col min="6659" max="6659" width="3.6640625" style="148" customWidth="1"/>
    <col min="6660" max="6660" width="32.6640625" style="148" customWidth="1"/>
    <col min="6661" max="6661" width="27" style="148" customWidth="1"/>
    <col min="6662" max="6663" width="9.1328125" style="148" customWidth="1"/>
    <col min="6664" max="6664" width="5" style="148" customWidth="1"/>
    <col min="6665" max="6666" width="9.1328125" style="148" customWidth="1"/>
    <col min="6667" max="6667" width="10.53125" style="148" customWidth="1"/>
    <col min="6668" max="6912" width="9.1328125" style="148"/>
    <col min="6913" max="6913" width="0" style="148" hidden="1" customWidth="1"/>
    <col min="6914" max="6914" width="43.46484375" style="148" customWidth="1"/>
    <col min="6915" max="6915" width="3.6640625" style="148" customWidth="1"/>
    <col min="6916" max="6916" width="32.6640625" style="148" customWidth="1"/>
    <col min="6917" max="6917" width="27" style="148" customWidth="1"/>
    <col min="6918" max="6919" width="9.1328125" style="148" customWidth="1"/>
    <col min="6920" max="6920" width="5" style="148" customWidth="1"/>
    <col min="6921" max="6922" width="9.1328125" style="148" customWidth="1"/>
    <col min="6923" max="6923" width="10.53125" style="148" customWidth="1"/>
    <col min="6924" max="7168" width="9.1328125" style="148"/>
    <col min="7169" max="7169" width="0" style="148" hidden="1" customWidth="1"/>
    <col min="7170" max="7170" width="43.46484375" style="148" customWidth="1"/>
    <col min="7171" max="7171" width="3.6640625" style="148" customWidth="1"/>
    <col min="7172" max="7172" width="32.6640625" style="148" customWidth="1"/>
    <col min="7173" max="7173" width="27" style="148" customWidth="1"/>
    <col min="7174" max="7175" width="9.1328125" style="148" customWidth="1"/>
    <col min="7176" max="7176" width="5" style="148" customWidth="1"/>
    <col min="7177" max="7178" width="9.1328125" style="148" customWidth="1"/>
    <col min="7179" max="7179" width="10.53125" style="148" customWidth="1"/>
    <col min="7180" max="7424" width="9.1328125" style="148"/>
    <col min="7425" max="7425" width="0" style="148" hidden="1" customWidth="1"/>
    <col min="7426" max="7426" width="43.46484375" style="148" customWidth="1"/>
    <col min="7427" max="7427" width="3.6640625" style="148" customWidth="1"/>
    <col min="7428" max="7428" width="32.6640625" style="148" customWidth="1"/>
    <col min="7429" max="7429" width="27" style="148" customWidth="1"/>
    <col min="7430" max="7431" width="9.1328125" style="148" customWidth="1"/>
    <col min="7432" max="7432" width="5" style="148" customWidth="1"/>
    <col min="7433" max="7434" width="9.1328125" style="148" customWidth="1"/>
    <col min="7435" max="7435" width="10.53125" style="148" customWidth="1"/>
    <col min="7436" max="7680" width="9.1328125" style="148"/>
    <col min="7681" max="7681" width="0" style="148" hidden="1" customWidth="1"/>
    <col min="7682" max="7682" width="43.46484375" style="148" customWidth="1"/>
    <col min="7683" max="7683" width="3.6640625" style="148" customWidth="1"/>
    <col min="7684" max="7684" width="32.6640625" style="148" customWidth="1"/>
    <col min="7685" max="7685" width="27" style="148" customWidth="1"/>
    <col min="7686" max="7687" width="9.1328125" style="148" customWidth="1"/>
    <col min="7688" max="7688" width="5" style="148" customWidth="1"/>
    <col min="7689" max="7690" width="9.1328125" style="148" customWidth="1"/>
    <col min="7691" max="7691" width="10.53125" style="148" customWidth="1"/>
    <col min="7692" max="7936" width="9.1328125" style="148"/>
    <col min="7937" max="7937" width="0" style="148" hidden="1" customWidth="1"/>
    <col min="7938" max="7938" width="43.46484375" style="148" customWidth="1"/>
    <col min="7939" max="7939" width="3.6640625" style="148" customWidth="1"/>
    <col min="7940" max="7940" width="32.6640625" style="148" customWidth="1"/>
    <col min="7941" max="7941" width="27" style="148" customWidth="1"/>
    <col min="7942" max="7943" width="9.1328125" style="148" customWidth="1"/>
    <col min="7944" max="7944" width="5" style="148" customWidth="1"/>
    <col min="7945" max="7946" width="9.1328125" style="148" customWidth="1"/>
    <col min="7947" max="7947" width="10.53125" style="148" customWidth="1"/>
    <col min="7948" max="8192" width="9.1328125" style="148"/>
    <col min="8193" max="8193" width="0" style="148" hidden="1" customWidth="1"/>
    <col min="8194" max="8194" width="43.46484375" style="148" customWidth="1"/>
    <col min="8195" max="8195" width="3.6640625" style="148" customWidth="1"/>
    <col min="8196" max="8196" width="32.6640625" style="148" customWidth="1"/>
    <col min="8197" max="8197" width="27" style="148" customWidth="1"/>
    <col min="8198" max="8199" width="9.1328125" style="148" customWidth="1"/>
    <col min="8200" max="8200" width="5" style="148" customWidth="1"/>
    <col min="8201" max="8202" width="9.1328125" style="148" customWidth="1"/>
    <col min="8203" max="8203" width="10.53125" style="148" customWidth="1"/>
    <col min="8204" max="8448" width="9.1328125" style="148"/>
    <col min="8449" max="8449" width="0" style="148" hidden="1" customWidth="1"/>
    <col min="8450" max="8450" width="43.46484375" style="148" customWidth="1"/>
    <col min="8451" max="8451" width="3.6640625" style="148" customWidth="1"/>
    <col min="8452" max="8452" width="32.6640625" style="148" customWidth="1"/>
    <col min="8453" max="8453" width="27" style="148" customWidth="1"/>
    <col min="8454" max="8455" width="9.1328125" style="148" customWidth="1"/>
    <col min="8456" max="8456" width="5" style="148" customWidth="1"/>
    <col min="8457" max="8458" width="9.1328125" style="148" customWidth="1"/>
    <col min="8459" max="8459" width="10.53125" style="148" customWidth="1"/>
    <col min="8460" max="8704" width="9.1328125" style="148"/>
    <col min="8705" max="8705" width="0" style="148" hidden="1" customWidth="1"/>
    <col min="8706" max="8706" width="43.46484375" style="148" customWidth="1"/>
    <col min="8707" max="8707" width="3.6640625" style="148" customWidth="1"/>
    <col min="8708" max="8708" width="32.6640625" style="148" customWidth="1"/>
    <col min="8709" max="8709" width="27" style="148" customWidth="1"/>
    <col min="8710" max="8711" width="9.1328125" style="148" customWidth="1"/>
    <col min="8712" max="8712" width="5" style="148" customWidth="1"/>
    <col min="8713" max="8714" width="9.1328125" style="148" customWidth="1"/>
    <col min="8715" max="8715" width="10.53125" style="148" customWidth="1"/>
    <col min="8716" max="8960" width="9.1328125" style="148"/>
    <col min="8961" max="8961" width="0" style="148" hidden="1" customWidth="1"/>
    <col min="8962" max="8962" width="43.46484375" style="148" customWidth="1"/>
    <col min="8963" max="8963" width="3.6640625" style="148" customWidth="1"/>
    <col min="8964" max="8964" width="32.6640625" style="148" customWidth="1"/>
    <col min="8965" max="8965" width="27" style="148" customWidth="1"/>
    <col min="8966" max="8967" width="9.1328125" style="148" customWidth="1"/>
    <col min="8968" max="8968" width="5" style="148" customWidth="1"/>
    <col min="8969" max="8970" width="9.1328125" style="148" customWidth="1"/>
    <col min="8971" max="8971" width="10.53125" style="148" customWidth="1"/>
    <col min="8972" max="9216" width="9.1328125" style="148"/>
    <col min="9217" max="9217" width="0" style="148" hidden="1" customWidth="1"/>
    <col min="9218" max="9218" width="43.46484375" style="148" customWidth="1"/>
    <col min="9219" max="9219" width="3.6640625" style="148" customWidth="1"/>
    <col min="9220" max="9220" width="32.6640625" style="148" customWidth="1"/>
    <col min="9221" max="9221" width="27" style="148" customWidth="1"/>
    <col min="9222" max="9223" width="9.1328125" style="148" customWidth="1"/>
    <col min="9224" max="9224" width="5" style="148" customWidth="1"/>
    <col min="9225" max="9226" width="9.1328125" style="148" customWidth="1"/>
    <col min="9227" max="9227" width="10.53125" style="148" customWidth="1"/>
    <col min="9228" max="9472" width="9.1328125" style="148"/>
    <col min="9473" max="9473" width="0" style="148" hidden="1" customWidth="1"/>
    <col min="9474" max="9474" width="43.46484375" style="148" customWidth="1"/>
    <col min="9475" max="9475" width="3.6640625" style="148" customWidth="1"/>
    <col min="9476" max="9476" width="32.6640625" style="148" customWidth="1"/>
    <col min="9477" max="9477" width="27" style="148" customWidth="1"/>
    <col min="9478" max="9479" width="9.1328125" style="148" customWidth="1"/>
    <col min="9480" max="9480" width="5" style="148" customWidth="1"/>
    <col min="9481" max="9482" width="9.1328125" style="148" customWidth="1"/>
    <col min="9483" max="9483" width="10.53125" style="148" customWidth="1"/>
    <col min="9484" max="9728" width="9.1328125" style="148"/>
    <col min="9729" max="9729" width="0" style="148" hidden="1" customWidth="1"/>
    <col min="9730" max="9730" width="43.46484375" style="148" customWidth="1"/>
    <col min="9731" max="9731" width="3.6640625" style="148" customWidth="1"/>
    <col min="9732" max="9732" width="32.6640625" style="148" customWidth="1"/>
    <col min="9733" max="9733" width="27" style="148" customWidth="1"/>
    <col min="9734" max="9735" width="9.1328125" style="148" customWidth="1"/>
    <col min="9736" max="9736" width="5" style="148" customWidth="1"/>
    <col min="9737" max="9738" width="9.1328125" style="148" customWidth="1"/>
    <col min="9739" max="9739" width="10.53125" style="148" customWidth="1"/>
    <col min="9740" max="9984" width="9.1328125" style="148"/>
    <col min="9985" max="9985" width="0" style="148" hidden="1" customWidth="1"/>
    <col min="9986" max="9986" width="43.46484375" style="148" customWidth="1"/>
    <col min="9987" max="9987" width="3.6640625" style="148" customWidth="1"/>
    <col min="9988" max="9988" width="32.6640625" style="148" customWidth="1"/>
    <col min="9989" max="9989" width="27" style="148" customWidth="1"/>
    <col min="9990" max="9991" width="9.1328125" style="148" customWidth="1"/>
    <col min="9992" max="9992" width="5" style="148" customWidth="1"/>
    <col min="9993" max="9994" width="9.1328125" style="148" customWidth="1"/>
    <col min="9995" max="9995" width="10.53125" style="148" customWidth="1"/>
    <col min="9996" max="10240" width="9.1328125" style="148"/>
    <col min="10241" max="10241" width="0" style="148" hidden="1" customWidth="1"/>
    <col min="10242" max="10242" width="43.46484375" style="148" customWidth="1"/>
    <col min="10243" max="10243" width="3.6640625" style="148" customWidth="1"/>
    <col min="10244" max="10244" width="32.6640625" style="148" customWidth="1"/>
    <col min="10245" max="10245" width="27" style="148" customWidth="1"/>
    <col min="10246" max="10247" width="9.1328125" style="148" customWidth="1"/>
    <col min="10248" max="10248" width="5" style="148" customWidth="1"/>
    <col min="10249" max="10250" width="9.1328125" style="148" customWidth="1"/>
    <col min="10251" max="10251" width="10.53125" style="148" customWidth="1"/>
    <col min="10252" max="10496" width="9.1328125" style="148"/>
    <col min="10497" max="10497" width="0" style="148" hidden="1" customWidth="1"/>
    <col min="10498" max="10498" width="43.46484375" style="148" customWidth="1"/>
    <col min="10499" max="10499" width="3.6640625" style="148" customWidth="1"/>
    <col min="10500" max="10500" width="32.6640625" style="148" customWidth="1"/>
    <col min="10501" max="10501" width="27" style="148" customWidth="1"/>
    <col min="10502" max="10503" width="9.1328125" style="148" customWidth="1"/>
    <col min="10504" max="10504" width="5" style="148" customWidth="1"/>
    <col min="10505" max="10506" width="9.1328125" style="148" customWidth="1"/>
    <col min="10507" max="10507" width="10.53125" style="148" customWidth="1"/>
    <col min="10508" max="10752" width="9.1328125" style="148"/>
    <col min="10753" max="10753" width="0" style="148" hidden="1" customWidth="1"/>
    <col min="10754" max="10754" width="43.46484375" style="148" customWidth="1"/>
    <col min="10755" max="10755" width="3.6640625" style="148" customWidth="1"/>
    <col min="10756" max="10756" width="32.6640625" style="148" customWidth="1"/>
    <col min="10757" max="10757" width="27" style="148" customWidth="1"/>
    <col min="10758" max="10759" width="9.1328125" style="148" customWidth="1"/>
    <col min="10760" max="10760" width="5" style="148" customWidth="1"/>
    <col min="10761" max="10762" width="9.1328125" style="148" customWidth="1"/>
    <col min="10763" max="10763" width="10.53125" style="148" customWidth="1"/>
    <col min="10764" max="11008" width="9.1328125" style="148"/>
    <col min="11009" max="11009" width="0" style="148" hidden="1" customWidth="1"/>
    <col min="11010" max="11010" width="43.46484375" style="148" customWidth="1"/>
    <col min="11011" max="11011" width="3.6640625" style="148" customWidth="1"/>
    <col min="11012" max="11012" width="32.6640625" style="148" customWidth="1"/>
    <col min="11013" max="11013" width="27" style="148" customWidth="1"/>
    <col min="11014" max="11015" width="9.1328125" style="148" customWidth="1"/>
    <col min="11016" max="11016" width="5" style="148" customWidth="1"/>
    <col min="11017" max="11018" width="9.1328125" style="148" customWidth="1"/>
    <col min="11019" max="11019" width="10.53125" style="148" customWidth="1"/>
    <col min="11020" max="11264" width="9.1328125" style="148"/>
    <col min="11265" max="11265" width="0" style="148" hidden="1" customWidth="1"/>
    <col min="11266" max="11266" width="43.46484375" style="148" customWidth="1"/>
    <col min="11267" max="11267" width="3.6640625" style="148" customWidth="1"/>
    <col min="11268" max="11268" width="32.6640625" style="148" customWidth="1"/>
    <col min="11269" max="11269" width="27" style="148" customWidth="1"/>
    <col min="11270" max="11271" width="9.1328125" style="148" customWidth="1"/>
    <col min="11272" max="11272" width="5" style="148" customWidth="1"/>
    <col min="11273" max="11274" width="9.1328125" style="148" customWidth="1"/>
    <col min="11275" max="11275" width="10.53125" style="148" customWidth="1"/>
    <col min="11276" max="11520" width="9.1328125" style="148"/>
    <col min="11521" max="11521" width="0" style="148" hidden="1" customWidth="1"/>
    <col min="11522" max="11522" width="43.46484375" style="148" customWidth="1"/>
    <col min="11523" max="11523" width="3.6640625" style="148" customWidth="1"/>
    <col min="11524" max="11524" width="32.6640625" style="148" customWidth="1"/>
    <col min="11525" max="11525" width="27" style="148" customWidth="1"/>
    <col min="11526" max="11527" width="9.1328125" style="148" customWidth="1"/>
    <col min="11528" max="11528" width="5" style="148" customWidth="1"/>
    <col min="11529" max="11530" width="9.1328125" style="148" customWidth="1"/>
    <col min="11531" max="11531" width="10.53125" style="148" customWidth="1"/>
    <col min="11532" max="11776" width="9.1328125" style="148"/>
    <col min="11777" max="11777" width="0" style="148" hidden="1" customWidth="1"/>
    <col min="11778" max="11778" width="43.46484375" style="148" customWidth="1"/>
    <col min="11779" max="11779" width="3.6640625" style="148" customWidth="1"/>
    <col min="11780" max="11780" width="32.6640625" style="148" customWidth="1"/>
    <col min="11781" max="11781" width="27" style="148" customWidth="1"/>
    <col min="11782" max="11783" width="9.1328125" style="148" customWidth="1"/>
    <col min="11784" max="11784" width="5" style="148" customWidth="1"/>
    <col min="11785" max="11786" width="9.1328125" style="148" customWidth="1"/>
    <col min="11787" max="11787" width="10.53125" style="148" customWidth="1"/>
    <col min="11788" max="12032" width="9.1328125" style="148"/>
    <col min="12033" max="12033" width="0" style="148" hidden="1" customWidth="1"/>
    <col min="12034" max="12034" width="43.46484375" style="148" customWidth="1"/>
    <col min="12035" max="12035" width="3.6640625" style="148" customWidth="1"/>
    <col min="12036" max="12036" width="32.6640625" style="148" customWidth="1"/>
    <col min="12037" max="12037" width="27" style="148" customWidth="1"/>
    <col min="12038" max="12039" width="9.1328125" style="148" customWidth="1"/>
    <col min="12040" max="12040" width="5" style="148" customWidth="1"/>
    <col min="12041" max="12042" width="9.1328125" style="148" customWidth="1"/>
    <col min="12043" max="12043" width="10.53125" style="148" customWidth="1"/>
    <col min="12044" max="12288" width="9.1328125" style="148"/>
    <col min="12289" max="12289" width="0" style="148" hidden="1" customWidth="1"/>
    <col min="12290" max="12290" width="43.46484375" style="148" customWidth="1"/>
    <col min="12291" max="12291" width="3.6640625" style="148" customWidth="1"/>
    <col min="12292" max="12292" width="32.6640625" style="148" customWidth="1"/>
    <col min="12293" max="12293" width="27" style="148" customWidth="1"/>
    <col min="12294" max="12295" width="9.1328125" style="148" customWidth="1"/>
    <col min="12296" max="12296" width="5" style="148" customWidth="1"/>
    <col min="12297" max="12298" width="9.1328125" style="148" customWidth="1"/>
    <col min="12299" max="12299" width="10.53125" style="148" customWidth="1"/>
    <col min="12300" max="12544" width="9.1328125" style="148"/>
    <col min="12545" max="12545" width="0" style="148" hidden="1" customWidth="1"/>
    <col min="12546" max="12546" width="43.46484375" style="148" customWidth="1"/>
    <col min="12547" max="12547" width="3.6640625" style="148" customWidth="1"/>
    <col min="12548" max="12548" width="32.6640625" style="148" customWidth="1"/>
    <col min="12549" max="12549" width="27" style="148" customWidth="1"/>
    <col min="12550" max="12551" width="9.1328125" style="148" customWidth="1"/>
    <col min="12552" max="12552" width="5" style="148" customWidth="1"/>
    <col min="12553" max="12554" width="9.1328125" style="148" customWidth="1"/>
    <col min="12555" max="12555" width="10.53125" style="148" customWidth="1"/>
    <col min="12556" max="12800" width="9.1328125" style="148"/>
    <col min="12801" max="12801" width="0" style="148" hidden="1" customWidth="1"/>
    <col min="12802" max="12802" width="43.46484375" style="148" customWidth="1"/>
    <col min="12803" max="12803" width="3.6640625" style="148" customWidth="1"/>
    <col min="12804" max="12804" width="32.6640625" style="148" customWidth="1"/>
    <col min="12805" max="12805" width="27" style="148" customWidth="1"/>
    <col min="12806" max="12807" width="9.1328125" style="148" customWidth="1"/>
    <col min="12808" max="12808" width="5" style="148" customWidth="1"/>
    <col min="12809" max="12810" width="9.1328125" style="148" customWidth="1"/>
    <col min="12811" max="12811" width="10.53125" style="148" customWidth="1"/>
    <col min="12812" max="13056" width="9.1328125" style="148"/>
    <col min="13057" max="13057" width="0" style="148" hidden="1" customWidth="1"/>
    <col min="13058" max="13058" width="43.46484375" style="148" customWidth="1"/>
    <col min="13059" max="13059" width="3.6640625" style="148" customWidth="1"/>
    <col min="13060" max="13060" width="32.6640625" style="148" customWidth="1"/>
    <col min="13061" max="13061" width="27" style="148" customWidth="1"/>
    <col min="13062" max="13063" width="9.1328125" style="148" customWidth="1"/>
    <col min="13064" max="13064" width="5" style="148" customWidth="1"/>
    <col min="13065" max="13066" width="9.1328125" style="148" customWidth="1"/>
    <col min="13067" max="13067" width="10.53125" style="148" customWidth="1"/>
    <col min="13068" max="13312" width="9.1328125" style="148"/>
    <col min="13313" max="13313" width="0" style="148" hidden="1" customWidth="1"/>
    <col min="13314" max="13314" width="43.46484375" style="148" customWidth="1"/>
    <col min="13315" max="13315" width="3.6640625" style="148" customWidth="1"/>
    <col min="13316" max="13316" width="32.6640625" style="148" customWidth="1"/>
    <col min="13317" max="13317" width="27" style="148" customWidth="1"/>
    <col min="13318" max="13319" width="9.1328125" style="148" customWidth="1"/>
    <col min="13320" max="13320" width="5" style="148" customWidth="1"/>
    <col min="13321" max="13322" width="9.1328125" style="148" customWidth="1"/>
    <col min="13323" max="13323" width="10.53125" style="148" customWidth="1"/>
    <col min="13324" max="13568" width="9.1328125" style="148"/>
    <col min="13569" max="13569" width="0" style="148" hidden="1" customWidth="1"/>
    <col min="13570" max="13570" width="43.46484375" style="148" customWidth="1"/>
    <col min="13571" max="13571" width="3.6640625" style="148" customWidth="1"/>
    <col min="13572" max="13572" width="32.6640625" style="148" customWidth="1"/>
    <col min="13573" max="13573" width="27" style="148" customWidth="1"/>
    <col min="13574" max="13575" width="9.1328125" style="148" customWidth="1"/>
    <col min="13576" max="13576" width="5" style="148" customWidth="1"/>
    <col min="13577" max="13578" width="9.1328125" style="148" customWidth="1"/>
    <col min="13579" max="13579" width="10.53125" style="148" customWidth="1"/>
    <col min="13580" max="13824" width="9.1328125" style="148"/>
    <col min="13825" max="13825" width="0" style="148" hidden="1" customWidth="1"/>
    <col min="13826" max="13826" width="43.46484375" style="148" customWidth="1"/>
    <col min="13827" max="13827" width="3.6640625" style="148" customWidth="1"/>
    <col min="13828" max="13828" width="32.6640625" style="148" customWidth="1"/>
    <col min="13829" max="13829" width="27" style="148" customWidth="1"/>
    <col min="13830" max="13831" width="9.1328125" style="148" customWidth="1"/>
    <col min="13832" max="13832" width="5" style="148" customWidth="1"/>
    <col min="13833" max="13834" width="9.1328125" style="148" customWidth="1"/>
    <col min="13835" max="13835" width="10.53125" style="148" customWidth="1"/>
    <col min="13836" max="14080" width="9.1328125" style="148"/>
    <col min="14081" max="14081" width="0" style="148" hidden="1" customWidth="1"/>
    <col min="14082" max="14082" width="43.46484375" style="148" customWidth="1"/>
    <col min="14083" max="14083" width="3.6640625" style="148" customWidth="1"/>
    <col min="14084" max="14084" width="32.6640625" style="148" customWidth="1"/>
    <col min="14085" max="14085" width="27" style="148" customWidth="1"/>
    <col min="14086" max="14087" width="9.1328125" style="148" customWidth="1"/>
    <col min="14088" max="14088" width="5" style="148" customWidth="1"/>
    <col min="14089" max="14090" width="9.1328125" style="148" customWidth="1"/>
    <col min="14091" max="14091" width="10.53125" style="148" customWidth="1"/>
    <col min="14092" max="14336" width="9.1328125" style="148"/>
    <col min="14337" max="14337" width="0" style="148" hidden="1" customWidth="1"/>
    <col min="14338" max="14338" width="43.46484375" style="148" customWidth="1"/>
    <col min="14339" max="14339" width="3.6640625" style="148" customWidth="1"/>
    <col min="14340" max="14340" width="32.6640625" style="148" customWidth="1"/>
    <col min="14341" max="14341" width="27" style="148" customWidth="1"/>
    <col min="14342" max="14343" width="9.1328125" style="148" customWidth="1"/>
    <col min="14344" max="14344" width="5" style="148" customWidth="1"/>
    <col min="14345" max="14346" width="9.1328125" style="148" customWidth="1"/>
    <col min="14347" max="14347" width="10.53125" style="148" customWidth="1"/>
    <col min="14348" max="14592" width="9.1328125" style="148"/>
    <col min="14593" max="14593" width="0" style="148" hidden="1" customWidth="1"/>
    <col min="14594" max="14594" width="43.46484375" style="148" customWidth="1"/>
    <col min="14595" max="14595" width="3.6640625" style="148" customWidth="1"/>
    <col min="14596" max="14596" width="32.6640625" style="148" customWidth="1"/>
    <col min="14597" max="14597" width="27" style="148" customWidth="1"/>
    <col min="14598" max="14599" width="9.1328125" style="148" customWidth="1"/>
    <col min="14600" max="14600" width="5" style="148" customWidth="1"/>
    <col min="14601" max="14602" width="9.1328125" style="148" customWidth="1"/>
    <col min="14603" max="14603" width="10.53125" style="148" customWidth="1"/>
    <col min="14604" max="14848" width="9.1328125" style="148"/>
    <col min="14849" max="14849" width="0" style="148" hidden="1" customWidth="1"/>
    <col min="14850" max="14850" width="43.46484375" style="148" customWidth="1"/>
    <col min="14851" max="14851" width="3.6640625" style="148" customWidth="1"/>
    <col min="14852" max="14852" width="32.6640625" style="148" customWidth="1"/>
    <col min="14853" max="14853" width="27" style="148" customWidth="1"/>
    <col min="14854" max="14855" width="9.1328125" style="148" customWidth="1"/>
    <col min="14856" max="14856" width="5" style="148" customWidth="1"/>
    <col min="14857" max="14858" width="9.1328125" style="148" customWidth="1"/>
    <col min="14859" max="14859" width="10.53125" style="148" customWidth="1"/>
    <col min="14860" max="15104" width="9.1328125" style="148"/>
    <col min="15105" max="15105" width="0" style="148" hidden="1" customWidth="1"/>
    <col min="15106" max="15106" width="43.46484375" style="148" customWidth="1"/>
    <col min="15107" max="15107" width="3.6640625" style="148" customWidth="1"/>
    <col min="15108" max="15108" width="32.6640625" style="148" customWidth="1"/>
    <col min="15109" max="15109" width="27" style="148" customWidth="1"/>
    <col min="15110" max="15111" width="9.1328125" style="148" customWidth="1"/>
    <col min="15112" max="15112" width="5" style="148" customWidth="1"/>
    <col min="15113" max="15114" width="9.1328125" style="148" customWidth="1"/>
    <col min="15115" max="15115" width="10.53125" style="148" customWidth="1"/>
    <col min="15116" max="15360" width="9.1328125" style="148"/>
    <col min="15361" max="15361" width="0" style="148" hidden="1" customWidth="1"/>
    <col min="15362" max="15362" width="43.46484375" style="148" customWidth="1"/>
    <col min="15363" max="15363" width="3.6640625" style="148" customWidth="1"/>
    <col min="15364" max="15364" width="32.6640625" style="148" customWidth="1"/>
    <col min="15365" max="15365" width="27" style="148" customWidth="1"/>
    <col min="15366" max="15367" width="9.1328125" style="148" customWidth="1"/>
    <col min="15368" max="15368" width="5" style="148" customWidth="1"/>
    <col min="15369" max="15370" width="9.1328125" style="148" customWidth="1"/>
    <col min="15371" max="15371" width="10.53125" style="148" customWidth="1"/>
    <col min="15372" max="15616" width="9.1328125" style="148"/>
    <col min="15617" max="15617" width="0" style="148" hidden="1" customWidth="1"/>
    <col min="15618" max="15618" width="43.46484375" style="148" customWidth="1"/>
    <col min="15619" max="15619" width="3.6640625" style="148" customWidth="1"/>
    <col min="15620" max="15620" width="32.6640625" style="148" customWidth="1"/>
    <col min="15621" max="15621" width="27" style="148" customWidth="1"/>
    <col min="15622" max="15623" width="9.1328125" style="148" customWidth="1"/>
    <col min="15624" max="15624" width="5" style="148" customWidth="1"/>
    <col min="15625" max="15626" width="9.1328125" style="148" customWidth="1"/>
    <col min="15627" max="15627" width="10.53125" style="148" customWidth="1"/>
    <col min="15628" max="15872" width="9.1328125" style="148"/>
    <col min="15873" max="15873" width="0" style="148" hidden="1" customWidth="1"/>
    <col min="15874" max="15874" width="43.46484375" style="148" customWidth="1"/>
    <col min="15875" max="15875" width="3.6640625" style="148" customWidth="1"/>
    <col min="15876" max="15876" width="32.6640625" style="148" customWidth="1"/>
    <col min="15877" max="15877" width="27" style="148" customWidth="1"/>
    <col min="15878" max="15879" width="9.1328125" style="148" customWidth="1"/>
    <col min="15880" max="15880" width="5" style="148" customWidth="1"/>
    <col min="15881" max="15882" width="9.1328125" style="148" customWidth="1"/>
    <col min="15883" max="15883" width="10.53125" style="148" customWidth="1"/>
    <col min="15884" max="16128" width="9.1328125" style="148"/>
    <col min="16129" max="16129" width="0" style="148" hidden="1" customWidth="1"/>
    <col min="16130" max="16130" width="43.46484375" style="148" customWidth="1"/>
    <col min="16131" max="16131" width="3.6640625" style="148" customWidth="1"/>
    <col min="16132" max="16132" width="32.6640625" style="148" customWidth="1"/>
    <col min="16133" max="16133" width="27" style="148" customWidth="1"/>
    <col min="16134" max="16135" width="9.1328125" style="148" customWidth="1"/>
    <col min="16136" max="16136" width="5" style="148" customWidth="1"/>
    <col min="16137" max="16138" width="9.1328125" style="148" customWidth="1"/>
    <col min="16139" max="16139" width="10.53125" style="148" customWidth="1"/>
    <col min="16140" max="16384" width="9.1328125" style="148"/>
  </cols>
  <sheetData>
    <row r="1" spans="1:256" ht="12.75" customHeight="1">
      <c r="B1" s="63"/>
    </row>
    <row r="2" spans="1:256" s="157" customFormat="1" ht="21" customHeight="1">
      <c r="A2" s="148"/>
      <c r="B2" s="3187" t="s">
        <v>0</v>
      </c>
      <c r="C2" s="149"/>
      <c r="D2" s="3191" t="s">
        <v>432</v>
      </c>
      <c r="E2" s="3190"/>
      <c r="F2" s="3190"/>
      <c r="G2" s="3190"/>
      <c r="H2" s="3190"/>
      <c r="I2" s="3190"/>
      <c r="J2" s="3190"/>
      <c r="K2" s="3190"/>
      <c r="L2" s="155"/>
      <c r="M2" s="155"/>
      <c r="N2" s="155"/>
      <c r="O2" s="155"/>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row>
    <row r="3" spans="1:256" s="157" customFormat="1" ht="21" customHeight="1">
      <c r="A3" s="148"/>
      <c r="B3" s="3187"/>
      <c r="C3" s="149"/>
      <c r="D3" s="3190"/>
      <c r="E3" s="3190"/>
      <c r="F3" s="3190"/>
      <c r="G3" s="3190"/>
      <c r="H3" s="3190"/>
      <c r="I3" s="3190"/>
      <c r="J3" s="3190"/>
      <c r="K3" s="3190"/>
    </row>
    <row r="4" spans="1:256" ht="21" customHeight="1">
      <c r="B4" s="63"/>
      <c r="C4" s="150"/>
      <c r="D4" s="151"/>
      <c r="E4" s="150"/>
      <c r="F4" s="150"/>
      <c r="G4" s="150"/>
      <c r="H4" s="150"/>
      <c r="I4" s="150"/>
      <c r="J4" s="150"/>
      <c r="K4" s="150"/>
    </row>
    <row r="5" spans="1:256" ht="21" customHeight="1">
      <c r="B5" s="62" t="s">
        <v>1</v>
      </c>
      <c r="D5" s="152"/>
    </row>
    <row r="6" spans="1:256" ht="21" customHeight="1">
      <c r="B6" s="146" t="s">
        <v>452</v>
      </c>
      <c r="D6" s="153"/>
    </row>
    <row r="7" spans="1:256" ht="21" customHeight="1">
      <c r="B7" s="145" t="s">
        <v>300</v>
      </c>
    </row>
    <row r="8" spans="1:256" ht="21" customHeight="1">
      <c r="B8" s="810" t="s">
        <v>1392</v>
      </c>
    </row>
    <row r="9" spans="1:256" ht="21" customHeight="1">
      <c r="B9" s="145" t="s">
        <v>419</v>
      </c>
      <c r="D9" s="152"/>
    </row>
    <row r="10" spans="1:256" ht="21" customHeight="1">
      <c r="B10" s="147" t="s">
        <v>420</v>
      </c>
      <c r="D10" s="153"/>
    </row>
    <row r="11" spans="1:256" ht="21" customHeight="1">
      <c r="B11" s="810" t="s">
        <v>52</v>
      </c>
      <c r="D11" s="153"/>
    </row>
    <row r="12" spans="1:256" ht="21" customHeight="1">
      <c r="B12" s="168" t="s">
        <v>96</v>
      </c>
      <c r="D12" s="153"/>
    </row>
    <row r="13" spans="1:256" ht="21" customHeight="1">
      <c r="B13" s="810" t="s">
        <v>1343</v>
      </c>
      <c r="D13" s="153"/>
    </row>
    <row r="14" spans="1:256" ht="21" customHeight="1">
      <c r="B14" s="62" t="s">
        <v>239</v>
      </c>
      <c r="D14" s="153"/>
    </row>
    <row r="15" spans="1:256" ht="21" customHeight="1">
      <c r="B15" s="62" t="s">
        <v>1263</v>
      </c>
      <c r="D15" s="152"/>
    </row>
    <row r="16" spans="1:256" ht="21" customHeight="1">
      <c r="B16" s="62" t="s">
        <v>557</v>
      </c>
      <c r="D16" s="153"/>
    </row>
    <row r="17" spans="2:4" ht="21" customHeight="1">
      <c r="B17" s="62" t="s">
        <v>238</v>
      </c>
      <c r="D17" s="153"/>
    </row>
    <row r="18" spans="2:4" ht="21" customHeight="1">
      <c r="B18" s="62" t="s">
        <v>1652</v>
      </c>
      <c r="D18" s="153"/>
    </row>
    <row r="19" spans="2:4" ht="21" customHeight="1">
      <c r="B19" s="62" t="s">
        <v>1653</v>
      </c>
      <c r="D19" s="152"/>
    </row>
    <row r="20" spans="2:4" ht="21" customHeight="1">
      <c r="B20" s="62" t="s">
        <v>40</v>
      </c>
      <c r="D20" s="153"/>
    </row>
    <row r="21" spans="2:4" ht="21" customHeight="1">
      <c r="B21" s="62" t="s">
        <v>238</v>
      </c>
      <c r="D21" s="153"/>
    </row>
    <row r="22" spans="2:4" ht="21" customHeight="1">
      <c r="B22" s="62" t="s">
        <v>39</v>
      </c>
      <c r="D22" s="154"/>
    </row>
    <row r="23" spans="2:4" ht="21" customHeight="1">
      <c r="B23" s="62" t="s">
        <v>38</v>
      </c>
      <c r="D23" s="152"/>
    </row>
    <row r="24" spans="2:4" ht="21" customHeight="1">
      <c r="B24" s="819"/>
      <c r="D24" s="153"/>
    </row>
    <row r="25" spans="2:4" ht="21" customHeight="1">
      <c r="B25" s="819"/>
      <c r="D25" s="153"/>
    </row>
    <row r="26" spans="2:4" ht="21" customHeight="1">
      <c r="B26" s="819"/>
      <c r="D26" s="153"/>
    </row>
    <row r="27" spans="2:4" ht="21" customHeight="1">
      <c r="B27" s="819"/>
      <c r="D27" s="153"/>
    </row>
    <row r="28" spans="2:4" ht="21" customHeight="1">
      <c r="D28" s="153"/>
    </row>
    <row r="29" spans="2:4" ht="21" customHeight="1">
      <c r="D29" s="153"/>
    </row>
    <row r="30" spans="2:4" ht="21" customHeight="1">
      <c r="D30" s="153"/>
    </row>
    <row r="31" spans="2:4" ht="21" customHeight="1">
      <c r="D31" s="153"/>
    </row>
    <row r="32" spans="2:4" ht="21" customHeight="1"/>
    <row r="33" spans="2:2" ht="21" customHeight="1"/>
    <row r="34" spans="2:2" ht="21" customHeight="1"/>
    <row r="35" spans="2:2" ht="21" customHeight="1">
      <c r="B35" s="821" t="s">
        <v>446</v>
      </c>
    </row>
    <row r="36" spans="2:2" ht="21" customHeight="1">
      <c r="B36" s="822" t="s">
        <v>433</v>
      </c>
    </row>
    <row r="37" spans="2:2" ht="21" customHeight="1">
      <c r="B37" s="822" t="s">
        <v>434</v>
      </c>
    </row>
    <row r="38" spans="2:2" ht="18" customHeight="1">
      <c r="B38" s="822" t="s">
        <v>435</v>
      </c>
    </row>
    <row r="39" spans="2:2" ht="18" customHeight="1">
      <c r="B39" s="822" t="s">
        <v>436</v>
      </c>
    </row>
    <row r="40" spans="2:2" ht="18" customHeight="1">
      <c r="B40" s="822" t="s">
        <v>437</v>
      </c>
    </row>
    <row r="41" spans="2:2" ht="18" customHeight="1">
      <c r="B41" s="822" t="s">
        <v>438</v>
      </c>
    </row>
    <row r="42" spans="2:2" ht="18" customHeight="1">
      <c r="B42" s="822" t="s">
        <v>439</v>
      </c>
    </row>
    <row r="43" spans="2:2" ht="18" customHeight="1">
      <c r="B43" s="822" t="s">
        <v>440</v>
      </c>
    </row>
    <row r="44" spans="2:2" ht="18" customHeight="1">
      <c r="B44" s="822" t="s">
        <v>441</v>
      </c>
    </row>
    <row r="45" spans="2:2" ht="18" customHeight="1">
      <c r="B45" s="822" t="s">
        <v>442</v>
      </c>
    </row>
    <row r="46" spans="2:2" ht="18" customHeight="1">
      <c r="B46" s="822" t="s">
        <v>443</v>
      </c>
    </row>
    <row r="47" spans="2:2" ht="18" customHeight="1">
      <c r="B47" s="822" t="s">
        <v>444</v>
      </c>
    </row>
    <row r="48" spans="2:2" ht="18" customHeight="1">
      <c r="B48" s="822" t="s">
        <v>445</v>
      </c>
    </row>
    <row r="49" spans="2:2" ht="18" customHeight="1"/>
    <row r="50" spans="2:2" ht="18" customHeight="1"/>
    <row r="51" spans="2:2" ht="18" customHeight="1"/>
    <row r="52" spans="2:2" ht="18" customHeight="1"/>
    <row r="53" spans="2:2" ht="18" customHeight="1"/>
    <row r="54" spans="2:2" ht="18" customHeight="1"/>
    <row r="60" spans="2:2">
      <c r="B60" s="821" t="s">
        <v>446</v>
      </c>
    </row>
    <row r="61" spans="2:2">
      <c r="B61" s="822" t="s">
        <v>433</v>
      </c>
    </row>
    <row r="62" spans="2:2">
      <c r="B62" s="822" t="s">
        <v>434</v>
      </c>
    </row>
    <row r="63" spans="2:2">
      <c r="B63" s="822" t="s">
        <v>435</v>
      </c>
    </row>
    <row r="64" spans="2:2">
      <c r="B64" s="822" t="s">
        <v>436</v>
      </c>
    </row>
    <row r="65" spans="2:2">
      <c r="B65" s="822" t="s">
        <v>437</v>
      </c>
    </row>
    <row r="66" spans="2:2">
      <c r="B66" s="822" t="s">
        <v>438</v>
      </c>
    </row>
    <row r="67" spans="2:2">
      <c r="B67" s="822" t="s">
        <v>439</v>
      </c>
    </row>
    <row r="68" spans="2:2">
      <c r="B68" s="822" t="s">
        <v>440</v>
      </c>
    </row>
    <row r="69" spans="2:2">
      <c r="B69" s="822" t="s">
        <v>441</v>
      </c>
    </row>
    <row r="70" spans="2:2">
      <c r="B70" s="822" t="s">
        <v>442</v>
      </c>
    </row>
    <row r="71" spans="2:2">
      <c r="B71" s="822" t="s">
        <v>443</v>
      </c>
    </row>
    <row r="72" spans="2:2">
      <c r="B72" s="822" t="s">
        <v>444</v>
      </c>
    </row>
    <row r="73" spans="2:2">
      <c r="B73" s="822" t="s">
        <v>445</v>
      </c>
    </row>
    <row r="90" spans="2:2">
      <c r="B90" s="821" t="s">
        <v>446</v>
      </c>
    </row>
    <row r="91" spans="2:2">
      <c r="B91" s="822" t="s">
        <v>433</v>
      </c>
    </row>
    <row r="92" spans="2:2">
      <c r="B92" s="822" t="s">
        <v>434</v>
      </c>
    </row>
    <row r="93" spans="2:2">
      <c r="B93" s="822" t="s">
        <v>435</v>
      </c>
    </row>
    <row r="94" spans="2:2">
      <c r="B94" s="822" t="s">
        <v>436</v>
      </c>
    </row>
    <row r="95" spans="2:2">
      <c r="B95" s="822" t="s">
        <v>437</v>
      </c>
    </row>
    <row r="96" spans="2:2">
      <c r="B96" s="822" t="s">
        <v>438</v>
      </c>
    </row>
    <row r="97" spans="2:2">
      <c r="B97" s="822" t="s">
        <v>439</v>
      </c>
    </row>
    <row r="98" spans="2:2">
      <c r="B98" s="822" t="s">
        <v>440</v>
      </c>
    </row>
    <row r="99" spans="2:2">
      <c r="B99" s="822" t="s">
        <v>441</v>
      </c>
    </row>
    <row r="100" spans="2:2">
      <c r="B100" s="822" t="s">
        <v>442</v>
      </c>
    </row>
    <row r="101" spans="2:2">
      <c r="B101" s="822" t="s">
        <v>443</v>
      </c>
    </row>
    <row r="102" spans="2:2">
      <c r="B102" s="822" t="s">
        <v>444</v>
      </c>
    </row>
    <row r="103" spans="2:2">
      <c r="B103" s="822" t="s">
        <v>445</v>
      </c>
    </row>
    <row r="117" spans="2:2">
      <c r="B117" s="821" t="s">
        <v>446</v>
      </c>
    </row>
    <row r="118" spans="2:2">
      <c r="B118" s="822" t="s">
        <v>433</v>
      </c>
    </row>
    <row r="119" spans="2:2">
      <c r="B119" s="822" t="s">
        <v>434</v>
      </c>
    </row>
    <row r="120" spans="2:2">
      <c r="B120" s="822" t="s">
        <v>435</v>
      </c>
    </row>
    <row r="121" spans="2:2">
      <c r="B121" s="822" t="s">
        <v>436</v>
      </c>
    </row>
    <row r="122" spans="2:2">
      <c r="B122" s="822" t="s">
        <v>437</v>
      </c>
    </row>
    <row r="123" spans="2:2">
      <c r="B123" s="822" t="s">
        <v>438</v>
      </c>
    </row>
    <row r="124" spans="2:2">
      <c r="B124" s="822" t="s">
        <v>439</v>
      </c>
    </row>
    <row r="125" spans="2:2">
      <c r="B125" s="822" t="s">
        <v>440</v>
      </c>
    </row>
    <row r="126" spans="2:2">
      <c r="B126" s="822" t="s">
        <v>441</v>
      </c>
    </row>
    <row r="127" spans="2:2">
      <c r="B127" s="822" t="s">
        <v>442</v>
      </c>
    </row>
    <row r="128" spans="2:2">
      <c r="B128" s="822" t="s">
        <v>443</v>
      </c>
    </row>
    <row r="129" spans="2:2">
      <c r="B129" s="822" t="s">
        <v>444</v>
      </c>
    </row>
    <row r="130" spans="2:2">
      <c r="B130" s="822" t="s">
        <v>445</v>
      </c>
    </row>
    <row r="148" spans="2:2">
      <c r="B148" s="821" t="s">
        <v>446</v>
      </c>
    </row>
    <row r="149" spans="2:2">
      <c r="B149" s="822" t="s">
        <v>433</v>
      </c>
    </row>
    <row r="150" spans="2:2">
      <c r="B150" s="822" t="s">
        <v>434</v>
      </c>
    </row>
    <row r="151" spans="2:2">
      <c r="B151" s="822" t="s">
        <v>435</v>
      </c>
    </row>
    <row r="152" spans="2:2">
      <c r="B152" s="822" t="s">
        <v>436</v>
      </c>
    </row>
    <row r="153" spans="2:2">
      <c r="B153" s="822" t="s">
        <v>437</v>
      </c>
    </row>
    <row r="154" spans="2:2">
      <c r="B154" s="822" t="s">
        <v>438</v>
      </c>
    </row>
    <row r="155" spans="2:2">
      <c r="B155" s="822" t="s">
        <v>439</v>
      </c>
    </row>
    <row r="156" spans="2:2">
      <c r="B156" s="822" t="s">
        <v>440</v>
      </c>
    </row>
    <row r="157" spans="2:2">
      <c r="B157" s="822" t="s">
        <v>441</v>
      </c>
    </row>
    <row r="158" spans="2:2">
      <c r="B158" s="822" t="s">
        <v>442</v>
      </c>
    </row>
    <row r="159" spans="2:2">
      <c r="B159" s="822" t="s">
        <v>443</v>
      </c>
    </row>
    <row r="160" spans="2:2">
      <c r="B160" s="822" t="s">
        <v>444</v>
      </c>
    </row>
    <row r="161" spans="2:2">
      <c r="B161" s="822" t="s">
        <v>445</v>
      </c>
    </row>
    <row r="175" spans="2:2">
      <c r="B175" s="821" t="s">
        <v>446</v>
      </c>
    </row>
    <row r="176" spans="2:2">
      <c r="B176" s="822" t="s">
        <v>433</v>
      </c>
    </row>
    <row r="177" spans="2:2">
      <c r="B177" s="822" t="s">
        <v>434</v>
      </c>
    </row>
    <row r="178" spans="2:2">
      <c r="B178" s="822" t="s">
        <v>435</v>
      </c>
    </row>
    <row r="179" spans="2:2">
      <c r="B179" s="822" t="s">
        <v>436</v>
      </c>
    </row>
    <row r="180" spans="2:2">
      <c r="B180" s="822" t="s">
        <v>437</v>
      </c>
    </row>
    <row r="181" spans="2:2">
      <c r="B181" s="822" t="s">
        <v>438</v>
      </c>
    </row>
    <row r="182" spans="2:2">
      <c r="B182" s="822" t="s">
        <v>439</v>
      </c>
    </row>
    <row r="183" spans="2:2">
      <c r="B183" s="822" t="s">
        <v>440</v>
      </c>
    </row>
    <row r="184" spans="2:2">
      <c r="B184" s="822" t="s">
        <v>441</v>
      </c>
    </row>
    <row r="185" spans="2:2">
      <c r="B185" s="822" t="s">
        <v>442</v>
      </c>
    </row>
    <row r="186" spans="2:2">
      <c r="B186" s="822" t="s">
        <v>443</v>
      </c>
    </row>
    <row r="187" spans="2:2">
      <c r="B187" s="822" t="s">
        <v>444</v>
      </c>
    </row>
    <row r="188" spans="2:2">
      <c r="B188" s="822" t="s">
        <v>445</v>
      </c>
    </row>
    <row r="203" spans="2:2">
      <c r="B203" s="821" t="s">
        <v>446</v>
      </c>
    </row>
    <row r="204" spans="2:2">
      <c r="B204" s="822" t="s">
        <v>433</v>
      </c>
    </row>
    <row r="205" spans="2:2">
      <c r="B205" s="822" t="s">
        <v>434</v>
      </c>
    </row>
    <row r="206" spans="2:2">
      <c r="B206" s="822" t="s">
        <v>435</v>
      </c>
    </row>
    <row r="207" spans="2:2">
      <c r="B207" s="822" t="s">
        <v>436</v>
      </c>
    </row>
    <row r="208" spans="2:2">
      <c r="B208" s="822" t="s">
        <v>437</v>
      </c>
    </row>
    <row r="209" spans="2:2">
      <c r="B209" s="822" t="s">
        <v>438</v>
      </c>
    </row>
    <row r="210" spans="2:2">
      <c r="B210" s="822" t="s">
        <v>439</v>
      </c>
    </row>
    <row r="211" spans="2:2">
      <c r="B211" s="822" t="s">
        <v>440</v>
      </c>
    </row>
    <row r="212" spans="2:2">
      <c r="B212" s="822" t="s">
        <v>441</v>
      </c>
    </row>
    <row r="213" spans="2:2">
      <c r="B213" s="822" t="s">
        <v>442</v>
      </c>
    </row>
    <row r="214" spans="2:2">
      <c r="B214" s="822" t="s">
        <v>443</v>
      </c>
    </row>
    <row r="215" spans="2:2">
      <c r="B215" s="822" t="s">
        <v>444</v>
      </c>
    </row>
    <row r="216" spans="2:2">
      <c r="B216" s="822" t="s">
        <v>445</v>
      </c>
    </row>
    <row r="224" spans="2:2">
      <c r="B224" s="821" t="s">
        <v>446</v>
      </c>
    </row>
    <row r="225" spans="2:2">
      <c r="B225" s="822" t="s">
        <v>433</v>
      </c>
    </row>
    <row r="226" spans="2:2">
      <c r="B226" s="822" t="s">
        <v>434</v>
      </c>
    </row>
    <row r="227" spans="2:2">
      <c r="B227" s="822" t="s">
        <v>435</v>
      </c>
    </row>
    <row r="228" spans="2:2">
      <c r="B228" s="822" t="s">
        <v>436</v>
      </c>
    </row>
    <row r="229" spans="2:2">
      <c r="B229" s="822" t="s">
        <v>437</v>
      </c>
    </row>
    <row r="230" spans="2:2">
      <c r="B230" s="822" t="s">
        <v>438</v>
      </c>
    </row>
    <row r="231" spans="2:2">
      <c r="B231" s="822" t="s">
        <v>439</v>
      </c>
    </row>
    <row r="232" spans="2:2">
      <c r="B232" s="822" t="s">
        <v>440</v>
      </c>
    </row>
    <row r="233" spans="2:2">
      <c r="B233" s="822" t="s">
        <v>441</v>
      </c>
    </row>
    <row r="234" spans="2:2">
      <c r="B234" s="822" t="s">
        <v>442</v>
      </c>
    </row>
    <row r="235" spans="2:2">
      <c r="B235" s="822" t="s">
        <v>443</v>
      </c>
    </row>
    <row r="236" spans="2:2">
      <c r="B236" s="822" t="s">
        <v>444</v>
      </c>
    </row>
    <row r="237" spans="2:2">
      <c r="B237" s="822" t="s">
        <v>445</v>
      </c>
    </row>
    <row r="274" spans="2:2">
      <c r="B274" s="821" t="s">
        <v>446</v>
      </c>
    </row>
    <row r="275" spans="2:2">
      <c r="B275" s="822" t="s">
        <v>433</v>
      </c>
    </row>
    <row r="276" spans="2:2">
      <c r="B276" s="822" t="s">
        <v>434</v>
      </c>
    </row>
    <row r="277" spans="2:2">
      <c r="B277" s="822" t="s">
        <v>435</v>
      </c>
    </row>
    <row r="278" spans="2:2">
      <c r="B278" s="822" t="s">
        <v>436</v>
      </c>
    </row>
    <row r="279" spans="2:2">
      <c r="B279" s="822" t="s">
        <v>437</v>
      </c>
    </row>
    <row r="280" spans="2:2">
      <c r="B280" s="822" t="s">
        <v>438</v>
      </c>
    </row>
    <row r="281" spans="2:2">
      <c r="B281" s="822" t="s">
        <v>439</v>
      </c>
    </row>
    <row r="282" spans="2:2">
      <c r="B282" s="822" t="s">
        <v>440</v>
      </c>
    </row>
    <row r="283" spans="2:2">
      <c r="B283" s="822" t="s">
        <v>441</v>
      </c>
    </row>
    <row r="284" spans="2:2">
      <c r="B284" s="822" t="s">
        <v>442</v>
      </c>
    </row>
    <row r="285" spans="2:2">
      <c r="B285" s="822" t="s">
        <v>443</v>
      </c>
    </row>
    <row r="286" spans="2:2">
      <c r="B286" s="822" t="s">
        <v>444</v>
      </c>
    </row>
    <row r="287" spans="2:2">
      <c r="B287" s="822" t="s">
        <v>445</v>
      </c>
    </row>
    <row r="304" spans="2:2">
      <c r="B304" s="821" t="s">
        <v>446</v>
      </c>
    </row>
    <row r="305" spans="2:2">
      <c r="B305" s="822" t="s">
        <v>433</v>
      </c>
    </row>
    <row r="306" spans="2:2">
      <c r="B306" s="822" t="s">
        <v>434</v>
      </c>
    </row>
    <row r="307" spans="2:2">
      <c r="B307" s="822" t="s">
        <v>435</v>
      </c>
    </row>
    <row r="308" spans="2:2">
      <c r="B308" s="822" t="s">
        <v>436</v>
      </c>
    </row>
    <row r="309" spans="2:2">
      <c r="B309" s="822" t="s">
        <v>437</v>
      </c>
    </row>
    <row r="310" spans="2:2">
      <c r="B310" s="822" t="s">
        <v>438</v>
      </c>
    </row>
    <row r="311" spans="2:2">
      <c r="B311" s="822" t="s">
        <v>439</v>
      </c>
    </row>
    <row r="312" spans="2:2">
      <c r="B312" s="822" t="s">
        <v>440</v>
      </c>
    </row>
    <row r="313" spans="2:2">
      <c r="B313" s="822" t="s">
        <v>441</v>
      </c>
    </row>
    <row r="314" spans="2:2">
      <c r="B314" s="822" t="s">
        <v>442</v>
      </c>
    </row>
    <row r="315" spans="2:2">
      <c r="B315" s="822" t="s">
        <v>443</v>
      </c>
    </row>
    <row r="316" spans="2:2">
      <c r="B316" s="822" t="s">
        <v>444</v>
      </c>
    </row>
    <row r="317" spans="2:2">
      <c r="B317" s="822" t="s">
        <v>445</v>
      </c>
    </row>
  </sheetData>
  <mergeCells count="2">
    <mergeCell ref="B2:B3"/>
    <mergeCell ref="D2:K3"/>
  </mergeCells>
  <hyperlinks>
    <hyperlink ref="B2:B3" location="Home!A1" display="HOME" xr:uid="{00A33277-309E-4289-BE4B-C6A5D58569BD}"/>
    <hyperlink ref="B35" location="'Expl &amp; use Vol. XII'!A1" display="é   Go to Top" xr:uid="{D1B0F730-412F-4C43-8F32-9FDB7A258917}"/>
    <hyperlink ref="B36" location="'Expl &amp; use Vol. XII'!A1" display="Explanation &amp; use Table  21" xr:uid="{96F13C38-C442-45D4-A2B5-29B2E04DA9E6}"/>
    <hyperlink ref="B37" location="'Expl &amp; use Vol. XII'!A35" display="Explanation &amp; use Table  22" xr:uid="{431DA42A-08D3-48F1-A466-94A213CDDFFB}"/>
    <hyperlink ref="B38" location="'Expl &amp; use Vol. XII'!A57" display="Explanation &amp; use Table  26" xr:uid="{4BE6CBFB-6A04-4724-A57B-8DA92CEC0E07}"/>
    <hyperlink ref="B39" location="'Expl &amp; use Vol. XII'!A90" display="Explanation &amp; use Table  27" xr:uid="{CEC1D74B-36B4-41B6-B8C7-D4FD752041ED}"/>
    <hyperlink ref="B40" location="'Expl &amp; use Vol. XII'!A118" display="Explanation &amp; use Table  28" xr:uid="{80D09726-6459-456E-833B-FB951FB0156E}"/>
    <hyperlink ref="B41" location="'Expl &amp; use Vol. XII'!A149" display="Explanation &amp; use Table  29" xr:uid="{2F23C172-4E2E-4B1E-B2D0-2D79C10071FD}"/>
    <hyperlink ref="B42" location="'Expl &amp; use Vol. XII'!A176" display="Explanation &amp; use Table  30" xr:uid="{14F99ADA-1D7D-46F6-A3BD-3A8D8528BDBF}"/>
    <hyperlink ref="B43" location="'Expl &amp; use Vol. XII'!A204" display="Explanation &amp; use Table  31" xr:uid="{D1732FD8-E1A3-4675-8B3B-AD81339C3E0F}"/>
    <hyperlink ref="B44" location="'Expl &amp; use Vol. XII'!A213" display="Explanation &amp; use Table  51" xr:uid="{ABED08D6-BDA5-495B-9420-CE98E4ECAB03}"/>
    <hyperlink ref="B45" location="'Expl &amp; use Vol. XII'!A225" display="Explanation &amp; use Table  52" xr:uid="{2C1B9EE4-0D28-4514-ACBA-164C3AE037D7}"/>
    <hyperlink ref="B60" location="'Expl &amp; use Vol. XII'!A1" display="é   Go to Top" xr:uid="{182B884A-D599-4A66-B19C-3032F1BEFB3F}"/>
    <hyperlink ref="B61" location="'Expl &amp; use Vol. XII'!A1" display="Explanation &amp; use Table  21" xr:uid="{8EF493B8-C03B-4751-BBB6-27540D404008}"/>
    <hyperlink ref="B62" location="'Expl &amp; use Vol. XII'!A35" display="Explanation &amp; use Table  22" xr:uid="{98883F4B-3659-4D1F-A022-E05D5B02EF3A}"/>
    <hyperlink ref="B63" location="'Expl &amp; use Vol. XII'!A57" display="Explanation &amp; use Table  26" xr:uid="{89E6C742-88E4-493B-AD68-CB44E271D173}"/>
    <hyperlink ref="B64" location="'Expl &amp; use Vol. XII'!A90" display="Explanation &amp; use Table  27" xr:uid="{D3DC21FF-3E33-4B52-B120-CB0391E0F791}"/>
    <hyperlink ref="B65" location="'Expl &amp; use Vol. XII'!A118" display="Explanation &amp; use Table  28" xr:uid="{81EC3E17-42B7-47B7-8649-53751A7C1B65}"/>
    <hyperlink ref="B66" location="'Expl &amp; use Vol. XII'!A149" display="Explanation &amp; use Table  29" xr:uid="{64CE801D-4FA3-4F2E-BE76-84A7408CD143}"/>
    <hyperlink ref="B67" location="'Expl &amp; use Vol. XII'!A176" display="Explanation &amp; use Table  30" xr:uid="{3589B06B-051B-4D1E-AD74-62F494DCD487}"/>
    <hyperlink ref="B68" location="'Expl &amp; use Vol. XII'!A204" display="Explanation &amp; use Table  31" xr:uid="{00816D67-7C78-45DB-B19B-9B7A4BC72BC3}"/>
    <hyperlink ref="B69" location="'Expl &amp; use Vol. XII'!A213" display="Explanation &amp; use Table  51" xr:uid="{EAC19B12-9D51-4396-B6D9-BF54AA77778B}"/>
    <hyperlink ref="B70" location="'Expl &amp; use Vol. XII'!A225" display="Explanation &amp; use Table  52" xr:uid="{102FB468-A195-49D3-9F1F-CADBA1D7A122}"/>
    <hyperlink ref="B90" location="'Expl &amp; use Vol. XII'!A1" display="é   Go to Top" xr:uid="{41D3E15F-4A16-47E2-B2BD-CE9B4E206553}"/>
    <hyperlink ref="B91" location="'Expl &amp; use Vol. XII'!A1" display="Explanation &amp; use Table  21" xr:uid="{AD490BF0-9F2F-4536-B1AD-802BE26D26BD}"/>
    <hyperlink ref="B92" location="'Expl &amp; use Vol. XII'!A35" display="Explanation &amp; use Table  22" xr:uid="{81329C2D-A6AA-4BBD-A28A-4C4F66070F1B}"/>
    <hyperlink ref="B93" location="'Expl &amp; use Vol. XII'!A57" display="Explanation &amp; use Table  26" xr:uid="{B2826515-34E6-4D94-910F-FE45DF01EB90}"/>
    <hyperlink ref="B94" location="'Expl &amp; use Vol. XII'!A90" display="Explanation &amp; use Table  27" xr:uid="{2C6E05A2-7E72-4545-8BB8-BA6B1C19478C}"/>
    <hyperlink ref="B95" location="'Expl &amp; use Vol. XII'!A118" display="Explanation &amp; use Table  28" xr:uid="{7E3BCFD3-7C46-44C8-B392-B3209651890C}"/>
    <hyperlink ref="B96" location="'Expl &amp; use Vol. XII'!A149" display="Explanation &amp; use Table  29" xr:uid="{4343BCE2-387D-4E70-B30F-2EF9939FDE3E}"/>
    <hyperlink ref="B97" location="'Expl &amp; use Vol. XII'!A176" display="Explanation &amp; use Table  30" xr:uid="{C7445CA9-6A1E-44FC-B07B-2D60F3DA0F7C}"/>
    <hyperlink ref="B98" location="'Expl &amp; use Vol. XII'!A204" display="Explanation &amp; use Table  31" xr:uid="{ED009EDC-ABF8-4700-A27D-F0260E59253E}"/>
    <hyperlink ref="B99" location="'Expl &amp; use Vol. XII'!A213" display="Explanation &amp; use Table  51" xr:uid="{DBCE6A1F-86D3-41DA-B1E3-C01FDD75D81F}"/>
    <hyperlink ref="B100" location="'Expl &amp; use Vol. XII'!A225" display="Explanation &amp; use Table  52" xr:uid="{5AF8206C-CACD-4CA7-9FEA-3207E4828FF8}"/>
    <hyperlink ref="B117" location="'Expl &amp; use Vol. XII'!A1" display="é   Go to Top" xr:uid="{E6F6C11F-D95D-4A6E-A13A-E4767D650303}"/>
    <hyperlink ref="B118" location="'Expl &amp; use Vol. XII'!A1" display="Explanation &amp; use Table  21" xr:uid="{23A980A4-3585-4251-B6BB-335BE5DF23FC}"/>
    <hyperlink ref="B119" location="'Expl &amp; use Vol. XII'!A35" display="Explanation &amp; use Table  22" xr:uid="{9BE21705-08C4-4FE3-A00B-260DBC651CC3}"/>
    <hyperlink ref="B120" location="'Expl &amp; use Vol. XII'!A57" display="Explanation &amp; use Table  26" xr:uid="{66A56462-1267-4F36-9294-1E8A0DE91BAA}"/>
    <hyperlink ref="B121" location="'Expl &amp; use Vol. XII'!A90" display="Explanation &amp; use Table  27" xr:uid="{6BB91F45-F39E-4693-943E-BB88795BA684}"/>
    <hyperlink ref="B122" location="'Expl &amp; use Vol. XII'!A118" display="Explanation &amp; use Table  28" xr:uid="{18DF499A-FA68-42A4-9786-430B86FEB82A}"/>
    <hyperlink ref="B123" location="'Expl &amp; use Vol. XII'!A149" display="Explanation &amp; use Table  29" xr:uid="{B988A48E-D945-487D-89C9-115FEB593298}"/>
    <hyperlink ref="B124" location="'Expl &amp; use Vol. XII'!A176" display="Explanation &amp; use Table  30" xr:uid="{2FFD51C5-BDE9-4BFD-B21E-5FA0929E0D23}"/>
    <hyperlink ref="B125" location="'Expl &amp; use Vol. XII'!A204" display="Explanation &amp; use Table  31" xr:uid="{0CEB52F2-07A8-4FD6-9BF0-3639F977F1B5}"/>
    <hyperlink ref="B126" location="'Expl &amp; use Vol. XII'!A213" display="Explanation &amp; use Table  51" xr:uid="{B740C8A2-932C-4ECF-A594-9142CA0FF9F8}"/>
    <hyperlink ref="B127" location="'Expl &amp; use Vol. XII'!A225" display="Explanation &amp; use Table  52" xr:uid="{AA00C389-926B-49C2-B494-7F0E870734D9}"/>
    <hyperlink ref="B148" location="'Expl &amp; use Vol. XII'!A1" display="é   Go to Top" xr:uid="{2E125113-EC08-450C-BF09-F0B70ED4FDF5}"/>
    <hyperlink ref="B149" location="'Expl &amp; use Vol. XII'!A1" display="Explanation &amp; use Table  21" xr:uid="{480E7FE1-5CC3-4B61-815A-97F58CF27E8B}"/>
    <hyperlink ref="B150" location="'Expl &amp; use Vol. XII'!A35" display="Explanation &amp; use Table  22" xr:uid="{50552C06-E492-4232-A7EC-15EDF7C15B72}"/>
    <hyperlink ref="B151" location="'Expl &amp; use Vol. XII'!A57" display="Explanation &amp; use Table  26" xr:uid="{79544514-FEA2-4DB1-A099-32260E41CBFF}"/>
    <hyperlink ref="B152" location="'Expl &amp; use Vol. XII'!A90" display="Explanation &amp; use Table  27" xr:uid="{C5CAF709-0B1A-420B-99E7-F9F6472BD78D}"/>
    <hyperlink ref="B153" location="'Expl &amp; use Vol. XII'!A118" display="Explanation &amp; use Table  28" xr:uid="{D1C330C3-DA33-4CFD-BF4D-0C8DEA86247E}"/>
    <hyperlink ref="B154" location="'Expl &amp; use Vol. XII'!A149" display="Explanation &amp; use Table  29" xr:uid="{F613A16C-CEA3-436F-9AD8-7845A5222F03}"/>
    <hyperlink ref="B155" location="'Expl &amp; use Vol. XII'!A176" display="Explanation &amp; use Table  30" xr:uid="{11EE908B-5F3C-42AC-8F63-84686946452D}"/>
    <hyperlink ref="B156" location="'Expl &amp; use Vol. XII'!A204" display="Explanation &amp; use Table  31" xr:uid="{CAE4E4C8-796A-43FA-B0F1-2942C5BEF312}"/>
    <hyperlink ref="B157" location="'Expl &amp; use Vol. XII'!A213" display="Explanation &amp; use Table  51" xr:uid="{1007C37F-CE4B-47F0-BEFA-806CEA28F9CE}"/>
    <hyperlink ref="B158" location="'Expl &amp; use Vol. XII'!A225" display="Explanation &amp; use Table  52" xr:uid="{846AB671-C1DE-4AB2-970B-CD7A5DCFDE83}"/>
    <hyperlink ref="B175" location="'Expl &amp; use Vol. XII'!A1" display="é   Go to Top" xr:uid="{A5CB093C-8072-4C7A-B9D4-5D7435C764DA}"/>
    <hyperlink ref="B176" location="'Expl &amp; use Vol. XII'!A1" display="Explanation &amp; use Table  21" xr:uid="{0C4F6A85-49A6-4C95-A309-2576123279C0}"/>
    <hyperlink ref="B177" location="'Expl &amp; use Vol. XII'!A35" display="Explanation &amp; use Table  22" xr:uid="{F800FC53-E66D-48D9-A703-99219C2B0909}"/>
    <hyperlink ref="B178" location="'Expl &amp; use Vol. XII'!A57" display="Explanation &amp; use Table  26" xr:uid="{6B30486A-45AD-4256-960A-717C5F61D471}"/>
    <hyperlink ref="B179" location="'Expl &amp; use Vol. XII'!A90" display="Explanation &amp; use Table  27" xr:uid="{2076CAF4-9665-4FE1-8BCF-4D72C91D33A7}"/>
    <hyperlink ref="B180" location="'Expl &amp; use Vol. XII'!A118" display="Explanation &amp; use Table  28" xr:uid="{4EC15A38-40C9-4B3B-AA7F-ED82F9800E19}"/>
    <hyperlink ref="B181" location="'Expl &amp; use Vol. XII'!A149" display="Explanation &amp; use Table  29" xr:uid="{76721E74-2B70-45E7-9F0D-425B3DE26626}"/>
    <hyperlink ref="B182" location="'Expl &amp; use Vol. XII'!A176" display="Explanation &amp; use Table  30" xr:uid="{0683F9C4-3284-488B-B5B0-1DD9389984BD}"/>
    <hyperlink ref="B183" location="'Expl &amp; use Vol. XII'!A204" display="Explanation &amp; use Table  31" xr:uid="{BBBFFD1F-1D3E-4E9F-A083-B6FE89F291A9}"/>
    <hyperlink ref="B184" location="'Expl &amp; use Vol. XII'!A213" display="Explanation &amp; use Table  51" xr:uid="{12AC908B-1393-428A-8F8D-838BC283F467}"/>
    <hyperlink ref="B185" location="'Expl &amp; use Vol. XII'!A225" display="Explanation &amp; use Table  52" xr:uid="{8B075CE0-DB93-441F-BDC2-9732EC90F267}"/>
    <hyperlink ref="B203" location="'Expl &amp; use Vol. XII'!A1" display="é   Go to Top" xr:uid="{686AAFBD-AF18-4004-9921-F93E1B556E9D}"/>
    <hyperlink ref="B204" location="'Expl &amp; use Vol. XII'!A1" display="Explanation &amp; use Table  21" xr:uid="{997CA51E-9EA5-481C-AA8E-689740E2AA0B}"/>
    <hyperlink ref="B205" location="'Expl &amp; use Vol. XII'!A35" display="Explanation &amp; use Table  22" xr:uid="{0948B6CF-4015-4B67-8720-FEA09B419990}"/>
    <hyperlink ref="B206" location="'Expl &amp; use Vol. XII'!A57" display="Explanation &amp; use Table  26" xr:uid="{33A12F1C-EE48-496A-B4B5-EFAC124AE40F}"/>
    <hyperlink ref="B207" location="'Expl &amp; use Vol. XII'!A90" display="Explanation &amp; use Table  27" xr:uid="{F4A58C51-1137-4512-B3AE-C452757E9161}"/>
    <hyperlink ref="B208" location="'Expl &amp; use Vol. XII'!A118" display="Explanation &amp; use Table  28" xr:uid="{CE8DA2CE-54F5-4B22-B73A-3B1C02CCD927}"/>
    <hyperlink ref="B209" location="'Expl &amp; use Vol. XII'!A149" display="Explanation &amp; use Table  29" xr:uid="{3F388007-DDD6-4546-BA66-1A2339106464}"/>
    <hyperlink ref="B210" location="'Expl &amp; use Vol. XII'!A176" display="Explanation &amp; use Table  30" xr:uid="{107F066C-E59F-42D8-9CAE-63D484A44783}"/>
    <hyperlink ref="B211" location="'Expl &amp; use Vol. XII'!A204" display="Explanation &amp; use Table  31" xr:uid="{B957BE31-0251-48BF-ACF5-F83F4CAECE1D}"/>
    <hyperlink ref="B212" location="'Expl &amp; use Vol. XII'!A213" display="Explanation &amp; use Table  51" xr:uid="{F23DAB30-C528-4B97-8C1F-3F66F381EE86}"/>
    <hyperlink ref="B213" location="'Expl &amp; use Vol. XII'!A225" display="Explanation &amp; use Table  52" xr:uid="{4852DB49-C0FB-469B-88D1-58F9430E40B7}"/>
    <hyperlink ref="B274" location="'Expl &amp; use Vol. XII'!A1" display="é   Go to Top" xr:uid="{28A96511-726D-43BE-A638-F6B8C0848E56}"/>
    <hyperlink ref="B275" location="'Expl &amp; use Vol. XII'!A1" display="Explanation &amp; use Table  21" xr:uid="{6DE0B235-233A-422C-ACA5-A63767EAC492}"/>
    <hyperlink ref="B276" location="'Expl &amp; use Vol. XII'!A35" display="Explanation &amp; use Table  22" xr:uid="{B1681241-A16E-4677-A507-61A59B1CCB7E}"/>
    <hyperlink ref="B277" location="'Expl &amp; use Vol. XII'!A57" display="Explanation &amp; use Table  26" xr:uid="{1CB1DE45-3B6B-43E4-BBE9-BD2683D8E50E}"/>
    <hyperlink ref="B278" location="'Expl &amp; use Vol. XII'!A90" display="Explanation &amp; use Table  27" xr:uid="{FD752FBB-B034-4FA6-8E48-247D4118D480}"/>
    <hyperlink ref="B279" location="'Expl &amp; use Vol. XII'!A118" display="Explanation &amp; use Table  28" xr:uid="{5AA71435-CE5F-415E-AF4B-44B8195E8BC7}"/>
    <hyperlink ref="B280" location="'Expl &amp; use Vol. XII'!A149" display="Explanation &amp; use Table  29" xr:uid="{5475421E-009C-4829-9732-B30593164F46}"/>
    <hyperlink ref="B281" location="'Expl &amp; use Vol. XII'!A176" display="Explanation &amp; use Table  30" xr:uid="{D7652E6F-C1D8-4F20-961C-567DBBDB7FF7}"/>
    <hyperlink ref="B282" location="'Expl &amp; use Vol. XII'!A204" display="Explanation &amp; use Table  31" xr:uid="{EE766A6C-7253-405C-8862-BA9694454C5C}"/>
    <hyperlink ref="B283" location="'Expl &amp; use Vol. XII'!A213" display="Explanation &amp; use Table  51" xr:uid="{08FE26A5-C867-40B6-ADF9-114A276F1E46}"/>
    <hyperlink ref="B284" location="'Expl &amp; use Vol. XII'!A225" display="Explanation &amp; use Table  52" xr:uid="{EE115E3B-E6E8-4835-B2CE-031874F4A29B}"/>
    <hyperlink ref="B304" location="'Expl &amp; use Vol. XII'!A1" display="é   Go to Top" xr:uid="{803AA9B4-1D4D-4E85-9B5E-9C503931F958}"/>
    <hyperlink ref="B305" location="'Expl &amp; use Vol. XII'!A1" display="Explanation &amp; use Table  21" xr:uid="{58A6E6B3-CD21-4B91-9B03-0B45CA9DB3A7}"/>
    <hyperlink ref="B306" location="'Expl &amp; use Vol. XII'!A35" display="Explanation &amp; use Table  22" xr:uid="{DA567D91-83B8-4387-804A-34AD129F931D}"/>
    <hyperlink ref="B307" location="'Expl &amp; use Vol. XII'!A57" display="Explanation &amp; use Table  26" xr:uid="{1C5DCDBB-C5A6-4C72-BC3E-1A14C0830C0F}"/>
    <hyperlink ref="B308" location="'Expl &amp; use Vol. XII'!A90" display="Explanation &amp; use Table  27" xr:uid="{B816148A-E716-4CDE-A659-6C70E0095AF9}"/>
    <hyperlink ref="B309" location="'Expl &amp; use Vol. XII'!A118" display="Explanation &amp; use Table  28" xr:uid="{FAA0D1BD-6B54-40B3-B208-74FDA1748E4B}"/>
    <hyperlink ref="B310" location="'Expl &amp; use Vol. XII'!A149" display="Explanation &amp; use Table  29" xr:uid="{F24F8809-BF6D-4583-B7D7-BEB21B96E037}"/>
    <hyperlink ref="B311" location="'Expl &amp; use Vol. XII'!A176" display="Explanation &amp; use Table  30" xr:uid="{51D557B3-223D-4E47-BA66-A32F824C646B}"/>
    <hyperlink ref="B312" location="'Expl &amp; use Vol. XII'!A204" display="Explanation &amp; use Table  31" xr:uid="{2DF9C04C-04A6-433D-95BA-A78FF60A6DF9}"/>
    <hyperlink ref="B313" location="'Expl &amp; use Vol. XII'!A213" display="Explanation &amp; use Table  51" xr:uid="{AD619DDA-CE03-44A0-91C2-19990AAAD28E}"/>
    <hyperlink ref="B314" location="'Expl &amp; use Vol. XII'!A225" display="Explanation &amp; use Table  52" xr:uid="{89CF0919-46DB-4A4C-9EB8-6FBA626C6BEA}"/>
    <hyperlink ref="B315" location="'Expl &amp; use Vol. XII'!A255" display="Explanation &amp; use Table  56" xr:uid="{0C9D25A3-63D7-499E-AB0D-9A13A15AD20D}"/>
    <hyperlink ref="B316" location="'Expl &amp; use Vol. XII'!A306" display="Explanation &amp; use Table  57" xr:uid="{F2AE784D-8FCC-406F-8900-39768B7A8C6D}"/>
    <hyperlink ref="B317" location="'Expl &amp; use Vol. XII'!A325" display="Explanation &amp; use Table  58" xr:uid="{AED21A6D-7548-4AD1-B83C-9E193B635A96}"/>
    <hyperlink ref="B224" location="'Expl &amp; use Vol. XII'!A1" display="é   Go to Top" xr:uid="{F39F5E23-589A-47CA-A28E-D3C92A68BB0D}"/>
    <hyperlink ref="B225" location="'Expl &amp; use Vol. XII'!A1" display="Explanation &amp; use Table  21" xr:uid="{223756F5-CC5E-416A-8C67-2DFE9F0F258A}"/>
    <hyperlink ref="B226" location="'Expl &amp; use Vol. XII'!A35" display="Explanation &amp; use Table  22" xr:uid="{6337BA63-9080-4741-A84D-097F97606BFE}"/>
    <hyperlink ref="B227" location="'Expl &amp; use Vol. XII'!A57" display="Explanation &amp; use Table  26" xr:uid="{012B33A4-483A-4AEB-93B6-386019374570}"/>
    <hyperlink ref="B228" location="'Expl &amp; use Vol. XII'!A90" display="Explanation &amp; use Table  27" xr:uid="{DFD0B204-BC97-4EC8-9E52-49C6A8A142B1}"/>
    <hyperlink ref="B229" location="'Expl &amp; use Vol. XII'!A118" display="Explanation &amp; use Table  28" xr:uid="{C5501794-33E0-4934-A231-BB30214B4182}"/>
    <hyperlink ref="B230" location="'Expl &amp; use Vol. XII'!A149" display="Explanation &amp; use Table  29" xr:uid="{4A930FA4-3D2F-42E3-9EFE-AFDCE25C3D9D}"/>
    <hyperlink ref="B231" location="'Expl &amp; use Vol. XII'!A176" display="Explanation &amp; use Table  30" xr:uid="{DA206CB4-7813-4BB4-9055-03033B4FEFCE}"/>
    <hyperlink ref="B232" location="'Expl &amp; use Vol. XII'!A204" display="Explanation &amp; use Table  31" xr:uid="{DADBD16A-0536-40D3-AF45-9D326A054A52}"/>
    <hyperlink ref="B233" location="'Expl &amp; use Vol. XII'!A213" display="Explanation &amp; use Table  51" xr:uid="{35414FA7-A71D-4134-9832-9C56940888F5}"/>
    <hyperlink ref="B234" location="'Expl &amp; use Vol. XII'!A225" display="Explanation &amp; use Table  52" xr:uid="{2A5D8141-CB6B-43CC-B883-DBA359143426}"/>
    <hyperlink ref="B285" location="'Expl &amp; use Vol. XII'!A255" display="Explanation &amp; use Table  56" xr:uid="{E56594CD-888C-49AA-BC08-6236AA23A885}"/>
    <hyperlink ref="B286" location="'Expl &amp; use Vol. XII'!A306" display="Explanation &amp; use Table  57" xr:uid="{D9A71E58-E386-47F1-931F-EF62D3DD11BA}"/>
    <hyperlink ref="B287" location="'Expl &amp; use Vol. XII'!A325" display="Explanation &amp; use Table  58" xr:uid="{4369F3AD-6200-4792-B679-DCEE0EF46470}"/>
    <hyperlink ref="B235" location="'Expl &amp; use Vol. XII'!A255" display="Explanation &amp; use Table  56" xr:uid="{7083325D-0DEB-4937-967D-EE13D433FEAB}"/>
    <hyperlink ref="B236" location="'Expl &amp; use Vol. XII'!A306" display="Explanation &amp; use Table  57" xr:uid="{BBFE1F73-1112-4C4B-8214-767CCC0071C3}"/>
    <hyperlink ref="B237" location="'Expl &amp; use Vol. XII'!A325" display="Explanation &amp; use Table  58" xr:uid="{1178F686-3BD9-49CD-8463-B9736BD5D5BB}"/>
    <hyperlink ref="B214" location="'Expl &amp; use Vol. XII'!A255" display="Explanation &amp; use Table  56" xr:uid="{AD96CE1E-3F1D-4110-8984-297B79930AE6}"/>
    <hyperlink ref="B215" location="'Expl &amp; use Vol. XII'!A306" display="Explanation &amp; use Table  57" xr:uid="{3CD17D5A-6B17-45DB-B637-B7B8E45CE2F2}"/>
    <hyperlink ref="B216" location="'Expl &amp; use Vol. XII'!A325" display="Explanation &amp; use Table  58" xr:uid="{C0EA4008-3577-4108-BC8E-EB54C76080D6}"/>
    <hyperlink ref="B186" location="'Expl &amp; use Vol. XII'!A255" display="Explanation &amp; use Table  56" xr:uid="{D066740B-D0EC-4066-8796-0BEED2CD4CB8}"/>
    <hyperlink ref="B187" location="'Expl &amp; use Vol. XII'!A306" display="Explanation &amp; use Table  57" xr:uid="{5764AD2D-CC52-46B8-9937-31E9718D74F3}"/>
    <hyperlink ref="B188" location="'Expl &amp; use Vol. XII'!A325" display="Explanation &amp; use Table  58" xr:uid="{77210A9C-41C5-4465-AE91-2904EE13A2AA}"/>
    <hyperlink ref="B159" location="'Expl &amp; use Vol. XII'!A255" display="Explanation &amp; use Table  56" xr:uid="{48ABF15C-D2F1-4D88-904E-4E738C2FEEAB}"/>
    <hyperlink ref="B160" location="'Expl &amp; use Vol. XII'!A306" display="Explanation &amp; use Table  57" xr:uid="{64AF2142-15C8-47DF-9829-CB154B1170F9}"/>
    <hyperlink ref="B161" location="'Expl &amp; use Vol. XII'!A325" display="Explanation &amp; use Table  58" xr:uid="{FB05C6ED-B167-459E-A0DA-15FA62068750}"/>
    <hyperlink ref="B128" location="'Expl &amp; use Vol. XII'!A255" display="Explanation &amp; use Table  56" xr:uid="{FA0413EF-1ECC-4364-B9AD-7A3E22E6B6C3}"/>
    <hyperlink ref="B129" location="'Expl &amp; use Vol. XII'!A306" display="Explanation &amp; use Table  57" xr:uid="{65C96364-9070-4C0F-BBAA-597289F597CE}"/>
    <hyperlink ref="B130" location="'Expl &amp; use Vol. XII'!A325" display="Explanation &amp; use Table  58" xr:uid="{1F3B3D9D-35B9-4FCE-96E8-4EDB2B7BDD98}"/>
    <hyperlink ref="B101" location="'Expl &amp; use Vol. XII'!A255" display="Explanation &amp; use Table  56" xr:uid="{5960CDAE-E22B-4089-9D83-4691C01F2F93}"/>
    <hyperlink ref="B102" location="'Expl &amp; use Vol. XII'!A306" display="Explanation &amp; use Table  57" xr:uid="{77BCF7A2-D771-466D-BBB5-70BD04C9F53A}"/>
    <hyperlink ref="B103" location="'Expl &amp; use Vol. XII'!A325" display="Explanation &amp; use Table  58" xr:uid="{09CD8A3F-43ED-4B33-8BAA-2FE75D1C78DF}"/>
    <hyperlink ref="B71" location="'Expl &amp; use Vol. XII'!A255" display="Explanation &amp; use Table  56" xr:uid="{EDECCD66-4769-4735-894F-291E32528809}"/>
    <hyperlink ref="B72" location="'Expl &amp; use Vol. XII'!A306" display="Explanation &amp; use Table  57" xr:uid="{616A9E02-251E-4B49-B06B-D767BF149DEB}"/>
    <hyperlink ref="B73" location="'Expl &amp; use Vol. XII'!A325" display="Explanation &amp; use Table  58" xr:uid="{BA79A7A0-836C-47E2-9009-3E2F86DC0643}"/>
    <hyperlink ref="B46" location="'Expl &amp; use Vol. XII'!A255" display="Explanation &amp; use Table  56" xr:uid="{06C9CB88-AD43-4CCF-B50F-F12AF1E5EA31}"/>
    <hyperlink ref="B47" location="'Expl &amp; use Vol. XII'!A306" display="Explanation &amp; use Table  57" xr:uid="{DE591749-F443-4013-9581-EB67B1A00A46}"/>
    <hyperlink ref="B48" location="'Expl &amp; use Vol. XII'!A325" display="Explanation &amp; use Table  58" xr:uid="{5818BEAF-D0A0-4126-812D-66E05EF09838}"/>
    <hyperlink ref="B5" location="'Documents Manager'!A1" display="DOCUMENTS MANAGER" xr:uid="{5F079232-609F-47F9-A2FE-8254BD98F0A0}"/>
    <hyperlink ref="B23" location="Disclaimer!A1" display="Disclaimer" xr:uid="{A3EBD4B4-9757-4732-9D0C-D70928235992}"/>
    <hyperlink ref="B22" location="Help!A1" display="Help" xr:uid="{0D0E77BB-EB10-439F-BB6C-5527C87BB429}"/>
    <hyperlink ref="B20" location="'Source - Links'!A1" display="SOURCE / LINKS" xr:uid="{D115E53A-32A3-43AD-A84C-34973D05B3E5}"/>
    <hyperlink ref="B7" location="'ASTM Table Series'!A1" display="• ASTM Table Series for Oil Survey" xr:uid="{7F21C07B-1F5F-4259-8707-1C51C15F5D0F}"/>
    <hyperlink ref="B6" location="'ASTM Table Series'!A1" display="ASTM TABLES" xr:uid="{A64D6809-C054-4F21-8570-46B03231D0C4}"/>
    <hyperlink ref="B11" location="'ASTM Vol. XI - Tab.1'!A1" display="• ASTM Volume XI  - Table 1" xr:uid="{451E6EF6-FA4D-4B03-A750-E5D998BBFF74}"/>
    <hyperlink ref="B12" location="'ASTM Vol. XI-XII'!A1" display="• ASTM Volume XII" xr:uid="{D0BA6A25-971E-4335-B383-16EDF7948381}"/>
    <hyperlink ref="B9" location="'Expl &amp; use Vol. XI'!A1" display="• Explanation &amp; use T. Volume XI" xr:uid="{FBF7CF7B-44F3-4D01-8B19-3C4DF3492E31}"/>
    <hyperlink ref="B10" location="'Expl &amp; use Vol. XII'!A1" display="• Explanation &amp; use T. Volume XII" xr:uid="{7A5A74B9-F122-44D1-AFD9-C27001DD4C4D}"/>
    <hyperlink ref="B14" location="'ASTM Converter (Tab.1)'!A1" display="ASTM - CONVERTERS" xr:uid="{15A18E07-5011-4524-9383-73A60950ED23}"/>
    <hyperlink ref="B15" location="'ASTM Calculator V.W.'!A1" display="ASTM - CALCULATORS" xr:uid="{30A17F1C-BD97-4D30-9580-A8078115FB7D}"/>
    <hyperlink ref="B13" location="'ASTM Tables'!A1" display="• ASTM Tables" xr:uid="{BA7351A6-4C21-4E4C-AB0C-45305E76C327}"/>
    <hyperlink ref="B8" location="'Expl &amp; use 6AB, 24AB, 54AB  '!A1" display="• Explanation &amp; use T. 6A&amp;B, 24A&amp;B, 54A&amp;B." xr:uid="{BCD74BBF-9F3E-4AF4-A398-7ADC9E3789AF}"/>
    <hyperlink ref="B18" location="'Guidelines - Definitions'!A1" display="GUIDELINES" xr:uid="{8A800ED5-1DFF-45D2-9181-7C02B4CA1B75}"/>
    <hyperlink ref="B19" location="'Guidelines - Bottom Lines'!A1" display="GUIDELINES - CARGO" xr:uid="{B09E8F1A-3333-402F-8D0B-CD240B6DB631}"/>
    <hyperlink ref="B16" location="'Initial&amp;Max. Loading Rate'!A1" display="CARGO - CALCULATORS" xr:uid="{590EA4B4-554D-4ECB-96AD-F566C2CD29C4}"/>
  </hyperlinks>
  <pageMargins left="0.75" right="0.75" top="1" bottom="1" header="0.5" footer="0.5"/>
  <pageSetup paperSize="9" orientation="portrait" horizontalDpi="4294967294"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5034"/>
    <pageSetUpPr fitToPage="1"/>
  </sheetPr>
  <dimension ref="A1:IV125"/>
  <sheetViews>
    <sheetView showGridLines="0" showRowColHeaders="0" topLeftCell="B1" zoomScaleNormal="100" workbookViewId="0">
      <selection activeCell="B12" sqref="B12"/>
    </sheetView>
  </sheetViews>
  <sheetFormatPr defaultColWidth="9.1328125" defaultRowHeight="12.75"/>
  <cols>
    <col min="1" max="1" width="1.1328125" style="100" hidden="1" customWidth="1"/>
    <col min="2" max="2" width="36.6640625" style="142" customWidth="1"/>
    <col min="3" max="3" width="2.6640625" style="100" customWidth="1"/>
    <col min="4" max="4" width="30.33203125" style="100" customWidth="1"/>
    <col min="5" max="5" width="18.46484375" style="100" customWidth="1"/>
    <col min="6" max="6" width="30.33203125" style="100" customWidth="1"/>
    <col min="7" max="7" width="18.46484375" style="100" customWidth="1"/>
    <col min="8" max="8" width="12.1328125" style="100" customWidth="1"/>
    <col min="9" max="9" width="11.46484375" style="100" customWidth="1"/>
    <col min="10" max="10" width="5" style="100" customWidth="1"/>
    <col min="11" max="11" width="18.46484375" style="100" customWidth="1"/>
    <col min="12" max="12" width="12.1328125" style="100" customWidth="1"/>
    <col min="13" max="13" width="11.46484375" style="100" customWidth="1"/>
    <col min="14" max="256" width="9.1328125" style="100"/>
    <col min="257" max="257" width="0" style="100" hidden="1" customWidth="1"/>
    <col min="258" max="258" width="43.46484375" style="100" customWidth="1"/>
    <col min="259" max="259" width="3.6640625" style="100" customWidth="1"/>
    <col min="260" max="260" width="30.33203125" style="100" customWidth="1"/>
    <col min="261" max="261" width="18.46484375" style="100" customWidth="1"/>
    <col min="262" max="262" width="30.33203125" style="100" customWidth="1"/>
    <col min="263" max="263" width="18.46484375" style="100" customWidth="1"/>
    <col min="264" max="264" width="12.1328125" style="100" customWidth="1"/>
    <col min="265" max="265" width="11.46484375" style="100" customWidth="1"/>
    <col min="266" max="266" width="5" style="100" customWidth="1"/>
    <col min="267" max="267" width="18.46484375" style="100" customWidth="1"/>
    <col min="268" max="268" width="12.1328125" style="100" customWidth="1"/>
    <col min="269" max="269" width="11.46484375" style="100" customWidth="1"/>
    <col min="270" max="512" width="9.1328125" style="100"/>
    <col min="513" max="513" width="0" style="100" hidden="1" customWidth="1"/>
    <col min="514" max="514" width="43.46484375" style="100" customWidth="1"/>
    <col min="515" max="515" width="3.6640625" style="100" customWidth="1"/>
    <col min="516" max="516" width="30.33203125" style="100" customWidth="1"/>
    <col min="517" max="517" width="18.46484375" style="100" customWidth="1"/>
    <col min="518" max="518" width="30.33203125" style="100" customWidth="1"/>
    <col min="519" max="519" width="18.46484375" style="100" customWidth="1"/>
    <col min="520" max="520" width="12.1328125" style="100" customWidth="1"/>
    <col min="521" max="521" width="11.46484375" style="100" customWidth="1"/>
    <col min="522" max="522" width="5" style="100" customWidth="1"/>
    <col min="523" max="523" width="18.46484375" style="100" customWidth="1"/>
    <col min="524" max="524" width="12.1328125" style="100" customWidth="1"/>
    <col min="525" max="525" width="11.46484375" style="100" customWidth="1"/>
    <col min="526" max="768" width="9.1328125" style="100"/>
    <col min="769" max="769" width="0" style="100" hidden="1" customWidth="1"/>
    <col min="770" max="770" width="43.46484375" style="100" customWidth="1"/>
    <col min="771" max="771" width="3.6640625" style="100" customWidth="1"/>
    <col min="772" max="772" width="30.33203125" style="100" customWidth="1"/>
    <col min="773" max="773" width="18.46484375" style="100" customWidth="1"/>
    <col min="774" max="774" width="30.33203125" style="100" customWidth="1"/>
    <col min="775" max="775" width="18.46484375" style="100" customWidth="1"/>
    <col min="776" max="776" width="12.1328125" style="100" customWidth="1"/>
    <col min="777" max="777" width="11.46484375" style="100" customWidth="1"/>
    <col min="778" max="778" width="5" style="100" customWidth="1"/>
    <col min="779" max="779" width="18.46484375" style="100" customWidth="1"/>
    <col min="780" max="780" width="12.1328125" style="100" customWidth="1"/>
    <col min="781" max="781" width="11.46484375" style="100" customWidth="1"/>
    <col min="782" max="1024" width="9.1328125" style="100"/>
    <col min="1025" max="1025" width="0" style="100" hidden="1" customWidth="1"/>
    <col min="1026" max="1026" width="43.46484375" style="100" customWidth="1"/>
    <col min="1027" max="1027" width="3.6640625" style="100" customWidth="1"/>
    <col min="1028" max="1028" width="30.33203125" style="100" customWidth="1"/>
    <col min="1029" max="1029" width="18.46484375" style="100" customWidth="1"/>
    <col min="1030" max="1030" width="30.33203125" style="100" customWidth="1"/>
    <col min="1031" max="1031" width="18.46484375" style="100" customWidth="1"/>
    <col min="1032" max="1032" width="12.1328125" style="100" customWidth="1"/>
    <col min="1033" max="1033" width="11.46484375" style="100" customWidth="1"/>
    <col min="1034" max="1034" width="5" style="100" customWidth="1"/>
    <col min="1035" max="1035" width="18.46484375" style="100" customWidth="1"/>
    <col min="1036" max="1036" width="12.1328125" style="100" customWidth="1"/>
    <col min="1037" max="1037" width="11.46484375" style="100" customWidth="1"/>
    <col min="1038" max="1280" width="9.1328125" style="100"/>
    <col min="1281" max="1281" width="0" style="100" hidden="1" customWidth="1"/>
    <col min="1282" max="1282" width="43.46484375" style="100" customWidth="1"/>
    <col min="1283" max="1283" width="3.6640625" style="100" customWidth="1"/>
    <col min="1284" max="1284" width="30.33203125" style="100" customWidth="1"/>
    <col min="1285" max="1285" width="18.46484375" style="100" customWidth="1"/>
    <col min="1286" max="1286" width="30.33203125" style="100" customWidth="1"/>
    <col min="1287" max="1287" width="18.46484375" style="100" customWidth="1"/>
    <col min="1288" max="1288" width="12.1328125" style="100" customWidth="1"/>
    <col min="1289" max="1289" width="11.46484375" style="100" customWidth="1"/>
    <col min="1290" max="1290" width="5" style="100" customWidth="1"/>
    <col min="1291" max="1291" width="18.46484375" style="100" customWidth="1"/>
    <col min="1292" max="1292" width="12.1328125" style="100" customWidth="1"/>
    <col min="1293" max="1293" width="11.46484375" style="100" customWidth="1"/>
    <col min="1294" max="1536" width="9.1328125" style="100"/>
    <col min="1537" max="1537" width="0" style="100" hidden="1" customWidth="1"/>
    <col min="1538" max="1538" width="43.46484375" style="100" customWidth="1"/>
    <col min="1539" max="1539" width="3.6640625" style="100" customWidth="1"/>
    <col min="1540" max="1540" width="30.33203125" style="100" customWidth="1"/>
    <col min="1541" max="1541" width="18.46484375" style="100" customWidth="1"/>
    <col min="1542" max="1542" width="30.33203125" style="100" customWidth="1"/>
    <col min="1543" max="1543" width="18.46484375" style="100" customWidth="1"/>
    <col min="1544" max="1544" width="12.1328125" style="100" customWidth="1"/>
    <col min="1545" max="1545" width="11.46484375" style="100" customWidth="1"/>
    <col min="1546" max="1546" width="5" style="100" customWidth="1"/>
    <col min="1547" max="1547" width="18.46484375" style="100" customWidth="1"/>
    <col min="1548" max="1548" width="12.1328125" style="100" customWidth="1"/>
    <col min="1549" max="1549" width="11.46484375" style="100" customWidth="1"/>
    <col min="1550" max="1792" width="9.1328125" style="100"/>
    <col min="1793" max="1793" width="0" style="100" hidden="1" customWidth="1"/>
    <col min="1794" max="1794" width="43.46484375" style="100" customWidth="1"/>
    <col min="1795" max="1795" width="3.6640625" style="100" customWidth="1"/>
    <col min="1796" max="1796" width="30.33203125" style="100" customWidth="1"/>
    <col min="1797" max="1797" width="18.46484375" style="100" customWidth="1"/>
    <col min="1798" max="1798" width="30.33203125" style="100" customWidth="1"/>
    <col min="1799" max="1799" width="18.46484375" style="100" customWidth="1"/>
    <col min="1800" max="1800" width="12.1328125" style="100" customWidth="1"/>
    <col min="1801" max="1801" width="11.46484375" style="100" customWidth="1"/>
    <col min="1802" max="1802" width="5" style="100" customWidth="1"/>
    <col min="1803" max="1803" width="18.46484375" style="100" customWidth="1"/>
    <col min="1804" max="1804" width="12.1328125" style="100" customWidth="1"/>
    <col min="1805" max="1805" width="11.46484375" style="100" customWidth="1"/>
    <col min="1806" max="2048" width="9.1328125" style="100"/>
    <col min="2049" max="2049" width="0" style="100" hidden="1" customWidth="1"/>
    <col min="2050" max="2050" width="43.46484375" style="100" customWidth="1"/>
    <col min="2051" max="2051" width="3.6640625" style="100" customWidth="1"/>
    <col min="2052" max="2052" width="30.33203125" style="100" customWidth="1"/>
    <col min="2053" max="2053" width="18.46484375" style="100" customWidth="1"/>
    <col min="2054" max="2054" width="30.33203125" style="100" customWidth="1"/>
    <col min="2055" max="2055" width="18.46484375" style="100" customWidth="1"/>
    <col min="2056" max="2056" width="12.1328125" style="100" customWidth="1"/>
    <col min="2057" max="2057" width="11.46484375" style="100" customWidth="1"/>
    <col min="2058" max="2058" width="5" style="100" customWidth="1"/>
    <col min="2059" max="2059" width="18.46484375" style="100" customWidth="1"/>
    <col min="2060" max="2060" width="12.1328125" style="100" customWidth="1"/>
    <col min="2061" max="2061" width="11.46484375" style="100" customWidth="1"/>
    <col min="2062" max="2304" width="9.1328125" style="100"/>
    <col min="2305" max="2305" width="0" style="100" hidden="1" customWidth="1"/>
    <col min="2306" max="2306" width="43.46484375" style="100" customWidth="1"/>
    <col min="2307" max="2307" width="3.6640625" style="100" customWidth="1"/>
    <col min="2308" max="2308" width="30.33203125" style="100" customWidth="1"/>
    <col min="2309" max="2309" width="18.46484375" style="100" customWidth="1"/>
    <col min="2310" max="2310" width="30.33203125" style="100" customWidth="1"/>
    <col min="2311" max="2311" width="18.46484375" style="100" customWidth="1"/>
    <col min="2312" max="2312" width="12.1328125" style="100" customWidth="1"/>
    <col min="2313" max="2313" width="11.46484375" style="100" customWidth="1"/>
    <col min="2314" max="2314" width="5" style="100" customWidth="1"/>
    <col min="2315" max="2315" width="18.46484375" style="100" customWidth="1"/>
    <col min="2316" max="2316" width="12.1328125" style="100" customWidth="1"/>
    <col min="2317" max="2317" width="11.46484375" style="100" customWidth="1"/>
    <col min="2318" max="2560" width="9.1328125" style="100"/>
    <col min="2561" max="2561" width="0" style="100" hidden="1" customWidth="1"/>
    <col min="2562" max="2562" width="43.46484375" style="100" customWidth="1"/>
    <col min="2563" max="2563" width="3.6640625" style="100" customWidth="1"/>
    <col min="2564" max="2564" width="30.33203125" style="100" customWidth="1"/>
    <col min="2565" max="2565" width="18.46484375" style="100" customWidth="1"/>
    <col min="2566" max="2566" width="30.33203125" style="100" customWidth="1"/>
    <col min="2567" max="2567" width="18.46484375" style="100" customWidth="1"/>
    <col min="2568" max="2568" width="12.1328125" style="100" customWidth="1"/>
    <col min="2569" max="2569" width="11.46484375" style="100" customWidth="1"/>
    <col min="2570" max="2570" width="5" style="100" customWidth="1"/>
    <col min="2571" max="2571" width="18.46484375" style="100" customWidth="1"/>
    <col min="2572" max="2572" width="12.1328125" style="100" customWidth="1"/>
    <col min="2573" max="2573" width="11.46484375" style="100" customWidth="1"/>
    <col min="2574" max="2816" width="9.1328125" style="100"/>
    <col min="2817" max="2817" width="0" style="100" hidden="1" customWidth="1"/>
    <col min="2818" max="2818" width="43.46484375" style="100" customWidth="1"/>
    <col min="2819" max="2819" width="3.6640625" style="100" customWidth="1"/>
    <col min="2820" max="2820" width="30.33203125" style="100" customWidth="1"/>
    <col min="2821" max="2821" width="18.46484375" style="100" customWidth="1"/>
    <col min="2822" max="2822" width="30.33203125" style="100" customWidth="1"/>
    <col min="2823" max="2823" width="18.46484375" style="100" customWidth="1"/>
    <col min="2824" max="2824" width="12.1328125" style="100" customWidth="1"/>
    <col min="2825" max="2825" width="11.46484375" style="100" customWidth="1"/>
    <col min="2826" max="2826" width="5" style="100" customWidth="1"/>
    <col min="2827" max="2827" width="18.46484375" style="100" customWidth="1"/>
    <col min="2828" max="2828" width="12.1328125" style="100" customWidth="1"/>
    <col min="2829" max="2829" width="11.46484375" style="100" customWidth="1"/>
    <col min="2830" max="3072" width="9.1328125" style="100"/>
    <col min="3073" max="3073" width="0" style="100" hidden="1" customWidth="1"/>
    <col min="3074" max="3074" width="43.46484375" style="100" customWidth="1"/>
    <col min="3075" max="3075" width="3.6640625" style="100" customWidth="1"/>
    <col min="3076" max="3076" width="30.33203125" style="100" customWidth="1"/>
    <col min="3077" max="3077" width="18.46484375" style="100" customWidth="1"/>
    <col min="3078" max="3078" width="30.33203125" style="100" customWidth="1"/>
    <col min="3079" max="3079" width="18.46484375" style="100" customWidth="1"/>
    <col min="3080" max="3080" width="12.1328125" style="100" customWidth="1"/>
    <col min="3081" max="3081" width="11.46484375" style="100" customWidth="1"/>
    <col min="3082" max="3082" width="5" style="100" customWidth="1"/>
    <col min="3083" max="3083" width="18.46484375" style="100" customWidth="1"/>
    <col min="3084" max="3084" width="12.1328125" style="100" customWidth="1"/>
    <col min="3085" max="3085" width="11.46484375" style="100" customWidth="1"/>
    <col min="3086" max="3328" width="9.1328125" style="100"/>
    <col min="3329" max="3329" width="0" style="100" hidden="1" customWidth="1"/>
    <col min="3330" max="3330" width="43.46484375" style="100" customWidth="1"/>
    <col min="3331" max="3331" width="3.6640625" style="100" customWidth="1"/>
    <col min="3332" max="3332" width="30.33203125" style="100" customWidth="1"/>
    <col min="3333" max="3333" width="18.46484375" style="100" customWidth="1"/>
    <col min="3334" max="3334" width="30.33203125" style="100" customWidth="1"/>
    <col min="3335" max="3335" width="18.46484375" style="100" customWidth="1"/>
    <col min="3336" max="3336" width="12.1328125" style="100" customWidth="1"/>
    <col min="3337" max="3337" width="11.46484375" style="100" customWidth="1"/>
    <col min="3338" max="3338" width="5" style="100" customWidth="1"/>
    <col min="3339" max="3339" width="18.46484375" style="100" customWidth="1"/>
    <col min="3340" max="3340" width="12.1328125" style="100" customWidth="1"/>
    <col min="3341" max="3341" width="11.46484375" style="100" customWidth="1"/>
    <col min="3342" max="3584" width="9.1328125" style="100"/>
    <col min="3585" max="3585" width="0" style="100" hidden="1" customWidth="1"/>
    <col min="3586" max="3586" width="43.46484375" style="100" customWidth="1"/>
    <col min="3587" max="3587" width="3.6640625" style="100" customWidth="1"/>
    <col min="3588" max="3588" width="30.33203125" style="100" customWidth="1"/>
    <col min="3589" max="3589" width="18.46484375" style="100" customWidth="1"/>
    <col min="3590" max="3590" width="30.33203125" style="100" customWidth="1"/>
    <col min="3591" max="3591" width="18.46484375" style="100" customWidth="1"/>
    <col min="3592" max="3592" width="12.1328125" style="100" customWidth="1"/>
    <col min="3593" max="3593" width="11.46484375" style="100" customWidth="1"/>
    <col min="3594" max="3594" width="5" style="100" customWidth="1"/>
    <col min="3595" max="3595" width="18.46484375" style="100" customWidth="1"/>
    <col min="3596" max="3596" width="12.1328125" style="100" customWidth="1"/>
    <col min="3597" max="3597" width="11.46484375" style="100" customWidth="1"/>
    <col min="3598" max="3840" width="9.1328125" style="100"/>
    <col min="3841" max="3841" width="0" style="100" hidden="1" customWidth="1"/>
    <col min="3842" max="3842" width="43.46484375" style="100" customWidth="1"/>
    <col min="3843" max="3843" width="3.6640625" style="100" customWidth="1"/>
    <col min="3844" max="3844" width="30.33203125" style="100" customWidth="1"/>
    <col min="3845" max="3845" width="18.46484375" style="100" customWidth="1"/>
    <col min="3846" max="3846" width="30.33203125" style="100" customWidth="1"/>
    <col min="3847" max="3847" width="18.46484375" style="100" customWidth="1"/>
    <col min="3848" max="3848" width="12.1328125" style="100" customWidth="1"/>
    <col min="3849" max="3849" width="11.46484375" style="100" customWidth="1"/>
    <col min="3850" max="3850" width="5" style="100" customWidth="1"/>
    <col min="3851" max="3851" width="18.46484375" style="100" customWidth="1"/>
    <col min="3852" max="3852" width="12.1328125" style="100" customWidth="1"/>
    <col min="3853" max="3853" width="11.46484375" style="100" customWidth="1"/>
    <col min="3854" max="4096" width="9.1328125" style="100"/>
    <col min="4097" max="4097" width="0" style="100" hidden="1" customWidth="1"/>
    <col min="4098" max="4098" width="43.46484375" style="100" customWidth="1"/>
    <col min="4099" max="4099" width="3.6640625" style="100" customWidth="1"/>
    <col min="4100" max="4100" width="30.33203125" style="100" customWidth="1"/>
    <col min="4101" max="4101" width="18.46484375" style="100" customWidth="1"/>
    <col min="4102" max="4102" width="30.33203125" style="100" customWidth="1"/>
    <col min="4103" max="4103" width="18.46484375" style="100" customWidth="1"/>
    <col min="4104" max="4104" width="12.1328125" style="100" customWidth="1"/>
    <col min="4105" max="4105" width="11.46484375" style="100" customWidth="1"/>
    <col min="4106" max="4106" width="5" style="100" customWidth="1"/>
    <col min="4107" max="4107" width="18.46484375" style="100" customWidth="1"/>
    <col min="4108" max="4108" width="12.1328125" style="100" customWidth="1"/>
    <col min="4109" max="4109" width="11.46484375" style="100" customWidth="1"/>
    <col min="4110" max="4352" width="9.1328125" style="100"/>
    <col min="4353" max="4353" width="0" style="100" hidden="1" customWidth="1"/>
    <col min="4354" max="4354" width="43.46484375" style="100" customWidth="1"/>
    <col min="4355" max="4355" width="3.6640625" style="100" customWidth="1"/>
    <col min="4356" max="4356" width="30.33203125" style="100" customWidth="1"/>
    <col min="4357" max="4357" width="18.46484375" style="100" customWidth="1"/>
    <col min="4358" max="4358" width="30.33203125" style="100" customWidth="1"/>
    <col min="4359" max="4359" width="18.46484375" style="100" customWidth="1"/>
    <col min="4360" max="4360" width="12.1328125" style="100" customWidth="1"/>
    <col min="4361" max="4361" width="11.46484375" style="100" customWidth="1"/>
    <col min="4362" max="4362" width="5" style="100" customWidth="1"/>
    <col min="4363" max="4363" width="18.46484375" style="100" customWidth="1"/>
    <col min="4364" max="4364" width="12.1328125" style="100" customWidth="1"/>
    <col min="4365" max="4365" width="11.46484375" style="100" customWidth="1"/>
    <col min="4366" max="4608" width="9.1328125" style="100"/>
    <col min="4609" max="4609" width="0" style="100" hidden="1" customWidth="1"/>
    <col min="4610" max="4610" width="43.46484375" style="100" customWidth="1"/>
    <col min="4611" max="4611" width="3.6640625" style="100" customWidth="1"/>
    <col min="4612" max="4612" width="30.33203125" style="100" customWidth="1"/>
    <col min="4613" max="4613" width="18.46484375" style="100" customWidth="1"/>
    <col min="4614" max="4614" width="30.33203125" style="100" customWidth="1"/>
    <col min="4615" max="4615" width="18.46484375" style="100" customWidth="1"/>
    <col min="4616" max="4616" width="12.1328125" style="100" customWidth="1"/>
    <col min="4617" max="4617" width="11.46484375" style="100" customWidth="1"/>
    <col min="4618" max="4618" width="5" style="100" customWidth="1"/>
    <col min="4619" max="4619" width="18.46484375" style="100" customWidth="1"/>
    <col min="4620" max="4620" width="12.1328125" style="100" customWidth="1"/>
    <col min="4621" max="4621" width="11.46484375" style="100" customWidth="1"/>
    <col min="4622" max="4864" width="9.1328125" style="100"/>
    <col min="4865" max="4865" width="0" style="100" hidden="1" customWidth="1"/>
    <col min="4866" max="4866" width="43.46484375" style="100" customWidth="1"/>
    <col min="4867" max="4867" width="3.6640625" style="100" customWidth="1"/>
    <col min="4868" max="4868" width="30.33203125" style="100" customWidth="1"/>
    <col min="4869" max="4869" width="18.46484375" style="100" customWidth="1"/>
    <col min="4870" max="4870" width="30.33203125" style="100" customWidth="1"/>
    <col min="4871" max="4871" width="18.46484375" style="100" customWidth="1"/>
    <col min="4872" max="4872" width="12.1328125" style="100" customWidth="1"/>
    <col min="4873" max="4873" width="11.46484375" style="100" customWidth="1"/>
    <col min="4874" max="4874" width="5" style="100" customWidth="1"/>
    <col min="4875" max="4875" width="18.46484375" style="100" customWidth="1"/>
    <col min="4876" max="4876" width="12.1328125" style="100" customWidth="1"/>
    <col min="4877" max="4877" width="11.46484375" style="100" customWidth="1"/>
    <col min="4878" max="5120" width="9.1328125" style="100"/>
    <col min="5121" max="5121" width="0" style="100" hidden="1" customWidth="1"/>
    <col min="5122" max="5122" width="43.46484375" style="100" customWidth="1"/>
    <col min="5123" max="5123" width="3.6640625" style="100" customWidth="1"/>
    <col min="5124" max="5124" width="30.33203125" style="100" customWidth="1"/>
    <col min="5125" max="5125" width="18.46484375" style="100" customWidth="1"/>
    <col min="5126" max="5126" width="30.33203125" style="100" customWidth="1"/>
    <col min="5127" max="5127" width="18.46484375" style="100" customWidth="1"/>
    <col min="5128" max="5128" width="12.1328125" style="100" customWidth="1"/>
    <col min="5129" max="5129" width="11.46484375" style="100" customWidth="1"/>
    <col min="5130" max="5130" width="5" style="100" customWidth="1"/>
    <col min="5131" max="5131" width="18.46484375" style="100" customWidth="1"/>
    <col min="5132" max="5132" width="12.1328125" style="100" customWidth="1"/>
    <col min="5133" max="5133" width="11.46484375" style="100" customWidth="1"/>
    <col min="5134" max="5376" width="9.1328125" style="100"/>
    <col min="5377" max="5377" width="0" style="100" hidden="1" customWidth="1"/>
    <col min="5378" max="5378" width="43.46484375" style="100" customWidth="1"/>
    <col min="5379" max="5379" width="3.6640625" style="100" customWidth="1"/>
    <col min="5380" max="5380" width="30.33203125" style="100" customWidth="1"/>
    <col min="5381" max="5381" width="18.46484375" style="100" customWidth="1"/>
    <col min="5382" max="5382" width="30.33203125" style="100" customWidth="1"/>
    <col min="5383" max="5383" width="18.46484375" style="100" customWidth="1"/>
    <col min="5384" max="5384" width="12.1328125" style="100" customWidth="1"/>
    <col min="5385" max="5385" width="11.46484375" style="100" customWidth="1"/>
    <col min="5386" max="5386" width="5" style="100" customWidth="1"/>
    <col min="5387" max="5387" width="18.46484375" style="100" customWidth="1"/>
    <col min="5388" max="5388" width="12.1328125" style="100" customWidth="1"/>
    <col min="5389" max="5389" width="11.46484375" style="100" customWidth="1"/>
    <col min="5390" max="5632" width="9.1328125" style="100"/>
    <col min="5633" max="5633" width="0" style="100" hidden="1" customWidth="1"/>
    <col min="5634" max="5634" width="43.46484375" style="100" customWidth="1"/>
    <col min="5635" max="5635" width="3.6640625" style="100" customWidth="1"/>
    <col min="5636" max="5636" width="30.33203125" style="100" customWidth="1"/>
    <col min="5637" max="5637" width="18.46484375" style="100" customWidth="1"/>
    <col min="5638" max="5638" width="30.33203125" style="100" customWidth="1"/>
    <col min="5639" max="5639" width="18.46484375" style="100" customWidth="1"/>
    <col min="5640" max="5640" width="12.1328125" style="100" customWidth="1"/>
    <col min="5641" max="5641" width="11.46484375" style="100" customWidth="1"/>
    <col min="5642" max="5642" width="5" style="100" customWidth="1"/>
    <col min="5643" max="5643" width="18.46484375" style="100" customWidth="1"/>
    <col min="5644" max="5644" width="12.1328125" style="100" customWidth="1"/>
    <col min="5645" max="5645" width="11.46484375" style="100" customWidth="1"/>
    <col min="5646" max="5888" width="9.1328125" style="100"/>
    <col min="5889" max="5889" width="0" style="100" hidden="1" customWidth="1"/>
    <col min="5890" max="5890" width="43.46484375" style="100" customWidth="1"/>
    <col min="5891" max="5891" width="3.6640625" style="100" customWidth="1"/>
    <col min="5892" max="5892" width="30.33203125" style="100" customWidth="1"/>
    <col min="5893" max="5893" width="18.46484375" style="100" customWidth="1"/>
    <col min="5894" max="5894" width="30.33203125" style="100" customWidth="1"/>
    <col min="5895" max="5895" width="18.46484375" style="100" customWidth="1"/>
    <col min="5896" max="5896" width="12.1328125" style="100" customWidth="1"/>
    <col min="5897" max="5897" width="11.46484375" style="100" customWidth="1"/>
    <col min="5898" max="5898" width="5" style="100" customWidth="1"/>
    <col min="5899" max="5899" width="18.46484375" style="100" customWidth="1"/>
    <col min="5900" max="5900" width="12.1328125" style="100" customWidth="1"/>
    <col min="5901" max="5901" width="11.46484375" style="100" customWidth="1"/>
    <col min="5902" max="6144" width="9.1328125" style="100"/>
    <col min="6145" max="6145" width="0" style="100" hidden="1" customWidth="1"/>
    <col min="6146" max="6146" width="43.46484375" style="100" customWidth="1"/>
    <col min="6147" max="6147" width="3.6640625" style="100" customWidth="1"/>
    <col min="6148" max="6148" width="30.33203125" style="100" customWidth="1"/>
    <col min="6149" max="6149" width="18.46484375" style="100" customWidth="1"/>
    <col min="6150" max="6150" width="30.33203125" style="100" customWidth="1"/>
    <col min="6151" max="6151" width="18.46484375" style="100" customWidth="1"/>
    <col min="6152" max="6152" width="12.1328125" style="100" customWidth="1"/>
    <col min="6153" max="6153" width="11.46484375" style="100" customWidth="1"/>
    <col min="6154" max="6154" width="5" style="100" customWidth="1"/>
    <col min="6155" max="6155" width="18.46484375" style="100" customWidth="1"/>
    <col min="6156" max="6156" width="12.1328125" style="100" customWidth="1"/>
    <col min="6157" max="6157" width="11.46484375" style="100" customWidth="1"/>
    <col min="6158" max="6400" width="9.1328125" style="100"/>
    <col min="6401" max="6401" width="0" style="100" hidden="1" customWidth="1"/>
    <col min="6402" max="6402" width="43.46484375" style="100" customWidth="1"/>
    <col min="6403" max="6403" width="3.6640625" style="100" customWidth="1"/>
    <col min="6404" max="6404" width="30.33203125" style="100" customWidth="1"/>
    <col min="6405" max="6405" width="18.46484375" style="100" customWidth="1"/>
    <col min="6406" max="6406" width="30.33203125" style="100" customWidth="1"/>
    <col min="6407" max="6407" width="18.46484375" style="100" customWidth="1"/>
    <col min="6408" max="6408" width="12.1328125" style="100" customWidth="1"/>
    <col min="6409" max="6409" width="11.46484375" style="100" customWidth="1"/>
    <col min="6410" max="6410" width="5" style="100" customWidth="1"/>
    <col min="6411" max="6411" width="18.46484375" style="100" customWidth="1"/>
    <col min="6412" max="6412" width="12.1328125" style="100" customWidth="1"/>
    <col min="6413" max="6413" width="11.46484375" style="100" customWidth="1"/>
    <col min="6414" max="6656" width="9.1328125" style="100"/>
    <col min="6657" max="6657" width="0" style="100" hidden="1" customWidth="1"/>
    <col min="6658" max="6658" width="43.46484375" style="100" customWidth="1"/>
    <col min="6659" max="6659" width="3.6640625" style="100" customWidth="1"/>
    <col min="6660" max="6660" width="30.33203125" style="100" customWidth="1"/>
    <col min="6661" max="6661" width="18.46484375" style="100" customWidth="1"/>
    <col min="6662" max="6662" width="30.33203125" style="100" customWidth="1"/>
    <col min="6663" max="6663" width="18.46484375" style="100" customWidth="1"/>
    <col min="6664" max="6664" width="12.1328125" style="100" customWidth="1"/>
    <col min="6665" max="6665" width="11.46484375" style="100" customWidth="1"/>
    <col min="6666" max="6666" width="5" style="100" customWidth="1"/>
    <col min="6667" max="6667" width="18.46484375" style="100" customWidth="1"/>
    <col min="6668" max="6668" width="12.1328125" style="100" customWidth="1"/>
    <col min="6669" max="6669" width="11.46484375" style="100" customWidth="1"/>
    <col min="6670" max="6912" width="9.1328125" style="100"/>
    <col min="6913" max="6913" width="0" style="100" hidden="1" customWidth="1"/>
    <col min="6914" max="6914" width="43.46484375" style="100" customWidth="1"/>
    <col min="6915" max="6915" width="3.6640625" style="100" customWidth="1"/>
    <col min="6916" max="6916" width="30.33203125" style="100" customWidth="1"/>
    <col min="6917" max="6917" width="18.46484375" style="100" customWidth="1"/>
    <col min="6918" max="6918" width="30.33203125" style="100" customWidth="1"/>
    <col min="6919" max="6919" width="18.46484375" style="100" customWidth="1"/>
    <col min="6920" max="6920" width="12.1328125" style="100" customWidth="1"/>
    <col min="6921" max="6921" width="11.46484375" style="100" customWidth="1"/>
    <col min="6922" max="6922" width="5" style="100" customWidth="1"/>
    <col min="6923" max="6923" width="18.46484375" style="100" customWidth="1"/>
    <col min="6924" max="6924" width="12.1328125" style="100" customWidth="1"/>
    <col min="6925" max="6925" width="11.46484375" style="100" customWidth="1"/>
    <col min="6926" max="7168" width="9.1328125" style="100"/>
    <col min="7169" max="7169" width="0" style="100" hidden="1" customWidth="1"/>
    <col min="7170" max="7170" width="43.46484375" style="100" customWidth="1"/>
    <col min="7171" max="7171" width="3.6640625" style="100" customWidth="1"/>
    <col min="7172" max="7172" width="30.33203125" style="100" customWidth="1"/>
    <col min="7173" max="7173" width="18.46484375" style="100" customWidth="1"/>
    <col min="7174" max="7174" width="30.33203125" style="100" customWidth="1"/>
    <col min="7175" max="7175" width="18.46484375" style="100" customWidth="1"/>
    <col min="7176" max="7176" width="12.1328125" style="100" customWidth="1"/>
    <col min="7177" max="7177" width="11.46484375" style="100" customWidth="1"/>
    <col min="7178" max="7178" width="5" style="100" customWidth="1"/>
    <col min="7179" max="7179" width="18.46484375" style="100" customWidth="1"/>
    <col min="7180" max="7180" width="12.1328125" style="100" customWidth="1"/>
    <col min="7181" max="7181" width="11.46484375" style="100" customWidth="1"/>
    <col min="7182" max="7424" width="9.1328125" style="100"/>
    <col min="7425" max="7425" width="0" style="100" hidden="1" customWidth="1"/>
    <col min="7426" max="7426" width="43.46484375" style="100" customWidth="1"/>
    <col min="7427" max="7427" width="3.6640625" style="100" customWidth="1"/>
    <col min="7428" max="7428" width="30.33203125" style="100" customWidth="1"/>
    <col min="7429" max="7429" width="18.46484375" style="100" customWidth="1"/>
    <col min="7430" max="7430" width="30.33203125" style="100" customWidth="1"/>
    <col min="7431" max="7431" width="18.46484375" style="100" customWidth="1"/>
    <col min="7432" max="7432" width="12.1328125" style="100" customWidth="1"/>
    <col min="7433" max="7433" width="11.46484375" style="100" customWidth="1"/>
    <col min="7434" max="7434" width="5" style="100" customWidth="1"/>
    <col min="7435" max="7435" width="18.46484375" style="100" customWidth="1"/>
    <col min="7436" max="7436" width="12.1328125" style="100" customWidth="1"/>
    <col min="7437" max="7437" width="11.46484375" style="100" customWidth="1"/>
    <col min="7438" max="7680" width="9.1328125" style="100"/>
    <col min="7681" max="7681" width="0" style="100" hidden="1" customWidth="1"/>
    <col min="7682" max="7682" width="43.46484375" style="100" customWidth="1"/>
    <col min="7683" max="7683" width="3.6640625" style="100" customWidth="1"/>
    <col min="7684" max="7684" width="30.33203125" style="100" customWidth="1"/>
    <col min="7685" max="7685" width="18.46484375" style="100" customWidth="1"/>
    <col min="7686" max="7686" width="30.33203125" style="100" customWidth="1"/>
    <col min="7687" max="7687" width="18.46484375" style="100" customWidth="1"/>
    <col min="7688" max="7688" width="12.1328125" style="100" customWidth="1"/>
    <col min="7689" max="7689" width="11.46484375" style="100" customWidth="1"/>
    <col min="7690" max="7690" width="5" style="100" customWidth="1"/>
    <col min="7691" max="7691" width="18.46484375" style="100" customWidth="1"/>
    <col min="7692" max="7692" width="12.1328125" style="100" customWidth="1"/>
    <col min="7693" max="7693" width="11.46484375" style="100" customWidth="1"/>
    <col min="7694" max="7936" width="9.1328125" style="100"/>
    <col min="7937" max="7937" width="0" style="100" hidden="1" customWidth="1"/>
    <col min="7938" max="7938" width="43.46484375" style="100" customWidth="1"/>
    <col min="7939" max="7939" width="3.6640625" style="100" customWidth="1"/>
    <col min="7940" max="7940" width="30.33203125" style="100" customWidth="1"/>
    <col min="7941" max="7941" width="18.46484375" style="100" customWidth="1"/>
    <col min="7942" max="7942" width="30.33203125" style="100" customWidth="1"/>
    <col min="7943" max="7943" width="18.46484375" style="100" customWidth="1"/>
    <col min="7944" max="7944" width="12.1328125" style="100" customWidth="1"/>
    <col min="7945" max="7945" width="11.46484375" style="100" customWidth="1"/>
    <col min="7946" max="7946" width="5" style="100" customWidth="1"/>
    <col min="7947" max="7947" width="18.46484375" style="100" customWidth="1"/>
    <col min="7948" max="7948" width="12.1328125" style="100" customWidth="1"/>
    <col min="7949" max="7949" width="11.46484375" style="100" customWidth="1"/>
    <col min="7950" max="8192" width="9.1328125" style="100"/>
    <col min="8193" max="8193" width="0" style="100" hidden="1" customWidth="1"/>
    <col min="8194" max="8194" width="43.46484375" style="100" customWidth="1"/>
    <col min="8195" max="8195" width="3.6640625" style="100" customWidth="1"/>
    <col min="8196" max="8196" width="30.33203125" style="100" customWidth="1"/>
    <col min="8197" max="8197" width="18.46484375" style="100" customWidth="1"/>
    <col min="8198" max="8198" width="30.33203125" style="100" customWidth="1"/>
    <col min="8199" max="8199" width="18.46484375" style="100" customWidth="1"/>
    <col min="8200" max="8200" width="12.1328125" style="100" customWidth="1"/>
    <col min="8201" max="8201" width="11.46484375" style="100" customWidth="1"/>
    <col min="8202" max="8202" width="5" style="100" customWidth="1"/>
    <col min="8203" max="8203" width="18.46484375" style="100" customWidth="1"/>
    <col min="8204" max="8204" width="12.1328125" style="100" customWidth="1"/>
    <col min="8205" max="8205" width="11.46484375" style="100" customWidth="1"/>
    <col min="8206" max="8448" width="9.1328125" style="100"/>
    <col min="8449" max="8449" width="0" style="100" hidden="1" customWidth="1"/>
    <col min="8450" max="8450" width="43.46484375" style="100" customWidth="1"/>
    <col min="8451" max="8451" width="3.6640625" style="100" customWidth="1"/>
    <col min="8452" max="8452" width="30.33203125" style="100" customWidth="1"/>
    <col min="8453" max="8453" width="18.46484375" style="100" customWidth="1"/>
    <col min="8454" max="8454" width="30.33203125" style="100" customWidth="1"/>
    <col min="8455" max="8455" width="18.46484375" style="100" customWidth="1"/>
    <col min="8456" max="8456" width="12.1328125" style="100" customWidth="1"/>
    <col min="8457" max="8457" width="11.46484375" style="100" customWidth="1"/>
    <col min="8458" max="8458" width="5" style="100" customWidth="1"/>
    <col min="8459" max="8459" width="18.46484375" style="100" customWidth="1"/>
    <col min="8460" max="8460" width="12.1328125" style="100" customWidth="1"/>
    <col min="8461" max="8461" width="11.46484375" style="100" customWidth="1"/>
    <col min="8462" max="8704" width="9.1328125" style="100"/>
    <col min="8705" max="8705" width="0" style="100" hidden="1" customWidth="1"/>
    <col min="8706" max="8706" width="43.46484375" style="100" customWidth="1"/>
    <col min="8707" max="8707" width="3.6640625" style="100" customWidth="1"/>
    <col min="8708" max="8708" width="30.33203125" style="100" customWidth="1"/>
    <col min="8709" max="8709" width="18.46484375" style="100" customWidth="1"/>
    <col min="8710" max="8710" width="30.33203125" style="100" customWidth="1"/>
    <col min="8711" max="8711" width="18.46484375" style="100" customWidth="1"/>
    <col min="8712" max="8712" width="12.1328125" style="100" customWidth="1"/>
    <col min="8713" max="8713" width="11.46484375" style="100" customWidth="1"/>
    <col min="8714" max="8714" width="5" style="100" customWidth="1"/>
    <col min="8715" max="8715" width="18.46484375" style="100" customWidth="1"/>
    <col min="8716" max="8716" width="12.1328125" style="100" customWidth="1"/>
    <col min="8717" max="8717" width="11.46484375" style="100" customWidth="1"/>
    <col min="8718" max="8960" width="9.1328125" style="100"/>
    <col min="8961" max="8961" width="0" style="100" hidden="1" customWidth="1"/>
    <col min="8962" max="8962" width="43.46484375" style="100" customWidth="1"/>
    <col min="8963" max="8963" width="3.6640625" style="100" customWidth="1"/>
    <col min="8964" max="8964" width="30.33203125" style="100" customWidth="1"/>
    <col min="8965" max="8965" width="18.46484375" style="100" customWidth="1"/>
    <col min="8966" max="8966" width="30.33203125" style="100" customWidth="1"/>
    <col min="8967" max="8967" width="18.46484375" style="100" customWidth="1"/>
    <col min="8968" max="8968" width="12.1328125" style="100" customWidth="1"/>
    <col min="8969" max="8969" width="11.46484375" style="100" customWidth="1"/>
    <col min="8970" max="8970" width="5" style="100" customWidth="1"/>
    <col min="8971" max="8971" width="18.46484375" style="100" customWidth="1"/>
    <col min="8972" max="8972" width="12.1328125" style="100" customWidth="1"/>
    <col min="8973" max="8973" width="11.46484375" style="100" customWidth="1"/>
    <col min="8974" max="9216" width="9.1328125" style="100"/>
    <col min="9217" max="9217" width="0" style="100" hidden="1" customWidth="1"/>
    <col min="9218" max="9218" width="43.46484375" style="100" customWidth="1"/>
    <col min="9219" max="9219" width="3.6640625" style="100" customWidth="1"/>
    <col min="9220" max="9220" width="30.33203125" style="100" customWidth="1"/>
    <col min="9221" max="9221" width="18.46484375" style="100" customWidth="1"/>
    <col min="9222" max="9222" width="30.33203125" style="100" customWidth="1"/>
    <col min="9223" max="9223" width="18.46484375" style="100" customWidth="1"/>
    <col min="9224" max="9224" width="12.1328125" style="100" customWidth="1"/>
    <col min="9225" max="9225" width="11.46484375" style="100" customWidth="1"/>
    <col min="9226" max="9226" width="5" style="100" customWidth="1"/>
    <col min="9227" max="9227" width="18.46484375" style="100" customWidth="1"/>
    <col min="9228" max="9228" width="12.1328125" style="100" customWidth="1"/>
    <col min="9229" max="9229" width="11.46484375" style="100" customWidth="1"/>
    <col min="9230" max="9472" width="9.1328125" style="100"/>
    <col min="9473" max="9473" width="0" style="100" hidden="1" customWidth="1"/>
    <col min="9474" max="9474" width="43.46484375" style="100" customWidth="1"/>
    <col min="9475" max="9475" width="3.6640625" style="100" customWidth="1"/>
    <col min="9476" max="9476" width="30.33203125" style="100" customWidth="1"/>
    <col min="9477" max="9477" width="18.46484375" style="100" customWidth="1"/>
    <col min="9478" max="9478" width="30.33203125" style="100" customWidth="1"/>
    <col min="9479" max="9479" width="18.46484375" style="100" customWidth="1"/>
    <col min="9480" max="9480" width="12.1328125" style="100" customWidth="1"/>
    <col min="9481" max="9481" width="11.46484375" style="100" customWidth="1"/>
    <col min="9482" max="9482" width="5" style="100" customWidth="1"/>
    <col min="9483" max="9483" width="18.46484375" style="100" customWidth="1"/>
    <col min="9484" max="9484" width="12.1328125" style="100" customWidth="1"/>
    <col min="9485" max="9485" width="11.46484375" style="100" customWidth="1"/>
    <col min="9486" max="9728" width="9.1328125" style="100"/>
    <col min="9729" max="9729" width="0" style="100" hidden="1" customWidth="1"/>
    <col min="9730" max="9730" width="43.46484375" style="100" customWidth="1"/>
    <col min="9731" max="9731" width="3.6640625" style="100" customWidth="1"/>
    <col min="9732" max="9732" width="30.33203125" style="100" customWidth="1"/>
    <col min="9733" max="9733" width="18.46484375" style="100" customWidth="1"/>
    <col min="9734" max="9734" width="30.33203125" style="100" customWidth="1"/>
    <col min="9735" max="9735" width="18.46484375" style="100" customWidth="1"/>
    <col min="9736" max="9736" width="12.1328125" style="100" customWidth="1"/>
    <col min="9737" max="9737" width="11.46484375" style="100" customWidth="1"/>
    <col min="9738" max="9738" width="5" style="100" customWidth="1"/>
    <col min="9739" max="9739" width="18.46484375" style="100" customWidth="1"/>
    <col min="9740" max="9740" width="12.1328125" style="100" customWidth="1"/>
    <col min="9741" max="9741" width="11.46484375" style="100" customWidth="1"/>
    <col min="9742" max="9984" width="9.1328125" style="100"/>
    <col min="9985" max="9985" width="0" style="100" hidden="1" customWidth="1"/>
    <col min="9986" max="9986" width="43.46484375" style="100" customWidth="1"/>
    <col min="9987" max="9987" width="3.6640625" style="100" customWidth="1"/>
    <col min="9988" max="9988" width="30.33203125" style="100" customWidth="1"/>
    <col min="9989" max="9989" width="18.46484375" style="100" customWidth="1"/>
    <col min="9990" max="9990" width="30.33203125" style="100" customWidth="1"/>
    <col min="9991" max="9991" width="18.46484375" style="100" customWidth="1"/>
    <col min="9992" max="9992" width="12.1328125" style="100" customWidth="1"/>
    <col min="9993" max="9993" width="11.46484375" style="100" customWidth="1"/>
    <col min="9994" max="9994" width="5" style="100" customWidth="1"/>
    <col min="9995" max="9995" width="18.46484375" style="100" customWidth="1"/>
    <col min="9996" max="9996" width="12.1328125" style="100" customWidth="1"/>
    <col min="9997" max="9997" width="11.46484375" style="100" customWidth="1"/>
    <col min="9998" max="10240" width="9.1328125" style="100"/>
    <col min="10241" max="10241" width="0" style="100" hidden="1" customWidth="1"/>
    <col min="10242" max="10242" width="43.46484375" style="100" customWidth="1"/>
    <col min="10243" max="10243" width="3.6640625" style="100" customWidth="1"/>
    <col min="10244" max="10244" width="30.33203125" style="100" customWidth="1"/>
    <col min="10245" max="10245" width="18.46484375" style="100" customWidth="1"/>
    <col min="10246" max="10246" width="30.33203125" style="100" customWidth="1"/>
    <col min="10247" max="10247" width="18.46484375" style="100" customWidth="1"/>
    <col min="10248" max="10248" width="12.1328125" style="100" customWidth="1"/>
    <col min="10249" max="10249" width="11.46484375" style="100" customWidth="1"/>
    <col min="10250" max="10250" width="5" style="100" customWidth="1"/>
    <col min="10251" max="10251" width="18.46484375" style="100" customWidth="1"/>
    <col min="10252" max="10252" width="12.1328125" style="100" customWidth="1"/>
    <col min="10253" max="10253" width="11.46484375" style="100" customWidth="1"/>
    <col min="10254" max="10496" width="9.1328125" style="100"/>
    <col min="10497" max="10497" width="0" style="100" hidden="1" customWidth="1"/>
    <col min="10498" max="10498" width="43.46484375" style="100" customWidth="1"/>
    <col min="10499" max="10499" width="3.6640625" style="100" customWidth="1"/>
    <col min="10500" max="10500" width="30.33203125" style="100" customWidth="1"/>
    <col min="10501" max="10501" width="18.46484375" style="100" customWidth="1"/>
    <col min="10502" max="10502" width="30.33203125" style="100" customWidth="1"/>
    <col min="10503" max="10503" width="18.46484375" style="100" customWidth="1"/>
    <col min="10504" max="10504" width="12.1328125" style="100" customWidth="1"/>
    <col min="10505" max="10505" width="11.46484375" style="100" customWidth="1"/>
    <col min="10506" max="10506" width="5" style="100" customWidth="1"/>
    <col min="10507" max="10507" width="18.46484375" style="100" customWidth="1"/>
    <col min="10508" max="10508" width="12.1328125" style="100" customWidth="1"/>
    <col min="10509" max="10509" width="11.46484375" style="100" customWidth="1"/>
    <col min="10510" max="10752" width="9.1328125" style="100"/>
    <col min="10753" max="10753" width="0" style="100" hidden="1" customWidth="1"/>
    <col min="10754" max="10754" width="43.46484375" style="100" customWidth="1"/>
    <col min="10755" max="10755" width="3.6640625" style="100" customWidth="1"/>
    <col min="10756" max="10756" width="30.33203125" style="100" customWidth="1"/>
    <col min="10757" max="10757" width="18.46484375" style="100" customWidth="1"/>
    <col min="10758" max="10758" width="30.33203125" style="100" customWidth="1"/>
    <col min="10759" max="10759" width="18.46484375" style="100" customWidth="1"/>
    <col min="10760" max="10760" width="12.1328125" style="100" customWidth="1"/>
    <col min="10761" max="10761" width="11.46484375" style="100" customWidth="1"/>
    <col min="10762" max="10762" width="5" style="100" customWidth="1"/>
    <col min="10763" max="10763" width="18.46484375" style="100" customWidth="1"/>
    <col min="10764" max="10764" width="12.1328125" style="100" customWidth="1"/>
    <col min="10765" max="10765" width="11.46484375" style="100" customWidth="1"/>
    <col min="10766" max="11008" width="9.1328125" style="100"/>
    <col min="11009" max="11009" width="0" style="100" hidden="1" customWidth="1"/>
    <col min="11010" max="11010" width="43.46484375" style="100" customWidth="1"/>
    <col min="11011" max="11011" width="3.6640625" style="100" customWidth="1"/>
    <col min="11012" max="11012" width="30.33203125" style="100" customWidth="1"/>
    <col min="11013" max="11013" width="18.46484375" style="100" customWidth="1"/>
    <col min="11014" max="11014" width="30.33203125" style="100" customWidth="1"/>
    <col min="11015" max="11015" width="18.46484375" style="100" customWidth="1"/>
    <col min="11016" max="11016" width="12.1328125" style="100" customWidth="1"/>
    <col min="11017" max="11017" width="11.46484375" style="100" customWidth="1"/>
    <col min="11018" max="11018" width="5" style="100" customWidth="1"/>
    <col min="11019" max="11019" width="18.46484375" style="100" customWidth="1"/>
    <col min="11020" max="11020" width="12.1328125" style="100" customWidth="1"/>
    <col min="11021" max="11021" width="11.46484375" style="100" customWidth="1"/>
    <col min="11022" max="11264" width="9.1328125" style="100"/>
    <col min="11265" max="11265" width="0" style="100" hidden="1" customWidth="1"/>
    <col min="11266" max="11266" width="43.46484375" style="100" customWidth="1"/>
    <col min="11267" max="11267" width="3.6640625" style="100" customWidth="1"/>
    <col min="11268" max="11268" width="30.33203125" style="100" customWidth="1"/>
    <col min="11269" max="11269" width="18.46484375" style="100" customWidth="1"/>
    <col min="11270" max="11270" width="30.33203125" style="100" customWidth="1"/>
    <col min="11271" max="11271" width="18.46484375" style="100" customWidth="1"/>
    <col min="11272" max="11272" width="12.1328125" style="100" customWidth="1"/>
    <col min="11273" max="11273" width="11.46484375" style="100" customWidth="1"/>
    <col min="11274" max="11274" width="5" style="100" customWidth="1"/>
    <col min="11275" max="11275" width="18.46484375" style="100" customWidth="1"/>
    <col min="11276" max="11276" width="12.1328125" style="100" customWidth="1"/>
    <col min="11277" max="11277" width="11.46484375" style="100" customWidth="1"/>
    <col min="11278" max="11520" width="9.1328125" style="100"/>
    <col min="11521" max="11521" width="0" style="100" hidden="1" customWidth="1"/>
    <col min="11522" max="11522" width="43.46484375" style="100" customWidth="1"/>
    <col min="11523" max="11523" width="3.6640625" style="100" customWidth="1"/>
    <col min="11524" max="11524" width="30.33203125" style="100" customWidth="1"/>
    <col min="11525" max="11525" width="18.46484375" style="100" customWidth="1"/>
    <col min="11526" max="11526" width="30.33203125" style="100" customWidth="1"/>
    <col min="11527" max="11527" width="18.46484375" style="100" customWidth="1"/>
    <col min="11528" max="11528" width="12.1328125" style="100" customWidth="1"/>
    <col min="11529" max="11529" width="11.46484375" style="100" customWidth="1"/>
    <col min="11530" max="11530" width="5" style="100" customWidth="1"/>
    <col min="11531" max="11531" width="18.46484375" style="100" customWidth="1"/>
    <col min="11532" max="11532" width="12.1328125" style="100" customWidth="1"/>
    <col min="11533" max="11533" width="11.46484375" style="100" customWidth="1"/>
    <col min="11534" max="11776" width="9.1328125" style="100"/>
    <col min="11777" max="11777" width="0" style="100" hidden="1" customWidth="1"/>
    <col min="11778" max="11778" width="43.46484375" style="100" customWidth="1"/>
    <col min="11779" max="11779" width="3.6640625" style="100" customWidth="1"/>
    <col min="11780" max="11780" width="30.33203125" style="100" customWidth="1"/>
    <col min="11781" max="11781" width="18.46484375" style="100" customWidth="1"/>
    <col min="11782" max="11782" width="30.33203125" style="100" customWidth="1"/>
    <col min="11783" max="11783" width="18.46484375" style="100" customWidth="1"/>
    <col min="11784" max="11784" width="12.1328125" style="100" customWidth="1"/>
    <col min="11785" max="11785" width="11.46484375" style="100" customWidth="1"/>
    <col min="11786" max="11786" width="5" style="100" customWidth="1"/>
    <col min="11787" max="11787" width="18.46484375" style="100" customWidth="1"/>
    <col min="11788" max="11788" width="12.1328125" style="100" customWidth="1"/>
    <col min="11789" max="11789" width="11.46484375" style="100" customWidth="1"/>
    <col min="11790" max="12032" width="9.1328125" style="100"/>
    <col min="12033" max="12033" width="0" style="100" hidden="1" customWidth="1"/>
    <col min="12034" max="12034" width="43.46484375" style="100" customWidth="1"/>
    <col min="12035" max="12035" width="3.6640625" style="100" customWidth="1"/>
    <col min="12036" max="12036" width="30.33203125" style="100" customWidth="1"/>
    <col min="12037" max="12037" width="18.46484375" style="100" customWidth="1"/>
    <col min="12038" max="12038" width="30.33203125" style="100" customWidth="1"/>
    <col min="12039" max="12039" width="18.46484375" style="100" customWidth="1"/>
    <col min="12040" max="12040" width="12.1328125" style="100" customWidth="1"/>
    <col min="12041" max="12041" width="11.46484375" style="100" customWidth="1"/>
    <col min="12042" max="12042" width="5" style="100" customWidth="1"/>
    <col min="12043" max="12043" width="18.46484375" style="100" customWidth="1"/>
    <col min="12044" max="12044" width="12.1328125" style="100" customWidth="1"/>
    <col min="12045" max="12045" width="11.46484375" style="100" customWidth="1"/>
    <col min="12046" max="12288" width="9.1328125" style="100"/>
    <col min="12289" max="12289" width="0" style="100" hidden="1" customWidth="1"/>
    <col min="12290" max="12290" width="43.46484375" style="100" customWidth="1"/>
    <col min="12291" max="12291" width="3.6640625" style="100" customWidth="1"/>
    <col min="12292" max="12292" width="30.33203125" style="100" customWidth="1"/>
    <col min="12293" max="12293" width="18.46484375" style="100" customWidth="1"/>
    <col min="12294" max="12294" width="30.33203125" style="100" customWidth="1"/>
    <col min="12295" max="12295" width="18.46484375" style="100" customWidth="1"/>
    <col min="12296" max="12296" width="12.1328125" style="100" customWidth="1"/>
    <col min="12297" max="12297" width="11.46484375" style="100" customWidth="1"/>
    <col min="12298" max="12298" width="5" style="100" customWidth="1"/>
    <col min="12299" max="12299" width="18.46484375" style="100" customWidth="1"/>
    <col min="12300" max="12300" width="12.1328125" style="100" customWidth="1"/>
    <col min="12301" max="12301" width="11.46484375" style="100" customWidth="1"/>
    <col min="12302" max="12544" width="9.1328125" style="100"/>
    <col min="12545" max="12545" width="0" style="100" hidden="1" customWidth="1"/>
    <col min="12546" max="12546" width="43.46484375" style="100" customWidth="1"/>
    <col min="12547" max="12547" width="3.6640625" style="100" customWidth="1"/>
    <col min="12548" max="12548" width="30.33203125" style="100" customWidth="1"/>
    <col min="12549" max="12549" width="18.46484375" style="100" customWidth="1"/>
    <col min="12550" max="12550" width="30.33203125" style="100" customWidth="1"/>
    <col min="12551" max="12551" width="18.46484375" style="100" customWidth="1"/>
    <col min="12552" max="12552" width="12.1328125" style="100" customWidth="1"/>
    <col min="12553" max="12553" width="11.46484375" style="100" customWidth="1"/>
    <col min="12554" max="12554" width="5" style="100" customWidth="1"/>
    <col min="12555" max="12555" width="18.46484375" style="100" customWidth="1"/>
    <col min="12556" max="12556" width="12.1328125" style="100" customWidth="1"/>
    <col min="12557" max="12557" width="11.46484375" style="100" customWidth="1"/>
    <col min="12558" max="12800" width="9.1328125" style="100"/>
    <col min="12801" max="12801" width="0" style="100" hidden="1" customWidth="1"/>
    <col min="12802" max="12802" width="43.46484375" style="100" customWidth="1"/>
    <col min="12803" max="12803" width="3.6640625" style="100" customWidth="1"/>
    <col min="12804" max="12804" width="30.33203125" style="100" customWidth="1"/>
    <col min="12805" max="12805" width="18.46484375" style="100" customWidth="1"/>
    <col min="12806" max="12806" width="30.33203125" style="100" customWidth="1"/>
    <col min="12807" max="12807" width="18.46484375" style="100" customWidth="1"/>
    <col min="12808" max="12808" width="12.1328125" style="100" customWidth="1"/>
    <col min="12809" max="12809" width="11.46484375" style="100" customWidth="1"/>
    <col min="12810" max="12810" width="5" style="100" customWidth="1"/>
    <col min="12811" max="12811" width="18.46484375" style="100" customWidth="1"/>
    <col min="12812" max="12812" width="12.1328125" style="100" customWidth="1"/>
    <col min="12813" max="12813" width="11.46484375" style="100" customWidth="1"/>
    <col min="12814" max="13056" width="9.1328125" style="100"/>
    <col min="13057" max="13057" width="0" style="100" hidden="1" customWidth="1"/>
    <col min="13058" max="13058" width="43.46484375" style="100" customWidth="1"/>
    <col min="13059" max="13059" width="3.6640625" style="100" customWidth="1"/>
    <col min="13060" max="13060" width="30.33203125" style="100" customWidth="1"/>
    <col min="13061" max="13061" width="18.46484375" style="100" customWidth="1"/>
    <col min="13062" max="13062" width="30.33203125" style="100" customWidth="1"/>
    <col min="13063" max="13063" width="18.46484375" style="100" customWidth="1"/>
    <col min="13064" max="13064" width="12.1328125" style="100" customWidth="1"/>
    <col min="13065" max="13065" width="11.46484375" style="100" customWidth="1"/>
    <col min="13066" max="13066" width="5" style="100" customWidth="1"/>
    <col min="13067" max="13067" width="18.46484375" style="100" customWidth="1"/>
    <col min="13068" max="13068" width="12.1328125" style="100" customWidth="1"/>
    <col min="13069" max="13069" width="11.46484375" style="100" customWidth="1"/>
    <col min="13070" max="13312" width="9.1328125" style="100"/>
    <col min="13313" max="13313" width="0" style="100" hidden="1" customWidth="1"/>
    <col min="13314" max="13314" width="43.46484375" style="100" customWidth="1"/>
    <col min="13315" max="13315" width="3.6640625" style="100" customWidth="1"/>
    <col min="13316" max="13316" width="30.33203125" style="100" customWidth="1"/>
    <col min="13317" max="13317" width="18.46484375" style="100" customWidth="1"/>
    <col min="13318" max="13318" width="30.33203125" style="100" customWidth="1"/>
    <col min="13319" max="13319" width="18.46484375" style="100" customWidth="1"/>
    <col min="13320" max="13320" width="12.1328125" style="100" customWidth="1"/>
    <col min="13321" max="13321" width="11.46484375" style="100" customWidth="1"/>
    <col min="13322" max="13322" width="5" style="100" customWidth="1"/>
    <col min="13323" max="13323" width="18.46484375" style="100" customWidth="1"/>
    <col min="13324" max="13324" width="12.1328125" style="100" customWidth="1"/>
    <col min="13325" max="13325" width="11.46484375" style="100" customWidth="1"/>
    <col min="13326" max="13568" width="9.1328125" style="100"/>
    <col min="13569" max="13569" width="0" style="100" hidden="1" customWidth="1"/>
    <col min="13570" max="13570" width="43.46484375" style="100" customWidth="1"/>
    <col min="13571" max="13571" width="3.6640625" style="100" customWidth="1"/>
    <col min="13572" max="13572" width="30.33203125" style="100" customWidth="1"/>
    <col min="13573" max="13573" width="18.46484375" style="100" customWidth="1"/>
    <col min="13574" max="13574" width="30.33203125" style="100" customWidth="1"/>
    <col min="13575" max="13575" width="18.46484375" style="100" customWidth="1"/>
    <col min="13576" max="13576" width="12.1328125" style="100" customWidth="1"/>
    <col min="13577" max="13577" width="11.46484375" style="100" customWidth="1"/>
    <col min="13578" max="13578" width="5" style="100" customWidth="1"/>
    <col min="13579" max="13579" width="18.46484375" style="100" customWidth="1"/>
    <col min="13580" max="13580" width="12.1328125" style="100" customWidth="1"/>
    <col min="13581" max="13581" width="11.46484375" style="100" customWidth="1"/>
    <col min="13582" max="13824" width="9.1328125" style="100"/>
    <col min="13825" max="13825" width="0" style="100" hidden="1" customWidth="1"/>
    <col min="13826" max="13826" width="43.46484375" style="100" customWidth="1"/>
    <col min="13827" max="13827" width="3.6640625" style="100" customWidth="1"/>
    <col min="13828" max="13828" width="30.33203125" style="100" customWidth="1"/>
    <col min="13829" max="13829" width="18.46484375" style="100" customWidth="1"/>
    <col min="13830" max="13830" width="30.33203125" style="100" customWidth="1"/>
    <col min="13831" max="13831" width="18.46484375" style="100" customWidth="1"/>
    <col min="13832" max="13832" width="12.1328125" style="100" customWidth="1"/>
    <col min="13833" max="13833" width="11.46484375" style="100" customWidth="1"/>
    <col min="13834" max="13834" width="5" style="100" customWidth="1"/>
    <col min="13835" max="13835" width="18.46484375" style="100" customWidth="1"/>
    <col min="13836" max="13836" width="12.1328125" style="100" customWidth="1"/>
    <col min="13837" max="13837" width="11.46484375" style="100" customWidth="1"/>
    <col min="13838" max="14080" width="9.1328125" style="100"/>
    <col min="14081" max="14081" width="0" style="100" hidden="1" customWidth="1"/>
    <col min="14082" max="14082" width="43.46484375" style="100" customWidth="1"/>
    <col min="14083" max="14083" width="3.6640625" style="100" customWidth="1"/>
    <col min="14084" max="14084" width="30.33203125" style="100" customWidth="1"/>
    <col min="14085" max="14085" width="18.46484375" style="100" customWidth="1"/>
    <col min="14086" max="14086" width="30.33203125" style="100" customWidth="1"/>
    <col min="14087" max="14087" width="18.46484375" style="100" customWidth="1"/>
    <col min="14088" max="14088" width="12.1328125" style="100" customWidth="1"/>
    <col min="14089" max="14089" width="11.46484375" style="100" customWidth="1"/>
    <col min="14090" max="14090" width="5" style="100" customWidth="1"/>
    <col min="14091" max="14091" width="18.46484375" style="100" customWidth="1"/>
    <col min="14092" max="14092" width="12.1328125" style="100" customWidth="1"/>
    <col min="14093" max="14093" width="11.46484375" style="100" customWidth="1"/>
    <col min="14094" max="14336" width="9.1328125" style="100"/>
    <col min="14337" max="14337" width="0" style="100" hidden="1" customWidth="1"/>
    <col min="14338" max="14338" width="43.46484375" style="100" customWidth="1"/>
    <col min="14339" max="14339" width="3.6640625" style="100" customWidth="1"/>
    <col min="14340" max="14340" width="30.33203125" style="100" customWidth="1"/>
    <col min="14341" max="14341" width="18.46484375" style="100" customWidth="1"/>
    <col min="14342" max="14342" width="30.33203125" style="100" customWidth="1"/>
    <col min="14343" max="14343" width="18.46484375" style="100" customWidth="1"/>
    <col min="14344" max="14344" width="12.1328125" style="100" customWidth="1"/>
    <col min="14345" max="14345" width="11.46484375" style="100" customWidth="1"/>
    <col min="14346" max="14346" width="5" style="100" customWidth="1"/>
    <col min="14347" max="14347" width="18.46484375" style="100" customWidth="1"/>
    <col min="14348" max="14348" width="12.1328125" style="100" customWidth="1"/>
    <col min="14349" max="14349" width="11.46484375" style="100" customWidth="1"/>
    <col min="14350" max="14592" width="9.1328125" style="100"/>
    <col min="14593" max="14593" width="0" style="100" hidden="1" customWidth="1"/>
    <col min="14594" max="14594" width="43.46484375" style="100" customWidth="1"/>
    <col min="14595" max="14595" width="3.6640625" style="100" customWidth="1"/>
    <col min="14596" max="14596" width="30.33203125" style="100" customWidth="1"/>
    <col min="14597" max="14597" width="18.46484375" style="100" customWidth="1"/>
    <col min="14598" max="14598" width="30.33203125" style="100" customWidth="1"/>
    <col min="14599" max="14599" width="18.46484375" style="100" customWidth="1"/>
    <col min="14600" max="14600" width="12.1328125" style="100" customWidth="1"/>
    <col min="14601" max="14601" width="11.46484375" style="100" customWidth="1"/>
    <col min="14602" max="14602" width="5" style="100" customWidth="1"/>
    <col min="14603" max="14603" width="18.46484375" style="100" customWidth="1"/>
    <col min="14604" max="14604" width="12.1328125" style="100" customWidth="1"/>
    <col min="14605" max="14605" width="11.46484375" style="100" customWidth="1"/>
    <col min="14606" max="14848" width="9.1328125" style="100"/>
    <col min="14849" max="14849" width="0" style="100" hidden="1" customWidth="1"/>
    <col min="14850" max="14850" width="43.46484375" style="100" customWidth="1"/>
    <col min="14851" max="14851" width="3.6640625" style="100" customWidth="1"/>
    <col min="14852" max="14852" width="30.33203125" style="100" customWidth="1"/>
    <col min="14853" max="14853" width="18.46484375" style="100" customWidth="1"/>
    <col min="14854" max="14854" width="30.33203125" style="100" customWidth="1"/>
    <col min="14855" max="14855" width="18.46484375" style="100" customWidth="1"/>
    <col min="14856" max="14856" width="12.1328125" style="100" customWidth="1"/>
    <col min="14857" max="14857" width="11.46484375" style="100" customWidth="1"/>
    <col min="14858" max="14858" width="5" style="100" customWidth="1"/>
    <col min="14859" max="14859" width="18.46484375" style="100" customWidth="1"/>
    <col min="14860" max="14860" width="12.1328125" style="100" customWidth="1"/>
    <col min="14861" max="14861" width="11.46484375" style="100" customWidth="1"/>
    <col min="14862" max="15104" width="9.1328125" style="100"/>
    <col min="15105" max="15105" width="0" style="100" hidden="1" customWidth="1"/>
    <col min="15106" max="15106" width="43.46484375" style="100" customWidth="1"/>
    <col min="15107" max="15107" width="3.6640625" style="100" customWidth="1"/>
    <col min="15108" max="15108" width="30.33203125" style="100" customWidth="1"/>
    <col min="15109" max="15109" width="18.46484375" style="100" customWidth="1"/>
    <col min="15110" max="15110" width="30.33203125" style="100" customWidth="1"/>
    <col min="15111" max="15111" width="18.46484375" style="100" customWidth="1"/>
    <col min="15112" max="15112" width="12.1328125" style="100" customWidth="1"/>
    <col min="15113" max="15113" width="11.46484375" style="100" customWidth="1"/>
    <col min="15114" max="15114" width="5" style="100" customWidth="1"/>
    <col min="15115" max="15115" width="18.46484375" style="100" customWidth="1"/>
    <col min="15116" max="15116" width="12.1328125" style="100" customWidth="1"/>
    <col min="15117" max="15117" width="11.46484375" style="100" customWidth="1"/>
    <col min="15118" max="15360" width="9.1328125" style="100"/>
    <col min="15361" max="15361" width="0" style="100" hidden="1" customWidth="1"/>
    <col min="15362" max="15362" width="43.46484375" style="100" customWidth="1"/>
    <col min="15363" max="15363" width="3.6640625" style="100" customWidth="1"/>
    <col min="15364" max="15364" width="30.33203125" style="100" customWidth="1"/>
    <col min="15365" max="15365" width="18.46484375" style="100" customWidth="1"/>
    <col min="15366" max="15366" width="30.33203125" style="100" customWidth="1"/>
    <col min="15367" max="15367" width="18.46484375" style="100" customWidth="1"/>
    <col min="15368" max="15368" width="12.1328125" style="100" customWidth="1"/>
    <col min="15369" max="15369" width="11.46484375" style="100" customWidth="1"/>
    <col min="15370" max="15370" width="5" style="100" customWidth="1"/>
    <col min="15371" max="15371" width="18.46484375" style="100" customWidth="1"/>
    <col min="15372" max="15372" width="12.1328125" style="100" customWidth="1"/>
    <col min="15373" max="15373" width="11.46484375" style="100" customWidth="1"/>
    <col min="15374" max="15616" width="9.1328125" style="100"/>
    <col min="15617" max="15617" width="0" style="100" hidden="1" customWidth="1"/>
    <col min="15618" max="15618" width="43.46484375" style="100" customWidth="1"/>
    <col min="15619" max="15619" width="3.6640625" style="100" customWidth="1"/>
    <col min="15620" max="15620" width="30.33203125" style="100" customWidth="1"/>
    <col min="15621" max="15621" width="18.46484375" style="100" customWidth="1"/>
    <col min="15622" max="15622" width="30.33203125" style="100" customWidth="1"/>
    <col min="15623" max="15623" width="18.46484375" style="100" customWidth="1"/>
    <col min="15624" max="15624" width="12.1328125" style="100" customWidth="1"/>
    <col min="15625" max="15625" width="11.46484375" style="100" customWidth="1"/>
    <col min="15626" max="15626" width="5" style="100" customWidth="1"/>
    <col min="15627" max="15627" width="18.46484375" style="100" customWidth="1"/>
    <col min="15628" max="15628" width="12.1328125" style="100" customWidth="1"/>
    <col min="15629" max="15629" width="11.46484375" style="100" customWidth="1"/>
    <col min="15630" max="15872" width="9.1328125" style="100"/>
    <col min="15873" max="15873" width="0" style="100" hidden="1" customWidth="1"/>
    <col min="15874" max="15874" width="43.46484375" style="100" customWidth="1"/>
    <col min="15875" max="15875" width="3.6640625" style="100" customWidth="1"/>
    <col min="15876" max="15876" width="30.33203125" style="100" customWidth="1"/>
    <col min="15877" max="15877" width="18.46484375" style="100" customWidth="1"/>
    <col min="15878" max="15878" width="30.33203125" style="100" customWidth="1"/>
    <col min="15879" max="15879" width="18.46484375" style="100" customWidth="1"/>
    <col min="15880" max="15880" width="12.1328125" style="100" customWidth="1"/>
    <col min="15881" max="15881" width="11.46484375" style="100" customWidth="1"/>
    <col min="15882" max="15882" width="5" style="100" customWidth="1"/>
    <col min="15883" max="15883" width="18.46484375" style="100" customWidth="1"/>
    <col min="15884" max="15884" width="12.1328125" style="100" customWidth="1"/>
    <col min="15885" max="15885" width="11.46484375" style="100" customWidth="1"/>
    <col min="15886" max="16128" width="9.1328125" style="100"/>
    <col min="16129" max="16129" width="0" style="100" hidden="1" customWidth="1"/>
    <col min="16130" max="16130" width="43.46484375" style="100" customWidth="1"/>
    <col min="16131" max="16131" width="3.6640625" style="100" customWidth="1"/>
    <col min="16132" max="16132" width="30.33203125" style="100" customWidth="1"/>
    <col min="16133" max="16133" width="18.46484375" style="100" customWidth="1"/>
    <col min="16134" max="16134" width="30.33203125" style="100" customWidth="1"/>
    <col min="16135" max="16135" width="18.46484375" style="100" customWidth="1"/>
    <col min="16136" max="16136" width="12.1328125" style="100" customWidth="1"/>
    <col min="16137" max="16137" width="11.46484375" style="100" customWidth="1"/>
    <col min="16138" max="16138" width="5" style="100" customWidth="1"/>
    <col min="16139" max="16139" width="18.46484375" style="100" customWidth="1"/>
    <col min="16140" max="16140" width="12.1328125" style="100" customWidth="1"/>
    <col min="16141" max="16141" width="11.46484375" style="100" customWidth="1"/>
    <col min="16142" max="16384" width="9.1328125" style="100"/>
  </cols>
  <sheetData>
    <row r="1" spans="1:256" ht="12.75" customHeight="1">
      <c r="A1" s="97"/>
      <c r="B1" s="140"/>
      <c r="C1" s="97"/>
      <c r="D1" s="97"/>
      <c r="E1" s="97"/>
      <c r="F1" s="97"/>
      <c r="G1" s="97"/>
      <c r="H1" s="97"/>
      <c r="I1" s="97"/>
      <c r="J1" s="98"/>
      <c r="K1" s="97"/>
      <c r="L1" s="97"/>
      <c r="M1" s="97"/>
      <c r="N1" s="99"/>
      <c r="O1" s="99"/>
      <c r="P1" s="99"/>
      <c r="Q1" s="99"/>
      <c r="R1" s="99"/>
      <c r="S1" s="99"/>
      <c r="T1" s="99"/>
      <c r="U1" s="99"/>
      <c r="V1" s="99"/>
      <c r="W1" s="99"/>
      <c r="X1" s="99"/>
      <c r="Y1" s="99"/>
      <c r="Z1" s="99"/>
      <c r="AA1" s="99"/>
      <c r="AB1" s="99"/>
      <c r="AC1" s="99"/>
      <c r="AD1" s="99"/>
      <c r="AE1" s="99"/>
    </row>
    <row r="2" spans="1:256" s="221" customFormat="1" ht="21" customHeight="1">
      <c r="A2" s="97"/>
      <c r="B2" s="3188" t="s">
        <v>0</v>
      </c>
      <c r="C2" s="99"/>
      <c r="D2" s="217" t="s">
        <v>48</v>
      </c>
      <c r="E2" s="218"/>
      <c r="F2" s="218"/>
      <c r="G2" s="219"/>
      <c r="H2" s="220"/>
      <c r="I2" s="218"/>
      <c r="J2" s="218"/>
      <c r="K2" s="218"/>
      <c r="L2" s="218"/>
      <c r="M2" s="218"/>
      <c r="N2" s="220"/>
      <c r="O2" s="220"/>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c r="EA2" s="218"/>
      <c r="EB2" s="218"/>
      <c r="EC2" s="218"/>
      <c r="ED2" s="218"/>
      <c r="EE2" s="218"/>
      <c r="EF2" s="218"/>
      <c r="EG2" s="218"/>
      <c r="EH2" s="218"/>
      <c r="EI2" s="218"/>
      <c r="EJ2" s="218"/>
      <c r="EK2" s="218"/>
      <c r="EL2" s="218"/>
      <c r="EM2" s="218"/>
      <c r="EN2" s="218"/>
      <c r="EO2" s="218"/>
      <c r="EP2" s="218"/>
      <c r="EQ2" s="218"/>
      <c r="ER2" s="218"/>
      <c r="ES2" s="218"/>
      <c r="ET2" s="218"/>
      <c r="EU2" s="218"/>
      <c r="EV2" s="218"/>
      <c r="EW2" s="218"/>
      <c r="EX2" s="218"/>
      <c r="EY2" s="218"/>
      <c r="EZ2" s="218"/>
      <c r="FA2" s="218"/>
      <c r="FB2" s="218"/>
      <c r="FC2" s="218"/>
      <c r="FD2" s="218"/>
      <c r="FE2" s="218"/>
      <c r="FF2" s="218"/>
      <c r="FG2" s="218"/>
      <c r="FH2" s="218"/>
      <c r="FI2" s="218"/>
      <c r="FJ2" s="218"/>
      <c r="FK2" s="218"/>
      <c r="FL2" s="218"/>
      <c r="FM2" s="218"/>
      <c r="FN2" s="218"/>
      <c r="FO2" s="218"/>
      <c r="FP2" s="218"/>
      <c r="FQ2" s="218"/>
      <c r="FR2" s="218"/>
      <c r="FS2" s="218"/>
      <c r="FT2" s="218"/>
      <c r="FU2" s="218"/>
      <c r="FV2" s="218"/>
      <c r="FW2" s="218"/>
      <c r="FX2" s="218"/>
      <c r="FY2" s="218"/>
      <c r="FZ2" s="218"/>
      <c r="GA2" s="218"/>
      <c r="GB2" s="218"/>
      <c r="GC2" s="218"/>
      <c r="GD2" s="218"/>
      <c r="GE2" s="218"/>
      <c r="GF2" s="218"/>
      <c r="GG2" s="218"/>
      <c r="GH2" s="218"/>
      <c r="GI2" s="218"/>
      <c r="GJ2" s="218"/>
      <c r="GK2" s="218"/>
      <c r="GL2" s="218"/>
      <c r="GM2" s="218"/>
      <c r="GN2" s="218"/>
      <c r="GO2" s="218"/>
      <c r="GP2" s="218"/>
      <c r="GQ2" s="218"/>
      <c r="GR2" s="218"/>
      <c r="GS2" s="218"/>
      <c r="GT2" s="218"/>
      <c r="GU2" s="218"/>
      <c r="GV2" s="218"/>
      <c r="GW2" s="218"/>
      <c r="GX2" s="218"/>
      <c r="GY2" s="218"/>
      <c r="GZ2" s="218"/>
      <c r="HA2" s="218"/>
      <c r="HB2" s="218"/>
      <c r="HC2" s="218"/>
      <c r="HD2" s="218"/>
      <c r="HE2" s="218"/>
      <c r="HF2" s="218"/>
      <c r="HG2" s="218"/>
      <c r="HH2" s="218"/>
      <c r="HI2" s="218"/>
      <c r="HJ2" s="218"/>
      <c r="HK2" s="218"/>
      <c r="HL2" s="218"/>
      <c r="HM2" s="218"/>
      <c r="HN2" s="218"/>
      <c r="HO2" s="218"/>
      <c r="HP2" s="218"/>
      <c r="HQ2" s="218"/>
      <c r="HR2" s="218"/>
      <c r="HS2" s="218"/>
      <c r="HT2" s="218"/>
      <c r="HU2" s="218"/>
      <c r="HV2" s="218"/>
      <c r="HW2" s="218"/>
      <c r="HX2" s="218"/>
      <c r="HY2" s="218"/>
      <c r="HZ2" s="218"/>
      <c r="IA2" s="218"/>
      <c r="IB2" s="218"/>
      <c r="IC2" s="218"/>
      <c r="ID2" s="218"/>
      <c r="IE2" s="218"/>
      <c r="IF2" s="218"/>
      <c r="IG2" s="218"/>
      <c r="IH2" s="218"/>
      <c r="II2" s="218"/>
      <c r="IJ2" s="218"/>
      <c r="IK2" s="218"/>
      <c r="IL2" s="218"/>
      <c r="IM2" s="218"/>
      <c r="IN2" s="218"/>
      <c r="IO2" s="218"/>
      <c r="IP2" s="218"/>
      <c r="IQ2" s="218"/>
      <c r="IR2" s="218"/>
      <c r="IS2" s="218"/>
      <c r="IT2" s="218"/>
      <c r="IU2" s="218"/>
      <c r="IV2" s="218"/>
    </row>
    <row r="3" spans="1:256" ht="21" customHeight="1">
      <c r="A3" s="97"/>
      <c r="B3" s="3188"/>
    </row>
    <row r="4" spans="1:256" ht="21" customHeight="1">
      <c r="A4" s="97"/>
      <c r="B4" s="62"/>
      <c r="D4" s="101" t="s">
        <v>49</v>
      </c>
      <c r="E4" s="102"/>
      <c r="F4" s="102"/>
      <c r="G4" s="103"/>
    </row>
    <row r="5" spans="1:256" ht="21" customHeight="1">
      <c r="A5" s="97"/>
      <c r="B5" s="62" t="s">
        <v>1</v>
      </c>
      <c r="D5" s="104" t="s">
        <v>50</v>
      </c>
      <c r="E5" s="105"/>
      <c r="F5" s="105"/>
      <c r="G5" s="106" t="s">
        <v>51</v>
      </c>
    </row>
    <row r="6" spans="1:256" ht="21" customHeight="1">
      <c r="A6" s="97"/>
      <c r="B6" s="146" t="s">
        <v>452</v>
      </c>
      <c r="D6" s="107" t="s">
        <v>53</v>
      </c>
      <c r="E6" s="108"/>
      <c r="F6" s="109" t="s">
        <v>54</v>
      </c>
      <c r="G6" s="110"/>
    </row>
    <row r="7" spans="1:256" ht="21" customHeight="1">
      <c r="A7" s="97"/>
      <c r="B7" s="145" t="s">
        <v>300</v>
      </c>
      <c r="D7" s="111" t="s">
        <v>55</v>
      </c>
      <c r="E7" s="112" t="s">
        <v>56</v>
      </c>
      <c r="F7" s="113" t="s">
        <v>55</v>
      </c>
      <c r="G7" s="114" t="s">
        <v>56</v>
      </c>
    </row>
    <row r="8" spans="1:256" ht="21" customHeight="1">
      <c r="A8" s="97"/>
      <c r="B8" s="810" t="s">
        <v>1392</v>
      </c>
      <c r="D8" s="115" t="s">
        <v>57</v>
      </c>
      <c r="E8" s="116"/>
      <c r="F8" s="117" t="s">
        <v>58</v>
      </c>
      <c r="G8" s="118"/>
    </row>
    <row r="9" spans="1:256" ht="21" customHeight="1">
      <c r="A9" s="97"/>
      <c r="B9" s="145" t="s">
        <v>419</v>
      </c>
      <c r="D9" s="119" t="s">
        <v>59</v>
      </c>
      <c r="E9" s="120">
        <v>1.0935999999999999</v>
      </c>
      <c r="F9" s="121" t="s">
        <v>60</v>
      </c>
      <c r="G9" s="239">
        <v>231</v>
      </c>
    </row>
    <row r="10" spans="1:256" ht="21" customHeight="1">
      <c r="A10" s="97"/>
      <c r="B10" s="810" t="s">
        <v>420</v>
      </c>
      <c r="D10" s="122" t="s">
        <v>61</v>
      </c>
      <c r="E10" s="123">
        <v>3.2808000000000002</v>
      </c>
      <c r="F10" s="124" t="s">
        <v>62</v>
      </c>
      <c r="G10" s="123">
        <v>0.13368099999999999</v>
      </c>
    </row>
    <row r="11" spans="1:256" ht="21" customHeight="1">
      <c r="A11" s="97"/>
      <c r="B11" s="147" t="s">
        <v>52</v>
      </c>
      <c r="D11" s="122" t="s">
        <v>63</v>
      </c>
      <c r="E11" s="123">
        <v>39.369999999999997</v>
      </c>
      <c r="F11" s="124" t="s">
        <v>64</v>
      </c>
      <c r="G11" s="123">
        <v>0.83267400000000003</v>
      </c>
    </row>
    <row r="12" spans="1:256" ht="21" customHeight="1">
      <c r="A12" s="97"/>
      <c r="B12" s="168" t="s">
        <v>96</v>
      </c>
      <c r="D12" s="125"/>
      <c r="E12" s="125"/>
      <c r="F12" s="124" t="s">
        <v>65</v>
      </c>
      <c r="G12" s="123">
        <v>2.3809500000000001E-2</v>
      </c>
    </row>
    <row r="13" spans="1:256" ht="21" customHeight="1">
      <c r="A13" s="97"/>
      <c r="B13" s="810" t="s">
        <v>1343</v>
      </c>
      <c r="D13" s="125"/>
      <c r="E13" s="125"/>
      <c r="F13" s="124" t="s">
        <v>66</v>
      </c>
      <c r="G13" s="123">
        <v>3.7854100000000002</v>
      </c>
    </row>
    <row r="14" spans="1:256" ht="21" customHeight="1">
      <c r="A14" s="97"/>
      <c r="B14" s="62" t="s">
        <v>239</v>
      </c>
      <c r="D14" s="117" t="s">
        <v>67</v>
      </c>
      <c r="E14" s="126"/>
      <c r="F14" s="117" t="s">
        <v>68</v>
      </c>
      <c r="G14" s="127"/>
    </row>
    <row r="15" spans="1:256" ht="21" customHeight="1">
      <c r="A15" s="97"/>
      <c r="B15" s="62" t="s">
        <v>1263</v>
      </c>
      <c r="D15" s="119" t="s">
        <v>69</v>
      </c>
      <c r="E15" s="236">
        <v>0.91439999999999999</v>
      </c>
      <c r="F15" s="121" t="s">
        <v>70</v>
      </c>
      <c r="G15" s="239">
        <v>42</v>
      </c>
    </row>
    <row r="16" spans="1:256" ht="21" customHeight="1">
      <c r="A16" s="97"/>
      <c r="B16" s="62" t="s">
        <v>557</v>
      </c>
      <c r="D16" s="125"/>
      <c r="E16" s="125"/>
      <c r="F16" s="124" t="s">
        <v>60</v>
      </c>
      <c r="G16" s="239">
        <v>9702</v>
      </c>
    </row>
    <row r="17" spans="1:7" ht="21" customHeight="1">
      <c r="A17" s="97"/>
      <c r="B17" s="62" t="s">
        <v>238</v>
      </c>
      <c r="D17" s="117" t="s">
        <v>71</v>
      </c>
      <c r="E17" s="126"/>
      <c r="F17" s="124" t="s">
        <v>62</v>
      </c>
      <c r="G17" s="123">
        <v>5.6145800000000001</v>
      </c>
    </row>
    <row r="18" spans="1:7" ht="21" customHeight="1">
      <c r="A18" s="97"/>
      <c r="B18" s="62" t="s">
        <v>1652</v>
      </c>
      <c r="D18" s="119" t="s">
        <v>69</v>
      </c>
      <c r="E18" s="236">
        <v>0.30480000000000002</v>
      </c>
      <c r="F18" s="124" t="s">
        <v>64</v>
      </c>
      <c r="G18" s="123">
        <v>34.972299999999997</v>
      </c>
    </row>
    <row r="19" spans="1:7" ht="21" customHeight="1">
      <c r="A19" s="97"/>
      <c r="B19" s="62" t="s">
        <v>1653</v>
      </c>
      <c r="D19" s="125"/>
      <c r="E19" s="129"/>
      <c r="F19" s="124" t="s">
        <v>66</v>
      </c>
      <c r="G19" s="123">
        <v>158.98699999999999</v>
      </c>
    </row>
    <row r="20" spans="1:7" ht="21" customHeight="1">
      <c r="A20" s="97"/>
      <c r="B20" s="62" t="s">
        <v>40</v>
      </c>
      <c r="D20" s="117" t="s">
        <v>72</v>
      </c>
      <c r="E20" s="126"/>
      <c r="F20" s="117" t="s">
        <v>73</v>
      </c>
      <c r="G20" s="127"/>
    </row>
    <row r="21" spans="1:7" ht="21" customHeight="1">
      <c r="A21" s="97"/>
      <c r="B21" s="62" t="s">
        <v>238</v>
      </c>
      <c r="D21" s="130" t="s">
        <v>74</v>
      </c>
      <c r="E21" s="237">
        <v>2.54</v>
      </c>
      <c r="F21" s="121" t="s">
        <v>60</v>
      </c>
      <c r="G21" s="120">
        <v>277.42</v>
      </c>
    </row>
    <row r="22" spans="1:7" ht="21" customHeight="1">
      <c r="A22" s="97"/>
      <c r="B22" s="62" t="s">
        <v>39</v>
      </c>
      <c r="E22" s="830"/>
      <c r="F22" s="124" t="s">
        <v>62</v>
      </c>
      <c r="G22" s="123">
        <v>0.16054399999999999</v>
      </c>
    </row>
    <row r="23" spans="1:7" ht="21" customHeight="1">
      <c r="A23" s="97"/>
      <c r="B23" s="62" t="s">
        <v>38</v>
      </c>
      <c r="D23" s="816"/>
      <c r="E23" s="817"/>
      <c r="F23" s="124" t="s">
        <v>70</v>
      </c>
      <c r="G23" s="123">
        <v>1.20095</v>
      </c>
    </row>
    <row r="24" spans="1:7" ht="21" customHeight="1">
      <c r="A24" s="97"/>
      <c r="B24" s="62"/>
      <c r="D24" s="3192" t="s">
        <v>75</v>
      </c>
      <c r="E24" s="3193"/>
      <c r="F24" s="124" t="s">
        <v>65</v>
      </c>
      <c r="G24" s="123">
        <v>2.8594100000000001E-2</v>
      </c>
    </row>
    <row r="25" spans="1:7" ht="21" customHeight="1">
      <c r="A25" s="97"/>
      <c r="B25" s="62"/>
      <c r="D25" s="812" t="s">
        <v>55</v>
      </c>
      <c r="E25" s="811" t="s">
        <v>56</v>
      </c>
      <c r="F25" s="124" t="s">
        <v>66</v>
      </c>
      <c r="G25" s="123">
        <v>4.54596</v>
      </c>
    </row>
    <row r="26" spans="1:7" ht="21" customHeight="1">
      <c r="A26" s="97"/>
      <c r="B26" s="62"/>
      <c r="D26" s="117" t="s">
        <v>77</v>
      </c>
      <c r="E26" s="116"/>
      <c r="F26" s="117" t="s">
        <v>76</v>
      </c>
      <c r="G26" s="127"/>
    </row>
    <row r="27" spans="1:7" ht="21" customHeight="1">
      <c r="A27" s="97"/>
      <c r="B27" s="62"/>
      <c r="D27" s="119" t="s">
        <v>78</v>
      </c>
      <c r="E27" s="818">
        <v>2240</v>
      </c>
      <c r="F27" s="121" t="s">
        <v>64</v>
      </c>
      <c r="G27" s="120">
        <v>6.2288300000000003</v>
      </c>
    </row>
    <row r="28" spans="1:7" ht="21" customHeight="1">
      <c r="A28" s="97"/>
      <c r="B28" s="62"/>
      <c r="D28" s="122" t="s">
        <v>79</v>
      </c>
      <c r="E28" s="238">
        <v>1.1200000000000001</v>
      </c>
      <c r="F28" s="124" t="s">
        <v>70</v>
      </c>
      <c r="G28" s="123">
        <v>7.4805200000000003</v>
      </c>
    </row>
    <row r="29" spans="1:7" ht="21" customHeight="1">
      <c r="A29" s="97"/>
      <c r="B29" s="62"/>
      <c r="D29" s="122" t="s">
        <v>80</v>
      </c>
      <c r="E29" s="128">
        <v>1.0160499999999999</v>
      </c>
      <c r="F29" s="124" t="s">
        <v>65</v>
      </c>
      <c r="G29" s="123">
        <v>0.17810799999999999</v>
      </c>
    </row>
    <row r="30" spans="1:7" ht="21" customHeight="1">
      <c r="A30" s="97"/>
      <c r="B30" s="62"/>
      <c r="D30" s="125"/>
      <c r="E30" s="129"/>
      <c r="F30" s="124" t="s">
        <v>66</v>
      </c>
      <c r="G30" s="123">
        <v>28.3169</v>
      </c>
    </row>
    <row r="31" spans="1:7" ht="21" customHeight="1">
      <c r="A31" s="97"/>
      <c r="B31" s="62"/>
      <c r="D31" s="117" t="s">
        <v>83</v>
      </c>
      <c r="E31" s="126"/>
      <c r="F31" s="124" t="s">
        <v>81</v>
      </c>
      <c r="G31" s="123">
        <v>2.8316899999999999E-2</v>
      </c>
    </row>
    <row r="32" spans="1:7" ht="21" customHeight="1">
      <c r="A32" s="97"/>
      <c r="B32" s="62"/>
      <c r="D32" s="119" t="s">
        <v>78</v>
      </c>
      <c r="E32" s="818">
        <v>2000</v>
      </c>
      <c r="F32" s="117" t="s">
        <v>82</v>
      </c>
      <c r="G32" s="127"/>
    </row>
    <row r="33" spans="1:7" ht="21" customHeight="1">
      <c r="A33" s="97"/>
      <c r="B33" s="140"/>
      <c r="D33" s="122" t="s">
        <v>84</v>
      </c>
      <c r="E33" s="131">
        <v>0.89285700000000001</v>
      </c>
      <c r="F33" s="121" t="s">
        <v>64</v>
      </c>
      <c r="G33" s="120">
        <v>3.60465E-3</v>
      </c>
    </row>
    <row r="34" spans="1:7" ht="21" customHeight="1">
      <c r="A34" s="97"/>
      <c r="B34" s="140"/>
      <c r="D34" s="122" t="s">
        <v>80</v>
      </c>
      <c r="E34" s="131">
        <v>0.90718500000000002</v>
      </c>
      <c r="F34" s="124" t="s">
        <v>70</v>
      </c>
      <c r="G34" s="123">
        <v>4.3290000000000004E-3</v>
      </c>
    </row>
    <row r="35" spans="1:7" ht="21" customHeight="1">
      <c r="A35" s="97"/>
      <c r="B35" s="140"/>
      <c r="D35" s="125"/>
      <c r="E35" s="129"/>
      <c r="F35" s="124" t="s">
        <v>66</v>
      </c>
      <c r="G35" s="123">
        <v>1.6387100000000002E-2</v>
      </c>
    </row>
    <row r="36" spans="1:7" ht="21" customHeight="1">
      <c r="A36" s="97"/>
      <c r="B36" s="140"/>
      <c r="D36" s="117" t="s">
        <v>86</v>
      </c>
      <c r="E36" s="126"/>
      <c r="F36" s="117" t="s">
        <v>85</v>
      </c>
      <c r="G36" s="127"/>
    </row>
    <row r="37" spans="1:7" ht="21" customHeight="1">
      <c r="A37" s="97"/>
      <c r="B37" s="140"/>
      <c r="D37" s="119" t="s">
        <v>84</v>
      </c>
      <c r="E37" s="132">
        <v>0.98420600000000003</v>
      </c>
      <c r="F37" s="121" t="s">
        <v>60</v>
      </c>
      <c r="G37" s="120">
        <v>61.023800000000001</v>
      </c>
    </row>
    <row r="38" spans="1:7" ht="21" customHeight="1">
      <c r="A38" s="97"/>
      <c r="B38" s="140"/>
      <c r="D38" s="122" t="s">
        <v>79</v>
      </c>
      <c r="E38" s="133">
        <v>1.1023099999999999</v>
      </c>
      <c r="F38" s="124" t="s">
        <v>62</v>
      </c>
      <c r="G38" s="123">
        <v>3.5314699999999997E-2</v>
      </c>
    </row>
    <row r="39" spans="1:7" ht="21" customHeight="1">
      <c r="A39" s="97"/>
      <c r="B39" s="140"/>
      <c r="D39" s="125"/>
      <c r="E39" s="125"/>
      <c r="F39" s="124" t="s">
        <v>64</v>
      </c>
      <c r="G39" s="123">
        <v>0.219969</v>
      </c>
    </row>
    <row r="40" spans="1:7" ht="21" customHeight="1">
      <c r="A40" s="97"/>
      <c r="B40" s="140"/>
      <c r="D40" s="117" t="s">
        <v>87</v>
      </c>
      <c r="E40" s="126"/>
      <c r="F40" s="124" t="s">
        <v>70</v>
      </c>
      <c r="G40" s="123">
        <v>0.26417200000000002</v>
      </c>
    </row>
    <row r="41" spans="1:7" ht="21" customHeight="1">
      <c r="A41" s="97"/>
      <c r="B41" s="140"/>
      <c r="D41" s="119" t="s">
        <v>89</v>
      </c>
      <c r="E41" s="128">
        <v>0.453592</v>
      </c>
      <c r="F41" s="124" t="s">
        <v>65</v>
      </c>
      <c r="G41" s="123">
        <v>6.2898099999999998E-3</v>
      </c>
    </row>
    <row r="42" spans="1:7" ht="21" customHeight="1">
      <c r="A42" s="97"/>
      <c r="B42" s="140"/>
      <c r="D42" s="125"/>
      <c r="E42" s="129"/>
      <c r="F42" s="117" t="s">
        <v>88</v>
      </c>
      <c r="G42" s="127"/>
    </row>
    <row r="43" spans="1:7" ht="21" customHeight="1">
      <c r="A43" s="97"/>
      <c r="B43" s="140"/>
      <c r="D43" s="117" t="s">
        <v>90</v>
      </c>
      <c r="E43" s="126"/>
      <c r="F43" s="121" t="s">
        <v>64</v>
      </c>
      <c r="G43" s="120">
        <v>219.96899999999999</v>
      </c>
    </row>
    <row r="44" spans="1:7" ht="21" customHeight="1">
      <c r="A44" s="97"/>
      <c r="B44" s="140"/>
      <c r="D44" s="119" t="s">
        <v>78</v>
      </c>
      <c r="E44" s="128">
        <v>2.2046199999999998</v>
      </c>
      <c r="F44" s="124" t="s">
        <v>70</v>
      </c>
      <c r="G44" s="123">
        <v>264.17200000000003</v>
      </c>
    </row>
    <row r="45" spans="1:7" ht="21" customHeight="1">
      <c r="A45" s="97"/>
      <c r="B45" s="140"/>
      <c r="D45" s="682"/>
      <c r="E45" s="127"/>
      <c r="F45" s="124" t="s">
        <v>65</v>
      </c>
      <c r="G45" s="123">
        <v>6.2898100000000001</v>
      </c>
    </row>
    <row r="46" spans="1:7" ht="21" customHeight="1">
      <c r="A46" s="97"/>
      <c r="B46" s="140"/>
      <c r="D46" s="682"/>
      <c r="E46" s="127"/>
      <c r="F46" s="134" t="s">
        <v>62</v>
      </c>
      <c r="G46" s="135">
        <v>35.314700000000002</v>
      </c>
    </row>
    <row r="47" spans="1:7" ht="21" customHeight="1">
      <c r="A47" s="97"/>
      <c r="B47" s="140"/>
      <c r="D47" s="136" t="s">
        <v>91</v>
      </c>
      <c r="E47" s="826"/>
      <c r="F47" s="125"/>
      <c r="G47" s="125"/>
    </row>
    <row r="48" spans="1:7" ht="21" customHeight="1">
      <c r="A48" s="97"/>
      <c r="B48" s="140"/>
      <c r="D48" s="137" t="s">
        <v>92</v>
      </c>
      <c r="E48" s="125"/>
      <c r="F48" s="125"/>
      <c r="G48" s="125"/>
    </row>
    <row r="49" spans="1:31" ht="21" customHeight="1">
      <c r="A49" s="97"/>
      <c r="B49" s="140"/>
      <c r="D49" s="125"/>
      <c r="E49" s="125"/>
      <c r="F49" s="125"/>
      <c r="G49" s="125"/>
    </row>
    <row r="50" spans="1:31" ht="21" customHeight="1">
      <c r="A50" s="97"/>
      <c r="B50" s="140"/>
      <c r="D50" s="138" t="s">
        <v>93</v>
      </c>
      <c r="E50" s="138"/>
      <c r="F50" s="138"/>
      <c r="G50" s="138"/>
    </row>
    <row r="51" spans="1:31" ht="12.75" customHeight="1">
      <c r="A51" s="97"/>
      <c r="B51" s="140"/>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row>
    <row r="52" spans="1:31" ht="12.75" customHeight="1">
      <c r="A52" s="97"/>
      <c r="B52" s="140"/>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row>
    <row r="53" spans="1:31" ht="12.75" customHeight="1">
      <c r="A53" s="97"/>
      <c r="B53" s="140"/>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row>
    <row r="54" spans="1:31" ht="12.75" customHeight="1">
      <c r="A54" s="97"/>
      <c r="B54" s="140"/>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row>
    <row r="55" spans="1:31" ht="12.75" customHeight="1">
      <c r="A55" s="97"/>
      <c r="B55" s="140"/>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row>
    <row r="56" spans="1:31" ht="12.75" customHeight="1">
      <c r="A56" s="97"/>
      <c r="B56" s="140"/>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row>
    <row r="57" spans="1:31" ht="12.75" customHeight="1">
      <c r="A57" s="97"/>
      <c r="B57" s="140"/>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row>
    <row r="58" spans="1:31" ht="12.75" customHeight="1">
      <c r="A58" s="97"/>
      <c r="B58" s="140"/>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row>
    <row r="59" spans="1:31" ht="12.75" customHeight="1">
      <c r="A59" s="97"/>
      <c r="B59" s="140"/>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row>
    <row r="60" spans="1:31" ht="12.75" customHeight="1">
      <c r="A60" s="97"/>
      <c r="B60" s="140"/>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row>
    <row r="61" spans="1:31" ht="12.75" customHeight="1">
      <c r="A61" s="97"/>
      <c r="B61" s="140"/>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row>
    <row r="62" spans="1:31" ht="12.75" customHeight="1">
      <c r="A62" s="97"/>
      <c r="B62" s="140"/>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row>
    <row r="63" spans="1:31" ht="12.75" customHeight="1">
      <c r="A63" s="97"/>
      <c r="B63" s="140"/>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row>
    <row r="64" spans="1:31" ht="12.75" customHeight="1">
      <c r="A64" s="97"/>
      <c r="B64" s="140"/>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row>
    <row r="65" spans="1:31" ht="12.75" customHeight="1">
      <c r="A65" s="97"/>
      <c r="B65" s="140"/>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row>
    <row r="66" spans="1:31" ht="12.75" customHeight="1">
      <c r="A66" s="97"/>
      <c r="B66" s="140"/>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row>
    <row r="67" spans="1:31" ht="12.75" customHeight="1">
      <c r="A67" s="97"/>
      <c r="B67" s="140"/>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row>
    <row r="68" spans="1:31" ht="12.75" customHeight="1">
      <c r="A68" s="97"/>
      <c r="B68" s="140"/>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row>
    <row r="69" spans="1:31" ht="12.75" customHeight="1">
      <c r="A69" s="97"/>
      <c r="B69" s="140"/>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row>
    <row r="70" spans="1:31" ht="12.75" customHeight="1">
      <c r="A70" s="97"/>
      <c r="B70" s="140"/>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row>
    <row r="71" spans="1:31" ht="12.75" customHeight="1">
      <c r="A71" s="97"/>
      <c r="B71" s="140"/>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row>
    <row r="72" spans="1:31" ht="12.75" customHeight="1">
      <c r="A72" s="97"/>
      <c r="B72" s="140"/>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row>
    <row r="73" spans="1:31" ht="12.75" customHeight="1">
      <c r="A73" s="97"/>
      <c r="B73" s="140"/>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row>
    <row r="74" spans="1:31" ht="12.75" customHeight="1">
      <c r="A74" s="97"/>
      <c r="B74" s="140"/>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row>
    <row r="75" spans="1:31" ht="12.75" customHeight="1">
      <c r="A75" s="97"/>
      <c r="B75" s="140"/>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row>
    <row r="76" spans="1:31" ht="12.75" customHeight="1">
      <c r="A76" s="97"/>
      <c r="B76" s="140"/>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row>
    <row r="77" spans="1:31" ht="12.75" customHeight="1">
      <c r="A77" s="97"/>
      <c r="B77" s="140"/>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row>
    <row r="78" spans="1:31" ht="12.75" customHeight="1">
      <c r="A78" s="97"/>
      <c r="B78" s="140"/>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row>
    <row r="79" spans="1:31" ht="12.75" customHeight="1">
      <c r="A79" s="97"/>
      <c r="B79" s="140"/>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row>
    <row r="80" spans="1:31" ht="12.75" customHeight="1">
      <c r="A80" s="97"/>
      <c r="B80" s="140"/>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row>
    <row r="81" spans="1:31" ht="12.75" customHeight="1">
      <c r="A81" s="97"/>
      <c r="B81" s="140"/>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row>
    <row r="82" spans="1:31" ht="12.75" customHeight="1">
      <c r="A82" s="97"/>
      <c r="B82" s="140"/>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row>
    <row r="83" spans="1:31" ht="12.75" customHeight="1">
      <c r="A83" s="97"/>
      <c r="B83" s="140"/>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row>
    <row r="84" spans="1:31" ht="12.75" customHeight="1">
      <c r="A84" s="97"/>
      <c r="B84" s="140"/>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row>
    <row r="85" spans="1:31" ht="12.75" customHeight="1">
      <c r="A85" s="97"/>
      <c r="B85" s="140"/>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row>
    <row r="86" spans="1:31" ht="12.75" customHeight="1">
      <c r="A86" s="97"/>
      <c r="B86" s="140"/>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row>
    <row r="87" spans="1:31" ht="12.75" customHeight="1">
      <c r="B87" s="140"/>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row>
    <row r="88" spans="1:31" ht="12.75" customHeight="1">
      <c r="B88" s="140"/>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row>
    <row r="89" spans="1:31" ht="12.75" customHeight="1">
      <c r="B89" s="140"/>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row>
    <row r="90" spans="1:31" ht="12.75" customHeight="1">
      <c r="B90" s="140"/>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row>
    <row r="91" spans="1:31" ht="12.75" customHeight="1">
      <c r="B91" s="140"/>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row>
    <row r="92" spans="1:31" ht="12.75" customHeight="1">
      <c r="B92" s="140"/>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row>
    <row r="93" spans="1:31" ht="12.75" customHeight="1">
      <c r="B93" s="140"/>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row>
    <row r="94" spans="1:31" ht="12.75" customHeight="1">
      <c r="B94" s="140"/>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row>
    <row r="95" spans="1:31" ht="12.75" customHeight="1">
      <c r="B95" s="140"/>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row>
    <row r="96" spans="1:31" ht="12.75" customHeight="1">
      <c r="B96" s="140"/>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row>
    <row r="97" spans="2:31" ht="12.75" customHeight="1">
      <c r="B97" s="140"/>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row>
    <row r="98" spans="2:31" ht="12.75" customHeight="1">
      <c r="B98" s="140"/>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row>
    <row r="99" spans="2:31" ht="12.75" customHeight="1">
      <c r="B99" s="140"/>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row>
    <row r="100" spans="2:31" ht="12.75" customHeight="1">
      <c r="B100" s="140"/>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row>
    <row r="101" spans="2:31" ht="20.65">
      <c r="B101" s="140"/>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row>
    <row r="102" spans="2:31" ht="20.65">
      <c r="B102" s="140"/>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row>
    <row r="103" spans="2:31" ht="20.65">
      <c r="B103" s="140"/>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row>
    <row r="104" spans="2:31" ht="20.65">
      <c r="B104" s="140"/>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row>
    <row r="105" spans="2:31" ht="20.65">
      <c r="B105" s="140"/>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row>
    <row r="106" spans="2:31" ht="20.65">
      <c r="B106" s="140"/>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row>
    <row r="107" spans="2:31" ht="20.65">
      <c r="B107" s="140"/>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row>
    <row r="108" spans="2:31" ht="20.65">
      <c r="B108" s="140"/>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row>
    <row r="109" spans="2:31" ht="20.65">
      <c r="B109" s="140"/>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row>
    <row r="110" spans="2:31" ht="20.65">
      <c r="B110" s="140"/>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row>
    <row r="111" spans="2:31" ht="20.65">
      <c r="B111" s="140"/>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row>
    <row r="112" spans="2:31" ht="20.65">
      <c r="B112" s="140"/>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row>
    <row r="113" spans="2:31">
      <c r="B113" s="141"/>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row>
    <row r="114" spans="2:31">
      <c r="B114" s="141"/>
    </row>
    <row r="115" spans="2:31">
      <c r="B115" s="141"/>
    </row>
    <row r="116" spans="2:31" ht="12.75" customHeight="1">
      <c r="B116" s="141"/>
    </row>
    <row r="117" spans="2:31">
      <c r="B117" s="141"/>
    </row>
    <row r="118" spans="2:31">
      <c r="B118" s="141"/>
    </row>
    <row r="119" spans="2:31">
      <c r="B119" s="141"/>
    </row>
    <row r="120" spans="2:31">
      <c r="B120" s="141"/>
    </row>
    <row r="121" spans="2:31">
      <c r="B121" s="141"/>
    </row>
    <row r="122" spans="2:31">
      <c r="B122" s="141"/>
    </row>
    <row r="123" spans="2:31">
      <c r="B123" s="141"/>
    </row>
    <row r="124" spans="2:31">
      <c r="B124" s="141"/>
    </row>
    <row r="125" spans="2:31">
      <c r="B125" s="141"/>
    </row>
  </sheetData>
  <mergeCells count="2">
    <mergeCell ref="B2:B3"/>
    <mergeCell ref="D24:E24"/>
  </mergeCells>
  <hyperlinks>
    <hyperlink ref="B2:B3" location="Home!A1" display="HOME" xr:uid="{00000000-0004-0000-0800-000000000000}"/>
    <hyperlink ref="B5" location="'Documents Manager'!A1" display="DOCUMENTS MANAGER" xr:uid="{C3278126-4285-4125-910D-228BCAACC959}"/>
    <hyperlink ref="B23" location="Disclaimer!A1" display="Disclaimer" xr:uid="{A4F0B59E-0CC7-4148-A9DF-B4814F3FA7D3}"/>
    <hyperlink ref="B22" location="Help!A1" display="Help" xr:uid="{83EA4E2A-C703-4F10-B852-B075B01DE2A7}"/>
    <hyperlink ref="B20" location="'Source - Links'!A1" display="SOURCE / LINKS" xr:uid="{DECFF1A8-64E6-4B22-B9D0-1BC26F7D51AC}"/>
    <hyperlink ref="B7" location="'ASTM Table Series'!A1" display="• ASTM Table Series for Oil Survey" xr:uid="{051E4601-BF65-4E1D-8800-13D5DFB8ED0E}"/>
    <hyperlink ref="B6" location="'ASTM Table Series'!A1" display="ASTM TABLES" xr:uid="{FAE519CA-EBB3-40D5-AE75-7E0853768D0B}"/>
    <hyperlink ref="B11" location="'ASTM Vol. XI - Tab.1'!A1" display="• ASTM Volume XI  - Table 1" xr:uid="{5D09B62F-7786-4A41-B8ED-530A687C4499}"/>
    <hyperlink ref="B12" location="'ASTM Vol. XI-XII'!A1" display="• ASTM Volume XII" xr:uid="{7CDB0D8E-87CB-467B-93FB-C640CFA158B9}"/>
    <hyperlink ref="B9" location="'Expl &amp; use Vol. XI'!A1" display="• Explanation &amp; use T. Volume XI" xr:uid="{9F47B0C7-0113-4A02-A13D-3A7D9B87EB53}"/>
    <hyperlink ref="B10" location="'Expl &amp; use Vol. XII'!A1" display="• Explanation &amp; use T. Volume XII" xr:uid="{B09C4A10-557D-4F4D-9962-D0F7C0CF43F8}"/>
    <hyperlink ref="B14" location="'ASTM Converter (Tab.1)'!A1" display="ASTM - CONVERTERS" xr:uid="{A4F453F5-D865-4B4C-A559-0B2CB0FE0465}"/>
    <hyperlink ref="B15" location="'ASTM Calculator V.W.'!A1" display="ASTM - CALCULATORS" xr:uid="{8B1F6237-BAFF-4617-8F76-94912AAA3EA4}"/>
    <hyperlink ref="B13" location="'ASTM Tables'!A1" display="• ASTM Tables" xr:uid="{1210E622-5E1C-4377-B280-E34E0B6083A2}"/>
    <hyperlink ref="B8" location="'Expl &amp; use 6AB, 24AB, 54AB  '!A1" display="• Explanation &amp; use T. 6A&amp;B, 24A&amp;B, 54A&amp;B." xr:uid="{CA83B494-4477-4F8F-907D-427EFA6BCDC7}"/>
    <hyperlink ref="B18" location="'Guidelines - Definitions'!A1" display="GUIDELINES" xr:uid="{8405CCCB-4923-43A6-B5DA-6E362CDA72FF}"/>
    <hyperlink ref="B19" location="'Guidelines - Bottom Lines'!A1" display="GUIDELINES - CARGO" xr:uid="{B3FE9496-A1F2-4840-919E-5D004FB39288}"/>
    <hyperlink ref="B16" location="'Initial&amp;Max. Loading Rate'!A1" display="CARGO - CALCULATORS" xr:uid="{F2EA6CA2-9C73-4977-A0E2-1C316D577EF6}"/>
  </hyperlinks>
  <printOptions headings="1"/>
  <pageMargins left="0.75" right="0.75" top="1" bottom="1" header="0.5" footer="0.5"/>
  <pageSetup paperSize="9" scale="71" orientation="portrait" blackAndWhite="1" horizontalDpi="4294967294"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Module____23">
    <tabColor rgb="FF005034"/>
  </sheetPr>
  <dimension ref="A1:CV871"/>
  <sheetViews>
    <sheetView showGridLines="0" showRowColHeaders="0" topLeftCell="B1" workbookViewId="0">
      <selection activeCell="B13" sqref="B13"/>
    </sheetView>
  </sheetViews>
  <sheetFormatPr defaultColWidth="9.1328125" defaultRowHeight="12.75"/>
  <cols>
    <col min="1" max="1" width="0" style="12" hidden="1" customWidth="1"/>
    <col min="2" max="2" width="36.6640625" style="160" customWidth="1"/>
    <col min="3" max="3" width="2.6640625" style="12" customWidth="1"/>
    <col min="4" max="4" width="6.6640625" style="12" bestFit="1" customWidth="1"/>
    <col min="5" max="5" width="7.33203125" style="12" bestFit="1" customWidth="1"/>
    <col min="6" max="6" width="7.1328125" style="12" bestFit="1" customWidth="1"/>
    <col min="7" max="7" width="2.6640625" style="12" customWidth="1"/>
    <col min="8" max="8" width="6.6640625" style="12" bestFit="1" customWidth="1"/>
    <col min="9" max="9" width="9" style="12" bestFit="1" customWidth="1"/>
    <col min="10" max="10" width="9.6640625" style="12" bestFit="1" customWidth="1"/>
    <col min="11" max="11" width="2.6640625" style="12" customWidth="1"/>
    <col min="12" max="12" width="6.6640625" style="12" bestFit="1" customWidth="1"/>
    <col min="13" max="13" width="9" style="12" bestFit="1" customWidth="1"/>
    <col min="14" max="14" width="9.86328125" style="12" bestFit="1" customWidth="1"/>
    <col min="15" max="15" width="2.6640625" style="12" customWidth="1"/>
    <col min="16" max="16" width="6.6640625" style="12" bestFit="1" customWidth="1"/>
    <col min="17" max="17" width="9.86328125" style="12" bestFit="1" customWidth="1"/>
    <col min="18" max="18" width="9.6640625" style="12" bestFit="1" customWidth="1"/>
    <col min="19" max="19" width="2.6640625" style="12" customWidth="1"/>
    <col min="20" max="20" width="6.6640625" style="12" bestFit="1" customWidth="1"/>
    <col min="21" max="21" width="9.86328125" style="12" bestFit="1" customWidth="1"/>
    <col min="22" max="22" width="8.86328125" style="12" bestFit="1" customWidth="1"/>
    <col min="23" max="23" width="2.6640625" style="12" customWidth="1"/>
    <col min="24" max="24" width="6.6640625" style="12" bestFit="1" customWidth="1"/>
    <col min="25" max="25" width="9.86328125" style="12" bestFit="1" customWidth="1"/>
    <col min="26" max="26" width="9.46484375" style="12" bestFit="1" customWidth="1"/>
    <col min="27" max="27" width="2.6640625" style="12" customWidth="1"/>
    <col min="28" max="28" width="6.6640625" style="12" bestFit="1" customWidth="1"/>
    <col min="29" max="29" width="9.86328125" style="12" bestFit="1" customWidth="1"/>
    <col min="30" max="30" width="8.53125" style="12" bestFit="1" customWidth="1"/>
    <col min="31" max="31" width="2.6640625" style="12" customWidth="1"/>
    <col min="32" max="32" width="6.6640625" style="12" bestFit="1" customWidth="1"/>
    <col min="33" max="33" width="9.86328125" style="12" bestFit="1" customWidth="1"/>
    <col min="34" max="34" width="7.53125" style="12" bestFit="1" customWidth="1"/>
    <col min="35" max="35" width="3.6640625" style="12" customWidth="1"/>
    <col min="36" max="37" width="7.53125" style="12" customWidth="1"/>
    <col min="38" max="38" width="2.6640625" style="12" customWidth="1"/>
    <col min="39" max="39" width="6.6640625" style="12" bestFit="1" customWidth="1"/>
    <col min="40" max="41" width="9.6640625" style="12" bestFit="1" customWidth="1"/>
    <col min="42" max="42" width="2.6640625" style="12" customWidth="1"/>
    <col min="43" max="43" width="7.53125" style="12" bestFit="1" customWidth="1"/>
    <col min="44" max="44" width="6.6640625" style="12" bestFit="1" customWidth="1"/>
    <col min="45" max="45" width="7.1328125" style="12" bestFit="1" customWidth="1"/>
    <col min="46" max="46" width="2.6640625" style="12" customWidth="1"/>
    <col min="47" max="47" width="8.46484375" style="12" customWidth="1"/>
    <col min="48" max="48" width="15.46484375" style="12" bestFit="1" customWidth="1"/>
    <col min="49" max="49" width="8.33203125" style="12" bestFit="1" customWidth="1"/>
    <col min="50" max="50" width="16.46484375" style="12" bestFit="1" customWidth="1"/>
    <col min="51" max="51" width="2.6640625" style="12" customWidth="1"/>
    <col min="52" max="52" width="8.33203125" style="12" bestFit="1" customWidth="1"/>
    <col min="53" max="53" width="9" style="12" bestFit="1" customWidth="1"/>
    <col min="54" max="54" width="9.86328125" style="12" bestFit="1" customWidth="1"/>
    <col min="55" max="55" width="2.6640625" style="12" customWidth="1"/>
    <col min="56" max="56" width="7.53125" style="12" bestFit="1" customWidth="1"/>
    <col min="57" max="57" width="9.86328125" style="12" bestFit="1" customWidth="1"/>
    <col min="58" max="58" width="9.6640625" style="12" bestFit="1" customWidth="1"/>
    <col min="59" max="59" width="2.6640625" style="12" customWidth="1"/>
    <col min="60" max="60" width="7.53125" style="12" bestFit="1" customWidth="1"/>
    <col min="61" max="61" width="9.86328125" style="12" bestFit="1" customWidth="1"/>
    <col min="62" max="62" width="8.86328125" style="12" bestFit="1" customWidth="1"/>
    <col min="63" max="63" width="2.6640625" style="12" customWidth="1"/>
    <col min="64" max="64" width="7.53125" style="12" bestFit="1" customWidth="1"/>
    <col min="65" max="65" width="9.86328125" style="12" bestFit="1" customWidth="1"/>
    <col min="66" max="66" width="9.46484375" style="12" bestFit="1" customWidth="1"/>
    <col min="67" max="67" width="2.6640625" style="12" customWidth="1"/>
    <col min="68" max="68" width="7.53125" style="12" bestFit="1" customWidth="1"/>
    <col min="69" max="69" width="9.86328125" style="12" bestFit="1" customWidth="1"/>
    <col min="70" max="70" width="8.53125" style="12" bestFit="1" customWidth="1"/>
    <col min="71" max="71" width="2.6640625" style="12" customWidth="1"/>
    <col min="72" max="72" width="8.46484375" style="12" customWidth="1"/>
    <col min="73" max="74" width="9.6640625" style="12" bestFit="1" customWidth="1"/>
    <col min="75" max="75" width="2.6640625" style="12" customWidth="1"/>
    <col min="76" max="76" width="8.46484375" style="12" customWidth="1"/>
    <col min="77" max="77" width="7.53125" style="12" bestFit="1" customWidth="1"/>
    <col min="78" max="78" width="6.6640625" style="12" bestFit="1" customWidth="1"/>
    <col min="79" max="79" width="2.6640625" style="12" customWidth="1"/>
    <col min="80" max="80" width="7.1328125" style="12" bestFit="1" customWidth="1"/>
    <col min="81" max="81" width="9.6640625" style="12" bestFit="1" customWidth="1"/>
    <col min="82" max="82" width="8.86328125" style="12" bestFit="1" customWidth="1"/>
    <col min="83" max="83" width="2.6640625" style="12" customWidth="1"/>
    <col min="84" max="84" width="8.6640625" style="12" bestFit="1" customWidth="1"/>
    <col min="85" max="85" width="18.46484375" style="12" bestFit="1" customWidth="1"/>
    <col min="86" max="86" width="2.6640625" style="12" customWidth="1"/>
    <col min="87" max="87" width="8.6640625" style="12" bestFit="1" customWidth="1"/>
    <col min="88" max="88" width="18.46484375" style="12" bestFit="1" customWidth="1"/>
    <col min="89" max="89" width="2.6640625" style="12" customWidth="1"/>
    <col min="90" max="90" width="7.1328125" style="12" customWidth="1"/>
    <col min="91" max="91" width="9" style="12" bestFit="1" customWidth="1"/>
    <col min="92" max="92" width="8.86328125" style="12" bestFit="1" customWidth="1"/>
    <col min="93" max="93" width="2.6640625" style="12" customWidth="1"/>
    <col min="94" max="94" width="8.46484375" style="12" customWidth="1"/>
    <col min="95" max="95" width="9.6640625" style="12" bestFit="1" customWidth="1"/>
    <col min="96" max="96" width="9.46484375" style="12" bestFit="1" customWidth="1"/>
    <col min="97" max="97" width="2.6640625" style="12" customWidth="1"/>
    <col min="98" max="98" width="8.53125" style="12" customWidth="1"/>
    <col min="99" max="99" width="9.86328125" style="12" bestFit="1" customWidth="1"/>
    <col min="100" max="100" width="6.6640625" style="12" bestFit="1" customWidth="1"/>
    <col min="101" max="101" width="2.86328125" style="12" customWidth="1"/>
    <col min="102" max="16384" width="9.1328125" style="12"/>
  </cols>
  <sheetData>
    <row r="1" spans="1:100" ht="12.75" customHeight="1">
      <c r="B1" s="161"/>
      <c r="BT1" s="3194" t="s">
        <v>176</v>
      </c>
      <c r="BU1" s="3194"/>
      <c r="BV1" s="3194"/>
      <c r="BW1" s="3194"/>
      <c r="CR1" s="3194" t="s">
        <v>177</v>
      </c>
      <c r="CS1" s="3194"/>
      <c r="CT1" s="3194"/>
      <c r="CU1" s="3194"/>
      <c r="CV1" s="3194"/>
    </row>
    <row r="2" spans="1:100" s="162" customFormat="1" ht="21" customHeight="1">
      <c r="A2" s="12"/>
      <c r="B2" s="3188" t="s">
        <v>0</v>
      </c>
      <c r="C2" s="12"/>
      <c r="D2" s="169" t="s">
        <v>97</v>
      </c>
      <c r="E2" s="170"/>
      <c r="F2" s="170"/>
      <c r="G2" s="170"/>
      <c r="H2" s="170"/>
      <c r="I2" s="170"/>
      <c r="J2" s="170"/>
      <c r="K2" s="170"/>
      <c r="L2" s="170"/>
      <c r="M2" s="170"/>
      <c r="N2" s="170"/>
      <c r="O2" s="170"/>
      <c r="P2" s="170"/>
      <c r="Q2" s="170"/>
      <c r="R2" s="170"/>
      <c r="S2" s="170"/>
      <c r="T2" s="170"/>
      <c r="U2" s="170"/>
      <c r="V2" s="170"/>
      <c r="W2" s="170"/>
      <c r="X2" s="170"/>
      <c r="Y2" s="170"/>
      <c r="Z2" s="170"/>
    </row>
    <row r="3" spans="1:100" ht="21" customHeight="1">
      <c r="B3" s="3188"/>
    </row>
    <row r="4" spans="1:100" ht="21" customHeight="1">
      <c r="B4" s="62"/>
      <c r="D4" s="163" t="s">
        <v>99</v>
      </c>
      <c r="E4" s="28"/>
      <c r="F4" s="28"/>
      <c r="G4" s="29"/>
      <c r="H4" s="28"/>
      <c r="I4" s="28"/>
      <c r="J4" s="28"/>
      <c r="K4" s="29"/>
      <c r="L4" s="29"/>
      <c r="M4" s="29"/>
      <c r="N4" s="29"/>
      <c r="O4" s="29"/>
      <c r="P4" s="166" t="s">
        <v>99</v>
      </c>
      <c r="Q4" s="29"/>
      <c r="R4" s="29"/>
      <c r="S4" s="29"/>
      <c r="T4" s="29"/>
      <c r="U4" s="29"/>
      <c r="V4" s="29"/>
      <c r="W4" s="29"/>
      <c r="X4" s="164"/>
      <c r="Y4" s="164"/>
      <c r="Z4" s="28"/>
      <c r="AA4" s="28"/>
      <c r="AB4" s="164" t="s">
        <v>99</v>
      </c>
      <c r="AC4" s="28"/>
      <c r="AD4" s="28"/>
      <c r="AE4" s="28"/>
      <c r="AF4" s="28"/>
      <c r="AG4" s="28"/>
      <c r="AH4" s="28"/>
      <c r="AI4" s="28"/>
      <c r="AJ4" s="28"/>
      <c r="AK4" s="28"/>
      <c r="AL4" s="29"/>
      <c r="AM4" s="29"/>
      <c r="AN4" s="29"/>
      <c r="AO4" s="214"/>
      <c r="AP4" s="215"/>
      <c r="AQ4" s="166" t="s">
        <v>100</v>
      </c>
      <c r="AR4" s="29"/>
      <c r="AS4" s="29"/>
      <c r="AT4" s="29"/>
      <c r="AU4" s="29"/>
      <c r="AV4" s="29"/>
      <c r="AW4" s="29"/>
      <c r="AX4" s="29"/>
      <c r="AY4" s="29"/>
      <c r="AZ4" s="29"/>
      <c r="BA4" s="29"/>
      <c r="BB4" s="29"/>
      <c r="BC4" s="165"/>
      <c r="BD4" s="166" t="s">
        <v>100</v>
      </c>
      <c r="BE4" s="29"/>
      <c r="BF4" s="29"/>
      <c r="BG4" s="29"/>
      <c r="BH4" s="29"/>
      <c r="BI4" s="29"/>
      <c r="BJ4" s="29"/>
      <c r="BK4" s="29"/>
      <c r="BL4" s="29"/>
      <c r="BM4" s="166" t="s">
        <v>100</v>
      </c>
      <c r="BN4" s="29"/>
      <c r="BO4" s="29"/>
      <c r="BP4" s="166"/>
      <c r="BQ4" s="29"/>
      <c r="BR4" s="29"/>
      <c r="BS4" s="29"/>
      <c r="BT4" s="29"/>
      <c r="BU4" s="29"/>
      <c r="BV4" s="29"/>
      <c r="BW4" s="215"/>
      <c r="BX4" s="166" t="s">
        <v>100</v>
      </c>
      <c r="BY4" s="164"/>
      <c r="BZ4" s="29"/>
      <c r="CA4" s="166"/>
      <c r="CB4" s="164"/>
      <c r="CC4" s="164"/>
      <c r="CD4" s="164"/>
      <c r="CE4" s="166"/>
      <c r="CF4" s="166"/>
      <c r="CG4" s="166"/>
      <c r="CH4" s="216"/>
      <c r="CI4" s="166" t="s">
        <v>100</v>
      </c>
      <c r="CJ4" s="166"/>
      <c r="CK4" s="166"/>
      <c r="CL4" s="164"/>
      <c r="CM4" s="164"/>
      <c r="CN4" s="164"/>
      <c r="CO4" s="166"/>
      <c r="CP4" s="164"/>
      <c r="CQ4" s="164"/>
      <c r="CR4" s="164"/>
      <c r="CS4" s="166"/>
      <c r="CT4" s="164"/>
      <c r="CU4" s="164"/>
      <c r="CV4" s="167"/>
    </row>
    <row r="5" spans="1:100" ht="21" customHeight="1">
      <c r="B5" s="62" t="s">
        <v>1</v>
      </c>
      <c r="D5" s="19" t="s">
        <v>11</v>
      </c>
      <c r="E5" s="20"/>
      <c r="F5" s="20"/>
      <c r="G5" s="21"/>
      <c r="H5" s="19" t="s">
        <v>4</v>
      </c>
      <c r="I5" s="20"/>
      <c r="J5" s="20"/>
      <c r="K5" s="21"/>
      <c r="L5" s="19" t="s">
        <v>101</v>
      </c>
      <c r="M5" s="20"/>
      <c r="N5" s="20"/>
      <c r="O5" s="21"/>
      <c r="P5" s="19" t="s">
        <v>104</v>
      </c>
      <c r="Q5" s="20"/>
      <c r="R5" s="20"/>
      <c r="S5" s="21"/>
      <c r="T5" s="19" t="s">
        <v>105</v>
      </c>
      <c r="U5" s="20"/>
      <c r="V5" s="20"/>
      <c r="W5" s="21"/>
      <c r="X5" s="19" t="s">
        <v>5</v>
      </c>
      <c r="Y5" s="20"/>
      <c r="Z5" s="20"/>
      <c r="AA5" s="21"/>
      <c r="AB5" s="19" t="s">
        <v>107</v>
      </c>
      <c r="AC5" s="20"/>
      <c r="AD5" s="20"/>
      <c r="AE5" s="21"/>
      <c r="AF5" s="19" t="s">
        <v>6</v>
      </c>
      <c r="AG5" s="20"/>
      <c r="AH5" s="994"/>
      <c r="AI5" s="1004"/>
      <c r="AJ5" s="19" t="s">
        <v>6</v>
      </c>
      <c r="AK5" s="994"/>
      <c r="AL5" s="21"/>
      <c r="AM5" s="19" t="s">
        <v>109</v>
      </c>
      <c r="AN5" s="20"/>
      <c r="AO5" s="20"/>
      <c r="AP5" s="22"/>
      <c r="AQ5" s="19" t="s">
        <v>111</v>
      </c>
      <c r="AR5" s="20"/>
      <c r="AS5" s="20"/>
      <c r="AT5" s="21"/>
      <c r="AU5" s="19" t="s">
        <v>112</v>
      </c>
      <c r="AV5" s="20"/>
      <c r="AW5" s="20"/>
      <c r="AX5" s="20"/>
      <c r="AY5" s="21"/>
      <c r="AZ5" s="19" t="s">
        <v>117</v>
      </c>
      <c r="BA5" s="20"/>
      <c r="BB5" s="20"/>
      <c r="BC5" s="21"/>
      <c r="BD5" s="19" t="s">
        <v>118</v>
      </c>
      <c r="BE5" s="20"/>
      <c r="BF5" s="20"/>
      <c r="BG5" s="21"/>
      <c r="BH5" s="19" t="s">
        <v>119</v>
      </c>
      <c r="BI5" s="20"/>
      <c r="BJ5" s="20"/>
      <c r="BK5" s="21"/>
      <c r="BL5" s="19" t="s">
        <v>120</v>
      </c>
      <c r="BM5" s="20"/>
      <c r="BN5" s="20"/>
      <c r="BO5" s="21"/>
      <c r="BP5" s="19" t="s">
        <v>121</v>
      </c>
      <c r="BQ5" s="20"/>
      <c r="BR5" s="20"/>
      <c r="BS5" s="187"/>
      <c r="BT5" s="19" t="s">
        <v>122</v>
      </c>
      <c r="BU5" s="20"/>
      <c r="BV5" s="20"/>
      <c r="BW5" s="22"/>
      <c r="BX5" s="19" t="s">
        <v>12</v>
      </c>
      <c r="BY5" s="20"/>
      <c r="BZ5" s="20"/>
      <c r="CA5" s="21"/>
      <c r="CB5" s="19" t="s">
        <v>7</v>
      </c>
      <c r="CC5" s="20"/>
      <c r="CD5" s="20"/>
      <c r="CE5" s="21"/>
      <c r="CF5" s="19" t="s">
        <v>8</v>
      </c>
      <c r="CG5" s="20"/>
      <c r="CH5" s="187"/>
      <c r="CI5" s="19" t="s">
        <v>8</v>
      </c>
      <c r="CJ5" s="20"/>
      <c r="CK5" s="21"/>
      <c r="CL5" s="19" t="s">
        <v>8</v>
      </c>
      <c r="CM5" s="20"/>
      <c r="CN5" s="20"/>
      <c r="CO5" s="21"/>
      <c r="CP5" s="19" t="s">
        <v>9</v>
      </c>
      <c r="CQ5" s="20"/>
      <c r="CR5" s="20"/>
      <c r="CS5" s="21"/>
      <c r="CT5" s="19" t="s">
        <v>10</v>
      </c>
      <c r="CU5" s="20"/>
      <c r="CV5" s="20"/>
    </row>
    <row r="6" spans="1:100" ht="21" customHeight="1">
      <c r="B6" s="146" t="s">
        <v>452</v>
      </c>
      <c r="D6" s="177" t="s">
        <v>18</v>
      </c>
      <c r="E6" s="178" t="s">
        <v>19</v>
      </c>
      <c r="F6" s="179" t="s">
        <v>20</v>
      </c>
      <c r="G6" s="22"/>
      <c r="H6" s="177" t="s">
        <v>18</v>
      </c>
      <c r="I6" s="178" t="s">
        <v>21</v>
      </c>
      <c r="J6" s="179" t="s">
        <v>13</v>
      </c>
      <c r="K6" s="22"/>
      <c r="L6" s="177" t="s">
        <v>18</v>
      </c>
      <c r="M6" s="178" t="s">
        <v>102</v>
      </c>
      <c r="N6" s="179" t="s">
        <v>24</v>
      </c>
      <c r="O6" s="22"/>
      <c r="P6" s="177" t="s">
        <v>18</v>
      </c>
      <c r="Q6" s="178" t="s">
        <v>23</v>
      </c>
      <c r="R6" s="179" t="s">
        <v>23</v>
      </c>
      <c r="S6" s="22"/>
      <c r="T6" s="177" t="s">
        <v>18</v>
      </c>
      <c r="U6" s="178" t="s">
        <v>24</v>
      </c>
      <c r="V6" s="179" t="s">
        <v>16</v>
      </c>
      <c r="W6" s="22"/>
      <c r="X6" s="177" t="s">
        <v>18</v>
      </c>
      <c r="Y6" s="178" t="s">
        <v>14</v>
      </c>
      <c r="Z6" s="179" t="s">
        <v>14</v>
      </c>
      <c r="AA6" s="22"/>
      <c r="AB6" s="177" t="s">
        <v>18</v>
      </c>
      <c r="AC6" s="178" t="s">
        <v>24</v>
      </c>
      <c r="AD6" s="179" t="s">
        <v>16</v>
      </c>
      <c r="AE6" s="22"/>
      <c r="AF6" s="177" t="s">
        <v>18</v>
      </c>
      <c r="AG6" s="178" t="s">
        <v>15</v>
      </c>
      <c r="AH6" s="179" t="s">
        <v>15</v>
      </c>
      <c r="AI6" s="1000"/>
      <c r="AJ6" s="179" t="s">
        <v>15</v>
      </c>
      <c r="AK6" s="995" t="s">
        <v>18</v>
      </c>
      <c r="AL6" s="22"/>
      <c r="AM6" s="177" t="s">
        <v>18</v>
      </c>
      <c r="AN6" s="178" t="s">
        <v>13</v>
      </c>
      <c r="AO6" s="179" t="s">
        <v>13</v>
      </c>
      <c r="AP6" s="22"/>
      <c r="AQ6" s="177" t="s">
        <v>19</v>
      </c>
      <c r="AR6" s="178" t="s">
        <v>18</v>
      </c>
      <c r="AS6" s="179" t="s">
        <v>20</v>
      </c>
      <c r="AT6" s="22"/>
      <c r="AU6" s="177" t="s">
        <v>19</v>
      </c>
      <c r="AV6" s="178" t="s">
        <v>113</v>
      </c>
      <c r="AW6" s="179" t="s">
        <v>19</v>
      </c>
      <c r="AX6" s="179" t="s">
        <v>115</v>
      </c>
      <c r="AY6" s="22"/>
      <c r="AZ6" s="177" t="s">
        <v>19</v>
      </c>
      <c r="BA6" s="178" t="s">
        <v>102</v>
      </c>
      <c r="BB6" s="179" t="s">
        <v>24</v>
      </c>
      <c r="BC6" s="22"/>
      <c r="BD6" s="177" t="s">
        <v>19</v>
      </c>
      <c r="BE6" s="178" t="s">
        <v>23</v>
      </c>
      <c r="BF6" s="179" t="s">
        <v>23</v>
      </c>
      <c r="BG6" s="22"/>
      <c r="BH6" s="177" t="s">
        <v>19</v>
      </c>
      <c r="BI6" s="178" t="s">
        <v>24</v>
      </c>
      <c r="BJ6" s="179" t="s">
        <v>16</v>
      </c>
      <c r="BK6" s="22"/>
      <c r="BL6" s="177" t="s">
        <v>19</v>
      </c>
      <c r="BM6" s="178" t="s">
        <v>14</v>
      </c>
      <c r="BN6" s="179" t="s">
        <v>14</v>
      </c>
      <c r="BO6" s="22"/>
      <c r="BP6" s="177" t="s">
        <v>19</v>
      </c>
      <c r="BQ6" s="178" t="s">
        <v>24</v>
      </c>
      <c r="BR6" s="179" t="s">
        <v>16</v>
      </c>
      <c r="BS6" s="188"/>
      <c r="BT6" s="177" t="s">
        <v>19</v>
      </c>
      <c r="BU6" s="178" t="s">
        <v>13</v>
      </c>
      <c r="BV6" s="179" t="s">
        <v>13</v>
      </c>
      <c r="BW6" s="22"/>
      <c r="BX6" s="177" t="s">
        <v>20</v>
      </c>
      <c r="BY6" s="178" t="s">
        <v>19</v>
      </c>
      <c r="BZ6" s="179" t="s">
        <v>18</v>
      </c>
      <c r="CA6" s="22"/>
      <c r="CB6" s="177" t="s">
        <v>20</v>
      </c>
      <c r="CC6" s="178" t="s">
        <v>13</v>
      </c>
      <c r="CD6" s="179" t="s">
        <v>16</v>
      </c>
      <c r="CE6" s="22"/>
      <c r="CF6" s="177" t="s">
        <v>123</v>
      </c>
      <c r="CG6" s="179" t="s">
        <v>124</v>
      </c>
      <c r="CH6" s="222"/>
      <c r="CI6" s="177" t="s">
        <v>123</v>
      </c>
      <c r="CJ6" s="179" t="s">
        <v>124</v>
      </c>
      <c r="CK6" s="22"/>
      <c r="CL6" s="177" t="s">
        <v>20</v>
      </c>
      <c r="CM6" s="178" t="s">
        <v>17</v>
      </c>
      <c r="CN6" s="179" t="s">
        <v>22</v>
      </c>
      <c r="CO6" s="22"/>
      <c r="CP6" s="177" t="s">
        <v>20</v>
      </c>
      <c r="CQ6" s="178" t="s">
        <v>23</v>
      </c>
      <c r="CR6" s="179" t="s">
        <v>14</v>
      </c>
      <c r="CS6" s="22"/>
      <c r="CT6" s="177" t="s">
        <v>20</v>
      </c>
      <c r="CU6" s="178" t="s">
        <v>24</v>
      </c>
      <c r="CV6" s="179" t="s">
        <v>16</v>
      </c>
    </row>
    <row r="7" spans="1:100" ht="21" customHeight="1">
      <c r="B7" s="145" t="s">
        <v>300</v>
      </c>
      <c r="D7" s="180" t="s">
        <v>26</v>
      </c>
      <c r="E7" s="181" t="s">
        <v>20</v>
      </c>
      <c r="F7" s="182"/>
      <c r="G7" s="22"/>
      <c r="H7" s="180" t="s">
        <v>26</v>
      </c>
      <c r="I7" s="181" t="s">
        <v>25</v>
      </c>
      <c r="J7" s="182" t="s">
        <v>25</v>
      </c>
      <c r="K7" s="22"/>
      <c r="L7" s="180" t="s">
        <v>26</v>
      </c>
      <c r="M7" s="181" t="s">
        <v>25</v>
      </c>
      <c r="N7" s="182" t="s">
        <v>25</v>
      </c>
      <c r="O7" s="22"/>
      <c r="P7" s="180" t="s">
        <v>26</v>
      </c>
      <c r="Q7" s="181" t="s">
        <v>98</v>
      </c>
      <c r="R7" s="182" t="s">
        <v>25</v>
      </c>
      <c r="S7" s="22"/>
      <c r="T7" s="180" t="s">
        <v>26</v>
      </c>
      <c r="U7" s="181" t="s">
        <v>25</v>
      </c>
      <c r="V7" s="182" t="s">
        <v>25</v>
      </c>
      <c r="W7" s="22"/>
      <c r="X7" s="180" t="s">
        <v>26</v>
      </c>
      <c r="Y7" s="181" t="s">
        <v>98</v>
      </c>
      <c r="Z7" s="182" t="s">
        <v>25</v>
      </c>
      <c r="AA7" s="22"/>
      <c r="AB7" s="180" t="s">
        <v>26</v>
      </c>
      <c r="AC7" s="181" t="s">
        <v>25</v>
      </c>
      <c r="AD7" s="182" t="s">
        <v>25</v>
      </c>
      <c r="AE7" s="22"/>
      <c r="AF7" s="180" t="s">
        <v>26</v>
      </c>
      <c r="AG7" s="181" t="s">
        <v>98</v>
      </c>
      <c r="AH7" s="182" t="s">
        <v>25</v>
      </c>
      <c r="AI7" s="1001"/>
      <c r="AJ7" s="182" t="s">
        <v>25</v>
      </c>
      <c r="AK7" s="996" t="s">
        <v>26</v>
      </c>
      <c r="AL7" s="22"/>
      <c r="AM7" s="180" t="s">
        <v>26</v>
      </c>
      <c r="AN7" s="181" t="s">
        <v>25</v>
      </c>
      <c r="AO7" s="182" t="s">
        <v>25</v>
      </c>
      <c r="AP7" s="22"/>
      <c r="AQ7" s="180" t="s">
        <v>20</v>
      </c>
      <c r="AR7" s="181" t="s">
        <v>26</v>
      </c>
      <c r="AS7" s="182"/>
      <c r="AT7" s="22"/>
      <c r="AU7" s="180" t="s">
        <v>20</v>
      </c>
      <c r="AV7" s="181" t="s">
        <v>25</v>
      </c>
      <c r="AW7" s="182" t="s">
        <v>20</v>
      </c>
      <c r="AX7" s="182" t="s">
        <v>25</v>
      </c>
      <c r="AY7" s="22"/>
      <c r="AZ7" s="180" t="s">
        <v>20</v>
      </c>
      <c r="BA7" s="181" t="s">
        <v>25</v>
      </c>
      <c r="BB7" s="182" t="s">
        <v>25</v>
      </c>
      <c r="BC7" s="22"/>
      <c r="BD7" s="180" t="s">
        <v>20</v>
      </c>
      <c r="BE7" s="181" t="s">
        <v>98</v>
      </c>
      <c r="BF7" s="182" t="s">
        <v>25</v>
      </c>
      <c r="BG7" s="22"/>
      <c r="BH7" s="180" t="s">
        <v>20</v>
      </c>
      <c r="BI7" s="181" t="s">
        <v>25</v>
      </c>
      <c r="BJ7" s="182" t="s">
        <v>25</v>
      </c>
      <c r="BK7" s="22"/>
      <c r="BL7" s="180" t="s">
        <v>20</v>
      </c>
      <c r="BM7" s="181" t="s">
        <v>98</v>
      </c>
      <c r="BN7" s="182" t="s">
        <v>25</v>
      </c>
      <c r="BO7" s="22"/>
      <c r="BP7" s="180" t="s">
        <v>20</v>
      </c>
      <c r="BQ7" s="181" t="s">
        <v>25</v>
      </c>
      <c r="BR7" s="182" t="s">
        <v>25</v>
      </c>
      <c r="BS7" s="188"/>
      <c r="BT7" s="180" t="s">
        <v>20</v>
      </c>
      <c r="BU7" s="181" t="s">
        <v>25</v>
      </c>
      <c r="BV7" s="182" t="s">
        <v>25</v>
      </c>
      <c r="BW7" s="22"/>
      <c r="BX7" s="180"/>
      <c r="BY7" s="181" t="s">
        <v>20</v>
      </c>
      <c r="BZ7" s="182" t="s">
        <v>26</v>
      </c>
      <c r="CA7" s="22"/>
      <c r="CB7" s="180" t="s">
        <v>27</v>
      </c>
      <c r="CC7" s="181" t="s">
        <v>25</v>
      </c>
      <c r="CD7" s="182" t="s">
        <v>25</v>
      </c>
      <c r="CE7" s="22"/>
      <c r="CF7" s="180" t="s">
        <v>125</v>
      </c>
      <c r="CG7" s="182" t="s">
        <v>128</v>
      </c>
      <c r="CH7" s="222"/>
      <c r="CI7" s="180" t="s">
        <v>125</v>
      </c>
      <c r="CJ7" s="182" t="s">
        <v>126</v>
      </c>
      <c r="CK7" s="22"/>
      <c r="CL7" s="180" t="s">
        <v>27</v>
      </c>
      <c r="CM7" s="181" t="s">
        <v>25</v>
      </c>
      <c r="CN7" s="182" t="s">
        <v>25</v>
      </c>
      <c r="CO7" s="22"/>
      <c r="CP7" s="180"/>
      <c r="CQ7" s="181" t="s">
        <v>25</v>
      </c>
      <c r="CR7" s="182" t="s">
        <v>25</v>
      </c>
      <c r="CS7" s="22"/>
      <c r="CT7" s="180" t="s">
        <v>27</v>
      </c>
      <c r="CU7" s="181" t="s">
        <v>25</v>
      </c>
      <c r="CV7" s="182" t="s">
        <v>25</v>
      </c>
    </row>
    <row r="8" spans="1:100" ht="21" customHeight="1">
      <c r="B8" s="810" t="s">
        <v>1392</v>
      </c>
      <c r="D8" s="180"/>
      <c r="E8" s="181"/>
      <c r="F8" s="182"/>
      <c r="G8" s="22"/>
      <c r="H8" s="180" t="s">
        <v>27</v>
      </c>
      <c r="I8" s="181" t="s">
        <v>30</v>
      </c>
      <c r="J8" s="182" t="s">
        <v>28</v>
      </c>
      <c r="K8" s="22"/>
      <c r="L8" s="180"/>
      <c r="M8" s="181" t="s">
        <v>30</v>
      </c>
      <c r="N8" s="182" t="s">
        <v>103</v>
      </c>
      <c r="O8" s="22"/>
      <c r="P8" s="180"/>
      <c r="Q8" s="181" t="s">
        <v>24</v>
      </c>
      <c r="R8" s="182" t="s">
        <v>28</v>
      </c>
      <c r="S8" s="22"/>
      <c r="T8" s="180"/>
      <c r="U8" s="181" t="s">
        <v>106</v>
      </c>
      <c r="V8" s="182" t="s">
        <v>106</v>
      </c>
      <c r="W8" s="22"/>
      <c r="X8" s="180"/>
      <c r="Y8" s="181" t="s">
        <v>24</v>
      </c>
      <c r="Z8" s="182" t="s">
        <v>28</v>
      </c>
      <c r="AA8" s="22"/>
      <c r="AB8" s="180"/>
      <c r="AC8" s="181" t="s">
        <v>108</v>
      </c>
      <c r="AD8" s="182" t="s">
        <v>108</v>
      </c>
      <c r="AE8" s="22"/>
      <c r="AF8" s="180"/>
      <c r="AG8" s="181" t="s">
        <v>24</v>
      </c>
      <c r="AH8" s="182" t="s">
        <v>28</v>
      </c>
      <c r="AI8" s="1001"/>
      <c r="AJ8" s="182" t="s">
        <v>28</v>
      </c>
      <c r="AK8" s="996"/>
      <c r="AL8" s="22"/>
      <c r="AM8" s="180"/>
      <c r="AN8" s="181" t="s">
        <v>106</v>
      </c>
      <c r="AO8" s="182" t="s">
        <v>110</v>
      </c>
      <c r="AP8" s="22"/>
      <c r="AQ8" s="180"/>
      <c r="AR8" s="181"/>
      <c r="AS8" s="182"/>
      <c r="AT8" s="22"/>
      <c r="AU8" s="180"/>
      <c r="AV8" s="181" t="s">
        <v>114</v>
      </c>
      <c r="AW8" s="182"/>
      <c r="AX8" s="182" t="s">
        <v>116</v>
      </c>
      <c r="AY8" s="22"/>
      <c r="AZ8" s="180"/>
      <c r="BA8" s="181" t="s">
        <v>30</v>
      </c>
      <c r="BB8" s="182" t="s">
        <v>103</v>
      </c>
      <c r="BC8" s="22"/>
      <c r="BD8" s="180"/>
      <c r="BE8" s="181" t="s">
        <v>24</v>
      </c>
      <c r="BF8" s="182" t="s">
        <v>28</v>
      </c>
      <c r="BG8" s="22"/>
      <c r="BH8" s="180"/>
      <c r="BI8" s="181" t="s">
        <v>106</v>
      </c>
      <c r="BJ8" s="182" t="s">
        <v>106</v>
      </c>
      <c r="BK8" s="22"/>
      <c r="BL8" s="180"/>
      <c r="BM8" s="181" t="s">
        <v>24</v>
      </c>
      <c r="BN8" s="182" t="s">
        <v>28</v>
      </c>
      <c r="BO8" s="22"/>
      <c r="BP8" s="180"/>
      <c r="BQ8" s="181" t="s">
        <v>108</v>
      </c>
      <c r="BR8" s="182" t="s">
        <v>108</v>
      </c>
      <c r="BS8" s="188"/>
      <c r="BT8" s="180"/>
      <c r="BU8" s="181" t="s">
        <v>106</v>
      </c>
      <c r="BV8" s="182" t="s">
        <v>110</v>
      </c>
      <c r="BW8" s="22"/>
      <c r="BX8" s="180"/>
      <c r="BY8" s="181"/>
      <c r="BZ8" s="182"/>
      <c r="CA8" s="22"/>
      <c r="CB8" s="180" t="s">
        <v>27</v>
      </c>
      <c r="CC8" s="181" t="s">
        <v>28</v>
      </c>
      <c r="CD8" s="182" t="s">
        <v>22</v>
      </c>
      <c r="CE8" s="22"/>
      <c r="CF8" s="180"/>
      <c r="CG8" s="182" t="s">
        <v>127</v>
      </c>
      <c r="CH8" s="222"/>
      <c r="CI8" s="180"/>
      <c r="CJ8" s="182" t="s">
        <v>129</v>
      </c>
      <c r="CK8" s="22"/>
      <c r="CL8" s="180" t="s">
        <v>27</v>
      </c>
      <c r="CM8" s="181" t="s">
        <v>22</v>
      </c>
      <c r="CN8" s="182" t="s">
        <v>29</v>
      </c>
      <c r="CO8" s="22"/>
      <c r="CP8" s="180"/>
      <c r="CQ8" s="181" t="s">
        <v>22</v>
      </c>
      <c r="CR8" s="182" t="s">
        <v>22</v>
      </c>
      <c r="CS8" s="22"/>
      <c r="CT8" s="180" t="s">
        <v>27</v>
      </c>
      <c r="CU8" s="181" t="s">
        <v>29</v>
      </c>
      <c r="CV8" s="182" t="s">
        <v>29</v>
      </c>
    </row>
    <row r="9" spans="1:100" ht="21" customHeight="1">
      <c r="B9" s="145" t="s">
        <v>419</v>
      </c>
      <c r="D9" s="23" t="s">
        <v>32</v>
      </c>
      <c r="E9" s="183" t="s">
        <v>33</v>
      </c>
      <c r="F9" s="184" t="s">
        <v>31</v>
      </c>
      <c r="G9" s="185"/>
      <c r="H9" s="23" t="s">
        <v>32</v>
      </c>
      <c r="I9" s="183" t="s">
        <v>31</v>
      </c>
      <c r="J9" s="184" t="s">
        <v>31</v>
      </c>
      <c r="K9" s="185"/>
      <c r="L9" s="23" t="s">
        <v>32</v>
      </c>
      <c r="M9" s="183" t="s">
        <v>32</v>
      </c>
      <c r="N9" s="184" t="s">
        <v>32</v>
      </c>
      <c r="O9" s="186"/>
      <c r="P9" s="23" t="s">
        <v>32</v>
      </c>
      <c r="Q9" s="183" t="s">
        <v>32</v>
      </c>
      <c r="R9" s="184" t="s">
        <v>32</v>
      </c>
      <c r="S9" s="186"/>
      <c r="T9" s="23" t="s">
        <v>32</v>
      </c>
      <c r="U9" s="183" t="s">
        <v>32</v>
      </c>
      <c r="V9" s="184" t="s">
        <v>32</v>
      </c>
      <c r="W9" s="186"/>
      <c r="X9" s="23" t="s">
        <v>32</v>
      </c>
      <c r="Y9" s="183" t="s">
        <v>32</v>
      </c>
      <c r="Z9" s="184" t="s">
        <v>32</v>
      </c>
      <c r="AA9" s="185"/>
      <c r="AB9" s="23" t="s">
        <v>32</v>
      </c>
      <c r="AC9" s="183" t="s">
        <v>32</v>
      </c>
      <c r="AD9" s="184" t="s">
        <v>32</v>
      </c>
      <c r="AE9" s="186"/>
      <c r="AF9" s="23" t="s">
        <v>32</v>
      </c>
      <c r="AG9" s="183" t="s">
        <v>32</v>
      </c>
      <c r="AH9" s="184" t="s">
        <v>32</v>
      </c>
      <c r="AI9" s="1002"/>
      <c r="AJ9" s="184" t="s">
        <v>32</v>
      </c>
      <c r="AK9" s="997" t="s">
        <v>32</v>
      </c>
      <c r="AL9" s="260"/>
      <c r="AM9" s="23" t="s">
        <v>32</v>
      </c>
      <c r="AN9" s="183" t="s">
        <v>31</v>
      </c>
      <c r="AO9" s="184" t="s">
        <v>31</v>
      </c>
      <c r="AP9" s="186"/>
      <c r="AQ9" s="23" t="s">
        <v>35</v>
      </c>
      <c r="AR9" s="183" t="s">
        <v>32</v>
      </c>
      <c r="AS9" s="184" t="s">
        <v>31</v>
      </c>
      <c r="AT9" s="186"/>
      <c r="AU9" s="23" t="s">
        <v>35</v>
      </c>
      <c r="AV9" s="183"/>
      <c r="AW9" s="184" t="s">
        <v>35</v>
      </c>
      <c r="AX9" s="184"/>
      <c r="AY9" s="186"/>
      <c r="AZ9" s="23" t="s">
        <v>35</v>
      </c>
      <c r="BA9" s="183"/>
      <c r="BB9" s="184"/>
      <c r="BC9" s="186"/>
      <c r="BD9" s="23" t="s">
        <v>35</v>
      </c>
      <c r="BE9" s="183" t="s">
        <v>32</v>
      </c>
      <c r="BF9" s="184" t="s">
        <v>32</v>
      </c>
      <c r="BG9" s="186"/>
      <c r="BH9" s="23" t="s">
        <v>35</v>
      </c>
      <c r="BI9" s="183" t="s">
        <v>32</v>
      </c>
      <c r="BJ9" s="184" t="s">
        <v>32</v>
      </c>
      <c r="BK9" s="186"/>
      <c r="BL9" s="23" t="s">
        <v>35</v>
      </c>
      <c r="BM9" s="183" t="s">
        <v>32</v>
      </c>
      <c r="BN9" s="184" t="s">
        <v>32</v>
      </c>
      <c r="BO9" s="186"/>
      <c r="BP9" s="23" t="s">
        <v>35</v>
      </c>
      <c r="BQ9" s="183"/>
      <c r="BR9" s="184"/>
      <c r="BS9" s="188"/>
      <c r="BT9" s="23" t="s">
        <v>35</v>
      </c>
      <c r="BU9" s="183"/>
      <c r="BV9" s="184"/>
      <c r="BW9" s="186"/>
      <c r="BX9" s="23" t="s">
        <v>34</v>
      </c>
      <c r="BY9" s="183" t="s">
        <v>35</v>
      </c>
      <c r="BZ9" s="184" t="s">
        <v>32</v>
      </c>
      <c r="CA9" s="185"/>
      <c r="CB9" s="23" t="s">
        <v>34</v>
      </c>
      <c r="CC9" s="183"/>
      <c r="CD9" s="184"/>
      <c r="CE9" s="185"/>
      <c r="CF9" s="23" t="s">
        <v>34</v>
      </c>
      <c r="CG9" s="184"/>
      <c r="CH9" s="222"/>
      <c r="CI9" s="23" t="s">
        <v>34</v>
      </c>
      <c r="CJ9" s="184"/>
      <c r="CK9" s="186"/>
      <c r="CL9" s="23" t="s">
        <v>34</v>
      </c>
      <c r="CM9" s="183"/>
      <c r="CN9" s="184"/>
      <c r="CO9" s="185"/>
      <c r="CP9" s="23" t="s">
        <v>34</v>
      </c>
      <c r="CQ9" s="183"/>
      <c r="CR9" s="184"/>
      <c r="CS9" s="185"/>
      <c r="CT9" s="23" t="s">
        <v>34</v>
      </c>
      <c r="CU9" s="183" t="s">
        <v>27</v>
      </c>
      <c r="CV9" s="184" t="s">
        <v>27</v>
      </c>
    </row>
    <row r="10" spans="1:100" ht="21" customHeight="1">
      <c r="B10" s="810" t="s">
        <v>420</v>
      </c>
      <c r="D10" s="30">
        <v>0</v>
      </c>
      <c r="E10" s="31">
        <v>1.0760000000000001</v>
      </c>
      <c r="F10" s="32">
        <v>1075.3</v>
      </c>
      <c r="G10" s="26"/>
      <c r="H10" s="30">
        <v>0</v>
      </c>
      <c r="I10" s="34">
        <v>3.7841</v>
      </c>
      <c r="J10" s="35">
        <v>0.15892999999999999</v>
      </c>
      <c r="K10" s="26"/>
      <c r="L10" s="30">
        <v>0</v>
      </c>
      <c r="M10" s="172">
        <v>8.9619999999999997</v>
      </c>
      <c r="N10" s="173">
        <v>0.11158</v>
      </c>
      <c r="O10" s="27"/>
      <c r="P10" s="30">
        <v>0</v>
      </c>
      <c r="Q10" s="172">
        <v>4.4812000000000003</v>
      </c>
      <c r="R10" s="173">
        <v>0.18820999999999999</v>
      </c>
      <c r="S10" s="27"/>
      <c r="T10" s="30">
        <v>0</v>
      </c>
      <c r="U10" s="172">
        <v>223.16</v>
      </c>
      <c r="V10" s="173">
        <v>5.3129999999999997</v>
      </c>
      <c r="W10" s="27"/>
      <c r="X10" s="30">
        <v>0</v>
      </c>
      <c r="Y10" s="34">
        <v>4.0010000000000003</v>
      </c>
      <c r="Z10" s="35">
        <v>0.16803999999999999</v>
      </c>
      <c r="AA10" s="26"/>
      <c r="AB10" s="30">
        <v>0</v>
      </c>
      <c r="AC10" s="44">
        <v>249.94</v>
      </c>
      <c r="AD10" s="35">
        <v>5.9509999999999996</v>
      </c>
      <c r="AE10" s="27"/>
      <c r="AF10" s="30">
        <v>0</v>
      </c>
      <c r="AG10" s="34">
        <v>4.0651999999999999</v>
      </c>
      <c r="AH10" s="35">
        <v>0.17074</v>
      </c>
      <c r="AI10" s="35"/>
      <c r="AJ10" s="35">
        <v>0.10363</v>
      </c>
      <c r="AK10" s="998">
        <v>85</v>
      </c>
      <c r="AL10" s="55"/>
      <c r="AM10" s="30">
        <v>0</v>
      </c>
      <c r="AN10" s="34">
        <v>0.84450000000000003</v>
      </c>
      <c r="AO10" s="35">
        <v>0.94579999999999997</v>
      </c>
      <c r="AP10" s="27"/>
      <c r="AQ10" s="189">
        <v>0.65</v>
      </c>
      <c r="AR10" s="190"/>
      <c r="AS10" s="191"/>
      <c r="AT10" s="27"/>
      <c r="AU10" s="192">
        <v>0.65400000000000003</v>
      </c>
      <c r="AV10" s="193">
        <v>3.7823000000000002</v>
      </c>
      <c r="AW10" s="192">
        <v>0.65600000000000003</v>
      </c>
      <c r="AX10" s="193">
        <v>0.15886</v>
      </c>
      <c r="AY10" s="27"/>
      <c r="AZ10" s="189">
        <v>0.65</v>
      </c>
      <c r="BA10" s="190"/>
      <c r="BB10" s="191"/>
      <c r="BC10" s="27"/>
      <c r="BD10" s="189">
        <v>0.65</v>
      </c>
      <c r="BE10" s="190"/>
      <c r="BF10" s="191"/>
      <c r="BG10" s="27"/>
      <c r="BH10" s="189">
        <v>0.65</v>
      </c>
      <c r="BI10" s="190"/>
      <c r="BJ10" s="191"/>
      <c r="BK10" s="27"/>
      <c r="BL10" s="189">
        <v>0.65</v>
      </c>
      <c r="BM10" s="190"/>
      <c r="BN10" s="191"/>
      <c r="BO10" s="27"/>
      <c r="BP10" s="189">
        <v>0.65</v>
      </c>
      <c r="BQ10" s="194"/>
      <c r="BR10" s="191"/>
      <c r="BT10" s="189">
        <v>0.65</v>
      </c>
      <c r="BU10" s="195"/>
      <c r="BV10" s="196"/>
      <c r="BW10" s="27"/>
      <c r="BX10" s="37">
        <v>650</v>
      </c>
      <c r="BY10" s="38"/>
      <c r="BZ10" s="39"/>
      <c r="CA10" s="26"/>
      <c r="CB10" s="37">
        <v>650</v>
      </c>
      <c r="CC10" s="38"/>
      <c r="CD10" s="39"/>
      <c r="CE10" s="26"/>
      <c r="CF10" s="223">
        <v>0.5</v>
      </c>
      <c r="CG10" s="224">
        <v>0.99775000000000003</v>
      </c>
      <c r="CI10" s="223">
        <v>0.5</v>
      </c>
      <c r="CJ10" s="224">
        <v>1.0022500000000001</v>
      </c>
      <c r="CK10" s="27"/>
      <c r="CL10" s="40">
        <v>650</v>
      </c>
      <c r="CM10" s="34"/>
      <c r="CN10" s="41"/>
      <c r="CO10" s="26"/>
      <c r="CP10" s="40">
        <v>650</v>
      </c>
      <c r="CQ10" s="34"/>
      <c r="CR10" s="41"/>
      <c r="CS10" s="26"/>
      <c r="CT10" s="40">
        <v>650</v>
      </c>
      <c r="CU10" s="34"/>
      <c r="CV10" s="41"/>
    </row>
    <row r="11" spans="1:100" ht="21" customHeight="1">
      <c r="B11" s="145" t="s">
        <v>52</v>
      </c>
      <c r="D11" s="30">
        <v>0.1</v>
      </c>
      <c r="E11" s="31">
        <v>1.0751999999999999</v>
      </c>
      <c r="F11" s="32">
        <v>1074.5</v>
      </c>
      <c r="G11" s="33"/>
      <c r="H11" s="30">
        <v>0.1</v>
      </c>
      <c r="I11" s="34">
        <v>3.7841</v>
      </c>
      <c r="J11" s="35">
        <v>0.15892999999999999</v>
      </c>
      <c r="L11" s="30">
        <v>0.1</v>
      </c>
      <c r="M11" s="172">
        <v>8.9550000000000001</v>
      </c>
      <c r="N11" s="173">
        <v>0.11166</v>
      </c>
      <c r="P11" s="30">
        <v>0.1</v>
      </c>
      <c r="Q11" s="172">
        <v>4.4776999999999996</v>
      </c>
      <c r="R11" s="173">
        <v>0.18806999999999999</v>
      </c>
      <c r="T11" s="30">
        <v>0.1</v>
      </c>
      <c r="U11" s="172">
        <v>223.33</v>
      </c>
      <c r="V11" s="173">
        <v>5.3170000000000002</v>
      </c>
      <c r="X11" s="30">
        <v>0.1</v>
      </c>
      <c r="Y11" s="34">
        <v>3.9980000000000002</v>
      </c>
      <c r="Z11" s="35">
        <v>0.16792000000000001</v>
      </c>
      <c r="AA11" s="36"/>
      <c r="AB11" s="30">
        <v>0.1</v>
      </c>
      <c r="AC11" s="44">
        <v>250.13</v>
      </c>
      <c r="AD11" s="35">
        <v>5.9550000000000001</v>
      </c>
      <c r="AE11" s="36"/>
      <c r="AF11" s="30">
        <v>0.1</v>
      </c>
      <c r="AG11" s="34">
        <v>4.0621</v>
      </c>
      <c r="AH11" s="35">
        <v>0.17061000000000001</v>
      </c>
      <c r="AI11" s="35"/>
      <c r="AJ11" s="35">
        <v>0.10367999999999999</v>
      </c>
      <c r="AK11" s="998">
        <v>84.9</v>
      </c>
      <c r="AM11" s="30">
        <v>0.1</v>
      </c>
      <c r="AN11" s="34">
        <v>0.84509999999999996</v>
      </c>
      <c r="AO11" s="35">
        <v>0.94650000000000001</v>
      </c>
      <c r="AQ11" s="197">
        <v>0.65100000000000002</v>
      </c>
      <c r="AR11" s="198"/>
      <c r="AS11" s="199"/>
      <c r="AU11" s="192">
        <v>0.66100000000000003</v>
      </c>
      <c r="AV11" s="193">
        <v>3.7823000000000002</v>
      </c>
      <c r="AW11" s="192">
        <v>0.68300000000000005</v>
      </c>
      <c r="AX11" s="193">
        <v>0.15886</v>
      </c>
      <c r="AZ11" s="197">
        <v>0.65100000000000002</v>
      </c>
      <c r="BA11" s="198"/>
      <c r="BB11" s="199"/>
      <c r="BD11" s="197">
        <v>0.65100000000000002</v>
      </c>
      <c r="BE11" s="198"/>
      <c r="BF11" s="199"/>
      <c r="BH11" s="197">
        <v>0.65100000000000002</v>
      </c>
      <c r="BI11" s="198"/>
      <c r="BJ11" s="199"/>
      <c r="BL11" s="197">
        <v>0.65100000000000002</v>
      </c>
      <c r="BM11" s="198"/>
      <c r="BN11" s="199"/>
      <c r="BP11" s="197">
        <v>0.65100000000000002</v>
      </c>
      <c r="BQ11" s="200"/>
      <c r="BR11" s="199"/>
      <c r="BT11" s="197">
        <v>0.65100000000000002</v>
      </c>
      <c r="BU11" s="201"/>
      <c r="BV11" s="202"/>
      <c r="BX11" s="37">
        <v>651</v>
      </c>
      <c r="BY11" s="38"/>
      <c r="BZ11" s="39"/>
      <c r="CA11" s="33"/>
      <c r="CB11" s="37">
        <v>651</v>
      </c>
      <c r="CC11" s="38"/>
      <c r="CD11" s="39"/>
      <c r="CE11" s="33"/>
      <c r="CF11" s="225">
        <v>0.51910000000000001</v>
      </c>
      <c r="CG11" s="226">
        <v>0.99775000000000003</v>
      </c>
      <c r="CI11" s="225">
        <v>0.52010000000000001</v>
      </c>
      <c r="CJ11" s="226">
        <v>1.0022500000000001</v>
      </c>
      <c r="CK11" s="33"/>
      <c r="CL11" s="37">
        <v>651</v>
      </c>
      <c r="CM11" s="34"/>
      <c r="CN11" s="41"/>
      <c r="CO11" s="33"/>
      <c r="CP11" s="37">
        <v>651</v>
      </c>
      <c r="CQ11" s="34"/>
      <c r="CR11" s="41"/>
      <c r="CS11" s="33"/>
      <c r="CT11" s="37">
        <v>651</v>
      </c>
      <c r="CU11" s="34"/>
      <c r="CV11" s="41"/>
    </row>
    <row r="12" spans="1:100" ht="21" customHeight="1">
      <c r="B12" s="147" t="s">
        <v>96</v>
      </c>
      <c r="D12" s="30">
        <v>0.2</v>
      </c>
      <c r="E12" s="31">
        <v>1.0744</v>
      </c>
      <c r="F12" s="32">
        <v>1073.7</v>
      </c>
      <c r="G12" s="33"/>
      <c r="H12" s="30">
        <v>0.2</v>
      </c>
      <c r="I12" s="34">
        <v>3.7841</v>
      </c>
      <c r="J12" s="35">
        <v>0.15892999999999999</v>
      </c>
      <c r="L12" s="30">
        <v>0.2</v>
      </c>
      <c r="M12" s="172">
        <v>8.9489999999999998</v>
      </c>
      <c r="N12" s="173">
        <v>0.11175</v>
      </c>
      <c r="P12" s="30">
        <v>0.2</v>
      </c>
      <c r="Q12" s="172">
        <v>4.4743000000000004</v>
      </c>
      <c r="R12" s="173">
        <v>0.18792</v>
      </c>
      <c r="T12" s="30">
        <v>0.2</v>
      </c>
      <c r="U12" s="172">
        <v>223.5</v>
      </c>
      <c r="V12" s="173">
        <v>5.3209999999999997</v>
      </c>
      <c r="X12" s="30">
        <v>0.2</v>
      </c>
      <c r="Y12" s="34">
        <v>3.9948999999999999</v>
      </c>
      <c r="Z12" s="35">
        <v>0.16778999999999999</v>
      </c>
      <c r="AA12" s="36"/>
      <c r="AB12" s="30">
        <v>0.2</v>
      </c>
      <c r="AC12" s="44">
        <v>250.32</v>
      </c>
      <c r="AD12" s="35">
        <v>5.96</v>
      </c>
      <c r="AE12" s="36"/>
      <c r="AF12" s="30">
        <v>0.2</v>
      </c>
      <c r="AG12" s="34">
        <v>4.0590999999999999</v>
      </c>
      <c r="AH12" s="35">
        <v>0.17047999999999999</v>
      </c>
      <c r="AI12" s="35"/>
      <c r="AJ12" s="35">
        <v>0.10373</v>
      </c>
      <c r="AK12" s="998">
        <v>84.8</v>
      </c>
      <c r="AM12" s="30">
        <v>0.2</v>
      </c>
      <c r="AN12" s="34">
        <v>0.84570000000000001</v>
      </c>
      <c r="AO12" s="35">
        <v>0.94720000000000004</v>
      </c>
      <c r="AQ12" s="197">
        <v>0.65200000000000002</v>
      </c>
      <c r="AR12" s="198"/>
      <c r="AS12" s="199"/>
      <c r="AU12" s="192">
        <v>0.66200000000000003</v>
      </c>
      <c r="AV12" s="193">
        <v>3.7824</v>
      </c>
      <c r="AW12" s="192">
        <v>0.68400000000000005</v>
      </c>
      <c r="AX12" s="193">
        <v>0.15887000000000001</v>
      </c>
      <c r="AZ12" s="197">
        <v>0.65200000000000002</v>
      </c>
      <c r="BA12" s="198"/>
      <c r="BB12" s="199"/>
      <c r="BD12" s="197">
        <v>0.65200000000000002</v>
      </c>
      <c r="BE12" s="198"/>
      <c r="BF12" s="199"/>
      <c r="BH12" s="197">
        <v>0.65200000000000002</v>
      </c>
      <c r="BI12" s="198"/>
      <c r="BJ12" s="199"/>
      <c r="BL12" s="197">
        <v>0.65200000000000002</v>
      </c>
      <c r="BM12" s="198"/>
      <c r="BN12" s="199"/>
      <c r="BP12" s="197">
        <v>0.65200000000000002</v>
      </c>
      <c r="BQ12" s="200"/>
      <c r="BR12" s="199"/>
      <c r="BT12" s="197">
        <v>0.65200000000000002</v>
      </c>
      <c r="BU12" s="201"/>
      <c r="BV12" s="202"/>
      <c r="BX12" s="37">
        <v>652</v>
      </c>
      <c r="BY12" s="38"/>
      <c r="BZ12" s="39"/>
      <c r="CA12" s="33"/>
      <c r="CB12" s="37">
        <v>652</v>
      </c>
      <c r="CC12" s="38"/>
      <c r="CD12" s="39"/>
      <c r="CE12" s="33"/>
      <c r="CF12" s="225">
        <v>0.51919999999999999</v>
      </c>
      <c r="CG12" s="226">
        <v>0.99785000000000001</v>
      </c>
      <c r="CI12" s="225">
        <v>0.5202</v>
      </c>
      <c r="CJ12" s="226">
        <v>1.0021500000000001</v>
      </c>
      <c r="CK12" s="33"/>
      <c r="CL12" s="37">
        <v>652</v>
      </c>
      <c r="CM12" s="34"/>
      <c r="CN12" s="41"/>
      <c r="CO12" s="33"/>
      <c r="CP12" s="37">
        <v>652</v>
      </c>
      <c r="CQ12" s="34"/>
      <c r="CR12" s="41"/>
      <c r="CS12" s="33"/>
      <c r="CT12" s="37">
        <v>652</v>
      </c>
      <c r="CU12" s="34"/>
      <c r="CV12" s="41"/>
    </row>
    <row r="13" spans="1:100" ht="21" customHeight="1">
      <c r="B13" s="810" t="s">
        <v>1343</v>
      </c>
      <c r="D13" s="30">
        <v>0.3</v>
      </c>
      <c r="E13" s="31">
        <v>1.0736000000000001</v>
      </c>
      <c r="F13" s="32">
        <v>1072.9000000000001</v>
      </c>
      <c r="G13" s="33"/>
      <c r="H13" s="30">
        <v>0.3</v>
      </c>
      <c r="I13" s="34">
        <v>3.7841</v>
      </c>
      <c r="J13" s="35">
        <v>0.15892999999999999</v>
      </c>
      <c r="L13" s="30">
        <v>0.3</v>
      </c>
      <c r="M13" s="172">
        <v>8.9420000000000002</v>
      </c>
      <c r="N13" s="173">
        <v>0.11183</v>
      </c>
      <c r="P13" s="30">
        <v>0.3</v>
      </c>
      <c r="Q13" s="172">
        <v>4.4709000000000003</v>
      </c>
      <c r="R13" s="173">
        <v>0.18778</v>
      </c>
      <c r="T13" s="30">
        <v>0.3</v>
      </c>
      <c r="U13" s="172">
        <v>223.67</v>
      </c>
      <c r="V13" s="173">
        <v>5.3250000000000002</v>
      </c>
      <c r="X13" s="30">
        <v>0.3</v>
      </c>
      <c r="Y13" s="34">
        <v>3.9918999999999998</v>
      </c>
      <c r="Z13" s="35">
        <v>0.16766</v>
      </c>
      <c r="AA13" s="36"/>
      <c r="AB13" s="30">
        <v>0.3</v>
      </c>
      <c r="AC13" s="44">
        <v>250.51</v>
      </c>
      <c r="AD13" s="35">
        <v>5.9643333333333297</v>
      </c>
      <c r="AE13" s="36"/>
      <c r="AF13" s="30">
        <v>0.3</v>
      </c>
      <c r="AG13" s="34">
        <v>4.056</v>
      </c>
      <c r="AH13" s="35">
        <v>0.17035</v>
      </c>
      <c r="AI13" s="35"/>
      <c r="AJ13" s="35">
        <v>0.10376999999999997</v>
      </c>
      <c r="AK13" s="998">
        <v>84.7</v>
      </c>
      <c r="AM13" s="30">
        <v>0.3</v>
      </c>
      <c r="AN13" s="34">
        <v>0.84640000000000004</v>
      </c>
      <c r="AO13" s="35">
        <v>0.94789999999999996</v>
      </c>
      <c r="AQ13" s="197">
        <v>0.65300000000000002</v>
      </c>
      <c r="AR13" s="198"/>
      <c r="AS13" s="199"/>
      <c r="AU13" s="192">
        <v>0.67500000000000004</v>
      </c>
      <c r="AV13" s="193">
        <v>3.7824</v>
      </c>
      <c r="AW13" s="192">
        <v>0.72200000000000009</v>
      </c>
      <c r="AX13" s="193">
        <v>0.15887000000000001</v>
      </c>
      <c r="AZ13" s="197">
        <v>0.65300000000000002</v>
      </c>
      <c r="BA13" s="198"/>
      <c r="BB13" s="199"/>
      <c r="BD13" s="197">
        <v>0.65300000000000002</v>
      </c>
      <c r="BE13" s="198"/>
      <c r="BF13" s="199"/>
      <c r="BH13" s="197">
        <v>0.65300000000000002</v>
      </c>
      <c r="BI13" s="198"/>
      <c r="BJ13" s="199"/>
      <c r="BL13" s="197">
        <v>0.65300000000000002</v>
      </c>
      <c r="BM13" s="198"/>
      <c r="BN13" s="199"/>
      <c r="BP13" s="197">
        <v>0.65300000000000002</v>
      </c>
      <c r="BQ13" s="200"/>
      <c r="BR13" s="199"/>
      <c r="BT13" s="197">
        <v>0.65300000000000002</v>
      </c>
      <c r="BU13" s="201"/>
      <c r="BV13" s="202"/>
      <c r="BX13" s="37">
        <v>653</v>
      </c>
      <c r="BY13" s="38"/>
      <c r="BZ13" s="39"/>
      <c r="CA13" s="33"/>
      <c r="CB13" s="37">
        <v>653</v>
      </c>
      <c r="CC13" s="38"/>
      <c r="CD13" s="39"/>
      <c r="CE13" s="33"/>
      <c r="CF13" s="225">
        <v>0.54210000000000003</v>
      </c>
      <c r="CG13" s="226">
        <v>0.99785000000000001</v>
      </c>
      <c r="CI13" s="225">
        <v>0.54320000000000002</v>
      </c>
      <c r="CJ13" s="226">
        <v>1.0021500000000001</v>
      </c>
      <c r="CK13" s="33"/>
      <c r="CL13" s="37">
        <v>653</v>
      </c>
      <c r="CM13" s="34"/>
      <c r="CN13" s="41"/>
      <c r="CO13" s="33"/>
      <c r="CP13" s="37">
        <v>653</v>
      </c>
      <c r="CQ13" s="34"/>
      <c r="CR13" s="41"/>
      <c r="CS13" s="33"/>
      <c r="CT13" s="37">
        <v>653</v>
      </c>
      <c r="CU13" s="34"/>
      <c r="CV13" s="41"/>
    </row>
    <row r="14" spans="1:100" ht="21" customHeight="1">
      <c r="B14" s="62" t="s">
        <v>239</v>
      </c>
      <c r="D14" s="30">
        <v>0.4</v>
      </c>
      <c r="E14" s="31">
        <v>1.0728</v>
      </c>
      <c r="F14" s="32">
        <v>1072.0999999999999</v>
      </c>
      <c r="G14" s="33"/>
      <c r="H14" s="30">
        <v>0.4</v>
      </c>
      <c r="I14" s="34">
        <v>3.7841</v>
      </c>
      <c r="J14" s="35">
        <v>0.15892999999999999</v>
      </c>
      <c r="L14" s="30">
        <v>0.4</v>
      </c>
      <c r="M14" s="172">
        <v>8.9350000000000005</v>
      </c>
      <c r="N14" s="173">
        <v>0.11192000000000001</v>
      </c>
      <c r="P14" s="30">
        <v>0.4</v>
      </c>
      <c r="Q14" s="172">
        <v>4.4675000000000002</v>
      </c>
      <c r="R14" s="173">
        <v>0.18764</v>
      </c>
      <c r="T14" s="30">
        <v>0.4</v>
      </c>
      <c r="U14" s="172">
        <v>223.84</v>
      </c>
      <c r="V14" s="173">
        <v>5.3289999999999997</v>
      </c>
      <c r="X14" s="30">
        <v>0.4</v>
      </c>
      <c r="Y14" s="34">
        <v>3.9889000000000001</v>
      </c>
      <c r="Z14" s="35">
        <v>0.16753000000000001</v>
      </c>
      <c r="AA14" s="36"/>
      <c r="AB14" s="30">
        <v>0.4</v>
      </c>
      <c r="AC14" s="44">
        <v>250.7</v>
      </c>
      <c r="AD14" s="35">
        <v>5.9690000000000003</v>
      </c>
      <c r="AE14" s="36"/>
      <c r="AF14" s="30">
        <v>0.4</v>
      </c>
      <c r="AG14" s="34">
        <v>4.0529000000000002</v>
      </c>
      <c r="AH14" s="35">
        <v>0.17022000000000001</v>
      </c>
      <c r="AI14" s="35"/>
      <c r="AJ14" s="35">
        <v>0.10381999999999998</v>
      </c>
      <c r="AK14" s="998">
        <v>84.6</v>
      </c>
      <c r="AM14" s="30">
        <v>0.4</v>
      </c>
      <c r="AN14" s="34">
        <v>0.84699999999999998</v>
      </c>
      <c r="AO14" s="35">
        <v>0.94869999999999999</v>
      </c>
      <c r="AQ14" s="197">
        <v>0.65400000000000003</v>
      </c>
      <c r="AR14" s="200">
        <v>84.86</v>
      </c>
      <c r="AS14" s="199">
        <v>653.9</v>
      </c>
      <c r="AU14" s="192">
        <v>0.67600000000000005</v>
      </c>
      <c r="AV14" s="193">
        <v>3.7825000000000002</v>
      </c>
      <c r="AW14" s="192">
        <v>0.72300000000000009</v>
      </c>
      <c r="AX14" s="193">
        <v>0.15887999999999999</v>
      </c>
      <c r="AZ14" s="197">
        <v>0.65400000000000003</v>
      </c>
      <c r="BA14" s="198">
        <v>5.4431000000000003</v>
      </c>
      <c r="BB14" s="199">
        <v>0.18371999999999999</v>
      </c>
      <c r="BD14" s="197">
        <v>0.65400000000000003</v>
      </c>
      <c r="BE14" s="198">
        <v>2.7216</v>
      </c>
      <c r="BF14" s="199">
        <v>0.11430999999999999</v>
      </c>
      <c r="BH14" s="197">
        <v>0.65400000000000003</v>
      </c>
      <c r="BI14" s="198">
        <v>367.44</v>
      </c>
      <c r="BJ14" s="199">
        <v>8.7479999999999993</v>
      </c>
      <c r="BL14" s="197">
        <v>0.65400000000000003</v>
      </c>
      <c r="BM14" s="198">
        <v>2.4300000000000002</v>
      </c>
      <c r="BN14" s="199">
        <v>0.10206</v>
      </c>
      <c r="BP14" s="197">
        <v>0.65400000000000003</v>
      </c>
      <c r="BQ14" s="200">
        <v>411.53</v>
      </c>
      <c r="BR14" s="199">
        <v>9.798</v>
      </c>
      <c r="BT14" s="197">
        <v>0.65400000000000003</v>
      </c>
      <c r="BU14" s="201">
        <v>1.3896999999999999</v>
      </c>
      <c r="BV14" s="202">
        <v>1.5565</v>
      </c>
      <c r="BX14" s="37">
        <v>654</v>
      </c>
      <c r="BY14" s="38">
        <v>0.65410000000000001</v>
      </c>
      <c r="BZ14" s="39">
        <v>84.83</v>
      </c>
      <c r="CA14" s="33"/>
      <c r="CB14" s="37">
        <v>654</v>
      </c>
      <c r="CC14" s="38">
        <v>0.15889</v>
      </c>
      <c r="CD14" s="42">
        <v>6.2949999999999999</v>
      </c>
      <c r="CE14" s="33"/>
      <c r="CF14" s="225">
        <v>0.54220000000000002</v>
      </c>
      <c r="CG14" s="226">
        <v>0.99795</v>
      </c>
      <c r="CI14" s="225">
        <v>0.54330000000000001</v>
      </c>
      <c r="CJ14" s="226">
        <v>1.0020500000000001</v>
      </c>
      <c r="CK14" s="33"/>
      <c r="CL14" s="40">
        <v>654</v>
      </c>
      <c r="CM14" s="43">
        <v>652.9</v>
      </c>
      <c r="CN14" s="41">
        <v>1.5317000000000001</v>
      </c>
      <c r="CO14" s="33"/>
      <c r="CP14" s="40">
        <v>654</v>
      </c>
      <c r="CQ14" s="34">
        <v>0.71970000000000001</v>
      </c>
      <c r="CR14" s="41">
        <v>0.64259999999999995</v>
      </c>
      <c r="CS14" s="33"/>
      <c r="CT14" s="40">
        <v>654</v>
      </c>
      <c r="CU14" s="44">
        <v>404.96</v>
      </c>
      <c r="CV14" s="42">
        <v>9.6419999999999995</v>
      </c>
    </row>
    <row r="15" spans="1:100" ht="21" customHeight="1">
      <c r="B15" s="62" t="s">
        <v>1263</v>
      </c>
      <c r="D15" s="30">
        <v>0.5</v>
      </c>
      <c r="E15" s="31">
        <v>1.0720000000000001</v>
      </c>
      <c r="F15" s="32">
        <v>1071.3</v>
      </c>
      <c r="G15" s="33"/>
      <c r="H15" s="30">
        <v>0.5</v>
      </c>
      <c r="I15" s="34">
        <v>3.7841</v>
      </c>
      <c r="J15" s="35">
        <v>0.15892999999999999</v>
      </c>
      <c r="L15" s="30">
        <v>0.5</v>
      </c>
      <c r="M15" s="172">
        <v>8.9280000000000008</v>
      </c>
      <c r="N15" s="173">
        <v>0.112</v>
      </c>
      <c r="P15" s="30">
        <v>0.5</v>
      </c>
      <c r="Q15" s="172">
        <v>4.4641999999999999</v>
      </c>
      <c r="R15" s="173">
        <v>0.18748999999999999</v>
      </c>
      <c r="T15" s="30">
        <v>0.5</v>
      </c>
      <c r="U15" s="172">
        <v>224.01</v>
      </c>
      <c r="V15" s="173">
        <v>5.3330000000000002</v>
      </c>
      <c r="X15" s="30">
        <v>0.5</v>
      </c>
      <c r="Y15" s="34">
        <v>3.9859</v>
      </c>
      <c r="Z15" s="35">
        <v>0.16741</v>
      </c>
      <c r="AA15" s="36"/>
      <c r="AB15" s="30">
        <v>0.5</v>
      </c>
      <c r="AC15" s="44">
        <v>250.89</v>
      </c>
      <c r="AD15" s="35">
        <v>5.9740000000000002</v>
      </c>
      <c r="AE15" s="36"/>
      <c r="AF15" s="30">
        <v>0.5</v>
      </c>
      <c r="AG15" s="34">
        <v>4.0498000000000003</v>
      </c>
      <c r="AH15" s="35">
        <v>0.17008999999999999</v>
      </c>
      <c r="AI15" s="35"/>
      <c r="AJ15" s="35">
        <v>0.10386999999999999</v>
      </c>
      <c r="AK15" s="998">
        <v>84.5</v>
      </c>
      <c r="AM15" s="30">
        <v>0.5</v>
      </c>
      <c r="AN15" s="34">
        <v>0.84770000000000001</v>
      </c>
      <c r="AO15" s="35">
        <v>0.94940000000000002</v>
      </c>
      <c r="AQ15" s="197">
        <v>0.65500000000000003</v>
      </c>
      <c r="AR15" s="200">
        <v>84.53</v>
      </c>
      <c r="AS15" s="199">
        <v>654.9</v>
      </c>
      <c r="AU15" s="192">
        <v>0.69100000000000006</v>
      </c>
      <c r="AV15" s="193">
        <v>3.7825000000000002</v>
      </c>
      <c r="AW15" s="192">
        <v>0.76800000000000013</v>
      </c>
      <c r="AX15" s="193">
        <v>0.15887999999999999</v>
      </c>
      <c r="AZ15" s="197">
        <v>0.65500000000000003</v>
      </c>
      <c r="BA15" s="198">
        <v>5.4515000000000002</v>
      </c>
      <c r="BB15" s="199">
        <v>0.18343999999999999</v>
      </c>
      <c r="BD15" s="197">
        <v>0.65500000000000003</v>
      </c>
      <c r="BE15" s="198">
        <v>2.7256999999999998</v>
      </c>
      <c r="BF15" s="199">
        <v>0.11448</v>
      </c>
      <c r="BH15" s="197">
        <v>0.65500000000000003</v>
      </c>
      <c r="BI15" s="198">
        <v>366.87</v>
      </c>
      <c r="BJ15" s="199">
        <v>8.7349999999999994</v>
      </c>
      <c r="BL15" s="197">
        <v>0.65500000000000003</v>
      </c>
      <c r="BM15" s="198">
        <v>2.4337</v>
      </c>
      <c r="BN15" s="199">
        <v>0.10222000000000001</v>
      </c>
      <c r="BP15" s="197">
        <v>0.65500000000000003</v>
      </c>
      <c r="BQ15" s="200">
        <v>410.9</v>
      </c>
      <c r="BR15" s="199">
        <v>9.7829999999999995</v>
      </c>
      <c r="BT15" s="197">
        <v>0.65500000000000003</v>
      </c>
      <c r="BU15" s="201">
        <v>1.3875999999999999</v>
      </c>
      <c r="BV15" s="202">
        <v>1.5541</v>
      </c>
      <c r="BX15" s="37">
        <v>655</v>
      </c>
      <c r="BY15" s="38">
        <v>0.65510000000000002</v>
      </c>
      <c r="BZ15" s="39">
        <v>84.49</v>
      </c>
      <c r="CA15" s="33"/>
      <c r="CB15" s="37">
        <v>655</v>
      </c>
      <c r="CC15" s="38">
        <v>0.15889</v>
      </c>
      <c r="CD15" s="42">
        <v>6.2949999999999999</v>
      </c>
      <c r="CE15" s="33"/>
      <c r="CF15" s="225">
        <v>0.56730000000000003</v>
      </c>
      <c r="CG15" s="226">
        <v>0.99795</v>
      </c>
      <c r="CI15" s="225">
        <v>0.56840000000000002</v>
      </c>
      <c r="CJ15" s="226">
        <v>1.0020500000000001</v>
      </c>
      <c r="CK15" s="33"/>
      <c r="CL15" s="40">
        <v>655</v>
      </c>
      <c r="CM15" s="43">
        <v>653.9</v>
      </c>
      <c r="CN15" s="41">
        <v>1.5293000000000001</v>
      </c>
      <c r="CO15" s="33"/>
      <c r="CP15" s="40">
        <v>655</v>
      </c>
      <c r="CQ15" s="34">
        <v>0.7208</v>
      </c>
      <c r="CR15" s="41">
        <v>0.64359999999999995</v>
      </c>
      <c r="CS15" s="33"/>
      <c r="CT15" s="40">
        <v>655</v>
      </c>
      <c r="CU15" s="44">
        <v>404.34</v>
      </c>
      <c r="CV15" s="42">
        <v>9.6270000000000007</v>
      </c>
    </row>
    <row r="16" spans="1:100" ht="21" customHeight="1">
      <c r="B16" s="62" t="s">
        <v>557</v>
      </c>
      <c r="D16" s="30">
        <v>0.6</v>
      </c>
      <c r="E16" s="31">
        <v>1.0711999999999999</v>
      </c>
      <c r="F16" s="32">
        <v>1070.5</v>
      </c>
      <c r="G16" s="33"/>
      <c r="H16" s="30">
        <v>0.6</v>
      </c>
      <c r="I16" s="34">
        <v>3.7841</v>
      </c>
      <c r="J16" s="35">
        <v>0.15892999999999999</v>
      </c>
      <c r="L16" s="30">
        <v>0.6</v>
      </c>
      <c r="M16" s="172">
        <v>8.9220000000000006</v>
      </c>
      <c r="N16" s="173">
        <v>0.11209</v>
      </c>
      <c r="P16" s="30">
        <v>0.6</v>
      </c>
      <c r="Q16" s="172">
        <v>4.4607999999999999</v>
      </c>
      <c r="R16" s="173">
        <v>0.18734999999999999</v>
      </c>
      <c r="T16" s="30">
        <v>0.6</v>
      </c>
      <c r="U16" s="172">
        <v>224.18</v>
      </c>
      <c r="V16" s="173">
        <v>5.3380000000000001</v>
      </c>
      <c r="X16" s="30">
        <v>0.6</v>
      </c>
      <c r="Y16" s="34">
        <v>3.9828000000000001</v>
      </c>
      <c r="Z16" s="35">
        <v>0.16728000000000001</v>
      </c>
      <c r="AA16" s="36"/>
      <c r="AB16" s="30">
        <v>0.6</v>
      </c>
      <c r="AC16" s="44">
        <v>251.08</v>
      </c>
      <c r="AD16" s="35">
        <v>5.9779999999999998</v>
      </c>
      <c r="AE16" s="36"/>
      <c r="AF16" s="30">
        <v>0.6</v>
      </c>
      <c r="AG16" s="34">
        <v>4.0467000000000004</v>
      </c>
      <c r="AH16" s="35">
        <v>0.16996</v>
      </c>
      <c r="AI16" s="35"/>
      <c r="AJ16" s="35">
        <v>0.10392</v>
      </c>
      <c r="AK16" s="998">
        <v>84.4</v>
      </c>
      <c r="AM16" s="30">
        <v>0.6</v>
      </c>
      <c r="AN16" s="34">
        <v>0.84830000000000005</v>
      </c>
      <c r="AO16" s="35">
        <v>0.95009999999999994</v>
      </c>
      <c r="AQ16" s="197">
        <v>0.65600000000000003</v>
      </c>
      <c r="AR16" s="200">
        <v>84.2</v>
      </c>
      <c r="AS16" s="199">
        <v>655.9</v>
      </c>
      <c r="AU16" s="192">
        <v>0.69200000000000006</v>
      </c>
      <c r="AV16" s="193">
        <v>3.7826</v>
      </c>
      <c r="AW16" s="192">
        <v>0.76900000000000013</v>
      </c>
      <c r="AX16" s="193">
        <v>0.15889</v>
      </c>
      <c r="AZ16" s="197">
        <v>0.65600000000000003</v>
      </c>
      <c r="BA16" s="198">
        <v>5.4598000000000004</v>
      </c>
      <c r="BB16" s="199">
        <v>0.18315999999999999</v>
      </c>
      <c r="BD16" s="197">
        <v>0.65600000000000003</v>
      </c>
      <c r="BE16" s="198">
        <v>2.7299000000000002</v>
      </c>
      <c r="BF16" s="199">
        <v>0.11466</v>
      </c>
      <c r="BH16" s="197">
        <v>0.65600000000000003</v>
      </c>
      <c r="BI16" s="198">
        <v>366.31</v>
      </c>
      <c r="BJ16" s="199">
        <v>8.7219999999999995</v>
      </c>
      <c r="BL16" s="197">
        <v>0.65600000000000003</v>
      </c>
      <c r="BM16" s="198">
        <v>2.4373999999999998</v>
      </c>
      <c r="BN16" s="199">
        <v>0.10237</v>
      </c>
      <c r="BP16" s="197">
        <v>0.65600000000000003</v>
      </c>
      <c r="BQ16" s="200">
        <v>410.27</v>
      </c>
      <c r="BR16" s="199">
        <v>9.7680000000000007</v>
      </c>
      <c r="BT16" s="197">
        <v>0.65600000000000003</v>
      </c>
      <c r="BU16" s="201">
        <v>1.3855</v>
      </c>
      <c r="BV16" s="202">
        <v>1.5518000000000001</v>
      </c>
      <c r="BX16" s="37">
        <v>656</v>
      </c>
      <c r="BY16" s="38">
        <v>0.65610000000000002</v>
      </c>
      <c r="BZ16" s="39">
        <v>84.16</v>
      </c>
      <c r="CA16" s="33"/>
      <c r="CB16" s="37">
        <v>656</v>
      </c>
      <c r="CC16" s="38">
        <v>0.15889</v>
      </c>
      <c r="CD16" s="42">
        <v>6.2949999999999999</v>
      </c>
      <c r="CE16" s="33"/>
      <c r="CF16" s="225">
        <v>0.56740000000000002</v>
      </c>
      <c r="CG16" s="226">
        <v>0.99804999999999999</v>
      </c>
      <c r="CI16" s="225">
        <v>0.56850000000000001</v>
      </c>
      <c r="CJ16" s="226">
        <v>1.0019499999999999</v>
      </c>
      <c r="CK16" s="33"/>
      <c r="CL16" s="40">
        <v>656</v>
      </c>
      <c r="CM16" s="43">
        <v>654.9</v>
      </c>
      <c r="CN16" s="41">
        <v>1.5269999999999999</v>
      </c>
      <c r="CO16" s="33"/>
      <c r="CP16" s="40">
        <v>656</v>
      </c>
      <c r="CQ16" s="34">
        <v>0.72189999999999999</v>
      </c>
      <c r="CR16" s="41">
        <v>0.64449999999999996</v>
      </c>
      <c r="CS16" s="33"/>
      <c r="CT16" s="40">
        <v>656</v>
      </c>
      <c r="CU16" s="44">
        <v>403.72</v>
      </c>
      <c r="CV16" s="42">
        <v>9.6120000000000001</v>
      </c>
    </row>
    <row r="17" spans="2:100" ht="21" customHeight="1">
      <c r="B17" s="62" t="s">
        <v>238</v>
      </c>
      <c r="D17" s="30">
        <v>0.7</v>
      </c>
      <c r="E17" s="31">
        <v>1.0703</v>
      </c>
      <c r="F17" s="32">
        <v>1069.7</v>
      </c>
      <c r="G17" s="33"/>
      <c r="H17" s="30">
        <v>0.7</v>
      </c>
      <c r="I17" s="34">
        <v>3.7841</v>
      </c>
      <c r="J17" s="35">
        <v>0.15892999999999999</v>
      </c>
      <c r="L17" s="30">
        <v>0.7</v>
      </c>
      <c r="M17" s="172">
        <v>8.9149999999999991</v>
      </c>
      <c r="N17" s="173">
        <v>0.11217000000000001</v>
      </c>
      <c r="P17" s="30">
        <v>0.7</v>
      </c>
      <c r="Q17" s="172">
        <v>4.4573999999999998</v>
      </c>
      <c r="R17" s="173">
        <v>0.18720999999999999</v>
      </c>
      <c r="T17" s="30">
        <v>0.7</v>
      </c>
      <c r="U17" s="172">
        <v>224.35</v>
      </c>
      <c r="V17" s="173">
        <v>5.3419999999999996</v>
      </c>
      <c r="X17" s="30">
        <v>0.7</v>
      </c>
      <c r="Y17" s="34">
        <v>3.9798</v>
      </c>
      <c r="Z17" s="35">
        <v>0.16714999999999999</v>
      </c>
      <c r="AA17" s="36"/>
      <c r="AB17" s="30">
        <v>0.7</v>
      </c>
      <c r="AC17" s="44">
        <v>251.27</v>
      </c>
      <c r="AD17" s="35">
        <v>5.9829999999999997</v>
      </c>
      <c r="AE17" s="36"/>
      <c r="AF17" s="30">
        <v>0.7</v>
      </c>
      <c r="AG17" s="34">
        <v>4.0437000000000003</v>
      </c>
      <c r="AH17" s="35">
        <v>0.16983000000000001</v>
      </c>
      <c r="AI17" s="35"/>
      <c r="AJ17" s="35">
        <v>0.10397000000000001</v>
      </c>
      <c r="AK17" s="998">
        <v>84.3</v>
      </c>
      <c r="AM17" s="30">
        <v>0.7</v>
      </c>
      <c r="AN17" s="34">
        <v>0.84899999999999998</v>
      </c>
      <c r="AO17" s="35">
        <v>0.95079999999999998</v>
      </c>
      <c r="AQ17" s="197">
        <v>0.65700000000000003</v>
      </c>
      <c r="AR17" s="200">
        <v>83.87</v>
      </c>
      <c r="AS17" s="199">
        <v>656.9</v>
      </c>
      <c r="AU17" s="192">
        <v>0.70700000000000007</v>
      </c>
      <c r="AV17" s="193">
        <v>3.7826</v>
      </c>
      <c r="AW17" s="192">
        <v>0.78</v>
      </c>
      <c r="AX17" s="193">
        <v>0.15889</v>
      </c>
      <c r="AZ17" s="197">
        <v>0.65700000000000003</v>
      </c>
      <c r="BA17" s="198">
        <v>5.4680999999999997</v>
      </c>
      <c r="BB17" s="199">
        <v>0.18287999999999999</v>
      </c>
      <c r="BD17" s="197">
        <v>0.65700000000000003</v>
      </c>
      <c r="BE17" s="198">
        <v>2.7341000000000002</v>
      </c>
      <c r="BF17" s="199">
        <v>0.11483</v>
      </c>
      <c r="BH17" s="197">
        <v>0.65700000000000003</v>
      </c>
      <c r="BI17" s="198">
        <v>365.75</v>
      </c>
      <c r="BJ17" s="199">
        <v>8.7080000000000002</v>
      </c>
      <c r="BL17" s="197">
        <v>0.65700000000000003</v>
      </c>
      <c r="BM17" s="198">
        <v>2.4411</v>
      </c>
      <c r="BN17" s="199">
        <v>0.10253</v>
      </c>
      <c r="BP17" s="197">
        <v>0.65700000000000003</v>
      </c>
      <c r="BQ17" s="200">
        <v>409.64</v>
      </c>
      <c r="BR17" s="199">
        <v>9.7530000000000001</v>
      </c>
      <c r="BT17" s="197">
        <v>0.65700000000000003</v>
      </c>
      <c r="BU17" s="201">
        <v>1.3834</v>
      </c>
      <c r="BV17" s="202">
        <v>1.5494000000000001</v>
      </c>
      <c r="BX17" s="37">
        <v>657</v>
      </c>
      <c r="BY17" s="38">
        <v>0.65710000000000002</v>
      </c>
      <c r="BZ17" s="39">
        <v>83.84</v>
      </c>
      <c r="CA17" s="33"/>
      <c r="CB17" s="37">
        <v>657</v>
      </c>
      <c r="CC17" s="38">
        <v>0.15889</v>
      </c>
      <c r="CD17" s="42">
        <v>6.2949999999999999</v>
      </c>
      <c r="CE17" s="33"/>
      <c r="CF17" s="225">
        <v>0.59499999999999997</v>
      </c>
      <c r="CG17" s="226">
        <v>0.99804999999999999</v>
      </c>
      <c r="CI17" s="225">
        <v>0.59599999999999997</v>
      </c>
      <c r="CJ17" s="226">
        <v>1.0019499999999999</v>
      </c>
      <c r="CK17" s="33"/>
      <c r="CL17" s="40">
        <v>657</v>
      </c>
      <c r="CM17" s="43">
        <v>655.9</v>
      </c>
      <c r="CN17" s="41">
        <v>1.5246999999999999</v>
      </c>
      <c r="CO17" s="33"/>
      <c r="CP17" s="40">
        <v>657</v>
      </c>
      <c r="CQ17" s="34">
        <v>0.72299999999999998</v>
      </c>
      <c r="CR17" s="41">
        <v>0.64549999999999996</v>
      </c>
      <c r="CS17" s="33"/>
      <c r="CT17" s="40">
        <v>657</v>
      </c>
      <c r="CU17" s="44">
        <v>403.1</v>
      </c>
      <c r="CV17" s="42">
        <v>9.5980000000000008</v>
      </c>
    </row>
    <row r="18" spans="2:100" ht="21" customHeight="1">
      <c r="B18" s="62" t="s">
        <v>1652</v>
      </c>
      <c r="D18" s="30">
        <v>0.8</v>
      </c>
      <c r="E18" s="31">
        <v>1.0694999999999999</v>
      </c>
      <c r="F18" s="32">
        <v>1068.8</v>
      </c>
      <c r="G18" s="33"/>
      <c r="H18" s="30">
        <v>0.8</v>
      </c>
      <c r="I18" s="34">
        <v>3.7841</v>
      </c>
      <c r="J18" s="35">
        <v>0.15892999999999999</v>
      </c>
      <c r="L18" s="30">
        <v>0.8</v>
      </c>
      <c r="M18" s="172">
        <v>8.9079999999999995</v>
      </c>
      <c r="N18" s="173">
        <v>0.11226</v>
      </c>
      <c r="P18" s="30">
        <v>0.8</v>
      </c>
      <c r="Q18" s="172">
        <v>4.4539999999999997</v>
      </c>
      <c r="R18" s="173">
        <v>0.18706999999999999</v>
      </c>
      <c r="T18" s="30">
        <v>0.8</v>
      </c>
      <c r="U18" s="172">
        <v>224.52</v>
      </c>
      <c r="V18" s="173">
        <v>5.3460000000000001</v>
      </c>
      <c r="X18" s="30">
        <v>0.8</v>
      </c>
      <c r="Y18" s="34">
        <v>3.9767999999999999</v>
      </c>
      <c r="Z18" s="35">
        <v>0.16703000000000001</v>
      </c>
      <c r="AA18" s="36"/>
      <c r="AB18" s="30">
        <v>0.8</v>
      </c>
      <c r="AC18" s="44">
        <v>251.46</v>
      </c>
      <c r="AD18" s="35">
        <v>5.9870000000000001</v>
      </c>
      <c r="AE18" s="36"/>
      <c r="AF18" s="30">
        <v>0.8</v>
      </c>
      <c r="AG18" s="34">
        <v>4.0406000000000004</v>
      </c>
      <c r="AH18" s="35">
        <v>0.16971</v>
      </c>
      <c r="AI18" s="35"/>
      <c r="AJ18" s="35">
        <v>0.10401000000000003</v>
      </c>
      <c r="AK18" s="998">
        <v>84.2</v>
      </c>
      <c r="AM18" s="30">
        <v>0.8</v>
      </c>
      <c r="AN18" s="34">
        <v>0.84960000000000002</v>
      </c>
      <c r="AO18" s="35">
        <v>0.95150000000000001</v>
      </c>
      <c r="AQ18" s="197">
        <v>0.65800000000000003</v>
      </c>
      <c r="AR18" s="200">
        <v>83.55</v>
      </c>
      <c r="AS18" s="199">
        <v>657.9</v>
      </c>
      <c r="AU18" s="192">
        <v>0.70800000000000007</v>
      </c>
      <c r="AV18" s="193">
        <v>3.7827000000000002</v>
      </c>
      <c r="AW18" s="192">
        <v>0.78100000000000014</v>
      </c>
      <c r="AX18" s="35">
        <v>0.15890000000000001</v>
      </c>
      <c r="AZ18" s="197">
        <v>0.65800000000000003</v>
      </c>
      <c r="BA18" s="198">
        <v>5.4764999999999997</v>
      </c>
      <c r="BB18" s="199">
        <v>0.18260000000000001</v>
      </c>
      <c r="BD18" s="197">
        <v>0.65800000000000003</v>
      </c>
      <c r="BE18" s="198">
        <v>2.7382</v>
      </c>
      <c r="BF18" s="199">
        <v>0.11501</v>
      </c>
      <c r="BH18" s="197">
        <v>0.65800000000000003</v>
      </c>
      <c r="BI18" s="198">
        <v>365.2</v>
      </c>
      <c r="BJ18" s="199">
        <v>8.6950000000000003</v>
      </c>
      <c r="BL18" s="197">
        <v>0.65800000000000003</v>
      </c>
      <c r="BM18" s="198">
        <v>2.4449000000000001</v>
      </c>
      <c r="BN18" s="199">
        <v>0.10267999999999999</v>
      </c>
      <c r="BP18" s="197">
        <v>0.65800000000000003</v>
      </c>
      <c r="BQ18" s="200">
        <v>409.02</v>
      </c>
      <c r="BR18" s="199">
        <v>9.7390000000000008</v>
      </c>
      <c r="BT18" s="197">
        <v>0.65800000000000003</v>
      </c>
      <c r="BU18" s="201">
        <v>1.3813</v>
      </c>
      <c r="BV18" s="202">
        <v>1.5470999999999999</v>
      </c>
      <c r="BX18" s="37">
        <v>658</v>
      </c>
      <c r="BY18" s="38">
        <v>0.65810000000000002</v>
      </c>
      <c r="BZ18" s="39">
        <v>83.51</v>
      </c>
      <c r="CA18" s="33"/>
      <c r="CB18" s="37">
        <v>658</v>
      </c>
      <c r="CC18" s="38">
        <v>0.15889</v>
      </c>
      <c r="CD18" s="42">
        <v>6.2949999999999999</v>
      </c>
      <c r="CE18" s="33"/>
      <c r="CF18" s="225">
        <v>0.59509999999999996</v>
      </c>
      <c r="CG18" s="226">
        <v>0.99814999999999998</v>
      </c>
      <c r="CI18" s="225">
        <v>0.59609999999999996</v>
      </c>
      <c r="CJ18" s="226">
        <v>1.0018499999999999</v>
      </c>
      <c r="CK18" s="33"/>
      <c r="CL18" s="40">
        <v>658</v>
      </c>
      <c r="CM18" s="43">
        <v>656.9</v>
      </c>
      <c r="CN18" s="41">
        <v>1.5224</v>
      </c>
      <c r="CO18" s="33"/>
      <c r="CP18" s="40">
        <v>658</v>
      </c>
      <c r="CQ18" s="34">
        <v>0.72409999999999997</v>
      </c>
      <c r="CR18" s="41">
        <v>0.64649999999999996</v>
      </c>
      <c r="CS18" s="33"/>
      <c r="CT18" s="40">
        <v>658</v>
      </c>
      <c r="CU18" s="44">
        <v>402.49</v>
      </c>
      <c r="CV18" s="42">
        <v>9.5830000000000002</v>
      </c>
    </row>
    <row r="19" spans="2:100" ht="21" customHeight="1">
      <c r="B19" s="62" t="s">
        <v>1653</v>
      </c>
      <c r="D19" s="30">
        <v>0.9</v>
      </c>
      <c r="E19" s="31">
        <v>1.0687</v>
      </c>
      <c r="F19" s="32">
        <v>1068</v>
      </c>
      <c r="G19" s="33"/>
      <c r="H19" s="30">
        <v>0.9</v>
      </c>
      <c r="I19" s="34">
        <v>3.7841</v>
      </c>
      <c r="J19" s="35">
        <v>0.15892999999999999</v>
      </c>
      <c r="L19" s="30">
        <v>0.9</v>
      </c>
      <c r="M19" s="172">
        <v>8.9009999999999998</v>
      </c>
      <c r="N19" s="173">
        <v>0.11234</v>
      </c>
      <c r="P19" s="30">
        <v>0.9</v>
      </c>
      <c r="Q19" s="172">
        <v>4.4507000000000003</v>
      </c>
      <c r="R19" s="173">
        <v>0.18693000000000001</v>
      </c>
      <c r="T19" s="30">
        <v>0.9</v>
      </c>
      <c r="U19" s="172">
        <v>224.69</v>
      </c>
      <c r="V19" s="173">
        <v>5.35</v>
      </c>
      <c r="X19" s="30">
        <v>0.9</v>
      </c>
      <c r="Y19" s="34">
        <v>3.9738000000000002</v>
      </c>
      <c r="Z19" s="35">
        <v>0.16689999999999999</v>
      </c>
      <c r="AA19" s="36"/>
      <c r="AB19" s="30">
        <v>0.9</v>
      </c>
      <c r="AC19" s="44">
        <v>251.65</v>
      </c>
      <c r="AD19" s="35">
        <v>5.992</v>
      </c>
      <c r="AE19" s="36"/>
      <c r="AF19" s="30">
        <v>0.9</v>
      </c>
      <c r="AG19" s="34">
        <v>4.0376000000000003</v>
      </c>
      <c r="AH19" s="35">
        <v>0.16958000000000001</v>
      </c>
      <c r="AI19" s="35"/>
      <c r="AJ19" s="35">
        <v>0.10406000000000003</v>
      </c>
      <c r="AK19" s="998">
        <v>84.1</v>
      </c>
      <c r="AM19" s="30">
        <v>0.9</v>
      </c>
      <c r="AN19" s="34">
        <v>0.85019999999999996</v>
      </c>
      <c r="AO19" s="35">
        <v>0.95230000000000004</v>
      </c>
      <c r="AQ19" s="197">
        <v>0.65900000000000003</v>
      </c>
      <c r="AR19" s="200">
        <v>83.22</v>
      </c>
      <c r="AS19" s="199">
        <v>658.9</v>
      </c>
      <c r="AU19" s="192">
        <v>0.72400000000000009</v>
      </c>
      <c r="AV19" s="193">
        <v>3.7827000000000002</v>
      </c>
      <c r="AW19" s="192">
        <v>0.79900000000000015</v>
      </c>
      <c r="AX19" s="35">
        <v>0.15890000000000001</v>
      </c>
      <c r="AZ19" s="197">
        <v>0.65900000000000003</v>
      </c>
      <c r="BA19" s="198">
        <v>5.4847999999999999</v>
      </c>
      <c r="BB19" s="199">
        <v>0.18232000000000001</v>
      </c>
      <c r="BD19" s="197">
        <v>0.65900000000000003</v>
      </c>
      <c r="BE19" s="198">
        <v>2.7423999999999999</v>
      </c>
      <c r="BF19" s="199">
        <v>0.11518</v>
      </c>
      <c r="BH19" s="197">
        <v>0.65900000000000003</v>
      </c>
      <c r="BI19" s="198">
        <v>364.64</v>
      </c>
      <c r="BJ19" s="199">
        <v>8.6820000000000004</v>
      </c>
      <c r="BL19" s="197">
        <v>0.65900000000000003</v>
      </c>
      <c r="BM19" s="198">
        <v>2.4485999999999999</v>
      </c>
      <c r="BN19" s="199">
        <v>0.10284</v>
      </c>
      <c r="BP19" s="197">
        <v>0.65900000000000003</v>
      </c>
      <c r="BQ19" s="200">
        <v>408.4</v>
      </c>
      <c r="BR19" s="199">
        <v>9.7240000000000002</v>
      </c>
      <c r="BT19" s="197">
        <v>0.65900000000000003</v>
      </c>
      <c r="BU19" s="201">
        <v>1.3792</v>
      </c>
      <c r="BV19" s="202">
        <v>1.5447</v>
      </c>
      <c r="BX19" s="37">
        <v>659</v>
      </c>
      <c r="BY19" s="38">
        <v>0.65910000000000002</v>
      </c>
      <c r="BZ19" s="39">
        <v>83.18</v>
      </c>
      <c r="CA19" s="33"/>
      <c r="CB19" s="37">
        <v>659</v>
      </c>
      <c r="CC19" s="38">
        <v>0.15889</v>
      </c>
      <c r="CD19" s="42">
        <v>6.2949999999999999</v>
      </c>
      <c r="CE19" s="33"/>
      <c r="CF19" s="225">
        <v>0.62549999999999994</v>
      </c>
      <c r="CG19" s="226">
        <v>0.99814999999999998</v>
      </c>
      <c r="CI19" s="225">
        <v>0.62649999999999995</v>
      </c>
      <c r="CJ19" s="226">
        <v>1.0018499999999999</v>
      </c>
      <c r="CK19" s="33"/>
      <c r="CL19" s="40">
        <v>659</v>
      </c>
      <c r="CM19" s="43">
        <v>657.9</v>
      </c>
      <c r="CN19" s="41">
        <v>1.52</v>
      </c>
      <c r="CO19" s="33"/>
      <c r="CP19" s="40">
        <v>659</v>
      </c>
      <c r="CQ19" s="34">
        <v>0.72519999999999996</v>
      </c>
      <c r="CR19" s="41">
        <v>0.64749999999999996</v>
      </c>
      <c r="CS19" s="33"/>
      <c r="CT19" s="40">
        <v>659</v>
      </c>
      <c r="CU19" s="44">
        <v>401.88</v>
      </c>
      <c r="CV19" s="42">
        <v>9.5679999999999996</v>
      </c>
    </row>
    <row r="20" spans="2:100" ht="21" customHeight="1">
      <c r="B20" s="62" t="s">
        <v>40</v>
      </c>
      <c r="D20" s="30">
        <v>1</v>
      </c>
      <c r="E20" s="31">
        <v>1.0679000000000001</v>
      </c>
      <c r="F20" s="32">
        <v>1067.2</v>
      </c>
      <c r="G20" s="33"/>
      <c r="H20" s="30">
        <v>1</v>
      </c>
      <c r="I20" s="34">
        <v>3.7841</v>
      </c>
      <c r="J20" s="35">
        <v>0.15892999999999999</v>
      </c>
      <c r="L20" s="30">
        <v>1</v>
      </c>
      <c r="M20" s="172">
        <v>8.8949999999999996</v>
      </c>
      <c r="N20" s="173">
        <v>0.11243</v>
      </c>
      <c r="P20" s="30">
        <v>1</v>
      </c>
      <c r="Q20" s="172">
        <v>4.4473000000000003</v>
      </c>
      <c r="R20" s="173">
        <v>0.18679000000000001</v>
      </c>
      <c r="T20" s="30">
        <v>1</v>
      </c>
      <c r="U20" s="172">
        <v>224.86</v>
      </c>
      <c r="V20" s="173">
        <v>5.3540000000000001</v>
      </c>
      <c r="X20" s="30">
        <v>1</v>
      </c>
      <c r="Y20" s="34">
        <v>3.9708000000000001</v>
      </c>
      <c r="Z20" s="35">
        <v>0.16677</v>
      </c>
      <c r="AA20" s="36"/>
      <c r="AB20" s="30">
        <v>1</v>
      </c>
      <c r="AC20" s="44">
        <v>251.84</v>
      </c>
      <c r="AD20" s="35">
        <v>5.9960000000000004</v>
      </c>
      <c r="AE20" s="36"/>
      <c r="AF20" s="30">
        <v>1</v>
      </c>
      <c r="AG20" s="34">
        <v>4.0345000000000004</v>
      </c>
      <c r="AH20" s="35">
        <v>0.16944999999999999</v>
      </c>
      <c r="AI20" s="35"/>
      <c r="AJ20" s="35">
        <v>0.10411000000000002</v>
      </c>
      <c r="AK20" s="998">
        <v>84</v>
      </c>
      <c r="AM20" s="30">
        <v>1</v>
      </c>
      <c r="AN20" s="34">
        <v>0.85089999999999999</v>
      </c>
      <c r="AO20" s="35">
        <v>0.95299999999999996</v>
      </c>
      <c r="AQ20" s="197">
        <v>0.66</v>
      </c>
      <c r="AR20" s="200">
        <v>82.89</v>
      </c>
      <c r="AS20" s="199">
        <v>659.9</v>
      </c>
      <c r="AU20" s="192">
        <v>0.72499999999999998</v>
      </c>
      <c r="AV20" s="193">
        <v>3.7827999999999999</v>
      </c>
      <c r="AW20" s="192">
        <v>0.8</v>
      </c>
      <c r="AX20" s="35">
        <v>0.15891</v>
      </c>
      <c r="AZ20" s="197">
        <v>0.66</v>
      </c>
      <c r="BA20" s="198">
        <v>5.4931999999999999</v>
      </c>
      <c r="BB20" s="199">
        <v>0.18204000000000001</v>
      </c>
      <c r="BD20" s="197">
        <v>0.66</v>
      </c>
      <c r="BE20" s="198">
        <v>2.7465999999999999</v>
      </c>
      <c r="BF20" s="199">
        <v>0.11536</v>
      </c>
      <c r="BH20" s="197">
        <v>0.66</v>
      </c>
      <c r="BI20" s="198">
        <v>364.09</v>
      </c>
      <c r="BJ20" s="199">
        <v>8.6690000000000005</v>
      </c>
      <c r="BL20" s="197">
        <v>0.66</v>
      </c>
      <c r="BM20" s="198">
        <v>2.4523000000000001</v>
      </c>
      <c r="BN20" s="199">
        <v>0.10299999999999999</v>
      </c>
      <c r="BP20" s="197">
        <v>0.66</v>
      </c>
      <c r="BQ20" s="200">
        <v>407.78</v>
      </c>
      <c r="BR20" s="199">
        <v>9.7089999999999996</v>
      </c>
      <c r="BT20" s="197">
        <v>0.66</v>
      </c>
      <c r="BU20" s="201">
        <v>1.3771</v>
      </c>
      <c r="BV20" s="202">
        <v>1.5424</v>
      </c>
      <c r="BX20" s="37">
        <v>660</v>
      </c>
      <c r="BY20" s="38">
        <v>0.66010000000000002</v>
      </c>
      <c r="BZ20" s="39">
        <v>82.86</v>
      </c>
      <c r="CA20" s="33"/>
      <c r="CB20" s="37">
        <v>660</v>
      </c>
      <c r="CC20" s="38">
        <v>0.15889</v>
      </c>
      <c r="CD20" s="42">
        <v>6.2949999999999999</v>
      </c>
      <c r="CE20" s="33"/>
      <c r="CF20" s="225">
        <v>0.62560000000000004</v>
      </c>
      <c r="CG20" s="226">
        <v>0.99824999999999997</v>
      </c>
      <c r="CI20" s="225">
        <v>0.62660000000000005</v>
      </c>
      <c r="CJ20" s="226">
        <v>1.0017499999999999</v>
      </c>
      <c r="CK20" s="33"/>
      <c r="CL20" s="40">
        <v>660</v>
      </c>
      <c r="CM20" s="43">
        <v>658.9</v>
      </c>
      <c r="CN20" s="41">
        <v>1.5177</v>
      </c>
      <c r="CO20" s="33"/>
      <c r="CP20" s="40">
        <v>660</v>
      </c>
      <c r="CQ20" s="34">
        <v>0.72629999999999995</v>
      </c>
      <c r="CR20" s="41">
        <v>0.64849999999999997</v>
      </c>
      <c r="CS20" s="33"/>
      <c r="CT20" s="40">
        <v>660</v>
      </c>
      <c r="CU20" s="44">
        <v>401.27</v>
      </c>
      <c r="CV20" s="42">
        <v>9.5540000000000003</v>
      </c>
    </row>
    <row r="21" spans="2:100" ht="21" customHeight="1">
      <c r="B21" s="62" t="s">
        <v>238</v>
      </c>
      <c r="D21" s="30">
        <v>1.1000000000000001</v>
      </c>
      <c r="E21" s="31">
        <v>1.0670999999999999</v>
      </c>
      <c r="F21" s="32">
        <v>1066.4000000000001</v>
      </c>
      <c r="G21" s="33"/>
      <c r="H21" s="30">
        <v>1.1000000000000001</v>
      </c>
      <c r="I21" s="34">
        <v>3.7841</v>
      </c>
      <c r="J21" s="35">
        <v>0.15892999999999999</v>
      </c>
      <c r="L21" s="30">
        <v>1.1000000000000001</v>
      </c>
      <c r="M21" s="172">
        <v>8.8879999999999999</v>
      </c>
      <c r="N21" s="173">
        <v>0.11251</v>
      </c>
      <c r="P21" s="30">
        <v>1.1000000000000001</v>
      </c>
      <c r="Q21" s="172">
        <v>4.4439000000000002</v>
      </c>
      <c r="R21" s="173">
        <v>0.18665000000000001</v>
      </c>
      <c r="T21" s="30">
        <v>1.1000000000000001</v>
      </c>
      <c r="U21" s="172">
        <v>225.03</v>
      </c>
      <c r="V21" s="173">
        <v>5.3579999999999997</v>
      </c>
      <c r="X21" s="30">
        <v>1.1000000000000001</v>
      </c>
      <c r="Y21" s="34">
        <v>3.9678</v>
      </c>
      <c r="Z21" s="35">
        <v>0.16664999999999999</v>
      </c>
      <c r="AA21" s="36"/>
      <c r="AB21" s="30">
        <v>1.1000000000000001</v>
      </c>
      <c r="AC21" s="44">
        <v>252.03</v>
      </c>
      <c r="AD21" s="35">
        <v>6.0010000000000003</v>
      </c>
      <c r="AE21" s="36"/>
      <c r="AF21" s="30">
        <v>1.1000000000000001</v>
      </c>
      <c r="AG21" s="34">
        <v>4.0315000000000003</v>
      </c>
      <c r="AH21" s="35">
        <v>0.16932</v>
      </c>
      <c r="AI21" s="35"/>
      <c r="AJ21" s="35">
        <v>0.10416000000000002</v>
      </c>
      <c r="AK21" s="998">
        <v>83.9</v>
      </c>
      <c r="AM21" s="30">
        <v>1.1000000000000001</v>
      </c>
      <c r="AN21" s="34">
        <v>0.85150000000000003</v>
      </c>
      <c r="AO21" s="35">
        <v>0.95369999999999999</v>
      </c>
      <c r="AQ21" s="197">
        <v>0.66100000000000003</v>
      </c>
      <c r="AR21" s="200">
        <v>82.57</v>
      </c>
      <c r="AS21" s="199">
        <v>660.9</v>
      </c>
      <c r="AU21" s="192">
        <v>0.7430000000000001</v>
      </c>
      <c r="AV21" s="193">
        <v>3.7827999999999999</v>
      </c>
      <c r="AW21" s="192">
        <v>0.85900000000000021</v>
      </c>
      <c r="AX21" s="35">
        <v>0.15891</v>
      </c>
      <c r="AZ21" s="197">
        <v>0.66100000000000003</v>
      </c>
      <c r="BA21" s="198">
        <v>5.5015000000000001</v>
      </c>
      <c r="BB21" s="199">
        <v>0.18176999999999999</v>
      </c>
      <c r="BD21" s="197">
        <v>0.66100000000000003</v>
      </c>
      <c r="BE21" s="198">
        <v>2.7507999999999999</v>
      </c>
      <c r="BF21" s="199">
        <v>0.11552999999999999</v>
      </c>
      <c r="BH21" s="197">
        <v>0.66100000000000003</v>
      </c>
      <c r="BI21" s="198">
        <v>363.54</v>
      </c>
      <c r="BJ21" s="199">
        <v>8.6560000000000006</v>
      </c>
      <c r="BL21" s="197">
        <v>0.66100000000000003</v>
      </c>
      <c r="BM21" s="198">
        <v>2.456</v>
      </c>
      <c r="BN21" s="199">
        <v>0.10315000000000001</v>
      </c>
      <c r="BP21" s="197">
        <v>0.66100000000000003</v>
      </c>
      <c r="BQ21" s="200">
        <v>407.16</v>
      </c>
      <c r="BR21" s="199">
        <v>9.6940000000000008</v>
      </c>
      <c r="BT21" s="197">
        <v>0.66100000000000003</v>
      </c>
      <c r="BU21" s="201">
        <v>1.375</v>
      </c>
      <c r="BV21" s="202">
        <v>1.54</v>
      </c>
      <c r="BX21" s="37">
        <v>661</v>
      </c>
      <c r="BY21" s="38">
        <v>0.66110000000000002</v>
      </c>
      <c r="BZ21" s="39">
        <v>82.53</v>
      </c>
      <c r="CA21" s="33"/>
      <c r="CB21" s="37">
        <v>661</v>
      </c>
      <c r="CC21" s="38">
        <v>0.15889</v>
      </c>
      <c r="CD21" s="42">
        <v>6.2949999999999999</v>
      </c>
      <c r="CE21" s="33"/>
      <c r="CF21" s="225">
        <v>0.6593</v>
      </c>
      <c r="CG21" s="226">
        <v>0.99824999999999997</v>
      </c>
      <c r="CI21" s="225">
        <v>0.6603</v>
      </c>
      <c r="CJ21" s="226">
        <v>1.0017499999999999</v>
      </c>
      <c r="CK21" s="33"/>
      <c r="CL21" s="40">
        <v>661</v>
      </c>
      <c r="CM21" s="43">
        <v>659.9</v>
      </c>
      <c r="CN21" s="41">
        <v>1.5154000000000001</v>
      </c>
      <c r="CO21" s="33"/>
      <c r="CP21" s="40">
        <v>661</v>
      </c>
      <c r="CQ21" s="34">
        <v>0.72740000000000005</v>
      </c>
      <c r="CR21" s="41">
        <v>0.64949999999999997</v>
      </c>
      <c r="CS21" s="33"/>
      <c r="CT21" s="40">
        <v>661</v>
      </c>
      <c r="CU21" s="44">
        <v>400.66</v>
      </c>
      <c r="CV21" s="42">
        <v>9.5389999999999997</v>
      </c>
    </row>
    <row r="22" spans="2:100" ht="21" customHeight="1">
      <c r="B22" s="62" t="s">
        <v>39</v>
      </c>
      <c r="D22" s="30">
        <v>1.2</v>
      </c>
      <c r="E22" s="31">
        <v>1.0663</v>
      </c>
      <c r="F22" s="32">
        <v>1065.5999999999999</v>
      </c>
      <c r="G22" s="33"/>
      <c r="H22" s="30">
        <v>1.2</v>
      </c>
      <c r="I22" s="34">
        <v>3.7841</v>
      </c>
      <c r="J22" s="35">
        <v>0.15892999999999999</v>
      </c>
      <c r="L22" s="30">
        <v>1.2</v>
      </c>
      <c r="M22" s="172">
        <v>8.8810000000000002</v>
      </c>
      <c r="N22" s="173">
        <v>0.11260000000000001</v>
      </c>
      <c r="P22" s="30">
        <v>1.2</v>
      </c>
      <c r="Q22" s="172">
        <v>4.4405999999999999</v>
      </c>
      <c r="R22" s="173">
        <v>0.1865</v>
      </c>
      <c r="T22" s="30">
        <v>1.2</v>
      </c>
      <c r="U22" s="172">
        <v>225.2</v>
      </c>
      <c r="V22" s="173">
        <v>5.3620000000000001</v>
      </c>
      <c r="X22" s="30">
        <v>1.2</v>
      </c>
      <c r="Y22" s="34">
        <v>3.9647999999999999</v>
      </c>
      <c r="Z22" s="35">
        <v>0.16652</v>
      </c>
      <c r="AA22" s="36"/>
      <c r="AB22" s="30">
        <v>1.2</v>
      </c>
      <c r="AC22" s="44">
        <v>252.22</v>
      </c>
      <c r="AD22" s="35">
        <v>6.0049999999999999</v>
      </c>
      <c r="AE22" s="36"/>
      <c r="AF22" s="30">
        <v>1.2</v>
      </c>
      <c r="AG22" s="34">
        <v>4.0284000000000004</v>
      </c>
      <c r="AH22" s="35">
        <v>0.16919000000000001</v>
      </c>
      <c r="AI22" s="35"/>
      <c r="AJ22" s="35">
        <v>0.10421000000000001</v>
      </c>
      <c r="AK22" s="998">
        <v>83.8</v>
      </c>
      <c r="AM22" s="30">
        <v>1.2</v>
      </c>
      <c r="AN22" s="34">
        <v>0.85219999999999996</v>
      </c>
      <c r="AO22" s="35">
        <v>0.95440000000000003</v>
      </c>
      <c r="AQ22" s="197">
        <v>0.66200000000000003</v>
      </c>
      <c r="AR22" s="200">
        <v>82.25</v>
      </c>
      <c r="AS22" s="199">
        <v>661.9</v>
      </c>
      <c r="AU22" s="192">
        <v>0.74400000000000011</v>
      </c>
      <c r="AV22" s="193">
        <v>3.7829000000000002</v>
      </c>
      <c r="AW22" s="192">
        <v>0.86</v>
      </c>
      <c r="AX22" s="35">
        <v>0.15892000000000001</v>
      </c>
      <c r="AZ22" s="197">
        <v>0.66200000000000003</v>
      </c>
      <c r="BA22" s="198">
        <v>5.5098000000000003</v>
      </c>
      <c r="BB22" s="199">
        <v>0.18149000000000001</v>
      </c>
      <c r="BD22" s="197">
        <v>0.66200000000000003</v>
      </c>
      <c r="BE22" s="198">
        <v>2.7549000000000001</v>
      </c>
      <c r="BF22" s="199">
        <v>0.11570999999999999</v>
      </c>
      <c r="BH22" s="197">
        <v>0.66200000000000003</v>
      </c>
      <c r="BI22" s="198">
        <v>362.99</v>
      </c>
      <c r="BJ22" s="199">
        <v>8.6430000000000007</v>
      </c>
      <c r="BL22" s="197">
        <v>0.66200000000000003</v>
      </c>
      <c r="BM22" s="198">
        <v>2.4598</v>
      </c>
      <c r="BN22" s="199">
        <v>0.10331</v>
      </c>
      <c r="BP22" s="197">
        <v>0.66200000000000003</v>
      </c>
      <c r="BQ22" s="200">
        <v>406.55</v>
      </c>
      <c r="BR22" s="199">
        <v>9.68</v>
      </c>
      <c r="BT22" s="197">
        <v>0.66200000000000003</v>
      </c>
      <c r="BU22" s="201">
        <v>1.3729</v>
      </c>
      <c r="BV22" s="202">
        <v>1.5377000000000001</v>
      </c>
      <c r="BX22" s="37">
        <v>662</v>
      </c>
      <c r="BY22" s="38">
        <v>0.66210000000000002</v>
      </c>
      <c r="BZ22" s="39">
        <v>82.21</v>
      </c>
      <c r="CA22" s="33"/>
      <c r="CB22" s="37">
        <v>662</v>
      </c>
      <c r="CC22" s="38">
        <v>0.15889</v>
      </c>
      <c r="CD22" s="42">
        <v>6.2949999999999999</v>
      </c>
      <c r="CE22" s="33"/>
      <c r="CF22" s="225">
        <v>0.65939999999999999</v>
      </c>
      <c r="CG22" s="226">
        <v>0.99834999999999996</v>
      </c>
      <c r="CI22" s="225">
        <v>0.66039999999999999</v>
      </c>
      <c r="CJ22" s="226">
        <v>1.0016499999999999</v>
      </c>
      <c r="CK22" s="33"/>
      <c r="CL22" s="40">
        <v>662</v>
      </c>
      <c r="CM22" s="43">
        <v>660.9</v>
      </c>
      <c r="CN22" s="41">
        <v>1.5130999999999999</v>
      </c>
      <c r="CO22" s="33"/>
      <c r="CP22" s="40">
        <v>662</v>
      </c>
      <c r="CQ22" s="34">
        <v>0.72850000000000004</v>
      </c>
      <c r="CR22" s="41">
        <v>0.65039999999999998</v>
      </c>
      <c r="CS22" s="33"/>
      <c r="CT22" s="40">
        <v>662</v>
      </c>
      <c r="CU22" s="44">
        <v>400.05</v>
      </c>
      <c r="CV22" s="42">
        <v>9.5250000000000004</v>
      </c>
    </row>
    <row r="23" spans="2:100" ht="21" customHeight="1">
      <c r="B23" s="62" t="s">
        <v>38</v>
      </c>
      <c r="D23" s="30">
        <v>1.3</v>
      </c>
      <c r="E23" s="31">
        <v>1.0654999999999999</v>
      </c>
      <c r="F23" s="32">
        <v>1064.8</v>
      </c>
      <c r="G23" s="33"/>
      <c r="H23" s="30">
        <v>1.3</v>
      </c>
      <c r="I23" s="34">
        <v>3.7841</v>
      </c>
      <c r="J23" s="35">
        <v>0.15892999999999999</v>
      </c>
      <c r="L23" s="30">
        <v>1.3</v>
      </c>
      <c r="M23" s="172">
        <v>8.8740000000000006</v>
      </c>
      <c r="N23" s="173">
        <v>0.11268</v>
      </c>
      <c r="P23" s="30">
        <v>1.3</v>
      </c>
      <c r="Q23" s="172">
        <v>4.4371999999999998</v>
      </c>
      <c r="R23" s="173">
        <v>0.18636</v>
      </c>
      <c r="T23" s="30">
        <v>1.3</v>
      </c>
      <c r="U23" s="172">
        <v>225.37</v>
      </c>
      <c r="V23" s="173">
        <v>5.3659999999999997</v>
      </c>
      <c r="X23" s="30">
        <v>1.3</v>
      </c>
      <c r="Y23" s="34">
        <v>3.9618000000000002</v>
      </c>
      <c r="Z23" s="35">
        <v>0.16639999999999999</v>
      </c>
      <c r="AA23" s="36"/>
      <c r="AB23" s="30">
        <v>1.3</v>
      </c>
      <c r="AC23" s="44">
        <v>252.41</v>
      </c>
      <c r="AD23" s="35">
        <v>6.01</v>
      </c>
      <c r="AE23" s="36"/>
      <c r="AF23" s="30">
        <v>1.3</v>
      </c>
      <c r="AG23" s="34">
        <v>4.0254000000000003</v>
      </c>
      <c r="AH23" s="35">
        <v>0.16907</v>
      </c>
      <c r="AI23" s="35"/>
      <c r="AJ23" s="35">
        <v>0.10426000000000001</v>
      </c>
      <c r="AK23" s="998">
        <v>83.7</v>
      </c>
      <c r="AM23" s="30">
        <v>1.3</v>
      </c>
      <c r="AN23" s="34">
        <v>0.8528</v>
      </c>
      <c r="AO23" s="35">
        <v>0.95509999999999995</v>
      </c>
      <c r="AQ23" s="197">
        <v>0.66300000000000003</v>
      </c>
      <c r="AR23" s="200">
        <v>81.92</v>
      </c>
      <c r="AS23" s="199">
        <v>662.9</v>
      </c>
      <c r="AU23" s="192">
        <v>0.76300000000000012</v>
      </c>
      <c r="AV23" s="193">
        <v>3.7829000000000002</v>
      </c>
      <c r="AW23" s="192">
        <v>0.86400000000000021</v>
      </c>
      <c r="AX23" s="35">
        <v>0.15892000000000001</v>
      </c>
      <c r="AZ23" s="197">
        <v>0.66300000000000003</v>
      </c>
      <c r="BA23" s="198">
        <v>5.5182000000000002</v>
      </c>
      <c r="BB23" s="199">
        <v>0.18121999999999999</v>
      </c>
      <c r="BD23" s="197">
        <v>0.66300000000000003</v>
      </c>
      <c r="BE23" s="198">
        <v>2.7591000000000001</v>
      </c>
      <c r="BF23" s="199">
        <v>0.11588</v>
      </c>
      <c r="BH23" s="197">
        <v>0.66300000000000003</v>
      </c>
      <c r="BI23" s="198">
        <v>362.44</v>
      </c>
      <c r="BJ23" s="199">
        <v>8.6289999999999996</v>
      </c>
      <c r="BL23" s="197">
        <v>0.66300000000000003</v>
      </c>
      <c r="BM23" s="198">
        <v>2.4634999999999998</v>
      </c>
      <c r="BN23" s="199">
        <v>0.10347000000000001</v>
      </c>
      <c r="BP23" s="197">
        <v>0.66300000000000003</v>
      </c>
      <c r="BQ23" s="200">
        <v>405.93</v>
      </c>
      <c r="BR23" s="199">
        <v>9.6649999999999991</v>
      </c>
      <c r="BT23" s="197">
        <v>0.66300000000000003</v>
      </c>
      <c r="BU23" s="201">
        <v>1.3709</v>
      </c>
      <c r="BV23" s="202">
        <v>1.5354000000000001</v>
      </c>
      <c r="BX23" s="37">
        <v>663</v>
      </c>
      <c r="BY23" s="38">
        <v>0.66310000000000002</v>
      </c>
      <c r="BZ23" s="39">
        <v>81.88</v>
      </c>
      <c r="CA23" s="33"/>
      <c r="CB23" s="37">
        <v>663</v>
      </c>
      <c r="CC23" s="38">
        <v>0.15889</v>
      </c>
      <c r="CD23" s="42">
        <v>6.2949999999999999</v>
      </c>
      <c r="CE23" s="33"/>
      <c r="CF23" s="225">
        <v>0.69699999999999995</v>
      </c>
      <c r="CG23" s="226">
        <v>0.99834999999999996</v>
      </c>
      <c r="CI23" s="225">
        <v>0.69799999999999995</v>
      </c>
      <c r="CJ23" s="226">
        <v>1.0016499999999999</v>
      </c>
      <c r="CK23" s="33"/>
      <c r="CL23" s="40">
        <v>663</v>
      </c>
      <c r="CM23" s="43">
        <v>661.9</v>
      </c>
      <c r="CN23" s="41">
        <v>1.5107999999999999</v>
      </c>
      <c r="CO23" s="33"/>
      <c r="CP23" s="40">
        <v>663</v>
      </c>
      <c r="CQ23" s="34">
        <v>0.72960000000000003</v>
      </c>
      <c r="CR23" s="41">
        <v>0.65139999999999998</v>
      </c>
      <c r="CS23" s="33"/>
      <c r="CT23" s="40">
        <v>663</v>
      </c>
      <c r="CU23" s="44">
        <v>399.44</v>
      </c>
      <c r="CV23" s="42">
        <v>9.5109999999999992</v>
      </c>
    </row>
    <row r="24" spans="2:100" ht="21" customHeight="1">
      <c r="B24" s="62"/>
      <c r="D24" s="30">
        <v>1.4</v>
      </c>
      <c r="E24" s="31">
        <v>1.0647</v>
      </c>
      <c r="F24" s="32">
        <v>1064</v>
      </c>
      <c r="G24" s="33"/>
      <c r="H24" s="30">
        <v>1.4</v>
      </c>
      <c r="I24" s="34">
        <v>3.7841</v>
      </c>
      <c r="J24" s="35">
        <v>0.15892999999999999</v>
      </c>
      <c r="L24" s="30">
        <v>1.4</v>
      </c>
      <c r="M24" s="172">
        <v>8.8680000000000003</v>
      </c>
      <c r="N24" s="173">
        <v>0.11277</v>
      </c>
      <c r="P24" s="30">
        <v>1.4</v>
      </c>
      <c r="Q24" s="172">
        <v>4.4339000000000004</v>
      </c>
      <c r="R24" s="173">
        <v>0.18622</v>
      </c>
      <c r="T24" s="30">
        <v>1.4</v>
      </c>
      <c r="U24" s="172">
        <v>225.54</v>
      </c>
      <c r="V24" s="173">
        <v>5.37</v>
      </c>
      <c r="X24" s="30">
        <v>1.4</v>
      </c>
      <c r="Y24" s="34">
        <v>3.9588000000000001</v>
      </c>
      <c r="Z24" s="35">
        <v>0.16627</v>
      </c>
      <c r="AA24" s="36"/>
      <c r="AB24" s="30">
        <v>1.4</v>
      </c>
      <c r="AC24" s="44">
        <v>252.6</v>
      </c>
      <c r="AD24" s="35">
        <v>6.0140000000000002</v>
      </c>
      <c r="AE24" s="36"/>
      <c r="AF24" s="30">
        <v>1.4</v>
      </c>
      <c r="AG24" s="34">
        <v>4.0224000000000002</v>
      </c>
      <c r="AH24" s="35">
        <v>0.16894000000000001</v>
      </c>
      <c r="AI24" s="35"/>
      <c r="AJ24" s="35">
        <v>0.10431</v>
      </c>
      <c r="AK24" s="998">
        <v>83.6</v>
      </c>
      <c r="AM24" s="30">
        <v>1.4</v>
      </c>
      <c r="AN24" s="34">
        <v>0.85340000000000005</v>
      </c>
      <c r="AO24" s="35">
        <v>0.95589999999999997</v>
      </c>
      <c r="AQ24" s="197">
        <v>0.66400000000000003</v>
      </c>
      <c r="AR24" s="200">
        <v>81.599999999999994</v>
      </c>
      <c r="AS24" s="199">
        <v>663.9</v>
      </c>
      <c r="AU24" s="192">
        <v>0.76400000000000012</v>
      </c>
      <c r="AV24" s="41">
        <v>3.7829999999999999</v>
      </c>
      <c r="AW24" s="192">
        <v>0.86499999999999999</v>
      </c>
      <c r="AX24" s="35">
        <v>0.15892999999999999</v>
      </c>
      <c r="AZ24" s="197">
        <v>0.66400000000000003</v>
      </c>
      <c r="BA24" s="198">
        <v>5.5265000000000004</v>
      </c>
      <c r="BB24" s="199">
        <v>0.18095</v>
      </c>
      <c r="BD24" s="197">
        <v>0.66400000000000003</v>
      </c>
      <c r="BE24" s="198">
        <v>2.7633000000000001</v>
      </c>
      <c r="BF24" s="199">
        <v>0.11606</v>
      </c>
      <c r="BH24" s="197">
        <v>0.66400000000000003</v>
      </c>
      <c r="BI24" s="198">
        <v>361.89</v>
      </c>
      <c r="BJ24" s="199">
        <v>8.6159999999999997</v>
      </c>
      <c r="BL24" s="197">
        <v>0.66400000000000003</v>
      </c>
      <c r="BM24" s="198">
        <v>2.4672000000000001</v>
      </c>
      <c r="BN24" s="199">
        <v>0.10362</v>
      </c>
      <c r="BP24" s="197">
        <v>0.66400000000000003</v>
      </c>
      <c r="BQ24" s="200">
        <v>405.32</v>
      </c>
      <c r="BR24" s="199">
        <v>9.65</v>
      </c>
      <c r="BT24" s="197">
        <v>0.66400000000000003</v>
      </c>
      <c r="BU24" s="201">
        <v>1.3688</v>
      </c>
      <c r="BV24" s="202">
        <v>1.5330999999999999</v>
      </c>
      <c r="BX24" s="37">
        <v>664</v>
      </c>
      <c r="BY24" s="38">
        <v>0.66410000000000002</v>
      </c>
      <c r="BZ24" s="39">
        <v>81.56</v>
      </c>
      <c r="CA24" s="33"/>
      <c r="CB24" s="37">
        <v>664</v>
      </c>
      <c r="CC24" s="38">
        <v>0.15889</v>
      </c>
      <c r="CD24" s="42">
        <v>6.2949999999999999</v>
      </c>
      <c r="CE24" s="33"/>
      <c r="CF24" s="225">
        <v>0.69710000000000005</v>
      </c>
      <c r="CG24" s="226">
        <v>0.99844999999999995</v>
      </c>
      <c r="CI24" s="225">
        <v>0.69810000000000005</v>
      </c>
      <c r="CJ24" s="226">
        <v>1.0015499999999999</v>
      </c>
      <c r="CK24" s="33"/>
      <c r="CL24" s="40">
        <v>664</v>
      </c>
      <c r="CM24" s="43">
        <v>662.9</v>
      </c>
      <c r="CN24" s="41">
        <v>1.5085999999999999</v>
      </c>
      <c r="CO24" s="33"/>
      <c r="CP24" s="40">
        <v>664</v>
      </c>
      <c r="CQ24" s="34">
        <v>0.73070000000000002</v>
      </c>
      <c r="CR24" s="41">
        <v>0.65239999999999998</v>
      </c>
      <c r="CS24" s="33"/>
      <c r="CT24" s="40">
        <v>664</v>
      </c>
      <c r="CU24" s="44">
        <v>398.84</v>
      </c>
      <c r="CV24" s="42">
        <v>9.4960000000000004</v>
      </c>
    </row>
    <row r="25" spans="2:100" ht="21" customHeight="1">
      <c r="B25" s="62"/>
      <c r="D25" s="30">
        <v>1.5</v>
      </c>
      <c r="E25" s="31">
        <v>1.0639000000000001</v>
      </c>
      <c r="F25" s="32">
        <v>1063.2</v>
      </c>
      <c r="G25" s="33"/>
      <c r="H25" s="30">
        <v>1.5</v>
      </c>
      <c r="I25" s="34">
        <v>3.7841</v>
      </c>
      <c r="J25" s="35">
        <v>0.15892999999999999</v>
      </c>
      <c r="L25" s="30">
        <v>1.5</v>
      </c>
      <c r="M25" s="172">
        <v>8.8610000000000007</v>
      </c>
      <c r="N25" s="173">
        <v>0.11285000000000001</v>
      </c>
      <c r="P25" s="30">
        <v>1.5</v>
      </c>
      <c r="Q25" s="172">
        <v>4.4306000000000001</v>
      </c>
      <c r="R25" s="173">
        <v>0.18608</v>
      </c>
      <c r="T25" s="30">
        <v>1.5</v>
      </c>
      <c r="U25" s="172">
        <v>225.71</v>
      </c>
      <c r="V25" s="173">
        <v>5.3739999999999997</v>
      </c>
      <c r="X25" s="30">
        <v>1.5</v>
      </c>
      <c r="Y25" s="34">
        <v>3.9559000000000002</v>
      </c>
      <c r="Z25" s="35">
        <v>0.16614999999999999</v>
      </c>
      <c r="AA25" s="36"/>
      <c r="AB25" s="30">
        <v>1.5</v>
      </c>
      <c r="AC25" s="44">
        <v>252.79</v>
      </c>
      <c r="AD25" s="35">
        <v>6.0190000000000001</v>
      </c>
      <c r="AE25" s="36"/>
      <c r="AF25" s="30">
        <v>1.5</v>
      </c>
      <c r="AG25" s="34">
        <v>4.0193000000000003</v>
      </c>
      <c r="AH25" s="35">
        <v>0.16880999999999999</v>
      </c>
      <c r="AI25" s="35"/>
      <c r="AJ25" s="35">
        <v>0.10435000000000001</v>
      </c>
      <c r="AK25" s="998">
        <v>83.5</v>
      </c>
      <c r="AM25" s="30">
        <v>1.5</v>
      </c>
      <c r="AN25" s="34">
        <v>0.85409999999999997</v>
      </c>
      <c r="AO25" s="35">
        <v>0.95660000000000001</v>
      </c>
      <c r="AQ25" s="197">
        <v>0.66500000000000004</v>
      </c>
      <c r="AR25" s="200">
        <v>81.28</v>
      </c>
      <c r="AS25" s="199">
        <v>664.9</v>
      </c>
      <c r="AU25" s="192">
        <v>0.77300000000000013</v>
      </c>
      <c r="AV25" s="41">
        <v>3.7829999999999999</v>
      </c>
      <c r="AW25" s="203">
        <v>1.074999999999992</v>
      </c>
      <c r="AX25" s="204">
        <v>0.15892999999999999</v>
      </c>
      <c r="AZ25" s="197">
        <v>0.66500000000000004</v>
      </c>
      <c r="BA25" s="198">
        <v>5.5349000000000004</v>
      </c>
      <c r="BB25" s="199">
        <v>0.18067</v>
      </c>
      <c r="BD25" s="197">
        <v>0.66500000000000004</v>
      </c>
      <c r="BE25" s="198">
        <v>2.7673999999999999</v>
      </c>
      <c r="BF25" s="199">
        <v>0.11623</v>
      </c>
      <c r="BH25" s="197">
        <v>0.66500000000000004</v>
      </c>
      <c r="BI25" s="198">
        <v>361.35</v>
      </c>
      <c r="BJ25" s="199">
        <v>8.6029999999999998</v>
      </c>
      <c r="BL25" s="197">
        <v>0.66500000000000004</v>
      </c>
      <c r="BM25" s="198">
        <v>2.4708999999999999</v>
      </c>
      <c r="BN25" s="199">
        <v>0.10378</v>
      </c>
      <c r="BP25" s="197">
        <v>0.66500000000000004</v>
      </c>
      <c r="BQ25" s="200">
        <v>404.71</v>
      </c>
      <c r="BR25" s="199">
        <v>9.6359999999999992</v>
      </c>
      <c r="BT25" s="197">
        <v>0.66500000000000004</v>
      </c>
      <c r="BU25" s="201">
        <v>1.3667</v>
      </c>
      <c r="BV25" s="202">
        <v>1.5307999999999999</v>
      </c>
      <c r="BX25" s="37">
        <v>665</v>
      </c>
      <c r="BY25" s="38">
        <v>0.66510000000000002</v>
      </c>
      <c r="BZ25" s="39">
        <v>81.239999999999995</v>
      </c>
      <c r="CA25" s="33"/>
      <c r="CB25" s="37">
        <v>665</v>
      </c>
      <c r="CC25" s="38">
        <v>0.15889</v>
      </c>
      <c r="CD25" s="42">
        <v>6.2949999999999999</v>
      </c>
      <c r="CE25" s="33"/>
      <c r="CF25" s="225">
        <v>0.73919999999999997</v>
      </c>
      <c r="CG25" s="226">
        <v>0.99844999999999995</v>
      </c>
      <c r="CI25" s="225">
        <v>0.74019999999999997</v>
      </c>
      <c r="CJ25" s="226">
        <v>1.0015499999999999</v>
      </c>
      <c r="CK25" s="33"/>
      <c r="CL25" s="40">
        <v>665</v>
      </c>
      <c r="CM25" s="43">
        <v>663.9</v>
      </c>
      <c r="CN25" s="41">
        <v>1.5063</v>
      </c>
      <c r="CO25" s="33"/>
      <c r="CP25" s="40">
        <v>665</v>
      </c>
      <c r="CQ25" s="34">
        <v>0.73180000000000001</v>
      </c>
      <c r="CR25" s="41">
        <v>0.65339999999999998</v>
      </c>
      <c r="CS25" s="33"/>
      <c r="CT25" s="40">
        <v>665</v>
      </c>
      <c r="CU25" s="44">
        <v>398.24</v>
      </c>
      <c r="CV25" s="42">
        <v>9.4819999999999993</v>
      </c>
    </row>
    <row r="26" spans="2:100" ht="21" customHeight="1">
      <c r="B26" s="62"/>
      <c r="D26" s="30">
        <v>1.6</v>
      </c>
      <c r="E26" s="31">
        <v>1.0630999999999999</v>
      </c>
      <c r="F26" s="32">
        <v>1062.4000000000001</v>
      </c>
      <c r="G26" s="33"/>
      <c r="H26" s="30">
        <v>1.6</v>
      </c>
      <c r="I26" s="34">
        <v>3.7841</v>
      </c>
      <c r="J26" s="35">
        <v>0.15892999999999999</v>
      </c>
      <c r="L26" s="30">
        <v>1.6</v>
      </c>
      <c r="M26" s="172">
        <v>8.8539999999999992</v>
      </c>
      <c r="N26" s="173">
        <v>0.11294</v>
      </c>
      <c r="P26" s="30">
        <v>1.6</v>
      </c>
      <c r="Q26" s="172">
        <v>4.4272</v>
      </c>
      <c r="R26" s="173">
        <v>0.18593999999999999</v>
      </c>
      <c r="T26" s="30">
        <v>1.6</v>
      </c>
      <c r="U26" s="172">
        <v>225.88</v>
      </c>
      <c r="V26" s="173">
        <v>5.3780000000000001</v>
      </c>
      <c r="X26" s="30">
        <v>1.6</v>
      </c>
      <c r="Y26" s="34">
        <v>3.9529000000000001</v>
      </c>
      <c r="Z26" s="35">
        <v>0.16602</v>
      </c>
      <c r="AA26" s="36"/>
      <c r="AB26" s="30">
        <v>1.6</v>
      </c>
      <c r="AC26" s="44">
        <v>252.98</v>
      </c>
      <c r="AD26" s="35">
        <v>6.0229999999999997</v>
      </c>
      <c r="AE26" s="36"/>
      <c r="AF26" s="30">
        <v>1.6</v>
      </c>
      <c r="AG26" s="34">
        <v>4.0163000000000002</v>
      </c>
      <c r="AH26" s="35">
        <v>0.16869000000000001</v>
      </c>
      <c r="AI26" s="35"/>
      <c r="AJ26" s="35">
        <v>0.10440000000000001</v>
      </c>
      <c r="AK26" s="998">
        <v>83.4</v>
      </c>
      <c r="AM26" s="30">
        <v>1.6</v>
      </c>
      <c r="AN26" s="34">
        <v>0.85470000000000002</v>
      </c>
      <c r="AO26" s="35">
        <v>0.95730000000000004</v>
      </c>
      <c r="AQ26" s="197">
        <v>0.66600000000000004</v>
      </c>
      <c r="AR26" s="200">
        <v>80.959999999999994</v>
      </c>
      <c r="AS26" s="199">
        <v>665.9</v>
      </c>
      <c r="AU26" s="192">
        <v>0.77400000000000013</v>
      </c>
      <c r="AV26" s="41">
        <v>3.7831000000000001</v>
      </c>
      <c r="AW26" s="205"/>
      <c r="AZ26" s="197">
        <v>0.66600000000000004</v>
      </c>
      <c r="BA26" s="198">
        <v>5.5431999999999997</v>
      </c>
      <c r="BB26" s="199">
        <v>0.1804</v>
      </c>
      <c r="BD26" s="197">
        <v>0.66600000000000004</v>
      </c>
      <c r="BE26" s="198">
        <v>2.7715999999999998</v>
      </c>
      <c r="BF26" s="199">
        <v>0.11641</v>
      </c>
      <c r="BH26" s="197">
        <v>0.66600000000000004</v>
      </c>
      <c r="BI26" s="198">
        <v>360.8</v>
      </c>
      <c r="BJ26" s="199">
        <v>8.5909999999999993</v>
      </c>
      <c r="BL26" s="197">
        <v>0.66600000000000004</v>
      </c>
      <c r="BM26" s="198">
        <v>2.4746000000000001</v>
      </c>
      <c r="BN26" s="199">
        <v>0.10392999999999999</v>
      </c>
      <c r="BP26" s="197">
        <v>0.66600000000000004</v>
      </c>
      <c r="BQ26" s="200">
        <v>404.1</v>
      </c>
      <c r="BR26" s="199">
        <v>9.6210000000000004</v>
      </c>
      <c r="BT26" s="197">
        <v>0.66600000000000004</v>
      </c>
      <c r="BU26" s="201">
        <v>1.3647</v>
      </c>
      <c r="BV26" s="202">
        <v>1.5285</v>
      </c>
      <c r="BX26" s="37">
        <v>666</v>
      </c>
      <c r="BY26" s="38">
        <v>0.66610000000000003</v>
      </c>
      <c r="BZ26" s="39">
        <v>80.92</v>
      </c>
      <c r="CA26" s="33"/>
      <c r="CB26" s="37">
        <v>666</v>
      </c>
      <c r="CC26" s="38">
        <v>0.15889</v>
      </c>
      <c r="CD26" s="42">
        <v>6.2949999999999999</v>
      </c>
      <c r="CE26" s="33"/>
      <c r="CF26" s="225">
        <v>0.73929999999999996</v>
      </c>
      <c r="CG26" s="226">
        <v>0.99855000000000005</v>
      </c>
      <c r="CI26" s="225">
        <v>0.74029999999999996</v>
      </c>
      <c r="CJ26" s="226">
        <v>1.00145</v>
      </c>
      <c r="CK26" s="33"/>
      <c r="CL26" s="40">
        <v>666</v>
      </c>
      <c r="CM26" s="43">
        <v>664.9</v>
      </c>
      <c r="CN26" s="41">
        <v>1.504</v>
      </c>
      <c r="CO26" s="33"/>
      <c r="CP26" s="40">
        <v>666</v>
      </c>
      <c r="CQ26" s="34">
        <v>0.7329</v>
      </c>
      <c r="CR26" s="41">
        <v>0.65439999999999998</v>
      </c>
      <c r="CS26" s="33"/>
      <c r="CT26" s="40">
        <v>666</v>
      </c>
      <c r="CU26" s="44">
        <v>397.64</v>
      </c>
      <c r="CV26" s="42">
        <v>9.468</v>
      </c>
    </row>
    <row r="27" spans="2:100" ht="21" customHeight="1">
      <c r="B27" s="62"/>
      <c r="D27" s="30">
        <v>1.7</v>
      </c>
      <c r="E27" s="31">
        <v>1.0623</v>
      </c>
      <c r="F27" s="32">
        <v>1061.5999999999999</v>
      </c>
      <c r="G27" s="33"/>
      <c r="H27" s="30">
        <v>1.7</v>
      </c>
      <c r="I27" s="34">
        <v>3.7841</v>
      </c>
      <c r="J27" s="35">
        <v>0.15892999999999999</v>
      </c>
      <c r="L27" s="30">
        <v>1.7</v>
      </c>
      <c r="M27" s="172">
        <v>8.8480000000000008</v>
      </c>
      <c r="N27" s="173">
        <v>0.11302</v>
      </c>
      <c r="P27" s="30">
        <v>1.7</v>
      </c>
      <c r="Q27" s="172">
        <v>4.4238999999999997</v>
      </c>
      <c r="R27" s="173">
        <v>0.18579999999999999</v>
      </c>
      <c r="T27" s="30">
        <v>1.7</v>
      </c>
      <c r="U27" s="172">
        <v>226.05</v>
      </c>
      <c r="V27" s="173">
        <v>5.3819999999999997</v>
      </c>
      <c r="X27" s="30">
        <v>1.7</v>
      </c>
      <c r="Y27" s="34">
        <v>3.9499</v>
      </c>
      <c r="Z27" s="35">
        <v>0.16589999999999999</v>
      </c>
      <c r="AA27" s="36"/>
      <c r="AB27" s="30">
        <v>1.7</v>
      </c>
      <c r="AC27" s="44">
        <v>253.17</v>
      </c>
      <c r="AD27" s="35">
        <v>6.0279999999999996</v>
      </c>
      <c r="AE27" s="36"/>
      <c r="AF27" s="30">
        <v>1.7</v>
      </c>
      <c r="AG27" s="34">
        <v>4.0133000000000001</v>
      </c>
      <c r="AH27" s="35">
        <v>0.16855999999999999</v>
      </c>
      <c r="AI27" s="35"/>
      <c r="AJ27" s="35">
        <v>0.10445</v>
      </c>
      <c r="AK27" s="998">
        <v>83.3</v>
      </c>
      <c r="AM27" s="30">
        <v>1.7</v>
      </c>
      <c r="AN27" s="34">
        <v>0.85540000000000005</v>
      </c>
      <c r="AO27" s="35">
        <v>0.95799999999999996</v>
      </c>
      <c r="AQ27" s="197">
        <v>0.66700000000000004</v>
      </c>
      <c r="AR27" s="200">
        <v>80.64</v>
      </c>
      <c r="AS27" s="199">
        <v>666.9</v>
      </c>
      <c r="AU27" s="192">
        <v>0.77700000000000014</v>
      </c>
      <c r="AV27" s="41">
        <v>3.7831000000000001</v>
      </c>
      <c r="AW27" s="205"/>
      <c r="AZ27" s="197">
        <v>0.66700000000000004</v>
      </c>
      <c r="BA27" s="198">
        <v>5.5514999999999999</v>
      </c>
      <c r="BB27" s="199">
        <v>0.18013000000000001</v>
      </c>
      <c r="BD27" s="197">
        <v>0.66700000000000004</v>
      </c>
      <c r="BE27" s="198">
        <v>2.7757999999999998</v>
      </c>
      <c r="BF27" s="199">
        <v>0.11658</v>
      </c>
      <c r="BH27" s="197">
        <v>0.66700000000000004</v>
      </c>
      <c r="BI27" s="198">
        <v>360.26</v>
      </c>
      <c r="BJ27" s="199">
        <v>8.5779999999999994</v>
      </c>
      <c r="BL27" s="197">
        <v>0.66700000000000004</v>
      </c>
      <c r="BM27" s="198">
        <v>2.4784000000000002</v>
      </c>
      <c r="BN27" s="199">
        <v>0.10409</v>
      </c>
      <c r="BP27" s="197">
        <v>0.66700000000000004</v>
      </c>
      <c r="BQ27" s="200">
        <v>403.49</v>
      </c>
      <c r="BR27" s="199">
        <v>9.6069999999999993</v>
      </c>
      <c r="BT27" s="197">
        <v>0.66700000000000004</v>
      </c>
      <c r="BU27" s="201">
        <v>1.3626</v>
      </c>
      <c r="BV27" s="202">
        <v>1.5262</v>
      </c>
      <c r="BX27" s="37">
        <v>667</v>
      </c>
      <c r="BY27" s="38">
        <v>0.66710000000000003</v>
      </c>
      <c r="BZ27" s="39">
        <v>80.599999999999994</v>
      </c>
      <c r="CA27" s="33"/>
      <c r="CB27" s="37">
        <v>667</v>
      </c>
      <c r="CC27" s="38">
        <v>0.15889</v>
      </c>
      <c r="CD27" s="42">
        <v>6.2949999999999999</v>
      </c>
      <c r="CE27" s="33"/>
      <c r="CF27" s="225">
        <v>0.78690000000000004</v>
      </c>
      <c r="CG27" s="226">
        <v>0.99855000000000005</v>
      </c>
      <c r="CI27" s="225">
        <v>0.78790000000000004</v>
      </c>
      <c r="CJ27" s="226">
        <v>1.00145</v>
      </c>
      <c r="CK27" s="33"/>
      <c r="CL27" s="40">
        <v>667</v>
      </c>
      <c r="CM27" s="43">
        <v>665.9</v>
      </c>
      <c r="CN27" s="41">
        <v>1.5018</v>
      </c>
      <c r="CO27" s="33"/>
      <c r="CP27" s="40">
        <v>667</v>
      </c>
      <c r="CQ27" s="34">
        <v>0.73399999999999999</v>
      </c>
      <c r="CR27" s="41">
        <v>0.65539999999999998</v>
      </c>
      <c r="CS27" s="33"/>
      <c r="CT27" s="40">
        <v>667</v>
      </c>
      <c r="CU27" s="44">
        <v>397.04</v>
      </c>
      <c r="CV27" s="42">
        <v>9.4529999999999994</v>
      </c>
    </row>
    <row r="28" spans="2:100" ht="21" customHeight="1">
      <c r="D28" s="30">
        <v>1.8</v>
      </c>
      <c r="E28" s="31">
        <v>1.0615000000000001</v>
      </c>
      <c r="F28" s="32">
        <v>1060.8</v>
      </c>
      <c r="G28" s="33"/>
      <c r="H28" s="30">
        <v>1.8</v>
      </c>
      <c r="I28" s="34">
        <v>3.7841</v>
      </c>
      <c r="J28" s="35">
        <v>0.15892999999999999</v>
      </c>
      <c r="L28" s="30">
        <v>1.8</v>
      </c>
      <c r="M28" s="172">
        <v>8.8409999999999993</v>
      </c>
      <c r="N28" s="173">
        <v>0.11311</v>
      </c>
      <c r="P28" s="30">
        <v>1.8</v>
      </c>
      <c r="Q28" s="172">
        <v>4.4206000000000003</v>
      </c>
      <c r="R28" s="173">
        <v>0.18565999999999999</v>
      </c>
      <c r="T28" s="30">
        <v>1.8</v>
      </c>
      <c r="U28" s="172">
        <v>226.21</v>
      </c>
      <c r="V28" s="173">
        <v>5.3860000000000001</v>
      </c>
      <c r="X28" s="30">
        <v>1.8</v>
      </c>
      <c r="Y28" s="34">
        <v>3.9468999999999999</v>
      </c>
      <c r="Z28" s="35">
        <v>0.16577</v>
      </c>
      <c r="AA28" s="36"/>
      <c r="AB28" s="30">
        <v>1.8</v>
      </c>
      <c r="AC28" s="44">
        <v>253.36</v>
      </c>
      <c r="AD28" s="35">
        <v>6.032</v>
      </c>
      <c r="AE28" s="36"/>
      <c r="AF28" s="30">
        <v>1.8</v>
      </c>
      <c r="AG28" s="34">
        <v>4.0103</v>
      </c>
      <c r="AH28" s="35">
        <v>0.16843</v>
      </c>
      <c r="AI28" s="35"/>
      <c r="AJ28" s="35">
        <v>0.1045</v>
      </c>
      <c r="AK28" s="998">
        <v>83.2</v>
      </c>
      <c r="AM28" s="30">
        <v>1.8</v>
      </c>
      <c r="AN28" s="34">
        <v>0.85599999999999998</v>
      </c>
      <c r="AO28" s="35">
        <v>0.9587</v>
      </c>
      <c r="AQ28" s="197">
        <v>0.66800000000000004</v>
      </c>
      <c r="AR28" s="200">
        <v>80.33</v>
      </c>
      <c r="AS28" s="199">
        <v>667.9</v>
      </c>
      <c r="AU28" s="192">
        <v>0.77800000000000014</v>
      </c>
      <c r="AV28" s="41">
        <v>3.7831999999999999</v>
      </c>
      <c r="AW28" s="205"/>
      <c r="AZ28" s="197">
        <v>0.66800000000000004</v>
      </c>
      <c r="BA28" s="198">
        <v>5.5598999999999998</v>
      </c>
      <c r="BB28" s="199">
        <v>0.17985999999999999</v>
      </c>
      <c r="BD28" s="197">
        <v>0.66800000000000004</v>
      </c>
      <c r="BE28" s="198">
        <v>2.7799</v>
      </c>
      <c r="BF28" s="199">
        <v>0.11676</v>
      </c>
      <c r="BH28" s="197">
        <v>0.66800000000000004</v>
      </c>
      <c r="BI28" s="198">
        <v>359.72</v>
      </c>
      <c r="BJ28" s="199">
        <v>8.5649999999999995</v>
      </c>
      <c r="BL28" s="197">
        <v>0.66800000000000004</v>
      </c>
      <c r="BM28" s="198">
        <v>2.4821</v>
      </c>
      <c r="BN28" s="199">
        <v>0.10425</v>
      </c>
      <c r="BP28" s="197">
        <v>0.66800000000000004</v>
      </c>
      <c r="BQ28" s="200">
        <v>402.89</v>
      </c>
      <c r="BR28" s="199">
        <v>9.593</v>
      </c>
      <c r="BT28" s="197">
        <v>0.66800000000000004</v>
      </c>
      <c r="BU28" s="201">
        <v>1.3606</v>
      </c>
      <c r="BV28" s="202">
        <v>1.5239</v>
      </c>
      <c r="BX28" s="37">
        <v>668</v>
      </c>
      <c r="BY28" s="38">
        <v>0.66810000000000003</v>
      </c>
      <c r="BZ28" s="39">
        <v>80.290000000000006</v>
      </c>
      <c r="CA28" s="33"/>
      <c r="CB28" s="37">
        <v>668</v>
      </c>
      <c r="CC28" s="38">
        <v>0.15889</v>
      </c>
      <c r="CD28" s="42">
        <v>6.2949999999999999</v>
      </c>
      <c r="CE28" s="33"/>
      <c r="CF28" s="225">
        <v>0.78700000000000003</v>
      </c>
      <c r="CG28" s="226">
        <v>0.99865000000000004</v>
      </c>
      <c r="CI28" s="225">
        <v>0.78800000000000003</v>
      </c>
      <c r="CJ28" s="226">
        <v>1.00135</v>
      </c>
      <c r="CK28" s="33"/>
      <c r="CL28" s="40">
        <v>668</v>
      </c>
      <c r="CM28" s="43">
        <v>666.9</v>
      </c>
      <c r="CN28" s="41">
        <v>1.4995000000000001</v>
      </c>
      <c r="CO28" s="33"/>
      <c r="CP28" s="40">
        <v>668</v>
      </c>
      <c r="CQ28" s="34">
        <v>0.73509999999999998</v>
      </c>
      <c r="CR28" s="41">
        <v>0.65629999999999999</v>
      </c>
      <c r="CS28" s="33"/>
      <c r="CT28" s="40">
        <v>668</v>
      </c>
      <c r="CU28" s="44">
        <v>396.45</v>
      </c>
      <c r="CV28" s="42">
        <v>9.4390000000000001</v>
      </c>
    </row>
    <row r="29" spans="2:100">
      <c r="D29" s="30">
        <v>1.9</v>
      </c>
      <c r="E29" s="31">
        <v>1.0607</v>
      </c>
      <c r="F29" s="32">
        <v>1060</v>
      </c>
      <c r="G29" s="33"/>
      <c r="H29" s="30">
        <v>1.9</v>
      </c>
      <c r="I29" s="34">
        <v>3.7841</v>
      </c>
      <c r="J29" s="35">
        <v>0.15892999999999999</v>
      </c>
      <c r="L29" s="30">
        <v>1.9</v>
      </c>
      <c r="M29" s="172">
        <v>8.8350000000000009</v>
      </c>
      <c r="N29" s="173">
        <v>0.11319</v>
      </c>
      <c r="P29" s="30">
        <v>1.9</v>
      </c>
      <c r="Q29" s="172">
        <v>4.4173</v>
      </c>
      <c r="R29" s="173">
        <v>0.18551999999999999</v>
      </c>
      <c r="T29" s="30">
        <v>1.9</v>
      </c>
      <c r="U29" s="172">
        <v>226.38</v>
      </c>
      <c r="V29" s="173">
        <v>5.39</v>
      </c>
      <c r="X29" s="30">
        <v>1.9</v>
      </c>
      <c r="Y29" s="34">
        <v>3.944</v>
      </c>
      <c r="Z29" s="35">
        <v>0.16564999999999999</v>
      </c>
      <c r="AA29" s="36"/>
      <c r="AB29" s="30">
        <v>1.9</v>
      </c>
      <c r="AC29" s="44">
        <v>253.55</v>
      </c>
      <c r="AD29" s="35">
        <v>6.0369999999999999</v>
      </c>
      <c r="AE29" s="36"/>
      <c r="AF29" s="30">
        <v>1.9</v>
      </c>
      <c r="AG29" s="34">
        <v>4.0072999999999999</v>
      </c>
      <c r="AH29" s="35">
        <v>0.16830999999999999</v>
      </c>
      <c r="AI29" s="35"/>
      <c r="AJ29" s="35">
        <v>0.10455</v>
      </c>
      <c r="AK29" s="998">
        <v>83.1</v>
      </c>
      <c r="AM29" s="30">
        <v>1.9</v>
      </c>
      <c r="AN29" s="34">
        <v>0.85670000000000002</v>
      </c>
      <c r="AO29" s="35">
        <v>0.95950000000000002</v>
      </c>
      <c r="AQ29" s="197">
        <v>0.66900000000000004</v>
      </c>
      <c r="AR29" s="200">
        <v>80.010000000000005</v>
      </c>
      <c r="AS29" s="199">
        <v>668.9</v>
      </c>
      <c r="AU29" s="192">
        <v>0.78100000000000014</v>
      </c>
      <c r="AV29" s="41">
        <v>3.7831999999999999</v>
      </c>
      <c r="AW29" s="205"/>
      <c r="AZ29" s="197">
        <v>0.66900000000000004</v>
      </c>
      <c r="BA29" s="198">
        <v>5.5682</v>
      </c>
      <c r="BB29" s="199">
        <v>0.17959</v>
      </c>
      <c r="BD29" s="197">
        <v>0.66900000000000004</v>
      </c>
      <c r="BE29" s="198">
        <v>2.7841</v>
      </c>
      <c r="BF29" s="199">
        <v>0.11693000000000001</v>
      </c>
      <c r="BH29" s="197">
        <v>0.66900000000000004</v>
      </c>
      <c r="BI29" s="198">
        <v>359.18</v>
      </c>
      <c r="BJ29" s="199">
        <v>8.5519999999999996</v>
      </c>
      <c r="BL29" s="197">
        <v>0.66900000000000004</v>
      </c>
      <c r="BM29" s="198">
        <v>2.4857999999999998</v>
      </c>
      <c r="BN29" s="199">
        <v>0.10440000000000001</v>
      </c>
      <c r="BP29" s="197">
        <v>0.66900000000000004</v>
      </c>
      <c r="BQ29" s="200">
        <v>402.28</v>
      </c>
      <c r="BR29" s="199">
        <v>9.5779999999999994</v>
      </c>
      <c r="BT29" s="197">
        <v>0.66900000000000004</v>
      </c>
      <c r="BU29" s="201">
        <v>1.3586</v>
      </c>
      <c r="BV29" s="202">
        <v>1.5216000000000001</v>
      </c>
      <c r="BX29" s="37">
        <v>669</v>
      </c>
      <c r="BY29" s="38">
        <v>0.66910000000000003</v>
      </c>
      <c r="BZ29" s="39">
        <v>79.97</v>
      </c>
      <c r="CA29" s="33"/>
      <c r="CB29" s="37">
        <v>669</v>
      </c>
      <c r="CC29" s="38">
        <v>0.15889</v>
      </c>
      <c r="CD29" s="42">
        <v>6.2949999999999999</v>
      </c>
      <c r="CE29" s="33"/>
      <c r="CF29" s="225">
        <v>0.84109999999999996</v>
      </c>
      <c r="CG29" s="226">
        <v>0.99865000000000004</v>
      </c>
      <c r="CI29" s="225">
        <v>0.84209999999999996</v>
      </c>
      <c r="CJ29" s="226">
        <v>1.00135</v>
      </c>
      <c r="CK29" s="33"/>
      <c r="CL29" s="40">
        <v>669</v>
      </c>
      <c r="CM29" s="43">
        <v>667.9</v>
      </c>
      <c r="CN29" s="41">
        <v>1.4973000000000001</v>
      </c>
      <c r="CO29" s="33"/>
      <c r="CP29" s="40">
        <v>669</v>
      </c>
      <c r="CQ29" s="34">
        <v>0.73619999999999997</v>
      </c>
      <c r="CR29" s="41">
        <v>0.6573</v>
      </c>
      <c r="CS29" s="33"/>
      <c r="CT29" s="40">
        <v>669</v>
      </c>
      <c r="CU29" s="44">
        <v>395.85</v>
      </c>
      <c r="CV29" s="42">
        <v>9.4250000000000007</v>
      </c>
    </row>
    <row r="30" spans="2:100">
      <c r="D30" s="30">
        <v>2</v>
      </c>
      <c r="E30" s="31">
        <v>1.0599000000000001</v>
      </c>
      <c r="F30" s="32">
        <v>1059.2</v>
      </c>
      <c r="G30" s="33"/>
      <c r="H30" s="30">
        <v>2</v>
      </c>
      <c r="I30" s="34">
        <v>3.7841</v>
      </c>
      <c r="J30" s="35">
        <v>0.15892999999999999</v>
      </c>
      <c r="L30" s="30">
        <v>2</v>
      </c>
      <c r="M30" s="172">
        <v>8.8279999999999994</v>
      </c>
      <c r="N30" s="173">
        <v>0.11328000000000001</v>
      </c>
      <c r="P30" s="30">
        <v>2</v>
      </c>
      <c r="Q30" s="172">
        <v>4.4138999999999999</v>
      </c>
      <c r="R30" s="173">
        <v>0.18539</v>
      </c>
      <c r="T30" s="30">
        <v>2</v>
      </c>
      <c r="U30" s="172">
        <v>226.55</v>
      </c>
      <c r="V30" s="173">
        <v>5.3940000000000001</v>
      </c>
      <c r="X30" s="30">
        <v>2</v>
      </c>
      <c r="Y30" s="34">
        <v>3.9409999999999998</v>
      </c>
      <c r="Z30" s="35">
        <v>0.16552</v>
      </c>
      <c r="AA30" s="36"/>
      <c r="AB30" s="30">
        <v>2</v>
      </c>
      <c r="AC30" s="44">
        <v>253.74</v>
      </c>
      <c r="AD30" s="35">
        <v>6.0410000000000004</v>
      </c>
      <c r="AE30" s="36"/>
      <c r="AF30" s="30">
        <v>2</v>
      </c>
      <c r="AG30" s="34">
        <v>4.0042999999999997</v>
      </c>
      <c r="AH30" s="35">
        <v>0.16818</v>
      </c>
      <c r="AI30" s="35"/>
      <c r="AJ30" s="35">
        <v>0.1046</v>
      </c>
      <c r="AK30" s="998">
        <v>83</v>
      </c>
      <c r="AM30" s="30">
        <v>2</v>
      </c>
      <c r="AN30" s="34">
        <v>0.85729999999999995</v>
      </c>
      <c r="AO30" s="35">
        <v>0.96020000000000005</v>
      </c>
      <c r="AQ30" s="197">
        <v>0.67</v>
      </c>
      <c r="AR30" s="200">
        <v>79.69</v>
      </c>
      <c r="AS30" s="199">
        <v>669.9</v>
      </c>
      <c r="AU30" s="192">
        <v>0.78200000000000014</v>
      </c>
      <c r="AV30" s="41">
        <v>3.7833000000000001</v>
      </c>
      <c r="AW30" s="205"/>
      <c r="AZ30" s="197">
        <v>0.67</v>
      </c>
      <c r="BA30" s="198">
        <v>5.5765000000000002</v>
      </c>
      <c r="BB30" s="199">
        <v>0.17932000000000001</v>
      </c>
      <c r="BD30" s="197">
        <v>0.67</v>
      </c>
      <c r="BE30" s="198">
        <v>2.7883</v>
      </c>
      <c r="BF30" s="199">
        <v>0.11711000000000001</v>
      </c>
      <c r="BH30" s="197">
        <v>0.67</v>
      </c>
      <c r="BI30" s="198">
        <v>358.64</v>
      </c>
      <c r="BJ30" s="199">
        <v>8.5389999999999997</v>
      </c>
      <c r="BL30" s="197">
        <v>0.67</v>
      </c>
      <c r="BM30" s="198">
        <v>2.4895</v>
      </c>
      <c r="BN30" s="199">
        <v>0.10456</v>
      </c>
      <c r="BP30" s="197">
        <v>0.67</v>
      </c>
      <c r="BQ30" s="200">
        <v>401.68</v>
      </c>
      <c r="BR30" s="199">
        <v>9.5640000000000001</v>
      </c>
      <c r="BT30" s="197">
        <v>0.67</v>
      </c>
      <c r="BU30" s="201">
        <v>1.3565</v>
      </c>
      <c r="BV30" s="202">
        <v>1.5193000000000001</v>
      </c>
      <c r="BX30" s="37">
        <v>670</v>
      </c>
      <c r="BY30" s="38">
        <v>0.67010000000000003</v>
      </c>
      <c r="BZ30" s="39">
        <v>79.650000000000006</v>
      </c>
      <c r="CA30" s="33"/>
      <c r="CB30" s="37">
        <v>670</v>
      </c>
      <c r="CC30" s="38">
        <v>0.15889</v>
      </c>
      <c r="CD30" s="42">
        <v>6.2949999999999999</v>
      </c>
      <c r="CE30" s="33"/>
      <c r="CF30" s="225">
        <v>0.84119999999999995</v>
      </c>
      <c r="CG30" s="226">
        <v>0.99875000000000003</v>
      </c>
      <c r="CI30" s="225">
        <v>0.84219999999999995</v>
      </c>
      <c r="CJ30" s="226">
        <v>1.00125</v>
      </c>
      <c r="CK30" s="33"/>
      <c r="CL30" s="40">
        <v>670</v>
      </c>
      <c r="CM30" s="43">
        <v>668.9</v>
      </c>
      <c r="CN30" s="41">
        <v>1.4950000000000001</v>
      </c>
      <c r="CO30" s="33"/>
      <c r="CP30" s="40">
        <v>670</v>
      </c>
      <c r="CQ30" s="34">
        <v>0.73729999999999996</v>
      </c>
      <c r="CR30" s="41">
        <v>0.6583</v>
      </c>
      <c r="CS30" s="33"/>
      <c r="CT30" s="40">
        <v>670</v>
      </c>
      <c r="CU30" s="44">
        <v>395.26</v>
      </c>
      <c r="CV30" s="42">
        <v>9.4109999999999996</v>
      </c>
    </row>
    <row r="31" spans="2:100">
      <c r="D31" s="30">
        <v>2.1</v>
      </c>
      <c r="E31" s="31">
        <v>1.0590999999999999</v>
      </c>
      <c r="F31" s="32">
        <v>1058.5</v>
      </c>
      <c r="G31" s="33"/>
      <c r="H31" s="30">
        <v>2.1</v>
      </c>
      <c r="I31" s="34">
        <v>3.7841</v>
      </c>
      <c r="J31" s="35">
        <v>0.15892999999999999</v>
      </c>
      <c r="L31" s="30">
        <v>2.1</v>
      </c>
      <c r="M31" s="172">
        <v>8.8209999999999997</v>
      </c>
      <c r="N31" s="173">
        <v>0.11336</v>
      </c>
      <c r="P31" s="30">
        <v>2.1</v>
      </c>
      <c r="Q31" s="172">
        <v>4.4105999999999996</v>
      </c>
      <c r="R31" s="173">
        <v>0.18525</v>
      </c>
      <c r="T31" s="30">
        <v>2.1</v>
      </c>
      <c r="U31" s="172">
        <v>226.72</v>
      </c>
      <c r="V31" s="173">
        <v>5.3979999999999997</v>
      </c>
      <c r="X31" s="30">
        <v>2.1</v>
      </c>
      <c r="Y31" s="34">
        <v>3.9380999999999999</v>
      </c>
      <c r="Z31" s="35">
        <v>0.16539999999999999</v>
      </c>
      <c r="AA31" s="36"/>
      <c r="AB31" s="30">
        <v>2.1</v>
      </c>
      <c r="AC31" s="44">
        <v>253.93</v>
      </c>
      <c r="AD31" s="35">
        <v>6.0460000000000003</v>
      </c>
      <c r="AE31" s="36"/>
      <c r="AF31" s="30">
        <v>2.1</v>
      </c>
      <c r="AG31" s="34">
        <v>4.0012999999999996</v>
      </c>
      <c r="AH31" s="35">
        <v>0.16805</v>
      </c>
      <c r="AI31" s="35"/>
      <c r="AJ31" s="35">
        <v>0.10465000000000001</v>
      </c>
      <c r="AK31" s="998">
        <v>82.9</v>
      </c>
      <c r="AM31" s="30">
        <v>2.1</v>
      </c>
      <c r="AN31" s="34">
        <v>0.8579</v>
      </c>
      <c r="AO31" s="35">
        <v>0.96089999999999998</v>
      </c>
      <c r="AQ31" s="197">
        <v>0.67100000000000004</v>
      </c>
      <c r="AR31" s="200">
        <v>79.38</v>
      </c>
      <c r="AS31" s="199">
        <v>670.9</v>
      </c>
      <c r="AU31" s="192">
        <v>0.78600000000000014</v>
      </c>
      <c r="AV31" s="41">
        <v>3.7833000000000001</v>
      </c>
      <c r="AW31" s="205"/>
      <c r="AZ31" s="197">
        <v>0.67100000000000004</v>
      </c>
      <c r="BA31" s="198">
        <v>5.5849000000000002</v>
      </c>
      <c r="BB31" s="199">
        <v>0.17904999999999999</v>
      </c>
      <c r="BD31" s="197">
        <v>0.67100000000000004</v>
      </c>
      <c r="BE31" s="198">
        <v>2.7924000000000002</v>
      </c>
      <c r="BF31" s="199">
        <v>0.11728</v>
      </c>
      <c r="BH31" s="197">
        <v>0.67100000000000004</v>
      </c>
      <c r="BI31" s="198">
        <v>358.11</v>
      </c>
      <c r="BJ31" s="199">
        <v>8.5259999999999998</v>
      </c>
      <c r="BL31" s="197">
        <v>0.67100000000000004</v>
      </c>
      <c r="BM31" s="198">
        <v>2.4933000000000001</v>
      </c>
      <c r="BN31" s="199">
        <v>0.10471999999999999</v>
      </c>
      <c r="BP31" s="197">
        <v>0.67100000000000004</v>
      </c>
      <c r="BQ31" s="200">
        <v>401.08</v>
      </c>
      <c r="BR31" s="199">
        <v>9.5500000000000007</v>
      </c>
      <c r="BT31" s="197">
        <v>0.67100000000000004</v>
      </c>
      <c r="BU31" s="201">
        <v>1.3545</v>
      </c>
      <c r="BV31" s="202">
        <v>1.5170999999999999</v>
      </c>
      <c r="BX31" s="37">
        <v>671</v>
      </c>
      <c r="BY31" s="38">
        <v>0.67110000000000003</v>
      </c>
      <c r="BZ31" s="39">
        <v>79.34</v>
      </c>
      <c r="CA31" s="33"/>
      <c r="CB31" s="37">
        <v>671</v>
      </c>
      <c r="CC31" s="38">
        <v>0.15889</v>
      </c>
      <c r="CD31" s="42">
        <v>6.2949999999999999</v>
      </c>
      <c r="CE31" s="33"/>
      <c r="CF31" s="225">
        <v>0.90339999999999998</v>
      </c>
      <c r="CG31" s="226">
        <v>0.99875000000000003</v>
      </c>
      <c r="CI31" s="225">
        <v>0.90439999999999998</v>
      </c>
      <c r="CJ31" s="226">
        <v>1.00125</v>
      </c>
      <c r="CK31" s="33"/>
      <c r="CL31" s="40">
        <v>671</v>
      </c>
      <c r="CM31" s="43">
        <v>669.9</v>
      </c>
      <c r="CN31" s="41">
        <v>1.4927999999999999</v>
      </c>
      <c r="CO31" s="33"/>
      <c r="CP31" s="40">
        <v>671</v>
      </c>
      <c r="CQ31" s="34">
        <v>0.73839999999999995</v>
      </c>
      <c r="CR31" s="41">
        <v>0.6593</v>
      </c>
      <c r="CS31" s="33"/>
      <c r="CT31" s="40">
        <v>671</v>
      </c>
      <c r="CU31" s="44">
        <v>394.67</v>
      </c>
      <c r="CV31" s="42">
        <v>9.3970000000000002</v>
      </c>
    </row>
    <row r="32" spans="2:100">
      <c r="D32" s="30">
        <v>2.2000000000000002</v>
      </c>
      <c r="E32" s="31">
        <v>1.0583</v>
      </c>
      <c r="F32" s="32">
        <v>1057.7</v>
      </c>
      <c r="G32" s="33"/>
      <c r="H32" s="30">
        <v>2.2000000000000002</v>
      </c>
      <c r="I32" s="34">
        <v>3.7841</v>
      </c>
      <c r="J32" s="35">
        <v>0.15892999999999999</v>
      </c>
      <c r="L32" s="30">
        <v>2.2000000000000002</v>
      </c>
      <c r="M32" s="172">
        <v>8.8149999999999995</v>
      </c>
      <c r="N32" s="173">
        <v>0.11345</v>
      </c>
      <c r="P32" s="30">
        <v>2.2000000000000002</v>
      </c>
      <c r="Q32" s="172">
        <v>4.4073000000000002</v>
      </c>
      <c r="R32" s="173">
        <v>0.18511</v>
      </c>
      <c r="T32" s="30">
        <v>2.2000000000000002</v>
      </c>
      <c r="U32" s="172">
        <v>226.89</v>
      </c>
      <c r="V32" s="173">
        <v>5.4020000000000001</v>
      </c>
      <c r="X32" s="30">
        <v>2.2000000000000002</v>
      </c>
      <c r="Y32" s="34">
        <v>3.9350999999999998</v>
      </c>
      <c r="Z32" s="35">
        <v>0.16527</v>
      </c>
      <c r="AA32" s="36"/>
      <c r="AB32" s="30">
        <v>2.2000000000000002</v>
      </c>
      <c r="AC32" s="44">
        <v>254.12</v>
      </c>
      <c r="AD32" s="35">
        <v>6.0510000000000002</v>
      </c>
      <c r="AE32" s="36"/>
      <c r="AF32" s="30">
        <v>2.2000000000000002</v>
      </c>
      <c r="AG32" s="34">
        <v>3.9983</v>
      </c>
      <c r="AH32" s="35">
        <v>0.16793</v>
      </c>
      <c r="AI32" s="35"/>
      <c r="AJ32" s="35">
        <v>0.1047</v>
      </c>
      <c r="AK32" s="998">
        <v>82.8</v>
      </c>
      <c r="AM32" s="30">
        <v>2.2000000000000002</v>
      </c>
      <c r="AN32" s="34">
        <v>0.85860000000000003</v>
      </c>
      <c r="AO32" s="35">
        <v>0.96160000000000001</v>
      </c>
      <c r="AQ32" s="197">
        <v>0.67200000000000004</v>
      </c>
      <c r="AR32" s="200">
        <v>79.069999999999993</v>
      </c>
      <c r="AS32" s="199">
        <v>671.9</v>
      </c>
      <c r="AU32" s="192">
        <v>0.78700000000000014</v>
      </c>
      <c r="AV32" s="41">
        <v>3.7833999999999999</v>
      </c>
      <c r="AW32" s="205"/>
      <c r="AZ32" s="197">
        <v>0.67200000000000004</v>
      </c>
      <c r="BA32" s="198">
        <v>5.5932000000000004</v>
      </c>
      <c r="BB32" s="199">
        <v>0.17879</v>
      </c>
      <c r="BD32" s="197">
        <v>0.67200000000000004</v>
      </c>
      <c r="BE32" s="198">
        <v>2.7966000000000002</v>
      </c>
      <c r="BF32" s="199">
        <v>0.11745999999999999</v>
      </c>
      <c r="BH32" s="197">
        <v>0.67200000000000004</v>
      </c>
      <c r="BI32" s="198">
        <v>357.58</v>
      </c>
      <c r="BJ32" s="199">
        <v>8.5139999999999993</v>
      </c>
      <c r="BL32" s="197">
        <v>0.67200000000000004</v>
      </c>
      <c r="BM32" s="198">
        <v>2.4969999999999999</v>
      </c>
      <c r="BN32" s="199">
        <v>0.10487</v>
      </c>
      <c r="BP32" s="197">
        <v>0.67200000000000004</v>
      </c>
      <c r="BQ32" s="200">
        <v>400.48</v>
      </c>
      <c r="BR32" s="199">
        <v>9.5350000000000001</v>
      </c>
      <c r="BT32" s="197">
        <v>0.67200000000000004</v>
      </c>
      <c r="BU32" s="201">
        <v>1.3525</v>
      </c>
      <c r="BV32" s="202">
        <v>1.5147999999999999</v>
      </c>
      <c r="BX32" s="37">
        <v>672</v>
      </c>
      <c r="BY32" s="38">
        <v>0.67210000000000003</v>
      </c>
      <c r="BZ32" s="39">
        <v>79.02</v>
      </c>
      <c r="CA32" s="33"/>
      <c r="CB32" s="37">
        <v>672</v>
      </c>
      <c r="CC32" s="38">
        <v>0.15889</v>
      </c>
      <c r="CD32" s="42">
        <v>6.2949999999999999</v>
      </c>
      <c r="CE32" s="33"/>
      <c r="CF32" s="225">
        <v>0.90349999999999997</v>
      </c>
      <c r="CG32" s="226">
        <v>0.99885000000000002</v>
      </c>
      <c r="CI32" s="225">
        <v>0.90449999999999997</v>
      </c>
      <c r="CJ32" s="226">
        <v>1.00115</v>
      </c>
      <c r="CK32" s="33"/>
      <c r="CL32" s="40">
        <v>672</v>
      </c>
      <c r="CM32" s="43">
        <v>670.9</v>
      </c>
      <c r="CN32" s="41">
        <v>1.4905999999999999</v>
      </c>
      <c r="CO32" s="33"/>
      <c r="CP32" s="40">
        <v>672</v>
      </c>
      <c r="CQ32" s="34">
        <v>0.73950000000000005</v>
      </c>
      <c r="CR32" s="41">
        <v>0.6603</v>
      </c>
      <c r="CS32" s="33"/>
      <c r="CT32" s="40">
        <v>672</v>
      </c>
      <c r="CU32" s="44">
        <v>394.08</v>
      </c>
      <c r="CV32" s="42">
        <v>9.3829999999999991</v>
      </c>
    </row>
    <row r="33" spans="4:100">
      <c r="D33" s="30">
        <v>2.2999999999999998</v>
      </c>
      <c r="E33" s="31">
        <v>1.0575000000000001</v>
      </c>
      <c r="F33" s="32">
        <v>1056.9000000000001</v>
      </c>
      <c r="G33" s="33"/>
      <c r="H33" s="30">
        <v>2.2999999999999998</v>
      </c>
      <c r="I33" s="34">
        <v>3.7841</v>
      </c>
      <c r="J33" s="35">
        <v>0.15892999999999999</v>
      </c>
      <c r="L33" s="30">
        <v>2.2999999999999998</v>
      </c>
      <c r="M33" s="172">
        <v>8.8079999999999998</v>
      </c>
      <c r="N33" s="173">
        <v>0.11353000000000001</v>
      </c>
      <c r="P33" s="30">
        <v>2.2999999999999998</v>
      </c>
      <c r="Q33" s="172">
        <v>4.4039999999999999</v>
      </c>
      <c r="R33" s="173">
        <v>0.18497</v>
      </c>
      <c r="T33" s="30">
        <v>2.2999999999999998</v>
      </c>
      <c r="U33" s="172">
        <v>227.06</v>
      </c>
      <c r="V33" s="173">
        <v>5.4059999999999997</v>
      </c>
      <c r="X33" s="30">
        <v>2.2999999999999998</v>
      </c>
      <c r="Y33" s="34">
        <v>3.9321999999999999</v>
      </c>
      <c r="Z33" s="35">
        <v>0.16514999999999999</v>
      </c>
      <c r="AA33" s="36"/>
      <c r="AB33" s="30">
        <v>2.2999999999999998</v>
      </c>
      <c r="AC33" s="44">
        <v>254.31</v>
      </c>
      <c r="AD33" s="35">
        <v>6.0549999999999997</v>
      </c>
      <c r="AE33" s="36"/>
      <c r="AF33" s="30">
        <v>2.2999999999999998</v>
      </c>
      <c r="AG33" s="34">
        <v>3.9952999999999999</v>
      </c>
      <c r="AH33" s="35">
        <v>0.1678</v>
      </c>
      <c r="AI33" s="35"/>
      <c r="AJ33" s="35">
        <v>0.10474</v>
      </c>
      <c r="AK33" s="998">
        <v>82.7</v>
      </c>
      <c r="AM33" s="30">
        <v>2.2999999999999998</v>
      </c>
      <c r="AN33" s="34">
        <v>0.85919999999999996</v>
      </c>
      <c r="AO33" s="35">
        <v>0.96230000000000004</v>
      </c>
      <c r="AQ33" s="197">
        <v>0.67300000000000004</v>
      </c>
      <c r="AR33" s="200">
        <v>78.75</v>
      </c>
      <c r="AS33" s="199">
        <v>672.9</v>
      </c>
      <c r="AU33" s="192">
        <v>0.79800000000000015</v>
      </c>
      <c r="AV33" s="41">
        <v>3.7833999999999999</v>
      </c>
      <c r="AW33" s="205"/>
      <c r="AZ33" s="197">
        <v>0.67300000000000004</v>
      </c>
      <c r="BA33" s="198">
        <v>5.6016000000000004</v>
      </c>
      <c r="BB33" s="199">
        <v>0.17852000000000001</v>
      </c>
      <c r="BD33" s="197">
        <v>0.67300000000000004</v>
      </c>
      <c r="BE33" s="198">
        <v>2.8008000000000002</v>
      </c>
      <c r="BF33" s="199">
        <v>0.11763</v>
      </c>
      <c r="BH33" s="197">
        <v>0.67300000000000004</v>
      </c>
      <c r="BI33" s="198">
        <v>357.04</v>
      </c>
      <c r="BJ33" s="199">
        <v>8.5009999999999994</v>
      </c>
      <c r="BL33" s="197">
        <v>0.67300000000000004</v>
      </c>
      <c r="BM33" s="198">
        <v>2.5007000000000001</v>
      </c>
      <c r="BN33" s="199">
        <v>0.10503</v>
      </c>
      <c r="BP33" s="197">
        <v>0.67300000000000004</v>
      </c>
      <c r="BQ33" s="200">
        <v>399.89</v>
      </c>
      <c r="BR33" s="199">
        <v>9.5210000000000008</v>
      </c>
      <c r="BT33" s="197">
        <v>0.67300000000000004</v>
      </c>
      <c r="BU33" s="201">
        <v>1.3505</v>
      </c>
      <c r="BV33" s="202">
        <v>1.5125</v>
      </c>
      <c r="BX33" s="37">
        <v>673</v>
      </c>
      <c r="BY33" s="38">
        <v>0.67310000000000003</v>
      </c>
      <c r="BZ33" s="39">
        <v>78.709999999999994</v>
      </c>
      <c r="CA33" s="33"/>
      <c r="CB33" s="37">
        <v>673</v>
      </c>
      <c r="CC33" s="38">
        <v>0.15889</v>
      </c>
      <c r="CD33" s="42">
        <v>6.2949999999999999</v>
      </c>
      <c r="CE33" s="33"/>
      <c r="CF33" s="225">
        <v>0.97560000000000002</v>
      </c>
      <c r="CG33" s="226">
        <v>0.99885000000000002</v>
      </c>
      <c r="CI33" s="225">
        <v>0.97660000000000002</v>
      </c>
      <c r="CJ33" s="226">
        <v>1.00115</v>
      </c>
      <c r="CK33" s="33"/>
      <c r="CL33" s="40">
        <v>673</v>
      </c>
      <c r="CM33" s="43">
        <v>671.9</v>
      </c>
      <c r="CN33" s="41">
        <v>1.4883999999999999</v>
      </c>
      <c r="CO33" s="33"/>
      <c r="CP33" s="40">
        <v>673</v>
      </c>
      <c r="CQ33" s="34">
        <v>0.74060000000000004</v>
      </c>
      <c r="CR33" s="41">
        <v>0.6613</v>
      </c>
      <c r="CS33" s="33"/>
      <c r="CT33" s="40">
        <v>673</v>
      </c>
      <c r="CU33" s="44">
        <v>393.49</v>
      </c>
      <c r="CV33" s="42">
        <v>9.3689999999999998</v>
      </c>
    </row>
    <row r="34" spans="4:100">
      <c r="D34" s="30">
        <v>2.4</v>
      </c>
      <c r="E34" s="31">
        <v>1.0568</v>
      </c>
      <c r="F34" s="32">
        <v>1056.0999999999999</v>
      </c>
      <c r="G34" s="33"/>
      <c r="H34" s="30">
        <v>2.4</v>
      </c>
      <c r="I34" s="34">
        <v>3.7841</v>
      </c>
      <c r="J34" s="35">
        <v>0.15892999999999999</v>
      </c>
      <c r="L34" s="30">
        <v>2.4</v>
      </c>
      <c r="M34" s="172">
        <v>8.8010000000000002</v>
      </c>
      <c r="N34" s="173">
        <v>0.11362</v>
      </c>
      <c r="P34" s="30">
        <v>2.4</v>
      </c>
      <c r="Q34" s="172">
        <v>4.4006999999999996</v>
      </c>
      <c r="R34" s="173">
        <v>0.18482999999999999</v>
      </c>
      <c r="T34" s="30">
        <v>2.4</v>
      </c>
      <c r="U34" s="172">
        <v>227.23</v>
      </c>
      <c r="V34" s="173">
        <v>5.4099999999999904</v>
      </c>
      <c r="X34" s="30">
        <v>2.4</v>
      </c>
      <c r="Y34" s="34">
        <v>3.9291999999999998</v>
      </c>
      <c r="Z34" s="35">
        <v>0.16503000000000001</v>
      </c>
      <c r="AA34" s="36"/>
      <c r="AB34" s="30">
        <v>2.4</v>
      </c>
      <c r="AC34" s="44">
        <v>254.5</v>
      </c>
      <c r="AD34" s="35">
        <v>6.06</v>
      </c>
      <c r="AE34" s="36"/>
      <c r="AF34" s="30">
        <v>2.4</v>
      </c>
      <c r="AG34" s="34">
        <v>3.9923000000000002</v>
      </c>
      <c r="AH34" s="35">
        <v>0.16768</v>
      </c>
      <c r="AI34" s="35"/>
      <c r="AJ34" s="35">
        <v>0.10478999999999999</v>
      </c>
      <c r="AK34" s="998">
        <v>82.6</v>
      </c>
      <c r="AM34" s="30">
        <v>2.4</v>
      </c>
      <c r="AN34" s="34">
        <v>0.8599</v>
      </c>
      <c r="AO34" s="35">
        <v>0.96309999999999996</v>
      </c>
      <c r="AQ34" s="197">
        <v>0.67400000000000004</v>
      </c>
      <c r="AR34" s="200">
        <v>78.44</v>
      </c>
      <c r="AS34" s="199">
        <v>673.9</v>
      </c>
      <c r="AU34" s="192">
        <v>0.79900000000000015</v>
      </c>
      <c r="AV34" s="41">
        <v>3.7835000000000001</v>
      </c>
      <c r="AW34" s="205"/>
      <c r="AZ34" s="197">
        <v>0.67400000000000004</v>
      </c>
      <c r="BA34" s="198">
        <v>5.6098999999999997</v>
      </c>
      <c r="BB34" s="199">
        <v>0.17826</v>
      </c>
      <c r="BD34" s="197">
        <v>0.67400000000000004</v>
      </c>
      <c r="BE34" s="198">
        <v>2.8050000000000002</v>
      </c>
      <c r="BF34" s="199">
        <v>0.11781</v>
      </c>
      <c r="BH34" s="197">
        <v>0.67400000000000004</v>
      </c>
      <c r="BI34" s="198">
        <v>356.51</v>
      </c>
      <c r="BJ34" s="199">
        <v>8.4879999999999995</v>
      </c>
      <c r="BL34" s="197">
        <v>0.67400000000000004</v>
      </c>
      <c r="BM34" s="198">
        <v>2.5044</v>
      </c>
      <c r="BN34" s="199">
        <v>0.10519000000000001</v>
      </c>
      <c r="BP34" s="197">
        <v>0.67400000000000004</v>
      </c>
      <c r="BQ34" s="200">
        <v>399.29</v>
      </c>
      <c r="BR34" s="199">
        <v>9.5069999999999997</v>
      </c>
      <c r="BT34" s="197">
        <v>0.67400000000000004</v>
      </c>
      <c r="BU34" s="201">
        <v>1.3485</v>
      </c>
      <c r="BV34" s="202">
        <v>1.5103</v>
      </c>
      <c r="BX34" s="37">
        <v>674</v>
      </c>
      <c r="BY34" s="38">
        <v>0.67410000000000003</v>
      </c>
      <c r="BZ34" s="39">
        <v>78.400000000000006</v>
      </c>
      <c r="CA34" s="33"/>
      <c r="CB34" s="37">
        <v>674</v>
      </c>
      <c r="CC34" s="38">
        <v>0.15889</v>
      </c>
      <c r="CD34" s="42">
        <v>6.2949999999999999</v>
      </c>
      <c r="CE34" s="33"/>
      <c r="CF34" s="225">
        <v>0.97570000000000001</v>
      </c>
      <c r="CG34" s="226">
        <v>0.99895</v>
      </c>
      <c r="CI34" s="225">
        <v>0.97670000000000001</v>
      </c>
      <c r="CJ34" s="226">
        <v>1.00105</v>
      </c>
      <c r="CK34" s="33"/>
      <c r="CL34" s="40">
        <v>674</v>
      </c>
      <c r="CM34" s="43">
        <v>672.9</v>
      </c>
      <c r="CN34" s="41">
        <v>1.4861</v>
      </c>
      <c r="CO34" s="33"/>
      <c r="CP34" s="40">
        <v>674</v>
      </c>
      <c r="CQ34" s="34">
        <v>0.74170000000000003</v>
      </c>
      <c r="CR34" s="41">
        <v>0.6623</v>
      </c>
      <c r="CS34" s="33"/>
      <c r="CT34" s="40">
        <v>674</v>
      </c>
      <c r="CU34" s="44">
        <v>392.91</v>
      </c>
      <c r="CV34" s="42">
        <v>9.3550000000000004</v>
      </c>
    </row>
    <row r="35" spans="4:100">
      <c r="D35" s="30">
        <v>2.5</v>
      </c>
      <c r="E35" s="31">
        <v>1.056</v>
      </c>
      <c r="F35" s="32">
        <v>1055.3</v>
      </c>
      <c r="G35" s="33"/>
      <c r="H35" s="30">
        <v>2.5</v>
      </c>
      <c r="I35" s="34">
        <v>3.7841</v>
      </c>
      <c r="J35" s="35">
        <v>0.15892999999999999</v>
      </c>
      <c r="L35" s="30">
        <v>2.5</v>
      </c>
      <c r="M35" s="172">
        <v>8.7949999999999999</v>
      </c>
      <c r="N35" s="173">
        <v>0.1137</v>
      </c>
      <c r="P35" s="30">
        <v>2.5</v>
      </c>
      <c r="Q35" s="172">
        <v>4.3975</v>
      </c>
      <c r="R35" s="173">
        <v>0.18468999999999999</v>
      </c>
      <c r="T35" s="30">
        <v>2.5</v>
      </c>
      <c r="U35" s="172">
        <v>227.4</v>
      </c>
      <c r="V35" s="173">
        <v>5.4139999999999899</v>
      </c>
      <c r="X35" s="30">
        <v>2.5</v>
      </c>
      <c r="Y35" s="34">
        <v>3.9262999999999999</v>
      </c>
      <c r="Z35" s="35">
        <v>0.16489999999999999</v>
      </c>
      <c r="AA35" s="36"/>
      <c r="AB35" s="30">
        <v>2.5</v>
      </c>
      <c r="AC35" s="44">
        <v>254.69</v>
      </c>
      <c r="AD35" s="35">
        <v>6.0640000000000001</v>
      </c>
      <c r="AE35" s="36"/>
      <c r="AF35" s="30">
        <v>2.5</v>
      </c>
      <c r="AG35" s="34">
        <v>3.9893000000000001</v>
      </c>
      <c r="AH35" s="35">
        <v>0.16755</v>
      </c>
      <c r="AI35" s="35"/>
      <c r="AJ35" s="35">
        <v>0.10484</v>
      </c>
      <c r="AK35" s="998">
        <v>82.5</v>
      </c>
      <c r="AM35" s="30">
        <v>2.5</v>
      </c>
      <c r="AN35" s="34">
        <v>0.86050000000000004</v>
      </c>
      <c r="AO35" s="35">
        <v>0.96379999999999999</v>
      </c>
      <c r="AQ35" s="197">
        <v>0.67500000000000004</v>
      </c>
      <c r="AR35" s="200">
        <v>78.13</v>
      </c>
      <c r="AS35" s="199">
        <v>674.9</v>
      </c>
      <c r="AU35" s="192">
        <v>0.82</v>
      </c>
      <c r="AV35" s="41">
        <v>3.7835000000000001</v>
      </c>
      <c r="AW35" s="205"/>
      <c r="AZ35" s="197">
        <v>0.67500000000000004</v>
      </c>
      <c r="BA35" s="198">
        <v>5.6181999999999999</v>
      </c>
      <c r="BB35" s="199">
        <v>0.17799000000000001</v>
      </c>
      <c r="BD35" s="197">
        <v>0.67500000000000004</v>
      </c>
      <c r="BE35" s="198">
        <v>2.8090999999999999</v>
      </c>
      <c r="BF35" s="199">
        <v>0.11798</v>
      </c>
      <c r="BH35" s="197">
        <v>0.67500000000000004</v>
      </c>
      <c r="BI35" s="198">
        <v>355.98</v>
      </c>
      <c r="BJ35" s="199">
        <v>8.4760000000000009</v>
      </c>
      <c r="BL35" s="197">
        <v>0.67500000000000004</v>
      </c>
      <c r="BM35" s="198">
        <v>2.5081000000000002</v>
      </c>
      <c r="BN35" s="199">
        <v>0.10534</v>
      </c>
      <c r="BP35" s="197">
        <v>0.67500000000000004</v>
      </c>
      <c r="BQ35" s="200">
        <v>398.7</v>
      </c>
      <c r="BR35" s="199">
        <v>9.4930000000000003</v>
      </c>
      <c r="BT35" s="197">
        <v>0.67500000000000004</v>
      </c>
      <c r="BU35" s="201">
        <v>1.3465</v>
      </c>
      <c r="BV35" s="202">
        <v>1.5081</v>
      </c>
      <c r="BX35" s="37">
        <v>675</v>
      </c>
      <c r="BY35" s="38">
        <v>0.67510000000000003</v>
      </c>
      <c r="BZ35" s="39">
        <v>78.09</v>
      </c>
      <c r="CA35" s="33"/>
      <c r="CB35" s="37">
        <v>675</v>
      </c>
      <c r="CC35" s="38">
        <v>0.15889</v>
      </c>
      <c r="CD35" s="42">
        <v>6.2949999999999999</v>
      </c>
      <c r="CE35" s="33"/>
      <c r="CF35" s="225">
        <v>1.0604</v>
      </c>
      <c r="CG35" s="226">
        <v>0.99895</v>
      </c>
      <c r="CI35" s="225">
        <v>1.0613999999999999</v>
      </c>
      <c r="CJ35" s="226">
        <v>1.00105</v>
      </c>
      <c r="CK35" s="33"/>
      <c r="CL35" s="40">
        <v>675</v>
      </c>
      <c r="CM35" s="43">
        <v>673.9</v>
      </c>
      <c r="CN35" s="41">
        <v>1.4839</v>
      </c>
      <c r="CO35" s="33"/>
      <c r="CP35" s="40">
        <v>675</v>
      </c>
      <c r="CQ35" s="34">
        <v>0.74280000000000002</v>
      </c>
      <c r="CR35" s="41">
        <v>0.66320000000000001</v>
      </c>
      <c r="CS35" s="33"/>
      <c r="CT35" s="40">
        <v>675</v>
      </c>
      <c r="CU35" s="44">
        <v>392.32</v>
      </c>
      <c r="CV35" s="42">
        <v>9.3409999999999993</v>
      </c>
    </row>
    <row r="36" spans="4:100">
      <c r="D36" s="30">
        <v>2.6</v>
      </c>
      <c r="E36" s="31">
        <v>1.0551999999999999</v>
      </c>
      <c r="F36" s="32">
        <v>1054.5</v>
      </c>
      <c r="G36" s="33"/>
      <c r="H36" s="30">
        <v>2.6</v>
      </c>
      <c r="I36" s="34">
        <v>3.7841</v>
      </c>
      <c r="J36" s="35">
        <v>0.15892999999999999</v>
      </c>
      <c r="L36" s="30">
        <v>2.6</v>
      </c>
      <c r="M36" s="172">
        <v>8.7880000000000003</v>
      </c>
      <c r="N36" s="173">
        <v>0.11379</v>
      </c>
      <c r="P36" s="30">
        <v>2.6</v>
      </c>
      <c r="Q36" s="172">
        <v>4.3941999999999997</v>
      </c>
      <c r="R36" s="173">
        <v>0.18456</v>
      </c>
      <c r="T36" s="30">
        <v>2.6</v>
      </c>
      <c r="U36" s="172">
        <v>227.57</v>
      </c>
      <c r="V36" s="173">
        <v>5.41799999999997</v>
      </c>
      <c r="X36" s="30">
        <v>2.6</v>
      </c>
      <c r="Y36" s="34">
        <v>3.9234</v>
      </c>
      <c r="Z36" s="35">
        <v>0.16478000000000001</v>
      </c>
      <c r="AA36" s="36"/>
      <c r="AB36" s="30">
        <v>2.6</v>
      </c>
      <c r="AC36" s="44">
        <v>254.88</v>
      </c>
      <c r="AD36" s="35">
        <v>6.069</v>
      </c>
      <c r="AE36" s="36"/>
      <c r="AF36" s="30">
        <v>2.6</v>
      </c>
      <c r="AG36" s="34">
        <v>3.9863</v>
      </c>
      <c r="AH36" s="35">
        <v>0.16743</v>
      </c>
      <c r="AI36" s="35"/>
      <c r="AJ36" s="35">
        <v>0.10489</v>
      </c>
      <c r="AK36" s="998">
        <v>82.4</v>
      </c>
      <c r="AM36" s="30">
        <v>2.6</v>
      </c>
      <c r="AN36" s="34">
        <v>0.86119999999999997</v>
      </c>
      <c r="AO36" s="35">
        <v>0.96450000000000002</v>
      </c>
      <c r="AQ36" s="197">
        <v>0.67600000000000005</v>
      </c>
      <c r="AR36" s="200">
        <v>77.819999999999993</v>
      </c>
      <c r="AS36" s="199">
        <v>675.9</v>
      </c>
      <c r="AU36" s="192">
        <v>0.82100000000000017</v>
      </c>
      <c r="AV36" s="41">
        <v>3.7835999999999999</v>
      </c>
      <c r="AW36" s="205"/>
      <c r="AZ36" s="197">
        <v>0.67600000000000005</v>
      </c>
      <c r="BA36" s="198">
        <v>5.6265999999999998</v>
      </c>
      <c r="BB36" s="199">
        <v>0.17773</v>
      </c>
      <c r="BD36" s="197">
        <v>0.67600000000000005</v>
      </c>
      <c r="BE36" s="198">
        <v>2.8132999999999999</v>
      </c>
      <c r="BF36" s="199">
        <v>0.11816</v>
      </c>
      <c r="BH36" s="197">
        <v>0.67600000000000005</v>
      </c>
      <c r="BI36" s="198">
        <v>355.46</v>
      </c>
      <c r="BJ36" s="199">
        <v>8.4629999999999992</v>
      </c>
      <c r="BL36" s="197">
        <v>0.67600000000000005</v>
      </c>
      <c r="BM36" s="198">
        <v>2.5118999999999998</v>
      </c>
      <c r="BN36" s="199">
        <v>0.1055</v>
      </c>
      <c r="BP36" s="197">
        <v>0.67600000000000005</v>
      </c>
      <c r="BQ36" s="200">
        <v>398.11</v>
      </c>
      <c r="BR36" s="199">
        <v>9.4789999999999992</v>
      </c>
      <c r="BT36" s="197">
        <v>0.67600000000000005</v>
      </c>
      <c r="BU36" s="201">
        <v>1.3445</v>
      </c>
      <c r="BV36" s="202">
        <v>1.5058</v>
      </c>
      <c r="BX36" s="37">
        <v>676</v>
      </c>
      <c r="BY36" s="38">
        <v>0.67610000000000003</v>
      </c>
      <c r="BZ36" s="39">
        <v>77.78</v>
      </c>
      <c r="CA36" s="33"/>
      <c r="CB36" s="37">
        <v>676</v>
      </c>
      <c r="CC36" s="38">
        <v>0.15889</v>
      </c>
      <c r="CD36" s="42">
        <v>6.2949999999999999</v>
      </c>
      <c r="CE36" s="33"/>
      <c r="CF36" s="225">
        <v>1.0605</v>
      </c>
      <c r="CG36" s="226">
        <v>0.99904999999999999</v>
      </c>
      <c r="CI36" s="225">
        <v>1.0615000000000001</v>
      </c>
      <c r="CJ36" s="226">
        <v>1.00095</v>
      </c>
      <c r="CK36" s="33"/>
      <c r="CL36" s="40">
        <v>676</v>
      </c>
      <c r="CM36" s="43">
        <v>674.9</v>
      </c>
      <c r="CN36" s="41">
        <v>1.4817</v>
      </c>
      <c r="CO36" s="33"/>
      <c r="CP36" s="40">
        <v>676</v>
      </c>
      <c r="CQ36" s="34">
        <v>0.74390000000000001</v>
      </c>
      <c r="CR36" s="41">
        <v>0.66420000000000001</v>
      </c>
      <c r="CS36" s="33"/>
      <c r="CT36" s="40">
        <v>676</v>
      </c>
      <c r="CU36" s="44">
        <v>391.74</v>
      </c>
      <c r="CV36" s="42">
        <v>9.327</v>
      </c>
    </row>
    <row r="37" spans="4:100">
      <c r="D37" s="30">
        <v>2.7</v>
      </c>
      <c r="E37" s="31">
        <v>1.0544</v>
      </c>
      <c r="F37" s="32">
        <v>1053.7</v>
      </c>
      <c r="G37" s="33"/>
      <c r="H37" s="30">
        <v>2.7</v>
      </c>
      <c r="I37" s="34">
        <v>3.7841</v>
      </c>
      <c r="J37" s="35">
        <v>0.15892999999999999</v>
      </c>
      <c r="L37" s="30">
        <v>2.7</v>
      </c>
      <c r="M37" s="172">
        <v>8.782</v>
      </c>
      <c r="N37" s="173">
        <v>0.11387</v>
      </c>
      <c r="P37" s="30">
        <v>2.7</v>
      </c>
      <c r="Q37" s="172">
        <v>4.3909000000000002</v>
      </c>
      <c r="R37" s="173">
        <v>0.18442</v>
      </c>
      <c r="T37" s="30">
        <v>2.7</v>
      </c>
      <c r="U37" s="172">
        <v>227.74</v>
      </c>
      <c r="V37" s="173">
        <v>5.4219999999999597</v>
      </c>
      <c r="X37" s="30">
        <v>2.7</v>
      </c>
      <c r="Y37" s="34">
        <v>3.9203999999999999</v>
      </c>
      <c r="Z37" s="35">
        <v>0.16466</v>
      </c>
      <c r="AA37" s="36"/>
      <c r="AB37" s="30">
        <v>2.7</v>
      </c>
      <c r="AC37" s="44">
        <v>255.07</v>
      </c>
      <c r="AD37" s="35">
        <v>6.0730000000000004</v>
      </c>
      <c r="AE37" s="36"/>
      <c r="AF37" s="30">
        <v>2.7</v>
      </c>
      <c r="AG37" s="34">
        <v>3.9834000000000001</v>
      </c>
      <c r="AH37" s="35">
        <v>0.1673</v>
      </c>
      <c r="AI37" s="35"/>
      <c r="AJ37" s="35">
        <v>0.10494000000000001</v>
      </c>
      <c r="AK37" s="998">
        <v>82.3</v>
      </c>
      <c r="AM37" s="30">
        <v>2.7</v>
      </c>
      <c r="AN37" s="34">
        <v>0.86180000000000001</v>
      </c>
      <c r="AO37" s="35">
        <v>0.96519999999999995</v>
      </c>
      <c r="AQ37" s="197">
        <v>0.67700000000000005</v>
      </c>
      <c r="AR37" s="200">
        <v>77.510000000000005</v>
      </c>
      <c r="AS37" s="199">
        <v>676.9</v>
      </c>
      <c r="AU37" s="192">
        <v>0.84400000000000019</v>
      </c>
      <c r="AV37" s="41">
        <v>3.7835999999999999</v>
      </c>
      <c r="AW37" s="205"/>
      <c r="AZ37" s="197">
        <v>0.67700000000000005</v>
      </c>
      <c r="BA37" s="198">
        <v>5.6349</v>
      </c>
      <c r="BB37" s="199">
        <v>0.17746000000000001</v>
      </c>
      <c r="BD37" s="197">
        <v>0.67700000000000005</v>
      </c>
      <c r="BE37" s="198">
        <v>2.8174999999999999</v>
      </c>
      <c r="BF37" s="199">
        <v>0.11833</v>
      </c>
      <c r="BH37" s="197">
        <v>0.67700000000000005</v>
      </c>
      <c r="BI37" s="198">
        <v>354.93</v>
      </c>
      <c r="BJ37" s="199">
        <v>8.4510000000000005</v>
      </c>
      <c r="BL37" s="197">
        <v>0.67700000000000005</v>
      </c>
      <c r="BM37" s="198">
        <v>2.5156000000000001</v>
      </c>
      <c r="BN37" s="199">
        <v>0.10564999999999999</v>
      </c>
      <c r="BP37" s="197">
        <v>0.67700000000000005</v>
      </c>
      <c r="BQ37" s="200">
        <v>397.52</v>
      </c>
      <c r="BR37" s="199">
        <v>9.4649999999999999</v>
      </c>
      <c r="BT37" s="197">
        <v>0.67700000000000005</v>
      </c>
      <c r="BU37" s="201">
        <v>1.3425</v>
      </c>
      <c r="BV37" s="202">
        <v>1.5036</v>
      </c>
      <c r="BX37" s="37">
        <v>677</v>
      </c>
      <c r="BY37" s="38">
        <v>0.67710000000000004</v>
      </c>
      <c r="BZ37" s="39">
        <v>77.47</v>
      </c>
      <c r="CA37" s="33"/>
      <c r="CB37" s="37">
        <v>677</v>
      </c>
      <c r="CC37" s="38">
        <v>0.15889</v>
      </c>
      <c r="CD37" s="42">
        <v>6.2949999999999999</v>
      </c>
      <c r="CE37" s="33"/>
      <c r="CF37" s="227">
        <v>1.1000000000000001</v>
      </c>
      <c r="CG37" s="228">
        <v>0.99904999999999999</v>
      </c>
      <c r="CI37" s="227">
        <v>1.1000000000000001</v>
      </c>
      <c r="CJ37" s="228">
        <v>1.00095</v>
      </c>
      <c r="CK37" s="33"/>
      <c r="CL37" s="40">
        <v>677</v>
      </c>
      <c r="CM37" s="43">
        <v>675.9</v>
      </c>
      <c r="CN37" s="41">
        <v>1.4795</v>
      </c>
      <c r="CO37" s="33"/>
      <c r="CP37" s="40">
        <v>677</v>
      </c>
      <c r="CQ37" s="34">
        <v>0.745</v>
      </c>
      <c r="CR37" s="41">
        <v>0.66520000000000001</v>
      </c>
      <c r="CS37" s="33"/>
      <c r="CT37" s="40">
        <v>677</v>
      </c>
      <c r="CU37" s="44">
        <v>391.16</v>
      </c>
      <c r="CV37" s="42">
        <v>9.3130000000000006</v>
      </c>
    </row>
    <row r="38" spans="4:100">
      <c r="D38" s="30">
        <v>2.8</v>
      </c>
      <c r="E38" s="31">
        <v>1.0536000000000001</v>
      </c>
      <c r="F38" s="32">
        <v>1052.9000000000001</v>
      </c>
      <c r="G38" s="33"/>
      <c r="H38" s="30">
        <v>2.8</v>
      </c>
      <c r="I38" s="34">
        <v>3.7841</v>
      </c>
      <c r="J38" s="35">
        <v>0.15892999999999999</v>
      </c>
      <c r="L38" s="30">
        <v>2.8</v>
      </c>
      <c r="M38" s="172">
        <v>8.7750000000000004</v>
      </c>
      <c r="N38" s="173">
        <v>0.11396000000000001</v>
      </c>
      <c r="P38" s="30">
        <v>2.8</v>
      </c>
      <c r="Q38" s="172">
        <v>4.3875999999999999</v>
      </c>
      <c r="R38" s="173">
        <v>0.18428</v>
      </c>
      <c r="T38" s="30">
        <v>2.8</v>
      </c>
      <c r="U38" s="172">
        <v>227.91</v>
      </c>
      <c r="V38" s="173">
        <v>5.4269999999999996</v>
      </c>
      <c r="X38" s="30">
        <v>2.8</v>
      </c>
      <c r="Y38" s="34">
        <v>3.9175</v>
      </c>
      <c r="Z38" s="35">
        <v>0.16453999999999999</v>
      </c>
      <c r="AA38" s="36"/>
      <c r="AB38" s="30">
        <v>2.8</v>
      </c>
      <c r="AC38" s="44">
        <v>255.26</v>
      </c>
      <c r="AD38" s="35">
        <v>6.0780000000000003</v>
      </c>
      <c r="AE38" s="36"/>
      <c r="AF38" s="30">
        <v>2.8</v>
      </c>
      <c r="AG38" s="34">
        <v>3.9803999999999999</v>
      </c>
      <c r="AH38" s="35">
        <v>0.16718</v>
      </c>
      <c r="AI38" s="35"/>
      <c r="AJ38" s="35">
        <v>0.10499</v>
      </c>
      <c r="AK38" s="998">
        <v>82.2</v>
      </c>
      <c r="AM38" s="30">
        <v>2.8</v>
      </c>
      <c r="AN38" s="34">
        <v>0.86240000000000006</v>
      </c>
      <c r="AO38" s="35">
        <v>0.96589999999999998</v>
      </c>
      <c r="AQ38" s="197">
        <v>0.67800000000000005</v>
      </c>
      <c r="AR38" s="200">
        <v>77.2</v>
      </c>
      <c r="AS38" s="199">
        <v>677.9</v>
      </c>
      <c r="AU38" s="192">
        <v>0.84499999999999997</v>
      </c>
      <c r="AV38" s="41">
        <v>3.7837000000000001</v>
      </c>
      <c r="AW38" s="205"/>
      <c r="AZ38" s="197">
        <v>0.67800000000000005</v>
      </c>
      <c r="BA38" s="198">
        <v>5.6433</v>
      </c>
      <c r="BB38" s="199">
        <v>0.1772</v>
      </c>
      <c r="BD38" s="197">
        <v>0.67800000000000005</v>
      </c>
      <c r="BE38" s="198">
        <v>2.8216000000000001</v>
      </c>
      <c r="BF38" s="199">
        <v>0.11851</v>
      </c>
      <c r="BH38" s="197">
        <v>0.67800000000000005</v>
      </c>
      <c r="BI38" s="198">
        <v>354.41</v>
      </c>
      <c r="BJ38" s="199">
        <v>8.4380000000000006</v>
      </c>
      <c r="BL38" s="197">
        <v>0.67800000000000005</v>
      </c>
      <c r="BM38" s="198">
        <v>2.5192999999999999</v>
      </c>
      <c r="BN38" s="199">
        <v>0.10581</v>
      </c>
      <c r="BP38" s="197">
        <v>0.67800000000000005</v>
      </c>
      <c r="BQ38" s="200">
        <v>396.93</v>
      </c>
      <c r="BR38" s="199">
        <v>9.4510000000000005</v>
      </c>
      <c r="BT38" s="197">
        <v>0.67800000000000005</v>
      </c>
      <c r="BU38" s="201">
        <v>1.3405</v>
      </c>
      <c r="BV38" s="202">
        <v>1.5014000000000001</v>
      </c>
      <c r="BX38" s="37">
        <v>678</v>
      </c>
      <c r="BY38" s="38">
        <v>0.67810000000000004</v>
      </c>
      <c r="BZ38" s="39">
        <v>77.16</v>
      </c>
      <c r="CA38" s="33"/>
      <c r="CB38" s="37">
        <v>678</v>
      </c>
      <c r="CC38" s="38">
        <v>0.15889</v>
      </c>
      <c r="CD38" s="42">
        <v>6.2949999999999999</v>
      </c>
      <c r="CE38" s="33"/>
      <c r="CF38" s="33"/>
      <c r="CG38" s="33"/>
      <c r="CH38" s="33"/>
      <c r="CI38" s="33"/>
      <c r="CJ38" s="33"/>
      <c r="CK38" s="33"/>
      <c r="CL38" s="40">
        <v>678</v>
      </c>
      <c r="CM38" s="43">
        <v>676.9</v>
      </c>
      <c r="CN38" s="41">
        <v>1.4774</v>
      </c>
      <c r="CO38" s="33"/>
      <c r="CP38" s="40">
        <v>678</v>
      </c>
      <c r="CQ38" s="34">
        <v>0.74609999999999999</v>
      </c>
      <c r="CR38" s="41">
        <v>0.66620000000000001</v>
      </c>
      <c r="CS38" s="33"/>
      <c r="CT38" s="40">
        <v>678</v>
      </c>
      <c r="CU38" s="44">
        <v>390.58</v>
      </c>
      <c r="CV38" s="42">
        <v>9.3000000000000007</v>
      </c>
    </row>
    <row r="39" spans="4:100">
      <c r="D39" s="30">
        <v>2.9</v>
      </c>
      <c r="E39" s="31">
        <v>1.0528</v>
      </c>
      <c r="F39" s="32">
        <v>1052.2</v>
      </c>
      <c r="G39" s="33"/>
      <c r="H39" s="30">
        <v>2.9</v>
      </c>
      <c r="I39" s="34">
        <v>3.7841</v>
      </c>
      <c r="J39" s="35">
        <v>0.15892999999999999</v>
      </c>
      <c r="L39" s="30">
        <v>2.9</v>
      </c>
      <c r="M39" s="172">
        <v>8.7690000000000001</v>
      </c>
      <c r="N39" s="173">
        <v>0.11404</v>
      </c>
      <c r="P39" s="30">
        <v>2.9</v>
      </c>
      <c r="Q39" s="172">
        <v>4.3844000000000003</v>
      </c>
      <c r="R39" s="173">
        <v>0.18414</v>
      </c>
      <c r="T39" s="30">
        <v>2.9</v>
      </c>
      <c r="U39" s="172">
        <v>228.08</v>
      </c>
      <c r="V39" s="173">
        <v>5.431</v>
      </c>
      <c r="X39" s="30">
        <v>2.9</v>
      </c>
      <c r="Y39" s="34">
        <v>3.9146000000000001</v>
      </c>
      <c r="Z39" s="35">
        <v>0.16441</v>
      </c>
      <c r="AA39" s="36"/>
      <c r="AB39" s="30">
        <v>2.9</v>
      </c>
      <c r="AC39" s="44">
        <v>255.45</v>
      </c>
      <c r="AD39" s="35">
        <v>6.0819999999999999</v>
      </c>
      <c r="AE39" s="36"/>
      <c r="AF39" s="30">
        <v>2.9</v>
      </c>
      <c r="AG39" s="34">
        <v>3.9773999999999998</v>
      </c>
      <c r="AH39" s="35">
        <v>0.16705</v>
      </c>
      <c r="AI39" s="35"/>
      <c r="AJ39" s="35">
        <v>0.10503999999999999</v>
      </c>
      <c r="AK39" s="998">
        <v>82.1</v>
      </c>
      <c r="AM39" s="30">
        <v>2.9</v>
      </c>
      <c r="AN39" s="34">
        <v>0.86309999999999998</v>
      </c>
      <c r="AO39" s="35">
        <v>0.9667</v>
      </c>
      <c r="AQ39" s="197">
        <v>0.67900000000000005</v>
      </c>
      <c r="AR39" s="200">
        <v>76.89</v>
      </c>
      <c r="AS39" s="199">
        <v>678.9</v>
      </c>
      <c r="AU39" s="192">
        <v>0.88300000000000023</v>
      </c>
      <c r="AV39" s="41">
        <v>3.7837000000000001</v>
      </c>
      <c r="AW39" s="205"/>
      <c r="AZ39" s="197">
        <v>0.67900000000000005</v>
      </c>
      <c r="BA39" s="198">
        <v>5.6516000000000002</v>
      </c>
      <c r="BB39" s="199">
        <v>0.17693999999999999</v>
      </c>
      <c r="BD39" s="197">
        <v>0.67900000000000005</v>
      </c>
      <c r="BE39" s="198">
        <v>2.8258000000000001</v>
      </c>
      <c r="BF39" s="199">
        <v>0.11867999999999999</v>
      </c>
      <c r="BH39" s="197">
        <v>0.67900000000000005</v>
      </c>
      <c r="BI39" s="198">
        <v>353.88</v>
      </c>
      <c r="BJ39" s="199">
        <v>8.4260000000000002</v>
      </c>
      <c r="BL39" s="197">
        <v>0.67900000000000005</v>
      </c>
      <c r="BM39" s="198">
        <v>2.5230000000000001</v>
      </c>
      <c r="BN39" s="199">
        <v>0.10596999999999999</v>
      </c>
      <c r="BP39" s="197">
        <v>0.67900000000000005</v>
      </c>
      <c r="BQ39" s="200">
        <v>396.35</v>
      </c>
      <c r="BR39" s="199">
        <v>9.4369999999999905</v>
      </c>
      <c r="BT39" s="197">
        <v>0.67900000000000005</v>
      </c>
      <c r="BU39" s="201">
        <v>1.3386</v>
      </c>
      <c r="BV39" s="202">
        <v>1.4992000000000001</v>
      </c>
      <c r="BX39" s="37">
        <v>679</v>
      </c>
      <c r="BY39" s="38">
        <v>0.67910000000000004</v>
      </c>
      <c r="BZ39" s="39">
        <v>76.849999999999994</v>
      </c>
      <c r="CA39" s="33"/>
      <c r="CB39" s="37">
        <v>679</v>
      </c>
      <c r="CC39" s="38">
        <v>0.15889</v>
      </c>
      <c r="CD39" s="42">
        <v>6.2949999999999999</v>
      </c>
      <c r="CE39" s="33"/>
      <c r="CF39" s="33"/>
      <c r="CG39" s="33"/>
      <c r="CH39" s="33"/>
      <c r="CI39" s="33"/>
      <c r="CJ39" s="33"/>
      <c r="CK39" s="33"/>
      <c r="CL39" s="40">
        <v>679</v>
      </c>
      <c r="CM39" s="43">
        <v>677.9</v>
      </c>
      <c r="CN39" s="41">
        <v>1.4752000000000001</v>
      </c>
      <c r="CO39" s="33"/>
      <c r="CP39" s="40">
        <v>679</v>
      </c>
      <c r="CQ39" s="34">
        <v>0.74719999999999998</v>
      </c>
      <c r="CR39" s="41">
        <v>0.66720000000000002</v>
      </c>
      <c r="CS39" s="33"/>
      <c r="CT39" s="40">
        <v>679</v>
      </c>
      <c r="CU39" s="44">
        <v>390</v>
      </c>
      <c r="CV39" s="42">
        <v>9.2859999999999996</v>
      </c>
    </row>
    <row r="40" spans="4:100">
      <c r="D40" s="30">
        <v>3</v>
      </c>
      <c r="E40" s="31">
        <v>1.052</v>
      </c>
      <c r="F40" s="32">
        <v>1051.4000000000001</v>
      </c>
      <c r="G40" s="33"/>
      <c r="H40" s="30">
        <v>3</v>
      </c>
      <c r="I40" s="34">
        <v>3.7841</v>
      </c>
      <c r="J40" s="35">
        <v>0.15892999999999999</v>
      </c>
      <c r="L40" s="30">
        <v>3</v>
      </c>
      <c r="M40" s="172">
        <v>8.7620000000000005</v>
      </c>
      <c r="N40" s="173">
        <v>0.11413</v>
      </c>
      <c r="P40" s="30">
        <v>3</v>
      </c>
      <c r="Q40" s="172">
        <v>4.3811</v>
      </c>
      <c r="R40" s="173">
        <v>0.18401000000000001</v>
      </c>
      <c r="T40" s="30">
        <v>3</v>
      </c>
      <c r="U40" s="172">
        <v>228.25</v>
      </c>
      <c r="V40" s="173">
        <v>5.4349999999999996</v>
      </c>
      <c r="X40" s="30">
        <v>3</v>
      </c>
      <c r="Y40" s="34">
        <v>3.9117000000000002</v>
      </c>
      <c r="Z40" s="35">
        <v>0.16428999999999999</v>
      </c>
      <c r="AA40" s="36"/>
      <c r="AB40" s="30">
        <v>3</v>
      </c>
      <c r="AC40" s="44">
        <v>255.64</v>
      </c>
      <c r="AD40" s="35">
        <v>6.0869999999999997</v>
      </c>
      <c r="AE40" s="36"/>
      <c r="AF40" s="30">
        <v>3</v>
      </c>
      <c r="AG40" s="34">
        <v>3.9744999999999999</v>
      </c>
      <c r="AH40" s="35">
        <v>0.16693</v>
      </c>
      <c r="AI40" s="35"/>
      <c r="AJ40" s="35">
        <v>0.10509</v>
      </c>
      <c r="AK40" s="998">
        <v>82</v>
      </c>
      <c r="AM40" s="30">
        <v>3</v>
      </c>
      <c r="AN40" s="34">
        <v>0.86370000000000002</v>
      </c>
      <c r="AO40" s="35">
        <v>0.96740000000000004</v>
      </c>
      <c r="AQ40" s="197">
        <v>0.68</v>
      </c>
      <c r="AR40" s="200">
        <v>76.59</v>
      </c>
      <c r="AS40" s="199">
        <v>679.9</v>
      </c>
      <c r="AU40" s="192">
        <v>0.88400000000000023</v>
      </c>
      <c r="AV40" s="41">
        <v>3.7837999999999998</v>
      </c>
      <c r="AW40" s="205"/>
      <c r="AZ40" s="197">
        <v>0.68</v>
      </c>
      <c r="BA40" s="198">
        <v>5.6599000000000004</v>
      </c>
      <c r="BB40" s="199">
        <v>0.17668</v>
      </c>
      <c r="BD40" s="197">
        <v>0.68</v>
      </c>
      <c r="BE40" s="198">
        <v>2.83</v>
      </c>
      <c r="BF40" s="199">
        <v>0.11885999999999999</v>
      </c>
      <c r="BH40" s="197">
        <v>0.68</v>
      </c>
      <c r="BI40" s="198">
        <v>353.36</v>
      </c>
      <c r="BJ40" s="199">
        <v>8.4130000000000003</v>
      </c>
      <c r="BL40" s="197">
        <v>0.68</v>
      </c>
      <c r="BM40" s="198">
        <v>2.5268000000000002</v>
      </c>
      <c r="BN40" s="199">
        <v>0.10612000000000001</v>
      </c>
      <c r="BP40" s="197">
        <v>0.68</v>
      </c>
      <c r="BQ40" s="200">
        <v>395.76</v>
      </c>
      <c r="BR40" s="199">
        <v>9.4229999999999805</v>
      </c>
      <c r="BT40" s="197">
        <v>0.68</v>
      </c>
      <c r="BU40" s="201">
        <v>1.3366</v>
      </c>
      <c r="BV40" s="202">
        <v>1.4970000000000001</v>
      </c>
      <c r="BX40" s="37">
        <v>680</v>
      </c>
      <c r="BY40" s="38">
        <v>0.68010000000000004</v>
      </c>
      <c r="BZ40" s="39">
        <v>76.540000000000006</v>
      </c>
      <c r="CA40" s="33"/>
      <c r="CB40" s="37">
        <v>680</v>
      </c>
      <c r="CC40" s="38">
        <v>0.15889</v>
      </c>
      <c r="CD40" s="42">
        <v>6.2949999999999999</v>
      </c>
      <c r="CE40" s="33"/>
      <c r="CF40" s="33"/>
      <c r="CG40" s="33"/>
      <c r="CH40" s="33"/>
      <c r="CI40" s="33"/>
      <c r="CJ40" s="33"/>
      <c r="CK40" s="33"/>
      <c r="CL40" s="40">
        <v>680</v>
      </c>
      <c r="CM40" s="43">
        <v>678.9</v>
      </c>
      <c r="CN40" s="41">
        <v>1.4730000000000001</v>
      </c>
      <c r="CO40" s="33"/>
      <c r="CP40" s="40">
        <v>680</v>
      </c>
      <c r="CQ40" s="34">
        <v>0.74829999999999997</v>
      </c>
      <c r="CR40" s="41">
        <v>0.66820000000000002</v>
      </c>
      <c r="CS40" s="33"/>
      <c r="CT40" s="40">
        <v>680</v>
      </c>
      <c r="CU40" s="44">
        <v>389.43</v>
      </c>
      <c r="CV40" s="42">
        <v>9.2720000000000002</v>
      </c>
    </row>
    <row r="41" spans="4:100">
      <c r="D41" s="30">
        <v>3.1</v>
      </c>
      <c r="E41" s="31">
        <v>1.0512999999999999</v>
      </c>
      <c r="F41" s="32">
        <v>1050.5999999999999</v>
      </c>
      <c r="G41" s="33"/>
      <c r="H41" s="30">
        <v>3.1</v>
      </c>
      <c r="I41" s="34">
        <v>3.7841</v>
      </c>
      <c r="J41" s="35">
        <v>0.15892999999999999</v>
      </c>
      <c r="L41" s="30">
        <v>3.1</v>
      </c>
      <c r="M41" s="172">
        <v>8.7560000000000002</v>
      </c>
      <c r="N41" s="173">
        <v>0.11421000000000001</v>
      </c>
      <c r="P41" s="30">
        <v>3.1</v>
      </c>
      <c r="Q41" s="172">
        <v>4.3777999999999997</v>
      </c>
      <c r="R41" s="173">
        <v>0.18387000000000001</v>
      </c>
      <c r="T41" s="30">
        <v>3.1</v>
      </c>
      <c r="U41" s="172">
        <v>228.42</v>
      </c>
      <c r="V41" s="173">
        <v>5.4390000000000001</v>
      </c>
      <c r="X41" s="30">
        <v>3.1</v>
      </c>
      <c r="Y41" s="34">
        <v>3.9087999999999998</v>
      </c>
      <c r="Z41" s="35">
        <v>0.16417000000000001</v>
      </c>
      <c r="AA41" s="36"/>
      <c r="AB41" s="30">
        <v>3.1</v>
      </c>
      <c r="AC41" s="44">
        <v>255.83</v>
      </c>
      <c r="AD41" s="35">
        <v>6.0910000000000002</v>
      </c>
      <c r="AE41" s="36"/>
      <c r="AF41" s="30">
        <v>3.1</v>
      </c>
      <c r="AG41" s="34">
        <v>3.9714999999999998</v>
      </c>
      <c r="AH41" s="35">
        <v>0.1668</v>
      </c>
      <c r="AI41" s="35"/>
      <c r="AJ41" s="35">
        <v>0.10514</v>
      </c>
      <c r="AK41" s="998">
        <v>81.900000000000006</v>
      </c>
      <c r="AM41" s="30">
        <v>3.1</v>
      </c>
      <c r="AN41" s="34">
        <v>0.86439999999999995</v>
      </c>
      <c r="AO41" s="35">
        <v>0.96809999999999996</v>
      </c>
      <c r="AQ41" s="197">
        <v>0.68100000000000005</v>
      </c>
      <c r="AR41" s="200">
        <v>76.28</v>
      </c>
      <c r="AS41" s="199">
        <v>680.9</v>
      </c>
      <c r="AU41" s="192">
        <v>0.92600000000000027</v>
      </c>
      <c r="AV41" s="41">
        <v>3.7837999999999998</v>
      </c>
      <c r="AW41" s="205"/>
      <c r="AZ41" s="197">
        <v>0.68100000000000005</v>
      </c>
      <c r="BA41" s="198">
        <v>5.6683000000000003</v>
      </c>
      <c r="BB41" s="199">
        <v>0.17641999999999999</v>
      </c>
      <c r="BD41" s="197">
        <v>0.68100000000000005</v>
      </c>
      <c r="BE41" s="198">
        <v>2.8340999999999998</v>
      </c>
      <c r="BF41" s="199">
        <v>0.11903</v>
      </c>
      <c r="BH41" s="197">
        <v>0.68100000000000005</v>
      </c>
      <c r="BI41" s="198">
        <v>352.84</v>
      </c>
      <c r="BJ41" s="199">
        <v>8.4009999999999998</v>
      </c>
      <c r="BL41" s="197">
        <v>0.68100000000000005</v>
      </c>
      <c r="BM41" s="198">
        <v>2.5305</v>
      </c>
      <c r="BN41" s="199">
        <v>0.10628</v>
      </c>
      <c r="BP41" s="197">
        <v>0.68100000000000005</v>
      </c>
      <c r="BQ41" s="200">
        <v>395.18</v>
      </c>
      <c r="BR41" s="199">
        <v>9.4089999999999705</v>
      </c>
      <c r="BT41" s="197">
        <v>0.68100000000000005</v>
      </c>
      <c r="BU41" s="201">
        <v>1.3346</v>
      </c>
      <c r="BV41" s="202">
        <v>1.4947999999999999</v>
      </c>
      <c r="BX41" s="37">
        <v>681</v>
      </c>
      <c r="BY41" s="38">
        <v>0.68110000000000004</v>
      </c>
      <c r="BZ41" s="39">
        <v>76.239999999999995</v>
      </c>
      <c r="CA41" s="33"/>
      <c r="CB41" s="37">
        <v>681</v>
      </c>
      <c r="CC41" s="38">
        <v>0.15889</v>
      </c>
      <c r="CD41" s="42">
        <v>6.2949999999999999</v>
      </c>
      <c r="CE41" s="33"/>
      <c r="CF41" s="33"/>
      <c r="CG41" s="33"/>
      <c r="CH41" s="33"/>
      <c r="CI41" s="33"/>
      <c r="CJ41" s="33"/>
      <c r="CK41" s="33"/>
      <c r="CL41" s="40">
        <v>681</v>
      </c>
      <c r="CM41" s="43">
        <v>679.9</v>
      </c>
      <c r="CN41" s="41">
        <v>1.4708000000000001</v>
      </c>
      <c r="CO41" s="33"/>
      <c r="CP41" s="40">
        <v>681</v>
      </c>
      <c r="CQ41" s="34">
        <v>0.74939999999999996</v>
      </c>
      <c r="CR41" s="41">
        <v>0.66910000000000003</v>
      </c>
      <c r="CS41" s="33"/>
      <c r="CT41" s="40">
        <v>681</v>
      </c>
      <c r="CU41" s="44">
        <v>388.85</v>
      </c>
      <c r="CV41" s="42">
        <v>9.2579999999999991</v>
      </c>
    </row>
    <row r="42" spans="4:100">
      <c r="D42" s="30">
        <v>3.2</v>
      </c>
      <c r="E42" s="31">
        <v>1.0505</v>
      </c>
      <c r="F42" s="32">
        <v>1049.8</v>
      </c>
      <c r="G42" s="33"/>
      <c r="H42" s="30">
        <v>3.2</v>
      </c>
      <c r="I42" s="34">
        <v>3.7841</v>
      </c>
      <c r="J42" s="35">
        <v>0.15892999999999999</v>
      </c>
      <c r="L42" s="30">
        <v>3.2</v>
      </c>
      <c r="M42" s="172">
        <v>8.7490000000000006</v>
      </c>
      <c r="N42" s="173">
        <v>0.1143</v>
      </c>
      <c r="P42" s="30">
        <v>3.2</v>
      </c>
      <c r="Q42" s="172">
        <v>4.3746</v>
      </c>
      <c r="R42" s="173">
        <v>0.18373</v>
      </c>
      <c r="T42" s="30">
        <v>3.2</v>
      </c>
      <c r="U42" s="172">
        <v>228.59</v>
      </c>
      <c r="V42" s="173">
        <v>5.4429999999999996</v>
      </c>
      <c r="X42" s="30">
        <v>3.2</v>
      </c>
      <c r="Y42" s="34">
        <v>3.9058999999999999</v>
      </c>
      <c r="Z42" s="35">
        <v>0.16405</v>
      </c>
      <c r="AA42" s="36"/>
      <c r="AB42" s="30">
        <v>3.2</v>
      </c>
      <c r="AC42" s="44">
        <v>256.02</v>
      </c>
      <c r="AD42" s="35">
        <v>6.0960000000000001</v>
      </c>
      <c r="AE42" s="36"/>
      <c r="AF42" s="30">
        <v>3.2</v>
      </c>
      <c r="AG42" s="34">
        <v>3.9685000000000001</v>
      </c>
      <c r="AH42" s="35">
        <v>0.16667999999999999</v>
      </c>
      <c r="AI42" s="35"/>
      <c r="AJ42" s="35">
        <v>0.10519000000000001</v>
      </c>
      <c r="AK42" s="998">
        <v>81.8</v>
      </c>
      <c r="AM42" s="30">
        <v>3.2</v>
      </c>
      <c r="AN42" s="34">
        <v>0.86499999999999999</v>
      </c>
      <c r="AO42" s="35">
        <v>0.96879999999999999</v>
      </c>
      <c r="AQ42" s="197">
        <v>0.68200000000000005</v>
      </c>
      <c r="AR42" s="200">
        <v>75.98</v>
      </c>
      <c r="AS42" s="199">
        <v>681.9</v>
      </c>
      <c r="AU42" s="192">
        <v>0.92700000000000027</v>
      </c>
      <c r="AV42" s="41">
        <v>3.7839</v>
      </c>
      <c r="AW42" s="205"/>
      <c r="AZ42" s="197">
        <v>0.68200000000000005</v>
      </c>
      <c r="BA42" s="198">
        <v>5.6765999999999996</v>
      </c>
      <c r="BB42" s="199">
        <v>0.17616000000000001</v>
      </c>
      <c r="BD42" s="197">
        <v>0.68200000000000005</v>
      </c>
      <c r="BE42" s="198">
        <v>2.8382999999999998</v>
      </c>
      <c r="BF42" s="199">
        <v>0.11921</v>
      </c>
      <c r="BH42" s="197">
        <v>0.68200000000000005</v>
      </c>
      <c r="BI42" s="198">
        <v>352.32</v>
      </c>
      <c r="BJ42" s="199">
        <v>8.3889999999999993</v>
      </c>
      <c r="BL42" s="197">
        <v>0.68200000000000005</v>
      </c>
      <c r="BM42" s="198">
        <v>2.5341999999999998</v>
      </c>
      <c r="BN42" s="199">
        <v>0.10644000000000001</v>
      </c>
      <c r="BP42" s="197">
        <v>0.68200000000000005</v>
      </c>
      <c r="BQ42" s="200">
        <v>394.6</v>
      </c>
      <c r="BR42" s="199">
        <v>9.3949999999999605</v>
      </c>
      <c r="BT42" s="197">
        <v>0.68200000000000005</v>
      </c>
      <c r="BU42" s="201">
        <v>1.3327</v>
      </c>
      <c r="BV42" s="202">
        <v>1.4925999999999999</v>
      </c>
      <c r="BX42" s="37">
        <v>682</v>
      </c>
      <c r="BY42" s="38">
        <v>0.68210000000000004</v>
      </c>
      <c r="BZ42" s="39">
        <v>75.930000000000007</v>
      </c>
      <c r="CA42" s="33"/>
      <c r="CB42" s="37">
        <v>682</v>
      </c>
      <c r="CC42" s="38">
        <v>0.15889</v>
      </c>
      <c r="CD42" s="42">
        <v>6.2949999999999999</v>
      </c>
      <c r="CE42" s="33"/>
      <c r="CF42" s="33"/>
      <c r="CG42" s="33"/>
      <c r="CH42" s="33"/>
      <c r="CI42" s="33"/>
      <c r="CJ42" s="33"/>
      <c r="CK42" s="33"/>
      <c r="CL42" s="40">
        <v>682</v>
      </c>
      <c r="CM42" s="43">
        <v>680.9</v>
      </c>
      <c r="CN42" s="41">
        <v>1.4686999999999999</v>
      </c>
      <c r="CO42" s="33"/>
      <c r="CP42" s="40">
        <v>682</v>
      </c>
      <c r="CQ42" s="34">
        <v>0.75049999999999994</v>
      </c>
      <c r="CR42" s="41">
        <v>0.67010000000000003</v>
      </c>
      <c r="CS42" s="33"/>
      <c r="CT42" s="40">
        <v>682</v>
      </c>
      <c r="CU42" s="44">
        <v>388.28</v>
      </c>
      <c r="CV42" s="42">
        <v>9.2449999999999992</v>
      </c>
    </row>
    <row r="43" spans="4:100">
      <c r="D43" s="30">
        <v>3.3</v>
      </c>
      <c r="E43" s="31">
        <v>1.0497000000000001</v>
      </c>
      <c r="F43" s="32">
        <v>1049</v>
      </c>
      <c r="G43" s="33"/>
      <c r="H43" s="30">
        <v>3.3</v>
      </c>
      <c r="I43" s="34">
        <v>3.7841</v>
      </c>
      <c r="J43" s="35">
        <v>0.15892999999999999</v>
      </c>
      <c r="L43" s="30">
        <v>3.3</v>
      </c>
      <c r="M43" s="172">
        <v>8.7430000000000003</v>
      </c>
      <c r="N43" s="173">
        <v>0.11438</v>
      </c>
      <c r="P43" s="30">
        <v>3.3</v>
      </c>
      <c r="Q43" s="172">
        <v>4.3712999999999997</v>
      </c>
      <c r="R43" s="173">
        <v>0.18360000000000001</v>
      </c>
      <c r="T43" s="30">
        <v>3.3</v>
      </c>
      <c r="U43" s="172">
        <v>228.76</v>
      </c>
      <c r="V43" s="173">
        <v>5.4470000000000001</v>
      </c>
      <c r="X43" s="30">
        <v>3.3</v>
      </c>
      <c r="Y43" s="34">
        <v>3.903</v>
      </c>
      <c r="Z43" s="35">
        <v>0.16392000000000001</v>
      </c>
      <c r="AA43" s="36"/>
      <c r="AB43" s="30">
        <v>3.3</v>
      </c>
      <c r="AC43" s="44">
        <v>256.20999999999998</v>
      </c>
      <c r="AD43" s="35">
        <v>6.1</v>
      </c>
      <c r="AE43" s="36"/>
      <c r="AF43" s="30">
        <v>3.3</v>
      </c>
      <c r="AG43" s="34">
        <v>3.9655999999999998</v>
      </c>
      <c r="AH43" s="35">
        <v>0.16656000000000001</v>
      </c>
      <c r="AI43" s="35"/>
      <c r="AJ43" s="35">
        <v>0.10524</v>
      </c>
      <c r="AK43" s="998">
        <v>81.7</v>
      </c>
      <c r="AM43" s="30">
        <v>3.3</v>
      </c>
      <c r="AN43" s="34">
        <v>0.86570000000000003</v>
      </c>
      <c r="AO43" s="35">
        <v>0.96950000000000003</v>
      </c>
      <c r="AQ43" s="197">
        <v>0.68300000000000005</v>
      </c>
      <c r="AR43" s="200">
        <v>75.67</v>
      </c>
      <c r="AS43" s="199">
        <v>682.9</v>
      </c>
      <c r="AU43" s="192">
        <v>0.97499999999999998</v>
      </c>
      <c r="AV43" s="41">
        <v>3.7839</v>
      </c>
      <c r="AW43" s="205"/>
      <c r="AZ43" s="197">
        <v>0.68300000000000005</v>
      </c>
      <c r="BA43" s="198">
        <v>5.6848999999999998</v>
      </c>
      <c r="BB43" s="199">
        <v>0.1759</v>
      </c>
      <c r="BD43" s="197">
        <v>0.68300000000000005</v>
      </c>
      <c r="BE43" s="198">
        <v>2.8424999999999998</v>
      </c>
      <c r="BF43" s="199">
        <v>0.11938</v>
      </c>
      <c r="BH43" s="197">
        <v>0.68300000000000005</v>
      </c>
      <c r="BI43" s="198">
        <v>351.81</v>
      </c>
      <c r="BJ43" s="199">
        <v>8.3759999999999994</v>
      </c>
      <c r="BL43" s="197">
        <v>0.68300000000000005</v>
      </c>
      <c r="BM43" s="198">
        <v>2.5379</v>
      </c>
      <c r="BN43" s="199">
        <v>0.10659</v>
      </c>
      <c r="BP43" s="197">
        <v>0.68300000000000005</v>
      </c>
      <c r="BQ43" s="200">
        <v>394.02</v>
      </c>
      <c r="BR43" s="199">
        <v>9.3819999999999997</v>
      </c>
      <c r="BT43" s="197">
        <v>0.68300000000000005</v>
      </c>
      <c r="BU43" s="201">
        <v>1.3307</v>
      </c>
      <c r="BV43" s="202">
        <v>1.4903999999999999</v>
      </c>
      <c r="BX43" s="37">
        <v>683</v>
      </c>
      <c r="BY43" s="38">
        <v>0.68310000000000004</v>
      </c>
      <c r="BZ43" s="39">
        <v>75.63</v>
      </c>
      <c r="CA43" s="33"/>
      <c r="CB43" s="37">
        <v>683</v>
      </c>
      <c r="CC43" s="38">
        <v>0.15889</v>
      </c>
      <c r="CD43" s="42">
        <v>6.2949999999999999</v>
      </c>
      <c r="CE43" s="33"/>
      <c r="CF43" s="33"/>
      <c r="CG43" s="33"/>
      <c r="CH43" s="33"/>
      <c r="CI43" s="33"/>
      <c r="CJ43" s="33"/>
      <c r="CK43" s="33"/>
      <c r="CL43" s="40">
        <v>683</v>
      </c>
      <c r="CM43" s="43">
        <v>681.9</v>
      </c>
      <c r="CN43" s="41">
        <v>1.4664999999999999</v>
      </c>
      <c r="CO43" s="33"/>
      <c r="CP43" s="40">
        <v>683</v>
      </c>
      <c r="CQ43" s="34">
        <v>0.75160000000000005</v>
      </c>
      <c r="CR43" s="41">
        <v>0.67110000000000003</v>
      </c>
      <c r="CS43" s="33"/>
      <c r="CT43" s="40">
        <v>683</v>
      </c>
      <c r="CU43" s="44">
        <v>387.71</v>
      </c>
      <c r="CV43" s="42">
        <v>9.2309999999999999</v>
      </c>
    </row>
    <row r="44" spans="4:100">
      <c r="D44" s="30">
        <v>3.4</v>
      </c>
      <c r="E44" s="31">
        <v>1.0488999999999999</v>
      </c>
      <c r="F44" s="32">
        <v>1048.3</v>
      </c>
      <c r="G44" s="33"/>
      <c r="H44" s="30">
        <v>3.4</v>
      </c>
      <c r="I44" s="34">
        <v>3.7841</v>
      </c>
      <c r="J44" s="35">
        <v>0.15892999999999999</v>
      </c>
      <c r="L44" s="30">
        <v>3.4</v>
      </c>
      <c r="M44" s="172">
        <v>8.7360000000000007</v>
      </c>
      <c r="N44" s="173">
        <v>0.11447</v>
      </c>
      <c r="P44" s="30">
        <v>3.4</v>
      </c>
      <c r="Q44" s="172">
        <v>4.3681000000000001</v>
      </c>
      <c r="R44" s="173">
        <v>0.18346000000000001</v>
      </c>
      <c r="T44" s="30">
        <v>3.4</v>
      </c>
      <c r="U44" s="172">
        <v>228.93</v>
      </c>
      <c r="V44" s="173">
        <v>5.4509999999999996</v>
      </c>
      <c r="X44" s="30">
        <v>3.4</v>
      </c>
      <c r="Y44" s="34">
        <v>3.9001000000000001</v>
      </c>
      <c r="Z44" s="35">
        <v>0.1638</v>
      </c>
      <c r="AA44" s="36"/>
      <c r="AB44" s="30">
        <v>3.4</v>
      </c>
      <c r="AC44" s="44">
        <v>256.39999999999998</v>
      </c>
      <c r="AD44" s="35">
        <v>6.1050000000000004</v>
      </c>
      <c r="AE44" s="36"/>
      <c r="AF44" s="30">
        <v>3.4</v>
      </c>
      <c r="AG44" s="34">
        <v>3.9626999999999999</v>
      </c>
      <c r="AH44" s="35">
        <v>0.16642999999999999</v>
      </c>
      <c r="AI44" s="35"/>
      <c r="AJ44" s="35">
        <v>0.10528999999999999</v>
      </c>
      <c r="AK44" s="998">
        <v>81.599999999999994</v>
      </c>
      <c r="AM44" s="30">
        <v>3.4</v>
      </c>
      <c r="AN44" s="34">
        <v>0.86629999999999996</v>
      </c>
      <c r="AO44" s="35">
        <v>0.97030000000000005</v>
      </c>
      <c r="AQ44" s="197">
        <v>0.68400000000000005</v>
      </c>
      <c r="AR44" s="200">
        <v>75.37</v>
      </c>
      <c r="AS44" s="199">
        <v>683.8</v>
      </c>
      <c r="AU44" s="192">
        <v>0.97600000000000031</v>
      </c>
      <c r="AV44" s="41">
        <v>3.7839999999999998</v>
      </c>
      <c r="AW44" s="205"/>
      <c r="AZ44" s="197">
        <v>0.68400000000000005</v>
      </c>
      <c r="BA44" s="198">
        <v>5.6932999999999998</v>
      </c>
      <c r="BB44" s="199">
        <v>0.17565</v>
      </c>
      <c r="BD44" s="197">
        <v>0.68400000000000005</v>
      </c>
      <c r="BE44" s="198">
        <v>2.8466</v>
      </c>
      <c r="BF44" s="199">
        <v>0.11956</v>
      </c>
      <c r="BH44" s="197">
        <v>0.68400000000000005</v>
      </c>
      <c r="BI44" s="198">
        <v>351.29</v>
      </c>
      <c r="BJ44" s="199">
        <v>8.3640000000000008</v>
      </c>
      <c r="BL44" s="197">
        <v>0.68400000000000005</v>
      </c>
      <c r="BM44" s="198">
        <v>2.5415999999999999</v>
      </c>
      <c r="BN44" s="199">
        <v>0.10675</v>
      </c>
      <c r="BP44" s="197">
        <v>0.68400000000000005</v>
      </c>
      <c r="BQ44" s="200">
        <v>393.45</v>
      </c>
      <c r="BR44" s="199">
        <v>9.3680000000000003</v>
      </c>
      <c r="BT44" s="197">
        <v>0.68400000000000005</v>
      </c>
      <c r="BU44" s="201">
        <v>1.3288</v>
      </c>
      <c r="BV44" s="202">
        <v>1.4882</v>
      </c>
      <c r="BX44" s="37">
        <v>684</v>
      </c>
      <c r="BY44" s="38">
        <v>0.68420000000000003</v>
      </c>
      <c r="BZ44" s="39">
        <v>75.33</v>
      </c>
      <c r="CA44" s="33"/>
      <c r="CB44" s="37">
        <v>684</v>
      </c>
      <c r="CC44" s="38">
        <v>0.15887000000000001</v>
      </c>
      <c r="CD44" s="42">
        <v>6.2949999999999999</v>
      </c>
      <c r="CE44" s="33"/>
      <c r="CF44" s="33"/>
      <c r="CG44" s="33"/>
      <c r="CH44" s="33"/>
      <c r="CI44" s="33"/>
      <c r="CJ44" s="33"/>
      <c r="CK44" s="33"/>
      <c r="CL44" s="40">
        <v>684</v>
      </c>
      <c r="CM44" s="43">
        <v>682.9</v>
      </c>
      <c r="CN44" s="41">
        <v>1.4643999999999999</v>
      </c>
      <c r="CO44" s="33"/>
      <c r="CP44" s="40">
        <v>684</v>
      </c>
      <c r="CQ44" s="34">
        <v>0.75270000000000004</v>
      </c>
      <c r="CR44" s="41">
        <v>0.67210000000000003</v>
      </c>
      <c r="CS44" s="33"/>
      <c r="CT44" s="40">
        <v>684</v>
      </c>
      <c r="CU44" s="44">
        <v>387.14</v>
      </c>
      <c r="CV44" s="42">
        <v>9.218</v>
      </c>
    </row>
    <row r="45" spans="4:100">
      <c r="D45" s="30">
        <v>3.5</v>
      </c>
      <c r="E45" s="31">
        <v>1.0481</v>
      </c>
      <c r="F45" s="32">
        <v>1047.5</v>
      </c>
      <c r="G45" s="33"/>
      <c r="H45" s="30">
        <v>3.5</v>
      </c>
      <c r="I45" s="34">
        <v>3.7841</v>
      </c>
      <c r="J45" s="35">
        <v>0.15892999999999999</v>
      </c>
      <c r="L45" s="30">
        <v>3.5</v>
      </c>
      <c r="M45" s="172">
        <v>8.73</v>
      </c>
      <c r="N45" s="173">
        <v>0.11455</v>
      </c>
      <c r="P45" s="30">
        <v>3.5</v>
      </c>
      <c r="Q45" s="172">
        <v>4.3647999999999998</v>
      </c>
      <c r="R45" s="173">
        <v>0.18332000000000001</v>
      </c>
      <c r="T45" s="30">
        <v>3.5</v>
      </c>
      <c r="U45" s="172">
        <v>229.1</v>
      </c>
      <c r="V45" s="173">
        <v>5.4550000000000001</v>
      </c>
      <c r="X45" s="30">
        <v>3.5</v>
      </c>
      <c r="Y45" s="34">
        <v>3.8972000000000002</v>
      </c>
      <c r="Z45" s="35">
        <v>0.16367999999999999</v>
      </c>
      <c r="AA45" s="36"/>
      <c r="AB45" s="30">
        <v>3.5</v>
      </c>
      <c r="AC45" s="44">
        <v>256.60000000000002</v>
      </c>
      <c r="AD45" s="35">
        <v>6.109</v>
      </c>
      <c r="AE45" s="36"/>
      <c r="AF45" s="30">
        <v>3.5</v>
      </c>
      <c r="AG45" s="34">
        <v>3.9597000000000002</v>
      </c>
      <c r="AH45" s="35">
        <v>0.16631000000000001</v>
      </c>
      <c r="AI45" s="35"/>
      <c r="AJ45" s="35">
        <v>0.10534</v>
      </c>
      <c r="AK45" s="998">
        <v>81.5</v>
      </c>
      <c r="AM45" s="30">
        <v>3.5</v>
      </c>
      <c r="AN45" s="34">
        <v>0.8669</v>
      </c>
      <c r="AO45" s="35">
        <v>0.97099999999999997</v>
      </c>
      <c r="AQ45" s="197">
        <v>0.68500000000000005</v>
      </c>
      <c r="AR45" s="200">
        <v>75.069999999999993</v>
      </c>
      <c r="AS45" s="199">
        <v>684.8</v>
      </c>
      <c r="AU45" s="192">
        <v>1.0309999999999968</v>
      </c>
      <c r="AV45" s="41">
        <v>3.7839999999999998</v>
      </c>
      <c r="AW45" s="205"/>
      <c r="AZ45" s="197">
        <v>0.68500000000000005</v>
      </c>
      <c r="BA45" s="198">
        <v>5.7016</v>
      </c>
      <c r="BB45" s="199">
        <v>0.17538999999999999</v>
      </c>
      <c r="BD45" s="197">
        <v>0.68500000000000005</v>
      </c>
      <c r="BE45" s="198">
        <v>2.8508</v>
      </c>
      <c r="BF45" s="199">
        <v>0.11973</v>
      </c>
      <c r="BH45" s="197">
        <v>0.68500000000000005</v>
      </c>
      <c r="BI45" s="198">
        <v>350.78</v>
      </c>
      <c r="BJ45" s="199">
        <v>8.3520000000000003</v>
      </c>
      <c r="BL45" s="197">
        <v>0.68500000000000005</v>
      </c>
      <c r="BM45" s="198">
        <v>2.5453999999999999</v>
      </c>
      <c r="BN45" s="199">
        <v>0.10691000000000001</v>
      </c>
      <c r="BP45" s="197">
        <v>0.68500000000000005</v>
      </c>
      <c r="BQ45" s="200">
        <v>392.87</v>
      </c>
      <c r="BR45" s="199">
        <v>9.3539999999999992</v>
      </c>
      <c r="BT45" s="197">
        <v>0.68500000000000005</v>
      </c>
      <c r="BU45" s="201">
        <v>1.3268</v>
      </c>
      <c r="BV45" s="202">
        <v>1.486</v>
      </c>
      <c r="BX45" s="37">
        <v>685</v>
      </c>
      <c r="BY45" s="38">
        <v>0.68520000000000003</v>
      </c>
      <c r="BZ45" s="39">
        <v>75.02</v>
      </c>
      <c r="CA45" s="33"/>
      <c r="CB45" s="37">
        <v>685</v>
      </c>
      <c r="CC45" s="38">
        <v>0.15887000000000001</v>
      </c>
      <c r="CD45" s="42">
        <v>6.2949999999999999</v>
      </c>
      <c r="CE45" s="33"/>
      <c r="CF45" s="33"/>
      <c r="CG45" s="33"/>
      <c r="CH45" s="33"/>
      <c r="CI45" s="33"/>
      <c r="CJ45" s="33"/>
      <c r="CK45" s="33"/>
      <c r="CL45" s="40">
        <v>685</v>
      </c>
      <c r="CM45" s="43">
        <v>683.9</v>
      </c>
      <c r="CN45" s="41">
        <v>1.4621999999999999</v>
      </c>
      <c r="CO45" s="33"/>
      <c r="CP45" s="40">
        <v>685</v>
      </c>
      <c r="CQ45" s="34">
        <v>0.75390000000000001</v>
      </c>
      <c r="CR45" s="41">
        <v>0.67310000000000003</v>
      </c>
      <c r="CS45" s="33"/>
      <c r="CT45" s="40">
        <v>685</v>
      </c>
      <c r="CU45" s="44">
        <v>386.58</v>
      </c>
      <c r="CV45" s="42">
        <v>9.2040000000000006</v>
      </c>
    </row>
    <row r="46" spans="4:100">
      <c r="D46" s="30">
        <v>3.6</v>
      </c>
      <c r="E46" s="31">
        <v>1.0474000000000001</v>
      </c>
      <c r="F46" s="32">
        <v>1046.7</v>
      </c>
      <c r="G46" s="33"/>
      <c r="H46" s="30">
        <v>3.6</v>
      </c>
      <c r="I46" s="34">
        <v>3.7841</v>
      </c>
      <c r="J46" s="35">
        <v>0.15892999999999999</v>
      </c>
      <c r="L46" s="30">
        <v>3.6</v>
      </c>
      <c r="M46" s="172">
        <v>8.7230000000000008</v>
      </c>
      <c r="N46" s="173">
        <v>0.11464000000000001</v>
      </c>
      <c r="P46" s="30">
        <v>3.6</v>
      </c>
      <c r="Q46" s="172">
        <v>4.3616000000000001</v>
      </c>
      <c r="R46" s="173">
        <v>0.18318999999999999</v>
      </c>
      <c r="T46" s="30">
        <v>3.6</v>
      </c>
      <c r="U46" s="172">
        <v>229.27</v>
      </c>
      <c r="V46" s="173">
        <v>5.4589999999999996</v>
      </c>
      <c r="X46" s="30">
        <v>3.6</v>
      </c>
      <c r="Y46" s="34">
        <v>3.8942999999999999</v>
      </c>
      <c r="Z46" s="35">
        <v>0.16356000000000001</v>
      </c>
      <c r="AA46" s="36"/>
      <c r="AB46" s="30">
        <v>3.6</v>
      </c>
      <c r="AC46" s="44">
        <v>256.79000000000002</v>
      </c>
      <c r="AD46" s="35">
        <v>6.1139999999999999</v>
      </c>
      <c r="AE46" s="36"/>
      <c r="AF46" s="30">
        <v>3.6</v>
      </c>
      <c r="AG46" s="34">
        <v>3.9567999999999999</v>
      </c>
      <c r="AH46" s="35">
        <v>0.16617999999999999</v>
      </c>
      <c r="AI46" s="35"/>
      <c r="AJ46" s="35">
        <v>0.10539</v>
      </c>
      <c r="AK46" s="998">
        <v>81.400000000000006</v>
      </c>
      <c r="AM46" s="30">
        <v>3.6</v>
      </c>
      <c r="AN46" s="34">
        <v>0.86760000000000004</v>
      </c>
      <c r="AO46" s="35">
        <v>0.97170000000000001</v>
      </c>
      <c r="AQ46" s="197">
        <v>0.68600000000000005</v>
      </c>
      <c r="AR46" s="200">
        <v>74.77</v>
      </c>
      <c r="AS46" s="199">
        <v>685.8</v>
      </c>
      <c r="AU46" s="192">
        <v>1.0319999999999967</v>
      </c>
      <c r="AV46" s="41">
        <v>3.7841</v>
      </c>
      <c r="AW46" s="205"/>
      <c r="AZ46" s="197">
        <v>0.68600000000000005</v>
      </c>
      <c r="BA46" s="198">
        <v>5.71</v>
      </c>
      <c r="BB46" s="199">
        <v>0.17513000000000001</v>
      </c>
      <c r="BD46" s="197">
        <v>0.68600000000000005</v>
      </c>
      <c r="BE46" s="198">
        <v>2.855</v>
      </c>
      <c r="BF46" s="199">
        <v>0.11991</v>
      </c>
      <c r="BH46" s="197">
        <v>0.68600000000000005</v>
      </c>
      <c r="BI46" s="198">
        <v>350.27</v>
      </c>
      <c r="BJ46" s="199">
        <v>8.34</v>
      </c>
      <c r="BL46" s="197">
        <v>0.68600000000000005</v>
      </c>
      <c r="BM46" s="198">
        <v>2.5491000000000001</v>
      </c>
      <c r="BN46" s="199">
        <v>0.10706</v>
      </c>
      <c r="BP46" s="197">
        <v>0.68600000000000005</v>
      </c>
      <c r="BQ46" s="200">
        <v>392.3</v>
      </c>
      <c r="BR46" s="199">
        <v>9.34</v>
      </c>
      <c r="BT46" s="197">
        <v>0.68600000000000005</v>
      </c>
      <c r="BU46" s="201">
        <v>1.3249</v>
      </c>
      <c r="BV46" s="202">
        <v>1.4839</v>
      </c>
      <c r="BX46" s="37">
        <v>686</v>
      </c>
      <c r="BY46" s="38">
        <v>0.68620000000000003</v>
      </c>
      <c r="BZ46" s="39">
        <v>74.72</v>
      </c>
      <c r="CA46" s="33"/>
      <c r="CB46" s="37">
        <v>686</v>
      </c>
      <c r="CC46" s="38">
        <v>0.15887000000000001</v>
      </c>
      <c r="CD46" s="42">
        <v>6.2949999999999999</v>
      </c>
      <c r="CE46" s="33"/>
      <c r="CF46" s="33"/>
      <c r="CG46" s="33"/>
      <c r="CH46" s="33"/>
      <c r="CI46" s="33"/>
      <c r="CJ46" s="33"/>
      <c r="CK46" s="33"/>
      <c r="CL46" s="40">
        <v>686</v>
      </c>
      <c r="CM46" s="43">
        <v>684.9</v>
      </c>
      <c r="CN46" s="41">
        <v>1.4601</v>
      </c>
      <c r="CO46" s="33"/>
      <c r="CP46" s="40">
        <v>686</v>
      </c>
      <c r="CQ46" s="34">
        <v>0.755</v>
      </c>
      <c r="CR46" s="41">
        <v>0.67410000000000003</v>
      </c>
      <c r="CS46" s="33"/>
      <c r="CT46" s="40">
        <v>686</v>
      </c>
      <c r="CU46" s="44">
        <v>386.01</v>
      </c>
      <c r="CV46" s="42">
        <v>9.1910000000000007</v>
      </c>
    </row>
    <row r="47" spans="4:100">
      <c r="D47" s="30">
        <v>3.7</v>
      </c>
      <c r="E47" s="31">
        <v>1.0466</v>
      </c>
      <c r="F47" s="32">
        <v>1045.9000000000001</v>
      </c>
      <c r="G47" s="33"/>
      <c r="H47" s="30">
        <v>3.7</v>
      </c>
      <c r="I47" s="34">
        <v>3.7841</v>
      </c>
      <c r="J47" s="35">
        <v>0.15892999999999999</v>
      </c>
      <c r="L47" s="30">
        <v>3.7</v>
      </c>
      <c r="M47" s="172">
        <v>8.7170000000000005</v>
      </c>
      <c r="N47" s="173">
        <v>0.11472</v>
      </c>
      <c r="P47" s="30">
        <v>3.7</v>
      </c>
      <c r="Q47" s="172">
        <v>4.3583999999999996</v>
      </c>
      <c r="R47" s="173">
        <v>0.18304999999999999</v>
      </c>
      <c r="T47" s="30">
        <v>3.7</v>
      </c>
      <c r="U47" s="172">
        <v>229.44</v>
      </c>
      <c r="V47" s="173">
        <v>5.4630000000000001</v>
      </c>
      <c r="X47" s="30">
        <v>3.7</v>
      </c>
      <c r="Y47" s="34">
        <v>3.8914</v>
      </c>
      <c r="Z47" s="35">
        <v>0.16344</v>
      </c>
      <c r="AA47" s="36"/>
      <c r="AB47" s="30">
        <v>3.7</v>
      </c>
      <c r="AC47" s="44">
        <v>256.97000000000003</v>
      </c>
      <c r="AD47" s="35">
        <v>6.1180000000000003</v>
      </c>
      <c r="AE47" s="36"/>
      <c r="AF47" s="30">
        <v>3.7</v>
      </c>
      <c r="AG47" s="34">
        <v>3.9539</v>
      </c>
      <c r="AH47" s="35">
        <v>0.16606000000000001</v>
      </c>
      <c r="AI47" s="35"/>
      <c r="AJ47" s="35">
        <v>0.10543</v>
      </c>
      <c r="AK47" s="998">
        <v>81.3</v>
      </c>
      <c r="AM47" s="30">
        <v>3.7</v>
      </c>
      <c r="AN47" s="34">
        <v>0.86819999999999997</v>
      </c>
      <c r="AO47" s="35">
        <v>0.97240000000000004</v>
      </c>
      <c r="AQ47" s="197">
        <v>0.68700000000000006</v>
      </c>
      <c r="AR47" s="200">
        <v>74.47</v>
      </c>
      <c r="AS47" s="199">
        <v>686.8</v>
      </c>
      <c r="AU47" s="203">
        <v>1.074999999999992</v>
      </c>
      <c r="AV47" s="51">
        <v>3.7841</v>
      </c>
      <c r="AW47" s="205"/>
      <c r="AZ47" s="197">
        <v>0.68700000000000006</v>
      </c>
      <c r="BA47" s="198">
        <v>5.7183000000000002</v>
      </c>
      <c r="BB47" s="199">
        <v>0.17488000000000001</v>
      </c>
      <c r="BD47" s="197">
        <v>0.68700000000000006</v>
      </c>
      <c r="BE47" s="198">
        <v>2.8592</v>
      </c>
      <c r="BF47" s="199">
        <v>0.12008000000000001</v>
      </c>
      <c r="BH47" s="197">
        <v>0.68700000000000006</v>
      </c>
      <c r="BI47" s="198">
        <v>349.75</v>
      </c>
      <c r="BJ47" s="199">
        <v>8.327</v>
      </c>
      <c r="BL47" s="197">
        <v>0.68700000000000006</v>
      </c>
      <c r="BM47" s="198">
        <v>2.5528</v>
      </c>
      <c r="BN47" s="199">
        <v>0.10722</v>
      </c>
      <c r="BP47" s="197">
        <v>0.68700000000000006</v>
      </c>
      <c r="BQ47" s="200">
        <v>391.72</v>
      </c>
      <c r="BR47" s="199">
        <v>9.327</v>
      </c>
      <c r="BT47" s="197">
        <v>0.68700000000000006</v>
      </c>
      <c r="BU47" s="201">
        <v>1.323</v>
      </c>
      <c r="BV47" s="202">
        <v>1.4817</v>
      </c>
      <c r="BX47" s="37">
        <v>687</v>
      </c>
      <c r="BY47" s="38">
        <v>0.68720000000000003</v>
      </c>
      <c r="BZ47" s="39">
        <v>74.42</v>
      </c>
      <c r="CA47" s="33"/>
      <c r="CB47" s="37">
        <v>687</v>
      </c>
      <c r="CC47" s="38">
        <v>0.15887000000000001</v>
      </c>
      <c r="CD47" s="42">
        <v>6.2949999999999999</v>
      </c>
      <c r="CE47" s="33"/>
      <c r="CF47" s="33"/>
      <c r="CG47" s="33"/>
      <c r="CH47" s="33"/>
      <c r="CI47" s="33"/>
      <c r="CJ47" s="33"/>
      <c r="CK47" s="33"/>
      <c r="CL47" s="40">
        <v>687</v>
      </c>
      <c r="CM47" s="43">
        <v>685.9</v>
      </c>
      <c r="CN47" s="41">
        <v>1.458</v>
      </c>
      <c r="CO47" s="33"/>
      <c r="CP47" s="40">
        <v>687</v>
      </c>
      <c r="CQ47" s="34">
        <v>0.75609999999999999</v>
      </c>
      <c r="CR47" s="41">
        <v>0.67510000000000003</v>
      </c>
      <c r="CS47" s="33"/>
      <c r="CT47" s="40">
        <v>687</v>
      </c>
      <c r="CU47" s="44">
        <v>385.45</v>
      </c>
      <c r="CV47" s="42">
        <v>9.1769999999999996</v>
      </c>
    </row>
    <row r="48" spans="4:100">
      <c r="D48" s="30">
        <v>3.8</v>
      </c>
      <c r="E48" s="31">
        <v>1.0458000000000001</v>
      </c>
      <c r="F48" s="32">
        <v>1045.2</v>
      </c>
      <c r="G48" s="33"/>
      <c r="H48" s="30">
        <v>3.8</v>
      </c>
      <c r="I48" s="34">
        <v>3.7841</v>
      </c>
      <c r="J48" s="35">
        <v>0.15892999999999999</v>
      </c>
      <c r="L48" s="30">
        <v>3.8</v>
      </c>
      <c r="M48" s="172">
        <v>8.7100000000000009</v>
      </c>
      <c r="N48" s="173">
        <v>0.11481</v>
      </c>
      <c r="P48" s="30">
        <v>3.8</v>
      </c>
      <c r="Q48" s="172">
        <v>4.3552</v>
      </c>
      <c r="R48" s="173">
        <v>0.18292</v>
      </c>
      <c r="T48" s="30">
        <v>3.8</v>
      </c>
      <c r="U48" s="172">
        <v>229.61</v>
      </c>
      <c r="V48" s="173">
        <v>5.4669999999999996</v>
      </c>
      <c r="X48" s="30">
        <v>3.8</v>
      </c>
      <c r="Y48" s="34">
        <v>3.8885000000000001</v>
      </c>
      <c r="Z48" s="35">
        <v>0.16331999999999999</v>
      </c>
      <c r="AA48" s="36"/>
      <c r="AB48" s="30">
        <v>3.8</v>
      </c>
      <c r="AC48" s="44">
        <v>257.16000000000003</v>
      </c>
      <c r="AD48" s="35">
        <v>6.1230000000000002</v>
      </c>
      <c r="AE48" s="36"/>
      <c r="AF48" s="30">
        <v>3.8</v>
      </c>
      <c r="AG48" s="34">
        <v>3.9508999999999999</v>
      </c>
      <c r="AH48" s="35">
        <v>0.16594</v>
      </c>
      <c r="AI48" s="35"/>
      <c r="AJ48" s="35">
        <v>0.10548</v>
      </c>
      <c r="AK48" s="998">
        <v>81.2</v>
      </c>
      <c r="AM48" s="30">
        <v>3.8</v>
      </c>
      <c r="AN48" s="34">
        <v>0.86890000000000001</v>
      </c>
      <c r="AO48" s="35">
        <v>0.97309999999999997</v>
      </c>
      <c r="AQ48" s="197">
        <v>0.68799999999999994</v>
      </c>
      <c r="AR48" s="200">
        <v>74.17</v>
      </c>
      <c r="AS48" s="199">
        <v>687.8</v>
      </c>
      <c r="AZ48" s="197">
        <v>0.68799999999999994</v>
      </c>
      <c r="BA48" s="198">
        <v>5.7266000000000004</v>
      </c>
      <c r="BB48" s="199">
        <v>0.17462</v>
      </c>
      <c r="BD48" s="197">
        <v>0.68799999999999994</v>
      </c>
      <c r="BE48" s="198">
        <v>2.8633000000000002</v>
      </c>
      <c r="BF48" s="199">
        <v>0.12026000000000001</v>
      </c>
      <c r="BH48" s="197">
        <v>0.68799999999999994</v>
      </c>
      <c r="BI48" s="198">
        <v>349.25</v>
      </c>
      <c r="BJ48" s="199">
        <v>8.3149999999999995</v>
      </c>
      <c r="BL48" s="197">
        <v>0.68799999999999994</v>
      </c>
      <c r="BM48" s="198">
        <v>2.5565000000000002</v>
      </c>
      <c r="BN48" s="199">
        <v>0.10736999999999999</v>
      </c>
      <c r="BP48" s="197">
        <v>0.68799999999999994</v>
      </c>
      <c r="BQ48" s="200">
        <v>391.15</v>
      </c>
      <c r="BR48" s="199">
        <v>9.3130000000000006</v>
      </c>
      <c r="BT48" s="197">
        <v>0.68799999999999994</v>
      </c>
      <c r="BU48" s="201">
        <v>1.321</v>
      </c>
      <c r="BV48" s="202">
        <v>1.4796</v>
      </c>
      <c r="BX48" s="37">
        <v>688</v>
      </c>
      <c r="BY48" s="38">
        <v>0.68820000000000003</v>
      </c>
      <c r="BZ48" s="39">
        <v>74.12</v>
      </c>
      <c r="CA48" s="33"/>
      <c r="CB48" s="37">
        <v>688</v>
      </c>
      <c r="CC48" s="38">
        <v>0.15887000000000001</v>
      </c>
      <c r="CD48" s="42">
        <v>6.2949999999999999</v>
      </c>
      <c r="CE48" s="33"/>
      <c r="CF48" s="33"/>
      <c r="CG48" s="33"/>
      <c r="CH48" s="33"/>
      <c r="CI48" s="33"/>
      <c r="CJ48" s="33"/>
      <c r="CK48" s="33"/>
      <c r="CL48" s="40">
        <v>688</v>
      </c>
      <c r="CM48" s="43">
        <v>686.9</v>
      </c>
      <c r="CN48" s="41">
        <v>1.4559</v>
      </c>
      <c r="CO48" s="33"/>
      <c r="CP48" s="40">
        <v>688</v>
      </c>
      <c r="CQ48" s="34">
        <v>0.75719999999999998</v>
      </c>
      <c r="CR48" s="41">
        <v>0.67600000000000005</v>
      </c>
      <c r="CS48" s="33"/>
      <c r="CT48" s="40">
        <v>688</v>
      </c>
      <c r="CU48" s="44">
        <v>384.89</v>
      </c>
      <c r="CV48" s="42">
        <v>9.1639999999999997</v>
      </c>
    </row>
    <row r="49" spans="4:100">
      <c r="D49" s="30">
        <v>3.9</v>
      </c>
      <c r="E49" s="31">
        <v>1.0450999999999999</v>
      </c>
      <c r="F49" s="32">
        <v>1044.4000000000001</v>
      </c>
      <c r="G49" s="33"/>
      <c r="H49" s="30">
        <v>3.9</v>
      </c>
      <c r="I49" s="34">
        <v>3.7841</v>
      </c>
      <c r="J49" s="35">
        <v>0.15892999999999999</v>
      </c>
      <c r="L49" s="30">
        <v>3.9</v>
      </c>
      <c r="M49" s="172">
        <v>8.7040000000000006</v>
      </c>
      <c r="N49" s="173">
        <v>0.11489000000000001</v>
      </c>
      <c r="P49" s="30">
        <v>3.9</v>
      </c>
      <c r="Q49" s="172">
        <v>4.3518999999999997</v>
      </c>
      <c r="R49" s="173">
        <v>0.18278</v>
      </c>
      <c r="T49" s="30">
        <v>3.9</v>
      </c>
      <c r="U49" s="172">
        <v>229.78</v>
      </c>
      <c r="V49" s="173">
        <v>5.4710000000000001</v>
      </c>
      <c r="X49" s="30">
        <v>3.9</v>
      </c>
      <c r="Y49" s="34">
        <v>3.8856999999999999</v>
      </c>
      <c r="Z49" s="35">
        <v>0.16320000000000001</v>
      </c>
      <c r="AA49" s="36"/>
      <c r="AB49" s="30">
        <v>3.9</v>
      </c>
      <c r="AC49" s="44">
        <v>257.35000000000002</v>
      </c>
      <c r="AD49" s="35">
        <v>6.1280000000000001</v>
      </c>
      <c r="AE49" s="36"/>
      <c r="AF49" s="30">
        <v>3.9</v>
      </c>
      <c r="AG49" s="34">
        <v>3.948</v>
      </c>
      <c r="AH49" s="35">
        <v>0.16582</v>
      </c>
      <c r="AI49" s="35"/>
      <c r="AJ49" s="35">
        <v>0.10553</v>
      </c>
      <c r="AK49" s="998">
        <v>81.099999999999994</v>
      </c>
      <c r="AM49" s="30">
        <v>3.9</v>
      </c>
      <c r="AN49" s="34">
        <v>0.86950000000000005</v>
      </c>
      <c r="AO49" s="35">
        <v>0.97389999999999999</v>
      </c>
      <c r="AQ49" s="197">
        <v>0.68899999999999995</v>
      </c>
      <c r="AR49" s="200">
        <v>73.87</v>
      </c>
      <c r="AS49" s="199">
        <v>688.8</v>
      </c>
      <c r="AZ49" s="197">
        <v>0.68899999999999995</v>
      </c>
      <c r="BA49" s="198">
        <v>5.7350000000000003</v>
      </c>
      <c r="BB49" s="199">
        <v>0.17437</v>
      </c>
      <c r="BD49" s="197">
        <v>0.68899999999999995</v>
      </c>
      <c r="BE49" s="198">
        <v>2.8675000000000002</v>
      </c>
      <c r="BF49" s="199">
        <v>0.12043</v>
      </c>
      <c r="BH49" s="197">
        <v>0.68899999999999995</v>
      </c>
      <c r="BI49" s="198">
        <v>348.74</v>
      </c>
      <c r="BJ49" s="199">
        <v>8.3030000000000008</v>
      </c>
      <c r="BL49" s="197">
        <v>0.68899999999999995</v>
      </c>
      <c r="BM49" s="198">
        <v>2.5602999999999998</v>
      </c>
      <c r="BN49" s="199">
        <v>0.10753</v>
      </c>
      <c r="BP49" s="197">
        <v>0.68899999999999995</v>
      </c>
      <c r="BQ49" s="200">
        <v>390.59</v>
      </c>
      <c r="BR49" s="199">
        <v>9.3000000000000007</v>
      </c>
      <c r="BT49" s="197">
        <v>0.68899999999999995</v>
      </c>
      <c r="BU49" s="201">
        <v>1.3190999999999999</v>
      </c>
      <c r="BV49" s="202">
        <v>1.4774</v>
      </c>
      <c r="BX49" s="37">
        <v>689</v>
      </c>
      <c r="BY49" s="38">
        <v>0.68920000000000003</v>
      </c>
      <c r="BZ49" s="39">
        <v>73.819999999999993</v>
      </c>
      <c r="CA49" s="33"/>
      <c r="CB49" s="37">
        <v>689</v>
      </c>
      <c r="CC49" s="38">
        <v>0.15887000000000001</v>
      </c>
      <c r="CD49" s="42">
        <v>6.2949999999999999</v>
      </c>
      <c r="CE49" s="33"/>
      <c r="CF49" s="33"/>
      <c r="CG49" s="33"/>
      <c r="CH49" s="33"/>
      <c r="CI49" s="33"/>
      <c r="CJ49" s="33"/>
      <c r="CK49" s="33"/>
      <c r="CL49" s="40">
        <v>689</v>
      </c>
      <c r="CM49" s="43">
        <v>687.9</v>
      </c>
      <c r="CN49" s="41">
        <v>1.4537</v>
      </c>
      <c r="CO49" s="33"/>
      <c r="CP49" s="40">
        <v>689</v>
      </c>
      <c r="CQ49" s="34">
        <v>0.75829999999999997</v>
      </c>
      <c r="CR49" s="41">
        <v>0.67700000000000005</v>
      </c>
      <c r="CS49" s="33"/>
      <c r="CT49" s="40">
        <v>689</v>
      </c>
      <c r="CU49" s="44">
        <v>384.33</v>
      </c>
      <c r="CV49" s="42">
        <v>9.1509999999999998</v>
      </c>
    </row>
    <row r="50" spans="4:100">
      <c r="D50" s="30">
        <v>4</v>
      </c>
      <c r="E50" s="31">
        <v>1.0443</v>
      </c>
      <c r="F50" s="32">
        <v>1043.5999999999999</v>
      </c>
      <c r="G50" s="33"/>
      <c r="H50" s="30">
        <v>4</v>
      </c>
      <c r="I50" s="34">
        <v>3.7841</v>
      </c>
      <c r="J50" s="35">
        <v>0.15892999999999999</v>
      </c>
      <c r="L50" s="30">
        <v>4</v>
      </c>
      <c r="M50" s="172">
        <v>8.6969999999999992</v>
      </c>
      <c r="N50" s="173">
        <v>0.11498</v>
      </c>
      <c r="P50" s="30">
        <v>4</v>
      </c>
      <c r="Q50" s="172">
        <v>4.3487</v>
      </c>
      <c r="R50" s="173">
        <v>0.18265000000000001</v>
      </c>
      <c r="T50" s="30">
        <v>4</v>
      </c>
      <c r="U50" s="172">
        <v>229.95</v>
      </c>
      <c r="V50" s="173">
        <v>5.4749999999999996</v>
      </c>
      <c r="X50" s="30">
        <v>4</v>
      </c>
      <c r="Y50" s="34">
        <v>3.8828</v>
      </c>
      <c r="Z50" s="35">
        <v>0.16308</v>
      </c>
      <c r="AA50" s="36"/>
      <c r="AB50" s="30">
        <v>4</v>
      </c>
      <c r="AC50" s="44">
        <v>257.55</v>
      </c>
      <c r="AD50" s="35">
        <v>6.1319999999999997</v>
      </c>
      <c r="AE50" s="36"/>
      <c r="AF50" s="30">
        <v>4</v>
      </c>
      <c r="AG50" s="34">
        <v>3.9451000000000001</v>
      </c>
      <c r="AH50" s="35">
        <v>0.16569</v>
      </c>
      <c r="AI50" s="35"/>
      <c r="AJ50" s="35">
        <v>0.10557999999999999</v>
      </c>
      <c r="AK50" s="998">
        <v>81</v>
      </c>
      <c r="AM50" s="30">
        <v>4</v>
      </c>
      <c r="AN50" s="34">
        <v>0.87019999999999997</v>
      </c>
      <c r="AO50" s="35">
        <v>0.97460000000000002</v>
      </c>
      <c r="AQ50" s="197">
        <v>0.69</v>
      </c>
      <c r="AR50" s="200">
        <v>73.569999999999993</v>
      </c>
      <c r="AS50" s="199">
        <v>689.8</v>
      </c>
      <c r="AZ50" s="197">
        <v>0.69</v>
      </c>
      <c r="BA50" s="198">
        <v>5.7432999999999996</v>
      </c>
      <c r="BB50" s="199">
        <v>0.17412</v>
      </c>
      <c r="BD50" s="197">
        <v>0.69</v>
      </c>
      <c r="BE50" s="198">
        <v>2.8717000000000001</v>
      </c>
      <c r="BF50" s="199">
        <v>0.12060999999999999</v>
      </c>
      <c r="BH50" s="197">
        <v>0.69</v>
      </c>
      <c r="BI50" s="198">
        <v>348.23</v>
      </c>
      <c r="BJ50" s="199">
        <v>8.2910000000000004</v>
      </c>
      <c r="BL50" s="197">
        <v>0.69</v>
      </c>
      <c r="BM50" s="198">
        <v>2.5640000000000001</v>
      </c>
      <c r="BN50" s="199">
        <v>0.10768999999999999</v>
      </c>
      <c r="BP50" s="197">
        <v>0.69</v>
      </c>
      <c r="BQ50" s="200">
        <v>390.02</v>
      </c>
      <c r="BR50" s="199">
        <v>9.2859999999999996</v>
      </c>
      <c r="BT50" s="197">
        <v>0.69</v>
      </c>
      <c r="BU50" s="201">
        <v>1.3171999999999999</v>
      </c>
      <c r="BV50" s="202">
        <v>1.4753000000000001</v>
      </c>
      <c r="BX50" s="37">
        <v>690</v>
      </c>
      <c r="BY50" s="38">
        <v>0.69020000000000004</v>
      </c>
      <c r="BZ50" s="39">
        <v>73.53</v>
      </c>
      <c r="CA50" s="33"/>
      <c r="CB50" s="37">
        <v>690</v>
      </c>
      <c r="CC50" s="38">
        <v>0.15887000000000001</v>
      </c>
      <c r="CD50" s="42">
        <v>6.2949999999999999</v>
      </c>
      <c r="CE50" s="33"/>
      <c r="CF50" s="33"/>
      <c r="CG50" s="33"/>
      <c r="CH50" s="33"/>
      <c r="CI50" s="33"/>
      <c r="CJ50" s="33"/>
      <c r="CK50" s="33"/>
      <c r="CL50" s="40">
        <v>690</v>
      </c>
      <c r="CM50" s="43">
        <v>688.9</v>
      </c>
      <c r="CN50" s="41">
        <v>1.4516</v>
      </c>
      <c r="CO50" s="33"/>
      <c r="CP50" s="40">
        <v>690</v>
      </c>
      <c r="CQ50" s="34">
        <v>0.75939999999999996</v>
      </c>
      <c r="CR50" s="41">
        <v>0.67800000000000005</v>
      </c>
      <c r="CS50" s="33"/>
      <c r="CT50" s="40">
        <v>690</v>
      </c>
      <c r="CU50" s="44">
        <v>383.77</v>
      </c>
      <c r="CV50" s="42">
        <v>9.1370000000000005</v>
      </c>
    </row>
    <row r="51" spans="4:100">
      <c r="D51" s="30">
        <v>4.0999999999999996</v>
      </c>
      <c r="E51" s="31">
        <v>1.0435000000000001</v>
      </c>
      <c r="F51" s="32">
        <v>1042.8</v>
      </c>
      <c r="G51" s="33"/>
      <c r="H51" s="30">
        <v>4.0999999999999996</v>
      </c>
      <c r="I51" s="34">
        <v>3.7841</v>
      </c>
      <c r="J51" s="35">
        <v>0.15892999999999999</v>
      </c>
      <c r="L51" s="30">
        <v>4.0999999999999996</v>
      </c>
      <c r="M51" s="172">
        <v>8.6910000000000007</v>
      </c>
      <c r="N51" s="173">
        <v>0.11506</v>
      </c>
      <c r="P51" s="30">
        <v>4.0999999999999996</v>
      </c>
      <c r="Q51" s="172">
        <v>4.3455000000000004</v>
      </c>
      <c r="R51" s="173">
        <v>0.18251000000000001</v>
      </c>
      <c r="T51" s="30">
        <v>4.0999999999999996</v>
      </c>
      <c r="U51" s="172">
        <v>230.12</v>
      </c>
      <c r="V51" s="173">
        <v>5.4790000000000001</v>
      </c>
      <c r="X51" s="30">
        <v>4.0999999999999996</v>
      </c>
      <c r="Y51" s="34">
        <v>3.8799000000000001</v>
      </c>
      <c r="Z51" s="35">
        <v>0.16295999999999999</v>
      </c>
      <c r="AA51" s="36"/>
      <c r="AB51" s="30">
        <v>4.0999999999999996</v>
      </c>
      <c r="AC51" s="44">
        <v>257.74</v>
      </c>
      <c r="AD51" s="35">
        <v>6.1369999999999996</v>
      </c>
      <c r="AE51" s="36"/>
      <c r="AF51" s="30">
        <v>4.0999999999999996</v>
      </c>
      <c r="AG51" s="34">
        <v>3.9422000000000001</v>
      </c>
      <c r="AH51" s="35">
        <v>0.16556999999999999</v>
      </c>
      <c r="AI51" s="35"/>
      <c r="AJ51" s="35">
        <v>0.10563</v>
      </c>
      <c r="AK51" s="998">
        <v>80.900000000000006</v>
      </c>
      <c r="AM51" s="30">
        <v>4.0999999999999996</v>
      </c>
      <c r="AN51" s="34">
        <v>0.87080000000000002</v>
      </c>
      <c r="AO51" s="35">
        <v>0.97529999999999994</v>
      </c>
      <c r="AQ51" s="197">
        <v>0.69099999999999995</v>
      </c>
      <c r="AR51" s="200">
        <v>73.28</v>
      </c>
      <c r="AS51" s="199">
        <v>690.8</v>
      </c>
      <c r="AZ51" s="197">
        <v>0.69099999999999995</v>
      </c>
      <c r="BA51" s="198">
        <v>5.7516999999999996</v>
      </c>
      <c r="BB51" s="199">
        <v>0.17385999999999999</v>
      </c>
      <c r="BD51" s="197">
        <v>0.69099999999999995</v>
      </c>
      <c r="BE51" s="198">
        <v>2.8757999999999999</v>
      </c>
      <c r="BF51" s="199">
        <v>0.12078</v>
      </c>
      <c r="BH51" s="197">
        <v>0.69099999999999995</v>
      </c>
      <c r="BI51" s="198">
        <v>347.73</v>
      </c>
      <c r="BJ51" s="199">
        <v>8.2789999999999999</v>
      </c>
      <c r="BL51" s="197">
        <v>0.69099999999999995</v>
      </c>
      <c r="BM51" s="198">
        <v>2.5676999999999999</v>
      </c>
      <c r="BN51" s="199">
        <v>0.10784000000000001</v>
      </c>
      <c r="BP51" s="197">
        <v>0.69099999999999995</v>
      </c>
      <c r="BQ51" s="200">
        <v>389.45</v>
      </c>
      <c r="BR51" s="199">
        <v>9.2729999999999997</v>
      </c>
      <c r="BT51" s="197">
        <v>0.69099999999999995</v>
      </c>
      <c r="BU51" s="201">
        <v>1.3152999999999999</v>
      </c>
      <c r="BV51" s="202">
        <v>1.4731000000000001</v>
      </c>
      <c r="BX51" s="37">
        <v>691</v>
      </c>
      <c r="BY51" s="38">
        <v>0.69120000000000004</v>
      </c>
      <c r="BZ51" s="39">
        <v>73.23</v>
      </c>
      <c r="CA51" s="33"/>
      <c r="CB51" s="37">
        <v>691</v>
      </c>
      <c r="CC51" s="38">
        <v>0.15887000000000001</v>
      </c>
      <c r="CD51" s="42">
        <v>6.2949999999999999</v>
      </c>
      <c r="CE51" s="33"/>
      <c r="CF51" s="33"/>
      <c r="CG51" s="33"/>
      <c r="CH51" s="33"/>
      <c r="CI51" s="33"/>
      <c r="CJ51" s="33"/>
      <c r="CK51" s="33"/>
      <c r="CL51" s="40">
        <v>691</v>
      </c>
      <c r="CM51" s="43">
        <v>689.9</v>
      </c>
      <c r="CN51" s="41">
        <v>1.4495</v>
      </c>
      <c r="CO51" s="33"/>
      <c r="CP51" s="40">
        <v>691</v>
      </c>
      <c r="CQ51" s="34">
        <v>0.76049999999999995</v>
      </c>
      <c r="CR51" s="41">
        <v>0.67900000000000005</v>
      </c>
      <c r="CS51" s="33"/>
      <c r="CT51" s="40">
        <v>691</v>
      </c>
      <c r="CU51" s="44">
        <v>383.21</v>
      </c>
      <c r="CV51" s="42">
        <v>9.1240000000000006</v>
      </c>
    </row>
    <row r="52" spans="4:100">
      <c r="D52" s="30">
        <v>4.2</v>
      </c>
      <c r="E52" s="31">
        <v>1.0427</v>
      </c>
      <c r="F52" s="32">
        <v>1042.0999999999999</v>
      </c>
      <c r="G52" s="33"/>
      <c r="H52" s="30">
        <v>4.2</v>
      </c>
      <c r="I52" s="34">
        <v>3.7841</v>
      </c>
      <c r="J52" s="35">
        <v>0.15892999999999999</v>
      </c>
      <c r="L52" s="30">
        <v>4.2</v>
      </c>
      <c r="M52" s="172">
        <v>8.6850000000000005</v>
      </c>
      <c r="N52" s="173">
        <v>0.11515</v>
      </c>
      <c r="P52" s="30">
        <v>4.2</v>
      </c>
      <c r="Q52" s="172">
        <v>4.3422999999999998</v>
      </c>
      <c r="R52" s="173">
        <v>0.18237999999999999</v>
      </c>
      <c r="T52" s="30">
        <v>4.2</v>
      </c>
      <c r="U52" s="172">
        <v>230.29</v>
      </c>
      <c r="V52" s="173">
        <v>5.4829999999999997</v>
      </c>
      <c r="X52" s="30">
        <v>4.2</v>
      </c>
      <c r="Y52" s="34">
        <v>3.8771</v>
      </c>
      <c r="Z52" s="35">
        <v>0.16284000000000001</v>
      </c>
      <c r="AA52" s="36"/>
      <c r="AB52" s="30">
        <v>4.2</v>
      </c>
      <c r="AC52" s="44">
        <v>257.93</v>
      </c>
      <c r="AD52" s="35">
        <v>6.141</v>
      </c>
      <c r="AE52" s="36"/>
      <c r="AF52" s="30">
        <v>4.2</v>
      </c>
      <c r="AG52" s="34">
        <v>3.9392999999999998</v>
      </c>
      <c r="AH52" s="35">
        <v>0.16545000000000001</v>
      </c>
      <c r="AI52" s="35"/>
      <c r="AJ52" s="35">
        <v>0.10568</v>
      </c>
      <c r="AK52" s="998">
        <v>80.8</v>
      </c>
      <c r="AM52" s="30">
        <v>4.2</v>
      </c>
      <c r="AN52" s="34">
        <v>0.87139999999999995</v>
      </c>
      <c r="AO52" s="35">
        <v>0.97599999999999998</v>
      </c>
      <c r="AQ52" s="197">
        <v>0.69199999999999995</v>
      </c>
      <c r="AR52" s="200">
        <v>72.98</v>
      </c>
      <c r="AS52" s="199">
        <v>691.8</v>
      </c>
      <c r="AZ52" s="197">
        <v>0.69199999999999995</v>
      </c>
      <c r="BA52" s="198">
        <v>5.76</v>
      </c>
      <c r="BB52" s="199">
        <v>0.17360999999999999</v>
      </c>
      <c r="BD52" s="197">
        <v>0.69199999999999995</v>
      </c>
      <c r="BE52" s="198">
        <v>2.88</v>
      </c>
      <c r="BF52" s="199">
        <v>0.12096</v>
      </c>
      <c r="BH52" s="197">
        <v>0.69199999999999995</v>
      </c>
      <c r="BI52" s="198">
        <v>347.22</v>
      </c>
      <c r="BJ52" s="199">
        <v>8.2669999999999995</v>
      </c>
      <c r="BL52" s="197">
        <v>0.69199999999999995</v>
      </c>
      <c r="BM52" s="198">
        <v>2.5714000000000001</v>
      </c>
      <c r="BN52" s="199">
        <v>0.108</v>
      </c>
      <c r="BP52" s="197">
        <v>0.69199999999999995</v>
      </c>
      <c r="BQ52" s="200">
        <v>388.89</v>
      </c>
      <c r="BR52" s="199">
        <v>9.2590000000000003</v>
      </c>
      <c r="BT52" s="197">
        <v>0.69199999999999995</v>
      </c>
      <c r="BU52" s="201">
        <v>1.3133999999999999</v>
      </c>
      <c r="BV52" s="202">
        <v>1.4710000000000001</v>
      </c>
      <c r="BX52" s="37">
        <v>692</v>
      </c>
      <c r="BY52" s="38">
        <v>0.69220000000000004</v>
      </c>
      <c r="BZ52" s="39">
        <v>72.930000000000007</v>
      </c>
      <c r="CA52" s="33"/>
      <c r="CB52" s="37">
        <v>692</v>
      </c>
      <c r="CC52" s="38">
        <v>0.15887000000000001</v>
      </c>
      <c r="CD52" s="42">
        <v>6.2949999999999999</v>
      </c>
      <c r="CE52" s="33"/>
      <c r="CF52" s="33"/>
      <c r="CG52" s="33"/>
      <c r="CH52" s="33"/>
      <c r="CI52" s="33"/>
      <c r="CJ52" s="33"/>
      <c r="CK52" s="33"/>
      <c r="CL52" s="40">
        <v>692</v>
      </c>
      <c r="CM52" s="43">
        <v>690.9</v>
      </c>
      <c r="CN52" s="41">
        <v>1.4474</v>
      </c>
      <c r="CO52" s="33"/>
      <c r="CP52" s="40">
        <v>692</v>
      </c>
      <c r="CQ52" s="34">
        <v>0.76160000000000005</v>
      </c>
      <c r="CR52" s="41">
        <v>0.68</v>
      </c>
      <c r="CS52" s="33"/>
      <c r="CT52" s="40">
        <v>692</v>
      </c>
      <c r="CU52" s="44">
        <v>382.66</v>
      </c>
      <c r="CV52" s="42">
        <v>9.1110000000000007</v>
      </c>
    </row>
    <row r="53" spans="4:100">
      <c r="D53" s="30">
        <v>4.3</v>
      </c>
      <c r="E53" s="31">
        <v>1.042</v>
      </c>
      <c r="F53" s="32">
        <v>1041.3</v>
      </c>
      <c r="G53" s="33"/>
      <c r="H53" s="30">
        <v>4.3</v>
      </c>
      <c r="I53" s="34">
        <v>3.7841</v>
      </c>
      <c r="J53" s="35">
        <v>0.15892999999999999</v>
      </c>
      <c r="L53" s="30">
        <v>4.3</v>
      </c>
      <c r="M53" s="172">
        <v>8.6780000000000008</v>
      </c>
      <c r="N53" s="173">
        <v>0.11523</v>
      </c>
      <c r="P53" s="30">
        <v>4.3</v>
      </c>
      <c r="Q53" s="172">
        <v>4.3391000000000002</v>
      </c>
      <c r="R53" s="173">
        <v>0.18224000000000001</v>
      </c>
      <c r="T53" s="30">
        <v>4.3</v>
      </c>
      <c r="U53" s="172">
        <v>230.46</v>
      </c>
      <c r="V53" s="173">
        <v>5.4870000000000001</v>
      </c>
      <c r="X53" s="30">
        <v>4.3</v>
      </c>
      <c r="Y53" s="34">
        <v>3.8742000000000001</v>
      </c>
      <c r="Z53" s="35">
        <v>0.16272</v>
      </c>
      <c r="AA53" s="36"/>
      <c r="AB53" s="30">
        <v>4.3</v>
      </c>
      <c r="AC53" s="44">
        <v>258.12</v>
      </c>
      <c r="AD53" s="35">
        <v>6.1459999999999999</v>
      </c>
      <c r="AE53" s="36"/>
      <c r="AF53" s="30">
        <v>4.3</v>
      </c>
      <c r="AG53" s="34">
        <v>3.9363999999999999</v>
      </c>
      <c r="AH53" s="35">
        <v>0.16533</v>
      </c>
      <c r="AI53" s="35"/>
      <c r="AJ53" s="35">
        <v>0.10573</v>
      </c>
      <c r="AK53" s="998">
        <v>80.7</v>
      </c>
      <c r="AM53" s="30">
        <v>4.3</v>
      </c>
      <c r="AN53" s="34">
        <v>0.87209999999999999</v>
      </c>
      <c r="AO53" s="35">
        <v>0.97670000000000001</v>
      </c>
      <c r="AQ53" s="197">
        <v>0.69299999999999995</v>
      </c>
      <c r="AR53" s="200">
        <v>72.680000000000007</v>
      </c>
      <c r="AS53" s="199">
        <v>692.8</v>
      </c>
      <c r="AZ53" s="197">
        <v>0.69299999999999995</v>
      </c>
      <c r="BA53" s="198">
        <v>5.7683</v>
      </c>
      <c r="BB53" s="199">
        <v>0.17335999999999999</v>
      </c>
      <c r="BD53" s="197">
        <v>0.69299999999999995</v>
      </c>
      <c r="BE53" s="198">
        <v>2.8841999999999999</v>
      </c>
      <c r="BF53" s="199">
        <v>0.12113</v>
      </c>
      <c r="BH53" s="197">
        <v>0.69299999999999995</v>
      </c>
      <c r="BI53" s="198">
        <v>346.72</v>
      </c>
      <c r="BJ53" s="199">
        <v>8.2550000000000097</v>
      </c>
      <c r="BL53" s="197">
        <v>0.69299999999999995</v>
      </c>
      <c r="BM53" s="198">
        <v>2.5750999999999999</v>
      </c>
      <c r="BN53" s="199">
        <v>0.10816000000000001</v>
      </c>
      <c r="BP53" s="197">
        <v>0.69299999999999995</v>
      </c>
      <c r="BQ53" s="200">
        <v>388.33</v>
      </c>
      <c r="BR53" s="199">
        <v>9.2460000000000004</v>
      </c>
      <c r="BT53" s="197">
        <v>0.69299999999999995</v>
      </c>
      <c r="BU53" s="201">
        <v>1.3115000000000001</v>
      </c>
      <c r="BV53" s="202">
        <v>1.4689000000000001</v>
      </c>
      <c r="BX53" s="37">
        <v>693</v>
      </c>
      <c r="BY53" s="38">
        <v>0.69320000000000004</v>
      </c>
      <c r="BZ53" s="39">
        <v>72.64</v>
      </c>
      <c r="CA53" s="33"/>
      <c r="CB53" s="37">
        <v>693</v>
      </c>
      <c r="CC53" s="38">
        <v>0.15887000000000001</v>
      </c>
      <c r="CD53" s="42">
        <v>6.2949999999999999</v>
      </c>
      <c r="CE53" s="33"/>
      <c r="CF53" s="33"/>
      <c r="CG53" s="33"/>
      <c r="CH53" s="33"/>
      <c r="CI53" s="33"/>
      <c r="CJ53" s="33"/>
      <c r="CK53" s="33"/>
      <c r="CL53" s="40">
        <v>693</v>
      </c>
      <c r="CM53" s="43">
        <v>691.9</v>
      </c>
      <c r="CN53" s="41">
        <v>1.4453</v>
      </c>
      <c r="CO53" s="33"/>
      <c r="CP53" s="40">
        <v>693</v>
      </c>
      <c r="CQ53" s="34">
        <v>0.76270000000000004</v>
      </c>
      <c r="CR53" s="41">
        <v>0.68100000000000005</v>
      </c>
      <c r="CS53" s="33"/>
      <c r="CT53" s="40">
        <v>693</v>
      </c>
      <c r="CU53" s="44">
        <v>382.1</v>
      </c>
      <c r="CV53" s="42">
        <v>9.0980000000000008</v>
      </c>
    </row>
    <row r="54" spans="4:100">
      <c r="D54" s="30">
        <v>4.4000000000000004</v>
      </c>
      <c r="E54" s="31">
        <v>1.0411999999999999</v>
      </c>
      <c r="F54" s="32">
        <v>1040.5</v>
      </c>
      <c r="G54" s="33"/>
      <c r="H54" s="30">
        <v>4.4000000000000004</v>
      </c>
      <c r="I54" s="34">
        <v>3.7841</v>
      </c>
      <c r="J54" s="35">
        <v>0.15892999999999999</v>
      </c>
      <c r="L54" s="30">
        <v>4.4000000000000004</v>
      </c>
      <c r="M54" s="172">
        <v>8.6720000000000006</v>
      </c>
      <c r="N54" s="173">
        <v>0.11532000000000001</v>
      </c>
      <c r="P54" s="30">
        <v>4.4000000000000004</v>
      </c>
      <c r="Q54" s="172">
        <v>4.3358999999999996</v>
      </c>
      <c r="R54" s="173">
        <v>0.18210999999999999</v>
      </c>
      <c r="T54" s="30">
        <v>4.4000000000000004</v>
      </c>
      <c r="U54" s="172">
        <v>230.63</v>
      </c>
      <c r="V54" s="173">
        <v>5.4909999999999997</v>
      </c>
      <c r="X54" s="30">
        <v>4.4000000000000004</v>
      </c>
      <c r="Y54" s="34">
        <v>3.8713000000000002</v>
      </c>
      <c r="Z54" s="35">
        <v>0.16259999999999999</v>
      </c>
      <c r="AA54" s="36"/>
      <c r="AB54" s="30">
        <v>4.4000000000000004</v>
      </c>
      <c r="AC54" s="44">
        <v>258.31</v>
      </c>
      <c r="AD54" s="35">
        <v>6.15</v>
      </c>
      <c r="AE54" s="36"/>
      <c r="AF54" s="30">
        <v>4.4000000000000004</v>
      </c>
      <c r="AG54" s="34">
        <v>3.9335</v>
      </c>
      <c r="AH54" s="35">
        <v>0.16521</v>
      </c>
      <c r="AI54" s="35"/>
      <c r="AJ54" s="35">
        <v>0.10578</v>
      </c>
      <c r="AK54" s="998">
        <v>80.599999999999994</v>
      </c>
      <c r="AM54" s="30">
        <v>4.4000000000000004</v>
      </c>
      <c r="AN54" s="34">
        <v>0.87270000000000003</v>
      </c>
      <c r="AO54" s="35">
        <v>0.97750000000000004</v>
      </c>
      <c r="AQ54" s="197">
        <v>0.69399999999999995</v>
      </c>
      <c r="AR54" s="200">
        <v>72.39</v>
      </c>
      <c r="AS54" s="199">
        <v>693.8</v>
      </c>
      <c r="AZ54" s="197">
        <v>0.69399999999999995</v>
      </c>
      <c r="BA54" s="198">
        <v>5.7766999999999999</v>
      </c>
      <c r="BB54" s="199">
        <v>0.17311000000000001</v>
      </c>
      <c r="BD54" s="197">
        <v>0.69399999999999995</v>
      </c>
      <c r="BE54" s="198">
        <v>2.8883000000000001</v>
      </c>
      <c r="BF54" s="199">
        <v>0.12131</v>
      </c>
      <c r="BH54" s="197">
        <v>0.69399999999999995</v>
      </c>
      <c r="BI54" s="198">
        <v>346.22</v>
      </c>
      <c r="BJ54" s="199">
        <v>8.2430000000000092</v>
      </c>
      <c r="BL54" s="197">
        <v>0.69399999999999995</v>
      </c>
      <c r="BM54" s="198">
        <v>2.5789</v>
      </c>
      <c r="BN54" s="199">
        <v>0.10831</v>
      </c>
      <c r="BP54" s="197">
        <v>0.69399999999999995</v>
      </c>
      <c r="BQ54" s="200">
        <v>387.77</v>
      </c>
      <c r="BR54" s="199">
        <v>9.2330000000000005</v>
      </c>
      <c r="BT54" s="197">
        <v>0.69399999999999995</v>
      </c>
      <c r="BU54" s="201">
        <v>1.3096000000000001</v>
      </c>
      <c r="BV54" s="202">
        <v>1.4668000000000001</v>
      </c>
      <c r="BX54" s="37">
        <v>694</v>
      </c>
      <c r="BY54" s="38">
        <v>0.69420000000000004</v>
      </c>
      <c r="BZ54" s="39">
        <v>72.34</v>
      </c>
      <c r="CA54" s="33"/>
      <c r="CB54" s="37">
        <v>694</v>
      </c>
      <c r="CC54" s="38">
        <v>0.15887000000000001</v>
      </c>
      <c r="CD54" s="42">
        <v>6.2949999999999999</v>
      </c>
      <c r="CE54" s="33"/>
      <c r="CF54" s="33"/>
      <c r="CG54" s="33"/>
      <c r="CH54" s="33"/>
      <c r="CI54" s="33"/>
      <c r="CJ54" s="33"/>
      <c r="CK54" s="33"/>
      <c r="CL54" s="40">
        <v>694</v>
      </c>
      <c r="CM54" s="43">
        <v>692.9</v>
      </c>
      <c r="CN54" s="41">
        <v>1.4432</v>
      </c>
      <c r="CO54" s="33"/>
      <c r="CP54" s="40">
        <v>694</v>
      </c>
      <c r="CQ54" s="34">
        <v>0.76380000000000003</v>
      </c>
      <c r="CR54" s="41">
        <v>0.68189999999999995</v>
      </c>
      <c r="CS54" s="33"/>
      <c r="CT54" s="40">
        <v>694</v>
      </c>
      <c r="CU54" s="44">
        <v>381.55</v>
      </c>
      <c r="CV54" s="42">
        <v>9.0850000000000009</v>
      </c>
    </row>
    <row r="55" spans="4:100">
      <c r="D55" s="30">
        <v>4.5</v>
      </c>
      <c r="E55" s="31">
        <v>1.0404</v>
      </c>
      <c r="F55" s="32">
        <v>1039.8</v>
      </c>
      <c r="G55" s="33"/>
      <c r="H55" s="30">
        <v>4.5</v>
      </c>
      <c r="I55" s="34">
        <v>3.7841</v>
      </c>
      <c r="J55" s="35">
        <v>0.15892999999999999</v>
      </c>
      <c r="L55" s="30">
        <v>4.5</v>
      </c>
      <c r="M55" s="172">
        <v>8.6649999999999991</v>
      </c>
      <c r="N55" s="173">
        <v>0.1154</v>
      </c>
      <c r="P55" s="30">
        <v>4.5</v>
      </c>
      <c r="Q55" s="172">
        <v>4.3327</v>
      </c>
      <c r="R55" s="173">
        <v>0.18196999999999999</v>
      </c>
      <c r="T55" s="30">
        <v>4.5</v>
      </c>
      <c r="U55" s="172">
        <v>230.8</v>
      </c>
      <c r="V55" s="173">
        <v>5.4950000000000001</v>
      </c>
      <c r="X55" s="30">
        <v>4.5</v>
      </c>
      <c r="Y55" s="34">
        <v>3.8685</v>
      </c>
      <c r="Z55" s="35">
        <v>0.16248000000000001</v>
      </c>
      <c r="AA55" s="36"/>
      <c r="AB55" s="30">
        <v>4.5</v>
      </c>
      <c r="AC55" s="44">
        <v>258.5</v>
      </c>
      <c r="AD55" s="35">
        <v>6.1550000000000002</v>
      </c>
      <c r="AE55" s="36"/>
      <c r="AF55" s="30">
        <v>4.5</v>
      </c>
      <c r="AG55" s="34">
        <v>3.9306000000000001</v>
      </c>
      <c r="AH55" s="35">
        <v>0.16508</v>
      </c>
      <c r="AI55" s="35"/>
      <c r="AJ55" s="35">
        <v>0.10582999999999999</v>
      </c>
      <c r="AK55" s="998">
        <v>80.5</v>
      </c>
      <c r="AM55" s="30">
        <v>4.5</v>
      </c>
      <c r="AN55" s="34">
        <v>0.87339999999999995</v>
      </c>
      <c r="AO55" s="35">
        <v>0.97819999999999996</v>
      </c>
      <c r="AQ55" s="197">
        <v>0.69499999999999995</v>
      </c>
      <c r="AR55" s="200">
        <v>72.099999999999994</v>
      </c>
      <c r="AS55" s="199">
        <v>694.8</v>
      </c>
      <c r="AZ55" s="197">
        <v>0.69499999999999995</v>
      </c>
      <c r="BA55" s="198">
        <v>5.7850000000000001</v>
      </c>
      <c r="BB55" s="199">
        <v>0.17286000000000001</v>
      </c>
      <c r="BD55" s="197">
        <v>0.69499999999999995</v>
      </c>
      <c r="BE55" s="198">
        <v>2.8925000000000001</v>
      </c>
      <c r="BF55" s="199">
        <v>0.12149</v>
      </c>
      <c r="BH55" s="197">
        <v>0.69499999999999995</v>
      </c>
      <c r="BI55" s="198">
        <v>345.72</v>
      </c>
      <c r="BJ55" s="199">
        <v>8.2310000000000105</v>
      </c>
      <c r="BL55" s="197">
        <v>0.69499999999999995</v>
      </c>
      <c r="BM55" s="198">
        <v>2.5825999999999998</v>
      </c>
      <c r="BN55" s="199">
        <v>0.10847</v>
      </c>
      <c r="BP55" s="197">
        <v>0.69499999999999995</v>
      </c>
      <c r="BQ55" s="200">
        <v>387.21</v>
      </c>
      <c r="BR55" s="199">
        <v>9.2189999999999994</v>
      </c>
      <c r="BT55" s="197">
        <v>0.69499999999999995</v>
      </c>
      <c r="BU55" s="201">
        <v>1.3077000000000001</v>
      </c>
      <c r="BV55" s="202">
        <v>1.4645999999999999</v>
      </c>
      <c r="BX55" s="37">
        <v>695</v>
      </c>
      <c r="BY55" s="38">
        <v>0.69520000000000004</v>
      </c>
      <c r="BZ55" s="39">
        <v>72.05</v>
      </c>
      <c r="CA55" s="33"/>
      <c r="CB55" s="37">
        <v>695</v>
      </c>
      <c r="CC55" s="38">
        <v>0.15887000000000001</v>
      </c>
      <c r="CD55" s="42">
        <v>6.2949999999999999</v>
      </c>
      <c r="CE55" s="33"/>
      <c r="CF55" s="33"/>
      <c r="CG55" s="33"/>
      <c r="CH55" s="33"/>
      <c r="CI55" s="33"/>
      <c r="CJ55" s="33"/>
      <c r="CK55" s="33"/>
      <c r="CL55" s="40">
        <v>695</v>
      </c>
      <c r="CM55" s="43">
        <v>693.9</v>
      </c>
      <c r="CN55" s="41">
        <v>1.4412</v>
      </c>
      <c r="CO55" s="33"/>
      <c r="CP55" s="40">
        <v>695</v>
      </c>
      <c r="CQ55" s="34">
        <v>0.76490000000000002</v>
      </c>
      <c r="CR55" s="41">
        <v>0.68289999999999995</v>
      </c>
      <c r="CS55" s="33"/>
      <c r="CT55" s="40">
        <v>695</v>
      </c>
      <c r="CU55" s="44">
        <v>381</v>
      </c>
      <c r="CV55" s="42">
        <v>9.0709999999999997</v>
      </c>
    </row>
    <row r="56" spans="4:100">
      <c r="D56" s="30">
        <v>4.5999999999999996</v>
      </c>
      <c r="E56" s="31">
        <v>1.0397000000000001</v>
      </c>
      <c r="F56" s="32">
        <v>1039</v>
      </c>
      <c r="G56" s="33"/>
      <c r="H56" s="30">
        <v>4.5999999999999996</v>
      </c>
      <c r="I56" s="34">
        <v>3.7841</v>
      </c>
      <c r="J56" s="35">
        <v>0.15892999999999999</v>
      </c>
      <c r="L56" s="30">
        <v>4.5999999999999996</v>
      </c>
      <c r="M56" s="172">
        <v>8.6590000000000007</v>
      </c>
      <c r="N56" s="173">
        <v>0.11549</v>
      </c>
      <c r="P56" s="30">
        <v>4.5999999999999996</v>
      </c>
      <c r="Q56" s="172">
        <v>4.3295000000000003</v>
      </c>
      <c r="R56" s="173">
        <v>0.18184</v>
      </c>
      <c r="T56" s="30">
        <v>4.5999999999999996</v>
      </c>
      <c r="U56" s="172">
        <v>230.97</v>
      </c>
      <c r="V56" s="173">
        <v>5.4989999999999997</v>
      </c>
      <c r="X56" s="30">
        <v>4.5999999999999996</v>
      </c>
      <c r="Y56" s="34">
        <v>3.8656000000000001</v>
      </c>
      <c r="Z56" s="35">
        <v>0.16236</v>
      </c>
      <c r="AA56" s="36"/>
      <c r="AB56" s="30">
        <v>4.5999999999999996</v>
      </c>
      <c r="AC56" s="44">
        <v>258.69</v>
      </c>
      <c r="AD56" s="35">
        <v>6.1589999999999998</v>
      </c>
      <c r="AE56" s="36"/>
      <c r="AF56" s="30">
        <v>4.5999999999999996</v>
      </c>
      <c r="AG56" s="34">
        <v>3.9277000000000002</v>
      </c>
      <c r="AH56" s="35">
        <v>0.16496</v>
      </c>
      <c r="AI56" s="35"/>
      <c r="AJ56" s="35">
        <v>0.10588</v>
      </c>
      <c r="AK56" s="998">
        <v>80.400000000000006</v>
      </c>
      <c r="AM56" s="30">
        <v>4.5999999999999996</v>
      </c>
      <c r="AN56" s="34">
        <v>0.874</v>
      </c>
      <c r="AO56" s="35">
        <v>0.97889999999999999</v>
      </c>
      <c r="AQ56" s="197">
        <v>0.69599999999999995</v>
      </c>
      <c r="AR56" s="200">
        <v>71.8</v>
      </c>
      <c r="AS56" s="199">
        <v>695.8</v>
      </c>
      <c r="AZ56" s="197">
        <v>0.69599999999999995</v>
      </c>
      <c r="BA56" s="198">
        <v>5.7933000000000003</v>
      </c>
      <c r="BB56" s="199">
        <v>0.17261000000000001</v>
      </c>
      <c r="BD56" s="197">
        <v>0.69599999999999995</v>
      </c>
      <c r="BE56" s="198">
        <v>2.8967000000000001</v>
      </c>
      <c r="BF56" s="199">
        <v>0.12166</v>
      </c>
      <c r="BH56" s="197">
        <v>0.69599999999999995</v>
      </c>
      <c r="BI56" s="198">
        <v>345.22</v>
      </c>
      <c r="BJ56" s="199">
        <v>8.2200000000000006</v>
      </c>
      <c r="BL56" s="197">
        <v>0.69599999999999995</v>
      </c>
      <c r="BM56" s="198">
        <v>2.5863</v>
      </c>
      <c r="BN56" s="199">
        <v>0.10863</v>
      </c>
      <c r="BP56" s="197">
        <v>0.69599999999999995</v>
      </c>
      <c r="BQ56" s="200">
        <v>386.65</v>
      </c>
      <c r="BR56" s="199">
        <v>9.2059999999999995</v>
      </c>
      <c r="BT56" s="197">
        <v>0.69599999999999995</v>
      </c>
      <c r="BU56" s="201">
        <v>1.3058000000000001</v>
      </c>
      <c r="BV56" s="202">
        <v>1.4624999999999999</v>
      </c>
      <c r="BX56" s="37">
        <v>696</v>
      </c>
      <c r="BY56" s="38">
        <v>0.69620000000000004</v>
      </c>
      <c r="BZ56" s="39">
        <v>71.760000000000005</v>
      </c>
      <c r="CA56" s="33"/>
      <c r="CB56" s="37">
        <v>696</v>
      </c>
      <c r="CC56" s="38">
        <v>0.15887000000000001</v>
      </c>
      <c r="CD56" s="42">
        <v>6.2949999999999999</v>
      </c>
      <c r="CE56" s="33"/>
      <c r="CF56" s="33"/>
      <c r="CG56" s="33"/>
      <c r="CH56" s="33"/>
      <c r="CI56" s="33"/>
      <c r="CJ56" s="33"/>
      <c r="CK56" s="33"/>
      <c r="CL56" s="40">
        <v>696</v>
      </c>
      <c r="CM56" s="43">
        <v>694.9</v>
      </c>
      <c r="CN56" s="41">
        <v>1.4391</v>
      </c>
      <c r="CO56" s="33"/>
      <c r="CP56" s="40">
        <v>696</v>
      </c>
      <c r="CQ56" s="34">
        <v>0.76600000000000001</v>
      </c>
      <c r="CR56" s="41">
        <v>0.68389999999999995</v>
      </c>
      <c r="CS56" s="33"/>
      <c r="CT56" s="40">
        <v>696</v>
      </c>
      <c r="CU56" s="44">
        <v>380.45</v>
      </c>
      <c r="CV56" s="42">
        <v>9.0579999999999998</v>
      </c>
    </row>
    <row r="57" spans="4:100">
      <c r="D57" s="30">
        <v>4.7</v>
      </c>
      <c r="E57" s="31">
        <v>1.0388999999999999</v>
      </c>
      <c r="F57" s="32">
        <v>1038.3</v>
      </c>
      <c r="G57" s="33"/>
      <c r="H57" s="30">
        <v>4.7</v>
      </c>
      <c r="I57" s="34">
        <v>3.7841</v>
      </c>
      <c r="J57" s="35">
        <v>0.15892999999999999</v>
      </c>
      <c r="L57" s="30">
        <v>4.7</v>
      </c>
      <c r="M57" s="172">
        <v>8.6530000000000005</v>
      </c>
      <c r="N57" s="173">
        <v>0.11557000000000001</v>
      </c>
      <c r="P57" s="30">
        <v>4.7</v>
      </c>
      <c r="Q57" s="172">
        <v>4.3262999999999998</v>
      </c>
      <c r="R57" s="173">
        <v>0.18171000000000001</v>
      </c>
      <c r="T57" s="30">
        <v>4.7</v>
      </c>
      <c r="U57" s="172">
        <v>231.14</v>
      </c>
      <c r="V57" s="173">
        <v>5.5030000000000099</v>
      </c>
      <c r="X57" s="30">
        <v>4.7</v>
      </c>
      <c r="Y57" s="34">
        <v>3.8628</v>
      </c>
      <c r="Z57" s="35">
        <v>0.16224</v>
      </c>
      <c r="AA57" s="36"/>
      <c r="AB57" s="30">
        <v>4.7</v>
      </c>
      <c r="AC57" s="44">
        <v>258.88</v>
      </c>
      <c r="AD57" s="35">
        <v>6.1639999999999997</v>
      </c>
      <c r="AE57" s="36"/>
      <c r="AF57" s="30">
        <v>4.7</v>
      </c>
      <c r="AG57" s="34">
        <v>3.9247999999999998</v>
      </c>
      <c r="AH57" s="35">
        <v>0.16483999999999999</v>
      </c>
      <c r="AI57" s="35"/>
      <c r="AJ57" s="35">
        <v>0.10593</v>
      </c>
      <c r="AK57" s="998">
        <v>80.3</v>
      </c>
      <c r="AM57" s="30">
        <v>4.7</v>
      </c>
      <c r="AN57" s="34">
        <v>0.87470000000000003</v>
      </c>
      <c r="AO57" s="35">
        <v>0.97960000000000003</v>
      </c>
      <c r="AQ57" s="197">
        <v>0.69699999999999995</v>
      </c>
      <c r="AR57" s="200">
        <v>71.510000000000005</v>
      </c>
      <c r="AS57" s="199">
        <v>696.8</v>
      </c>
      <c r="AZ57" s="197">
        <v>0.69699999999999995</v>
      </c>
      <c r="BA57" s="198">
        <v>5.8017000000000003</v>
      </c>
      <c r="BB57" s="199">
        <v>0.17236000000000001</v>
      </c>
      <c r="BD57" s="197">
        <v>0.69699999999999995</v>
      </c>
      <c r="BE57" s="198">
        <v>2.9007999999999998</v>
      </c>
      <c r="BF57" s="199">
        <v>0.12184</v>
      </c>
      <c r="BH57" s="197">
        <v>0.69699999999999995</v>
      </c>
      <c r="BI57" s="198">
        <v>344.73</v>
      </c>
      <c r="BJ57" s="199">
        <v>8.2080000000000002</v>
      </c>
      <c r="BL57" s="197">
        <v>0.69699999999999995</v>
      </c>
      <c r="BM57" s="198">
        <v>2.59</v>
      </c>
      <c r="BN57" s="199">
        <v>0.10878</v>
      </c>
      <c r="BP57" s="197">
        <v>0.69699999999999995</v>
      </c>
      <c r="BQ57" s="200">
        <v>386.09</v>
      </c>
      <c r="BR57" s="199">
        <v>9.1929999999999996</v>
      </c>
      <c r="BT57" s="197">
        <v>0.69699999999999995</v>
      </c>
      <c r="BU57" s="201">
        <v>1.304</v>
      </c>
      <c r="BV57" s="202">
        <v>1.4603999999999999</v>
      </c>
      <c r="BX57" s="37">
        <v>697</v>
      </c>
      <c r="BY57" s="38">
        <v>0.69720000000000004</v>
      </c>
      <c r="BZ57" s="39">
        <v>71.459999999999994</v>
      </c>
      <c r="CA57" s="33"/>
      <c r="CB57" s="37">
        <v>697</v>
      </c>
      <c r="CC57" s="38">
        <v>0.15887000000000001</v>
      </c>
      <c r="CD57" s="42">
        <v>6.2949999999999999</v>
      </c>
      <c r="CE57" s="33"/>
      <c r="CF57" s="33"/>
      <c r="CG57" s="33"/>
      <c r="CH57" s="33"/>
      <c r="CI57" s="33"/>
      <c r="CJ57" s="33"/>
      <c r="CK57" s="33"/>
      <c r="CL57" s="40">
        <v>697</v>
      </c>
      <c r="CM57" s="43">
        <v>695.9</v>
      </c>
      <c r="CN57" s="41">
        <v>1.4370000000000001</v>
      </c>
      <c r="CO57" s="33"/>
      <c r="CP57" s="40">
        <v>697</v>
      </c>
      <c r="CQ57" s="34">
        <v>0.7671</v>
      </c>
      <c r="CR57" s="41">
        <v>0.68489999999999995</v>
      </c>
      <c r="CS57" s="33"/>
      <c r="CT57" s="40">
        <v>697</v>
      </c>
      <c r="CU57" s="44">
        <v>379.9</v>
      </c>
      <c r="CV57" s="42">
        <v>9.0449999999999999</v>
      </c>
    </row>
    <row r="58" spans="4:100">
      <c r="D58" s="30">
        <v>4.8</v>
      </c>
      <c r="E58" s="31">
        <v>1.0382</v>
      </c>
      <c r="F58" s="32">
        <v>1037.5</v>
      </c>
      <c r="G58" s="33"/>
      <c r="H58" s="30">
        <v>4.8</v>
      </c>
      <c r="I58" s="34">
        <v>3.7841</v>
      </c>
      <c r="J58" s="35">
        <v>0.15892999999999999</v>
      </c>
      <c r="L58" s="30">
        <v>4.8</v>
      </c>
      <c r="M58" s="172">
        <v>8.6460000000000008</v>
      </c>
      <c r="N58" s="173">
        <v>0.11566</v>
      </c>
      <c r="P58" s="30">
        <v>4.8</v>
      </c>
      <c r="Q58" s="172">
        <v>4.3231999999999999</v>
      </c>
      <c r="R58" s="173">
        <v>0.18157000000000001</v>
      </c>
      <c r="T58" s="30">
        <v>4.8</v>
      </c>
      <c r="U58" s="172">
        <v>231.31</v>
      </c>
      <c r="V58" s="173">
        <v>5.5070000000000103</v>
      </c>
      <c r="X58" s="30">
        <v>4.8</v>
      </c>
      <c r="Y58" s="34">
        <v>3.86</v>
      </c>
      <c r="Z58" s="35">
        <v>0.16211999999999999</v>
      </c>
      <c r="AA58" s="36"/>
      <c r="AB58" s="30">
        <v>4.8</v>
      </c>
      <c r="AC58" s="44">
        <v>259.07</v>
      </c>
      <c r="AD58" s="35">
        <v>6.1680000000000001</v>
      </c>
      <c r="AE58" s="36"/>
      <c r="AF58" s="30">
        <v>4.8</v>
      </c>
      <c r="AG58" s="34">
        <v>3.9218999999999999</v>
      </c>
      <c r="AH58" s="35">
        <v>0.16472000000000001</v>
      </c>
      <c r="AI58" s="35"/>
      <c r="AJ58" s="35">
        <v>0.10598</v>
      </c>
      <c r="AK58" s="998">
        <v>80.2</v>
      </c>
      <c r="AM58" s="30">
        <v>4.8</v>
      </c>
      <c r="AN58" s="34">
        <v>0.87529999999999997</v>
      </c>
      <c r="AO58" s="35">
        <v>0.98029999999999995</v>
      </c>
      <c r="AQ58" s="197">
        <v>0.69799999999999995</v>
      </c>
      <c r="AR58" s="200">
        <v>71.22</v>
      </c>
      <c r="AS58" s="199">
        <v>697.8</v>
      </c>
      <c r="AZ58" s="197">
        <v>0.69799999999999995</v>
      </c>
      <c r="BA58" s="198">
        <v>5.81</v>
      </c>
      <c r="BB58" s="199">
        <v>0.17212</v>
      </c>
      <c r="BD58" s="197">
        <v>0.69799999999999995</v>
      </c>
      <c r="BE58" s="198">
        <v>2.9049999999999998</v>
      </c>
      <c r="BF58" s="199">
        <v>0.12200999999999999</v>
      </c>
      <c r="BH58" s="197">
        <v>0.69799999999999995</v>
      </c>
      <c r="BI58" s="198">
        <v>344.23</v>
      </c>
      <c r="BJ58" s="199">
        <v>8.1959999999999997</v>
      </c>
      <c r="BL58" s="197">
        <v>0.69799999999999995</v>
      </c>
      <c r="BM58" s="198">
        <v>2.5937999999999999</v>
      </c>
      <c r="BN58" s="199">
        <v>0.10894</v>
      </c>
      <c r="BP58" s="197">
        <v>0.69799999999999995</v>
      </c>
      <c r="BQ58" s="200">
        <v>385.54</v>
      </c>
      <c r="BR58" s="199">
        <v>9.18</v>
      </c>
      <c r="BT58" s="197">
        <v>0.69799999999999995</v>
      </c>
      <c r="BU58" s="201">
        <v>1.3021</v>
      </c>
      <c r="BV58" s="202">
        <v>1.4582999999999999</v>
      </c>
      <c r="BX58" s="37">
        <v>698</v>
      </c>
      <c r="BY58" s="38">
        <v>0.69820000000000004</v>
      </c>
      <c r="BZ58" s="39">
        <v>71.17</v>
      </c>
      <c r="CA58" s="33"/>
      <c r="CB58" s="37">
        <v>698</v>
      </c>
      <c r="CC58" s="38">
        <v>0.15887000000000001</v>
      </c>
      <c r="CD58" s="42">
        <v>6.2939999999999996</v>
      </c>
      <c r="CE58" s="33"/>
      <c r="CF58" s="33"/>
      <c r="CG58" s="33"/>
      <c r="CH58" s="33"/>
      <c r="CI58" s="33"/>
      <c r="CJ58" s="33"/>
      <c r="CK58" s="33"/>
      <c r="CL58" s="40">
        <v>698</v>
      </c>
      <c r="CM58" s="43">
        <v>696.9</v>
      </c>
      <c r="CN58" s="41">
        <v>1.4350000000000001</v>
      </c>
      <c r="CO58" s="33"/>
      <c r="CP58" s="40">
        <v>698</v>
      </c>
      <c r="CQ58" s="34">
        <v>0.76819999999999999</v>
      </c>
      <c r="CR58" s="41">
        <v>0.68589999999999995</v>
      </c>
      <c r="CS58" s="33"/>
      <c r="CT58" s="40">
        <v>698</v>
      </c>
      <c r="CU58" s="44">
        <v>379.36</v>
      </c>
      <c r="CV58" s="42">
        <v>9.032</v>
      </c>
    </row>
    <row r="59" spans="4:100">
      <c r="D59" s="30">
        <v>4.9000000000000004</v>
      </c>
      <c r="E59" s="31">
        <v>1.0374000000000001</v>
      </c>
      <c r="F59" s="32">
        <v>1036.7</v>
      </c>
      <c r="G59" s="33"/>
      <c r="H59" s="30">
        <v>4.9000000000000004</v>
      </c>
      <c r="I59" s="34">
        <v>3.7841</v>
      </c>
      <c r="J59" s="35">
        <v>0.15892999999999999</v>
      </c>
      <c r="L59" s="30">
        <v>4.9000000000000004</v>
      </c>
      <c r="M59" s="172">
        <v>8.64</v>
      </c>
      <c r="N59" s="173">
        <v>0.11574</v>
      </c>
      <c r="P59" s="30">
        <v>4.9000000000000004</v>
      </c>
      <c r="Q59" s="172">
        <v>4.32</v>
      </c>
      <c r="R59" s="173">
        <v>0.18143999999999999</v>
      </c>
      <c r="T59" s="30">
        <v>4.9000000000000004</v>
      </c>
      <c r="U59" s="172">
        <v>231.48</v>
      </c>
      <c r="V59" s="173">
        <v>5.5110000000000303</v>
      </c>
      <c r="X59" s="30">
        <v>4.9000000000000004</v>
      </c>
      <c r="Y59" s="34">
        <v>3.8571</v>
      </c>
      <c r="Z59" s="35">
        <v>0.16200000000000001</v>
      </c>
      <c r="AA59" s="36"/>
      <c r="AB59" s="30">
        <v>4.9000000000000004</v>
      </c>
      <c r="AC59" s="44">
        <v>259.26</v>
      </c>
      <c r="AD59" s="35">
        <v>6.173</v>
      </c>
      <c r="AE59" s="36"/>
      <c r="AF59" s="30">
        <v>4.9000000000000004</v>
      </c>
      <c r="AG59" s="34">
        <v>3.919</v>
      </c>
      <c r="AH59" s="35">
        <v>0.1646</v>
      </c>
      <c r="AI59" s="35"/>
      <c r="AJ59" s="35">
        <v>0.10603</v>
      </c>
      <c r="AK59" s="998">
        <v>80.099999999999994</v>
      </c>
      <c r="AM59" s="30">
        <v>4.9000000000000004</v>
      </c>
      <c r="AN59" s="34">
        <v>0.87590000000000001</v>
      </c>
      <c r="AO59" s="35">
        <v>0.98109999999999997</v>
      </c>
      <c r="AQ59" s="197">
        <v>0.69899999999999995</v>
      </c>
      <c r="AR59" s="200">
        <v>70.930000000000007</v>
      </c>
      <c r="AS59" s="199">
        <v>698.8</v>
      </c>
      <c r="AZ59" s="197">
        <v>0.69899999999999995</v>
      </c>
      <c r="BA59" s="198">
        <v>5.8183999999999996</v>
      </c>
      <c r="BB59" s="199">
        <v>0.17186999999999999</v>
      </c>
      <c r="BD59" s="197">
        <v>0.69899999999999995</v>
      </c>
      <c r="BE59" s="198">
        <v>2.9091999999999998</v>
      </c>
      <c r="BF59" s="199">
        <v>0.12218999999999999</v>
      </c>
      <c r="BH59" s="197">
        <v>0.69899999999999995</v>
      </c>
      <c r="BI59" s="198">
        <v>343.74</v>
      </c>
      <c r="BJ59" s="199">
        <v>8.1839999999999993</v>
      </c>
      <c r="BL59" s="197">
        <v>0.69899999999999995</v>
      </c>
      <c r="BM59" s="198">
        <v>2.5975000000000001</v>
      </c>
      <c r="BN59" s="199">
        <v>0.10909000000000001</v>
      </c>
      <c r="BP59" s="197">
        <v>0.69899999999999995</v>
      </c>
      <c r="BQ59" s="200">
        <v>384.99</v>
      </c>
      <c r="BR59" s="199">
        <v>9.1660000000000004</v>
      </c>
      <c r="BT59" s="197">
        <v>0.69899999999999995</v>
      </c>
      <c r="BU59" s="201">
        <v>1.3002</v>
      </c>
      <c r="BV59" s="202">
        <v>1.4562999999999999</v>
      </c>
      <c r="BX59" s="37">
        <v>699</v>
      </c>
      <c r="BY59" s="38">
        <v>0.69920000000000004</v>
      </c>
      <c r="BZ59" s="39">
        <v>70.88</v>
      </c>
      <c r="CA59" s="33"/>
      <c r="CB59" s="37">
        <v>699</v>
      </c>
      <c r="CC59" s="38">
        <v>0.15887000000000001</v>
      </c>
      <c r="CD59" s="42">
        <v>6.2939999999999996</v>
      </c>
      <c r="CE59" s="33"/>
      <c r="CF59" s="33"/>
      <c r="CG59" s="33"/>
      <c r="CH59" s="33"/>
      <c r="CI59" s="33"/>
      <c r="CJ59" s="33"/>
      <c r="CK59" s="33"/>
      <c r="CL59" s="40">
        <v>699</v>
      </c>
      <c r="CM59" s="43">
        <v>697.9</v>
      </c>
      <c r="CN59" s="41">
        <v>1.4329000000000001</v>
      </c>
      <c r="CO59" s="33"/>
      <c r="CP59" s="40">
        <v>699</v>
      </c>
      <c r="CQ59" s="34">
        <v>0.76929999999999998</v>
      </c>
      <c r="CR59" s="41">
        <v>0.68689999999999996</v>
      </c>
      <c r="CS59" s="33"/>
      <c r="CT59" s="40">
        <v>699</v>
      </c>
      <c r="CU59" s="44">
        <v>378.81</v>
      </c>
      <c r="CV59" s="42">
        <v>9.0190000000000001</v>
      </c>
    </row>
    <row r="60" spans="4:100">
      <c r="D60" s="30">
        <v>5</v>
      </c>
      <c r="E60" s="31">
        <v>1.0366</v>
      </c>
      <c r="F60" s="32">
        <v>1036</v>
      </c>
      <c r="G60" s="33"/>
      <c r="H60" s="30">
        <v>5</v>
      </c>
      <c r="I60" s="34">
        <v>3.7841</v>
      </c>
      <c r="J60" s="35">
        <v>0.15892999999999999</v>
      </c>
      <c r="L60" s="30">
        <v>5</v>
      </c>
      <c r="M60" s="172">
        <v>8.6340000000000003</v>
      </c>
      <c r="N60" s="173">
        <v>0.11583</v>
      </c>
      <c r="P60" s="30">
        <v>5</v>
      </c>
      <c r="Q60" s="172">
        <v>4.3167999999999997</v>
      </c>
      <c r="R60" s="173">
        <v>0.18131</v>
      </c>
      <c r="T60" s="30">
        <v>5</v>
      </c>
      <c r="U60" s="172">
        <v>231.65</v>
      </c>
      <c r="V60" s="173">
        <v>5.516</v>
      </c>
      <c r="X60" s="30">
        <v>5</v>
      </c>
      <c r="Y60" s="34">
        <v>3.8542999999999998</v>
      </c>
      <c r="Z60" s="35">
        <v>0.16188</v>
      </c>
      <c r="AA60" s="36"/>
      <c r="AB60" s="30">
        <v>5</v>
      </c>
      <c r="AC60" s="44">
        <v>259.45</v>
      </c>
      <c r="AD60" s="35">
        <v>6.1769999999999996</v>
      </c>
      <c r="AE60" s="36"/>
      <c r="AF60" s="30">
        <v>5</v>
      </c>
      <c r="AG60" s="34">
        <v>3.9161999999999999</v>
      </c>
      <c r="AH60" s="35">
        <v>0.16447999999999999</v>
      </c>
      <c r="AI60" s="35"/>
      <c r="AJ60" s="35">
        <v>0.10607999999999999</v>
      </c>
      <c r="AK60" s="998">
        <v>80</v>
      </c>
      <c r="AM60" s="30">
        <v>5</v>
      </c>
      <c r="AN60" s="34">
        <v>0.87660000000000005</v>
      </c>
      <c r="AO60" s="35">
        <v>0.98180000000000001</v>
      </c>
      <c r="AQ60" s="197">
        <v>0.7</v>
      </c>
      <c r="AR60" s="200">
        <v>70.64</v>
      </c>
      <c r="AS60" s="199">
        <v>699.8</v>
      </c>
      <c r="AZ60" s="197">
        <v>0.7</v>
      </c>
      <c r="BA60" s="198">
        <v>5.8266999999999998</v>
      </c>
      <c r="BB60" s="199">
        <v>0.17161999999999999</v>
      </c>
      <c r="BD60" s="197">
        <v>0.7</v>
      </c>
      <c r="BE60" s="198">
        <v>2.9133</v>
      </c>
      <c r="BF60" s="199">
        <v>0.12236</v>
      </c>
      <c r="BH60" s="197">
        <v>0.7</v>
      </c>
      <c r="BI60" s="198">
        <v>343.25</v>
      </c>
      <c r="BJ60" s="199">
        <v>8.173</v>
      </c>
      <c r="BL60" s="197">
        <v>0.7</v>
      </c>
      <c r="BM60" s="198">
        <v>2.6012</v>
      </c>
      <c r="BN60" s="199">
        <v>0.10925</v>
      </c>
      <c r="BP60" s="197">
        <v>0.7</v>
      </c>
      <c r="BQ60" s="200">
        <v>384.44</v>
      </c>
      <c r="BR60" s="199">
        <v>9.1530000000000005</v>
      </c>
      <c r="BT60" s="197">
        <v>0.7</v>
      </c>
      <c r="BU60" s="201">
        <v>1.2984</v>
      </c>
      <c r="BV60" s="202">
        <v>1.4541999999999999</v>
      </c>
      <c r="BX60" s="37">
        <v>700</v>
      </c>
      <c r="BY60" s="38">
        <v>0.70020000000000004</v>
      </c>
      <c r="BZ60" s="39">
        <v>70.59</v>
      </c>
      <c r="CA60" s="33"/>
      <c r="CB60" s="37">
        <v>700</v>
      </c>
      <c r="CC60" s="38">
        <v>0.15887000000000001</v>
      </c>
      <c r="CD60" s="42">
        <v>6.2939999999999996</v>
      </c>
      <c r="CE60" s="33"/>
      <c r="CF60" s="33"/>
      <c r="CG60" s="33"/>
      <c r="CH60" s="33"/>
      <c r="CI60" s="33"/>
      <c r="CJ60" s="33"/>
      <c r="CK60" s="33"/>
      <c r="CL60" s="40">
        <v>700</v>
      </c>
      <c r="CM60" s="43">
        <v>698.9</v>
      </c>
      <c r="CN60" s="41">
        <v>1.4309000000000001</v>
      </c>
      <c r="CO60" s="33"/>
      <c r="CP60" s="40">
        <v>700</v>
      </c>
      <c r="CQ60" s="34">
        <v>0.77039999999999997</v>
      </c>
      <c r="CR60" s="41">
        <v>0.68779999999999997</v>
      </c>
      <c r="CS60" s="33"/>
      <c r="CT60" s="40">
        <v>700</v>
      </c>
      <c r="CU60" s="44">
        <v>378.27</v>
      </c>
      <c r="CV60" s="42">
        <v>9.0060000000000002</v>
      </c>
    </row>
    <row r="61" spans="4:100">
      <c r="D61" s="30">
        <v>5.0999999999999996</v>
      </c>
      <c r="E61" s="31">
        <v>1.0359</v>
      </c>
      <c r="F61" s="32">
        <v>1035.2</v>
      </c>
      <c r="G61" s="33"/>
      <c r="H61" s="30">
        <v>5.0999999999999996</v>
      </c>
      <c r="I61" s="34">
        <v>3.7841</v>
      </c>
      <c r="J61" s="35">
        <v>0.15892999999999999</v>
      </c>
      <c r="L61" s="30">
        <v>5.0999999999999996</v>
      </c>
      <c r="M61" s="172">
        <v>8.6270000000000007</v>
      </c>
      <c r="N61" s="173">
        <v>0.11591</v>
      </c>
      <c r="P61" s="30">
        <v>5.0999999999999996</v>
      </c>
      <c r="Q61" s="172">
        <v>4.3136999999999999</v>
      </c>
      <c r="R61" s="173">
        <v>0.18117</v>
      </c>
      <c r="T61" s="30">
        <v>5.0999999999999996</v>
      </c>
      <c r="U61" s="172">
        <v>231.82</v>
      </c>
      <c r="V61" s="173">
        <v>5.52</v>
      </c>
      <c r="X61" s="30">
        <v>5.0999999999999996</v>
      </c>
      <c r="Y61" s="34">
        <v>3.8515000000000001</v>
      </c>
      <c r="Z61" s="35">
        <v>0.16175999999999999</v>
      </c>
      <c r="AA61" s="36"/>
      <c r="AB61" s="30">
        <v>5.0999999999999996</v>
      </c>
      <c r="AC61" s="44">
        <v>259.64</v>
      </c>
      <c r="AD61" s="35">
        <v>6.1820000000000004</v>
      </c>
      <c r="AE61" s="36"/>
      <c r="AF61" s="30">
        <v>5.0999999999999996</v>
      </c>
      <c r="AG61" s="34">
        <v>3.9133</v>
      </c>
      <c r="AH61" s="35">
        <v>0.16436000000000001</v>
      </c>
      <c r="AI61" s="35"/>
      <c r="AJ61" s="35">
        <v>0.10613</v>
      </c>
      <c r="AK61" s="998">
        <v>79.900000000000006</v>
      </c>
      <c r="AM61" s="30">
        <v>5.0999999999999996</v>
      </c>
      <c r="AN61" s="34">
        <v>0.87719999999999998</v>
      </c>
      <c r="AO61" s="35">
        <v>0.98250000000000004</v>
      </c>
      <c r="AQ61" s="197">
        <v>0.70099999999999996</v>
      </c>
      <c r="AR61" s="200">
        <v>70.349999999999994</v>
      </c>
      <c r="AS61" s="199">
        <v>700.8</v>
      </c>
      <c r="AZ61" s="197">
        <v>0.70099999999999996</v>
      </c>
      <c r="BA61" s="198">
        <v>5.835</v>
      </c>
      <c r="BB61" s="199">
        <v>0.17138</v>
      </c>
      <c r="BD61" s="197">
        <v>0.70099999999999996</v>
      </c>
      <c r="BE61" s="198">
        <v>2.9175</v>
      </c>
      <c r="BF61" s="199">
        <v>0.12254</v>
      </c>
      <c r="BH61" s="197">
        <v>0.70099999999999996</v>
      </c>
      <c r="BI61" s="198">
        <v>342.76</v>
      </c>
      <c r="BJ61" s="199">
        <v>8.1609999999999996</v>
      </c>
      <c r="BL61" s="197">
        <v>0.70099999999999996</v>
      </c>
      <c r="BM61" s="198">
        <v>2.6049000000000002</v>
      </c>
      <c r="BN61" s="199">
        <v>0.10940999999999999</v>
      </c>
      <c r="BP61" s="197">
        <v>0.70099999999999996</v>
      </c>
      <c r="BQ61" s="200">
        <v>383.89</v>
      </c>
      <c r="BR61" s="199">
        <v>9.14</v>
      </c>
      <c r="BT61" s="197">
        <v>0.70099999999999996</v>
      </c>
      <c r="BU61" s="201">
        <v>1.2965</v>
      </c>
      <c r="BV61" s="202">
        <v>1.4520999999999999</v>
      </c>
      <c r="BX61" s="37">
        <v>701</v>
      </c>
      <c r="BY61" s="38">
        <v>0.70120000000000005</v>
      </c>
      <c r="BZ61" s="39">
        <v>70.3</v>
      </c>
      <c r="CA61" s="33"/>
      <c r="CB61" s="37">
        <v>701</v>
      </c>
      <c r="CC61" s="38">
        <v>0.15887000000000001</v>
      </c>
      <c r="CD61" s="42">
        <v>6.2939999999999996</v>
      </c>
      <c r="CE61" s="33"/>
      <c r="CF61" s="33"/>
      <c r="CG61" s="33"/>
      <c r="CH61" s="33"/>
      <c r="CI61" s="33"/>
      <c r="CJ61" s="33"/>
      <c r="CK61" s="33"/>
      <c r="CL61" s="40">
        <v>701</v>
      </c>
      <c r="CM61" s="43">
        <v>699.9</v>
      </c>
      <c r="CN61" s="41">
        <v>1.4288000000000001</v>
      </c>
      <c r="CO61" s="33"/>
      <c r="CP61" s="40">
        <v>701</v>
      </c>
      <c r="CQ61" s="34">
        <v>0.77149999999999996</v>
      </c>
      <c r="CR61" s="41">
        <v>0.68879999999999997</v>
      </c>
      <c r="CS61" s="33"/>
      <c r="CT61" s="40">
        <v>701</v>
      </c>
      <c r="CU61" s="44">
        <v>377.73</v>
      </c>
      <c r="CV61" s="42">
        <v>8.9939999999999998</v>
      </c>
    </row>
    <row r="62" spans="4:100">
      <c r="D62" s="30">
        <v>5.2</v>
      </c>
      <c r="E62" s="31">
        <v>1.0350999999999999</v>
      </c>
      <c r="F62" s="32">
        <v>1034.5</v>
      </c>
      <c r="G62" s="33"/>
      <c r="H62" s="30">
        <v>5.2</v>
      </c>
      <c r="I62" s="34">
        <v>3.7841</v>
      </c>
      <c r="J62" s="35">
        <v>0.15892999999999999</v>
      </c>
      <c r="L62" s="30">
        <v>5.2</v>
      </c>
      <c r="M62" s="172">
        <v>8.6210000000000004</v>
      </c>
      <c r="N62" s="173">
        <v>0.11600000000000001</v>
      </c>
      <c r="P62" s="30">
        <v>5.2</v>
      </c>
      <c r="Q62" s="172">
        <v>4.3105000000000002</v>
      </c>
      <c r="R62" s="173">
        <v>0.18104000000000001</v>
      </c>
      <c r="T62" s="30">
        <v>5.2</v>
      </c>
      <c r="U62" s="172">
        <v>231.99</v>
      </c>
      <c r="V62" s="173">
        <v>5.524</v>
      </c>
      <c r="X62" s="30">
        <v>5.2</v>
      </c>
      <c r="Y62" s="34">
        <v>3.8487</v>
      </c>
      <c r="Z62" s="35">
        <v>0.16164000000000001</v>
      </c>
      <c r="AA62" s="36"/>
      <c r="AB62" s="30">
        <v>5.2</v>
      </c>
      <c r="AC62" s="44">
        <v>259.83</v>
      </c>
      <c r="AD62" s="35">
        <v>6.1859999999999999</v>
      </c>
      <c r="AE62" s="36"/>
      <c r="AF62" s="30">
        <v>5.2</v>
      </c>
      <c r="AG62" s="34">
        <v>3.9104000000000001</v>
      </c>
      <c r="AH62" s="35">
        <v>0.16424</v>
      </c>
      <c r="AI62" s="35"/>
      <c r="AJ62" s="35">
        <v>0.10618</v>
      </c>
      <c r="AK62" s="998">
        <v>79.8</v>
      </c>
      <c r="AM62" s="30">
        <v>5.2</v>
      </c>
      <c r="AN62" s="34">
        <v>0.87790000000000001</v>
      </c>
      <c r="AO62" s="35">
        <v>0.98319999999999996</v>
      </c>
      <c r="AQ62" s="197">
        <v>0.70199999999999996</v>
      </c>
      <c r="AR62" s="200">
        <v>70.069999999999993</v>
      </c>
      <c r="AS62" s="199">
        <v>701.8</v>
      </c>
      <c r="AZ62" s="197">
        <v>0.70199999999999996</v>
      </c>
      <c r="BA62" s="198">
        <v>5.8433999999999999</v>
      </c>
      <c r="BB62" s="199">
        <v>0.17113</v>
      </c>
      <c r="BD62" s="197">
        <v>0.70199999999999996</v>
      </c>
      <c r="BE62" s="198">
        <v>2.9217</v>
      </c>
      <c r="BF62" s="199">
        <v>0.12271</v>
      </c>
      <c r="BH62" s="197">
        <v>0.70199999999999996</v>
      </c>
      <c r="BI62" s="198">
        <v>342.27</v>
      </c>
      <c r="BJ62" s="199">
        <v>8.1489999999999991</v>
      </c>
      <c r="BL62" s="197">
        <v>0.70199999999999996</v>
      </c>
      <c r="BM62" s="198">
        <v>2.6086</v>
      </c>
      <c r="BN62" s="199">
        <v>0.10956</v>
      </c>
      <c r="BP62" s="197">
        <v>0.70199999999999996</v>
      </c>
      <c r="BQ62" s="200">
        <v>383.34</v>
      </c>
      <c r="BR62" s="199">
        <v>9.1270000000000007</v>
      </c>
      <c r="BT62" s="197">
        <v>0.70199999999999996</v>
      </c>
      <c r="BU62" s="201">
        <v>1.2947</v>
      </c>
      <c r="BV62" s="202">
        <v>1.45</v>
      </c>
      <c r="BX62" s="37">
        <v>702</v>
      </c>
      <c r="BY62" s="38">
        <v>0.70220000000000005</v>
      </c>
      <c r="BZ62" s="39">
        <v>70.02</v>
      </c>
      <c r="CA62" s="33"/>
      <c r="CB62" s="37">
        <v>702</v>
      </c>
      <c r="CC62" s="38">
        <v>0.15887000000000001</v>
      </c>
      <c r="CD62" s="42">
        <v>6.2939999999999996</v>
      </c>
      <c r="CE62" s="33"/>
      <c r="CF62" s="33"/>
      <c r="CG62" s="33"/>
      <c r="CH62" s="33"/>
      <c r="CI62" s="33"/>
      <c r="CJ62" s="33"/>
      <c r="CK62" s="33"/>
      <c r="CL62" s="40">
        <v>702</v>
      </c>
      <c r="CM62" s="43">
        <v>700.9</v>
      </c>
      <c r="CN62" s="41">
        <v>1.4268000000000001</v>
      </c>
      <c r="CO62" s="33"/>
      <c r="CP62" s="40">
        <v>702</v>
      </c>
      <c r="CQ62" s="34">
        <v>0.77259999999999995</v>
      </c>
      <c r="CR62" s="41">
        <v>0.68979999999999997</v>
      </c>
      <c r="CS62" s="33"/>
      <c r="CT62" s="40">
        <v>702</v>
      </c>
      <c r="CU62" s="44">
        <v>377.19</v>
      </c>
      <c r="CV62" s="42">
        <v>8.9809999999999999</v>
      </c>
    </row>
    <row r="63" spans="4:100">
      <c r="D63" s="30">
        <v>5.3</v>
      </c>
      <c r="E63" s="31">
        <v>1.0344</v>
      </c>
      <c r="F63" s="32">
        <v>1033.7</v>
      </c>
      <c r="G63" s="33"/>
      <c r="H63" s="30">
        <v>5.3</v>
      </c>
      <c r="I63" s="34">
        <v>3.7841</v>
      </c>
      <c r="J63" s="35">
        <v>0.15892999999999999</v>
      </c>
      <c r="L63" s="30">
        <v>5.3</v>
      </c>
      <c r="M63" s="172">
        <v>8.6150000000000002</v>
      </c>
      <c r="N63" s="173">
        <v>0.11608</v>
      </c>
      <c r="P63" s="30">
        <v>5.3</v>
      </c>
      <c r="Q63" s="172">
        <v>4.3072999999999997</v>
      </c>
      <c r="R63" s="173">
        <v>0.18090999999999999</v>
      </c>
      <c r="T63" s="30">
        <v>5.3</v>
      </c>
      <c r="U63" s="172">
        <v>232.16</v>
      </c>
      <c r="V63" s="173">
        <v>5.5279999999999996</v>
      </c>
      <c r="X63" s="30">
        <v>5.3</v>
      </c>
      <c r="Y63" s="34">
        <v>3.8458000000000001</v>
      </c>
      <c r="Z63" s="35">
        <v>0.16153000000000001</v>
      </c>
      <c r="AA63" s="36"/>
      <c r="AB63" s="30">
        <v>5.3</v>
      </c>
      <c r="AC63" s="44">
        <v>260.02</v>
      </c>
      <c r="AD63" s="35">
        <v>6.1909999999999998</v>
      </c>
      <c r="AE63" s="36"/>
      <c r="AF63" s="30">
        <v>5.3</v>
      </c>
      <c r="AG63" s="34">
        <v>3.9076</v>
      </c>
      <c r="AH63" s="35">
        <v>0.16411999999999999</v>
      </c>
      <c r="AI63" s="35"/>
      <c r="AJ63" s="35">
        <v>0.10624</v>
      </c>
      <c r="AK63" s="998">
        <v>79.7</v>
      </c>
      <c r="AM63" s="30">
        <v>5.3</v>
      </c>
      <c r="AN63" s="34">
        <v>0.87849999999999995</v>
      </c>
      <c r="AO63" s="35">
        <v>0.9839</v>
      </c>
      <c r="AQ63" s="197">
        <v>0.70299999999999996</v>
      </c>
      <c r="AR63" s="200">
        <v>69.78</v>
      </c>
      <c r="AS63" s="199">
        <v>702.8</v>
      </c>
      <c r="AZ63" s="197">
        <v>0.70299999999999996</v>
      </c>
      <c r="BA63" s="198">
        <v>5.8517000000000001</v>
      </c>
      <c r="BB63" s="199">
        <v>0.17088999999999999</v>
      </c>
      <c r="BD63" s="197">
        <v>0.70299999999999996</v>
      </c>
      <c r="BE63" s="198">
        <v>2.9258999999999999</v>
      </c>
      <c r="BF63" s="199">
        <v>0.12289</v>
      </c>
      <c r="BH63" s="197">
        <v>0.70299999999999996</v>
      </c>
      <c r="BI63" s="198">
        <v>341.78</v>
      </c>
      <c r="BJ63" s="199">
        <v>8.1379999999999999</v>
      </c>
      <c r="BL63" s="197">
        <v>0.70299999999999996</v>
      </c>
      <c r="BM63" s="198">
        <v>2.6124000000000001</v>
      </c>
      <c r="BN63" s="199">
        <v>0.10972</v>
      </c>
      <c r="BP63" s="197">
        <v>0.70299999999999996</v>
      </c>
      <c r="BQ63" s="200">
        <v>382.79</v>
      </c>
      <c r="BR63" s="199">
        <v>9.1140000000000008</v>
      </c>
      <c r="BT63" s="197">
        <v>0.70299999999999996</v>
      </c>
      <c r="BU63" s="201">
        <v>1.2927999999999999</v>
      </c>
      <c r="BV63" s="202">
        <v>1.448</v>
      </c>
      <c r="BX63" s="37">
        <v>703</v>
      </c>
      <c r="BY63" s="38">
        <v>0.70320000000000005</v>
      </c>
      <c r="BZ63" s="39">
        <v>69.73</v>
      </c>
      <c r="CA63" s="33"/>
      <c r="CB63" s="37">
        <v>703</v>
      </c>
      <c r="CC63" s="38">
        <v>0.15887000000000001</v>
      </c>
      <c r="CD63" s="42">
        <v>6.2939999999999996</v>
      </c>
      <c r="CE63" s="33"/>
      <c r="CF63" s="33"/>
      <c r="CG63" s="33"/>
      <c r="CH63" s="33"/>
      <c r="CI63" s="33"/>
      <c r="CJ63" s="33"/>
      <c r="CK63" s="33"/>
      <c r="CL63" s="40">
        <v>703</v>
      </c>
      <c r="CM63" s="43">
        <v>701.9</v>
      </c>
      <c r="CN63" s="41">
        <v>1.4247000000000001</v>
      </c>
      <c r="CO63" s="33"/>
      <c r="CP63" s="40">
        <v>703</v>
      </c>
      <c r="CQ63" s="34">
        <v>0.77370000000000005</v>
      </c>
      <c r="CR63" s="41">
        <v>0.69079999999999997</v>
      </c>
      <c r="CS63" s="33"/>
      <c r="CT63" s="40">
        <v>703</v>
      </c>
      <c r="CU63" s="44">
        <v>376.65</v>
      </c>
      <c r="CV63" s="42">
        <v>8.968</v>
      </c>
    </row>
    <row r="64" spans="4:100">
      <c r="D64" s="30">
        <v>5.4</v>
      </c>
      <c r="E64" s="31">
        <v>1.0336000000000001</v>
      </c>
      <c r="F64" s="32">
        <v>1033</v>
      </c>
      <c r="G64" s="33"/>
      <c r="H64" s="30">
        <v>5.4</v>
      </c>
      <c r="I64" s="34">
        <v>3.7841</v>
      </c>
      <c r="J64" s="35">
        <v>0.15892999999999999</v>
      </c>
      <c r="L64" s="30">
        <v>5.4</v>
      </c>
      <c r="M64" s="172">
        <v>8.6080000000000005</v>
      </c>
      <c r="N64" s="173">
        <v>0.11617</v>
      </c>
      <c r="P64" s="30">
        <v>5.4</v>
      </c>
      <c r="Q64" s="172">
        <v>4.3041999999999998</v>
      </c>
      <c r="R64" s="173">
        <v>0.18078</v>
      </c>
      <c r="T64" s="30">
        <v>5.4</v>
      </c>
      <c r="U64" s="172">
        <v>232.33</v>
      </c>
      <c r="V64" s="173">
        <v>5.532</v>
      </c>
      <c r="X64" s="30">
        <v>5.4</v>
      </c>
      <c r="Y64" s="34">
        <v>3.843</v>
      </c>
      <c r="Z64" s="35">
        <v>0.16141</v>
      </c>
      <c r="AA64" s="36"/>
      <c r="AB64" s="30">
        <v>5.4</v>
      </c>
      <c r="AC64" s="44">
        <v>260.20999999999998</v>
      </c>
      <c r="AD64" s="35">
        <v>6.1959999999999997</v>
      </c>
      <c r="AE64" s="36"/>
      <c r="AF64" s="30">
        <v>5.4</v>
      </c>
      <c r="AG64" s="34">
        <v>3.9047000000000001</v>
      </c>
      <c r="AH64" s="35">
        <v>0.16400000000000001</v>
      </c>
      <c r="AI64" s="35"/>
      <c r="AJ64" s="35">
        <v>0.10629</v>
      </c>
      <c r="AK64" s="998">
        <v>79.599999999999994</v>
      </c>
      <c r="AM64" s="30">
        <v>5.4</v>
      </c>
      <c r="AN64" s="34">
        <v>0.87919999999999998</v>
      </c>
      <c r="AO64" s="35">
        <v>0.98470000000000002</v>
      </c>
      <c r="AQ64" s="197">
        <v>0.70399999999999996</v>
      </c>
      <c r="AR64" s="200">
        <v>69.489999999999995</v>
      </c>
      <c r="AS64" s="199">
        <v>703.8</v>
      </c>
      <c r="AZ64" s="197">
        <v>0.70399999999999996</v>
      </c>
      <c r="BA64" s="198">
        <v>5.8601000000000001</v>
      </c>
      <c r="BB64" s="199">
        <v>0.17065</v>
      </c>
      <c r="BD64" s="197">
        <v>0.70399999999999996</v>
      </c>
      <c r="BE64" s="198">
        <v>2.93</v>
      </c>
      <c r="BF64" s="199">
        <v>0.12306</v>
      </c>
      <c r="BH64" s="197">
        <v>0.70399999999999996</v>
      </c>
      <c r="BI64" s="198">
        <v>341.29</v>
      </c>
      <c r="BJ64" s="199">
        <v>8.1259999999999994</v>
      </c>
      <c r="BL64" s="197">
        <v>0.70399999999999996</v>
      </c>
      <c r="BM64" s="198">
        <v>2.6160999999999999</v>
      </c>
      <c r="BN64" s="199">
        <v>0.10988000000000001</v>
      </c>
      <c r="BP64" s="197">
        <v>0.70399999999999996</v>
      </c>
      <c r="BQ64" s="200">
        <v>382.25</v>
      </c>
      <c r="BR64" s="199">
        <v>9.1010000000000009</v>
      </c>
      <c r="BT64" s="197">
        <v>0.70399999999999996</v>
      </c>
      <c r="BU64" s="201">
        <v>1.2909999999999999</v>
      </c>
      <c r="BV64" s="202">
        <v>1.4459</v>
      </c>
      <c r="BX64" s="37">
        <v>704</v>
      </c>
      <c r="BY64" s="38">
        <v>0.70420000000000005</v>
      </c>
      <c r="BZ64" s="39">
        <v>69.44</v>
      </c>
      <c r="CA64" s="33"/>
      <c r="CB64" s="37">
        <v>704</v>
      </c>
      <c r="CC64" s="38">
        <v>0.15887000000000001</v>
      </c>
      <c r="CD64" s="42">
        <v>6.2939999999999996</v>
      </c>
      <c r="CE64" s="33"/>
      <c r="CF64" s="33"/>
      <c r="CG64" s="33"/>
      <c r="CH64" s="33"/>
      <c r="CI64" s="33"/>
      <c r="CJ64" s="33"/>
      <c r="CK64" s="33"/>
      <c r="CL64" s="40">
        <v>704</v>
      </c>
      <c r="CM64" s="43">
        <v>702.9</v>
      </c>
      <c r="CN64" s="41">
        <v>1.4227000000000001</v>
      </c>
      <c r="CO64" s="33"/>
      <c r="CP64" s="40">
        <v>704</v>
      </c>
      <c r="CQ64" s="34">
        <v>0.77480000000000004</v>
      </c>
      <c r="CR64" s="41">
        <v>0.69179999999999997</v>
      </c>
      <c r="CS64" s="33"/>
      <c r="CT64" s="40">
        <v>704</v>
      </c>
      <c r="CU64" s="44">
        <v>376.11</v>
      </c>
      <c r="CV64" s="42">
        <v>8.9550000000000001</v>
      </c>
    </row>
    <row r="65" spans="4:100">
      <c r="D65" s="30">
        <v>5.5</v>
      </c>
      <c r="E65" s="31">
        <v>1.0327999999999999</v>
      </c>
      <c r="F65" s="32">
        <v>1032.2</v>
      </c>
      <c r="G65" s="33"/>
      <c r="H65" s="30">
        <v>5.5</v>
      </c>
      <c r="I65" s="34">
        <v>3.7841</v>
      </c>
      <c r="J65" s="35">
        <v>0.15892999999999999</v>
      </c>
      <c r="L65" s="30">
        <v>5.5</v>
      </c>
      <c r="M65" s="172">
        <v>8.6020000000000003</v>
      </c>
      <c r="N65" s="173">
        <v>0.11625000000000001</v>
      </c>
      <c r="P65" s="30">
        <v>5.5</v>
      </c>
      <c r="Q65" s="172">
        <v>4.3010000000000002</v>
      </c>
      <c r="R65" s="173">
        <v>0.18064</v>
      </c>
      <c r="T65" s="30">
        <v>5.5</v>
      </c>
      <c r="U65" s="172">
        <v>232.5</v>
      </c>
      <c r="V65" s="173">
        <v>5.5359999999999996</v>
      </c>
      <c r="X65" s="30">
        <v>5.5</v>
      </c>
      <c r="Y65" s="34">
        <v>3.8401999999999998</v>
      </c>
      <c r="Z65" s="35">
        <v>0.16128999999999999</v>
      </c>
      <c r="AA65" s="36"/>
      <c r="AB65" s="30">
        <v>5.5</v>
      </c>
      <c r="AC65" s="44">
        <v>260.39999999999998</v>
      </c>
      <c r="AD65" s="35">
        <v>6.2</v>
      </c>
      <c r="AE65" s="36"/>
      <c r="AF65" s="30">
        <v>5.5</v>
      </c>
      <c r="AG65" s="34">
        <v>3.9018000000000002</v>
      </c>
      <c r="AH65" s="35">
        <v>0.16388</v>
      </c>
      <c r="AI65" s="35"/>
      <c r="AJ65" s="35">
        <v>0.10634</v>
      </c>
      <c r="AK65" s="998">
        <v>79.5</v>
      </c>
      <c r="AM65" s="30">
        <v>5.5</v>
      </c>
      <c r="AN65" s="34">
        <v>0.87980000000000003</v>
      </c>
      <c r="AO65" s="35">
        <v>0.98540000000000005</v>
      </c>
      <c r="AQ65" s="197">
        <v>0.70499999999999996</v>
      </c>
      <c r="AR65" s="200">
        <v>69.209999999999994</v>
      </c>
      <c r="AS65" s="199">
        <v>704.8</v>
      </c>
      <c r="AZ65" s="197">
        <v>0.70499999999999996</v>
      </c>
      <c r="BA65" s="198">
        <v>5.8684000000000003</v>
      </c>
      <c r="BB65" s="199">
        <v>0.1704</v>
      </c>
      <c r="BD65" s="197">
        <v>0.70499999999999996</v>
      </c>
      <c r="BE65" s="198">
        <v>2.9342000000000001</v>
      </c>
      <c r="BF65" s="199">
        <v>0.12324</v>
      </c>
      <c r="BH65" s="197">
        <v>0.70499999999999996</v>
      </c>
      <c r="BI65" s="198">
        <v>340.81</v>
      </c>
      <c r="BJ65" s="199">
        <v>8.1140000000000008</v>
      </c>
      <c r="BL65" s="197">
        <v>0.70499999999999996</v>
      </c>
      <c r="BM65" s="198">
        <v>2.6198000000000001</v>
      </c>
      <c r="BN65" s="199">
        <v>0.11003</v>
      </c>
      <c r="BP65" s="197">
        <v>0.70499999999999996</v>
      </c>
      <c r="BQ65" s="200">
        <v>381.71</v>
      </c>
      <c r="BR65" s="199">
        <v>9.0879999999999992</v>
      </c>
      <c r="BT65" s="197">
        <v>0.70499999999999996</v>
      </c>
      <c r="BU65" s="201">
        <v>1.2891999999999999</v>
      </c>
      <c r="BV65" s="202">
        <v>1.4439</v>
      </c>
      <c r="BX65" s="37">
        <v>705</v>
      </c>
      <c r="BY65" s="38">
        <v>0.70520000000000005</v>
      </c>
      <c r="BZ65" s="39">
        <v>69.16</v>
      </c>
      <c r="CA65" s="33"/>
      <c r="CB65" s="37">
        <v>705</v>
      </c>
      <c r="CC65" s="38">
        <v>0.15887000000000001</v>
      </c>
      <c r="CD65" s="42">
        <v>6.2939999999999996</v>
      </c>
      <c r="CE65" s="33"/>
      <c r="CF65" s="33"/>
      <c r="CG65" s="33"/>
      <c r="CH65" s="33"/>
      <c r="CI65" s="33"/>
      <c r="CJ65" s="33"/>
      <c r="CK65" s="33"/>
      <c r="CL65" s="40">
        <v>705</v>
      </c>
      <c r="CM65" s="43">
        <v>703.9</v>
      </c>
      <c r="CN65" s="41">
        <v>1.4207000000000001</v>
      </c>
      <c r="CO65" s="33"/>
      <c r="CP65" s="40">
        <v>705</v>
      </c>
      <c r="CQ65" s="34">
        <v>0.77590000000000003</v>
      </c>
      <c r="CR65" s="41">
        <v>0.69279999999999997</v>
      </c>
      <c r="CS65" s="33"/>
      <c r="CT65" s="40">
        <v>705</v>
      </c>
      <c r="CU65" s="44">
        <v>375.58</v>
      </c>
      <c r="CV65" s="42">
        <v>8.9420000000000002</v>
      </c>
    </row>
    <row r="66" spans="4:100">
      <c r="D66" s="30">
        <v>5.6</v>
      </c>
      <c r="E66" s="31">
        <v>1.0321</v>
      </c>
      <c r="F66" s="32">
        <v>1031.4000000000001</v>
      </c>
      <c r="G66" s="33"/>
      <c r="H66" s="30">
        <v>5.6</v>
      </c>
      <c r="I66" s="34">
        <v>3.7841</v>
      </c>
      <c r="J66" s="35">
        <v>0.15892999999999999</v>
      </c>
      <c r="L66" s="30">
        <v>5.6</v>
      </c>
      <c r="M66" s="172">
        <v>8.5960000000000001</v>
      </c>
      <c r="N66" s="173">
        <v>0.11634</v>
      </c>
      <c r="P66" s="30">
        <v>5.6</v>
      </c>
      <c r="Q66" s="172">
        <v>4.2979000000000003</v>
      </c>
      <c r="R66" s="173">
        <v>0.18051</v>
      </c>
      <c r="T66" s="30">
        <v>5.6</v>
      </c>
      <c r="U66" s="172">
        <v>232.67</v>
      </c>
      <c r="V66" s="173">
        <v>5.54</v>
      </c>
      <c r="X66" s="30">
        <v>5.6</v>
      </c>
      <c r="Y66" s="34">
        <v>3.8374000000000001</v>
      </c>
      <c r="Z66" s="35">
        <v>0.16117000000000001</v>
      </c>
      <c r="AA66" s="36"/>
      <c r="AB66" s="30">
        <v>5.6</v>
      </c>
      <c r="AC66" s="44">
        <v>260.58999999999997</v>
      </c>
      <c r="AD66" s="35">
        <v>6.2050000000000001</v>
      </c>
      <c r="AE66" s="36"/>
      <c r="AF66" s="30">
        <v>5.6</v>
      </c>
      <c r="AG66" s="34">
        <v>3.899</v>
      </c>
      <c r="AH66" s="35">
        <v>0.16375999999999999</v>
      </c>
      <c r="AI66" s="35"/>
      <c r="AJ66" s="35">
        <v>0.10639</v>
      </c>
      <c r="AK66" s="998">
        <v>79.400000000000006</v>
      </c>
      <c r="AM66" s="30">
        <v>5.6</v>
      </c>
      <c r="AN66" s="34">
        <v>0.88039999999999996</v>
      </c>
      <c r="AO66" s="35">
        <v>0.98609999999999998</v>
      </c>
      <c r="AQ66" s="197">
        <v>0.70599999999999996</v>
      </c>
      <c r="AR66" s="200">
        <v>68.92</v>
      </c>
      <c r="AS66" s="199">
        <v>705.8</v>
      </c>
      <c r="AZ66" s="197">
        <v>0.70599999999999996</v>
      </c>
      <c r="BA66" s="198">
        <v>5.8766999999999996</v>
      </c>
      <c r="BB66" s="199">
        <v>0.17016000000000001</v>
      </c>
      <c r="BD66" s="197">
        <v>0.70599999999999996</v>
      </c>
      <c r="BE66" s="198">
        <v>2.9384000000000001</v>
      </c>
      <c r="BF66" s="199">
        <v>0.12341000000000001</v>
      </c>
      <c r="BH66" s="197">
        <v>0.70599999999999996</v>
      </c>
      <c r="BI66" s="198">
        <v>340.33</v>
      </c>
      <c r="BJ66" s="199">
        <v>8.1029999999999998</v>
      </c>
      <c r="BL66" s="197">
        <v>0.70599999999999996</v>
      </c>
      <c r="BM66" s="198">
        <v>2.6234999999999999</v>
      </c>
      <c r="BN66" s="199">
        <v>0.11019</v>
      </c>
      <c r="BP66" s="197">
        <v>0.70599999999999996</v>
      </c>
      <c r="BQ66" s="200">
        <v>381.16</v>
      </c>
      <c r="BR66" s="199">
        <v>9.0749999999999993</v>
      </c>
      <c r="BT66" s="197">
        <v>0.70599999999999996</v>
      </c>
      <c r="BU66" s="201">
        <v>1.2873000000000001</v>
      </c>
      <c r="BV66" s="202">
        <v>1.4418</v>
      </c>
      <c r="BX66" s="37">
        <v>706</v>
      </c>
      <c r="BY66" s="38">
        <v>0.70620000000000005</v>
      </c>
      <c r="BZ66" s="39">
        <v>68.87</v>
      </c>
      <c r="CA66" s="33"/>
      <c r="CB66" s="37">
        <v>706</v>
      </c>
      <c r="CC66" s="38">
        <v>0.15887000000000001</v>
      </c>
      <c r="CD66" s="42">
        <v>6.2939999999999996</v>
      </c>
      <c r="CE66" s="33"/>
      <c r="CF66" s="33"/>
      <c r="CG66" s="33"/>
      <c r="CH66" s="33"/>
      <c r="CI66" s="33"/>
      <c r="CJ66" s="33"/>
      <c r="CK66" s="33"/>
      <c r="CL66" s="40">
        <v>706</v>
      </c>
      <c r="CM66" s="43">
        <v>704.9</v>
      </c>
      <c r="CN66" s="41">
        <v>1.4187000000000001</v>
      </c>
      <c r="CO66" s="33"/>
      <c r="CP66" s="40">
        <v>706</v>
      </c>
      <c r="CQ66" s="34">
        <v>0.77700000000000002</v>
      </c>
      <c r="CR66" s="41">
        <v>0.69379999999999997</v>
      </c>
      <c r="CS66" s="33"/>
      <c r="CT66" s="40">
        <v>706</v>
      </c>
      <c r="CU66" s="44">
        <v>375.05</v>
      </c>
      <c r="CV66" s="42">
        <v>8.93</v>
      </c>
    </row>
    <row r="67" spans="4:100">
      <c r="D67" s="30">
        <v>5.7</v>
      </c>
      <c r="E67" s="31">
        <v>1.0313000000000001</v>
      </c>
      <c r="F67" s="32">
        <v>1030.7</v>
      </c>
      <c r="G67" s="33"/>
      <c r="H67" s="30">
        <v>5.7</v>
      </c>
      <c r="I67" s="34">
        <v>3.7839999999999998</v>
      </c>
      <c r="J67" s="35">
        <v>0.15892999999999999</v>
      </c>
      <c r="L67" s="30">
        <v>5.7</v>
      </c>
      <c r="M67" s="172">
        <v>8.59</v>
      </c>
      <c r="N67" s="173">
        <v>0.11642</v>
      </c>
      <c r="P67" s="30">
        <v>5.7</v>
      </c>
      <c r="Q67" s="172">
        <v>4.2948000000000004</v>
      </c>
      <c r="R67" s="173">
        <v>0.18038000000000001</v>
      </c>
      <c r="T67" s="30">
        <v>5.7</v>
      </c>
      <c r="U67" s="172">
        <v>232.84</v>
      </c>
      <c r="V67" s="173">
        <v>5.5439999999999996</v>
      </c>
      <c r="X67" s="30">
        <v>5.7</v>
      </c>
      <c r="Y67" s="34">
        <v>3.8346</v>
      </c>
      <c r="Z67" s="35">
        <v>0.16105</v>
      </c>
      <c r="AA67" s="36"/>
      <c r="AB67" s="30">
        <v>5.7</v>
      </c>
      <c r="AC67" s="44">
        <v>260.77999999999997</v>
      </c>
      <c r="AD67" s="35">
        <v>6.2089999999999996</v>
      </c>
      <c r="AE67" s="36"/>
      <c r="AF67" s="30">
        <v>5.7</v>
      </c>
      <c r="AG67" s="34">
        <v>3.8961999999999999</v>
      </c>
      <c r="AH67" s="35">
        <v>0.16364000000000001</v>
      </c>
      <c r="AI67" s="35"/>
      <c r="AJ67" s="35">
        <v>0.10644000000000001</v>
      </c>
      <c r="AK67" s="998">
        <v>79.3</v>
      </c>
      <c r="AM67" s="30">
        <v>5.7</v>
      </c>
      <c r="AN67" s="34">
        <v>0.88109999999999999</v>
      </c>
      <c r="AO67" s="35">
        <v>0.98680000000000001</v>
      </c>
      <c r="AQ67" s="197">
        <v>0.70699999999999996</v>
      </c>
      <c r="AR67" s="200">
        <v>68.64</v>
      </c>
      <c r="AS67" s="199">
        <v>706.8</v>
      </c>
      <c r="AZ67" s="197">
        <v>0.70699999999999996</v>
      </c>
      <c r="BA67" s="198">
        <v>5.8851000000000004</v>
      </c>
      <c r="BB67" s="199">
        <v>0.16991999999999999</v>
      </c>
      <c r="BD67" s="197">
        <v>0.70699999999999996</v>
      </c>
      <c r="BE67" s="198">
        <v>2.9424999999999999</v>
      </c>
      <c r="BF67" s="199">
        <v>0.12359000000000001</v>
      </c>
      <c r="BH67" s="197">
        <v>0.70699999999999996</v>
      </c>
      <c r="BI67" s="198">
        <v>339.84</v>
      </c>
      <c r="BJ67" s="199">
        <v>8.0920000000000005</v>
      </c>
      <c r="BL67" s="197">
        <v>0.70699999999999996</v>
      </c>
      <c r="BM67" s="198">
        <v>2.6273</v>
      </c>
      <c r="BN67" s="199">
        <v>0.11035</v>
      </c>
      <c r="BP67" s="197">
        <v>0.70699999999999996</v>
      </c>
      <c r="BQ67" s="200">
        <v>380.62</v>
      </c>
      <c r="BR67" s="199">
        <v>9.0619999999999994</v>
      </c>
      <c r="BT67" s="197">
        <v>0.70699999999999996</v>
      </c>
      <c r="BU67" s="201">
        <v>1.2855000000000001</v>
      </c>
      <c r="BV67" s="202">
        <v>1.4398</v>
      </c>
      <c r="BX67" s="37">
        <v>707</v>
      </c>
      <c r="BY67" s="38">
        <v>0.70720000000000005</v>
      </c>
      <c r="BZ67" s="39">
        <v>68.59</v>
      </c>
      <c r="CA67" s="33"/>
      <c r="CB67" s="37">
        <v>707</v>
      </c>
      <c r="CC67" s="38">
        <v>0.15887000000000001</v>
      </c>
      <c r="CD67" s="42">
        <v>6.2939999999999996</v>
      </c>
      <c r="CE67" s="33"/>
      <c r="CF67" s="33"/>
      <c r="CG67" s="33"/>
      <c r="CH67" s="33"/>
      <c r="CI67" s="33"/>
      <c r="CJ67" s="33"/>
      <c r="CK67" s="33"/>
      <c r="CL67" s="40">
        <v>707</v>
      </c>
      <c r="CM67" s="43">
        <v>705.9</v>
      </c>
      <c r="CN67" s="41">
        <v>1.4167000000000001</v>
      </c>
      <c r="CO67" s="33"/>
      <c r="CP67" s="40">
        <v>707</v>
      </c>
      <c r="CQ67" s="34">
        <v>0.77810000000000001</v>
      </c>
      <c r="CR67" s="41">
        <v>0.69469999999999998</v>
      </c>
      <c r="CS67" s="33"/>
      <c r="CT67" s="40">
        <v>707</v>
      </c>
      <c r="CU67" s="44">
        <v>374.51</v>
      </c>
      <c r="CV67" s="42">
        <v>8.9169999999999998</v>
      </c>
    </row>
    <row r="68" spans="4:100">
      <c r="D68" s="30">
        <v>5.8</v>
      </c>
      <c r="E68" s="31">
        <v>1.0306</v>
      </c>
      <c r="F68" s="32">
        <v>1029.9000000000001</v>
      </c>
      <c r="G68" s="33"/>
      <c r="H68" s="30">
        <v>5.8</v>
      </c>
      <c r="I68" s="34">
        <v>3.7839999999999998</v>
      </c>
      <c r="J68" s="35">
        <v>0.15892999999999999</v>
      </c>
      <c r="L68" s="30">
        <v>5.8</v>
      </c>
      <c r="M68" s="172">
        <v>8.5830000000000002</v>
      </c>
      <c r="N68" s="173">
        <v>0.11651</v>
      </c>
      <c r="P68" s="30">
        <v>5.8</v>
      </c>
      <c r="Q68" s="172">
        <v>4.2915999999999999</v>
      </c>
      <c r="R68" s="173">
        <v>0.18024999999999999</v>
      </c>
      <c r="T68" s="30">
        <v>5.8</v>
      </c>
      <c r="U68" s="172">
        <v>233.01</v>
      </c>
      <c r="V68" s="173">
        <v>5.548</v>
      </c>
      <c r="X68" s="30">
        <v>5.8</v>
      </c>
      <c r="Y68" s="34">
        <v>3.8317999999999999</v>
      </c>
      <c r="Z68" s="35">
        <v>0.16094</v>
      </c>
      <c r="AA68" s="36"/>
      <c r="AB68" s="30">
        <v>5.8</v>
      </c>
      <c r="AC68" s="44">
        <v>260.97000000000003</v>
      </c>
      <c r="AD68" s="35">
        <v>6.2140000000000004</v>
      </c>
      <c r="AE68" s="36"/>
      <c r="AF68" s="30">
        <v>5.8</v>
      </c>
      <c r="AG68" s="34">
        <v>3.8933</v>
      </c>
      <c r="AH68" s="35">
        <v>0.16352</v>
      </c>
      <c r="AI68" s="35"/>
      <c r="AJ68" s="35">
        <v>0.10649</v>
      </c>
      <c r="AK68" s="998">
        <v>79.2</v>
      </c>
      <c r="AM68" s="30">
        <v>5.8</v>
      </c>
      <c r="AN68" s="34">
        <v>0.88170000000000004</v>
      </c>
      <c r="AO68" s="35">
        <v>0.98750000000000004</v>
      </c>
      <c r="AQ68" s="197">
        <v>0.70799999999999996</v>
      </c>
      <c r="AR68" s="200">
        <v>68.36</v>
      </c>
      <c r="AS68" s="199">
        <v>707.8</v>
      </c>
      <c r="AZ68" s="197">
        <v>0.70799999999999996</v>
      </c>
      <c r="BA68" s="198">
        <v>5.8933999999999997</v>
      </c>
      <c r="BB68" s="199">
        <v>0.16968</v>
      </c>
      <c r="BD68" s="197">
        <v>0.70799999999999996</v>
      </c>
      <c r="BE68" s="198">
        <v>2.9466999999999999</v>
      </c>
      <c r="BF68" s="199">
        <v>0.12376</v>
      </c>
      <c r="BH68" s="197">
        <v>0.70799999999999996</v>
      </c>
      <c r="BI68" s="198">
        <v>339.36</v>
      </c>
      <c r="BJ68" s="199">
        <v>8.08</v>
      </c>
      <c r="BL68" s="197">
        <v>0.70799999999999996</v>
      </c>
      <c r="BM68" s="198">
        <v>2.6309999999999998</v>
      </c>
      <c r="BN68" s="199">
        <v>0.1105</v>
      </c>
      <c r="BP68" s="197">
        <v>0.70799999999999996</v>
      </c>
      <c r="BQ68" s="200">
        <v>380.09</v>
      </c>
      <c r="BR68" s="199">
        <v>9.0500000000000007</v>
      </c>
      <c r="BT68" s="197">
        <v>0.70799999999999996</v>
      </c>
      <c r="BU68" s="201">
        <v>1.2837000000000001</v>
      </c>
      <c r="BV68" s="202">
        <v>1.4377</v>
      </c>
      <c r="BX68" s="37">
        <v>708</v>
      </c>
      <c r="BY68" s="38">
        <v>0.70820000000000005</v>
      </c>
      <c r="BZ68" s="39">
        <v>68.31</v>
      </c>
      <c r="CA68" s="33"/>
      <c r="CB68" s="37">
        <v>708</v>
      </c>
      <c r="CC68" s="38">
        <v>0.15887000000000001</v>
      </c>
      <c r="CD68" s="42">
        <v>6.2939999999999996</v>
      </c>
      <c r="CE68" s="33"/>
      <c r="CF68" s="33"/>
      <c r="CG68" s="33"/>
      <c r="CH68" s="33"/>
      <c r="CI68" s="33"/>
      <c r="CJ68" s="33"/>
      <c r="CK68" s="33"/>
      <c r="CL68" s="40">
        <v>708</v>
      </c>
      <c r="CM68" s="43">
        <v>706.9</v>
      </c>
      <c r="CN68" s="41">
        <v>1.4147000000000001</v>
      </c>
      <c r="CO68" s="33"/>
      <c r="CP68" s="40">
        <v>708</v>
      </c>
      <c r="CQ68" s="34">
        <v>0.7792</v>
      </c>
      <c r="CR68" s="41">
        <v>0.69569999999999999</v>
      </c>
      <c r="CS68" s="33"/>
      <c r="CT68" s="40">
        <v>708</v>
      </c>
      <c r="CU68" s="44">
        <v>373.98</v>
      </c>
      <c r="CV68" s="42">
        <v>8.9039999999999999</v>
      </c>
    </row>
    <row r="69" spans="4:100">
      <c r="D69" s="30">
        <v>5.9</v>
      </c>
      <c r="E69" s="31">
        <v>1.0298</v>
      </c>
      <c r="F69" s="32">
        <v>1029.2</v>
      </c>
      <c r="G69" s="33"/>
      <c r="H69" s="30">
        <v>5.9</v>
      </c>
      <c r="I69" s="34">
        <v>3.7839999999999998</v>
      </c>
      <c r="J69" s="35">
        <v>0.15892999999999999</v>
      </c>
      <c r="L69" s="30">
        <v>5.9</v>
      </c>
      <c r="M69" s="172">
        <v>8.577</v>
      </c>
      <c r="N69" s="173">
        <v>0.11659</v>
      </c>
      <c r="P69" s="30">
        <v>5.9</v>
      </c>
      <c r="Q69" s="172">
        <v>4.2885</v>
      </c>
      <c r="R69" s="173">
        <v>0.18012</v>
      </c>
      <c r="T69" s="30">
        <v>5.9</v>
      </c>
      <c r="U69" s="172">
        <v>233.18</v>
      </c>
      <c r="V69" s="173">
        <v>5.5519999999999996</v>
      </c>
      <c r="X69" s="30">
        <v>5.9</v>
      </c>
      <c r="Y69" s="34">
        <v>3.8290000000000002</v>
      </c>
      <c r="Z69" s="35">
        <v>0.16081999999999999</v>
      </c>
      <c r="AA69" s="36"/>
      <c r="AB69" s="30">
        <v>5.9</v>
      </c>
      <c r="AC69" s="44">
        <v>261.16000000000003</v>
      </c>
      <c r="AD69" s="35">
        <v>6.218</v>
      </c>
      <c r="AE69" s="36"/>
      <c r="AF69" s="30">
        <v>5.9</v>
      </c>
      <c r="AG69" s="34">
        <v>3.8904999999999998</v>
      </c>
      <c r="AH69" s="35">
        <v>0.16339999999999999</v>
      </c>
      <c r="AI69" s="35"/>
      <c r="AJ69" s="35">
        <v>0.10654</v>
      </c>
      <c r="AK69" s="998">
        <v>79.099999999999994</v>
      </c>
      <c r="AM69" s="30">
        <v>5.9</v>
      </c>
      <c r="AN69" s="34">
        <v>0.88239999999999996</v>
      </c>
      <c r="AO69" s="35">
        <v>0.98829999999999996</v>
      </c>
      <c r="AQ69" s="197">
        <v>0.70899999999999996</v>
      </c>
      <c r="AR69" s="200">
        <v>68.08</v>
      </c>
      <c r="AS69" s="199">
        <v>708.8</v>
      </c>
      <c r="AZ69" s="197">
        <v>0.70899999999999996</v>
      </c>
      <c r="BA69" s="198">
        <v>5.9016999999999999</v>
      </c>
      <c r="BB69" s="199">
        <v>0.16944000000000001</v>
      </c>
      <c r="BD69" s="197">
        <v>0.70899999999999996</v>
      </c>
      <c r="BE69" s="198">
        <v>2.9508999999999999</v>
      </c>
      <c r="BF69" s="199">
        <v>0.12393999999999999</v>
      </c>
      <c r="BH69" s="197">
        <v>0.70899999999999996</v>
      </c>
      <c r="BI69" s="198">
        <v>338.88</v>
      </c>
      <c r="BJ69" s="199">
        <v>8.0690000000000008</v>
      </c>
      <c r="BL69" s="197">
        <v>0.70899999999999996</v>
      </c>
      <c r="BM69" s="198">
        <v>2.6347</v>
      </c>
      <c r="BN69" s="199">
        <v>0.11065999999999999</v>
      </c>
      <c r="BP69" s="197">
        <v>0.70899999999999996</v>
      </c>
      <c r="BQ69" s="200">
        <v>379.55</v>
      </c>
      <c r="BR69" s="199">
        <v>9.0370000000000008</v>
      </c>
      <c r="BT69" s="197">
        <v>0.70899999999999996</v>
      </c>
      <c r="BU69" s="201">
        <v>1.2819</v>
      </c>
      <c r="BV69" s="202">
        <v>1.4357</v>
      </c>
      <c r="BX69" s="37">
        <v>709</v>
      </c>
      <c r="BY69" s="38">
        <v>0.70920000000000005</v>
      </c>
      <c r="BZ69" s="39">
        <v>68.02</v>
      </c>
      <c r="CA69" s="33"/>
      <c r="CB69" s="37">
        <v>709</v>
      </c>
      <c r="CC69" s="38">
        <v>0.15887000000000001</v>
      </c>
      <c r="CD69" s="42">
        <v>6.2939999999999996</v>
      </c>
      <c r="CE69" s="33"/>
      <c r="CF69" s="33"/>
      <c r="CG69" s="33"/>
      <c r="CH69" s="33"/>
      <c r="CI69" s="33"/>
      <c r="CJ69" s="33"/>
      <c r="CK69" s="33"/>
      <c r="CL69" s="40">
        <v>709</v>
      </c>
      <c r="CM69" s="43">
        <v>707.9</v>
      </c>
      <c r="CN69" s="41">
        <v>1.4127000000000001</v>
      </c>
      <c r="CO69" s="33"/>
      <c r="CP69" s="40">
        <v>709</v>
      </c>
      <c r="CQ69" s="34">
        <v>0.78029999999999999</v>
      </c>
      <c r="CR69" s="41">
        <v>0.69669999999999999</v>
      </c>
      <c r="CS69" s="33"/>
      <c r="CT69" s="40">
        <v>709</v>
      </c>
      <c r="CU69" s="44">
        <v>373.45</v>
      </c>
      <c r="CV69" s="42">
        <v>8.8919999999999995</v>
      </c>
    </row>
    <row r="70" spans="4:100">
      <c r="D70" s="30">
        <v>6</v>
      </c>
      <c r="E70" s="31">
        <v>1.0290999999999999</v>
      </c>
      <c r="F70" s="32">
        <v>1028.4000000000001</v>
      </c>
      <c r="G70" s="33"/>
      <c r="H70" s="30">
        <v>6</v>
      </c>
      <c r="I70" s="34">
        <v>3.7839999999999998</v>
      </c>
      <c r="J70" s="35">
        <v>0.15892999999999999</v>
      </c>
      <c r="L70" s="30">
        <v>6</v>
      </c>
      <c r="M70" s="172">
        <v>8.5709999999999997</v>
      </c>
      <c r="N70" s="173">
        <v>0.11668000000000001</v>
      </c>
      <c r="P70" s="30">
        <v>6</v>
      </c>
      <c r="Q70" s="172">
        <v>4.2854000000000001</v>
      </c>
      <c r="R70" s="173">
        <v>0.17999000000000001</v>
      </c>
      <c r="T70" s="30">
        <v>6</v>
      </c>
      <c r="U70" s="172">
        <v>233.35</v>
      </c>
      <c r="V70" s="173">
        <v>5.556</v>
      </c>
      <c r="X70" s="30">
        <v>6</v>
      </c>
      <c r="Y70" s="34">
        <v>3.8262</v>
      </c>
      <c r="Z70" s="35">
        <v>0.16070000000000001</v>
      </c>
      <c r="AA70" s="36"/>
      <c r="AB70" s="30">
        <v>6</v>
      </c>
      <c r="AC70" s="44">
        <v>261.35000000000002</v>
      </c>
      <c r="AD70" s="35">
        <v>6.2229999999999999</v>
      </c>
      <c r="AE70" s="36"/>
      <c r="AF70" s="30">
        <v>6</v>
      </c>
      <c r="AG70" s="34">
        <v>3.8875999999999999</v>
      </c>
      <c r="AH70" s="35">
        <v>0.16328000000000001</v>
      </c>
      <c r="AI70" s="35"/>
      <c r="AJ70" s="35">
        <v>0.10659</v>
      </c>
      <c r="AK70" s="998">
        <v>79</v>
      </c>
      <c r="AM70" s="30">
        <v>6</v>
      </c>
      <c r="AN70" s="34">
        <v>0.88300000000000001</v>
      </c>
      <c r="AO70" s="35">
        <v>0.98899999999999999</v>
      </c>
      <c r="AQ70" s="197">
        <v>0.71</v>
      </c>
      <c r="AR70" s="200">
        <v>67.8</v>
      </c>
      <c r="AS70" s="199">
        <v>709.8</v>
      </c>
      <c r="AZ70" s="197">
        <v>0.71</v>
      </c>
      <c r="BA70" s="198">
        <v>5.9100999999999999</v>
      </c>
      <c r="BB70" s="199">
        <v>0.16919999999999999</v>
      </c>
      <c r="BD70" s="197">
        <v>0.71</v>
      </c>
      <c r="BE70" s="198">
        <v>2.9550000000000001</v>
      </c>
      <c r="BF70" s="199">
        <v>0.12411</v>
      </c>
      <c r="BH70" s="197">
        <v>0.71</v>
      </c>
      <c r="BI70" s="198">
        <v>338.4</v>
      </c>
      <c r="BJ70" s="199">
        <v>8.0570000000000004</v>
      </c>
      <c r="BL70" s="197">
        <v>0.71</v>
      </c>
      <c r="BM70" s="198">
        <v>2.6383999999999999</v>
      </c>
      <c r="BN70" s="199">
        <v>0.11081000000000001</v>
      </c>
      <c r="BP70" s="197">
        <v>0.71</v>
      </c>
      <c r="BQ70" s="200">
        <v>379.01</v>
      </c>
      <c r="BR70" s="199">
        <v>9.0239999999999991</v>
      </c>
      <c r="BT70" s="197">
        <v>0.71</v>
      </c>
      <c r="BU70" s="201">
        <v>1.2801</v>
      </c>
      <c r="BV70" s="202">
        <v>1.4337</v>
      </c>
      <c r="BX70" s="37">
        <v>710</v>
      </c>
      <c r="BY70" s="38">
        <v>0.71020000000000005</v>
      </c>
      <c r="BZ70" s="39">
        <v>67.739999999999995</v>
      </c>
      <c r="CA70" s="33"/>
      <c r="CB70" s="37">
        <v>710</v>
      </c>
      <c r="CC70" s="38">
        <v>0.15887000000000001</v>
      </c>
      <c r="CD70" s="42">
        <v>6.2939999999999996</v>
      </c>
      <c r="CE70" s="33"/>
      <c r="CF70" s="33"/>
      <c r="CG70" s="33"/>
      <c r="CH70" s="33"/>
      <c r="CI70" s="33"/>
      <c r="CJ70" s="33"/>
      <c r="CK70" s="33"/>
      <c r="CL70" s="40">
        <v>710</v>
      </c>
      <c r="CM70" s="43">
        <v>708.9</v>
      </c>
      <c r="CN70" s="41">
        <v>1.4107000000000001</v>
      </c>
      <c r="CO70" s="33"/>
      <c r="CP70" s="40">
        <v>710</v>
      </c>
      <c r="CQ70" s="34">
        <v>0.78139999999999998</v>
      </c>
      <c r="CR70" s="41">
        <v>0.69769999999999999</v>
      </c>
      <c r="CS70" s="33"/>
      <c r="CT70" s="40">
        <v>710</v>
      </c>
      <c r="CU70" s="44">
        <v>372.93</v>
      </c>
      <c r="CV70" s="42">
        <v>8.8789999999999996</v>
      </c>
    </row>
    <row r="71" spans="4:100">
      <c r="D71" s="30">
        <v>6.1</v>
      </c>
      <c r="E71" s="31">
        <v>1.0283</v>
      </c>
      <c r="F71" s="32">
        <v>1027.7</v>
      </c>
      <c r="G71" s="33"/>
      <c r="H71" s="30">
        <v>6.1</v>
      </c>
      <c r="I71" s="34">
        <v>3.7839999999999998</v>
      </c>
      <c r="J71" s="35">
        <v>0.15892999999999999</v>
      </c>
      <c r="L71" s="30">
        <v>6.1</v>
      </c>
      <c r="M71" s="172">
        <v>8.5649999999999995</v>
      </c>
      <c r="N71" s="173">
        <v>0.11676</v>
      </c>
      <c r="P71" s="30">
        <v>6.1</v>
      </c>
      <c r="Q71" s="172">
        <v>4.2823000000000002</v>
      </c>
      <c r="R71" s="173">
        <v>0.17985999999999999</v>
      </c>
      <c r="T71" s="30">
        <v>6.1</v>
      </c>
      <c r="U71" s="172">
        <v>233.52</v>
      </c>
      <c r="V71" s="173">
        <v>5.56</v>
      </c>
      <c r="X71" s="30">
        <v>6.1</v>
      </c>
      <c r="Y71" s="34">
        <v>3.8235000000000001</v>
      </c>
      <c r="Z71" s="35">
        <v>0.16059000000000001</v>
      </c>
      <c r="AA71" s="36"/>
      <c r="AB71" s="30">
        <v>6.1</v>
      </c>
      <c r="AC71" s="44">
        <v>261.54000000000002</v>
      </c>
      <c r="AD71" s="35">
        <v>6.2270000000000003</v>
      </c>
      <c r="AE71" s="36"/>
      <c r="AF71" s="30">
        <v>6.1</v>
      </c>
      <c r="AG71" s="34">
        <v>3.8847999999999998</v>
      </c>
      <c r="AH71" s="35">
        <v>0.16316</v>
      </c>
      <c r="AI71" s="35"/>
      <c r="AJ71" s="35">
        <v>0.10664</v>
      </c>
      <c r="AK71" s="998">
        <v>78.900000000000006</v>
      </c>
      <c r="AM71" s="30">
        <v>6.1</v>
      </c>
      <c r="AN71" s="34">
        <v>0.88370000000000004</v>
      </c>
      <c r="AO71" s="35">
        <v>0.98970000000000002</v>
      </c>
      <c r="AQ71" s="197">
        <v>0.71099999999999997</v>
      </c>
      <c r="AR71" s="200">
        <v>67.52</v>
      </c>
      <c r="AS71" s="199">
        <v>710.8</v>
      </c>
      <c r="AZ71" s="197">
        <v>0.71099999999999997</v>
      </c>
      <c r="BA71" s="198">
        <v>5.9184000000000001</v>
      </c>
      <c r="BB71" s="199">
        <v>0.16896</v>
      </c>
      <c r="BD71" s="197">
        <v>0.71099999999999997</v>
      </c>
      <c r="BE71" s="198">
        <v>2.9592000000000001</v>
      </c>
      <c r="BF71" s="199">
        <v>0.12429</v>
      </c>
      <c r="BH71" s="197">
        <v>0.71099999999999997</v>
      </c>
      <c r="BI71" s="198">
        <v>337.93</v>
      </c>
      <c r="BJ71" s="199">
        <v>8.0459999999999994</v>
      </c>
      <c r="BL71" s="197">
        <v>0.71099999999999997</v>
      </c>
      <c r="BM71" s="198">
        <v>2.6421999999999999</v>
      </c>
      <c r="BN71" s="199">
        <v>0.11097</v>
      </c>
      <c r="BP71" s="197">
        <v>0.71099999999999997</v>
      </c>
      <c r="BQ71" s="200">
        <v>378.48</v>
      </c>
      <c r="BR71" s="199">
        <v>9.0109999999999992</v>
      </c>
      <c r="BT71" s="197">
        <v>0.71099999999999997</v>
      </c>
      <c r="BU71" s="201">
        <v>1.2783</v>
      </c>
      <c r="BV71" s="202">
        <v>1.4317</v>
      </c>
      <c r="BX71" s="37">
        <v>711</v>
      </c>
      <c r="BY71" s="38">
        <v>0.71120000000000005</v>
      </c>
      <c r="BZ71" s="39">
        <v>67.459999999999994</v>
      </c>
      <c r="CA71" s="33"/>
      <c r="CB71" s="37">
        <v>711</v>
      </c>
      <c r="CC71" s="38">
        <v>0.15887000000000001</v>
      </c>
      <c r="CD71" s="42">
        <v>6.2939999999999996</v>
      </c>
      <c r="CE71" s="33"/>
      <c r="CF71" s="33"/>
      <c r="CG71" s="33"/>
      <c r="CH71" s="33"/>
      <c r="CI71" s="33"/>
      <c r="CJ71" s="33"/>
      <c r="CK71" s="33"/>
      <c r="CL71" s="40">
        <v>711</v>
      </c>
      <c r="CM71" s="43">
        <v>709.9</v>
      </c>
      <c r="CN71" s="41">
        <v>1.4087000000000001</v>
      </c>
      <c r="CO71" s="33"/>
      <c r="CP71" s="40">
        <v>711</v>
      </c>
      <c r="CQ71" s="34">
        <v>0.78249999999999997</v>
      </c>
      <c r="CR71" s="41">
        <v>0.69869999999999999</v>
      </c>
      <c r="CS71" s="33"/>
      <c r="CT71" s="40">
        <v>711</v>
      </c>
      <c r="CU71" s="44">
        <v>372.4</v>
      </c>
      <c r="CV71" s="42">
        <v>8.8670000000000009</v>
      </c>
    </row>
    <row r="72" spans="4:100">
      <c r="D72" s="30">
        <v>6.2</v>
      </c>
      <c r="E72" s="31">
        <v>1.0276000000000001</v>
      </c>
      <c r="F72" s="32">
        <v>1027</v>
      </c>
      <c r="G72" s="33"/>
      <c r="H72" s="30">
        <v>6.2</v>
      </c>
      <c r="I72" s="34">
        <v>3.7839999999999998</v>
      </c>
      <c r="J72" s="35">
        <v>0.15892999999999999</v>
      </c>
      <c r="L72" s="30">
        <v>6.2</v>
      </c>
      <c r="M72" s="172">
        <v>8.5579999999999998</v>
      </c>
      <c r="N72" s="173">
        <v>0.11685</v>
      </c>
      <c r="P72" s="30">
        <v>6.2</v>
      </c>
      <c r="Q72" s="172">
        <v>4.2792000000000003</v>
      </c>
      <c r="R72" s="173">
        <v>0.17971999999999999</v>
      </c>
      <c r="T72" s="30">
        <v>6.2</v>
      </c>
      <c r="U72" s="172">
        <v>233.69</v>
      </c>
      <c r="V72" s="173">
        <v>5.5640000000000001</v>
      </c>
      <c r="X72" s="30">
        <v>6.2</v>
      </c>
      <c r="Y72" s="34">
        <v>3.8207</v>
      </c>
      <c r="Z72" s="35">
        <v>0.16047</v>
      </c>
      <c r="AA72" s="36"/>
      <c r="AB72" s="30">
        <v>6.2</v>
      </c>
      <c r="AC72" s="44">
        <v>261.73</v>
      </c>
      <c r="AD72" s="35">
        <v>6.2320000000000002</v>
      </c>
      <c r="AE72" s="36"/>
      <c r="AF72" s="30">
        <v>6.2</v>
      </c>
      <c r="AG72" s="34">
        <v>3.8820000000000001</v>
      </c>
      <c r="AH72" s="35">
        <v>0.16303999999999999</v>
      </c>
      <c r="AI72" s="35"/>
      <c r="AJ72" s="35">
        <v>0.10668999999999999</v>
      </c>
      <c r="AK72" s="998">
        <v>78.8</v>
      </c>
      <c r="AM72" s="30">
        <v>6.2</v>
      </c>
      <c r="AN72" s="34">
        <v>0.88429999999999997</v>
      </c>
      <c r="AO72" s="35">
        <v>0.99039999999999995</v>
      </c>
      <c r="AQ72" s="197">
        <v>0.71199999999999997</v>
      </c>
      <c r="AR72" s="200">
        <v>67.239999999999995</v>
      </c>
      <c r="AS72" s="199">
        <v>711.8</v>
      </c>
      <c r="AZ72" s="197">
        <v>0.71199999999999997</v>
      </c>
      <c r="BA72" s="198">
        <v>5.9268000000000001</v>
      </c>
      <c r="BB72" s="199">
        <v>0.16872999999999999</v>
      </c>
      <c r="BD72" s="197">
        <v>0.71199999999999997</v>
      </c>
      <c r="BE72" s="198">
        <v>2.9634</v>
      </c>
      <c r="BF72" s="199">
        <v>0.12446</v>
      </c>
      <c r="BH72" s="197">
        <v>0.71199999999999997</v>
      </c>
      <c r="BI72" s="198">
        <v>337.45</v>
      </c>
      <c r="BJ72" s="199">
        <v>8.0350000000000001</v>
      </c>
      <c r="BL72" s="197">
        <v>0.71199999999999997</v>
      </c>
      <c r="BM72" s="198">
        <v>2.6459000000000001</v>
      </c>
      <c r="BN72" s="199">
        <v>0.11113000000000001</v>
      </c>
      <c r="BP72" s="197">
        <v>0.71199999999999997</v>
      </c>
      <c r="BQ72" s="200">
        <v>377.95</v>
      </c>
      <c r="BR72" s="199">
        <v>8.9990000000000006</v>
      </c>
      <c r="BT72" s="197">
        <v>0.71199999999999997</v>
      </c>
      <c r="BU72" s="201">
        <v>1.2765</v>
      </c>
      <c r="BV72" s="202">
        <v>1.4297</v>
      </c>
      <c r="BX72" s="37">
        <v>712</v>
      </c>
      <c r="BY72" s="38">
        <v>0.71220000000000006</v>
      </c>
      <c r="BZ72" s="39">
        <v>67.180000000000007</v>
      </c>
      <c r="CA72" s="33"/>
      <c r="CB72" s="37">
        <v>712</v>
      </c>
      <c r="CC72" s="38">
        <v>0.15887000000000001</v>
      </c>
      <c r="CD72" s="42">
        <v>6.2939999999999996</v>
      </c>
      <c r="CE72" s="33"/>
      <c r="CF72" s="33"/>
      <c r="CG72" s="33"/>
      <c r="CH72" s="33"/>
      <c r="CI72" s="33"/>
      <c r="CJ72" s="33"/>
      <c r="CK72" s="33"/>
      <c r="CL72" s="40">
        <v>712</v>
      </c>
      <c r="CM72" s="43">
        <v>710.9</v>
      </c>
      <c r="CN72" s="41">
        <v>1.4067000000000001</v>
      </c>
      <c r="CO72" s="33"/>
      <c r="CP72" s="40">
        <v>712</v>
      </c>
      <c r="CQ72" s="34">
        <v>0.78359999999999996</v>
      </c>
      <c r="CR72" s="41">
        <v>0.69969999999999999</v>
      </c>
      <c r="CS72" s="33"/>
      <c r="CT72" s="40">
        <v>712</v>
      </c>
      <c r="CU72" s="44">
        <v>371.88</v>
      </c>
      <c r="CV72" s="42">
        <v>8.8539999999999992</v>
      </c>
    </row>
    <row r="73" spans="4:100">
      <c r="D73" s="30">
        <v>6.3</v>
      </c>
      <c r="E73" s="31">
        <v>1.0268999999999999</v>
      </c>
      <c r="F73" s="32">
        <v>1026.2</v>
      </c>
      <c r="G73" s="33"/>
      <c r="H73" s="30">
        <v>6.3</v>
      </c>
      <c r="I73" s="34">
        <v>3.7839999999999998</v>
      </c>
      <c r="J73" s="35">
        <v>0.15892999999999999</v>
      </c>
      <c r="L73" s="30">
        <v>6.3</v>
      </c>
      <c r="M73" s="172">
        <v>8.5519999999999996</v>
      </c>
      <c r="N73" s="173">
        <v>0.11693000000000001</v>
      </c>
      <c r="P73" s="30">
        <v>6.3</v>
      </c>
      <c r="Q73" s="172">
        <v>4.2759999999999998</v>
      </c>
      <c r="R73" s="173">
        <v>0.17959</v>
      </c>
      <c r="T73" s="30">
        <v>6.3</v>
      </c>
      <c r="U73" s="172">
        <v>233.86</v>
      </c>
      <c r="V73" s="173">
        <v>5.5679999999999996</v>
      </c>
      <c r="X73" s="30">
        <v>6.3</v>
      </c>
      <c r="Y73" s="34">
        <v>3.8178999999999998</v>
      </c>
      <c r="Z73" s="35">
        <v>0.16034999999999999</v>
      </c>
      <c r="AA73" s="36"/>
      <c r="AB73" s="30">
        <v>6.3</v>
      </c>
      <c r="AC73" s="44">
        <v>261.92</v>
      </c>
      <c r="AD73" s="35">
        <v>6.2359999999999998</v>
      </c>
      <c r="AE73" s="36"/>
      <c r="AF73" s="30">
        <v>6.3</v>
      </c>
      <c r="AG73" s="34">
        <v>3.8792</v>
      </c>
      <c r="AH73" s="35">
        <v>0.16292999999999999</v>
      </c>
      <c r="AI73" s="35"/>
      <c r="AJ73" s="35">
        <v>0.10674</v>
      </c>
      <c r="AK73" s="998">
        <v>78.7</v>
      </c>
      <c r="AM73" s="30">
        <v>6.3</v>
      </c>
      <c r="AN73" s="34">
        <v>0.88490000000000002</v>
      </c>
      <c r="AO73" s="35">
        <v>0.99109999999999998</v>
      </c>
      <c r="AQ73" s="197">
        <v>0.71299999999999997</v>
      </c>
      <c r="AR73" s="200">
        <v>66.959999999999994</v>
      </c>
      <c r="AS73" s="199">
        <v>712.8</v>
      </c>
      <c r="AZ73" s="197">
        <v>0.71299999999999997</v>
      </c>
      <c r="BA73" s="198">
        <v>5.9351000000000003</v>
      </c>
      <c r="BB73" s="199">
        <v>0.16849</v>
      </c>
      <c r="BD73" s="197">
        <v>0.71299999999999997</v>
      </c>
      <c r="BE73" s="198">
        <v>2.9674999999999998</v>
      </c>
      <c r="BF73" s="199">
        <v>0.12464</v>
      </c>
      <c r="BH73" s="197">
        <v>0.71299999999999997</v>
      </c>
      <c r="BI73" s="198">
        <v>336.98</v>
      </c>
      <c r="BJ73" s="199">
        <v>8.0229999999999997</v>
      </c>
      <c r="BL73" s="197">
        <v>0.71299999999999997</v>
      </c>
      <c r="BM73" s="198">
        <v>2.6496</v>
      </c>
      <c r="BN73" s="199">
        <v>0.11128</v>
      </c>
      <c r="BP73" s="197">
        <v>0.71299999999999997</v>
      </c>
      <c r="BQ73" s="200">
        <v>377.42</v>
      </c>
      <c r="BR73" s="199">
        <v>8.9860000000000007</v>
      </c>
      <c r="BT73" s="197">
        <v>0.71299999999999997</v>
      </c>
      <c r="BU73" s="201">
        <v>1.2746999999999999</v>
      </c>
      <c r="BV73" s="202">
        <v>1.4276</v>
      </c>
      <c r="BX73" s="37">
        <v>713</v>
      </c>
      <c r="BY73" s="38">
        <v>0.71319999999999995</v>
      </c>
      <c r="BZ73" s="39">
        <v>66.900000000000006</v>
      </c>
      <c r="CA73" s="33"/>
      <c r="CB73" s="37">
        <v>713</v>
      </c>
      <c r="CC73" s="38">
        <v>0.15887000000000001</v>
      </c>
      <c r="CD73" s="42">
        <v>6.2939999999999996</v>
      </c>
      <c r="CE73" s="33"/>
      <c r="CF73" s="33"/>
      <c r="CG73" s="33"/>
      <c r="CH73" s="33"/>
      <c r="CI73" s="33"/>
      <c r="CJ73" s="33"/>
      <c r="CK73" s="33"/>
      <c r="CL73" s="40">
        <v>713</v>
      </c>
      <c r="CM73" s="43">
        <v>711.9</v>
      </c>
      <c r="CN73" s="41">
        <v>1.4047000000000001</v>
      </c>
      <c r="CO73" s="33"/>
      <c r="CP73" s="40">
        <v>713</v>
      </c>
      <c r="CQ73" s="34">
        <v>0.78469999999999995</v>
      </c>
      <c r="CR73" s="41">
        <v>0.7006</v>
      </c>
      <c r="CS73" s="33"/>
      <c r="CT73" s="40">
        <v>713</v>
      </c>
      <c r="CU73" s="44">
        <v>371.35</v>
      </c>
      <c r="CV73" s="42">
        <v>8.8420000000000005</v>
      </c>
    </row>
    <row r="74" spans="4:100">
      <c r="D74" s="30">
        <v>6.4</v>
      </c>
      <c r="E74" s="31">
        <v>1.0261</v>
      </c>
      <c r="F74" s="32">
        <v>1025.5</v>
      </c>
      <c r="G74" s="33"/>
      <c r="H74" s="30">
        <v>6.4</v>
      </c>
      <c r="I74" s="34">
        <v>3.7839999999999998</v>
      </c>
      <c r="J74" s="35">
        <v>0.15892999999999999</v>
      </c>
      <c r="L74" s="30">
        <v>6.4</v>
      </c>
      <c r="M74" s="172">
        <v>8.5459999999999994</v>
      </c>
      <c r="N74" s="173">
        <v>0.11702</v>
      </c>
      <c r="P74" s="30">
        <v>6.4</v>
      </c>
      <c r="Q74" s="172">
        <v>4.2728999999999999</v>
      </c>
      <c r="R74" s="173">
        <v>0.17946000000000001</v>
      </c>
      <c r="T74" s="30">
        <v>6.4</v>
      </c>
      <c r="U74" s="172">
        <v>234.03</v>
      </c>
      <c r="V74" s="173">
        <v>5.5720000000000001</v>
      </c>
      <c r="X74" s="30">
        <v>6.4</v>
      </c>
      <c r="Y74" s="34">
        <v>3.8151000000000002</v>
      </c>
      <c r="Z74" s="35">
        <v>0.16023999999999999</v>
      </c>
      <c r="AA74" s="36"/>
      <c r="AB74" s="30">
        <v>6.4</v>
      </c>
      <c r="AC74" s="44">
        <v>262.11</v>
      </c>
      <c r="AD74" s="35">
        <v>6.2409999999999997</v>
      </c>
      <c r="AE74" s="36"/>
      <c r="AF74" s="30">
        <v>6.4</v>
      </c>
      <c r="AG74" s="34">
        <v>3.8763999999999998</v>
      </c>
      <c r="AH74" s="35">
        <v>0.16281000000000001</v>
      </c>
      <c r="AI74" s="35"/>
      <c r="AJ74" s="35">
        <v>0.10679</v>
      </c>
      <c r="AK74" s="998">
        <v>78.599999999999994</v>
      </c>
      <c r="AM74" s="30">
        <v>6.4</v>
      </c>
      <c r="AN74" s="34">
        <v>0.88560000000000005</v>
      </c>
      <c r="AO74" s="35">
        <v>0.9919</v>
      </c>
      <c r="AQ74" s="197">
        <v>0.71399999999999997</v>
      </c>
      <c r="AR74" s="200">
        <v>66.680000000000007</v>
      </c>
      <c r="AS74" s="199">
        <v>713.8</v>
      </c>
      <c r="AZ74" s="197">
        <v>0.71399999999999997</v>
      </c>
      <c r="BA74" s="198">
        <v>5.9433999999999996</v>
      </c>
      <c r="BB74" s="199">
        <v>0.16825000000000001</v>
      </c>
      <c r="BD74" s="197">
        <v>0.71399999999999997</v>
      </c>
      <c r="BE74" s="198">
        <v>2.9716999999999998</v>
      </c>
      <c r="BF74" s="199">
        <v>0.12481</v>
      </c>
      <c r="BH74" s="197">
        <v>0.71399999999999997</v>
      </c>
      <c r="BI74" s="198">
        <v>336.51</v>
      </c>
      <c r="BJ74" s="199">
        <v>8.0120000000000005</v>
      </c>
      <c r="BL74" s="197">
        <v>0.71399999999999997</v>
      </c>
      <c r="BM74" s="198">
        <v>2.6533000000000002</v>
      </c>
      <c r="BN74" s="199">
        <v>0.11144</v>
      </c>
      <c r="BP74" s="197">
        <v>0.71399999999999997</v>
      </c>
      <c r="BQ74" s="200">
        <v>376.89</v>
      </c>
      <c r="BR74" s="199">
        <v>8.9730000000000008</v>
      </c>
      <c r="BT74" s="197">
        <v>0.71399999999999997</v>
      </c>
      <c r="BU74" s="201">
        <v>1.2728999999999999</v>
      </c>
      <c r="BV74" s="202">
        <v>1.4256</v>
      </c>
      <c r="BX74" s="37">
        <v>714</v>
      </c>
      <c r="BY74" s="38">
        <v>0.71419999999999995</v>
      </c>
      <c r="BZ74" s="39">
        <v>66.63</v>
      </c>
      <c r="CA74" s="33"/>
      <c r="CB74" s="37">
        <v>714</v>
      </c>
      <c r="CC74" s="38">
        <v>0.15887000000000001</v>
      </c>
      <c r="CD74" s="42">
        <v>6.2939999999999996</v>
      </c>
      <c r="CE74" s="33"/>
      <c r="CF74" s="33"/>
      <c r="CG74" s="33"/>
      <c r="CH74" s="33"/>
      <c r="CI74" s="33"/>
      <c r="CJ74" s="33"/>
      <c r="CK74" s="33"/>
      <c r="CL74" s="40">
        <v>714</v>
      </c>
      <c r="CM74" s="43">
        <v>712.9</v>
      </c>
      <c r="CN74" s="41">
        <v>1.4027000000000001</v>
      </c>
      <c r="CO74" s="33"/>
      <c r="CP74" s="40">
        <v>714</v>
      </c>
      <c r="CQ74" s="34">
        <v>0.78580000000000005</v>
      </c>
      <c r="CR74" s="41">
        <v>0.7016</v>
      </c>
      <c r="CS74" s="33"/>
      <c r="CT74" s="40">
        <v>714</v>
      </c>
      <c r="CU74" s="44">
        <v>370.83</v>
      </c>
      <c r="CV74" s="42">
        <v>8.8290000000000006</v>
      </c>
    </row>
    <row r="75" spans="4:100">
      <c r="D75" s="30">
        <v>6.5</v>
      </c>
      <c r="E75" s="31">
        <v>1.0254000000000001</v>
      </c>
      <c r="F75" s="32">
        <v>1024.7</v>
      </c>
      <c r="G75" s="33"/>
      <c r="H75" s="30">
        <v>6.5</v>
      </c>
      <c r="I75" s="34">
        <v>3.7839999999999998</v>
      </c>
      <c r="J75" s="35">
        <v>0.15892999999999999</v>
      </c>
      <c r="L75" s="30">
        <v>6.5</v>
      </c>
      <c r="M75" s="172">
        <v>8.5399999999999991</v>
      </c>
      <c r="N75" s="173">
        <v>0.1171</v>
      </c>
      <c r="P75" s="30">
        <v>6.5</v>
      </c>
      <c r="Q75" s="172">
        <v>4.2698</v>
      </c>
      <c r="R75" s="173">
        <v>0.17932999999999999</v>
      </c>
      <c r="T75" s="30">
        <v>6.5</v>
      </c>
      <c r="U75" s="172">
        <v>234.2</v>
      </c>
      <c r="V75" s="173">
        <v>5.5759999999999996</v>
      </c>
      <c r="X75" s="30">
        <v>6.5</v>
      </c>
      <c r="Y75" s="34">
        <v>3.8123999999999998</v>
      </c>
      <c r="Z75" s="35">
        <v>0.16012000000000001</v>
      </c>
      <c r="AA75" s="36"/>
      <c r="AB75" s="30">
        <v>6.5</v>
      </c>
      <c r="AC75" s="44">
        <v>262.3</v>
      </c>
      <c r="AD75" s="35">
        <v>6.2450000000000001</v>
      </c>
      <c r="AE75" s="36"/>
      <c r="AF75" s="30">
        <v>6.5</v>
      </c>
      <c r="AG75" s="34">
        <v>3.8734999999999999</v>
      </c>
      <c r="AH75" s="35">
        <v>0.16269</v>
      </c>
      <c r="AI75" s="35"/>
      <c r="AJ75" s="35">
        <v>0.10684</v>
      </c>
      <c r="AK75" s="998">
        <v>78.5</v>
      </c>
      <c r="AM75" s="30">
        <v>6.5</v>
      </c>
      <c r="AN75" s="34">
        <v>0.88619999999999999</v>
      </c>
      <c r="AO75" s="35">
        <v>0.99260000000000004</v>
      </c>
      <c r="AQ75" s="197">
        <v>0.71499999999999997</v>
      </c>
      <c r="AR75" s="200">
        <v>66.400000000000006</v>
      </c>
      <c r="AS75" s="199">
        <v>714.8</v>
      </c>
      <c r="AZ75" s="197">
        <v>0.71499999999999997</v>
      </c>
      <c r="BA75" s="198">
        <v>5.9518000000000004</v>
      </c>
      <c r="BB75" s="199">
        <v>0.16802</v>
      </c>
      <c r="BD75" s="197">
        <v>0.71499999999999997</v>
      </c>
      <c r="BE75" s="198">
        <v>2.9759000000000002</v>
      </c>
      <c r="BF75" s="199">
        <v>0.12499</v>
      </c>
      <c r="BH75" s="197">
        <v>0.71499999999999997</v>
      </c>
      <c r="BI75" s="198">
        <v>336.03</v>
      </c>
      <c r="BJ75" s="199">
        <v>8.0009999999999994</v>
      </c>
      <c r="BL75" s="197">
        <v>0.71499999999999997</v>
      </c>
      <c r="BM75" s="198">
        <v>2.657</v>
      </c>
      <c r="BN75" s="199">
        <v>0.1116</v>
      </c>
      <c r="BP75" s="197">
        <v>0.71499999999999997</v>
      </c>
      <c r="BQ75" s="200">
        <v>376.36</v>
      </c>
      <c r="BR75" s="199">
        <v>8.9610000000000003</v>
      </c>
      <c r="BT75" s="197">
        <v>0.71499999999999997</v>
      </c>
      <c r="BU75" s="201">
        <v>1.2710999999999999</v>
      </c>
      <c r="BV75" s="202">
        <v>1.4236</v>
      </c>
      <c r="BX75" s="37">
        <v>715</v>
      </c>
      <c r="BY75" s="38">
        <v>0.71519999999999995</v>
      </c>
      <c r="BZ75" s="39">
        <v>66.349999999999994</v>
      </c>
      <c r="CA75" s="33"/>
      <c r="CB75" s="37">
        <v>715</v>
      </c>
      <c r="CC75" s="38">
        <v>0.15887000000000001</v>
      </c>
      <c r="CD75" s="42">
        <v>6.2939999999999996</v>
      </c>
      <c r="CE75" s="33"/>
      <c r="CF75" s="33"/>
      <c r="CG75" s="33"/>
      <c r="CH75" s="33"/>
      <c r="CI75" s="33"/>
      <c r="CJ75" s="33"/>
      <c r="CK75" s="33"/>
      <c r="CL75" s="40">
        <v>715</v>
      </c>
      <c r="CM75" s="43">
        <v>713.9</v>
      </c>
      <c r="CN75" s="41">
        <v>1.4008</v>
      </c>
      <c r="CO75" s="33"/>
      <c r="CP75" s="40">
        <v>715</v>
      </c>
      <c r="CQ75" s="34">
        <v>0.78690000000000004</v>
      </c>
      <c r="CR75" s="41">
        <v>0.7026</v>
      </c>
      <c r="CS75" s="33"/>
      <c r="CT75" s="40">
        <v>715</v>
      </c>
      <c r="CU75" s="44">
        <v>370.31</v>
      </c>
      <c r="CV75" s="42">
        <v>8.8170000000000002</v>
      </c>
    </row>
    <row r="76" spans="4:100">
      <c r="D76" s="30">
        <v>6.6</v>
      </c>
      <c r="E76" s="31">
        <v>1.0246</v>
      </c>
      <c r="F76" s="32">
        <v>1024</v>
      </c>
      <c r="G76" s="33"/>
      <c r="H76" s="30">
        <v>6.6</v>
      </c>
      <c r="I76" s="34">
        <v>3.7839999999999998</v>
      </c>
      <c r="J76" s="35">
        <v>0.15892999999999999</v>
      </c>
      <c r="L76" s="30">
        <v>6.6</v>
      </c>
      <c r="M76" s="172">
        <v>8.5329999999999995</v>
      </c>
      <c r="N76" s="173">
        <v>0.11719</v>
      </c>
      <c r="P76" s="30">
        <v>6.6</v>
      </c>
      <c r="Q76" s="172">
        <v>4.2667000000000002</v>
      </c>
      <c r="R76" s="173">
        <v>0.1792</v>
      </c>
      <c r="T76" s="30">
        <v>6.6</v>
      </c>
      <c r="U76" s="172">
        <v>234.37</v>
      </c>
      <c r="V76" s="173">
        <v>5.58</v>
      </c>
      <c r="X76" s="30">
        <v>6.6</v>
      </c>
      <c r="Y76" s="34">
        <v>3.8096000000000001</v>
      </c>
      <c r="Z76" s="35">
        <v>0.16</v>
      </c>
      <c r="AA76" s="36"/>
      <c r="AB76" s="30">
        <v>6.6</v>
      </c>
      <c r="AC76" s="44">
        <v>262.49</v>
      </c>
      <c r="AD76" s="35">
        <v>6.25</v>
      </c>
      <c r="AE76" s="36"/>
      <c r="AF76" s="30">
        <v>6.6</v>
      </c>
      <c r="AG76" s="34">
        <v>3.8706999999999998</v>
      </c>
      <c r="AH76" s="35">
        <v>0.16256999999999999</v>
      </c>
      <c r="AI76" s="35"/>
      <c r="AJ76" s="35">
        <v>0.10689</v>
      </c>
      <c r="AK76" s="998">
        <v>78.400000000000006</v>
      </c>
      <c r="AM76" s="30">
        <v>6.6</v>
      </c>
      <c r="AN76" s="34">
        <v>0.88690000000000002</v>
      </c>
      <c r="AO76" s="35">
        <v>0.99329999999999996</v>
      </c>
      <c r="AQ76" s="197">
        <v>0.71599999999999997</v>
      </c>
      <c r="AR76" s="200">
        <v>66.13</v>
      </c>
      <c r="AS76" s="199">
        <v>715.8</v>
      </c>
      <c r="AZ76" s="197">
        <v>0.71599999999999997</v>
      </c>
      <c r="BA76" s="198">
        <v>5.9600999999999997</v>
      </c>
      <c r="BB76" s="199">
        <v>0.16778000000000001</v>
      </c>
      <c r="BD76" s="197">
        <v>0.71599999999999997</v>
      </c>
      <c r="BE76" s="198">
        <v>2.9801000000000002</v>
      </c>
      <c r="BF76" s="199">
        <v>0.12515999999999999</v>
      </c>
      <c r="BH76" s="197">
        <v>0.71599999999999997</v>
      </c>
      <c r="BI76" s="198">
        <v>335.56</v>
      </c>
      <c r="BJ76" s="199">
        <v>7.99</v>
      </c>
      <c r="BL76" s="197">
        <v>0.71599999999999997</v>
      </c>
      <c r="BM76" s="198">
        <v>2.6608000000000001</v>
      </c>
      <c r="BN76" s="199">
        <v>0.11175</v>
      </c>
      <c r="BP76" s="197">
        <v>0.71599999999999997</v>
      </c>
      <c r="BQ76" s="200">
        <v>375.83</v>
      </c>
      <c r="BR76" s="199">
        <v>8.9480000000000004</v>
      </c>
      <c r="BT76" s="197">
        <v>0.71599999999999997</v>
      </c>
      <c r="BU76" s="201">
        <v>1.2693000000000001</v>
      </c>
      <c r="BV76" s="202">
        <v>1.4217</v>
      </c>
      <c r="BX76" s="37">
        <v>716</v>
      </c>
      <c r="BY76" s="38">
        <v>0.71619999999999995</v>
      </c>
      <c r="BZ76" s="39">
        <v>66.069999999999993</v>
      </c>
      <c r="CA76" s="33"/>
      <c r="CB76" s="37">
        <v>716</v>
      </c>
      <c r="CC76" s="38">
        <v>0.15887000000000001</v>
      </c>
      <c r="CD76" s="42">
        <v>6.2939999999999996</v>
      </c>
      <c r="CE76" s="33"/>
      <c r="CF76" s="33"/>
      <c r="CG76" s="33"/>
      <c r="CH76" s="33"/>
      <c r="CI76" s="33"/>
      <c r="CJ76" s="33"/>
      <c r="CK76" s="33"/>
      <c r="CL76" s="40">
        <v>716</v>
      </c>
      <c r="CM76" s="43">
        <v>714.9</v>
      </c>
      <c r="CN76" s="41">
        <v>1.3988</v>
      </c>
      <c r="CO76" s="33"/>
      <c r="CP76" s="40">
        <v>716</v>
      </c>
      <c r="CQ76" s="34">
        <v>0.78800000000000003</v>
      </c>
      <c r="CR76" s="41">
        <v>0.7036</v>
      </c>
      <c r="CS76" s="33"/>
      <c r="CT76" s="40">
        <v>716</v>
      </c>
      <c r="CU76" s="44">
        <v>369.79</v>
      </c>
      <c r="CV76" s="42">
        <v>8.8049999999999997</v>
      </c>
    </row>
    <row r="77" spans="4:100">
      <c r="D77" s="30">
        <v>6.7</v>
      </c>
      <c r="E77" s="31">
        <v>1.0239</v>
      </c>
      <c r="F77" s="32">
        <v>1023.2</v>
      </c>
      <c r="G77" s="33"/>
      <c r="H77" s="30">
        <v>6.7</v>
      </c>
      <c r="I77" s="34">
        <v>3.7839999999999998</v>
      </c>
      <c r="J77" s="35">
        <v>0.15892999999999999</v>
      </c>
      <c r="L77" s="30">
        <v>6.7</v>
      </c>
      <c r="M77" s="172">
        <v>8.5269999999999992</v>
      </c>
      <c r="N77" s="173">
        <v>0.11727</v>
      </c>
      <c r="P77" s="30">
        <v>6.7</v>
      </c>
      <c r="Q77" s="172">
        <v>4.2637</v>
      </c>
      <c r="R77" s="173">
        <v>0.17907000000000001</v>
      </c>
      <c r="T77" s="30">
        <v>6.7</v>
      </c>
      <c r="U77" s="172">
        <v>234.54</v>
      </c>
      <c r="V77" s="173">
        <v>5.5839999999999996</v>
      </c>
      <c r="X77" s="30">
        <v>6.7</v>
      </c>
      <c r="Y77" s="34">
        <v>3.8068</v>
      </c>
      <c r="Z77" s="35">
        <v>0.15989</v>
      </c>
      <c r="AA77" s="36"/>
      <c r="AB77" s="30">
        <v>6.7</v>
      </c>
      <c r="AC77" s="44">
        <v>262.69</v>
      </c>
      <c r="AD77" s="35">
        <v>6.2539999999999996</v>
      </c>
      <c r="AE77" s="36"/>
      <c r="AF77" s="30">
        <v>6.7</v>
      </c>
      <c r="AG77" s="34">
        <v>3.8679000000000001</v>
      </c>
      <c r="AH77" s="35">
        <v>0.16245000000000001</v>
      </c>
      <c r="AI77" s="35"/>
      <c r="AJ77" s="35">
        <v>0.10695</v>
      </c>
      <c r="AK77" s="998">
        <v>78.3</v>
      </c>
      <c r="AM77" s="30">
        <v>6.7</v>
      </c>
      <c r="AN77" s="34">
        <v>0.88749999999999996</v>
      </c>
      <c r="AO77" s="35">
        <v>0.99399999999999999</v>
      </c>
      <c r="AQ77" s="197">
        <v>0.71699999999999997</v>
      </c>
      <c r="AR77" s="200">
        <v>65.849999999999994</v>
      </c>
      <c r="AS77" s="199">
        <v>716.8</v>
      </c>
      <c r="AZ77" s="197">
        <v>0.71699999999999997</v>
      </c>
      <c r="BA77" s="198">
        <v>5.9684999999999997</v>
      </c>
      <c r="BB77" s="199">
        <v>0.16755</v>
      </c>
      <c r="BD77" s="197">
        <v>0.71699999999999997</v>
      </c>
      <c r="BE77" s="198">
        <v>2.9842</v>
      </c>
      <c r="BF77" s="199">
        <v>0.12534000000000001</v>
      </c>
      <c r="BH77" s="197">
        <v>0.71699999999999997</v>
      </c>
      <c r="BI77" s="198">
        <v>335.1</v>
      </c>
      <c r="BJ77" s="199">
        <v>7.9779999999999998</v>
      </c>
      <c r="BL77" s="197">
        <v>0.71699999999999997</v>
      </c>
      <c r="BM77" s="198">
        <v>2.6644999999999999</v>
      </c>
      <c r="BN77" s="199">
        <v>0.11191</v>
      </c>
      <c r="BP77" s="197">
        <v>0.71699999999999997</v>
      </c>
      <c r="BQ77" s="200">
        <v>375.31</v>
      </c>
      <c r="BR77" s="199">
        <v>8.9359999999999999</v>
      </c>
      <c r="BT77" s="197">
        <v>0.71699999999999997</v>
      </c>
      <c r="BU77" s="201">
        <v>1.2676000000000001</v>
      </c>
      <c r="BV77" s="202">
        <v>1.4197</v>
      </c>
      <c r="BX77" s="37">
        <v>717</v>
      </c>
      <c r="BY77" s="38">
        <v>0.71719999999999995</v>
      </c>
      <c r="BZ77" s="39">
        <v>65.8</v>
      </c>
      <c r="CA77" s="33"/>
      <c r="CB77" s="37">
        <v>717</v>
      </c>
      <c r="CC77" s="38">
        <v>0.15887000000000001</v>
      </c>
      <c r="CD77" s="42">
        <v>6.2939999999999996</v>
      </c>
      <c r="CE77" s="33"/>
      <c r="CF77" s="33"/>
      <c r="CG77" s="33"/>
      <c r="CH77" s="33"/>
      <c r="CI77" s="33"/>
      <c r="CJ77" s="33"/>
      <c r="CK77" s="33"/>
      <c r="CL77" s="40">
        <v>717</v>
      </c>
      <c r="CM77" s="43">
        <v>715.9</v>
      </c>
      <c r="CN77" s="41">
        <v>1.3969</v>
      </c>
      <c r="CO77" s="33"/>
      <c r="CP77" s="40">
        <v>717</v>
      </c>
      <c r="CQ77" s="34">
        <v>0.78910000000000002</v>
      </c>
      <c r="CR77" s="41">
        <v>0.7046</v>
      </c>
      <c r="CS77" s="33"/>
      <c r="CT77" s="40">
        <v>717</v>
      </c>
      <c r="CU77" s="44">
        <v>369.28</v>
      </c>
      <c r="CV77" s="42">
        <v>8.7919999999999998</v>
      </c>
    </row>
    <row r="78" spans="4:100">
      <c r="D78" s="30">
        <v>6.8</v>
      </c>
      <c r="E78" s="31">
        <v>1.0230999999999999</v>
      </c>
      <c r="F78" s="32">
        <v>1022.5</v>
      </c>
      <c r="G78" s="33"/>
      <c r="H78" s="30">
        <v>6.8</v>
      </c>
      <c r="I78" s="34">
        <v>3.7839999999999998</v>
      </c>
      <c r="J78" s="35">
        <v>0.15892999999999999</v>
      </c>
      <c r="L78" s="30">
        <v>6.8</v>
      </c>
      <c r="M78" s="172">
        <v>8.5210000000000008</v>
      </c>
      <c r="N78" s="173">
        <v>0.11736000000000001</v>
      </c>
      <c r="P78" s="30">
        <v>6.8</v>
      </c>
      <c r="Q78" s="172">
        <v>4.2606000000000002</v>
      </c>
      <c r="R78" s="173">
        <v>0.17893999999999999</v>
      </c>
      <c r="T78" s="30">
        <v>6.8</v>
      </c>
      <c r="U78" s="172">
        <v>234.71</v>
      </c>
      <c r="V78" s="173">
        <v>5.5880000000000001</v>
      </c>
      <c r="X78" s="30">
        <v>6.8</v>
      </c>
      <c r="Y78" s="34">
        <v>3.8041</v>
      </c>
      <c r="Z78" s="35">
        <v>0.15977</v>
      </c>
      <c r="AA78" s="36"/>
      <c r="AB78" s="30">
        <v>6.8</v>
      </c>
      <c r="AC78" s="44">
        <v>262.88</v>
      </c>
      <c r="AD78" s="35">
        <v>6.2590000000000003</v>
      </c>
      <c r="AE78" s="36"/>
      <c r="AF78" s="30">
        <v>6.8</v>
      </c>
      <c r="AG78" s="34">
        <v>3.8651</v>
      </c>
      <c r="AH78" s="35">
        <v>0.16234000000000001</v>
      </c>
      <c r="AI78" s="35"/>
      <c r="AJ78" s="35">
        <v>0.107</v>
      </c>
      <c r="AK78" s="998">
        <v>78.2</v>
      </c>
      <c r="AM78" s="30">
        <v>6.8</v>
      </c>
      <c r="AN78" s="34">
        <v>0.88819999999999999</v>
      </c>
      <c r="AO78" s="35">
        <v>0.99470000000000003</v>
      </c>
      <c r="AQ78" s="197">
        <v>0.71799999999999997</v>
      </c>
      <c r="AR78" s="200">
        <v>65.58</v>
      </c>
      <c r="AS78" s="199">
        <v>717.8</v>
      </c>
      <c r="AZ78" s="197">
        <v>0.71799999999999997</v>
      </c>
      <c r="BA78" s="198">
        <v>5.9767999999999999</v>
      </c>
      <c r="BB78" s="199">
        <v>0.16730999999999999</v>
      </c>
      <c r="BD78" s="197">
        <v>0.71799999999999997</v>
      </c>
      <c r="BE78" s="198">
        <v>2.9883999999999999</v>
      </c>
      <c r="BF78" s="199">
        <v>0.12551000000000001</v>
      </c>
      <c r="BH78" s="197">
        <v>0.71799999999999997</v>
      </c>
      <c r="BI78" s="198">
        <v>334.63</v>
      </c>
      <c r="BJ78" s="199">
        <v>7.9669999999999996</v>
      </c>
      <c r="BL78" s="197">
        <v>0.71799999999999997</v>
      </c>
      <c r="BM78" s="198">
        <v>2.6682000000000001</v>
      </c>
      <c r="BN78" s="199">
        <v>0.11206000000000001</v>
      </c>
      <c r="BP78" s="197">
        <v>0.71799999999999997</v>
      </c>
      <c r="BQ78" s="200">
        <v>374.78</v>
      </c>
      <c r="BR78" s="199">
        <v>8.923</v>
      </c>
      <c r="BT78" s="197">
        <v>0.71799999999999997</v>
      </c>
      <c r="BU78" s="201">
        <v>1.2658</v>
      </c>
      <c r="BV78" s="202">
        <v>1.4177</v>
      </c>
      <c r="BX78" s="37">
        <v>718</v>
      </c>
      <c r="BY78" s="38">
        <v>0.71819999999999995</v>
      </c>
      <c r="BZ78" s="39">
        <v>65.52</v>
      </c>
      <c r="CA78" s="33"/>
      <c r="CB78" s="37">
        <v>718</v>
      </c>
      <c r="CC78" s="38">
        <v>0.15887000000000001</v>
      </c>
      <c r="CD78" s="42">
        <v>6.2939999999999996</v>
      </c>
      <c r="CE78" s="33"/>
      <c r="CF78" s="33"/>
      <c r="CG78" s="33"/>
      <c r="CH78" s="33"/>
      <c r="CI78" s="33"/>
      <c r="CJ78" s="33"/>
      <c r="CK78" s="33"/>
      <c r="CL78" s="40">
        <v>718</v>
      </c>
      <c r="CM78" s="43">
        <v>716.9</v>
      </c>
      <c r="CN78" s="41">
        <v>1.3949</v>
      </c>
      <c r="CO78" s="33"/>
      <c r="CP78" s="40">
        <v>718</v>
      </c>
      <c r="CQ78" s="34">
        <v>0.79020000000000001</v>
      </c>
      <c r="CR78" s="41">
        <v>0.7056</v>
      </c>
      <c r="CS78" s="33"/>
      <c r="CT78" s="40">
        <v>718</v>
      </c>
      <c r="CU78" s="44">
        <v>368.76</v>
      </c>
      <c r="CV78" s="42">
        <v>8.7799999999999994</v>
      </c>
    </row>
    <row r="79" spans="4:100">
      <c r="D79" s="30">
        <v>6.9</v>
      </c>
      <c r="E79" s="31">
        <v>1.0224</v>
      </c>
      <c r="F79" s="32">
        <v>1021.8</v>
      </c>
      <c r="G79" s="33"/>
      <c r="H79" s="30">
        <v>6.9</v>
      </c>
      <c r="I79" s="34">
        <v>3.7839999999999998</v>
      </c>
      <c r="J79" s="35">
        <v>0.15892999999999999</v>
      </c>
      <c r="L79" s="30">
        <v>6.9</v>
      </c>
      <c r="M79" s="172">
        <v>8.5150000000000006</v>
      </c>
      <c r="N79" s="173">
        <v>0.11744</v>
      </c>
      <c r="P79" s="30">
        <v>6.9</v>
      </c>
      <c r="Q79" s="172">
        <v>4.2575000000000003</v>
      </c>
      <c r="R79" s="173">
        <v>0.17881</v>
      </c>
      <c r="T79" s="30">
        <v>6.9</v>
      </c>
      <c r="U79" s="172">
        <v>234.88</v>
      </c>
      <c r="V79" s="173">
        <v>5.5919999999999996</v>
      </c>
      <c r="X79" s="30">
        <v>6.9</v>
      </c>
      <c r="Y79" s="34">
        <v>3.8012999999999999</v>
      </c>
      <c r="Z79" s="35">
        <v>0.15966</v>
      </c>
      <c r="AA79" s="36"/>
      <c r="AB79" s="30">
        <v>6.9</v>
      </c>
      <c r="AC79" s="44">
        <v>263.07</v>
      </c>
      <c r="AD79" s="35">
        <v>6.2629999999999999</v>
      </c>
      <c r="AE79" s="36"/>
      <c r="AF79" s="30">
        <v>6.9</v>
      </c>
      <c r="AG79" s="34">
        <v>3.8622999999999998</v>
      </c>
      <c r="AH79" s="35">
        <v>0.16222</v>
      </c>
      <c r="AI79" s="35"/>
      <c r="AJ79" s="35">
        <v>0.10705000000000001</v>
      </c>
      <c r="AK79" s="998">
        <v>78.099999999999994</v>
      </c>
      <c r="AM79" s="30">
        <v>6.9</v>
      </c>
      <c r="AN79" s="34">
        <v>0.88880000000000003</v>
      </c>
      <c r="AO79" s="35">
        <v>0.99550000000000005</v>
      </c>
      <c r="AQ79" s="197">
        <v>0.71899999999999997</v>
      </c>
      <c r="AR79" s="200">
        <v>65.3</v>
      </c>
      <c r="AS79" s="199">
        <v>718.8</v>
      </c>
      <c r="AZ79" s="197">
        <v>0.71899999999999997</v>
      </c>
      <c r="BA79" s="198">
        <v>5.9851000000000001</v>
      </c>
      <c r="BB79" s="199">
        <v>0.16708000000000001</v>
      </c>
      <c r="BD79" s="197">
        <v>0.71899999999999997</v>
      </c>
      <c r="BE79" s="198">
        <v>2.9925999999999999</v>
      </c>
      <c r="BF79" s="199">
        <v>0.12569</v>
      </c>
      <c r="BH79" s="197">
        <v>0.71899999999999997</v>
      </c>
      <c r="BI79" s="198">
        <v>334.16</v>
      </c>
      <c r="BJ79" s="199">
        <v>7.9560000000000004</v>
      </c>
      <c r="BL79" s="197">
        <v>0.71899999999999997</v>
      </c>
      <c r="BM79" s="198">
        <v>2.6718999999999999</v>
      </c>
      <c r="BN79" s="199">
        <v>0.11222</v>
      </c>
      <c r="BP79" s="197">
        <v>0.71899999999999997</v>
      </c>
      <c r="BQ79" s="200">
        <v>374.26</v>
      </c>
      <c r="BR79" s="199">
        <v>8.9109999999999996</v>
      </c>
      <c r="BT79" s="197">
        <v>0.71899999999999997</v>
      </c>
      <c r="BU79" s="201">
        <v>1.264</v>
      </c>
      <c r="BV79" s="202">
        <v>1.4157</v>
      </c>
      <c r="BX79" s="37">
        <v>719</v>
      </c>
      <c r="BY79" s="38">
        <v>0.71919999999999995</v>
      </c>
      <c r="BZ79" s="39">
        <v>65.25</v>
      </c>
      <c r="CA79" s="33"/>
      <c r="CB79" s="37">
        <v>719</v>
      </c>
      <c r="CC79" s="38">
        <v>0.15887000000000001</v>
      </c>
      <c r="CD79" s="42">
        <v>6.2939999999999996</v>
      </c>
      <c r="CE79" s="33"/>
      <c r="CF79" s="33"/>
      <c r="CG79" s="33"/>
      <c r="CH79" s="33"/>
      <c r="CI79" s="33"/>
      <c r="CJ79" s="33"/>
      <c r="CK79" s="33"/>
      <c r="CL79" s="40">
        <v>719</v>
      </c>
      <c r="CM79" s="43">
        <v>717.9</v>
      </c>
      <c r="CN79" s="41">
        <v>1.393</v>
      </c>
      <c r="CO79" s="33"/>
      <c r="CP79" s="40">
        <v>719</v>
      </c>
      <c r="CQ79" s="34">
        <v>0.7913</v>
      </c>
      <c r="CR79" s="41">
        <v>0.70660000000000001</v>
      </c>
      <c r="CS79" s="33"/>
      <c r="CT79" s="40">
        <v>719</v>
      </c>
      <c r="CU79" s="44">
        <v>368.25</v>
      </c>
      <c r="CV79" s="42">
        <v>8.7680000000000007</v>
      </c>
    </row>
    <row r="80" spans="4:100">
      <c r="D80" s="30">
        <v>7</v>
      </c>
      <c r="E80" s="31">
        <v>1.0217000000000001</v>
      </c>
      <c r="F80" s="32">
        <v>1021</v>
      </c>
      <c r="G80" s="33"/>
      <c r="H80" s="30">
        <v>7</v>
      </c>
      <c r="I80" s="34">
        <v>3.7839999999999998</v>
      </c>
      <c r="J80" s="35">
        <v>0.15892999999999999</v>
      </c>
      <c r="L80" s="30">
        <v>7</v>
      </c>
      <c r="M80" s="172">
        <v>8.5090000000000003</v>
      </c>
      <c r="N80" s="173">
        <v>0.11753</v>
      </c>
      <c r="P80" s="30">
        <v>7</v>
      </c>
      <c r="Q80" s="172">
        <v>4.2544000000000004</v>
      </c>
      <c r="R80" s="173">
        <v>0.17868999999999999</v>
      </c>
      <c r="T80" s="30">
        <v>7</v>
      </c>
      <c r="U80" s="172">
        <v>235.05</v>
      </c>
      <c r="V80" s="173">
        <v>5.5959999999999903</v>
      </c>
      <c r="X80" s="30">
        <v>7</v>
      </c>
      <c r="Y80" s="34">
        <v>3.7986</v>
      </c>
      <c r="Z80" s="35">
        <v>0.15953999999999999</v>
      </c>
      <c r="AA80" s="36"/>
      <c r="AB80" s="30">
        <v>7</v>
      </c>
      <c r="AC80" s="44">
        <v>263.26</v>
      </c>
      <c r="AD80" s="35">
        <v>6.2679999999999998</v>
      </c>
      <c r="AE80" s="36"/>
      <c r="AF80" s="30">
        <v>7</v>
      </c>
      <c r="AG80" s="34">
        <v>3.8595000000000002</v>
      </c>
      <c r="AH80" s="35">
        <v>0.16209999999999999</v>
      </c>
      <c r="AI80" s="35"/>
      <c r="AJ80" s="35">
        <v>0.1071</v>
      </c>
      <c r="AK80" s="998">
        <v>78</v>
      </c>
      <c r="AM80" s="30">
        <v>7</v>
      </c>
      <c r="AN80" s="34">
        <v>0.88939999999999997</v>
      </c>
      <c r="AO80" s="35">
        <v>0.99619999999999997</v>
      </c>
      <c r="AQ80" s="197">
        <v>0.72</v>
      </c>
      <c r="AR80" s="200">
        <v>65.03</v>
      </c>
      <c r="AS80" s="199">
        <v>719.8</v>
      </c>
      <c r="AZ80" s="197">
        <v>0.72</v>
      </c>
      <c r="BA80" s="198">
        <v>5.9935</v>
      </c>
      <c r="BB80" s="199">
        <v>0.16685</v>
      </c>
      <c r="BD80" s="197">
        <v>0.72</v>
      </c>
      <c r="BE80" s="198">
        <v>2.9967000000000001</v>
      </c>
      <c r="BF80" s="199">
        <v>0.12586</v>
      </c>
      <c r="BH80" s="197">
        <v>0.72</v>
      </c>
      <c r="BI80" s="198">
        <v>333.7</v>
      </c>
      <c r="BJ80" s="199">
        <v>7.9450000000000003</v>
      </c>
      <c r="BL80" s="197">
        <v>0.72</v>
      </c>
      <c r="BM80" s="198">
        <v>2.6757</v>
      </c>
      <c r="BN80" s="199">
        <v>0.11237999999999999</v>
      </c>
      <c r="BP80" s="197">
        <v>0.72</v>
      </c>
      <c r="BQ80" s="200">
        <v>373.74</v>
      </c>
      <c r="BR80" s="199">
        <v>8.8989999999999991</v>
      </c>
      <c r="BT80" s="197">
        <v>0.72</v>
      </c>
      <c r="BU80" s="201">
        <v>1.2623</v>
      </c>
      <c r="BV80" s="202">
        <v>1.4137999999999999</v>
      </c>
      <c r="BX80" s="37">
        <v>720</v>
      </c>
      <c r="BY80" s="38">
        <v>0.72019999999999995</v>
      </c>
      <c r="BZ80" s="39">
        <v>64.97</v>
      </c>
      <c r="CA80" s="33"/>
      <c r="CB80" s="37">
        <v>720</v>
      </c>
      <c r="CC80" s="38">
        <v>0.15887000000000001</v>
      </c>
      <c r="CD80" s="42">
        <v>6.2939999999999996</v>
      </c>
      <c r="CE80" s="33"/>
      <c r="CF80" s="33"/>
      <c r="CG80" s="33"/>
      <c r="CH80" s="33"/>
      <c r="CI80" s="33"/>
      <c r="CJ80" s="33"/>
      <c r="CK80" s="33"/>
      <c r="CL80" s="40">
        <v>720</v>
      </c>
      <c r="CM80" s="43">
        <v>718.9</v>
      </c>
      <c r="CN80" s="41">
        <v>1.391</v>
      </c>
      <c r="CO80" s="33"/>
      <c r="CP80" s="40">
        <v>720</v>
      </c>
      <c r="CQ80" s="34">
        <v>0.79239999999999999</v>
      </c>
      <c r="CR80" s="41">
        <v>0.70750000000000002</v>
      </c>
      <c r="CS80" s="33"/>
      <c r="CT80" s="40">
        <v>720</v>
      </c>
      <c r="CU80" s="44">
        <v>367.73</v>
      </c>
      <c r="CV80" s="42">
        <v>8.7560000000000002</v>
      </c>
    </row>
    <row r="81" spans="4:100">
      <c r="D81" s="30">
        <v>7.1</v>
      </c>
      <c r="E81" s="31">
        <v>1.0208999999999999</v>
      </c>
      <c r="F81" s="32">
        <v>1020.3</v>
      </c>
      <c r="G81" s="33"/>
      <c r="H81" s="30">
        <v>7.1</v>
      </c>
      <c r="I81" s="34">
        <v>3.7839999999999998</v>
      </c>
      <c r="J81" s="35">
        <v>0.15892999999999999</v>
      </c>
      <c r="L81" s="30">
        <v>7.1</v>
      </c>
      <c r="M81" s="172">
        <v>8.5030000000000001</v>
      </c>
      <c r="N81" s="173">
        <v>0.11761000000000001</v>
      </c>
      <c r="P81" s="30">
        <v>7.1</v>
      </c>
      <c r="Q81" s="172">
        <v>4.2512999999999996</v>
      </c>
      <c r="R81" s="173">
        <v>0.17856</v>
      </c>
      <c r="T81" s="30">
        <v>7.1</v>
      </c>
      <c r="U81" s="172">
        <v>235.22</v>
      </c>
      <c r="V81" s="173">
        <v>5.6</v>
      </c>
      <c r="X81" s="30">
        <v>7.1</v>
      </c>
      <c r="Y81" s="34">
        <v>3.7957999999999998</v>
      </c>
      <c r="Z81" s="35">
        <v>0.15942999999999999</v>
      </c>
      <c r="AA81" s="36"/>
      <c r="AB81" s="30">
        <v>7.1</v>
      </c>
      <c r="AC81" s="44">
        <v>263.45</v>
      </c>
      <c r="AD81" s="35">
        <v>6.2729999999999997</v>
      </c>
      <c r="AE81" s="36"/>
      <c r="AF81" s="30">
        <v>7.1</v>
      </c>
      <c r="AG81" s="34">
        <v>3.8567999999999998</v>
      </c>
      <c r="AH81" s="35">
        <v>0.16198000000000001</v>
      </c>
      <c r="AI81" s="35"/>
      <c r="AJ81" s="35">
        <v>0.10715</v>
      </c>
      <c r="AK81" s="998">
        <v>77.900000000000006</v>
      </c>
      <c r="AM81" s="30">
        <v>7.1</v>
      </c>
      <c r="AN81" s="34">
        <v>0.8901</v>
      </c>
      <c r="AO81" s="35">
        <v>0.99690000000000001</v>
      </c>
      <c r="AQ81" s="197">
        <v>0.72099999999999997</v>
      </c>
      <c r="AR81" s="200">
        <v>64.760000000000005</v>
      </c>
      <c r="AS81" s="199">
        <v>720.8</v>
      </c>
      <c r="AZ81" s="197">
        <v>0.72099999999999997</v>
      </c>
      <c r="BA81" s="198">
        <v>6.0018000000000002</v>
      </c>
      <c r="BB81" s="199">
        <v>0.16661999999999999</v>
      </c>
      <c r="BD81" s="197">
        <v>0.72099999999999997</v>
      </c>
      <c r="BE81" s="198">
        <v>3.0009000000000001</v>
      </c>
      <c r="BF81" s="199">
        <v>0.12604000000000001</v>
      </c>
      <c r="BH81" s="197">
        <v>0.72099999999999997</v>
      </c>
      <c r="BI81" s="198">
        <v>333.23</v>
      </c>
      <c r="BJ81" s="199">
        <v>7.9340000000000002</v>
      </c>
      <c r="BL81" s="197">
        <v>0.72099999999999997</v>
      </c>
      <c r="BM81" s="198">
        <v>2.6793999999999998</v>
      </c>
      <c r="BN81" s="199">
        <v>0.11253000000000001</v>
      </c>
      <c r="BP81" s="197">
        <v>0.72099999999999997</v>
      </c>
      <c r="BQ81" s="200">
        <v>373.22</v>
      </c>
      <c r="BR81" s="199">
        <v>8.8859999999999992</v>
      </c>
      <c r="BT81" s="197">
        <v>0.72099999999999997</v>
      </c>
      <c r="BU81" s="201">
        <v>1.2605</v>
      </c>
      <c r="BV81" s="202">
        <v>1.4117999999999999</v>
      </c>
      <c r="BX81" s="37">
        <v>721</v>
      </c>
      <c r="BY81" s="38">
        <v>0.72119999999999995</v>
      </c>
      <c r="BZ81" s="39">
        <v>64.7</v>
      </c>
      <c r="CA81" s="33"/>
      <c r="CB81" s="37">
        <v>721</v>
      </c>
      <c r="CC81" s="38">
        <v>0.15887000000000001</v>
      </c>
      <c r="CD81" s="42">
        <v>6.2939999999999996</v>
      </c>
      <c r="CE81" s="33"/>
      <c r="CF81" s="33"/>
      <c r="CG81" s="33"/>
      <c r="CH81" s="33"/>
      <c r="CI81" s="33"/>
      <c r="CJ81" s="33"/>
      <c r="CK81" s="33"/>
      <c r="CL81" s="40">
        <v>721</v>
      </c>
      <c r="CM81" s="43">
        <v>719.9</v>
      </c>
      <c r="CN81" s="41">
        <v>1.3891</v>
      </c>
      <c r="CO81" s="33"/>
      <c r="CP81" s="40">
        <v>721</v>
      </c>
      <c r="CQ81" s="34">
        <v>0.79349999999999998</v>
      </c>
      <c r="CR81" s="41">
        <v>0.70850000000000002</v>
      </c>
      <c r="CS81" s="33"/>
      <c r="CT81" s="40">
        <v>721</v>
      </c>
      <c r="CU81" s="44">
        <v>367.22</v>
      </c>
      <c r="CV81" s="42">
        <v>8.7430000000000003</v>
      </c>
    </row>
    <row r="82" spans="4:100">
      <c r="D82" s="30">
        <v>7.2</v>
      </c>
      <c r="E82" s="31">
        <v>1.0202</v>
      </c>
      <c r="F82" s="32">
        <v>1019.6</v>
      </c>
      <c r="G82" s="33"/>
      <c r="H82" s="30">
        <v>7.2</v>
      </c>
      <c r="I82" s="34">
        <v>3.7839999999999998</v>
      </c>
      <c r="J82" s="35">
        <v>0.15892999999999999</v>
      </c>
      <c r="L82" s="30">
        <v>7.2</v>
      </c>
      <c r="M82" s="172">
        <v>8.4969999999999999</v>
      </c>
      <c r="N82" s="173">
        <v>0.11769</v>
      </c>
      <c r="P82" s="30">
        <v>7.2</v>
      </c>
      <c r="Q82" s="172">
        <v>4.2483000000000004</v>
      </c>
      <c r="R82" s="173">
        <v>0.17843000000000001</v>
      </c>
      <c r="T82" s="30">
        <v>7.2</v>
      </c>
      <c r="U82" s="172">
        <v>235.39</v>
      </c>
      <c r="V82" s="173">
        <v>5.6050000000000004</v>
      </c>
      <c r="X82" s="30">
        <v>7.2</v>
      </c>
      <c r="Y82" s="34">
        <v>3.7930999999999999</v>
      </c>
      <c r="Z82" s="35">
        <v>0.15931000000000001</v>
      </c>
      <c r="AA82" s="36"/>
      <c r="AB82" s="30">
        <v>7.2</v>
      </c>
      <c r="AC82" s="44">
        <v>263.64</v>
      </c>
      <c r="AD82" s="35">
        <v>6.2770000000000001</v>
      </c>
      <c r="AE82" s="36"/>
      <c r="AF82" s="30">
        <v>7.2</v>
      </c>
      <c r="AG82" s="34">
        <v>3.8540000000000001</v>
      </c>
      <c r="AH82" s="35">
        <v>0.16187000000000001</v>
      </c>
      <c r="AI82" s="35"/>
      <c r="AJ82" s="35">
        <v>0.1072</v>
      </c>
      <c r="AK82" s="998">
        <v>77.8</v>
      </c>
      <c r="AM82" s="30">
        <v>7.2</v>
      </c>
      <c r="AN82" s="34">
        <v>0.89070000000000005</v>
      </c>
      <c r="AO82" s="35">
        <v>0.99760000000000004</v>
      </c>
      <c r="AQ82" s="197">
        <v>0.72199999999999998</v>
      </c>
      <c r="AR82" s="200">
        <v>64.48</v>
      </c>
      <c r="AS82" s="199">
        <v>721.8</v>
      </c>
      <c r="AZ82" s="197">
        <v>0.72199999999999998</v>
      </c>
      <c r="BA82" s="198">
        <v>6.0101000000000004</v>
      </c>
      <c r="BB82" s="199">
        <v>0.16639000000000001</v>
      </c>
      <c r="BD82" s="197">
        <v>0.72199999999999998</v>
      </c>
      <c r="BE82" s="198">
        <v>3.0051000000000001</v>
      </c>
      <c r="BF82" s="199">
        <v>0.12620999999999999</v>
      </c>
      <c r="BH82" s="197">
        <v>0.72199999999999998</v>
      </c>
      <c r="BI82" s="198">
        <v>332.77</v>
      </c>
      <c r="BJ82" s="199">
        <v>7.923</v>
      </c>
      <c r="BL82" s="197">
        <v>0.72199999999999998</v>
      </c>
      <c r="BM82" s="198">
        <v>2.6831</v>
      </c>
      <c r="BN82" s="199">
        <v>0.11269</v>
      </c>
      <c r="BP82" s="197">
        <v>0.72199999999999998</v>
      </c>
      <c r="BQ82" s="200">
        <v>372.7</v>
      </c>
      <c r="BR82" s="199">
        <v>8.8740000000000006</v>
      </c>
      <c r="BT82" s="197">
        <v>0.72199999999999998</v>
      </c>
      <c r="BU82" s="201">
        <v>1.2587999999999999</v>
      </c>
      <c r="BV82" s="202">
        <v>1.4097999999999999</v>
      </c>
      <c r="BX82" s="37">
        <v>722</v>
      </c>
      <c r="BY82" s="38">
        <v>0.72219999999999995</v>
      </c>
      <c r="BZ82" s="39">
        <v>64.430000000000007</v>
      </c>
      <c r="CA82" s="33"/>
      <c r="CB82" s="37">
        <v>722</v>
      </c>
      <c r="CC82" s="38">
        <v>0.15887000000000001</v>
      </c>
      <c r="CD82" s="42">
        <v>6.2939999999999996</v>
      </c>
      <c r="CE82" s="33"/>
      <c r="CF82" s="33"/>
      <c r="CG82" s="33"/>
      <c r="CH82" s="33"/>
      <c r="CI82" s="33"/>
      <c r="CJ82" s="33"/>
      <c r="CK82" s="33"/>
      <c r="CL82" s="40">
        <v>722</v>
      </c>
      <c r="CM82" s="43">
        <v>720.9</v>
      </c>
      <c r="CN82" s="41">
        <v>1.3872</v>
      </c>
      <c r="CO82" s="33"/>
      <c r="CP82" s="40">
        <v>722</v>
      </c>
      <c r="CQ82" s="34">
        <v>0.79459999999999997</v>
      </c>
      <c r="CR82" s="41">
        <v>0.70950000000000002</v>
      </c>
      <c r="CS82" s="33"/>
      <c r="CT82" s="40">
        <v>722</v>
      </c>
      <c r="CU82" s="44">
        <v>366.71</v>
      </c>
      <c r="CV82" s="42">
        <v>8.7309999999999999</v>
      </c>
    </row>
    <row r="83" spans="4:100">
      <c r="D83" s="30">
        <v>7.3</v>
      </c>
      <c r="E83" s="31">
        <v>1.0195000000000001</v>
      </c>
      <c r="F83" s="32">
        <v>1018.8</v>
      </c>
      <c r="G83" s="33"/>
      <c r="H83" s="30">
        <v>7.3</v>
      </c>
      <c r="I83" s="34">
        <v>3.7839999999999998</v>
      </c>
      <c r="J83" s="35">
        <v>0.15892999999999999</v>
      </c>
      <c r="L83" s="30">
        <v>7.3</v>
      </c>
      <c r="M83" s="172">
        <v>8.49</v>
      </c>
      <c r="N83" s="173">
        <v>0.11778</v>
      </c>
      <c r="P83" s="30">
        <v>7.3</v>
      </c>
      <c r="Q83" s="172">
        <v>4.2451999999999996</v>
      </c>
      <c r="R83" s="173">
        <v>0.17829999999999999</v>
      </c>
      <c r="T83" s="30">
        <v>7.3</v>
      </c>
      <c r="U83" s="172">
        <v>235.56</v>
      </c>
      <c r="V83" s="173">
        <v>5.609</v>
      </c>
      <c r="X83" s="30">
        <v>7.3</v>
      </c>
      <c r="Y83" s="34">
        <v>3.7904</v>
      </c>
      <c r="Z83" s="35">
        <v>0.15920000000000001</v>
      </c>
      <c r="AA83" s="36"/>
      <c r="AB83" s="30">
        <v>7.3</v>
      </c>
      <c r="AC83" s="44">
        <v>263.83</v>
      </c>
      <c r="AD83" s="35">
        <v>6.282</v>
      </c>
      <c r="AE83" s="36"/>
      <c r="AF83" s="30">
        <v>7.3</v>
      </c>
      <c r="AG83" s="34">
        <v>3.8512</v>
      </c>
      <c r="AH83" s="35">
        <v>0.16175</v>
      </c>
      <c r="AI83" s="35"/>
      <c r="AJ83" s="35">
        <v>0.10725</v>
      </c>
      <c r="AK83" s="998">
        <v>77.7</v>
      </c>
      <c r="AM83" s="30">
        <v>7.3</v>
      </c>
      <c r="AN83" s="34">
        <v>0.89139999999999997</v>
      </c>
      <c r="AO83" s="35">
        <v>0.99829999999999997</v>
      </c>
      <c r="AQ83" s="197">
        <v>0.72299999999999998</v>
      </c>
      <c r="AR83" s="200">
        <v>64.209999999999994</v>
      </c>
      <c r="AS83" s="199">
        <v>722.8</v>
      </c>
      <c r="AZ83" s="197">
        <v>0.72299999999999998</v>
      </c>
      <c r="BA83" s="198">
        <v>6.0185000000000004</v>
      </c>
      <c r="BB83" s="199">
        <v>0.16614999999999999</v>
      </c>
      <c r="BD83" s="197">
        <v>0.72299999999999998</v>
      </c>
      <c r="BE83" s="198">
        <v>3.0091999999999999</v>
      </c>
      <c r="BF83" s="199">
        <v>0.12639</v>
      </c>
      <c r="BH83" s="197">
        <v>0.72299999999999998</v>
      </c>
      <c r="BI83" s="198">
        <v>332.31</v>
      </c>
      <c r="BJ83" s="199">
        <v>7.9119999999999999</v>
      </c>
      <c r="BL83" s="197">
        <v>0.72299999999999998</v>
      </c>
      <c r="BM83" s="198">
        <v>2.6867999999999999</v>
      </c>
      <c r="BN83" s="199">
        <v>0.11285000000000001</v>
      </c>
      <c r="BP83" s="197">
        <v>0.72299999999999998</v>
      </c>
      <c r="BQ83" s="200">
        <v>372.19</v>
      </c>
      <c r="BR83" s="199">
        <v>8.8620000000000001</v>
      </c>
      <c r="BT83" s="197">
        <v>0.72299999999999998</v>
      </c>
      <c r="BU83" s="201">
        <v>1.2569999999999999</v>
      </c>
      <c r="BV83" s="202">
        <v>1.4078999999999999</v>
      </c>
      <c r="BX83" s="37">
        <v>723</v>
      </c>
      <c r="BY83" s="38">
        <v>0.72319999999999995</v>
      </c>
      <c r="BZ83" s="39">
        <v>64.16</v>
      </c>
      <c r="CA83" s="33"/>
      <c r="CB83" s="37">
        <v>723</v>
      </c>
      <c r="CC83" s="38">
        <v>0.15887999999999999</v>
      </c>
      <c r="CD83" s="42">
        <v>6.2939999999999996</v>
      </c>
      <c r="CE83" s="33"/>
      <c r="CF83" s="33"/>
      <c r="CG83" s="33"/>
      <c r="CH83" s="33"/>
      <c r="CI83" s="33"/>
      <c r="CJ83" s="33"/>
      <c r="CK83" s="33"/>
      <c r="CL83" s="40">
        <v>723</v>
      </c>
      <c r="CM83" s="43">
        <v>721.9</v>
      </c>
      <c r="CN83" s="41">
        <v>1.3853</v>
      </c>
      <c r="CO83" s="33"/>
      <c r="CP83" s="40">
        <v>723</v>
      </c>
      <c r="CQ83" s="34">
        <v>0.79569999999999996</v>
      </c>
      <c r="CR83" s="41">
        <v>0.71050000000000002</v>
      </c>
      <c r="CS83" s="33"/>
      <c r="CT83" s="40">
        <v>723</v>
      </c>
      <c r="CU83" s="44">
        <v>366.2</v>
      </c>
      <c r="CV83" s="42">
        <v>8.7189999999999994</v>
      </c>
    </row>
    <row r="84" spans="4:100">
      <c r="D84" s="30">
        <v>7.4</v>
      </c>
      <c r="E84" s="31">
        <v>1.0186999999999999</v>
      </c>
      <c r="F84" s="32">
        <v>1018.1</v>
      </c>
      <c r="G84" s="33"/>
      <c r="H84" s="30">
        <v>7.4</v>
      </c>
      <c r="I84" s="34">
        <v>3.7839999999999998</v>
      </c>
      <c r="J84" s="35">
        <v>0.15892999999999999</v>
      </c>
      <c r="L84" s="30">
        <v>7.4</v>
      </c>
      <c r="M84" s="172">
        <v>8.484</v>
      </c>
      <c r="N84" s="173">
        <v>0.11786000000000001</v>
      </c>
      <c r="P84" s="30">
        <v>7.4</v>
      </c>
      <c r="Q84" s="172">
        <v>4.2420999999999998</v>
      </c>
      <c r="R84" s="173">
        <v>0.17817</v>
      </c>
      <c r="T84" s="30">
        <v>7.4</v>
      </c>
      <c r="U84" s="172">
        <v>235.73</v>
      </c>
      <c r="V84" s="173">
        <v>5.6130000000000004</v>
      </c>
      <c r="X84" s="30">
        <v>7.4</v>
      </c>
      <c r="Y84" s="34">
        <v>3.7875999999999999</v>
      </c>
      <c r="Z84" s="35">
        <v>0.15908</v>
      </c>
      <c r="AA84" s="36"/>
      <c r="AB84" s="30">
        <v>7.4</v>
      </c>
      <c r="AC84" s="44">
        <v>264.02</v>
      </c>
      <c r="AD84" s="35">
        <v>6.2859999999999996</v>
      </c>
      <c r="AE84" s="36"/>
      <c r="AF84" s="30">
        <v>7.4</v>
      </c>
      <c r="AG84" s="34">
        <v>3.8483999999999998</v>
      </c>
      <c r="AH84" s="35">
        <v>0.16163</v>
      </c>
      <c r="AI84" s="35"/>
      <c r="AJ84" s="35">
        <v>0.10730000000000001</v>
      </c>
      <c r="AK84" s="998">
        <v>77.599999999999994</v>
      </c>
      <c r="AM84" s="30">
        <v>7.4</v>
      </c>
      <c r="AN84" s="34">
        <v>0.89200000000000002</v>
      </c>
      <c r="AO84" s="35">
        <v>0.999</v>
      </c>
      <c r="AQ84" s="197">
        <v>0.72399999999999998</v>
      </c>
      <c r="AR84" s="200">
        <v>63.94</v>
      </c>
      <c r="AS84" s="199">
        <v>723.8</v>
      </c>
      <c r="AZ84" s="197">
        <v>0.72399999999999998</v>
      </c>
      <c r="BA84" s="198">
        <v>6.0267999999999997</v>
      </c>
      <c r="BB84" s="199">
        <v>0.16592000000000001</v>
      </c>
      <c r="BD84" s="197">
        <v>0.72399999999999998</v>
      </c>
      <c r="BE84" s="198">
        <v>3.0133999999999999</v>
      </c>
      <c r="BF84" s="199">
        <v>0.12656000000000001</v>
      </c>
      <c r="BH84" s="197">
        <v>0.72399999999999998</v>
      </c>
      <c r="BI84" s="198">
        <v>331.85</v>
      </c>
      <c r="BJ84" s="199">
        <v>7.9009999999999998</v>
      </c>
      <c r="BL84" s="197">
        <v>0.72399999999999998</v>
      </c>
      <c r="BM84" s="198">
        <v>2.6905000000000001</v>
      </c>
      <c r="BN84" s="199">
        <v>0.113</v>
      </c>
      <c r="BP84" s="197">
        <v>0.72399999999999998</v>
      </c>
      <c r="BQ84" s="200">
        <v>371.67</v>
      </c>
      <c r="BR84" s="199">
        <v>8.8490000000000002</v>
      </c>
      <c r="BT84" s="197">
        <v>0.72399999999999998</v>
      </c>
      <c r="BU84" s="201">
        <v>1.2553000000000001</v>
      </c>
      <c r="BV84" s="202">
        <v>1.4058999999999999</v>
      </c>
      <c r="BX84" s="37">
        <v>724</v>
      </c>
      <c r="BY84" s="38">
        <v>0.72419999999999995</v>
      </c>
      <c r="BZ84" s="39">
        <v>63.89</v>
      </c>
      <c r="CA84" s="33"/>
      <c r="CB84" s="37">
        <v>724</v>
      </c>
      <c r="CC84" s="38">
        <v>0.15887999999999999</v>
      </c>
      <c r="CD84" s="42">
        <v>6.2939999999999996</v>
      </c>
      <c r="CE84" s="33"/>
      <c r="CF84" s="33"/>
      <c r="CG84" s="33"/>
      <c r="CH84" s="33"/>
      <c r="CI84" s="33"/>
      <c r="CJ84" s="33"/>
      <c r="CK84" s="33"/>
      <c r="CL84" s="40">
        <v>724</v>
      </c>
      <c r="CM84" s="43">
        <v>722.9</v>
      </c>
      <c r="CN84" s="41">
        <v>1.3833</v>
      </c>
      <c r="CO84" s="33"/>
      <c r="CP84" s="40">
        <v>724</v>
      </c>
      <c r="CQ84" s="34">
        <v>0.79679999999999995</v>
      </c>
      <c r="CR84" s="41">
        <v>0.71150000000000002</v>
      </c>
      <c r="CS84" s="33"/>
      <c r="CT84" s="40">
        <v>724</v>
      </c>
      <c r="CU84" s="44">
        <v>365.7</v>
      </c>
      <c r="CV84" s="42">
        <v>8.7070000000000007</v>
      </c>
    </row>
    <row r="85" spans="4:100">
      <c r="D85" s="30">
        <v>7.5</v>
      </c>
      <c r="E85" s="31">
        <v>1.018</v>
      </c>
      <c r="F85" s="32">
        <v>1017.4</v>
      </c>
      <c r="G85" s="33"/>
      <c r="H85" s="30">
        <v>7.5</v>
      </c>
      <c r="I85" s="34">
        <v>3.7839999999999998</v>
      </c>
      <c r="J85" s="35">
        <v>0.15892999999999999</v>
      </c>
      <c r="L85" s="30">
        <v>7.5</v>
      </c>
      <c r="M85" s="172">
        <v>8.4779999999999998</v>
      </c>
      <c r="N85" s="173">
        <v>0.11795</v>
      </c>
      <c r="P85" s="30">
        <v>7.5</v>
      </c>
      <c r="Q85" s="172">
        <v>4.2390999999999996</v>
      </c>
      <c r="R85" s="173">
        <v>0.17804</v>
      </c>
      <c r="T85" s="30">
        <v>7.5</v>
      </c>
      <c r="U85" s="172">
        <v>235.9</v>
      </c>
      <c r="V85" s="173">
        <v>5.617</v>
      </c>
      <c r="X85" s="30">
        <v>7.5</v>
      </c>
      <c r="Y85" s="34">
        <v>3.7848999999999999</v>
      </c>
      <c r="Z85" s="35">
        <v>0.15897</v>
      </c>
      <c r="AA85" s="36"/>
      <c r="AB85" s="30">
        <v>7.5</v>
      </c>
      <c r="AC85" s="44">
        <v>264.20999999999998</v>
      </c>
      <c r="AD85" s="35">
        <v>6.2910000000000004</v>
      </c>
      <c r="AE85" s="36"/>
      <c r="AF85" s="30">
        <v>7.5</v>
      </c>
      <c r="AG85" s="34">
        <v>3.8456000000000001</v>
      </c>
      <c r="AH85" s="35">
        <v>0.16152</v>
      </c>
      <c r="AI85" s="35"/>
      <c r="AJ85" s="35">
        <v>0.10736</v>
      </c>
      <c r="AK85" s="998">
        <v>77.5</v>
      </c>
      <c r="AM85" s="30">
        <v>7.5</v>
      </c>
      <c r="AN85" s="34">
        <v>0.89270000000000005</v>
      </c>
      <c r="AO85" s="35">
        <v>0.99980000000000002</v>
      </c>
      <c r="AQ85" s="197">
        <v>0.72499999999999998</v>
      </c>
      <c r="AR85" s="200">
        <v>63.67</v>
      </c>
      <c r="AS85" s="199">
        <v>724.8</v>
      </c>
      <c r="AZ85" s="197">
        <v>0.72499999999999998</v>
      </c>
      <c r="BA85" s="198">
        <v>6.0351999999999997</v>
      </c>
      <c r="BB85" s="199">
        <v>0.16569999999999999</v>
      </c>
      <c r="BD85" s="197">
        <v>0.72499999999999998</v>
      </c>
      <c r="BE85" s="198">
        <v>3.0175999999999998</v>
      </c>
      <c r="BF85" s="199">
        <v>0.12673999999999999</v>
      </c>
      <c r="BH85" s="197">
        <v>0.72499999999999998</v>
      </c>
      <c r="BI85" s="198">
        <v>331.39</v>
      </c>
      <c r="BJ85" s="199">
        <v>7.89</v>
      </c>
      <c r="BL85" s="197">
        <v>0.72499999999999998</v>
      </c>
      <c r="BM85" s="198">
        <v>2.6943000000000001</v>
      </c>
      <c r="BN85" s="199">
        <v>0.11316</v>
      </c>
      <c r="BP85" s="197">
        <v>0.72499999999999998</v>
      </c>
      <c r="BQ85" s="200">
        <v>371.16</v>
      </c>
      <c r="BR85" s="199">
        <v>8.8369999999999997</v>
      </c>
      <c r="BT85" s="197">
        <v>0.72499999999999998</v>
      </c>
      <c r="BU85" s="201">
        <v>1.2536</v>
      </c>
      <c r="BV85" s="202">
        <v>1.4039999999999999</v>
      </c>
      <c r="BX85" s="37">
        <v>725</v>
      </c>
      <c r="BY85" s="38">
        <v>0.72519999999999996</v>
      </c>
      <c r="BZ85" s="39">
        <v>63.62</v>
      </c>
      <c r="CA85" s="33"/>
      <c r="CB85" s="37">
        <v>725</v>
      </c>
      <c r="CC85" s="38">
        <v>0.15887999999999999</v>
      </c>
      <c r="CD85" s="42">
        <v>6.2939999999999996</v>
      </c>
      <c r="CE85" s="33"/>
      <c r="CF85" s="33"/>
      <c r="CG85" s="33"/>
      <c r="CH85" s="33"/>
      <c r="CI85" s="33"/>
      <c r="CJ85" s="33"/>
      <c r="CK85" s="33"/>
      <c r="CL85" s="40">
        <v>725</v>
      </c>
      <c r="CM85" s="43">
        <v>723.9</v>
      </c>
      <c r="CN85" s="41">
        <v>1.3814</v>
      </c>
      <c r="CO85" s="33"/>
      <c r="CP85" s="40">
        <v>725</v>
      </c>
      <c r="CQ85" s="34">
        <v>0.79800000000000004</v>
      </c>
      <c r="CR85" s="41">
        <v>0.71250000000000002</v>
      </c>
      <c r="CS85" s="33"/>
      <c r="CT85" s="40">
        <v>725</v>
      </c>
      <c r="CU85" s="44">
        <v>365.19</v>
      </c>
      <c r="CV85" s="42">
        <v>8.6950000000000003</v>
      </c>
    </row>
    <row r="86" spans="4:100">
      <c r="D86" s="30">
        <v>7.6</v>
      </c>
      <c r="E86" s="31">
        <v>1.0173000000000001</v>
      </c>
      <c r="F86" s="32">
        <v>1016.6</v>
      </c>
      <c r="G86" s="33"/>
      <c r="H86" s="30">
        <v>7.6</v>
      </c>
      <c r="I86" s="34">
        <v>3.7839999999999998</v>
      </c>
      <c r="J86" s="35">
        <v>0.15892999999999999</v>
      </c>
      <c r="L86" s="30">
        <v>7.6</v>
      </c>
      <c r="M86" s="172">
        <v>8.4719999999999995</v>
      </c>
      <c r="N86" s="173">
        <v>0.11803</v>
      </c>
      <c r="P86" s="30">
        <v>7.6</v>
      </c>
      <c r="Q86" s="172">
        <v>4.2359999999999998</v>
      </c>
      <c r="R86" s="173">
        <v>0.17791000000000001</v>
      </c>
      <c r="T86" s="30">
        <v>7.6</v>
      </c>
      <c r="U86" s="172">
        <v>236.07</v>
      </c>
      <c r="V86" s="173">
        <v>5.6210000000000004</v>
      </c>
      <c r="X86" s="30">
        <v>7.6</v>
      </c>
      <c r="Y86" s="34">
        <v>3.7822</v>
      </c>
      <c r="Z86" s="35">
        <v>0.15884999999999999</v>
      </c>
      <c r="AA86" s="36"/>
      <c r="AB86" s="30">
        <v>7.6</v>
      </c>
      <c r="AC86" s="44">
        <v>264.39999999999998</v>
      </c>
      <c r="AD86" s="35">
        <v>6.2949999999999999</v>
      </c>
      <c r="AE86" s="36"/>
      <c r="AF86" s="30">
        <v>7.6</v>
      </c>
      <c r="AG86" s="34">
        <v>3.8429000000000002</v>
      </c>
      <c r="AH86" s="35">
        <v>0.16139999999999999</v>
      </c>
      <c r="AI86" s="35"/>
      <c r="AJ86" s="35">
        <v>0.10741000000000001</v>
      </c>
      <c r="AK86" s="998">
        <v>77.400000000000006</v>
      </c>
      <c r="AM86" s="30">
        <v>7.6</v>
      </c>
      <c r="AN86" s="34">
        <v>0.89329999999999998</v>
      </c>
      <c r="AO86" s="35">
        <v>1.0004999999999999</v>
      </c>
      <c r="AQ86" s="197">
        <v>0.72599999999999998</v>
      </c>
      <c r="AR86" s="200">
        <v>63.4</v>
      </c>
      <c r="AS86" s="199">
        <v>725.8</v>
      </c>
      <c r="AZ86" s="197">
        <v>0.72599999999999998</v>
      </c>
      <c r="BA86" s="198">
        <v>6.0434999999999999</v>
      </c>
      <c r="BB86" s="199">
        <v>0.16547000000000001</v>
      </c>
      <c r="BD86" s="197">
        <v>0.72599999999999998</v>
      </c>
      <c r="BE86" s="198">
        <v>3.0217000000000001</v>
      </c>
      <c r="BF86" s="199">
        <v>0.12691</v>
      </c>
      <c r="BH86" s="197">
        <v>0.72599999999999998</v>
      </c>
      <c r="BI86" s="198">
        <v>330.93</v>
      </c>
      <c r="BJ86" s="199">
        <v>7.8789999999999996</v>
      </c>
      <c r="BL86" s="197">
        <v>0.72599999999999998</v>
      </c>
      <c r="BM86" s="198">
        <v>2.698</v>
      </c>
      <c r="BN86" s="199">
        <v>0.11332</v>
      </c>
      <c r="BP86" s="197">
        <v>0.72599999999999998</v>
      </c>
      <c r="BQ86" s="200">
        <v>370.65</v>
      </c>
      <c r="BR86" s="199">
        <v>8.8249999999999993</v>
      </c>
      <c r="BT86" s="197">
        <v>0.72599999999999998</v>
      </c>
      <c r="BU86" s="201">
        <v>1.2518</v>
      </c>
      <c r="BV86" s="202">
        <v>1.4020999999999999</v>
      </c>
      <c r="BX86" s="37">
        <v>726</v>
      </c>
      <c r="BY86" s="38">
        <v>0.72619999999999996</v>
      </c>
      <c r="BZ86" s="39">
        <v>63.35</v>
      </c>
      <c r="CA86" s="33"/>
      <c r="CB86" s="37">
        <v>726</v>
      </c>
      <c r="CC86" s="38">
        <v>0.15887999999999999</v>
      </c>
      <c r="CD86" s="42">
        <v>6.2939999999999996</v>
      </c>
      <c r="CE86" s="33"/>
      <c r="CF86" s="33"/>
      <c r="CG86" s="33"/>
      <c r="CH86" s="33"/>
      <c r="CI86" s="33"/>
      <c r="CJ86" s="33"/>
      <c r="CK86" s="33"/>
      <c r="CL86" s="40">
        <v>726</v>
      </c>
      <c r="CM86" s="43">
        <v>724.9</v>
      </c>
      <c r="CN86" s="41">
        <v>1.3794999999999999</v>
      </c>
      <c r="CO86" s="33"/>
      <c r="CP86" s="40">
        <v>726</v>
      </c>
      <c r="CQ86" s="34">
        <v>0.79910000000000003</v>
      </c>
      <c r="CR86" s="41">
        <v>0.71340000000000003</v>
      </c>
      <c r="CS86" s="33"/>
      <c r="CT86" s="40">
        <v>726</v>
      </c>
      <c r="CU86" s="44">
        <v>364.69</v>
      </c>
      <c r="CV86" s="42">
        <v>8.6829999999999998</v>
      </c>
    </row>
    <row r="87" spans="4:100">
      <c r="D87" s="30">
        <v>7.7</v>
      </c>
      <c r="E87" s="31">
        <v>1.0165</v>
      </c>
      <c r="F87" s="32">
        <v>1015.9</v>
      </c>
      <c r="G87" s="33"/>
      <c r="H87" s="30">
        <v>7.7</v>
      </c>
      <c r="I87" s="34">
        <v>3.7839999999999998</v>
      </c>
      <c r="J87" s="35">
        <v>0.15892999999999999</v>
      </c>
      <c r="L87" s="30">
        <v>7.7</v>
      </c>
      <c r="M87" s="172">
        <v>8.4659999999999993</v>
      </c>
      <c r="N87" s="173">
        <v>0.11812</v>
      </c>
      <c r="P87" s="30">
        <v>7.7</v>
      </c>
      <c r="Q87" s="172">
        <v>4.2329999999999997</v>
      </c>
      <c r="R87" s="173">
        <v>0.17779</v>
      </c>
      <c r="T87" s="30">
        <v>7.7</v>
      </c>
      <c r="U87" s="172">
        <v>236.24</v>
      </c>
      <c r="V87" s="173">
        <v>5.625</v>
      </c>
      <c r="X87" s="30">
        <v>7.7</v>
      </c>
      <c r="Y87" s="34">
        <v>3.7795000000000001</v>
      </c>
      <c r="Z87" s="35">
        <v>0.15873999999999999</v>
      </c>
      <c r="AA87" s="36"/>
      <c r="AB87" s="30">
        <v>7.7</v>
      </c>
      <c r="AC87" s="44">
        <v>264.58999999999997</v>
      </c>
      <c r="AD87" s="35">
        <v>6.3</v>
      </c>
      <c r="AE87" s="36"/>
      <c r="AF87" s="30">
        <v>7.7</v>
      </c>
      <c r="AG87" s="34">
        <v>3.8401000000000001</v>
      </c>
      <c r="AH87" s="35">
        <v>0.16128000000000001</v>
      </c>
      <c r="AI87" s="35"/>
      <c r="AJ87" s="35">
        <v>0.10746</v>
      </c>
      <c r="AK87" s="998">
        <v>77.3</v>
      </c>
      <c r="AM87" s="30">
        <v>7.7</v>
      </c>
      <c r="AN87" s="34">
        <v>0.89390000000000003</v>
      </c>
      <c r="AO87" s="35">
        <v>1.0012000000000001</v>
      </c>
      <c r="AQ87" s="197">
        <v>0.72699999999999998</v>
      </c>
      <c r="AR87" s="200">
        <v>63.14</v>
      </c>
      <c r="AS87" s="199">
        <v>726.8</v>
      </c>
      <c r="AZ87" s="197">
        <v>0.72699999999999998</v>
      </c>
      <c r="BA87" s="198">
        <v>6.0518000000000001</v>
      </c>
      <c r="BB87" s="199">
        <v>0.16524</v>
      </c>
      <c r="BD87" s="197">
        <v>0.72699999999999998</v>
      </c>
      <c r="BE87" s="198">
        <v>3.0259</v>
      </c>
      <c r="BF87" s="199">
        <v>0.12709000000000001</v>
      </c>
      <c r="BH87" s="197">
        <v>0.72699999999999998</v>
      </c>
      <c r="BI87" s="198">
        <v>330.48</v>
      </c>
      <c r="BJ87" s="199">
        <v>7.8689999999999998</v>
      </c>
      <c r="BL87" s="197">
        <v>0.72699999999999998</v>
      </c>
      <c r="BM87" s="198">
        <v>2.7017000000000002</v>
      </c>
      <c r="BN87" s="199">
        <v>0.11347</v>
      </c>
      <c r="BP87" s="197">
        <v>0.72699999999999998</v>
      </c>
      <c r="BQ87" s="200">
        <v>370.14</v>
      </c>
      <c r="BR87" s="199">
        <v>8.8130000000000006</v>
      </c>
      <c r="BT87" s="197">
        <v>0.72699999999999998</v>
      </c>
      <c r="BU87" s="201">
        <v>1.2501</v>
      </c>
      <c r="BV87" s="202">
        <v>1.4000999999999999</v>
      </c>
      <c r="BX87" s="37">
        <v>727</v>
      </c>
      <c r="BY87" s="38">
        <v>0.72719999999999996</v>
      </c>
      <c r="BZ87" s="39">
        <v>63.08</v>
      </c>
      <c r="CA87" s="33"/>
      <c r="CB87" s="37">
        <v>727</v>
      </c>
      <c r="CC87" s="38">
        <v>0.15887999999999999</v>
      </c>
      <c r="CD87" s="42">
        <v>6.2939999999999996</v>
      </c>
      <c r="CE87" s="33"/>
      <c r="CF87" s="33"/>
      <c r="CG87" s="33"/>
      <c r="CH87" s="33"/>
      <c r="CI87" s="33"/>
      <c r="CJ87" s="33"/>
      <c r="CK87" s="33"/>
      <c r="CL87" s="40">
        <v>727</v>
      </c>
      <c r="CM87" s="43">
        <v>725.9</v>
      </c>
      <c r="CN87" s="41">
        <v>1.3775999999999999</v>
      </c>
      <c r="CO87" s="33"/>
      <c r="CP87" s="40">
        <v>727</v>
      </c>
      <c r="CQ87" s="34">
        <v>0.80020000000000002</v>
      </c>
      <c r="CR87" s="41">
        <v>0.71440000000000003</v>
      </c>
      <c r="CS87" s="33"/>
      <c r="CT87" s="40">
        <v>727</v>
      </c>
      <c r="CU87" s="44">
        <v>364.18</v>
      </c>
      <c r="CV87" s="42">
        <v>8.6709999999999994</v>
      </c>
    </row>
    <row r="88" spans="4:100">
      <c r="D88" s="30">
        <v>7.8</v>
      </c>
      <c r="E88" s="31">
        <v>1.0158</v>
      </c>
      <c r="F88" s="32">
        <v>1015.2</v>
      </c>
      <c r="G88" s="33"/>
      <c r="H88" s="30">
        <v>7.8</v>
      </c>
      <c r="I88" s="34">
        <v>3.7839999999999998</v>
      </c>
      <c r="J88" s="35">
        <v>0.15892999999999999</v>
      </c>
      <c r="L88" s="30">
        <v>7.8</v>
      </c>
      <c r="M88" s="172">
        <v>8.4600000000000009</v>
      </c>
      <c r="N88" s="173">
        <v>0.1182</v>
      </c>
      <c r="P88" s="30">
        <v>7.8</v>
      </c>
      <c r="Q88" s="172">
        <v>4.2298999999999998</v>
      </c>
      <c r="R88" s="173">
        <v>0.17766000000000001</v>
      </c>
      <c r="T88" s="30">
        <v>7.8</v>
      </c>
      <c r="U88" s="172">
        <v>236.41</v>
      </c>
      <c r="V88" s="173">
        <v>5.6289999999999996</v>
      </c>
      <c r="X88" s="30">
        <v>7.8</v>
      </c>
      <c r="Y88" s="34">
        <v>3.7766999999999999</v>
      </c>
      <c r="Z88" s="35">
        <v>0.15862000000000001</v>
      </c>
      <c r="AA88" s="36"/>
      <c r="AB88" s="30">
        <v>7.8</v>
      </c>
      <c r="AC88" s="44">
        <v>264.77999999999997</v>
      </c>
      <c r="AD88" s="35">
        <v>6.3040000000000003</v>
      </c>
      <c r="AE88" s="36"/>
      <c r="AF88" s="30">
        <v>7.8</v>
      </c>
      <c r="AG88" s="34">
        <v>3.8372999999999999</v>
      </c>
      <c r="AH88" s="35">
        <v>0.16117000000000001</v>
      </c>
      <c r="AI88" s="35"/>
      <c r="AJ88" s="35">
        <v>0.10750999999999999</v>
      </c>
      <c r="AK88" s="998">
        <v>77.2</v>
      </c>
      <c r="AM88" s="30">
        <v>7.8</v>
      </c>
      <c r="AN88" s="34">
        <v>0.89459999999999995</v>
      </c>
      <c r="AO88" s="35">
        <v>1.0019</v>
      </c>
      <c r="AQ88" s="197">
        <v>0.72799999999999998</v>
      </c>
      <c r="AR88" s="200">
        <v>62.87</v>
      </c>
      <c r="AS88" s="199">
        <v>727.8</v>
      </c>
      <c r="AZ88" s="197">
        <v>0.72799999999999998</v>
      </c>
      <c r="BA88" s="198">
        <v>6.0602</v>
      </c>
      <c r="BB88" s="199">
        <v>0.16500999999999999</v>
      </c>
      <c r="BD88" s="197">
        <v>0.72799999999999998</v>
      </c>
      <c r="BE88" s="198">
        <v>3.0301</v>
      </c>
      <c r="BF88" s="199">
        <v>0.12726000000000001</v>
      </c>
      <c r="BH88" s="197">
        <v>0.72799999999999998</v>
      </c>
      <c r="BI88" s="198">
        <v>330.02</v>
      </c>
      <c r="BJ88" s="199">
        <v>7.8579999999999997</v>
      </c>
      <c r="BL88" s="197">
        <v>0.72799999999999998</v>
      </c>
      <c r="BM88" s="198">
        <v>2.7054</v>
      </c>
      <c r="BN88" s="199">
        <v>0.11362999999999999</v>
      </c>
      <c r="BP88" s="197">
        <v>0.72799999999999998</v>
      </c>
      <c r="BQ88" s="200">
        <v>369.63</v>
      </c>
      <c r="BR88" s="199">
        <v>8.8010000000000002</v>
      </c>
      <c r="BT88" s="197">
        <v>0.72799999999999998</v>
      </c>
      <c r="BU88" s="201">
        <v>1.2484</v>
      </c>
      <c r="BV88" s="202">
        <v>1.3982000000000001</v>
      </c>
      <c r="BX88" s="37">
        <v>728</v>
      </c>
      <c r="BY88" s="38">
        <v>0.72819999999999996</v>
      </c>
      <c r="BZ88" s="39">
        <v>62.81</v>
      </c>
      <c r="CA88" s="33"/>
      <c r="CB88" s="37">
        <v>728</v>
      </c>
      <c r="CC88" s="38">
        <v>0.15887999999999999</v>
      </c>
      <c r="CD88" s="42">
        <v>6.2939999999999996</v>
      </c>
      <c r="CE88" s="33"/>
      <c r="CF88" s="33"/>
      <c r="CG88" s="33"/>
      <c r="CH88" s="33"/>
      <c r="CI88" s="33"/>
      <c r="CJ88" s="33"/>
      <c r="CK88" s="33"/>
      <c r="CL88" s="40">
        <v>728</v>
      </c>
      <c r="CM88" s="43">
        <v>726.9</v>
      </c>
      <c r="CN88" s="41">
        <v>1.3756999999999999</v>
      </c>
      <c r="CO88" s="33"/>
      <c r="CP88" s="40">
        <v>728</v>
      </c>
      <c r="CQ88" s="34">
        <v>0.80130000000000001</v>
      </c>
      <c r="CR88" s="41">
        <v>0.71540000000000004</v>
      </c>
      <c r="CS88" s="33"/>
      <c r="CT88" s="40">
        <v>728</v>
      </c>
      <c r="CU88" s="44">
        <v>363.68</v>
      </c>
      <c r="CV88" s="42">
        <v>8.6590000000000007</v>
      </c>
    </row>
    <row r="89" spans="4:100">
      <c r="D89" s="30">
        <v>7.9</v>
      </c>
      <c r="E89" s="31">
        <v>1.0150999999999999</v>
      </c>
      <c r="F89" s="32">
        <v>1014.4</v>
      </c>
      <c r="G89" s="33"/>
      <c r="H89" s="30">
        <v>7.9</v>
      </c>
      <c r="I89" s="34">
        <v>3.7839999999999998</v>
      </c>
      <c r="J89" s="35">
        <v>0.15892999999999999</v>
      </c>
      <c r="L89" s="30">
        <v>7.9</v>
      </c>
      <c r="M89" s="172">
        <v>8.4540000000000006</v>
      </c>
      <c r="N89" s="173">
        <v>0.11829000000000001</v>
      </c>
      <c r="P89" s="30">
        <v>7.9</v>
      </c>
      <c r="Q89" s="172">
        <v>4.2268999999999997</v>
      </c>
      <c r="R89" s="173">
        <v>0.17752999999999999</v>
      </c>
      <c r="T89" s="30">
        <v>7.9</v>
      </c>
      <c r="U89" s="172">
        <v>236.58</v>
      </c>
      <c r="V89" s="173">
        <v>5.633</v>
      </c>
      <c r="X89" s="30">
        <v>7.9</v>
      </c>
      <c r="Y89" s="34">
        <v>3.774</v>
      </c>
      <c r="Z89" s="35">
        <v>0.15851000000000001</v>
      </c>
      <c r="AA89" s="36"/>
      <c r="AB89" s="30">
        <v>7.9</v>
      </c>
      <c r="AC89" s="44">
        <v>264.97000000000003</v>
      </c>
      <c r="AD89" s="35">
        <v>6.3090000000000002</v>
      </c>
      <c r="AE89" s="36"/>
      <c r="AF89" s="30">
        <v>7.9</v>
      </c>
      <c r="AG89" s="34">
        <v>3.8346</v>
      </c>
      <c r="AH89" s="35">
        <v>0.16105</v>
      </c>
      <c r="AI89" s="35"/>
      <c r="AJ89" s="35">
        <v>0.10756</v>
      </c>
      <c r="AK89" s="998">
        <v>77.099999999999994</v>
      </c>
      <c r="AM89" s="30">
        <v>7.9</v>
      </c>
      <c r="AN89" s="34">
        <v>0.8952</v>
      </c>
      <c r="AO89" s="35">
        <v>1.0025999999999999</v>
      </c>
      <c r="AQ89" s="197">
        <v>0.72899999999999998</v>
      </c>
      <c r="AR89" s="200">
        <v>62.6</v>
      </c>
      <c r="AS89" s="199">
        <v>728.8</v>
      </c>
      <c r="AZ89" s="197">
        <v>0.72899999999999998</v>
      </c>
      <c r="BA89" s="198">
        <v>6.0685000000000002</v>
      </c>
      <c r="BB89" s="199">
        <v>0.16478999999999999</v>
      </c>
      <c r="BD89" s="197">
        <v>0.72899999999999998</v>
      </c>
      <c r="BE89" s="198">
        <v>3.0343</v>
      </c>
      <c r="BF89" s="199">
        <v>0.12744</v>
      </c>
      <c r="BH89" s="197">
        <v>0.72899999999999998</v>
      </c>
      <c r="BI89" s="198">
        <v>329.57</v>
      </c>
      <c r="BJ89" s="199">
        <v>7.8470000000000004</v>
      </c>
      <c r="BL89" s="197">
        <v>0.72899999999999998</v>
      </c>
      <c r="BM89" s="198">
        <v>2.7092000000000001</v>
      </c>
      <c r="BN89" s="199">
        <v>0.11378000000000001</v>
      </c>
      <c r="BP89" s="197">
        <v>0.72899999999999998</v>
      </c>
      <c r="BQ89" s="200">
        <v>369.12</v>
      </c>
      <c r="BR89" s="199">
        <v>8.7889999999999997</v>
      </c>
      <c r="BT89" s="197">
        <v>0.72899999999999998</v>
      </c>
      <c r="BU89" s="201">
        <v>1.2466999999999999</v>
      </c>
      <c r="BV89" s="202">
        <v>1.3963000000000001</v>
      </c>
      <c r="BX89" s="37">
        <v>729</v>
      </c>
      <c r="BY89" s="38">
        <v>0.72919999999999996</v>
      </c>
      <c r="BZ89" s="39">
        <v>62.54</v>
      </c>
      <c r="CA89" s="33"/>
      <c r="CB89" s="37">
        <v>729</v>
      </c>
      <c r="CC89" s="38">
        <v>0.15887999999999999</v>
      </c>
      <c r="CD89" s="42">
        <v>6.2939999999999996</v>
      </c>
      <c r="CE89" s="33"/>
      <c r="CF89" s="33"/>
      <c r="CG89" s="33"/>
      <c r="CH89" s="33"/>
      <c r="CI89" s="33"/>
      <c r="CJ89" s="33"/>
      <c r="CK89" s="33"/>
      <c r="CL89" s="40">
        <v>729</v>
      </c>
      <c r="CM89" s="43">
        <v>727.9</v>
      </c>
      <c r="CN89" s="41">
        <v>1.3737999999999999</v>
      </c>
      <c r="CO89" s="33"/>
      <c r="CP89" s="40">
        <v>729</v>
      </c>
      <c r="CQ89" s="34">
        <v>0.8024</v>
      </c>
      <c r="CR89" s="41">
        <v>0.71640000000000004</v>
      </c>
      <c r="CS89" s="33"/>
      <c r="CT89" s="40">
        <v>729</v>
      </c>
      <c r="CU89" s="44">
        <v>363.18</v>
      </c>
      <c r="CV89" s="42">
        <v>8.6470000000000002</v>
      </c>
    </row>
    <row r="90" spans="4:100">
      <c r="D90" s="30">
        <v>8</v>
      </c>
      <c r="E90" s="31">
        <v>1.0143</v>
      </c>
      <c r="F90" s="32">
        <v>1013.7</v>
      </c>
      <c r="G90" s="33"/>
      <c r="H90" s="30">
        <v>8</v>
      </c>
      <c r="I90" s="34">
        <v>3.7839999999999998</v>
      </c>
      <c r="J90" s="35">
        <v>0.15892999999999999</v>
      </c>
      <c r="L90" s="30">
        <v>8</v>
      </c>
      <c r="M90" s="172">
        <v>8.4480000000000004</v>
      </c>
      <c r="N90" s="173">
        <v>0.11837</v>
      </c>
      <c r="P90" s="30">
        <v>8</v>
      </c>
      <c r="Q90" s="172">
        <v>4.2239000000000004</v>
      </c>
      <c r="R90" s="173">
        <v>0.1774</v>
      </c>
      <c r="T90" s="30">
        <v>8</v>
      </c>
      <c r="U90" s="172">
        <v>236.75</v>
      </c>
      <c r="V90" s="173">
        <v>5.6369999999999996</v>
      </c>
      <c r="X90" s="30">
        <v>8</v>
      </c>
      <c r="Y90" s="34">
        <v>3.7713000000000001</v>
      </c>
      <c r="Z90" s="35">
        <v>0.15840000000000001</v>
      </c>
      <c r="AA90" s="36"/>
      <c r="AB90" s="30">
        <v>8</v>
      </c>
      <c r="AC90" s="44">
        <v>265.16000000000003</v>
      </c>
      <c r="AD90" s="35">
        <v>6.3129999999999997</v>
      </c>
      <c r="AE90" s="36"/>
      <c r="AF90" s="30">
        <v>8</v>
      </c>
      <c r="AG90" s="34">
        <v>3.8317999999999999</v>
      </c>
      <c r="AH90" s="35">
        <v>0.16094</v>
      </c>
      <c r="AI90" s="35"/>
      <c r="AJ90" s="35">
        <v>0.10761</v>
      </c>
      <c r="AK90" s="998">
        <v>77</v>
      </c>
      <c r="AM90" s="30">
        <v>8</v>
      </c>
      <c r="AN90" s="34">
        <v>0.89590000000000003</v>
      </c>
      <c r="AO90" s="35">
        <v>1.0034000000000001</v>
      </c>
      <c r="AQ90" s="197">
        <v>0.73</v>
      </c>
      <c r="AR90" s="200">
        <v>62.34</v>
      </c>
      <c r="AS90" s="199">
        <v>729.8</v>
      </c>
      <c r="AZ90" s="197">
        <v>0.73</v>
      </c>
      <c r="BA90" s="198">
        <v>6.0769000000000002</v>
      </c>
      <c r="BB90" s="199">
        <v>0.16456000000000001</v>
      </c>
      <c r="BD90" s="197">
        <v>0.73</v>
      </c>
      <c r="BE90" s="198">
        <v>3.0384000000000002</v>
      </c>
      <c r="BF90" s="199">
        <v>0.12761</v>
      </c>
      <c r="BH90" s="197">
        <v>0.73</v>
      </c>
      <c r="BI90" s="198">
        <v>329.12</v>
      </c>
      <c r="BJ90" s="199">
        <v>7.8360000000000003</v>
      </c>
      <c r="BL90" s="197">
        <v>0.73</v>
      </c>
      <c r="BM90" s="198">
        <v>2.7128999999999999</v>
      </c>
      <c r="BN90" s="199">
        <v>0.11394</v>
      </c>
      <c r="BP90" s="197">
        <v>0.73</v>
      </c>
      <c r="BQ90" s="200">
        <v>368.61</v>
      </c>
      <c r="BR90" s="199">
        <v>8.7759999999999998</v>
      </c>
      <c r="BT90" s="197">
        <v>0.73</v>
      </c>
      <c r="BU90" s="201">
        <v>1.2450000000000001</v>
      </c>
      <c r="BV90" s="202">
        <v>1.3944000000000001</v>
      </c>
      <c r="BX90" s="37">
        <v>730</v>
      </c>
      <c r="BY90" s="38">
        <v>0.73019999999999996</v>
      </c>
      <c r="BZ90" s="39">
        <v>62.28</v>
      </c>
      <c r="CA90" s="33"/>
      <c r="CB90" s="37">
        <v>730</v>
      </c>
      <c r="CC90" s="38">
        <v>0.15887999999999999</v>
      </c>
      <c r="CD90" s="42">
        <v>6.2939999999999996</v>
      </c>
      <c r="CE90" s="33"/>
      <c r="CF90" s="33"/>
      <c r="CG90" s="33"/>
      <c r="CH90" s="33"/>
      <c r="CI90" s="33"/>
      <c r="CJ90" s="33"/>
      <c r="CK90" s="33"/>
      <c r="CL90" s="40">
        <v>730</v>
      </c>
      <c r="CM90" s="43">
        <v>728.9</v>
      </c>
      <c r="CN90" s="41">
        <v>1.3718999999999999</v>
      </c>
      <c r="CO90" s="33"/>
      <c r="CP90" s="40">
        <v>730</v>
      </c>
      <c r="CQ90" s="34">
        <v>0.80349999999999999</v>
      </c>
      <c r="CR90" s="41">
        <v>0.71740000000000004</v>
      </c>
      <c r="CS90" s="33"/>
      <c r="CT90" s="40">
        <v>730</v>
      </c>
      <c r="CU90" s="44">
        <v>362.68</v>
      </c>
      <c r="CV90" s="42">
        <v>8.6349999999999998</v>
      </c>
    </row>
    <row r="91" spans="4:100">
      <c r="D91" s="30">
        <v>8.1</v>
      </c>
      <c r="E91" s="31">
        <v>1.0136000000000001</v>
      </c>
      <c r="F91" s="32">
        <v>1013</v>
      </c>
      <c r="G91" s="33"/>
      <c r="H91" s="30">
        <v>8.1</v>
      </c>
      <c r="I91" s="34">
        <v>3.7839999999999998</v>
      </c>
      <c r="J91" s="35">
        <v>0.15892999999999999</v>
      </c>
      <c r="L91" s="30">
        <v>8.1</v>
      </c>
      <c r="M91" s="172">
        <v>8.4420000000000002</v>
      </c>
      <c r="N91" s="173">
        <v>0.11846</v>
      </c>
      <c r="P91" s="30">
        <v>8.1</v>
      </c>
      <c r="Q91" s="172">
        <v>4.2207999999999997</v>
      </c>
      <c r="R91" s="173">
        <v>0.17727999999999999</v>
      </c>
      <c r="T91" s="30">
        <v>8.1</v>
      </c>
      <c r="U91" s="172">
        <v>236.92</v>
      </c>
      <c r="V91" s="173">
        <v>5.641</v>
      </c>
      <c r="X91" s="30">
        <v>8.1</v>
      </c>
      <c r="Y91" s="34">
        <v>3.7686000000000002</v>
      </c>
      <c r="Z91" s="35">
        <v>0.15828</v>
      </c>
      <c r="AA91" s="36"/>
      <c r="AB91" s="30">
        <v>8.1</v>
      </c>
      <c r="AC91" s="44">
        <v>265.35000000000002</v>
      </c>
      <c r="AD91" s="35">
        <v>6.3179999999999996</v>
      </c>
      <c r="AE91" s="36"/>
      <c r="AF91" s="30">
        <v>8.1</v>
      </c>
      <c r="AG91" s="34">
        <v>3.8290999999999999</v>
      </c>
      <c r="AH91" s="35">
        <v>0.16081999999999999</v>
      </c>
      <c r="AI91" s="35"/>
      <c r="AJ91" s="35">
        <v>0.10767</v>
      </c>
      <c r="AK91" s="998">
        <v>76.900000000000006</v>
      </c>
      <c r="AM91" s="30">
        <v>8.1</v>
      </c>
      <c r="AN91" s="34">
        <v>0.89649999999999996</v>
      </c>
      <c r="AO91" s="35">
        <v>1.0041</v>
      </c>
      <c r="AQ91" s="197">
        <v>0.73099999999999998</v>
      </c>
      <c r="AR91" s="200">
        <v>62.07</v>
      </c>
      <c r="AS91" s="199">
        <v>730.8</v>
      </c>
      <c r="AZ91" s="197">
        <v>0.73099999999999998</v>
      </c>
      <c r="BA91" s="198">
        <v>6.0852000000000004</v>
      </c>
      <c r="BB91" s="199">
        <v>0.16433</v>
      </c>
      <c r="BD91" s="197">
        <v>0.73099999999999998</v>
      </c>
      <c r="BE91" s="198">
        <v>3.0426000000000002</v>
      </c>
      <c r="BF91" s="199">
        <v>0.12778999999999999</v>
      </c>
      <c r="BH91" s="197">
        <v>0.73099999999999998</v>
      </c>
      <c r="BI91" s="198">
        <v>328.67</v>
      </c>
      <c r="BJ91" s="199">
        <v>7.8250000000000002</v>
      </c>
      <c r="BL91" s="197">
        <v>0.73099999999999998</v>
      </c>
      <c r="BM91" s="198">
        <v>2.7166000000000001</v>
      </c>
      <c r="BN91" s="199">
        <v>0.11409999999999999</v>
      </c>
      <c r="BP91" s="197">
        <v>0.73099999999999998</v>
      </c>
      <c r="BQ91" s="200">
        <v>368.1</v>
      </c>
      <c r="BR91" s="199">
        <v>8.7639999999999993</v>
      </c>
      <c r="BT91" s="197">
        <v>0.73099999999999998</v>
      </c>
      <c r="BU91" s="201">
        <v>1.2433000000000001</v>
      </c>
      <c r="BV91" s="202">
        <v>1.3925000000000001</v>
      </c>
      <c r="BX91" s="37">
        <v>731</v>
      </c>
      <c r="BY91" s="38">
        <v>0.73119999999999996</v>
      </c>
      <c r="BZ91" s="39">
        <v>62.01</v>
      </c>
      <c r="CA91" s="33"/>
      <c r="CB91" s="37">
        <v>731</v>
      </c>
      <c r="CC91" s="38">
        <v>0.15887999999999999</v>
      </c>
      <c r="CD91" s="42">
        <v>6.2939999999999996</v>
      </c>
      <c r="CE91" s="33"/>
      <c r="CF91" s="33"/>
      <c r="CG91" s="33"/>
      <c r="CH91" s="33"/>
      <c r="CI91" s="33"/>
      <c r="CJ91" s="33"/>
      <c r="CK91" s="33"/>
      <c r="CL91" s="40">
        <v>731</v>
      </c>
      <c r="CM91" s="43">
        <v>729.9</v>
      </c>
      <c r="CN91" s="41">
        <v>1.3701000000000001</v>
      </c>
      <c r="CO91" s="33"/>
      <c r="CP91" s="40">
        <v>731</v>
      </c>
      <c r="CQ91" s="34">
        <v>0.80459999999999998</v>
      </c>
      <c r="CR91" s="41">
        <v>0.71840000000000004</v>
      </c>
      <c r="CS91" s="33"/>
      <c r="CT91" s="40">
        <v>731</v>
      </c>
      <c r="CU91" s="44">
        <v>362.18</v>
      </c>
      <c r="CV91" s="42">
        <v>8.6229999999999993</v>
      </c>
    </row>
    <row r="92" spans="4:100">
      <c r="D92" s="30">
        <v>8.1999999999999993</v>
      </c>
      <c r="E92" s="31">
        <v>1.0128999999999999</v>
      </c>
      <c r="F92" s="32">
        <v>1012.3</v>
      </c>
      <c r="G92" s="33"/>
      <c r="H92" s="30">
        <v>8.1999999999999993</v>
      </c>
      <c r="I92" s="34">
        <v>3.7839999999999998</v>
      </c>
      <c r="J92" s="35">
        <v>0.15892999999999999</v>
      </c>
      <c r="L92" s="30">
        <v>8.1999999999999993</v>
      </c>
      <c r="M92" s="172">
        <v>8.4359999999999999</v>
      </c>
      <c r="N92" s="173">
        <v>0.11854000000000001</v>
      </c>
      <c r="P92" s="30">
        <v>8.1999999999999993</v>
      </c>
      <c r="Q92" s="172">
        <v>4.2178000000000004</v>
      </c>
      <c r="R92" s="173">
        <v>0.17715</v>
      </c>
      <c r="T92" s="30">
        <v>8.1999999999999993</v>
      </c>
      <c r="U92" s="172">
        <v>237.09</v>
      </c>
      <c r="V92" s="173">
        <v>5.6449999999999996</v>
      </c>
      <c r="X92" s="30">
        <v>8.1999999999999993</v>
      </c>
      <c r="Y92" s="34">
        <v>3.7658999999999998</v>
      </c>
      <c r="Z92" s="35">
        <v>0.15817000000000001</v>
      </c>
      <c r="AA92" s="36"/>
      <c r="AB92" s="30">
        <v>8.1999999999999993</v>
      </c>
      <c r="AC92" s="44">
        <v>265.54000000000002</v>
      </c>
      <c r="AD92" s="35">
        <v>6.3220000000000001</v>
      </c>
      <c r="AE92" s="36"/>
      <c r="AF92" s="30">
        <v>8.1999999999999993</v>
      </c>
      <c r="AG92" s="34">
        <v>3.8262999999999998</v>
      </c>
      <c r="AH92" s="35">
        <v>0.16070999999999999</v>
      </c>
      <c r="AI92" s="35"/>
      <c r="AJ92" s="35">
        <v>0.10772</v>
      </c>
      <c r="AK92" s="998">
        <v>76.8</v>
      </c>
      <c r="AM92" s="30">
        <v>8.1999999999999993</v>
      </c>
      <c r="AN92" s="34">
        <v>0.89710000000000001</v>
      </c>
      <c r="AO92" s="35">
        <v>1.0047999999999999</v>
      </c>
      <c r="AQ92" s="197">
        <v>0.73199999999999998</v>
      </c>
      <c r="AR92" s="200">
        <v>61.81</v>
      </c>
      <c r="AS92" s="199">
        <v>731.8</v>
      </c>
      <c r="AZ92" s="197">
        <v>0.73199999999999998</v>
      </c>
      <c r="BA92" s="198">
        <v>6.0934999999999997</v>
      </c>
      <c r="BB92" s="199">
        <v>0.16411000000000001</v>
      </c>
      <c r="BD92" s="197">
        <v>0.73199999999999998</v>
      </c>
      <c r="BE92" s="198">
        <v>3.0468000000000002</v>
      </c>
      <c r="BF92" s="199">
        <v>0.12795999999999999</v>
      </c>
      <c r="BH92" s="197">
        <v>0.73199999999999998</v>
      </c>
      <c r="BI92" s="198">
        <v>328.22</v>
      </c>
      <c r="BJ92" s="199">
        <v>7.8150000000000004</v>
      </c>
      <c r="BL92" s="197">
        <v>0.73199999999999998</v>
      </c>
      <c r="BM92" s="198">
        <v>2.7202999999999999</v>
      </c>
      <c r="BN92" s="199">
        <v>0.11425</v>
      </c>
      <c r="BP92" s="197">
        <v>0.73199999999999998</v>
      </c>
      <c r="BQ92" s="200">
        <v>367.6</v>
      </c>
      <c r="BR92" s="199">
        <v>8.7520000000000007</v>
      </c>
      <c r="BT92" s="197">
        <v>0.73199999999999998</v>
      </c>
      <c r="BU92" s="201">
        <v>1.2416</v>
      </c>
      <c r="BV92" s="202">
        <v>1.3906000000000001</v>
      </c>
      <c r="BX92" s="37">
        <v>732</v>
      </c>
      <c r="BY92" s="38">
        <v>0.73219999999999996</v>
      </c>
      <c r="BZ92" s="39">
        <v>61.75</v>
      </c>
      <c r="CA92" s="33"/>
      <c r="CB92" s="37">
        <v>732</v>
      </c>
      <c r="CC92" s="38">
        <v>0.15887999999999999</v>
      </c>
      <c r="CD92" s="42">
        <v>6.2939999999999996</v>
      </c>
      <c r="CE92" s="33"/>
      <c r="CF92" s="33"/>
      <c r="CG92" s="33"/>
      <c r="CH92" s="33"/>
      <c r="CI92" s="33"/>
      <c r="CJ92" s="33"/>
      <c r="CK92" s="33"/>
      <c r="CL92" s="40">
        <v>732</v>
      </c>
      <c r="CM92" s="43">
        <v>730.9</v>
      </c>
      <c r="CN92" s="41">
        <v>1.3682000000000001</v>
      </c>
      <c r="CO92" s="33"/>
      <c r="CP92" s="40">
        <v>732</v>
      </c>
      <c r="CQ92" s="34">
        <v>0.80569999999999997</v>
      </c>
      <c r="CR92" s="41">
        <v>0.71930000000000005</v>
      </c>
      <c r="CS92" s="33"/>
      <c r="CT92" s="40">
        <v>732</v>
      </c>
      <c r="CU92" s="44">
        <v>361.69</v>
      </c>
      <c r="CV92" s="42">
        <v>8.6120000000000001</v>
      </c>
    </row>
    <row r="93" spans="4:100">
      <c r="D93" s="30">
        <v>8.3000000000000007</v>
      </c>
      <c r="E93" s="31">
        <v>1.0122</v>
      </c>
      <c r="F93" s="32">
        <v>1011.5</v>
      </c>
      <c r="G93" s="33"/>
      <c r="H93" s="30">
        <v>8.3000000000000007</v>
      </c>
      <c r="I93" s="34">
        <v>3.7839999999999998</v>
      </c>
      <c r="J93" s="35">
        <v>0.15892999999999999</v>
      </c>
      <c r="L93" s="30">
        <v>8.3000000000000007</v>
      </c>
      <c r="M93" s="172">
        <v>8.43</v>
      </c>
      <c r="N93" s="173">
        <v>0.11863</v>
      </c>
      <c r="P93" s="30">
        <v>8.3000000000000007</v>
      </c>
      <c r="Q93" s="172">
        <v>4.2148000000000003</v>
      </c>
      <c r="R93" s="173">
        <v>0.17702000000000001</v>
      </c>
      <c r="T93" s="30">
        <v>8.3000000000000007</v>
      </c>
      <c r="U93" s="172">
        <v>237.26</v>
      </c>
      <c r="V93" s="173">
        <v>5.649</v>
      </c>
      <c r="X93" s="30">
        <v>8.3000000000000007</v>
      </c>
      <c r="Y93" s="34">
        <v>3.7631999999999999</v>
      </c>
      <c r="Z93" s="35">
        <v>0.15806000000000001</v>
      </c>
      <c r="AA93" s="36"/>
      <c r="AB93" s="30">
        <v>8.3000000000000007</v>
      </c>
      <c r="AC93" s="44">
        <v>265.73</v>
      </c>
      <c r="AD93" s="35">
        <v>6.327</v>
      </c>
      <c r="AE93" s="36"/>
      <c r="AF93" s="30">
        <v>8.3000000000000007</v>
      </c>
      <c r="AG93" s="34">
        <v>3.8235999999999999</v>
      </c>
      <c r="AH93" s="35">
        <v>0.16059000000000001</v>
      </c>
      <c r="AI93" s="35"/>
      <c r="AJ93" s="35">
        <v>0.10777</v>
      </c>
      <c r="AK93" s="998">
        <v>76.7</v>
      </c>
      <c r="AM93" s="30">
        <v>8.3000000000000007</v>
      </c>
      <c r="AN93" s="34">
        <v>0.89780000000000004</v>
      </c>
      <c r="AO93" s="35">
        <v>1.0055000000000001</v>
      </c>
      <c r="AQ93" s="197">
        <v>0.73299999999999998</v>
      </c>
      <c r="AR93" s="200">
        <v>61.54</v>
      </c>
      <c r="AS93" s="199">
        <v>732.8</v>
      </c>
      <c r="AZ93" s="197">
        <v>0.73299999999999998</v>
      </c>
      <c r="BA93" s="198">
        <v>6.1018999999999997</v>
      </c>
      <c r="BB93" s="199">
        <v>0.16388</v>
      </c>
      <c r="BD93" s="197">
        <v>0.73299999999999998</v>
      </c>
      <c r="BE93" s="198">
        <v>3.0508999999999999</v>
      </c>
      <c r="BF93" s="199">
        <v>0.12814</v>
      </c>
      <c r="BH93" s="197">
        <v>0.73299999999999998</v>
      </c>
      <c r="BI93" s="198">
        <v>327.77</v>
      </c>
      <c r="BJ93" s="199">
        <v>7.8040000000000003</v>
      </c>
      <c r="BL93" s="197">
        <v>0.73299999999999998</v>
      </c>
      <c r="BM93" s="198">
        <v>2.7240000000000002</v>
      </c>
      <c r="BN93" s="199">
        <v>0.11441</v>
      </c>
      <c r="BP93" s="197">
        <v>0.73299999999999998</v>
      </c>
      <c r="BQ93" s="200">
        <v>367.1</v>
      </c>
      <c r="BR93" s="199">
        <v>8.74</v>
      </c>
      <c r="BT93" s="197">
        <v>0.73299999999999998</v>
      </c>
      <c r="BU93" s="201">
        <v>1.2399</v>
      </c>
      <c r="BV93" s="202">
        <v>1.3887</v>
      </c>
      <c r="BX93" s="37">
        <v>733</v>
      </c>
      <c r="BY93" s="38">
        <v>0.73319999999999996</v>
      </c>
      <c r="BZ93" s="39">
        <v>61.48</v>
      </c>
      <c r="CA93" s="33"/>
      <c r="CB93" s="37">
        <v>733</v>
      </c>
      <c r="CC93" s="38">
        <v>0.15887999999999999</v>
      </c>
      <c r="CD93" s="42">
        <v>6.2939999999999996</v>
      </c>
      <c r="CE93" s="33"/>
      <c r="CF93" s="33"/>
      <c r="CG93" s="33"/>
      <c r="CH93" s="33"/>
      <c r="CI93" s="33"/>
      <c r="CJ93" s="33"/>
      <c r="CK93" s="33"/>
      <c r="CL93" s="40">
        <v>733</v>
      </c>
      <c r="CM93" s="43">
        <v>731.9</v>
      </c>
      <c r="CN93" s="41">
        <v>1.3663000000000001</v>
      </c>
      <c r="CO93" s="33"/>
      <c r="CP93" s="40">
        <v>733</v>
      </c>
      <c r="CQ93" s="34">
        <v>0.80679999999999996</v>
      </c>
      <c r="CR93" s="41">
        <v>0.72030000000000005</v>
      </c>
      <c r="CS93" s="33"/>
      <c r="CT93" s="40">
        <v>733</v>
      </c>
      <c r="CU93" s="44">
        <v>361.19</v>
      </c>
      <c r="CV93" s="42">
        <v>8.6</v>
      </c>
    </row>
    <row r="94" spans="4:100">
      <c r="D94" s="30">
        <v>8.4</v>
      </c>
      <c r="E94" s="31">
        <v>1.0114000000000001</v>
      </c>
      <c r="F94" s="32">
        <v>1010.8</v>
      </c>
      <c r="G94" s="33"/>
      <c r="H94" s="30">
        <v>8.4</v>
      </c>
      <c r="I94" s="34">
        <v>3.7839999999999998</v>
      </c>
      <c r="J94" s="35">
        <v>0.15892999999999999</v>
      </c>
      <c r="L94" s="30">
        <v>8.4</v>
      </c>
      <c r="M94" s="172">
        <v>8.4239999999999995</v>
      </c>
      <c r="N94" s="173">
        <v>0.11871</v>
      </c>
      <c r="P94" s="30">
        <v>8.4</v>
      </c>
      <c r="Q94" s="172">
        <v>4.2118000000000002</v>
      </c>
      <c r="R94" s="173">
        <v>0.1769</v>
      </c>
      <c r="T94" s="30">
        <v>8.4</v>
      </c>
      <c r="U94" s="172">
        <v>237.43</v>
      </c>
      <c r="V94" s="173">
        <v>5.6529999999999996</v>
      </c>
      <c r="X94" s="30">
        <v>8.4</v>
      </c>
      <c r="Y94" s="34">
        <v>3.7605</v>
      </c>
      <c r="Z94" s="35">
        <v>0.15794</v>
      </c>
      <c r="AA94" s="36"/>
      <c r="AB94" s="30">
        <v>8.4</v>
      </c>
      <c r="AC94" s="44">
        <v>265.92</v>
      </c>
      <c r="AD94" s="35">
        <v>6.3310000000000004</v>
      </c>
      <c r="AE94" s="36"/>
      <c r="AF94" s="30">
        <v>8.4</v>
      </c>
      <c r="AG94" s="34">
        <v>3.8209</v>
      </c>
      <c r="AH94" s="35">
        <v>0.16048000000000001</v>
      </c>
      <c r="AI94" s="35"/>
      <c r="AJ94" s="35">
        <v>0.10782</v>
      </c>
      <c r="AK94" s="998">
        <v>76.599999999999994</v>
      </c>
      <c r="AM94" s="30">
        <v>8.4</v>
      </c>
      <c r="AN94" s="34">
        <v>0.89839999999999998</v>
      </c>
      <c r="AO94" s="35">
        <v>1.0062</v>
      </c>
      <c r="AQ94" s="197">
        <v>0.73399999999999999</v>
      </c>
      <c r="AR94" s="200">
        <v>61.28</v>
      </c>
      <c r="AS94" s="199">
        <v>733.8</v>
      </c>
      <c r="AZ94" s="197">
        <v>0.73399999999999999</v>
      </c>
      <c r="BA94" s="198">
        <v>6.1101999999999999</v>
      </c>
      <c r="BB94" s="199">
        <v>0.16366</v>
      </c>
      <c r="BD94" s="197">
        <v>0.73399999999999999</v>
      </c>
      <c r="BE94" s="198">
        <v>3.0550999999999999</v>
      </c>
      <c r="BF94" s="199">
        <v>0.12831000000000001</v>
      </c>
      <c r="BH94" s="197">
        <v>0.73399999999999999</v>
      </c>
      <c r="BI94" s="198">
        <v>327.32</v>
      </c>
      <c r="BJ94" s="199">
        <v>7.7930000000000001</v>
      </c>
      <c r="BL94" s="197">
        <v>0.73399999999999999</v>
      </c>
      <c r="BM94" s="198">
        <v>2.7277999999999998</v>
      </c>
      <c r="BN94" s="199">
        <v>0.11457000000000001</v>
      </c>
      <c r="BP94" s="197">
        <v>0.73399999999999999</v>
      </c>
      <c r="BQ94" s="200">
        <v>366.6</v>
      </c>
      <c r="BR94" s="199">
        <v>8.7289999999999992</v>
      </c>
      <c r="BT94" s="197">
        <v>0.73399999999999999</v>
      </c>
      <c r="BU94" s="201">
        <v>1.2382</v>
      </c>
      <c r="BV94" s="202">
        <v>1.3868</v>
      </c>
      <c r="BX94" s="37">
        <v>734</v>
      </c>
      <c r="BY94" s="38">
        <v>0.73419999999999996</v>
      </c>
      <c r="BZ94" s="39">
        <v>61.22</v>
      </c>
      <c r="CA94" s="33"/>
      <c r="CB94" s="37">
        <v>734</v>
      </c>
      <c r="CC94" s="38">
        <v>0.15887999999999999</v>
      </c>
      <c r="CD94" s="42">
        <v>6.2939999999999996</v>
      </c>
      <c r="CE94" s="33"/>
      <c r="CF94" s="33"/>
      <c r="CG94" s="33"/>
      <c r="CH94" s="33"/>
      <c r="CI94" s="33"/>
      <c r="CJ94" s="33"/>
      <c r="CK94" s="33"/>
      <c r="CL94" s="40">
        <v>734</v>
      </c>
      <c r="CM94" s="43">
        <v>732.9</v>
      </c>
      <c r="CN94" s="41">
        <v>1.3645</v>
      </c>
      <c r="CO94" s="33"/>
      <c r="CP94" s="40">
        <v>734</v>
      </c>
      <c r="CQ94" s="34">
        <v>0.80789999999999995</v>
      </c>
      <c r="CR94" s="41">
        <v>0.72130000000000005</v>
      </c>
      <c r="CS94" s="33"/>
      <c r="CT94" s="40">
        <v>734</v>
      </c>
      <c r="CU94" s="44">
        <v>360.7</v>
      </c>
      <c r="CV94" s="42">
        <v>8.5879999999999992</v>
      </c>
    </row>
    <row r="95" spans="4:100">
      <c r="D95" s="30">
        <v>8.5</v>
      </c>
      <c r="E95" s="31">
        <v>1.0106999999999999</v>
      </c>
      <c r="F95" s="32">
        <v>1010.1</v>
      </c>
      <c r="G95" s="33"/>
      <c r="H95" s="30">
        <v>8.5</v>
      </c>
      <c r="I95" s="34">
        <v>3.7839999999999998</v>
      </c>
      <c r="J95" s="35">
        <v>0.15892999999999999</v>
      </c>
      <c r="L95" s="30">
        <v>8.5</v>
      </c>
      <c r="M95" s="172">
        <v>8.4179999999999993</v>
      </c>
      <c r="N95" s="173">
        <v>0.1188</v>
      </c>
      <c r="P95" s="30">
        <v>8.5</v>
      </c>
      <c r="Q95" s="172">
        <v>4.2088000000000001</v>
      </c>
      <c r="R95" s="173">
        <v>0.17677000000000001</v>
      </c>
      <c r="T95" s="30">
        <v>8.5</v>
      </c>
      <c r="U95" s="172">
        <v>237.6</v>
      </c>
      <c r="V95" s="173">
        <v>5.657</v>
      </c>
      <c r="X95" s="30">
        <v>8.5</v>
      </c>
      <c r="Y95" s="34">
        <v>3.7578</v>
      </c>
      <c r="Z95" s="35">
        <v>0.15783</v>
      </c>
      <c r="AA95" s="36"/>
      <c r="AB95" s="30">
        <v>8.5</v>
      </c>
      <c r="AC95" s="44">
        <v>266.11</v>
      </c>
      <c r="AD95" s="35">
        <v>6.3360000000000003</v>
      </c>
      <c r="AE95" s="36"/>
      <c r="AF95" s="30">
        <v>8.5</v>
      </c>
      <c r="AG95" s="34">
        <v>3.8180999999999998</v>
      </c>
      <c r="AH95" s="35">
        <v>0.16036</v>
      </c>
      <c r="AI95" s="35"/>
      <c r="AJ95" s="35">
        <v>0.10786999999999999</v>
      </c>
      <c r="AK95" s="998">
        <v>76.5</v>
      </c>
      <c r="AM95" s="30">
        <v>8.5</v>
      </c>
      <c r="AN95" s="34">
        <v>0.89910000000000001</v>
      </c>
      <c r="AO95" s="35">
        <v>1.0069999999999999</v>
      </c>
      <c r="AQ95" s="197">
        <v>0.73499999999999999</v>
      </c>
      <c r="AR95" s="200">
        <v>61.02</v>
      </c>
      <c r="AS95" s="199">
        <v>734.8</v>
      </c>
      <c r="AZ95" s="197">
        <v>0.73499999999999999</v>
      </c>
      <c r="BA95" s="198">
        <v>6.1185</v>
      </c>
      <c r="BB95" s="199">
        <v>0.16344</v>
      </c>
      <c r="BD95" s="197">
        <v>0.73499999999999999</v>
      </c>
      <c r="BE95" s="198">
        <v>3.0592999999999999</v>
      </c>
      <c r="BF95" s="199">
        <v>0.12848999999999999</v>
      </c>
      <c r="BH95" s="197">
        <v>0.73499999999999999</v>
      </c>
      <c r="BI95" s="198">
        <v>326.88</v>
      </c>
      <c r="BJ95" s="199">
        <v>7.7830000000000004</v>
      </c>
      <c r="BL95" s="197">
        <v>0.73499999999999999</v>
      </c>
      <c r="BM95" s="198">
        <v>2.7315</v>
      </c>
      <c r="BN95" s="199">
        <v>0.11472</v>
      </c>
      <c r="BP95" s="197">
        <v>0.73499999999999999</v>
      </c>
      <c r="BQ95" s="200">
        <v>366.1</v>
      </c>
      <c r="BR95" s="199">
        <v>8.7170000000000005</v>
      </c>
      <c r="BT95" s="197">
        <v>0.73499999999999999</v>
      </c>
      <c r="BU95" s="201">
        <v>1.2364999999999999</v>
      </c>
      <c r="BV95" s="202">
        <v>1.3849</v>
      </c>
      <c r="BX95" s="37">
        <v>735</v>
      </c>
      <c r="BY95" s="38">
        <v>0.73519999999999996</v>
      </c>
      <c r="BZ95" s="39">
        <v>60.96</v>
      </c>
      <c r="CA95" s="33"/>
      <c r="CB95" s="37">
        <v>735</v>
      </c>
      <c r="CC95" s="38">
        <v>0.15887999999999999</v>
      </c>
      <c r="CD95" s="42">
        <v>6.2939999999999996</v>
      </c>
      <c r="CE95" s="33"/>
      <c r="CF95" s="33"/>
      <c r="CG95" s="33"/>
      <c r="CH95" s="33"/>
      <c r="CI95" s="33"/>
      <c r="CJ95" s="33"/>
      <c r="CK95" s="33"/>
      <c r="CL95" s="40">
        <v>735</v>
      </c>
      <c r="CM95" s="43">
        <v>733.9</v>
      </c>
      <c r="CN95" s="41">
        <v>1.3626</v>
      </c>
      <c r="CO95" s="33"/>
      <c r="CP95" s="40">
        <v>735</v>
      </c>
      <c r="CQ95" s="34">
        <v>0.80900000000000005</v>
      </c>
      <c r="CR95" s="41">
        <v>0.72230000000000005</v>
      </c>
      <c r="CS95" s="33"/>
      <c r="CT95" s="40">
        <v>735</v>
      </c>
      <c r="CU95" s="44">
        <v>360.21</v>
      </c>
      <c r="CV95" s="42">
        <v>8.5760000000000005</v>
      </c>
    </row>
    <row r="96" spans="4:100">
      <c r="D96" s="30">
        <v>8.6</v>
      </c>
      <c r="E96" s="31">
        <v>1.01</v>
      </c>
      <c r="F96" s="32">
        <v>1009.4</v>
      </c>
      <c r="G96" s="33"/>
      <c r="H96" s="30">
        <v>8.6</v>
      </c>
      <c r="I96" s="34">
        <v>3.7839999999999998</v>
      </c>
      <c r="J96" s="35">
        <v>0.15892999999999999</v>
      </c>
      <c r="L96" s="30">
        <v>8.6</v>
      </c>
      <c r="M96" s="172">
        <v>8.4120000000000008</v>
      </c>
      <c r="N96" s="173">
        <v>0.11888</v>
      </c>
      <c r="P96" s="30">
        <v>8.6</v>
      </c>
      <c r="Q96" s="172">
        <v>4.2058</v>
      </c>
      <c r="R96" s="173">
        <v>0.17663999999999999</v>
      </c>
      <c r="T96" s="30">
        <v>8.6</v>
      </c>
      <c r="U96" s="172">
        <v>237.77</v>
      </c>
      <c r="V96" s="173">
        <v>5.6609999999999996</v>
      </c>
      <c r="X96" s="30">
        <v>8.6</v>
      </c>
      <c r="Y96" s="34">
        <v>3.7551000000000001</v>
      </c>
      <c r="Z96" s="35">
        <v>0.15772</v>
      </c>
      <c r="AA96" s="36"/>
      <c r="AB96" s="30">
        <v>8.6</v>
      </c>
      <c r="AC96" s="44">
        <v>266.3</v>
      </c>
      <c r="AD96" s="35">
        <v>6.3410000000000002</v>
      </c>
      <c r="AE96" s="36"/>
      <c r="AF96" s="30">
        <v>8.6</v>
      </c>
      <c r="AG96" s="34">
        <v>3.8153999999999999</v>
      </c>
      <c r="AH96" s="35">
        <v>0.16025</v>
      </c>
      <c r="AI96" s="35"/>
      <c r="AJ96" s="35">
        <v>0.10792</v>
      </c>
      <c r="AK96" s="998">
        <v>76.400000000000006</v>
      </c>
      <c r="AM96" s="30">
        <v>8.6</v>
      </c>
      <c r="AN96" s="34">
        <v>0.89970000000000006</v>
      </c>
      <c r="AO96" s="35">
        <v>1.0077</v>
      </c>
      <c r="AQ96" s="197">
        <v>0.73599999999999999</v>
      </c>
      <c r="AR96" s="200">
        <v>60.76</v>
      </c>
      <c r="AS96" s="199">
        <v>735.8</v>
      </c>
      <c r="AZ96" s="197">
        <v>0.73599999999999999</v>
      </c>
      <c r="BA96" s="198">
        <v>6.1269</v>
      </c>
      <c r="BB96" s="199">
        <v>0.16322</v>
      </c>
      <c r="BD96" s="197">
        <v>0.73599999999999999</v>
      </c>
      <c r="BE96" s="198">
        <v>3.0634000000000001</v>
      </c>
      <c r="BF96" s="199">
        <v>0.12866</v>
      </c>
      <c r="BH96" s="197">
        <v>0.73599999999999999</v>
      </c>
      <c r="BI96" s="198">
        <v>326.43</v>
      </c>
      <c r="BJ96" s="199">
        <v>7.7720000000000002</v>
      </c>
      <c r="BL96" s="197">
        <v>0.73599999999999999</v>
      </c>
      <c r="BM96" s="198">
        <v>2.7351999999999999</v>
      </c>
      <c r="BN96" s="199">
        <v>0.11488</v>
      </c>
      <c r="BP96" s="197">
        <v>0.73599999999999999</v>
      </c>
      <c r="BQ96" s="200">
        <v>365.6</v>
      </c>
      <c r="BR96" s="199">
        <v>8.7050000000000001</v>
      </c>
      <c r="BT96" s="197">
        <v>0.73599999999999999</v>
      </c>
      <c r="BU96" s="201">
        <v>1.2347999999999999</v>
      </c>
      <c r="BV96" s="202">
        <v>1.383</v>
      </c>
      <c r="BX96" s="37">
        <v>736</v>
      </c>
      <c r="BY96" s="38">
        <v>0.73619999999999997</v>
      </c>
      <c r="BZ96" s="39">
        <v>60.7</v>
      </c>
      <c r="CA96" s="33"/>
      <c r="CB96" s="37">
        <v>736</v>
      </c>
      <c r="CC96" s="38">
        <v>0.15887999999999999</v>
      </c>
      <c r="CD96" s="42">
        <v>6.2939999999999996</v>
      </c>
      <c r="CE96" s="33"/>
      <c r="CF96" s="33"/>
      <c r="CG96" s="33"/>
      <c r="CH96" s="33"/>
      <c r="CI96" s="33"/>
      <c r="CJ96" s="33"/>
      <c r="CK96" s="33"/>
      <c r="CL96" s="40">
        <v>736</v>
      </c>
      <c r="CM96" s="43">
        <v>734.9</v>
      </c>
      <c r="CN96" s="41">
        <v>1.3607</v>
      </c>
      <c r="CO96" s="33"/>
      <c r="CP96" s="40">
        <v>736</v>
      </c>
      <c r="CQ96" s="34">
        <v>0.81010000000000004</v>
      </c>
      <c r="CR96" s="41">
        <v>0.72330000000000005</v>
      </c>
      <c r="CS96" s="33"/>
      <c r="CT96" s="40">
        <v>736</v>
      </c>
      <c r="CU96" s="44">
        <v>359.72</v>
      </c>
      <c r="CV96" s="42">
        <v>8.5649999999999995</v>
      </c>
    </row>
    <row r="97" spans="4:100">
      <c r="D97" s="30">
        <v>8.6999999999999993</v>
      </c>
      <c r="E97" s="31">
        <v>1.0093000000000001</v>
      </c>
      <c r="F97" s="32">
        <v>1008.6</v>
      </c>
      <c r="G97" s="33"/>
      <c r="H97" s="30">
        <v>8.6999999999999993</v>
      </c>
      <c r="I97" s="34">
        <v>3.7839999999999998</v>
      </c>
      <c r="J97" s="35">
        <v>0.15892999999999999</v>
      </c>
      <c r="L97" s="30">
        <v>8.6999999999999993</v>
      </c>
      <c r="M97" s="172">
        <v>8.4060000000000006</v>
      </c>
      <c r="N97" s="173">
        <v>0.11897000000000001</v>
      </c>
      <c r="P97" s="30">
        <v>8.6999999999999993</v>
      </c>
      <c r="Q97" s="172">
        <v>4.2027999999999999</v>
      </c>
      <c r="R97" s="173">
        <v>0.17652000000000001</v>
      </c>
      <c r="T97" s="30">
        <v>8.6999999999999993</v>
      </c>
      <c r="U97" s="172">
        <v>237.94</v>
      </c>
      <c r="V97" s="173">
        <v>5.665</v>
      </c>
      <c r="X97" s="30">
        <v>8.6999999999999993</v>
      </c>
      <c r="Y97" s="34">
        <v>3.7524999999999999</v>
      </c>
      <c r="Z97" s="35">
        <v>0.15759999999999999</v>
      </c>
      <c r="AA97" s="36"/>
      <c r="AB97" s="30">
        <v>8.6999999999999993</v>
      </c>
      <c r="AC97" s="44">
        <v>266.49</v>
      </c>
      <c r="AD97" s="35">
        <v>6.3449999999999998</v>
      </c>
      <c r="AE97" s="36"/>
      <c r="AF97" s="30">
        <v>8.6999999999999993</v>
      </c>
      <c r="AG97" s="34">
        <v>3.8127</v>
      </c>
      <c r="AH97" s="35">
        <v>0.16012999999999999</v>
      </c>
      <c r="AI97" s="35"/>
      <c r="AJ97" s="35">
        <v>0.10798000000000001</v>
      </c>
      <c r="AK97" s="998">
        <v>76.3</v>
      </c>
      <c r="AM97" s="30">
        <v>8.6999999999999993</v>
      </c>
      <c r="AN97" s="34">
        <v>0.90039999999999998</v>
      </c>
      <c r="AO97" s="35">
        <v>1.0084</v>
      </c>
      <c r="AQ97" s="197">
        <v>0.73699999999999999</v>
      </c>
      <c r="AR97" s="200">
        <v>60.49</v>
      </c>
      <c r="AS97" s="199">
        <v>736.8</v>
      </c>
      <c r="AZ97" s="197">
        <v>0.73699999999999999</v>
      </c>
      <c r="BA97" s="198">
        <v>6.1352000000000002</v>
      </c>
      <c r="BB97" s="199">
        <v>0.16299</v>
      </c>
      <c r="BD97" s="197">
        <v>0.73699999999999999</v>
      </c>
      <c r="BE97" s="198">
        <v>3.0676000000000001</v>
      </c>
      <c r="BF97" s="199">
        <v>0.12884000000000001</v>
      </c>
      <c r="BH97" s="197">
        <v>0.73699999999999999</v>
      </c>
      <c r="BI97" s="198">
        <v>325.99</v>
      </c>
      <c r="BJ97" s="199">
        <v>7.7619999999999996</v>
      </c>
      <c r="BL97" s="197">
        <v>0.73699999999999999</v>
      </c>
      <c r="BM97" s="198">
        <v>2.7389000000000001</v>
      </c>
      <c r="BN97" s="199">
        <v>0.11504</v>
      </c>
      <c r="BP97" s="197">
        <v>0.73699999999999999</v>
      </c>
      <c r="BQ97" s="200">
        <v>365.11</v>
      </c>
      <c r="BR97" s="199">
        <v>8.6929999999999996</v>
      </c>
      <c r="BT97" s="197">
        <v>0.73699999999999999</v>
      </c>
      <c r="BU97" s="201">
        <v>1.2331000000000001</v>
      </c>
      <c r="BV97" s="202">
        <v>1.3811</v>
      </c>
      <c r="BX97" s="37">
        <v>737</v>
      </c>
      <c r="BY97" s="38">
        <v>0.73719999999999997</v>
      </c>
      <c r="BZ97" s="39">
        <v>60.44</v>
      </c>
      <c r="CA97" s="33"/>
      <c r="CB97" s="37">
        <v>737</v>
      </c>
      <c r="CC97" s="38">
        <v>0.15887999999999999</v>
      </c>
      <c r="CD97" s="42">
        <v>6.2939999999999996</v>
      </c>
      <c r="CE97" s="33"/>
      <c r="CF97" s="33"/>
      <c r="CG97" s="33"/>
      <c r="CH97" s="33"/>
      <c r="CI97" s="33"/>
      <c r="CJ97" s="33"/>
      <c r="CK97" s="33"/>
      <c r="CL97" s="40">
        <v>737</v>
      </c>
      <c r="CM97" s="43">
        <v>735.9</v>
      </c>
      <c r="CN97" s="41">
        <v>1.3589</v>
      </c>
      <c r="CO97" s="33"/>
      <c r="CP97" s="40">
        <v>737</v>
      </c>
      <c r="CQ97" s="34">
        <v>0.81120000000000003</v>
      </c>
      <c r="CR97" s="41">
        <v>0.72430000000000005</v>
      </c>
      <c r="CS97" s="33"/>
      <c r="CT97" s="40">
        <v>737</v>
      </c>
      <c r="CU97" s="44">
        <v>359.23</v>
      </c>
      <c r="CV97" s="42">
        <v>8.5530000000000008</v>
      </c>
    </row>
    <row r="98" spans="4:100">
      <c r="D98" s="30">
        <v>8.8000000000000007</v>
      </c>
      <c r="E98" s="31">
        <v>1.0085999999999999</v>
      </c>
      <c r="F98" s="32">
        <v>1007.9</v>
      </c>
      <c r="G98" s="33"/>
      <c r="H98" s="30">
        <v>8.8000000000000007</v>
      </c>
      <c r="I98" s="34">
        <v>3.7839999999999998</v>
      </c>
      <c r="J98" s="35">
        <v>0.15892999999999999</v>
      </c>
      <c r="L98" s="30">
        <v>8.8000000000000007</v>
      </c>
      <c r="M98" s="172">
        <v>8.4</v>
      </c>
      <c r="N98" s="173">
        <v>0.11905</v>
      </c>
      <c r="P98" s="30">
        <v>8.8000000000000007</v>
      </c>
      <c r="Q98" s="172">
        <v>4.1997999999999998</v>
      </c>
      <c r="R98" s="173">
        <v>0.17638999999999999</v>
      </c>
      <c r="T98" s="30">
        <v>8.8000000000000007</v>
      </c>
      <c r="U98" s="172">
        <v>238.11</v>
      </c>
      <c r="V98" s="173">
        <v>5.6689999999999996</v>
      </c>
      <c r="X98" s="30">
        <v>8.8000000000000007</v>
      </c>
      <c r="Y98" s="34">
        <v>3.7498</v>
      </c>
      <c r="Z98" s="35">
        <v>0.15748999999999999</v>
      </c>
      <c r="AA98" s="36"/>
      <c r="AB98" s="30">
        <v>8.8000000000000007</v>
      </c>
      <c r="AC98" s="44">
        <v>266.68</v>
      </c>
      <c r="AD98" s="35">
        <v>6.35</v>
      </c>
      <c r="AE98" s="36"/>
      <c r="AF98" s="30">
        <v>8.8000000000000007</v>
      </c>
      <c r="AG98" s="34">
        <v>3.81</v>
      </c>
      <c r="AH98" s="35">
        <v>0.16002</v>
      </c>
      <c r="AI98" s="35"/>
      <c r="AJ98" s="35">
        <v>0.10803</v>
      </c>
      <c r="AK98" s="998">
        <v>76.2</v>
      </c>
      <c r="AM98" s="30">
        <v>8.8000000000000007</v>
      </c>
      <c r="AN98" s="34">
        <v>0.90100000000000002</v>
      </c>
      <c r="AO98" s="35">
        <v>1.0091000000000001</v>
      </c>
      <c r="AQ98" s="197">
        <v>0.73799999999999999</v>
      </c>
      <c r="AR98" s="200">
        <v>60.23</v>
      </c>
      <c r="AS98" s="199">
        <v>737.8</v>
      </c>
      <c r="AZ98" s="197">
        <v>0.73799999999999999</v>
      </c>
      <c r="BA98" s="198">
        <v>6.1436000000000002</v>
      </c>
      <c r="BB98" s="199">
        <v>0.16277</v>
      </c>
      <c r="BD98" s="197">
        <v>0.73799999999999999</v>
      </c>
      <c r="BE98" s="198">
        <v>3.0718000000000001</v>
      </c>
      <c r="BF98" s="199">
        <v>0.12901000000000001</v>
      </c>
      <c r="BH98" s="197">
        <v>0.73799999999999999</v>
      </c>
      <c r="BI98" s="198">
        <v>325.54000000000002</v>
      </c>
      <c r="BJ98" s="199">
        <v>7.7510000000000003</v>
      </c>
      <c r="BL98" s="197">
        <v>0.73799999999999999</v>
      </c>
      <c r="BM98" s="198">
        <v>2.7427000000000001</v>
      </c>
      <c r="BN98" s="199">
        <v>0.11519</v>
      </c>
      <c r="BP98" s="197">
        <v>0.73799999999999999</v>
      </c>
      <c r="BQ98" s="200">
        <v>364.61</v>
      </c>
      <c r="BR98" s="199">
        <v>8.6809999999999992</v>
      </c>
      <c r="BT98" s="197">
        <v>0.73799999999999999</v>
      </c>
      <c r="BU98" s="201">
        <v>1.2315</v>
      </c>
      <c r="BV98" s="202">
        <v>1.3793</v>
      </c>
      <c r="BX98" s="37">
        <v>738</v>
      </c>
      <c r="BY98" s="38">
        <v>0.73819999999999997</v>
      </c>
      <c r="BZ98" s="39">
        <v>60.18</v>
      </c>
      <c r="CA98" s="33"/>
      <c r="CB98" s="37">
        <v>738</v>
      </c>
      <c r="CC98" s="38">
        <v>0.15887999999999999</v>
      </c>
      <c r="CD98" s="42">
        <v>6.2939999999999996</v>
      </c>
      <c r="CE98" s="33"/>
      <c r="CF98" s="33"/>
      <c r="CG98" s="33"/>
      <c r="CH98" s="33"/>
      <c r="CI98" s="33"/>
      <c r="CJ98" s="33"/>
      <c r="CK98" s="33"/>
      <c r="CL98" s="40">
        <v>738</v>
      </c>
      <c r="CM98" s="43">
        <v>736.9</v>
      </c>
      <c r="CN98" s="41">
        <v>1.3571</v>
      </c>
      <c r="CO98" s="33"/>
      <c r="CP98" s="40">
        <v>738</v>
      </c>
      <c r="CQ98" s="34">
        <v>0.81230000000000002</v>
      </c>
      <c r="CR98" s="41">
        <v>0.72530000000000006</v>
      </c>
      <c r="CS98" s="33"/>
      <c r="CT98" s="40">
        <v>738</v>
      </c>
      <c r="CU98" s="44">
        <v>358.74</v>
      </c>
      <c r="CV98" s="42">
        <v>8.5410000000000004</v>
      </c>
    </row>
    <row r="99" spans="4:100">
      <c r="D99" s="30">
        <v>8.9</v>
      </c>
      <c r="E99" s="31">
        <v>1.0078</v>
      </c>
      <c r="F99" s="32">
        <v>1007.2</v>
      </c>
      <c r="G99" s="33"/>
      <c r="H99" s="30">
        <v>8.9</v>
      </c>
      <c r="I99" s="34">
        <v>3.7839999999999998</v>
      </c>
      <c r="J99" s="35">
        <v>0.15892999999999999</v>
      </c>
      <c r="L99" s="30">
        <v>8.9</v>
      </c>
      <c r="M99" s="172">
        <v>8.3940000000000001</v>
      </c>
      <c r="N99" s="173">
        <v>0.11914</v>
      </c>
      <c r="P99" s="30">
        <v>8.9</v>
      </c>
      <c r="Q99" s="172">
        <v>4.1967999999999996</v>
      </c>
      <c r="R99" s="173">
        <v>0.17626</v>
      </c>
      <c r="T99" s="30">
        <v>8.9</v>
      </c>
      <c r="U99" s="172">
        <v>238.28</v>
      </c>
      <c r="V99" s="173">
        <v>5.673</v>
      </c>
      <c r="X99" s="30">
        <v>8.9</v>
      </c>
      <c r="Y99" s="34">
        <v>3.7471000000000001</v>
      </c>
      <c r="Z99" s="35">
        <v>0.15737999999999999</v>
      </c>
      <c r="AA99" s="36"/>
      <c r="AB99" s="30">
        <v>8.9</v>
      </c>
      <c r="AC99" s="44">
        <v>266.87</v>
      </c>
      <c r="AD99" s="35">
        <v>6.3540000000000001</v>
      </c>
      <c r="AE99" s="36"/>
      <c r="AF99" s="30">
        <v>8.9</v>
      </c>
      <c r="AG99" s="34">
        <v>3.8071999999999999</v>
      </c>
      <c r="AH99" s="35">
        <v>0.15989999999999999</v>
      </c>
      <c r="AI99" s="35"/>
      <c r="AJ99" s="35">
        <v>0.10808</v>
      </c>
      <c r="AK99" s="998">
        <v>76.099999999999994</v>
      </c>
      <c r="AM99" s="30">
        <v>8.9</v>
      </c>
      <c r="AN99" s="34">
        <v>0.90159999999999996</v>
      </c>
      <c r="AO99" s="35">
        <v>1.0098</v>
      </c>
      <c r="AQ99" s="197">
        <v>0.73899999999999999</v>
      </c>
      <c r="AR99" s="200">
        <v>59.97</v>
      </c>
      <c r="AS99" s="199">
        <v>738.8</v>
      </c>
      <c r="AZ99" s="197">
        <v>0.73899999999999999</v>
      </c>
      <c r="BA99" s="198">
        <v>6.1519000000000004</v>
      </c>
      <c r="BB99" s="199">
        <v>0.16255</v>
      </c>
      <c r="BD99" s="197">
        <v>0.73899999999999999</v>
      </c>
      <c r="BE99" s="198">
        <v>3.0758999999999999</v>
      </c>
      <c r="BF99" s="199">
        <v>0.12919</v>
      </c>
      <c r="BH99" s="197">
        <v>0.73899999999999999</v>
      </c>
      <c r="BI99" s="198">
        <v>325.10000000000002</v>
      </c>
      <c r="BJ99" s="199">
        <v>7.7409999999999997</v>
      </c>
      <c r="BL99" s="197">
        <v>0.73899999999999999</v>
      </c>
      <c r="BM99" s="198">
        <v>2.7464</v>
      </c>
      <c r="BN99" s="199">
        <v>0.11534999999999999</v>
      </c>
      <c r="BP99" s="197">
        <v>0.73899999999999999</v>
      </c>
      <c r="BQ99" s="200">
        <v>364.12</v>
      </c>
      <c r="BR99" s="199">
        <v>8.6690000000000005</v>
      </c>
      <c r="BT99" s="197">
        <v>0.73899999999999999</v>
      </c>
      <c r="BU99" s="201">
        <v>1.2298</v>
      </c>
      <c r="BV99" s="202">
        <v>1.3774</v>
      </c>
      <c r="BX99" s="37">
        <v>739</v>
      </c>
      <c r="BY99" s="38">
        <v>0.73919999999999997</v>
      </c>
      <c r="BZ99" s="39">
        <v>59.92</v>
      </c>
      <c r="CA99" s="33"/>
      <c r="CB99" s="37">
        <v>739</v>
      </c>
      <c r="CC99" s="38">
        <v>0.15887999999999999</v>
      </c>
      <c r="CD99" s="42">
        <v>6.2939999999999996</v>
      </c>
      <c r="CE99" s="33"/>
      <c r="CF99" s="33"/>
      <c r="CG99" s="33"/>
      <c r="CH99" s="33"/>
      <c r="CI99" s="33"/>
      <c r="CJ99" s="33"/>
      <c r="CK99" s="33"/>
      <c r="CL99" s="40">
        <v>739</v>
      </c>
      <c r="CM99" s="43">
        <v>737.9</v>
      </c>
      <c r="CN99" s="41">
        <v>1.3552</v>
      </c>
      <c r="CO99" s="33"/>
      <c r="CP99" s="40">
        <v>739</v>
      </c>
      <c r="CQ99" s="34">
        <v>0.81340000000000001</v>
      </c>
      <c r="CR99" s="41">
        <v>0.72619999999999996</v>
      </c>
      <c r="CS99" s="33"/>
      <c r="CT99" s="40">
        <v>739</v>
      </c>
      <c r="CU99" s="44">
        <v>358.25</v>
      </c>
      <c r="CV99" s="42">
        <v>8.5299999999999994</v>
      </c>
    </row>
    <row r="100" spans="4:100">
      <c r="D100" s="30">
        <v>9</v>
      </c>
      <c r="E100" s="31">
        <v>1.0071000000000001</v>
      </c>
      <c r="F100" s="32">
        <v>1006.5</v>
      </c>
      <c r="G100" s="33"/>
      <c r="H100" s="30">
        <v>9</v>
      </c>
      <c r="I100" s="34">
        <v>3.7839999999999998</v>
      </c>
      <c r="J100" s="35">
        <v>0.15892999999999999</v>
      </c>
      <c r="L100" s="30">
        <v>9</v>
      </c>
      <c r="M100" s="172">
        <v>8.3879999999999999</v>
      </c>
      <c r="N100" s="173">
        <v>0.11922000000000001</v>
      </c>
      <c r="P100" s="30">
        <v>9</v>
      </c>
      <c r="Q100" s="172">
        <v>4.1938000000000004</v>
      </c>
      <c r="R100" s="173">
        <v>0.17613999999999999</v>
      </c>
      <c r="T100" s="30">
        <v>9</v>
      </c>
      <c r="U100" s="172">
        <v>238.45</v>
      </c>
      <c r="V100" s="173">
        <v>5.6769999999999996</v>
      </c>
      <c r="X100" s="30">
        <v>9</v>
      </c>
      <c r="Y100" s="34">
        <v>3.7444000000000002</v>
      </c>
      <c r="Z100" s="35">
        <v>0.15726999999999999</v>
      </c>
      <c r="AA100" s="36"/>
      <c r="AB100" s="30">
        <v>9</v>
      </c>
      <c r="AC100" s="44">
        <v>267.06</v>
      </c>
      <c r="AD100" s="35">
        <v>6.359</v>
      </c>
      <c r="AE100" s="36"/>
      <c r="AF100" s="30">
        <v>9</v>
      </c>
      <c r="AG100" s="34">
        <v>3.8045</v>
      </c>
      <c r="AH100" s="35">
        <v>0.15978999999999999</v>
      </c>
      <c r="AI100" s="35"/>
      <c r="AJ100" s="35">
        <v>0.10813</v>
      </c>
      <c r="AK100" s="998">
        <v>76</v>
      </c>
      <c r="AM100" s="30">
        <v>9</v>
      </c>
      <c r="AN100" s="34">
        <v>0.90229999999999999</v>
      </c>
      <c r="AO100" s="35">
        <v>1.0105999999999999</v>
      </c>
      <c r="AQ100" s="197">
        <v>0.74</v>
      </c>
      <c r="AR100" s="200">
        <v>59.72</v>
      </c>
      <c r="AS100" s="199">
        <v>739.8</v>
      </c>
      <c r="AZ100" s="197">
        <v>0.74</v>
      </c>
      <c r="BA100" s="198">
        <v>6.1601999999999997</v>
      </c>
      <c r="BB100" s="199">
        <v>0.16233</v>
      </c>
      <c r="BD100" s="197">
        <v>0.74</v>
      </c>
      <c r="BE100" s="198">
        <v>3.0800999999999998</v>
      </c>
      <c r="BF100" s="199">
        <v>0.12936</v>
      </c>
      <c r="BH100" s="197">
        <v>0.74</v>
      </c>
      <c r="BI100" s="198">
        <v>324.66000000000003</v>
      </c>
      <c r="BJ100" s="199">
        <v>7.73</v>
      </c>
      <c r="BL100" s="197">
        <v>0.74</v>
      </c>
      <c r="BM100" s="198">
        <v>2.7501000000000002</v>
      </c>
      <c r="BN100" s="199">
        <v>0.11550000000000001</v>
      </c>
      <c r="BP100" s="197">
        <v>0.74</v>
      </c>
      <c r="BQ100" s="200">
        <v>363.62</v>
      </c>
      <c r="BR100" s="199">
        <v>8.6579999999999995</v>
      </c>
      <c r="BT100" s="197">
        <v>0.74</v>
      </c>
      <c r="BU100" s="201">
        <v>1.2281</v>
      </c>
      <c r="BV100" s="202">
        <v>1.3754999999999999</v>
      </c>
      <c r="BX100" s="37">
        <v>740</v>
      </c>
      <c r="BY100" s="38">
        <v>0.74019999999999997</v>
      </c>
      <c r="BZ100" s="39">
        <v>59.66</v>
      </c>
      <c r="CA100" s="33"/>
      <c r="CB100" s="37">
        <v>740</v>
      </c>
      <c r="CC100" s="38">
        <v>0.15887999999999999</v>
      </c>
      <c r="CD100" s="42">
        <v>6.2939999999999996</v>
      </c>
      <c r="CE100" s="33"/>
      <c r="CF100" s="33"/>
      <c r="CG100" s="33"/>
      <c r="CH100" s="33"/>
      <c r="CI100" s="33"/>
      <c r="CJ100" s="33"/>
      <c r="CK100" s="33"/>
      <c r="CL100" s="40">
        <v>740</v>
      </c>
      <c r="CM100" s="43">
        <v>738.9</v>
      </c>
      <c r="CN100" s="41">
        <v>1.3533999999999999</v>
      </c>
      <c r="CO100" s="33"/>
      <c r="CP100" s="40">
        <v>740</v>
      </c>
      <c r="CQ100" s="34">
        <v>0.8145</v>
      </c>
      <c r="CR100" s="41">
        <v>0.72719999999999996</v>
      </c>
      <c r="CS100" s="33"/>
      <c r="CT100" s="40">
        <v>740</v>
      </c>
      <c r="CU100" s="44">
        <v>357.77</v>
      </c>
      <c r="CV100" s="42">
        <v>8.5180000000000007</v>
      </c>
    </row>
    <row r="101" spans="4:100">
      <c r="D101" s="30">
        <v>9.1</v>
      </c>
      <c r="E101" s="31">
        <v>1.0064</v>
      </c>
      <c r="F101" s="32">
        <v>1005.8</v>
      </c>
      <c r="G101" s="33"/>
      <c r="H101" s="30">
        <v>9.1</v>
      </c>
      <c r="I101" s="34">
        <v>3.7839999999999998</v>
      </c>
      <c r="J101" s="35">
        <v>0.15892999999999999</v>
      </c>
      <c r="L101" s="30">
        <v>9.1</v>
      </c>
      <c r="M101" s="172">
        <v>8.3819999999999997</v>
      </c>
      <c r="N101" s="173">
        <v>0.11931</v>
      </c>
      <c r="P101" s="30">
        <v>9.1</v>
      </c>
      <c r="Q101" s="172">
        <v>4.1908000000000003</v>
      </c>
      <c r="R101" s="173">
        <v>0.17601</v>
      </c>
      <c r="T101" s="30">
        <v>9.1</v>
      </c>
      <c r="U101" s="172">
        <v>238.62</v>
      </c>
      <c r="V101" s="173">
        <v>5.681</v>
      </c>
      <c r="X101" s="30">
        <v>9.1</v>
      </c>
      <c r="Y101" s="34">
        <v>3.7418</v>
      </c>
      <c r="Z101" s="35">
        <v>0.15715000000000001</v>
      </c>
      <c r="AA101" s="36"/>
      <c r="AB101" s="30">
        <v>9.1</v>
      </c>
      <c r="AC101" s="44">
        <v>267.25</v>
      </c>
      <c r="AD101" s="35">
        <v>6.3630000000000004</v>
      </c>
      <c r="AE101" s="36"/>
      <c r="AF101" s="30">
        <v>9.1</v>
      </c>
      <c r="AG101" s="34">
        <v>3.8018000000000001</v>
      </c>
      <c r="AH101" s="35">
        <v>0.15967999999999999</v>
      </c>
      <c r="AI101" s="35"/>
      <c r="AJ101" s="35">
        <v>0.10818999999999999</v>
      </c>
      <c r="AK101" s="998">
        <v>75.900000000000006</v>
      </c>
      <c r="AM101" s="30">
        <v>9.1</v>
      </c>
      <c r="AN101" s="34">
        <v>0.90290000000000004</v>
      </c>
      <c r="AO101" s="35">
        <v>1.0113000000000001</v>
      </c>
      <c r="AQ101" s="197">
        <v>0.74099999999999999</v>
      </c>
      <c r="AR101" s="200">
        <v>59.46</v>
      </c>
      <c r="AS101" s="199">
        <v>740.8</v>
      </c>
      <c r="AZ101" s="197">
        <v>0.74099999999999999</v>
      </c>
      <c r="BA101" s="198">
        <v>6.1685999999999996</v>
      </c>
      <c r="BB101" s="199">
        <v>0.16211</v>
      </c>
      <c r="BD101" s="197">
        <v>0.74099999999999999</v>
      </c>
      <c r="BE101" s="198">
        <v>3.0842999999999998</v>
      </c>
      <c r="BF101" s="199">
        <v>0.12953999999999999</v>
      </c>
      <c r="BH101" s="197">
        <v>0.74099999999999999</v>
      </c>
      <c r="BI101" s="198">
        <v>324.22000000000003</v>
      </c>
      <c r="BJ101" s="199">
        <v>7.72</v>
      </c>
      <c r="BL101" s="197">
        <v>0.74099999999999999</v>
      </c>
      <c r="BM101" s="198">
        <v>2.7538</v>
      </c>
      <c r="BN101" s="199">
        <v>0.11566</v>
      </c>
      <c r="BP101" s="197">
        <v>0.74099999999999999</v>
      </c>
      <c r="BQ101" s="200">
        <v>363.13</v>
      </c>
      <c r="BR101" s="199">
        <v>8.6460000000000008</v>
      </c>
      <c r="BT101" s="197">
        <v>0.74099999999999999</v>
      </c>
      <c r="BU101" s="201">
        <v>1.2264999999999999</v>
      </c>
      <c r="BV101" s="202">
        <v>1.3736999999999999</v>
      </c>
      <c r="BX101" s="37">
        <v>741</v>
      </c>
      <c r="BY101" s="38">
        <v>0.74119999999999997</v>
      </c>
      <c r="BZ101" s="39">
        <v>59.4</v>
      </c>
      <c r="CA101" s="33"/>
      <c r="CB101" s="37">
        <v>741</v>
      </c>
      <c r="CC101" s="38">
        <v>0.15887999999999999</v>
      </c>
      <c r="CD101" s="42">
        <v>6.2939999999999996</v>
      </c>
      <c r="CE101" s="33"/>
      <c r="CF101" s="33"/>
      <c r="CG101" s="33"/>
      <c r="CH101" s="33"/>
      <c r="CI101" s="33"/>
      <c r="CJ101" s="33"/>
      <c r="CK101" s="33"/>
      <c r="CL101" s="40">
        <v>741</v>
      </c>
      <c r="CM101" s="43">
        <v>739.9</v>
      </c>
      <c r="CN101" s="41">
        <v>1.3514999999999999</v>
      </c>
      <c r="CO101" s="33"/>
      <c r="CP101" s="40">
        <v>741</v>
      </c>
      <c r="CQ101" s="34">
        <v>0.81559999999999999</v>
      </c>
      <c r="CR101" s="41">
        <v>0.72819999999999996</v>
      </c>
      <c r="CS101" s="33"/>
      <c r="CT101" s="40">
        <v>741</v>
      </c>
      <c r="CU101" s="44">
        <v>357.28</v>
      </c>
      <c r="CV101" s="42">
        <v>8.5069999999999997</v>
      </c>
    </row>
    <row r="102" spans="4:100">
      <c r="D102" s="30">
        <v>9.1999999999999993</v>
      </c>
      <c r="E102" s="31">
        <v>1.0057</v>
      </c>
      <c r="F102" s="32">
        <v>1005.1</v>
      </c>
      <c r="G102" s="33"/>
      <c r="H102" s="30">
        <v>9.1999999999999993</v>
      </c>
      <c r="I102" s="34">
        <v>3.7839999999999998</v>
      </c>
      <c r="J102" s="35">
        <v>0.15892999999999999</v>
      </c>
      <c r="L102" s="30">
        <v>9.1999999999999993</v>
      </c>
      <c r="M102" s="172">
        <v>8.3759999999999994</v>
      </c>
      <c r="N102" s="173">
        <v>0.11939</v>
      </c>
      <c r="P102" s="30">
        <v>9.1999999999999993</v>
      </c>
      <c r="Q102" s="172">
        <v>4.1878000000000002</v>
      </c>
      <c r="R102" s="173">
        <v>0.17588999999999999</v>
      </c>
      <c r="T102" s="30">
        <v>9.1999999999999993</v>
      </c>
      <c r="U102" s="172">
        <v>238.79</v>
      </c>
      <c r="V102" s="173">
        <v>5.6849999999999996</v>
      </c>
      <c r="X102" s="30">
        <v>9.1999999999999993</v>
      </c>
      <c r="Y102" s="34">
        <v>3.7391000000000001</v>
      </c>
      <c r="Z102" s="35">
        <v>0.15704000000000001</v>
      </c>
      <c r="AA102" s="36"/>
      <c r="AB102" s="30">
        <v>9.1999999999999993</v>
      </c>
      <c r="AC102" s="44">
        <v>267.44</v>
      </c>
      <c r="AD102" s="35">
        <v>6.3680000000000003</v>
      </c>
      <c r="AE102" s="36"/>
      <c r="AF102" s="30">
        <v>9.1999999999999993</v>
      </c>
      <c r="AG102" s="34">
        <v>3.7991000000000001</v>
      </c>
      <c r="AH102" s="35">
        <v>0.15956000000000001</v>
      </c>
      <c r="AI102" s="35"/>
      <c r="AJ102" s="35">
        <v>0.10824</v>
      </c>
      <c r="AK102" s="998">
        <v>75.8</v>
      </c>
      <c r="AM102" s="30">
        <v>9.1999999999999993</v>
      </c>
      <c r="AN102" s="34">
        <v>0.90359999999999996</v>
      </c>
      <c r="AO102" s="35">
        <v>1.012</v>
      </c>
      <c r="AQ102" s="197">
        <v>0.74199999999999999</v>
      </c>
      <c r="AR102" s="200">
        <v>59.2</v>
      </c>
      <c r="AS102" s="199">
        <v>741.8</v>
      </c>
      <c r="AZ102" s="197">
        <v>0.74199999999999999</v>
      </c>
      <c r="BA102" s="198">
        <v>6.1768999999999998</v>
      </c>
      <c r="BB102" s="199">
        <v>0.16189000000000001</v>
      </c>
      <c r="BD102" s="197">
        <v>0.74199999999999999</v>
      </c>
      <c r="BE102" s="198">
        <v>3.0884999999999998</v>
      </c>
      <c r="BF102" s="199">
        <v>0.12972</v>
      </c>
      <c r="BH102" s="197">
        <v>0.74199999999999999</v>
      </c>
      <c r="BI102" s="198">
        <v>323.79000000000002</v>
      </c>
      <c r="BJ102" s="199">
        <v>7.7089999999999996</v>
      </c>
      <c r="BL102" s="197">
        <v>0.74199999999999999</v>
      </c>
      <c r="BM102" s="198">
        <v>2.7574999999999998</v>
      </c>
      <c r="BN102" s="199">
        <v>0.11582000000000001</v>
      </c>
      <c r="BP102" s="197">
        <v>0.74199999999999999</v>
      </c>
      <c r="BQ102" s="200">
        <v>362.64</v>
      </c>
      <c r="BR102" s="199">
        <v>8.6340000000000003</v>
      </c>
      <c r="BT102" s="197">
        <v>0.74199999999999999</v>
      </c>
      <c r="BU102" s="201">
        <v>1.2248000000000001</v>
      </c>
      <c r="BV102" s="202">
        <v>1.3717999999999999</v>
      </c>
      <c r="BX102" s="37">
        <v>742</v>
      </c>
      <c r="BY102" s="38">
        <v>0.74219999999999997</v>
      </c>
      <c r="BZ102" s="39">
        <v>59.14</v>
      </c>
      <c r="CA102" s="33"/>
      <c r="CB102" s="37">
        <v>742</v>
      </c>
      <c r="CC102" s="38">
        <v>0.15887999999999999</v>
      </c>
      <c r="CD102" s="42">
        <v>6.2939999999999996</v>
      </c>
      <c r="CE102" s="33"/>
      <c r="CF102" s="33"/>
      <c r="CG102" s="33"/>
      <c r="CH102" s="33"/>
      <c r="CI102" s="33"/>
      <c r="CJ102" s="33"/>
      <c r="CK102" s="33"/>
      <c r="CL102" s="40">
        <v>742</v>
      </c>
      <c r="CM102" s="43">
        <v>740.9</v>
      </c>
      <c r="CN102" s="41">
        <v>1.3496999999999999</v>
      </c>
      <c r="CO102" s="33"/>
      <c r="CP102" s="40">
        <v>742</v>
      </c>
      <c r="CQ102" s="34">
        <v>0.81669999999999998</v>
      </c>
      <c r="CR102" s="41">
        <v>0.72919999999999996</v>
      </c>
      <c r="CS102" s="33"/>
      <c r="CT102" s="40">
        <v>742</v>
      </c>
      <c r="CU102" s="44">
        <v>356.8</v>
      </c>
      <c r="CV102" s="42">
        <v>8.4949999999999992</v>
      </c>
    </row>
    <row r="103" spans="4:100">
      <c r="D103" s="30">
        <v>9.3000000000000007</v>
      </c>
      <c r="E103" s="31">
        <v>1.0049999999999999</v>
      </c>
      <c r="F103" s="32">
        <v>1004.4</v>
      </c>
      <c r="G103" s="33"/>
      <c r="H103" s="30">
        <v>9.3000000000000007</v>
      </c>
      <c r="I103" s="34">
        <v>3.7839999999999998</v>
      </c>
      <c r="J103" s="35">
        <v>0.15892999999999999</v>
      </c>
      <c r="L103" s="30">
        <v>9.3000000000000007</v>
      </c>
      <c r="M103" s="172">
        <v>8.3699999999999992</v>
      </c>
      <c r="N103" s="173">
        <v>0.11948</v>
      </c>
      <c r="P103" s="30">
        <v>9.3000000000000007</v>
      </c>
      <c r="Q103" s="172">
        <v>4.1848000000000001</v>
      </c>
      <c r="R103" s="173">
        <v>0.17576</v>
      </c>
      <c r="T103" s="30">
        <v>9.3000000000000007</v>
      </c>
      <c r="U103" s="172">
        <v>238.96</v>
      </c>
      <c r="V103" s="173">
        <v>5.6890000000000001</v>
      </c>
      <c r="X103" s="30">
        <v>9.3000000000000007</v>
      </c>
      <c r="Y103" s="34">
        <v>3.7364999999999999</v>
      </c>
      <c r="Z103" s="35">
        <v>0.15692999999999999</v>
      </c>
      <c r="AA103" s="36"/>
      <c r="AB103" s="30">
        <v>9.3000000000000007</v>
      </c>
      <c r="AC103" s="44">
        <v>267.63</v>
      </c>
      <c r="AD103" s="35">
        <v>6.3719999999999999</v>
      </c>
      <c r="AE103" s="36"/>
      <c r="AF103" s="30">
        <v>9.3000000000000007</v>
      </c>
      <c r="AG103" s="34">
        <v>3.7964000000000002</v>
      </c>
      <c r="AH103" s="35">
        <v>0.15945000000000001</v>
      </c>
      <c r="AI103" s="35"/>
      <c r="AJ103" s="35">
        <v>0.10829</v>
      </c>
      <c r="AK103" s="998">
        <v>75.7</v>
      </c>
      <c r="AM103" s="30">
        <v>9.3000000000000007</v>
      </c>
      <c r="AN103" s="34">
        <v>0.9042</v>
      </c>
      <c r="AO103" s="35">
        <v>1.0126999999999999</v>
      </c>
      <c r="AQ103" s="197">
        <v>0.74299999999999999</v>
      </c>
      <c r="AR103" s="200">
        <v>58.94</v>
      </c>
      <c r="AS103" s="199">
        <v>742.8</v>
      </c>
      <c r="AZ103" s="197">
        <v>0.74299999999999999</v>
      </c>
      <c r="BA103" s="198">
        <v>6.1852</v>
      </c>
      <c r="BB103" s="199">
        <v>0.16167000000000001</v>
      </c>
      <c r="BD103" s="197">
        <v>0.74299999999999999</v>
      </c>
      <c r="BE103" s="198">
        <v>3.0926</v>
      </c>
      <c r="BF103" s="199">
        <v>0.12989000000000001</v>
      </c>
      <c r="BH103" s="197">
        <v>0.74299999999999999</v>
      </c>
      <c r="BI103" s="198">
        <v>323.35000000000002</v>
      </c>
      <c r="BJ103" s="199">
        <v>7.6989999999999998</v>
      </c>
      <c r="BL103" s="197">
        <v>0.74299999999999999</v>
      </c>
      <c r="BM103" s="198">
        <v>2.7612999999999999</v>
      </c>
      <c r="BN103" s="199">
        <v>0.11597</v>
      </c>
      <c r="BP103" s="197">
        <v>0.74299999999999999</v>
      </c>
      <c r="BQ103" s="200">
        <v>362.15</v>
      </c>
      <c r="BR103" s="199">
        <v>8.6229999999999993</v>
      </c>
      <c r="BT103" s="197">
        <v>0.74299999999999999</v>
      </c>
      <c r="BU103" s="201">
        <v>1.2232000000000001</v>
      </c>
      <c r="BV103" s="202">
        <v>1.37</v>
      </c>
      <c r="BX103" s="37">
        <v>743</v>
      </c>
      <c r="BY103" s="38">
        <v>0.74319999999999997</v>
      </c>
      <c r="BZ103" s="39">
        <v>58.88</v>
      </c>
      <c r="CA103" s="33"/>
      <c r="CB103" s="37">
        <v>743</v>
      </c>
      <c r="CC103" s="38">
        <v>0.15887999999999999</v>
      </c>
      <c r="CD103" s="42">
        <v>6.2939999999999996</v>
      </c>
      <c r="CE103" s="33"/>
      <c r="CF103" s="33"/>
      <c r="CG103" s="33"/>
      <c r="CH103" s="33"/>
      <c r="CI103" s="33"/>
      <c r="CJ103" s="33"/>
      <c r="CK103" s="33"/>
      <c r="CL103" s="40">
        <v>743</v>
      </c>
      <c r="CM103" s="43">
        <v>741.9</v>
      </c>
      <c r="CN103" s="41">
        <v>1.3479000000000001</v>
      </c>
      <c r="CO103" s="33"/>
      <c r="CP103" s="40">
        <v>743</v>
      </c>
      <c r="CQ103" s="34">
        <v>0.81779999999999997</v>
      </c>
      <c r="CR103" s="41">
        <v>0.73019999999999996</v>
      </c>
      <c r="CS103" s="33"/>
      <c r="CT103" s="40">
        <v>743</v>
      </c>
      <c r="CU103" s="44">
        <v>356.32</v>
      </c>
      <c r="CV103" s="42">
        <v>8.484</v>
      </c>
    </row>
    <row r="104" spans="4:100">
      <c r="D104" s="30">
        <v>9.4</v>
      </c>
      <c r="E104" s="31">
        <v>1.0043</v>
      </c>
      <c r="F104" s="32">
        <v>1003.6</v>
      </c>
      <c r="G104" s="33"/>
      <c r="H104" s="30">
        <v>9.4</v>
      </c>
      <c r="I104" s="34">
        <v>3.7839999999999998</v>
      </c>
      <c r="J104" s="35">
        <v>0.15892999999999999</v>
      </c>
      <c r="L104" s="30">
        <v>9.4</v>
      </c>
      <c r="M104" s="172">
        <v>8.3640000000000008</v>
      </c>
      <c r="N104" s="173">
        <v>0.11956</v>
      </c>
      <c r="P104" s="30">
        <v>9.4</v>
      </c>
      <c r="Q104" s="172">
        <v>4.1818999999999997</v>
      </c>
      <c r="R104" s="173">
        <v>0.17563999999999999</v>
      </c>
      <c r="T104" s="30">
        <v>9.4</v>
      </c>
      <c r="U104" s="172">
        <v>239.13</v>
      </c>
      <c r="V104" s="173">
        <v>5.694</v>
      </c>
      <c r="X104" s="30">
        <v>9.4</v>
      </c>
      <c r="Y104" s="34">
        <v>3.7338</v>
      </c>
      <c r="Z104" s="35">
        <v>0.15681999999999999</v>
      </c>
      <c r="AA104" s="36"/>
      <c r="AB104" s="30">
        <v>9.4</v>
      </c>
      <c r="AC104" s="44">
        <v>267.82</v>
      </c>
      <c r="AD104" s="35">
        <v>6.3769999999999998</v>
      </c>
      <c r="AE104" s="36"/>
      <c r="AF104" s="30">
        <v>9.4</v>
      </c>
      <c r="AG104" s="34">
        <v>3.7936999999999999</v>
      </c>
      <c r="AH104" s="35">
        <v>0.15934000000000001</v>
      </c>
      <c r="AI104" s="35"/>
      <c r="AJ104" s="35">
        <v>0.10834000000000001</v>
      </c>
      <c r="AK104" s="998">
        <v>75.599999999999994</v>
      </c>
      <c r="AM104" s="30">
        <v>9.4</v>
      </c>
      <c r="AN104" s="34">
        <v>0.90490000000000004</v>
      </c>
      <c r="AO104" s="35">
        <v>1.0134000000000001</v>
      </c>
      <c r="AQ104" s="197">
        <v>0.74399999999999999</v>
      </c>
      <c r="AR104" s="200">
        <v>58.69</v>
      </c>
      <c r="AS104" s="199">
        <v>743.8</v>
      </c>
      <c r="AZ104" s="197">
        <v>0.74399999999999999</v>
      </c>
      <c r="BA104" s="198">
        <v>6.1936</v>
      </c>
      <c r="BB104" s="199">
        <v>0.16145999999999999</v>
      </c>
      <c r="BD104" s="197">
        <v>0.74399999999999999</v>
      </c>
      <c r="BE104" s="198">
        <v>3.0968</v>
      </c>
      <c r="BF104" s="199">
        <v>0.13006999999999999</v>
      </c>
      <c r="BH104" s="197">
        <v>0.74399999999999999</v>
      </c>
      <c r="BI104" s="198">
        <v>322.91000000000003</v>
      </c>
      <c r="BJ104" s="199">
        <v>7.6879999999999997</v>
      </c>
      <c r="BL104" s="197">
        <v>0.74399999999999999</v>
      </c>
      <c r="BM104" s="198">
        <v>2.7650000000000001</v>
      </c>
      <c r="BN104" s="199">
        <v>0.11613</v>
      </c>
      <c r="BP104" s="197">
        <v>0.74399999999999999</v>
      </c>
      <c r="BQ104" s="200">
        <v>361.66</v>
      </c>
      <c r="BR104" s="199">
        <v>8.6110000000000007</v>
      </c>
      <c r="BT104" s="197">
        <v>0.74399999999999999</v>
      </c>
      <c r="BU104" s="201">
        <v>1.2215</v>
      </c>
      <c r="BV104" s="202">
        <v>1.3681000000000001</v>
      </c>
      <c r="BX104" s="37">
        <v>744</v>
      </c>
      <c r="BY104" s="38">
        <v>0.74419999999999997</v>
      </c>
      <c r="BZ104" s="39">
        <v>58.63</v>
      </c>
      <c r="CA104" s="33"/>
      <c r="CB104" s="37">
        <v>744</v>
      </c>
      <c r="CC104" s="38">
        <v>0.15887999999999999</v>
      </c>
      <c r="CD104" s="42">
        <v>6.2939999999999996</v>
      </c>
      <c r="CE104" s="33"/>
      <c r="CF104" s="33"/>
      <c r="CG104" s="33"/>
      <c r="CH104" s="33"/>
      <c r="CI104" s="33"/>
      <c r="CJ104" s="33"/>
      <c r="CK104" s="33"/>
      <c r="CL104" s="40">
        <v>744</v>
      </c>
      <c r="CM104" s="43">
        <v>742.9</v>
      </c>
      <c r="CN104" s="41">
        <v>1.3461000000000001</v>
      </c>
      <c r="CO104" s="33"/>
      <c r="CP104" s="40">
        <v>744</v>
      </c>
      <c r="CQ104" s="34">
        <v>0.81889999999999996</v>
      </c>
      <c r="CR104" s="41">
        <v>0.73119999999999996</v>
      </c>
      <c r="CS104" s="33"/>
      <c r="CT104" s="40">
        <v>744</v>
      </c>
      <c r="CU104" s="44">
        <v>355.84</v>
      </c>
      <c r="CV104" s="42">
        <v>8.4719999999999995</v>
      </c>
    </row>
    <row r="105" spans="4:100">
      <c r="D105" s="30">
        <v>9.5</v>
      </c>
      <c r="E105" s="31">
        <v>1.0035000000000001</v>
      </c>
      <c r="F105" s="32">
        <v>1002.9</v>
      </c>
      <c r="G105" s="33"/>
      <c r="H105" s="30">
        <v>9.5</v>
      </c>
      <c r="I105" s="34">
        <v>3.7839999999999998</v>
      </c>
      <c r="J105" s="35">
        <v>0.15892999999999999</v>
      </c>
      <c r="L105" s="30">
        <v>9.5</v>
      </c>
      <c r="M105" s="172">
        <v>8.3580000000000005</v>
      </c>
      <c r="N105" s="173">
        <v>0.11965000000000001</v>
      </c>
      <c r="P105" s="30">
        <v>9.5</v>
      </c>
      <c r="Q105" s="172">
        <v>4.1788999999999996</v>
      </c>
      <c r="R105" s="173">
        <v>0.17551</v>
      </c>
      <c r="T105" s="30">
        <v>9.5</v>
      </c>
      <c r="U105" s="172">
        <v>239.3</v>
      </c>
      <c r="V105" s="173">
        <v>5.6980000000000004</v>
      </c>
      <c r="X105" s="30">
        <v>9.5</v>
      </c>
      <c r="Y105" s="34">
        <v>3.7311999999999999</v>
      </c>
      <c r="Z105" s="35">
        <v>0.15670999999999993</v>
      </c>
      <c r="AA105" s="36"/>
      <c r="AB105" s="30">
        <v>9.5</v>
      </c>
      <c r="AC105" s="44">
        <v>268.01</v>
      </c>
      <c r="AD105" s="35">
        <v>6.3810000000000002</v>
      </c>
      <c r="AE105" s="36"/>
      <c r="AF105" s="30">
        <v>9.5</v>
      </c>
      <c r="AG105" s="34">
        <v>3.7909999999999999</v>
      </c>
      <c r="AH105" s="35">
        <v>0.15922</v>
      </c>
      <c r="AI105" s="35"/>
      <c r="AJ105" s="35">
        <v>0.10839</v>
      </c>
      <c r="AK105" s="998">
        <v>75.5</v>
      </c>
      <c r="AM105" s="30">
        <v>9.5</v>
      </c>
      <c r="AN105" s="34">
        <v>0.90549999999999997</v>
      </c>
      <c r="AO105" s="35">
        <v>1.0142</v>
      </c>
      <c r="AQ105" s="197">
        <v>0.745</v>
      </c>
      <c r="AR105" s="200">
        <v>58.43</v>
      </c>
      <c r="AS105" s="199">
        <v>744.8</v>
      </c>
      <c r="AZ105" s="197">
        <v>0.745</v>
      </c>
      <c r="BA105" s="198">
        <v>6.2019000000000002</v>
      </c>
      <c r="BB105" s="199">
        <v>0.16123999999999999</v>
      </c>
      <c r="BD105" s="197">
        <v>0.745</v>
      </c>
      <c r="BE105" s="198">
        <v>3.101</v>
      </c>
      <c r="BF105" s="199">
        <v>0.13023999999999999</v>
      </c>
      <c r="BH105" s="197">
        <v>0.745</v>
      </c>
      <c r="BI105" s="198">
        <v>322.48</v>
      </c>
      <c r="BJ105" s="199">
        <v>7.6779999999999999</v>
      </c>
      <c r="BL105" s="197">
        <v>0.745</v>
      </c>
      <c r="BM105" s="198">
        <v>2.7686999999999999</v>
      </c>
      <c r="BN105" s="199">
        <v>0.11629</v>
      </c>
      <c r="BP105" s="197">
        <v>0.745</v>
      </c>
      <c r="BQ105" s="200">
        <v>361.18</v>
      </c>
      <c r="BR105" s="199">
        <v>8.5990000000000002</v>
      </c>
      <c r="BT105" s="197">
        <v>0.745</v>
      </c>
      <c r="BU105" s="201">
        <v>1.2199</v>
      </c>
      <c r="BV105" s="202">
        <v>1.3663000000000001</v>
      </c>
      <c r="BX105" s="37">
        <v>745</v>
      </c>
      <c r="BY105" s="38">
        <v>0.74519999999999997</v>
      </c>
      <c r="BZ105" s="39">
        <v>58.37</v>
      </c>
      <c r="CA105" s="33"/>
      <c r="CB105" s="37">
        <v>745</v>
      </c>
      <c r="CC105" s="38">
        <v>0.15887999999999999</v>
      </c>
      <c r="CD105" s="42">
        <v>6.2939999999999996</v>
      </c>
      <c r="CE105" s="33"/>
      <c r="CF105" s="33"/>
      <c r="CG105" s="33"/>
      <c r="CH105" s="33"/>
      <c r="CI105" s="33"/>
      <c r="CJ105" s="33"/>
      <c r="CK105" s="33"/>
      <c r="CL105" s="40">
        <v>745</v>
      </c>
      <c r="CM105" s="43">
        <v>743.9</v>
      </c>
      <c r="CN105" s="41">
        <v>1.3443000000000001</v>
      </c>
      <c r="CO105" s="33"/>
      <c r="CP105" s="40">
        <v>745</v>
      </c>
      <c r="CQ105" s="34">
        <v>0.82</v>
      </c>
      <c r="CR105" s="41">
        <v>0.73209999999999997</v>
      </c>
      <c r="CS105" s="33"/>
      <c r="CT105" s="40">
        <v>745</v>
      </c>
      <c r="CU105" s="44">
        <v>355.36</v>
      </c>
      <c r="CV105" s="42">
        <v>8.4610000000000003</v>
      </c>
    </row>
    <row r="106" spans="4:100">
      <c r="D106" s="30">
        <v>9.6</v>
      </c>
      <c r="E106" s="31">
        <v>1.0027999999999999</v>
      </c>
      <c r="F106" s="32">
        <v>1002.2</v>
      </c>
      <c r="G106" s="33"/>
      <c r="H106" s="30">
        <v>9.6</v>
      </c>
      <c r="I106" s="34">
        <v>3.7839999999999998</v>
      </c>
      <c r="J106" s="35">
        <v>0.15892999999999999</v>
      </c>
      <c r="L106" s="30">
        <v>9.6</v>
      </c>
      <c r="M106" s="172">
        <v>8.3520000000000003</v>
      </c>
      <c r="N106" s="173">
        <v>0.11973</v>
      </c>
      <c r="P106" s="30">
        <v>9.6</v>
      </c>
      <c r="Q106" s="172">
        <v>4.1759000000000004</v>
      </c>
      <c r="R106" s="173">
        <v>0.17538999999999999</v>
      </c>
      <c r="T106" s="30">
        <v>9.6</v>
      </c>
      <c r="U106" s="172">
        <v>239.47</v>
      </c>
      <c r="V106" s="173">
        <v>5.702</v>
      </c>
      <c r="X106" s="30">
        <v>9.6</v>
      </c>
      <c r="Y106" s="34">
        <v>3.7284999999999999</v>
      </c>
      <c r="Z106" s="35">
        <v>0.15659999999999991</v>
      </c>
      <c r="AA106" s="36"/>
      <c r="AB106" s="30">
        <v>9.6</v>
      </c>
      <c r="AC106" s="44">
        <v>268.2</v>
      </c>
      <c r="AD106" s="35">
        <v>6.3860000000000001</v>
      </c>
      <c r="AE106" s="36"/>
      <c r="AF106" s="30">
        <v>9.6</v>
      </c>
      <c r="AG106" s="34">
        <v>3.7883</v>
      </c>
      <c r="AH106" s="35">
        <v>0.15911</v>
      </c>
      <c r="AI106" s="35"/>
      <c r="AJ106" s="35">
        <v>0.10845</v>
      </c>
      <c r="AK106" s="998">
        <v>75.400000000000006</v>
      </c>
      <c r="AM106" s="30">
        <v>9.6</v>
      </c>
      <c r="AN106" s="34">
        <v>0.90610000000000002</v>
      </c>
      <c r="AO106" s="35">
        <v>1.0148999999999999</v>
      </c>
      <c r="AQ106" s="197">
        <v>0.746</v>
      </c>
      <c r="AR106" s="200">
        <v>58.18</v>
      </c>
      <c r="AS106" s="199">
        <v>745.8</v>
      </c>
      <c r="AZ106" s="197">
        <v>0.746</v>
      </c>
      <c r="BA106" s="198">
        <v>6.2103000000000002</v>
      </c>
      <c r="BB106" s="199">
        <v>0.16102</v>
      </c>
      <c r="BD106" s="197">
        <v>0.746</v>
      </c>
      <c r="BE106" s="198">
        <v>3.1051000000000002</v>
      </c>
      <c r="BF106" s="199">
        <v>0.13042000000000001</v>
      </c>
      <c r="BH106" s="197">
        <v>0.746</v>
      </c>
      <c r="BI106" s="198">
        <v>322.05</v>
      </c>
      <c r="BJ106" s="199">
        <v>7.6680000000000001</v>
      </c>
      <c r="BL106" s="197">
        <v>0.746</v>
      </c>
      <c r="BM106" s="198">
        <v>2.7724000000000002</v>
      </c>
      <c r="BN106" s="199">
        <v>0.11644</v>
      </c>
      <c r="BP106" s="197">
        <v>0.746</v>
      </c>
      <c r="BQ106" s="200">
        <v>360.69</v>
      </c>
      <c r="BR106" s="199">
        <v>8.5879999999999992</v>
      </c>
      <c r="BT106" s="197">
        <v>0.746</v>
      </c>
      <c r="BU106" s="201">
        <v>1.2182999999999999</v>
      </c>
      <c r="BV106" s="202">
        <v>1.3645</v>
      </c>
      <c r="BX106" s="37">
        <v>746</v>
      </c>
      <c r="BY106" s="38">
        <v>0.74619999999999997</v>
      </c>
      <c r="BZ106" s="39">
        <v>58.12</v>
      </c>
      <c r="CA106" s="33"/>
      <c r="CB106" s="37">
        <v>746</v>
      </c>
      <c r="CC106" s="38">
        <v>0.15887999999999999</v>
      </c>
      <c r="CD106" s="42">
        <v>6.2939999999999996</v>
      </c>
      <c r="CE106" s="33"/>
      <c r="CF106" s="33"/>
      <c r="CG106" s="33"/>
      <c r="CH106" s="33"/>
      <c r="CI106" s="33"/>
      <c r="CJ106" s="33"/>
      <c r="CK106" s="33"/>
      <c r="CL106" s="40">
        <v>746</v>
      </c>
      <c r="CM106" s="43">
        <v>744.9</v>
      </c>
      <c r="CN106" s="41">
        <v>1.3425</v>
      </c>
      <c r="CO106" s="33"/>
      <c r="CP106" s="40">
        <v>746</v>
      </c>
      <c r="CQ106" s="34">
        <v>0.82110000000000005</v>
      </c>
      <c r="CR106" s="41">
        <v>0.73309999999999997</v>
      </c>
      <c r="CS106" s="33"/>
      <c r="CT106" s="40">
        <v>746</v>
      </c>
      <c r="CU106" s="44">
        <v>354.88</v>
      </c>
      <c r="CV106" s="42">
        <v>8.4499999999999993</v>
      </c>
    </row>
    <row r="107" spans="4:100">
      <c r="D107" s="30">
        <v>9.6999999999999993</v>
      </c>
      <c r="E107" s="31">
        <v>1.0021</v>
      </c>
      <c r="F107" s="32">
        <v>1001.5</v>
      </c>
      <c r="G107" s="33"/>
      <c r="H107" s="30">
        <v>9.6999999999999993</v>
      </c>
      <c r="I107" s="34">
        <v>3.7839999999999998</v>
      </c>
      <c r="J107" s="35">
        <v>0.15892999999999999</v>
      </c>
      <c r="L107" s="30">
        <v>9.6999999999999993</v>
      </c>
      <c r="M107" s="172">
        <v>8.3460000000000001</v>
      </c>
      <c r="N107" s="173">
        <v>0.11982</v>
      </c>
      <c r="P107" s="30">
        <v>9.6999999999999993</v>
      </c>
      <c r="Q107" s="172">
        <v>4.173</v>
      </c>
      <c r="R107" s="173">
        <v>0.17526</v>
      </c>
      <c r="T107" s="30">
        <v>9.6999999999999993</v>
      </c>
      <c r="U107" s="172">
        <v>239.64</v>
      </c>
      <c r="V107" s="173">
        <v>5.7060000000000004</v>
      </c>
      <c r="X107" s="30">
        <v>9.6999999999999993</v>
      </c>
      <c r="Y107" s="34">
        <v>3.7259000000000002</v>
      </c>
      <c r="Z107" s="35">
        <v>0.15648999999999988</v>
      </c>
      <c r="AA107" s="36"/>
      <c r="AB107" s="30">
        <v>9.6999999999999993</v>
      </c>
      <c r="AC107" s="44">
        <v>268.39</v>
      </c>
      <c r="AD107" s="35">
        <v>6.39</v>
      </c>
      <c r="AE107" s="36"/>
      <c r="AF107" s="30">
        <v>9.6999999999999993</v>
      </c>
      <c r="AG107" s="34">
        <v>3.7856000000000001</v>
      </c>
      <c r="AH107" s="35">
        <v>0.159</v>
      </c>
      <c r="AI107" s="35"/>
      <c r="AJ107" s="35">
        <v>0.1085</v>
      </c>
      <c r="AK107" s="998">
        <v>75.3</v>
      </c>
      <c r="AM107" s="30">
        <v>9.6999999999999993</v>
      </c>
      <c r="AN107" s="34">
        <v>0.90680000000000005</v>
      </c>
      <c r="AO107" s="35">
        <v>1.0156000000000001</v>
      </c>
      <c r="AQ107" s="197">
        <v>0.747</v>
      </c>
      <c r="AR107" s="200">
        <v>57.92</v>
      </c>
      <c r="AS107" s="199">
        <v>746.8</v>
      </c>
      <c r="AZ107" s="197">
        <v>0.747</v>
      </c>
      <c r="BA107" s="198">
        <v>6.2186000000000003</v>
      </c>
      <c r="BB107" s="199">
        <v>0.16081000000000001</v>
      </c>
      <c r="BD107" s="197">
        <v>0.747</v>
      </c>
      <c r="BE107" s="198">
        <v>3.1093000000000002</v>
      </c>
      <c r="BF107" s="199">
        <v>0.13059000000000001</v>
      </c>
      <c r="BH107" s="197">
        <v>0.747</v>
      </c>
      <c r="BI107" s="198">
        <v>321.62</v>
      </c>
      <c r="BJ107" s="199">
        <v>7.6580000000000004</v>
      </c>
      <c r="BL107" s="197">
        <v>0.747</v>
      </c>
      <c r="BM107" s="198">
        <v>2.7761999999999998</v>
      </c>
      <c r="BN107" s="199">
        <v>0.1166</v>
      </c>
      <c r="BP107" s="197">
        <v>0.747</v>
      </c>
      <c r="BQ107" s="200">
        <v>360.21</v>
      </c>
      <c r="BR107" s="199">
        <v>8.5760000000000005</v>
      </c>
      <c r="BT107" s="197">
        <v>0.747</v>
      </c>
      <c r="BU107" s="201">
        <v>1.2165999999999999</v>
      </c>
      <c r="BV107" s="202">
        <v>1.3626</v>
      </c>
      <c r="BX107" s="37">
        <v>747</v>
      </c>
      <c r="BY107" s="38">
        <v>0.74719999999999998</v>
      </c>
      <c r="BZ107" s="39">
        <v>57.86</v>
      </c>
      <c r="CA107" s="33"/>
      <c r="CB107" s="37">
        <v>747</v>
      </c>
      <c r="CC107" s="38">
        <v>0.15887999999999999</v>
      </c>
      <c r="CD107" s="42">
        <v>6.2939999999999996</v>
      </c>
      <c r="CE107" s="33"/>
      <c r="CF107" s="33"/>
      <c r="CG107" s="33"/>
      <c r="CH107" s="33"/>
      <c r="CI107" s="33"/>
      <c r="CJ107" s="33"/>
      <c r="CK107" s="33"/>
      <c r="CL107" s="40">
        <v>747</v>
      </c>
      <c r="CM107" s="43">
        <v>745.9</v>
      </c>
      <c r="CN107" s="41">
        <v>1.3407</v>
      </c>
      <c r="CO107" s="33"/>
      <c r="CP107" s="40">
        <v>747</v>
      </c>
      <c r="CQ107" s="34">
        <v>0.82220000000000004</v>
      </c>
      <c r="CR107" s="41">
        <v>0.73409999999999997</v>
      </c>
      <c r="CS107" s="33"/>
      <c r="CT107" s="40">
        <v>747</v>
      </c>
      <c r="CU107" s="44">
        <v>354.41</v>
      </c>
      <c r="CV107" s="42">
        <v>8.4380000000000006</v>
      </c>
    </row>
    <row r="108" spans="4:100">
      <c r="D108" s="30">
        <v>9.8000000000000007</v>
      </c>
      <c r="E108" s="31">
        <v>1.0014000000000001</v>
      </c>
      <c r="F108" s="32">
        <v>1000.8</v>
      </c>
      <c r="G108" s="33"/>
      <c r="H108" s="30">
        <v>9.8000000000000007</v>
      </c>
      <c r="I108" s="34">
        <v>3.7839999999999998</v>
      </c>
      <c r="J108" s="35">
        <v>0.15892999999999999</v>
      </c>
      <c r="L108" s="30">
        <v>9.8000000000000007</v>
      </c>
      <c r="M108" s="172">
        <v>8.34</v>
      </c>
      <c r="N108" s="173">
        <v>0.11990000000000001</v>
      </c>
      <c r="P108" s="30">
        <v>9.8000000000000007</v>
      </c>
      <c r="Q108" s="172">
        <v>4.17</v>
      </c>
      <c r="R108" s="173">
        <v>0.17513999999999999</v>
      </c>
      <c r="T108" s="30">
        <v>9.8000000000000007</v>
      </c>
      <c r="U108" s="172">
        <v>239.81</v>
      </c>
      <c r="V108" s="173">
        <v>5.71</v>
      </c>
      <c r="X108" s="30">
        <v>9.8000000000000007</v>
      </c>
      <c r="Y108" s="34">
        <v>3.7231999999999998</v>
      </c>
      <c r="Z108" s="35">
        <v>0.15637999999999985</v>
      </c>
      <c r="AA108" s="36"/>
      <c r="AB108" s="30">
        <v>9.8000000000000007</v>
      </c>
      <c r="AC108" s="44">
        <v>268.58</v>
      </c>
      <c r="AD108" s="35">
        <v>6.3949999999999996</v>
      </c>
      <c r="AE108" s="36"/>
      <c r="AF108" s="30">
        <v>9.8000000000000007</v>
      </c>
      <c r="AG108" s="34">
        <v>3.7829999999999999</v>
      </c>
      <c r="AH108" s="35">
        <v>0.15887999999999999</v>
      </c>
      <c r="AI108" s="35"/>
      <c r="AJ108" s="35">
        <v>0.10854999999999999</v>
      </c>
      <c r="AK108" s="998">
        <v>75.2</v>
      </c>
      <c r="AM108" s="30">
        <v>9.8000000000000007</v>
      </c>
      <c r="AN108" s="34">
        <v>0.90739999999999998</v>
      </c>
      <c r="AO108" s="35">
        <v>1.0163</v>
      </c>
      <c r="AQ108" s="197">
        <v>0.748</v>
      </c>
      <c r="AR108" s="200">
        <v>57.67</v>
      </c>
      <c r="AS108" s="199">
        <v>747.8</v>
      </c>
      <c r="AZ108" s="197">
        <v>0.748</v>
      </c>
      <c r="BA108" s="198">
        <v>6.2268999999999997</v>
      </c>
      <c r="BB108" s="199">
        <v>0.16059000000000001</v>
      </c>
      <c r="BD108" s="197">
        <v>0.748</v>
      </c>
      <c r="BE108" s="198">
        <v>3.1135000000000002</v>
      </c>
      <c r="BF108" s="199">
        <v>0.13077</v>
      </c>
      <c r="BH108" s="197">
        <v>0.748</v>
      </c>
      <c r="BI108" s="198">
        <v>321.19</v>
      </c>
      <c r="BJ108" s="199">
        <v>7.6470000000000002</v>
      </c>
      <c r="BL108" s="197">
        <v>0.748</v>
      </c>
      <c r="BM108" s="198">
        <v>2.7799</v>
      </c>
      <c r="BN108" s="199">
        <v>0.11676</v>
      </c>
      <c r="BP108" s="197">
        <v>0.748</v>
      </c>
      <c r="BQ108" s="200">
        <v>359.73</v>
      </c>
      <c r="BR108" s="199">
        <v>8.5649999999999995</v>
      </c>
      <c r="BT108" s="197">
        <v>0.748</v>
      </c>
      <c r="BU108" s="201">
        <v>1.2150000000000001</v>
      </c>
      <c r="BV108" s="202">
        <v>1.3608</v>
      </c>
      <c r="BX108" s="37">
        <v>748</v>
      </c>
      <c r="BY108" s="38">
        <v>0.74819999999999998</v>
      </c>
      <c r="BZ108" s="39">
        <v>57.61</v>
      </c>
      <c r="CA108" s="33"/>
      <c r="CB108" s="37">
        <v>748</v>
      </c>
      <c r="CC108" s="38">
        <v>0.15887999999999999</v>
      </c>
      <c r="CD108" s="42">
        <v>6.2939999999999996</v>
      </c>
      <c r="CE108" s="33"/>
      <c r="CF108" s="33"/>
      <c r="CG108" s="33"/>
      <c r="CH108" s="33"/>
      <c r="CI108" s="33"/>
      <c r="CJ108" s="33"/>
      <c r="CK108" s="33"/>
      <c r="CL108" s="40">
        <v>748</v>
      </c>
      <c r="CM108" s="43">
        <v>746.9</v>
      </c>
      <c r="CN108" s="41">
        <v>1.3389</v>
      </c>
      <c r="CO108" s="33"/>
      <c r="CP108" s="40">
        <v>748</v>
      </c>
      <c r="CQ108" s="34">
        <v>0.82330000000000003</v>
      </c>
      <c r="CR108" s="41">
        <v>0.73509999999999998</v>
      </c>
      <c r="CS108" s="33"/>
      <c r="CT108" s="40">
        <v>748</v>
      </c>
      <c r="CU108" s="44">
        <v>353.93</v>
      </c>
      <c r="CV108" s="42">
        <v>8.4269999999999996</v>
      </c>
    </row>
    <row r="109" spans="4:100">
      <c r="D109" s="30">
        <v>9.9</v>
      </c>
      <c r="E109" s="31">
        <v>1.0006999999999999</v>
      </c>
      <c r="F109" s="32">
        <v>1000.1</v>
      </c>
      <c r="G109" s="33"/>
      <c r="H109" s="30">
        <v>9.9</v>
      </c>
      <c r="I109" s="34">
        <v>3.7839999999999998</v>
      </c>
      <c r="J109" s="35">
        <v>0.15892999999999999</v>
      </c>
      <c r="L109" s="30">
        <v>9.9</v>
      </c>
      <c r="M109" s="172">
        <v>8.3339999999999996</v>
      </c>
      <c r="N109" s="173">
        <v>0.11999</v>
      </c>
      <c r="P109" s="30">
        <v>9.9</v>
      </c>
      <c r="Q109" s="172">
        <v>4.1670999999999996</v>
      </c>
      <c r="R109" s="173">
        <v>0.17502000000000001</v>
      </c>
      <c r="T109" s="30">
        <v>9.9</v>
      </c>
      <c r="U109" s="172">
        <v>239.98</v>
      </c>
      <c r="V109" s="173">
        <v>5.7140000000000004</v>
      </c>
      <c r="X109" s="30">
        <v>9.9</v>
      </c>
      <c r="Y109" s="34">
        <v>3.7206000000000001</v>
      </c>
      <c r="Z109" s="35">
        <v>0.15626000000000001</v>
      </c>
      <c r="AA109" s="36"/>
      <c r="AB109" s="30">
        <v>9.9</v>
      </c>
      <c r="AC109" s="44">
        <v>268.77999999999997</v>
      </c>
      <c r="AD109" s="35">
        <v>6.399</v>
      </c>
      <c r="AE109" s="36"/>
      <c r="AF109" s="30">
        <v>9.9</v>
      </c>
      <c r="AG109" s="34">
        <v>3.7803</v>
      </c>
      <c r="AH109" s="35">
        <v>0.15876999999999999</v>
      </c>
      <c r="AI109" s="35"/>
      <c r="AJ109" s="35">
        <v>0.1086</v>
      </c>
      <c r="AK109" s="998">
        <v>75.099999999999994</v>
      </c>
      <c r="AM109" s="30">
        <v>9.9</v>
      </c>
      <c r="AN109" s="34">
        <v>0.90810000000000002</v>
      </c>
      <c r="AO109" s="35">
        <v>1.0169999999999999</v>
      </c>
      <c r="AQ109" s="197">
        <v>0.749</v>
      </c>
      <c r="AR109" s="200">
        <v>57.42</v>
      </c>
      <c r="AS109" s="199">
        <v>748.8</v>
      </c>
      <c r="AZ109" s="197">
        <v>0.749</v>
      </c>
      <c r="BA109" s="198">
        <v>6.2352999999999996</v>
      </c>
      <c r="BB109" s="199">
        <v>0.16037999999999999</v>
      </c>
      <c r="BD109" s="197">
        <v>0.749</v>
      </c>
      <c r="BE109" s="198">
        <v>3.1175999999999999</v>
      </c>
      <c r="BF109" s="199">
        <v>0.13094</v>
      </c>
      <c r="BH109" s="197">
        <v>0.749</v>
      </c>
      <c r="BI109" s="198">
        <v>320.76</v>
      </c>
      <c r="BJ109" s="199">
        <v>7.6369999999999996</v>
      </c>
      <c r="BL109" s="197">
        <v>0.749</v>
      </c>
      <c r="BM109" s="198">
        <v>2.7835999999999999</v>
      </c>
      <c r="BN109" s="199">
        <v>0.11691</v>
      </c>
      <c r="BP109" s="197">
        <v>0.749</v>
      </c>
      <c r="BQ109" s="200">
        <v>359.25</v>
      </c>
      <c r="BR109" s="199">
        <v>8.5530000000000008</v>
      </c>
      <c r="BT109" s="197">
        <v>0.749</v>
      </c>
      <c r="BU109" s="201">
        <v>1.2134</v>
      </c>
      <c r="BV109" s="202">
        <v>1.359</v>
      </c>
      <c r="BX109" s="37">
        <v>749</v>
      </c>
      <c r="BY109" s="38">
        <v>0.74919999999999998</v>
      </c>
      <c r="BZ109" s="39">
        <v>57.36</v>
      </c>
      <c r="CA109" s="33"/>
      <c r="CB109" s="37">
        <v>749</v>
      </c>
      <c r="CC109" s="38">
        <v>0.15887999999999999</v>
      </c>
      <c r="CD109" s="42">
        <v>6.2939999999999996</v>
      </c>
      <c r="CE109" s="33"/>
      <c r="CF109" s="33"/>
      <c r="CG109" s="33"/>
      <c r="CH109" s="33"/>
      <c r="CI109" s="33"/>
      <c r="CJ109" s="33"/>
      <c r="CK109" s="33"/>
      <c r="CL109" s="40">
        <v>749</v>
      </c>
      <c r="CM109" s="43">
        <v>747.9</v>
      </c>
      <c r="CN109" s="41">
        <v>1.3371</v>
      </c>
      <c r="CO109" s="33"/>
      <c r="CP109" s="40">
        <v>749</v>
      </c>
      <c r="CQ109" s="34">
        <v>0.82440000000000002</v>
      </c>
      <c r="CR109" s="41">
        <v>0.73609999999999998</v>
      </c>
      <c r="CS109" s="33"/>
      <c r="CT109" s="40">
        <v>749</v>
      </c>
      <c r="CU109" s="44">
        <v>353.46</v>
      </c>
      <c r="CV109" s="42">
        <v>8.4160000000000004</v>
      </c>
    </row>
    <row r="110" spans="4:100">
      <c r="D110" s="30">
        <v>10</v>
      </c>
      <c r="E110" s="31">
        <v>1</v>
      </c>
      <c r="F110" s="32">
        <v>999.4</v>
      </c>
      <c r="G110" s="33"/>
      <c r="H110" s="30">
        <v>10</v>
      </c>
      <c r="I110" s="34">
        <v>3.7839999999999998</v>
      </c>
      <c r="J110" s="35">
        <v>0.15892999999999999</v>
      </c>
      <c r="L110" s="30">
        <v>10</v>
      </c>
      <c r="M110" s="172">
        <v>8.3279999999999994</v>
      </c>
      <c r="N110" s="173">
        <v>0.12007</v>
      </c>
      <c r="P110" s="30">
        <v>10</v>
      </c>
      <c r="Q110" s="172">
        <v>4.1641000000000004</v>
      </c>
      <c r="R110" s="173">
        <v>0.17488999999999999</v>
      </c>
      <c r="T110" s="30">
        <v>10</v>
      </c>
      <c r="U110" s="172">
        <v>240.15</v>
      </c>
      <c r="V110" s="173">
        <v>5.718</v>
      </c>
      <c r="X110" s="30">
        <v>10</v>
      </c>
      <c r="Y110" s="34">
        <v>3.718</v>
      </c>
      <c r="Z110" s="35">
        <v>0.15615000000000001</v>
      </c>
      <c r="AA110" s="36"/>
      <c r="AB110" s="30">
        <v>10</v>
      </c>
      <c r="AC110" s="44">
        <v>268.97000000000003</v>
      </c>
      <c r="AD110" s="35">
        <v>6.4039999999999999</v>
      </c>
      <c r="AE110" s="36"/>
      <c r="AF110" s="30">
        <v>10</v>
      </c>
      <c r="AG110" s="34">
        <v>3.7776000000000001</v>
      </c>
      <c r="AH110" s="35">
        <v>0.15866</v>
      </c>
      <c r="AI110" s="35"/>
      <c r="AJ110" s="35">
        <v>0.10866000000000001</v>
      </c>
      <c r="AK110" s="998">
        <v>75</v>
      </c>
      <c r="AM110" s="30">
        <v>10</v>
      </c>
      <c r="AN110" s="34">
        <v>0.90869999999999995</v>
      </c>
      <c r="AO110" s="35">
        <v>1.0178</v>
      </c>
      <c r="AQ110" s="197">
        <v>0.75</v>
      </c>
      <c r="AR110" s="200">
        <v>57.17</v>
      </c>
      <c r="AS110" s="199">
        <v>749.8</v>
      </c>
      <c r="AZ110" s="197">
        <v>0.75</v>
      </c>
      <c r="BA110" s="198">
        <v>6.2435999999999998</v>
      </c>
      <c r="BB110" s="199">
        <v>0.16016</v>
      </c>
      <c r="BD110" s="197">
        <v>0.75</v>
      </c>
      <c r="BE110" s="198">
        <v>3.1217999999999999</v>
      </c>
      <c r="BF110" s="199">
        <v>0.13111999999999999</v>
      </c>
      <c r="BH110" s="197">
        <v>0.75</v>
      </c>
      <c r="BI110" s="198">
        <v>320.33</v>
      </c>
      <c r="BJ110" s="199">
        <v>7.6269999999999998</v>
      </c>
      <c r="BL110" s="197">
        <v>0.75</v>
      </c>
      <c r="BM110" s="198">
        <v>2.7873000000000001</v>
      </c>
      <c r="BN110" s="199">
        <v>0.11706999999999999</v>
      </c>
      <c r="BP110" s="197">
        <v>0.75</v>
      </c>
      <c r="BQ110" s="200">
        <v>358.77</v>
      </c>
      <c r="BR110" s="199">
        <v>8.5419999999999998</v>
      </c>
      <c r="BT110" s="197">
        <v>0.75</v>
      </c>
      <c r="BU110" s="201">
        <v>1.2118</v>
      </c>
      <c r="BV110" s="202">
        <v>1.3572</v>
      </c>
      <c r="BX110" s="37">
        <v>750</v>
      </c>
      <c r="BY110" s="38">
        <v>0.75019999999999998</v>
      </c>
      <c r="BZ110" s="39">
        <v>57.11</v>
      </c>
      <c r="CA110" s="33"/>
      <c r="CB110" s="37">
        <v>750</v>
      </c>
      <c r="CC110" s="38">
        <v>0.15887999999999999</v>
      </c>
      <c r="CD110" s="42">
        <v>6.2939999999999996</v>
      </c>
      <c r="CE110" s="33"/>
      <c r="CF110" s="33"/>
      <c r="CG110" s="33"/>
      <c r="CH110" s="33"/>
      <c r="CI110" s="33"/>
      <c r="CJ110" s="33"/>
      <c r="CK110" s="33"/>
      <c r="CL110" s="40">
        <v>750</v>
      </c>
      <c r="CM110" s="43">
        <v>748.9</v>
      </c>
      <c r="CN110" s="41">
        <v>1.3352999999999999</v>
      </c>
      <c r="CO110" s="33"/>
      <c r="CP110" s="40">
        <v>750</v>
      </c>
      <c r="CQ110" s="34">
        <v>0.82550000000000001</v>
      </c>
      <c r="CR110" s="41">
        <v>0.73709999999999998</v>
      </c>
      <c r="CS110" s="33"/>
      <c r="CT110" s="40">
        <v>750</v>
      </c>
      <c r="CU110" s="44">
        <v>352.98</v>
      </c>
      <c r="CV110" s="42">
        <v>8.4039999999999999</v>
      </c>
    </row>
    <row r="111" spans="4:100">
      <c r="D111" s="30">
        <v>10.1</v>
      </c>
      <c r="E111" s="31">
        <v>0.99929999999999997</v>
      </c>
      <c r="F111" s="32">
        <v>998.7</v>
      </c>
      <c r="G111" s="33"/>
      <c r="H111" s="30">
        <v>10.1</v>
      </c>
      <c r="I111" s="34">
        <v>3.7839999999999998</v>
      </c>
      <c r="J111" s="35">
        <v>0.15892999999999999</v>
      </c>
      <c r="L111" s="30">
        <v>10.1</v>
      </c>
      <c r="M111" s="172">
        <v>8.3219999999999992</v>
      </c>
      <c r="N111" s="173">
        <v>0.12016</v>
      </c>
      <c r="P111" s="30">
        <v>10.1</v>
      </c>
      <c r="Q111" s="172">
        <v>4.1612</v>
      </c>
      <c r="R111" s="173">
        <v>0.17477000000000001</v>
      </c>
      <c r="T111" s="30">
        <v>10.1</v>
      </c>
      <c r="U111" s="172">
        <v>240.32</v>
      </c>
      <c r="V111" s="173">
        <v>5.7220000000000004</v>
      </c>
      <c r="X111" s="30">
        <v>10.1</v>
      </c>
      <c r="Y111" s="34">
        <v>3.7153</v>
      </c>
      <c r="Z111" s="35">
        <v>0.15604000000000001</v>
      </c>
      <c r="AA111" s="36"/>
      <c r="AB111" s="30">
        <v>10.1</v>
      </c>
      <c r="AC111" s="44">
        <v>269.16000000000003</v>
      </c>
      <c r="AD111" s="35">
        <v>6.4080000000000004</v>
      </c>
      <c r="AE111" s="36"/>
      <c r="AF111" s="30">
        <v>10.1</v>
      </c>
      <c r="AG111" s="34">
        <v>3.7749000000000001</v>
      </c>
      <c r="AH111" s="35">
        <v>0.15855</v>
      </c>
      <c r="AI111" s="35"/>
      <c r="AJ111" s="35">
        <v>0.10871</v>
      </c>
      <c r="AK111" s="998">
        <v>74.900000000000006</v>
      </c>
      <c r="AM111" s="30">
        <v>10.1</v>
      </c>
      <c r="AN111" s="34">
        <v>0.90939999999999999</v>
      </c>
      <c r="AO111" s="35">
        <v>1.0185</v>
      </c>
      <c r="AQ111" s="197">
        <v>0.751</v>
      </c>
      <c r="AR111" s="200">
        <v>56.92</v>
      </c>
      <c r="AS111" s="199">
        <v>750.8</v>
      </c>
      <c r="AZ111" s="197">
        <v>0.751</v>
      </c>
      <c r="BA111" s="198">
        <v>6.2519999999999998</v>
      </c>
      <c r="BB111" s="199">
        <v>0.15995000000000001</v>
      </c>
      <c r="BD111" s="197">
        <v>0.751</v>
      </c>
      <c r="BE111" s="198">
        <v>3.1259999999999999</v>
      </c>
      <c r="BF111" s="199">
        <v>0.13128999999999999</v>
      </c>
      <c r="BH111" s="197">
        <v>0.751</v>
      </c>
      <c r="BI111" s="198">
        <v>319.89999999999998</v>
      </c>
      <c r="BJ111" s="199">
        <v>7.617</v>
      </c>
      <c r="BL111" s="197">
        <v>0.751</v>
      </c>
      <c r="BM111" s="198">
        <v>2.7911000000000001</v>
      </c>
      <c r="BN111" s="199">
        <v>0.11722</v>
      </c>
      <c r="BP111" s="197">
        <v>0.751</v>
      </c>
      <c r="BQ111" s="200">
        <v>358.29</v>
      </c>
      <c r="BR111" s="199">
        <v>8.5310000000000006</v>
      </c>
      <c r="BT111" s="197">
        <v>0.751</v>
      </c>
      <c r="BU111" s="201">
        <v>1.2101</v>
      </c>
      <c r="BV111" s="202">
        <v>1.3553999999999999</v>
      </c>
      <c r="BX111" s="37">
        <v>751</v>
      </c>
      <c r="BY111" s="38">
        <v>0.75119999999999998</v>
      </c>
      <c r="BZ111" s="39">
        <v>56.85</v>
      </c>
      <c r="CA111" s="33"/>
      <c r="CB111" s="37">
        <v>751</v>
      </c>
      <c r="CC111" s="38">
        <v>0.15887999999999999</v>
      </c>
      <c r="CD111" s="42">
        <v>6.2939999999999996</v>
      </c>
      <c r="CE111" s="33"/>
      <c r="CF111" s="33"/>
      <c r="CG111" s="33"/>
      <c r="CH111" s="33"/>
      <c r="CI111" s="33"/>
      <c r="CJ111" s="33"/>
      <c r="CK111" s="33"/>
      <c r="CL111" s="40">
        <v>751</v>
      </c>
      <c r="CM111" s="43">
        <v>749.9</v>
      </c>
      <c r="CN111" s="41">
        <v>1.3334999999999999</v>
      </c>
      <c r="CO111" s="33"/>
      <c r="CP111" s="40">
        <v>751</v>
      </c>
      <c r="CQ111" s="34">
        <v>0.8266</v>
      </c>
      <c r="CR111" s="41">
        <v>0.73799999999999999</v>
      </c>
      <c r="CS111" s="33"/>
      <c r="CT111" s="40">
        <v>751</v>
      </c>
      <c r="CU111" s="44">
        <v>352.51</v>
      </c>
      <c r="CV111" s="42">
        <v>8.3930000000000007</v>
      </c>
    </row>
    <row r="112" spans="4:100">
      <c r="D112" s="30">
        <v>10.199999999999999</v>
      </c>
      <c r="E112" s="31">
        <v>0.99860000000000004</v>
      </c>
      <c r="F112" s="32">
        <v>998</v>
      </c>
      <c r="G112" s="33"/>
      <c r="H112" s="30">
        <v>10.199999999999999</v>
      </c>
      <c r="I112" s="34">
        <v>3.7839999999999998</v>
      </c>
      <c r="J112" s="35">
        <v>0.15892999999999999</v>
      </c>
      <c r="L112" s="30">
        <v>10.199999999999999</v>
      </c>
      <c r="M112" s="172">
        <v>8.3160000000000007</v>
      </c>
      <c r="N112" s="173">
        <v>0.12024</v>
      </c>
      <c r="P112" s="30">
        <v>10.199999999999999</v>
      </c>
      <c r="Q112" s="172">
        <v>4.1581999999999999</v>
      </c>
      <c r="R112" s="173">
        <v>0.17465</v>
      </c>
      <c r="T112" s="30">
        <v>10.199999999999999</v>
      </c>
      <c r="U112" s="172">
        <v>240.49</v>
      </c>
      <c r="V112" s="173">
        <v>5.726</v>
      </c>
      <c r="X112" s="30">
        <v>10.199999999999999</v>
      </c>
      <c r="Y112" s="34">
        <v>3.7126999999999999</v>
      </c>
      <c r="Z112" s="35">
        <v>0.15593000000000001</v>
      </c>
      <c r="AA112" s="36"/>
      <c r="AB112" s="30">
        <v>10.199999999999999</v>
      </c>
      <c r="AC112" s="44">
        <v>269.35000000000002</v>
      </c>
      <c r="AD112" s="35">
        <v>6.4130000000000003</v>
      </c>
      <c r="AE112" s="36"/>
      <c r="AF112" s="30">
        <v>10.199999999999999</v>
      </c>
      <c r="AG112" s="34">
        <v>3.7723</v>
      </c>
      <c r="AH112" s="35">
        <v>0.15844</v>
      </c>
      <c r="AI112" s="35"/>
      <c r="AJ112" s="35">
        <v>0.10876</v>
      </c>
      <c r="AK112" s="998">
        <v>74.8</v>
      </c>
      <c r="AM112" s="30">
        <v>10.199999999999999</v>
      </c>
      <c r="AN112" s="34">
        <v>0.91</v>
      </c>
      <c r="AO112" s="35">
        <v>1.0192000000000001</v>
      </c>
      <c r="AQ112" s="197">
        <v>0.752</v>
      </c>
      <c r="AR112" s="200">
        <v>56.66</v>
      </c>
      <c r="AS112" s="199">
        <v>751.8</v>
      </c>
      <c r="AZ112" s="197">
        <v>0.752</v>
      </c>
      <c r="BA112" s="198">
        <v>6.2603</v>
      </c>
      <c r="BB112" s="199">
        <v>0.15973999999999999</v>
      </c>
      <c r="BD112" s="197">
        <v>0.752</v>
      </c>
      <c r="BE112" s="198">
        <v>3.1301000000000001</v>
      </c>
      <c r="BF112" s="199">
        <v>0.13147</v>
      </c>
      <c r="BH112" s="197">
        <v>0.752</v>
      </c>
      <c r="BI112" s="198">
        <v>319.47000000000003</v>
      </c>
      <c r="BJ112" s="199">
        <v>7.6070000000000002</v>
      </c>
      <c r="BL112" s="197">
        <v>0.752</v>
      </c>
      <c r="BM112" s="198">
        <v>2.7948</v>
      </c>
      <c r="BN112" s="199">
        <v>0.11738</v>
      </c>
      <c r="BP112" s="197">
        <v>0.752</v>
      </c>
      <c r="BQ112" s="200">
        <v>357.81</v>
      </c>
      <c r="BR112" s="199">
        <v>8.5190000000000001</v>
      </c>
      <c r="BT112" s="197">
        <v>0.752</v>
      </c>
      <c r="BU112" s="201">
        <v>1.2084999999999999</v>
      </c>
      <c r="BV112" s="202">
        <v>1.3535999999999999</v>
      </c>
      <c r="BX112" s="37">
        <v>752</v>
      </c>
      <c r="BY112" s="38">
        <v>0.75219999999999998</v>
      </c>
      <c r="BZ112" s="39">
        <v>56.6</v>
      </c>
      <c r="CA112" s="33"/>
      <c r="CB112" s="37">
        <v>752</v>
      </c>
      <c r="CC112" s="38">
        <v>0.15887999999999999</v>
      </c>
      <c r="CD112" s="42">
        <v>6.2939999999999996</v>
      </c>
      <c r="CE112" s="33"/>
      <c r="CF112" s="33"/>
      <c r="CG112" s="33"/>
      <c r="CH112" s="33"/>
      <c r="CI112" s="33"/>
      <c r="CJ112" s="33"/>
      <c r="CK112" s="33"/>
      <c r="CL112" s="40">
        <v>752</v>
      </c>
      <c r="CM112" s="43">
        <v>750.9</v>
      </c>
      <c r="CN112" s="41">
        <v>1.3317000000000001</v>
      </c>
      <c r="CO112" s="33"/>
      <c r="CP112" s="40">
        <v>752</v>
      </c>
      <c r="CQ112" s="34">
        <v>0.82769999999999999</v>
      </c>
      <c r="CR112" s="41">
        <v>0.73899999999999999</v>
      </c>
      <c r="CS112" s="33"/>
      <c r="CT112" s="40">
        <v>752</v>
      </c>
      <c r="CU112" s="44">
        <v>352.04</v>
      </c>
      <c r="CV112" s="42">
        <v>8.3819999999999997</v>
      </c>
    </row>
    <row r="113" spans="4:100">
      <c r="D113" s="30">
        <v>10.3</v>
      </c>
      <c r="E113" s="31">
        <v>0.99790000000000001</v>
      </c>
      <c r="F113" s="32">
        <v>997.3</v>
      </c>
      <c r="G113" s="33"/>
      <c r="H113" s="30">
        <v>10.3</v>
      </c>
      <c r="I113" s="34">
        <v>3.7839999999999998</v>
      </c>
      <c r="J113" s="35">
        <v>0.15892999999999999</v>
      </c>
      <c r="L113" s="30">
        <v>10.3</v>
      </c>
      <c r="M113" s="172">
        <v>8.3109999999999999</v>
      </c>
      <c r="N113" s="173">
        <v>0.12033000000000001</v>
      </c>
      <c r="P113" s="30">
        <v>10.3</v>
      </c>
      <c r="Q113" s="172">
        <v>4.1553000000000004</v>
      </c>
      <c r="R113" s="173">
        <v>0.17452000000000001</v>
      </c>
      <c r="T113" s="30">
        <v>10.3</v>
      </c>
      <c r="U113" s="172">
        <v>240.66</v>
      </c>
      <c r="V113" s="173">
        <v>5.73</v>
      </c>
      <c r="X113" s="30">
        <v>10.3</v>
      </c>
      <c r="Y113" s="34">
        <v>3.7101000000000002</v>
      </c>
      <c r="Z113" s="35">
        <v>0.15581999999999999</v>
      </c>
      <c r="AA113" s="36"/>
      <c r="AB113" s="30">
        <v>10.3</v>
      </c>
      <c r="AC113" s="44">
        <v>269.54000000000002</v>
      </c>
      <c r="AD113" s="35">
        <v>6.4180000000000001</v>
      </c>
      <c r="AE113" s="36"/>
      <c r="AF113" s="30">
        <v>10.3</v>
      </c>
      <c r="AG113" s="34">
        <v>3.7696000000000001</v>
      </c>
      <c r="AH113" s="35">
        <v>0.15831999999999999</v>
      </c>
      <c r="AI113" s="35"/>
      <c r="AJ113" s="35">
        <v>0.10882</v>
      </c>
      <c r="AK113" s="998">
        <v>74.7</v>
      </c>
      <c r="AM113" s="30">
        <v>10.3</v>
      </c>
      <c r="AN113" s="34">
        <v>0.91059999999999997</v>
      </c>
      <c r="AO113" s="35">
        <v>1.0199</v>
      </c>
      <c r="AQ113" s="197">
        <v>0.753</v>
      </c>
      <c r="AR113" s="200">
        <v>56.42</v>
      </c>
      <c r="AS113" s="199">
        <v>752.8</v>
      </c>
      <c r="AZ113" s="197">
        <v>0.753</v>
      </c>
      <c r="BA113" s="198">
        <v>6.2686000000000002</v>
      </c>
      <c r="BB113" s="199">
        <v>0.15952</v>
      </c>
      <c r="BD113" s="197">
        <v>0.753</v>
      </c>
      <c r="BE113" s="198">
        <v>3.1343000000000001</v>
      </c>
      <c r="BF113" s="199">
        <v>0.13164000000000001</v>
      </c>
      <c r="BH113" s="197">
        <v>0.753</v>
      </c>
      <c r="BI113" s="198">
        <v>319.05</v>
      </c>
      <c r="BJ113" s="199">
        <v>7.5960000000000001</v>
      </c>
      <c r="BL113" s="197">
        <v>0.753</v>
      </c>
      <c r="BM113" s="198">
        <v>2.7985000000000002</v>
      </c>
      <c r="BN113" s="199">
        <v>0.11754000000000001</v>
      </c>
      <c r="BP113" s="197">
        <v>0.753</v>
      </c>
      <c r="BQ113" s="200">
        <v>357.33</v>
      </c>
      <c r="BR113" s="199">
        <v>8.5079999999999991</v>
      </c>
      <c r="BT113" s="197">
        <v>0.753</v>
      </c>
      <c r="BU113" s="201">
        <v>1.2069000000000001</v>
      </c>
      <c r="BV113" s="202">
        <v>1.3517999999999999</v>
      </c>
      <c r="BX113" s="37">
        <v>753</v>
      </c>
      <c r="BY113" s="38">
        <v>0.75319999999999998</v>
      </c>
      <c r="BZ113" s="39">
        <v>56.35</v>
      </c>
      <c r="CA113" s="33"/>
      <c r="CB113" s="37">
        <v>753</v>
      </c>
      <c r="CC113" s="38">
        <v>0.15887999999999999</v>
      </c>
      <c r="CD113" s="42">
        <v>6.2939999999999996</v>
      </c>
      <c r="CE113" s="33"/>
      <c r="CF113" s="33"/>
      <c r="CG113" s="33"/>
      <c r="CH113" s="33"/>
      <c r="CI113" s="33"/>
      <c r="CJ113" s="33"/>
      <c r="CK113" s="33"/>
      <c r="CL113" s="40">
        <v>753</v>
      </c>
      <c r="CM113" s="43">
        <v>751.9</v>
      </c>
      <c r="CN113" s="41">
        <v>1.33</v>
      </c>
      <c r="CO113" s="33"/>
      <c r="CP113" s="40">
        <v>753</v>
      </c>
      <c r="CQ113" s="34">
        <v>0.82879999999999998</v>
      </c>
      <c r="CR113" s="41">
        <v>0.74</v>
      </c>
      <c r="CS113" s="33"/>
      <c r="CT113" s="40">
        <v>753</v>
      </c>
      <c r="CU113" s="44">
        <v>351.57</v>
      </c>
      <c r="CV113" s="42">
        <v>8.3710000000000004</v>
      </c>
    </row>
    <row r="114" spans="4:100">
      <c r="D114" s="30">
        <v>10.4</v>
      </c>
      <c r="E114" s="31">
        <v>0.99719999999999998</v>
      </c>
      <c r="F114" s="32">
        <v>996.6</v>
      </c>
      <c r="G114" s="33"/>
      <c r="H114" s="30">
        <v>10.4</v>
      </c>
      <c r="I114" s="34">
        <v>3.7839999999999998</v>
      </c>
      <c r="J114" s="35">
        <v>0.15892999999999999</v>
      </c>
      <c r="L114" s="30">
        <v>10.4</v>
      </c>
      <c r="M114" s="172">
        <v>8.3049999999999997</v>
      </c>
      <c r="N114" s="173">
        <v>0.12041</v>
      </c>
      <c r="P114" s="30">
        <v>10.4</v>
      </c>
      <c r="Q114" s="172">
        <v>4.1524000000000001</v>
      </c>
      <c r="R114" s="173">
        <v>0.1744</v>
      </c>
      <c r="T114" s="30">
        <v>10.4</v>
      </c>
      <c r="U114" s="172">
        <v>240.83</v>
      </c>
      <c r="V114" s="173">
        <v>5.734</v>
      </c>
      <c r="X114" s="30">
        <v>10.4</v>
      </c>
      <c r="Y114" s="34">
        <v>3.7075</v>
      </c>
      <c r="Z114" s="35">
        <v>0.15570999999999999</v>
      </c>
      <c r="AA114" s="36"/>
      <c r="AB114" s="30">
        <v>10.4</v>
      </c>
      <c r="AC114" s="44">
        <v>269.73</v>
      </c>
      <c r="AD114" s="35">
        <v>6.4219999999999997</v>
      </c>
      <c r="AE114" s="36"/>
      <c r="AF114" s="30">
        <v>10.4</v>
      </c>
      <c r="AG114" s="34">
        <v>3.7669999999999999</v>
      </c>
      <c r="AH114" s="35">
        <v>0.15820999999999999</v>
      </c>
      <c r="AI114" s="35"/>
      <c r="AJ114" s="35">
        <v>0.10886999999999999</v>
      </c>
      <c r="AK114" s="998">
        <v>74.599999999999994</v>
      </c>
      <c r="AM114" s="30">
        <v>10.4</v>
      </c>
      <c r="AN114" s="34">
        <v>0.9113</v>
      </c>
      <c r="AO114" s="35">
        <v>1.0206</v>
      </c>
      <c r="AQ114" s="197">
        <v>0.754</v>
      </c>
      <c r="AR114" s="200">
        <v>56.17</v>
      </c>
      <c r="AS114" s="199">
        <v>753.8</v>
      </c>
      <c r="AZ114" s="197">
        <v>0.754</v>
      </c>
      <c r="BA114" s="198">
        <v>6.2770000000000001</v>
      </c>
      <c r="BB114" s="199">
        <v>0.15931000000000001</v>
      </c>
      <c r="BD114" s="197">
        <v>0.754</v>
      </c>
      <c r="BE114" s="198">
        <v>3.1385000000000001</v>
      </c>
      <c r="BF114" s="199">
        <v>0.13181999999999999</v>
      </c>
      <c r="BH114" s="197">
        <v>0.754</v>
      </c>
      <c r="BI114" s="198">
        <v>318.63</v>
      </c>
      <c r="BJ114" s="199">
        <v>7.5860000000000003</v>
      </c>
      <c r="BL114" s="197">
        <v>0.754</v>
      </c>
      <c r="BM114" s="198">
        <v>2.8022</v>
      </c>
      <c r="BN114" s="199">
        <v>0.11769</v>
      </c>
      <c r="BP114" s="197">
        <v>0.754</v>
      </c>
      <c r="BQ114" s="200">
        <v>356.86</v>
      </c>
      <c r="BR114" s="199">
        <v>8.4969999999999999</v>
      </c>
      <c r="BT114" s="197">
        <v>0.754</v>
      </c>
      <c r="BU114" s="201">
        <v>1.2053</v>
      </c>
      <c r="BV114" s="202">
        <v>1.35</v>
      </c>
      <c r="BX114" s="37">
        <v>754</v>
      </c>
      <c r="BY114" s="38">
        <v>0.75419999999999998</v>
      </c>
      <c r="BZ114" s="39">
        <v>56.1</v>
      </c>
      <c r="CA114" s="33"/>
      <c r="CB114" s="37">
        <v>754</v>
      </c>
      <c r="CC114" s="38">
        <v>0.15887999999999999</v>
      </c>
      <c r="CD114" s="42">
        <v>6.2939999999999996</v>
      </c>
      <c r="CE114" s="33"/>
      <c r="CF114" s="33"/>
      <c r="CG114" s="33"/>
      <c r="CH114" s="33"/>
      <c r="CI114" s="33"/>
      <c r="CJ114" s="33"/>
      <c r="CK114" s="33"/>
      <c r="CL114" s="40">
        <v>754</v>
      </c>
      <c r="CM114" s="43">
        <v>752.9</v>
      </c>
      <c r="CN114" s="41">
        <v>1.3282</v>
      </c>
      <c r="CO114" s="33"/>
      <c r="CP114" s="40">
        <v>754</v>
      </c>
      <c r="CQ114" s="34">
        <v>0.82989999999999997</v>
      </c>
      <c r="CR114" s="41">
        <v>0.74099999999999999</v>
      </c>
      <c r="CS114" s="33"/>
      <c r="CT114" s="40">
        <v>754</v>
      </c>
      <c r="CU114" s="44">
        <v>351.11</v>
      </c>
      <c r="CV114" s="42">
        <v>8.36</v>
      </c>
    </row>
    <row r="115" spans="4:100">
      <c r="D115" s="30">
        <v>10.5</v>
      </c>
      <c r="E115" s="31">
        <v>0.99650000000000005</v>
      </c>
      <c r="F115" s="32">
        <v>995.9</v>
      </c>
      <c r="G115" s="33"/>
      <c r="H115" s="30">
        <v>10.5</v>
      </c>
      <c r="I115" s="34">
        <v>3.7839999999999998</v>
      </c>
      <c r="J115" s="35">
        <v>0.15892999999999999</v>
      </c>
      <c r="L115" s="30">
        <v>10.5</v>
      </c>
      <c r="M115" s="172">
        <v>8.2989999999999995</v>
      </c>
      <c r="N115" s="173">
        <v>0.1205</v>
      </c>
      <c r="P115" s="30">
        <v>10.5</v>
      </c>
      <c r="Q115" s="172">
        <v>4.1494</v>
      </c>
      <c r="R115" s="173">
        <v>0.17427999999999999</v>
      </c>
      <c r="T115" s="30">
        <v>10.5</v>
      </c>
      <c r="U115" s="172">
        <v>241</v>
      </c>
      <c r="V115" s="173">
        <v>5.7380000000000004</v>
      </c>
      <c r="X115" s="30">
        <v>10.5</v>
      </c>
      <c r="Y115" s="34">
        <v>3.7048000000000001</v>
      </c>
      <c r="Z115" s="35">
        <v>0.15559999999999999</v>
      </c>
      <c r="AA115" s="36"/>
      <c r="AB115" s="30">
        <v>10.5</v>
      </c>
      <c r="AC115" s="44">
        <v>269.92</v>
      </c>
      <c r="AD115" s="35">
        <v>6.4269999999999996</v>
      </c>
      <c r="AE115" s="36"/>
      <c r="AF115" s="30">
        <v>10.5</v>
      </c>
      <c r="AG115" s="34">
        <v>3.7643</v>
      </c>
      <c r="AH115" s="35">
        <v>0.15809999999999999</v>
      </c>
      <c r="AI115" s="35"/>
      <c r="AJ115" s="35">
        <v>0.10892</v>
      </c>
      <c r="AK115" s="998">
        <v>74.5</v>
      </c>
      <c r="AM115" s="30">
        <v>10.5</v>
      </c>
      <c r="AN115" s="34">
        <v>0.91190000000000004</v>
      </c>
      <c r="AO115" s="35">
        <v>1.0214000000000001</v>
      </c>
      <c r="AQ115" s="197">
        <v>0.755</v>
      </c>
      <c r="AR115" s="200">
        <v>55.92</v>
      </c>
      <c r="AS115" s="199">
        <v>754.8</v>
      </c>
      <c r="AZ115" s="197">
        <v>0.755</v>
      </c>
      <c r="BA115" s="198">
        <v>6.2853000000000003</v>
      </c>
      <c r="BB115" s="199">
        <v>0.15909999999999999</v>
      </c>
      <c r="BD115" s="197">
        <v>0.755</v>
      </c>
      <c r="BE115" s="198">
        <v>3.1427</v>
      </c>
      <c r="BF115" s="199">
        <v>0.13199</v>
      </c>
      <c r="BH115" s="197">
        <v>0.755</v>
      </c>
      <c r="BI115" s="198">
        <v>318.2</v>
      </c>
      <c r="BJ115" s="199">
        <v>7.5759999999999996</v>
      </c>
      <c r="BL115" s="197">
        <v>0.755</v>
      </c>
      <c r="BM115" s="198">
        <v>2.8058999999999998</v>
      </c>
      <c r="BN115" s="199">
        <v>0.11785</v>
      </c>
      <c r="BP115" s="197">
        <v>0.755</v>
      </c>
      <c r="BQ115" s="200">
        <v>356.39</v>
      </c>
      <c r="BR115" s="199">
        <v>8.4849999999999994</v>
      </c>
      <c r="BT115" s="197">
        <v>0.755</v>
      </c>
      <c r="BU115" s="201">
        <v>1.2037</v>
      </c>
      <c r="BV115" s="202">
        <v>1.3482000000000001</v>
      </c>
      <c r="BX115" s="37">
        <v>755</v>
      </c>
      <c r="BY115" s="38">
        <v>0.75519999999999998</v>
      </c>
      <c r="BZ115" s="39">
        <v>55.86</v>
      </c>
      <c r="CA115" s="33"/>
      <c r="CB115" s="37">
        <v>755</v>
      </c>
      <c r="CC115" s="38">
        <v>0.15887999999999999</v>
      </c>
      <c r="CD115" s="42">
        <v>6.2939999999999996</v>
      </c>
      <c r="CE115" s="33"/>
      <c r="CF115" s="33"/>
      <c r="CG115" s="33"/>
      <c r="CH115" s="33"/>
      <c r="CI115" s="33"/>
      <c r="CJ115" s="33"/>
      <c r="CK115" s="33"/>
      <c r="CL115" s="40">
        <v>755</v>
      </c>
      <c r="CM115" s="43">
        <v>753.9</v>
      </c>
      <c r="CN115" s="41">
        <v>1.3264</v>
      </c>
      <c r="CO115" s="33"/>
      <c r="CP115" s="40">
        <v>755</v>
      </c>
      <c r="CQ115" s="34">
        <v>0.83099999999999996</v>
      </c>
      <c r="CR115" s="41">
        <v>0.74199999999999999</v>
      </c>
      <c r="CS115" s="33"/>
      <c r="CT115" s="40">
        <v>755</v>
      </c>
      <c r="CU115" s="44">
        <v>350.64</v>
      </c>
      <c r="CV115" s="42">
        <v>8.3490000000000002</v>
      </c>
    </row>
    <row r="116" spans="4:100">
      <c r="D116" s="30">
        <v>10.6</v>
      </c>
      <c r="E116" s="31">
        <v>0.99580000000000002</v>
      </c>
      <c r="F116" s="32">
        <v>995.2</v>
      </c>
      <c r="G116" s="33"/>
      <c r="H116" s="30">
        <v>10.6</v>
      </c>
      <c r="I116" s="34">
        <v>3.7839999999999998</v>
      </c>
      <c r="J116" s="35">
        <v>0.15892999999999999</v>
      </c>
      <c r="L116" s="30">
        <v>10.6</v>
      </c>
      <c r="M116" s="172">
        <v>8.2929999999999993</v>
      </c>
      <c r="N116" s="173">
        <v>0.12058000000000001</v>
      </c>
      <c r="P116" s="30">
        <v>10.6</v>
      </c>
      <c r="Q116" s="172">
        <v>4.1464999999999996</v>
      </c>
      <c r="R116" s="173">
        <v>0.17415</v>
      </c>
      <c r="T116" s="30">
        <v>10.6</v>
      </c>
      <c r="U116" s="172">
        <v>241.17</v>
      </c>
      <c r="V116" s="173">
        <v>5.742</v>
      </c>
      <c r="X116" s="30">
        <v>10.6</v>
      </c>
      <c r="Y116" s="34">
        <v>3.7021999999999999</v>
      </c>
      <c r="Z116" s="35">
        <v>0.15548999999999999</v>
      </c>
      <c r="AA116" s="36"/>
      <c r="AB116" s="30">
        <v>10.6</v>
      </c>
      <c r="AC116" s="44">
        <v>270.11</v>
      </c>
      <c r="AD116" s="35">
        <v>6.431</v>
      </c>
      <c r="AE116" s="36"/>
      <c r="AF116" s="30">
        <v>10.6</v>
      </c>
      <c r="AG116" s="34">
        <v>3.7616000000000001</v>
      </c>
      <c r="AH116" s="35">
        <v>0.15798999999999999</v>
      </c>
      <c r="AI116" s="35"/>
      <c r="AJ116" s="35">
        <v>0.10897</v>
      </c>
      <c r="AK116" s="998">
        <v>74.400000000000006</v>
      </c>
      <c r="AM116" s="30">
        <v>10.6</v>
      </c>
      <c r="AN116" s="34">
        <v>0.91259999999999997</v>
      </c>
      <c r="AO116" s="35">
        <v>1.0221</v>
      </c>
      <c r="AQ116" s="197">
        <v>0.75600000000000001</v>
      </c>
      <c r="AR116" s="200">
        <v>55.67</v>
      </c>
      <c r="AS116" s="199">
        <v>755.8</v>
      </c>
      <c r="AZ116" s="197">
        <v>0.75600000000000001</v>
      </c>
      <c r="BA116" s="198">
        <v>6.2935999999999996</v>
      </c>
      <c r="BB116" s="199">
        <v>0.15889</v>
      </c>
      <c r="BD116" s="197">
        <v>0.75600000000000001</v>
      </c>
      <c r="BE116" s="198">
        <v>3.1467999999999998</v>
      </c>
      <c r="BF116" s="199">
        <v>0.13217000000000001</v>
      </c>
      <c r="BH116" s="197">
        <v>0.75600000000000001</v>
      </c>
      <c r="BI116" s="198">
        <v>317.77999999999997</v>
      </c>
      <c r="BJ116" s="199">
        <v>7.5659999999999998</v>
      </c>
      <c r="BL116" s="197">
        <v>0.75600000000000001</v>
      </c>
      <c r="BM116" s="198">
        <v>2.8096999999999999</v>
      </c>
      <c r="BN116" s="199">
        <v>0.11801</v>
      </c>
      <c r="BP116" s="197">
        <v>0.75600000000000001</v>
      </c>
      <c r="BQ116" s="200">
        <v>355.91</v>
      </c>
      <c r="BR116" s="199">
        <v>8.4740000000000002</v>
      </c>
      <c r="BT116" s="197">
        <v>0.75600000000000001</v>
      </c>
      <c r="BU116" s="201">
        <v>1.2020999999999999</v>
      </c>
      <c r="BV116" s="202">
        <v>1.3464</v>
      </c>
      <c r="BX116" s="37">
        <v>756</v>
      </c>
      <c r="BY116" s="38">
        <v>0.75619999999999998</v>
      </c>
      <c r="BZ116" s="39">
        <v>55.61</v>
      </c>
      <c r="CA116" s="33"/>
      <c r="CB116" s="37">
        <v>756</v>
      </c>
      <c r="CC116" s="38">
        <v>0.15887999999999999</v>
      </c>
      <c r="CD116" s="42">
        <v>6.2939999999999996</v>
      </c>
      <c r="CE116" s="33"/>
      <c r="CF116" s="33"/>
      <c r="CG116" s="33"/>
      <c r="CH116" s="33"/>
      <c r="CI116" s="33"/>
      <c r="CJ116" s="33"/>
      <c r="CK116" s="33"/>
      <c r="CL116" s="40">
        <v>756</v>
      </c>
      <c r="CM116" s="43">
        <v>754.9</v>
      </c>
      <c r="CN116" s="41">
        <v>1.3247</v>
      </c>
      <c r="CO116" s="33"/>
      <c r="CP116" s="40">
        <v>756</v>
      </c>
      <c r="CQ116" s="34">
        <v>0.83209999999999995</v>
      </c>
      <c r="CR116" s="41">
        <v>0.74299999999999999</v>
      </c>
      <c r="CS116" s="33"/>
      <c r="CT116" s="40">
        <v>756</v>
      </c>
      <c r="CU116" s="44">
        <v>350.18</v>
      </c>
      <c r="CV116" s="42">
        <v>8.3379999999999992</v>
      </c>
    </row>
    <row r="117" spans="4:100">
      <c r="D117" s="30">
        <v>10.7</v>
      </c>
      <c r="E117" s="31">
        <v>0.99509999999999998</v>
      </c>
      <c r="F117" s="32">
        <v>994.5</v>
      </c>
      <c r="G117" s="33"/>
      <c r="H117" s="30">
        <v>10.7</v>
      </c>
      <c r="I117" s="34">
        <v>3.7839999999999998</v>
      </c>
      <c r="J117" s="35">
        <v>0.15892999999999999</v>
      </c>
      <c r="L117" s="30">
        <v>10.7</v>
      </c>
      <c r="M117" s="172">
        <v>8.2870000000000008</v>
      </c>
      <c r="N117" s="173">
        <v>0.12067</v>
      </c>
      <c r="P117" s="30">
        <v>10.7</v>
      </c>
      <c r="Q117" s="172">
        <v>4.1436000000000002</v>
      </c>
      <c r="R117" s="173">
        <v>0.17402999999999999</v>
      </c>
      <c r="T117" s="30">
        <v>10.7</v>
      </c>
      <c r="U117" s="172">
        <v>241.34</v>
      </c>
      <c r="V117" s="173">
        <v>5.7460000000000004</v>
      </c>
      <c r="X117" s="30">
        <v>10.7</v>
      </c>
      <c r="Y117" s="34">
        <v>3.6996000000000002</v>
      </c>
      <c r="Z117" s="35">
        <v>0.15537999999999999</v>
      </c>
      <c r="AA117" s="36"/>
      <c r="AB117" s="30">
        <v>10.7</v>
      </c>
      <c r="AC117" s="44">
        <v>270.3</v>
      </c>
      <c r="AD117" s="35">
        <v>6.4359999999999999</v>
      </c>
      <c r="AE117" s="36"/>
      <c r="AF117" s="30">
        <v>10.7</v>
      </c>
      <c r="AG117" s="34">
        <v>3.7589999999999999</v>
      </c>
      <c r="AH117" s="35">
        <v>0.15787999999999999</v>
      </c>
      <c r="AI117" s="35"/>
      <c r="AJ117" s="35">
        <v>0.10903</v>
      </c>
      <c r="AK117" s="998">
        <v>74.3</v>
      </c>
      <c r="AM117" s="30">
        <v>10.7</v>
      </c>
      <c r="AN117" s="34">
        <v>0.91320000000000001</v>
      </c>
      <c r="AO117" s="35">
        <v>1.0227999999999999</v>
      </c>
      <c r="AQ117" s="197">
        <v>0.75700000000000001</v>
      </c>
      <c r="AR117" s="200">
        <v>55.42</v>
      </c>
      <c r="AS117" s="199">
        <v>756.8</v>
      </c>
      <c r="AZ117" s="197">
        <v>0.75700000000000001</v>
      </c>
      <c r="BA117" s="198">
        <v>6.3019999999999996</v>
      </c>
      <c r="BB117" s="199">
        <v>0.15867999999999999</v>
      </c>
      <c r="BD117" s="197">
        <v>0.75700000000000001</v>
      </c>
      <c r="BE117" s="198">
        <v>3.1509999999999998</v>
      </c>
      <c r="BF117" s="199">
        <v>0.13234000000000001</v>
      </c>
      <c r="BH117" s="197">
        <v>0.75700000000000001</v>
      </c>
      <c r="BI117" s="198">
        <v>317.36</v>
      </c>
      <c r="BJ117" s="199">
        <v>7.556</v>
      </c>
      <c r="BL117" s="197">
        <v>0.75700000000000001</v>
      </c>
      <c r="BM117" s="198">
        <v>2.8134000000000001</v>
      </c>
      <c r="BN117" s="199">
        <v>0.11816</v>
      </c>
      <c r="BP117" s="197">
        <v>0.75700000000000001</v>
      </c>
      <c r="BQ117" s="200">
        <v>355.44</v>
      </c>
      <c r="BR117" s="199">
        <v>8.4629999999999992</v>
      </c>
      <c r="BT117" s="197">
        <v>0.75700000000000001</v>
      </c>
      <c r="BU117" s="201">
        <v>1.2004999999999999</v>
      </c>
      <c r="BV117" s="202">
        <v>1.3446</v>
      </c>
      <c r="BX117" s="37">
        <v>757</v>
      </c>
      <c r="BY117" s="38">
        <v>0.75729999999999997</v>
      </c>
      <c r="BZ117" s="39">
        <v>55.36</v>
      </c>
      <c r="CA117" s="33"/>
      <c r="CB117" s="37">
        <v>757</v>
      </c>
      <c r="CC117" s="38">
        <v>0.15887999999999999</v>
      </c>
      <c r="CD117" s="42">
        <v>6.2939999999999996</v>
      </c>
      <c r="CE117" s="33"/>
      <c r="CF117" s="33"/>
      <c r="CG117" s="33"/>
      <c r="CH117" s="33"/>
      <c r="CI117" s="33"/>
      <c r="CJ117" s="33"/>
      <c r="CK117" s="33"/>
      <c r="CL117" s="40">
        <v>757</v>
      </c>
      <c r="CM117" s="43">
        <v>755.9</v>
      </c>
      <c r="CN117" s="41">
        <v>1.3229</v>
      </c>
      <c r="CO117" s="33"/>
      <c r="CP117" s="40">
        <v>757</v>
      </c>
      <c r="CQ117" s="34">
        <v>0.83320000000000005</v>
      </c>
      <c r="CR117" s="41">
        <v>0.74399999999999999</v>
      </c>
      <c r="CS117" s="33"/>
      <c r="CT117" s="40">
        <v>757</v>
      </c>
      <c r="CU117" s="44">
        <v>349.71</v>
      </c>
      <c r="CV117" s="42">
        <v>8.3260000000000005</v>
      </c>
    </row>
    <row r="118" spans="4:100">
      <c r="D118" s="30">
        <v>10.8</v>
      </c>
      <c r="E118" s="31">
        <v>0.99439999999999995</v>
      </c>
      <c r="F118" s="32">
        <v>993.8</v>
      </c>
      <c r="G118" s="33"/>
      <c r="H118" s="30">
        <v>10.8</v>
      </c>
      <c r="I118" s="34">
        <v>3.7839999999999998</v>
      </c>
      <c r="J118" s="35">
        <v>0.15892999999999999</v>
      </c>
      <c r="L118" s="30">
        <v>10.8</v>
      </c>
      <c r="M118" s="172">
        <v>8.2810000000000006</v>
      </c>
      <c r="N118" s="173">
        <v>0.12075</v>
      </c>
      <c r="P118" s="30">
        <v>10.8</v>
      </c>
      <c r="Q118" s="172">
        <v>4.1406999999999998</v>
      </c>
      <c r="R118" s="173">
        <v>0.17391000000000001</v>
      </c>
      <c r="T118" s="30">
        <v>10.8</v>
      </c>
      <c r="U118" s="172">
        <v>241.51</v>
      </c>
      <c r="V118" s="173">
        <v>5.7499999999999902</v>
      </c>
      <c r="X118" s="30">
        <v>10.8</v>
      </c>
      <c r="Y118" s="34">
        <v>3.6970000000000001</v>
      </c>
      <c r="Z118" s="35">
        <v>0.15526999999999999</v>
      </c>
      <c r="AA118" s="36"/>
      <c r="AB118" s="30">
        <v>10.8</v>
      </c>
      <c r="AC118" s="44">
        <v>270.49</v>
      </c>
      <c r="AD118" s="35">
        <v>6.44</v>
      </c>
      <c r="AE118" s="36"/>
      <c r="AF118" s="30">
        <v>10.8</v>
      </c>
      <c r="AG118" s="34">
        <v>3.7563</v>
      </c>
      <c r="AH118" s="35">
        <v>0.15776999999999999</v>
      </c>
      <c r="AI118" s="35"/>
      <c r="AJ118" s="35">
        <v>0.10908</v>
      </c>
      <c r="AK118" s="998">
        <v>74.2</v>
      </c>
      <c r="AM118" s="30">
        <v>10.8</v>
      </c>
      <c r="AN118" s="34">
        <v>0.91390000000000005</v>
      </c>
      <c r="AO118" s="35">
        <v>1.0235000000000001</v>
      </c>
      <c r="AQ118" s="197">
        <v>0.75800000000000001</v>
      </c>
      <c r="AR118" s="200">
        <v>55.18</v>
      </c>
      <c r="AS118" s="199">
        <v>757.7</v>
      </c>
      <c r="AZ118" s="197">
        <v>0.75800000000000001</v>
      </c>
      <c r="BA118" s="198">
        <v>6.3102999999999998</v>
      </c>
      <c r="BB118" s="199">
        <v>0.15847</v>
      </c>
      <c r="BD118" s="197">
        <v>0.75800000000000001</v>
      </c>
      <c r="BE118" s="198">
        <v>3.1551999999999998</v>
      </c>
      <c r="BF118" s="199">
        <v>0.13252</v>
      </c>
      <c r="BH118" s="197">
        <v>0.75800000000000001</v>
      </c>
      <c r="BI118" s="198">
        <v>316.94</v>
      </c>
      <c r="BJ118" s="199">
        <v>7.5460000000000003</v>
      </c>
      <c r="BL118" s="197">
        <v>0.75800000000000001</v>
      </c>
      <c r="BM118" s="198">
        <v>2.8170999999999999</v>
      </c>
      <c r="BN118" s="199">
        <v>0.11831999999999999</v>
      </c>
      <c r="BP118" s="197">
        <v>0.75800000000000001</v>
      </c>
      <c r="BQ118" s="200">
        <v>354.97</v>
      </c>
      <c r="BR118" s="199">
        <v>8.452</v>
      </c>
      <c r="BT118" s="197">
        <v>0.75800000000000001</v>
      </c>
      <c r="BU118" s="201">
        <v>1.1990000000000001</v>
      </c>
      <c r="BV118" s="202">
        <v>1.3428</v>
      </c>
      <c r="BX118" s="37">
        <v>758</v>
      </c>
      <c r="BY118" s="38">
        <v>0.75829999999999997</v>
      </c>
      <c r="BZ118" s="39">
        <v>55.11</v>
      </c>
      <c r="CA118" s="33"/>
      <c r="CB118" s="37">
        <v>758</v>
      </c>
      <c r="CC118" s="38">
        <v>0.15887999999999999</v>
      </c>
      <c r="CD118" s="42">
        <v>6.2939999999999996</v>
      </c>
      <c r="CE118" s="33"/>
      <c r="CF118" s="33"/>
      <c r="CG118" s="33"/>
      <c r="CH118" s="33"/>
      <c r="CI118" s="33"/>
      <c r="CJ118" s="33"/>
      <c r="CK118" s="33"/>
      <c r="CL118" s="40">
        <v>758</v>
      </c>
      <c r="CM118" s="43">
        <v>756.9</v>
      </c>
      <c r="CN118" s="41">
        <v>1.3211999999999999</v>
      </c>
      <c r="CO118" s="33"/>
      <c r="CP118" s="40">
        <v>758</v>
      </c>
      <c r="CQ118" s="34">
        <v>0.83430000000000004</v>
      </c>
      <c r="CR118" s="41">
        <v>0.74490000000000001</v>
      </c>
      <c r="CS118" s="33"/>
      <c r="CT118" s="40">
        <v>758</v>
      </c>
      <c r="CU118" s="44">
        <v>349.25</v>
      </c>
      <c r="CV118" s="42">
        <v>8.3149999999999995</v>
      </c>
    </row>
    <row r="119" spans="4:100">
      <c r="D119" s="30">
        <v>10.9</v>
      </c>
      <c r="E119" s="31">
        <v>0.99370000000000003</v>
      </c>
      <c r="F119" s="32">
        <v>993.1</v>
      </c>
      <c r="G119" s="33"/>
      <c r="H119" s="30">
        <v>10.9</v>
      </c>
      <c r="I119" s="34">
        <v>3.7839999999999998</v>
      </c>
      <c r="J119" s="35">
        <v>0.15892999999999999</v>
      </c>
      <c r="L119" s="30">
        <v>10.9</v>
      </c>
      <c r="M119" s="172">
        <v>8.2759999999999998</v>
      </c>
      <c r="N119" s="173">
        <v>0.12084</v>
      </c>
      <c r="P119" s="30">
        <v>10.9</v>
      </c>
      <c r="Q119" s="172">
        <v>4.1378000000000004</v>
      </c>
      <c r="R119" s="173">
        <v>0.17379</v>
      </c>
      <c r="T119" s="30">
        <v>10.9</v>
      </c>
      <c r="U119" s="172">
        <v>241.68</v>
      </c>
      <c r="V119" s="173">
        <v>5.7539999999999898</v>
      </c>
      <c r="X119" s="30">
        <v>10.9</v>
      </c>
      <c r="Y119" s="34">
        <v>3.6943999999999999</v>
      </c>
      <c r="Z119" s="35">
        <v>0.15517</v>
      </c>
      <c r="AA119" s="36"/>
      <c r="AB119" s="30">
        <v>10.9</v>
      </c>
      <c r="AC119" s="44">
        <v>270.68</v>
      </c>
      <c r="AD119" s="35">
        <v>6.4450000000000003</v>
      </c>
      <c r="AE119" s="36"/>
      <c r="AF119" s="30">
        <v>10.9</v>
      </c>
      <c r="AG119" s="34">
        <v>3.7536999999999998</v>
      </c>
      <c r="AH119" s="35">
        <v>0.15765999999999999</v>
      </c>
      <c r="AI119" s="35"/>
      <c r="AJ119" s="35">
        <v>0.10913</v>
      </c>
      <c r="AK119" s="998">
        <v>74.099999999999994</v>
      </c>
      <c r="AM119" s="30">
        <v>10.9</v>
      </c>
      <c r="AN119" s="34">
        <v>0.91449999999999998</v>
      </c>
      <c r="AO119" s="35">
        <v>1.0242</v>
      </c>
      <c r="AQ119" s="197">
        <v>0.75900000000000001</v>
      </c>
      <c r="AR119" s="200">
        <v>54.93</v>
      </c>
      <c r="AS119" s="199">
        <v>758.7</v>
      </c>
      <c r="AZ119" s="197">
        <v>0.75900000000000001</v>
      </c>
      <c r="BA119" s="198">
        <v>6.3186999999999998</v>
      </c>
      <c r="BB119" s="199">
        <v>0.15826000000000001</v>
      </c>
      <c r="BD119" s="197">
        <v>0.75900000000000001</v>
      </c>
      <c r="BE119" s="198">
        <v>3.1593</v>
      </c>
      <c r="BF119" s="199">
        <v>0.13269</v>
      </c>
      <c r="BH119" s="197">
        <v>0.75900000000000001</v>
      </c>
      <c r="BI119" s="198">
        <v>316.52</v>
      </c>
      <c r="BJ119" s="199">
        <v>7.5359999999999996</v>
      </c>
      <c r="BL119" s="197">
        <v>0.75900000000000001</v>
      </c>
      <c r="BM119" s="198">
        <v>2.8208000000000002</v>
      </c>
      <c r="BN119" s="199">
        <v>0.11847000000000001</v>
      </c>
      <c r="BP119" s="197">
        <v>0.75900000000000001</v>
      </c>
      <c r="BQ119" s="200">
        <v>354.51</v>
      </c>
      <c r="BR119" s="199">
        <v>8.4410000000000007</v>
      </c>
      <c r="BT119" s="197">
        <v>0.75900000000000001</v>
      </c>
      <c r="BU119" s="201">
        <v>1.1974</v>
      </c>
      <c r="BV119" s="202">
        <v>1.3411</v>
      </c>
      <c r="BX119" s="37">
        <v>759</v>
      </c>
      <c r="BY119" s="38">
        <v>0.75929999999999997</v>
      </c>
      <c r="BZ119" s="39">
        <v>54.87</v>
      </c>
      <c r="CA119" s="33"/>
      <c r="CB119" s="37">
        <v>759</v>
      </c>
      <c r="CC119" s="38">
        <v>0.15887999999999999</v>
      </c>
      <c r="CD119" s="42">
        <v>6.2939999999999996</v>
      </c>
      <c r="CE119" s="33"/>
      <c r="CF119" s="33"/>
      <c r="CG119" s="33"/>
      <c r="CH119" s="33"/>
      <c r="CI119" s="33"/>
      <c r="CJ119" s="33"/>
      <c r="CK119" s="33"/>
      <c r="CL119" s="40">
        <v>759</v>
      </c>
      <c r="CM119" s="43">
        <v>757.9</v>
      </c>
      <c r="CN119" s="41">
        <v>1.3193999999999999</v>
      </c>
      <c r="CO119" s="33"/>
      <c r="CP119" s="40">
        <v>759</v>
      </c>
      <c r="CQ119" s="34">
        <v>0.83540000000000003</v>
      </c>
      <c r="CR119" s="41">
        <v>0.74590000000000001</v>
      </c>
      <c r="CS119" s="33"/>
      <c r="CT119" s="40">
        <v>759</v>
      </c>
      <c r="CU119" s="44">
        <v>348.79</v>
      </c>
      <c r="CV119" s="42">
        <v>8.3040000000000003</v>
      </c>
    </row>
    <row r="120" spans="4:100">
      <c r="D120" s="30">
        <v>11</v>
      </c>
      <c r="E120" s="31">
        <v>0.99299999999999999</v>
      </c>
      <c r="F120" s="32">
        <v>992.4</v>
      </c>
      <c r="G120" s="33"/>
      <c r="H120" s="30">
        <v>11</v>
      </c>
      <c r="I120" s="34">
        <v>3.7839999999999998</v>
      </c>
      <c r="J120" s="35">
        <v>0.15892999999999999</v>
      </c>
      <c r="L120" s="30">
        <v>11</v>
      </c>
      <c r="M120" s="172">
        <v>8.27</v>
      </c>
      <c r="N120" s="173">
        <v>0.12092</v>
      </c>
      <c r="P120" s="30">
        <v>11</v>
      </c>
      <c r="Q120" s="172">
        <v>4.1348000000000003</v>
      </c>
      <c r="R120" s="173">
        <v>0.17366000000000001</v>
      </c>
      <c r="T120" s="30">
        <v>11</v>
      </c>
      <c r="U120" s="172">
        <v>241.85</v>
      </c>
      <c r="V120" s="173">
        <v>5.7579999999999698</v>
      </c>
      <c r="X120" s="30">
        <v>11</v>
      </c>
      <c r="Y120" s="34">
        <v>3.6918000000000002</v>
      </c>
      <c r="Z120" s="35">
        <v>0.15506</v>
      </c>
      <c r="AA120" s="36"/>
      <c r="AB120" s="30">
        <v>11</v>
      </c>
      <c r="AC120" s="44">
        <v>270.87</v>
      </c>
      <c r="AD120" s="35">
        <v>6.4489999999999998</v>
      </c>
      <c r="AE120" s="36"/>
      <c r="AF120" s="30">
        <v>11</v>
      </c>
      <c r="AG120" s="34">
        <v>3.7511000000000001</v>
      </c>
      <c r="AH120" s="35">
        <v>0.15754000000000001</v>
      </c>
      <c r="AI120" s="35"/>
      <c r="AJ120" s="35">
        <v>0.10919</v>
      </c>
      <c r="AK120" s="998">
        <v>74</v>
      </c>
      <c r="AM120" s="30">
        <v>11</v>
      </c>
      <c r="AN120" s="34">
        <v>0.91510000000000002</v>
      </c>
      <c r="AO120" s="35">
        <v>1.0249999999999999</v>
      </c>
      <c r="AQ120" s="197">
        <v>0.76</v>
      </c>
      <c r="AR120" s="200">
        <v>54.68</v>
      </c>
      <c r="AS120" s="199">
        <v>759.7</v>
      </c>
      <c r="AZ120" s="197">
        <v>0.76</v>
      </c>
      <c r="BA120" s="198">
        <v>6.327</v>
      </c>
      <c r="BB120" s="199">
        <v>0.15805</v>
      </c>
      <c r="BD120" s="197">
        <v>0.76</v>
      </c>
      <c r="BE120" s="198">
        <v>3.1635</v>
      </c>
      <c r="BF120" s="199">
        <v>0.13286999999999999</v>
      </c>
      <c r="BH120" s="197">
        <v>0.76</v>
      </c>
      <c r="BI120" s="198">
        <v>316.11</v>
      </c>
      <c r="BJ120" s="199">
        <v>7.5259999999999998</v>
      </c>
      <c r="BL120" s="197">
        <v>0.76</v>
      </c>
      <c r="BM120" s="198">
        <v>2.8246000000000002</v>
      </c>
      <c r="BN120" s="199">
        <v>0.11863</v>
      </c>
      <c r="BP120" s="197">
        <v>0.76</v>
      </c>
      <c r="BQ120" s="200">
        <v>354.04</v>
      </c>
      <c r="BR120" s="199">
        <v>8.4290000000000003</v>
      </c>
      <c r="BT120" s="197">
        <v>0.76</v>
      </c>
      <c r="BU120" s="201">
        <v>1.1958</v>
      </c>
      <c r="BV120" s="202">
        <v>1.3392999999999999</v>
      </c>
      <c r="BX120" s="37">
        <v>760</v>
      </c>
      <c r="BY120" s="38">
        <v>0.76029999999999998</v>
      </c>
      <c r="BZ120" s="39">
        <v>54.62</v>
      </c>
      <c r="CA120" s="33"/>
      <c r="CB120" s="37">
        <v>760</v>
      </c>
      <c r="CC120" s="38">
        <v>0.15887999999999999</v>
      </c>
      <c r="CD120" s="42">
        <v>6.2939999999999996</v>
      </c>
      <c r="CE120" s="33"/>
      <c r="CF120" s="33"/>
      <c r="CG120" s="33"/>
      <c r="CH120" s="33"/>
      <c r="CI120" s="33"/>
      <c r="CJ120" s="33"/>
      <c r="CK120" s="33"/>
      <c r="CL120" s="40">
        <v>760</v>
      </c>
      <c r="CM120" s="43">
        <v>758.9</v>
      </c>
      <c r="CN120" s="41">
        <v>1.3177000000000001</v>
      </c>
      <c r="CO120" s="33"/>
      <c r="CP120" s="40">
        <v>760</v>
      </c>
      <c r="CQ120" s="34">
        <v>0.83650000000000002</v>
      </c>
      <c r="CR120" s="41">
        <v>0.74690000000000001</v>
      </c>
      <c r="CS120" s="33"/>
      <c r="CT120" s="40">
        <v>760</v>
      </c>
      <c r="CU120" s="44">
        <v>348.33</v>
      </c>
      <c r="CV120" s="42">
        <v>8.2940000000000005</v>
      </c>
    </row>
    <row r="121" spans="4:100">
      <c r="D121" s="30">
        <v>11.1</v>
      </c>
      <c r="E121" s="31">
        <v>0.99229999999999996</v>
      </c>
      <c r="F121" s="32">
        <v>991.7</v>
      </c>
      <c r="G121" s="33"/>
      <c r="H121" s="30">
        <v>11.1</v>
      </c>
      <c r="I121" s="34">
        <v>3.7839999999999998</v>
      </c>
      <c r="J121" s="35">
        <v>0.15892999999999999</v>
      </c>
      <c r="L121" s="30">
        <v>11.1</v>
      </c>
      <c r="M121" s="172">
        <v>8.2639999999999993</v>
      </c>
      <c r="N121" s="173">
        <v>0.12101000000000001</v>
      </c>
      <c r="P121" s="30">
        <v>11.1</v>
      </c>
      <c r="Q121" s="172">
        <v>4.1318999999999999</v>
      </c>
      <c r="R121" s="173">
        <v>0.17354</v>
      </c>
      <c r="T121" s="30">
        <v>11.1</v>
      </c>
      <c r="U121" s="172">
        <v>242.02</v>
      </c>
      <c r="V121" s="173">
        <v>5.7619999999999596</v>
      </c>
      <c r="X121" s="30">
        <v>11.1</v>
      </c>
      <c r="Y121" s="34">
        <v>3.6892</v>
      </c>
      <c r="Z121" s="35">
        <v>0.15495</v>
      </c>
      <c r="AA121" s="36"/>
      <c r="AB121" s="30">
        <v>11.1</v>
      </c>
      <c r="AC121" s="44">
        <v>271.06</v>
      </c>
      <c r="AD121" s="35">
        <v>6.4539999999999997</v>
      </c>
      <c r="AE121" s="36"/>
      <c r="AF121" s="30">
        <v>11.1</v>
      </c>
      <c r="AG121" s="34">
        <v>3.7484000000000002</v>
      </c>
      <c r="AH121" s="35">
        <v>0.15742999999999999</v>
      </c>
      <c r="AI121" s="35"/>
      <c r="AJ121" s="35">
        <v>0.10924</v>
      </c>
      <c r="AK121" s="998">
        <v>73.900000000000006</v>
      </c>
      <c r="AM121" s="30">
        <v>11.1</v>
      </c>
      <c r="AN121" s="34">
        <v>0.91579999999999995</v>
      </c>
      <c r="AO121" s="35">
        <v>1.0257000000000001</v>
      </c>
      <c r="AQ121" s="197">
        <v>0.76100000000000001</v>
      </c>
      <c r="AR121" s="200">
        <v>54.44</v>
      </c>
      <c r="AS121" s="199">
        <v>760.7</v>
      </c>
      <c r="AZ121" s="197">
        <v>0.76100000000000001</v>
      </c>
      <c r="BA121" s="198">
        <v>6.3353000000000002</v>
      </c>
      <c r="BB121" s="199">
        <v>0.15784000000000001</v>
      </c>
      <c r="BD121" s="197">
        <v>0.76100000000000001</v>
      </c>
      <c r="BE121" s="198">
        <v>3.1677</v>
      </c>
      <c r="BF121" s="199">
        <v>0.13303999999999999</v>
      </c>
      <c r="BH121" s="197">
        <v>0.76100000000000001</v>
      </c>
      <c r="BI121" s="198">
        <v>315.69</v>
      </c>
      <c r="BJ121" s="199">
        <v>7.516</v>
      </c>
      <c r="BL121" s="197">
        <v>0.76100000000000001</v>
      </c>
      <c r="BM121" s="198">
        <v>2.8283</v>
      </c>
      <c r="BN121" s="199">
        <v>0.11879000000000001</v>
      </c>
      <c r="BP121" s="197">
        <v>0.76100000000000001</v>
      </c>
      <c r="BQ121" s="200">
        <v>353.57</v>
      </c>
      <c r="BR121" s="199">
        <v>8.4179999999999993</v>
      </c>
      <c r="BT121" s="197">
        <v>0.76100000000000001</v>
      </c>
      <c r="BU121" s="201">
        <v>1.1941999999999999</v>
      </c>
      <c r="BV121" s="202">
        <v>1.3374999999999999</v>
      </c>
      <c r="BX121" s="37">
        <v>761</v>
      </c>
      <c r="BY121" s="38">
        <v>0.76129999999999998</v>
      </c>
      <c r="BZ121" s="39">
        <v>54.38</v>
      </c>
      <c r="CA121" s="33"/>
      <c r="CB121" s="37">
        <v>761</v>
      </c>
      <c r="CC121" s="38">
        <v>0.15887999999999999</v>
      </c>
      <c r="CD121" s="42">
        <v>6.2939999999999996</v>
      </c>
      <c r="CE121" s="33"/>
      <c r="CF121" s="33"/>
      <c r="CG121" s="33"/>
      <c r="CH121" s="33"/>
      <c r="CI121" s="33"/>
      <c r="CJ121" s="33"/>
      <c r="CK121" s="33"/>
      <c r="CL121" s="40">
        <v>761</v>
      </c>
      <c r="CM121" s="43">
        <v>759.9</v>
      </c>
      <c r="CN121" s="41">
        <v>1.3160000000000001</v>
      </c>
      <c r="CO121" s="33"/>
      <c r="CP121" s="40">
        <v>761</v>
      </c>
      <c r="CQ121" s="34">
        <v>0.83760000000000001</v>
      </c>
      <c r="CR121" s="41">
        <v>0.74790000000000001</v>
      </c>
      <c r="CS121" s="33"/>
      <c r="CT121" s="40">
        <v>761</v>
      </c>
      <c r="CU121" s="44">
        <v>347.87</v>
      </c>
      <c r="CV121" s="42">
        <v>8.2829999999999995</v>
      </c>
    </row>
    <row r="122" spans="4:100">
      <c r="D122" s="30">
        <v>11.2</v>
      </c>
      <c r="E122" s="31">
        <v>0.99160000000000004</v>
      </c>
      <c r="F122" s="32">
        <v>991</v>
      </c>
      <c r="G122" s="33"/>
      <c r="H122" s="30">
        <v>11.2</v>
      </c>
      <c r="I122" s="34">
        <v>3.7839999999999998</v>
      </c>
      <c r="J122" s="35">
        <v>0.15892999999999999</v>
      </c>
      <c r="L122" s="30">
        <v>11.2</v>
      </c>
      <c r="M122" s="172">
        <v>8.2579999999999991</v>
      </c>
      <c r="N122" s="173">
        <v>0.12109</v>
      </c>
      <c r="P122" s="30">
        <v>11.2</v>
      </c>
      <c r="Q122" s="172">
        <v>4.1289999999999996</v>
      </c>
      <c r="R122" s="173">
        <v>0.17341999999999999</v>
      </c>
      <c r="T122" s="30">
        <v>11.2</v>
      </c>
      <c r="U122" s="172">
        <v>242.19</v>
      </c>
      <c r="V122" s="173">
        <v>5.7659999999999503</v>
      </c>
      <c r="X122" s="30">
        <v>11.2</v>
      </c>
      <c r="Y122" s="34">
        <v>3.6865999999999999</v>
      </c>
      <c r="Z122" s="35">
        <v>0.15484000000000001</v>
      </c>
      <c r="AA122" s="36"/>
      <c r="AB122" s="30">
        <v>11.2</v>
      </c>
      <c r="AC122" s="44">
        <v>271.25</v>
      </c>
      <c r="AD122" s="35">
        <v>6.4580000000000002</v>
      </c>
      <c r="AE122" s="36"/>
      <c r="AF122" s="30">
        <v>11.2</v>
      </c>
      <c r="AG122" s="34">
        <v>3.7458</v>
      </c>
      <c r="AH122" s="35">
        <v>0.15731999999999999</v>
      </c>
      <c r="AI122" s="35"/>
      <c r="AJ122" s="35">
        <v>0.10929</v>
      </c>
      <c r="AK122" s="998">
        <v>73.8</v>
      </c>
      <c r="AM122" s="30">
        <v>11.2</v>
      </c>
      <c r="AN122" s="34">
        <v>0.91639999999999999</v>
      </c>
      <c r="AO122" s="35">
        <v>1.0264</v>
      </c>
      <c r="AQ122" s="197">
        <v>0.76200000000000001</v>
      </c>
      <c r="AR122" s="200">
        <v>54.2</v>
      </c>
      <c r="AS122" s="199">
        <v>761.7</v>
      </c>
      <c r="AZ122" s="197">
        <v>0.76200000000000001</v>
      </c>
      <c r="BA122" s="198">
        <v>6.3437000000000001</v>
      </c>
      <c r="BB122" s="199">
        <v>0.15764</v>
      </c>
      <c r="BD122" s="197">
        <v>0.76200000000000001</v>
      </c>
      <c r="BE122" s="198">
        <v>3.1718000000000002</v>
      </c>
      <c r="BF122" s="199">
        <v>0.13322000000000001</v>
      </c>
      <c r="BH122" s="197">
        <v>0.76200000000000001</v>
      </c>
      <c r="BI122" s="198">
        <v>315.27</v>
      </c>
      <c r="BJ122" s="199">
        <v>7.5069999999999997</v>
      </c>
      <c r="BL122" s="197">
        <v>0.76200000000000001</v>
      </c>
      <c r="BM122" s="198">
        <v>2.8319999999999999</v>
      </c>
      <c r="BN122" s="199">
        <v>0.11894</v>
      </c>
      <c r="BP122" s="197">
        <v>0.76200000000000001</v>
      </c>
      <c r="BQ122" s="200">
        <v>353.11</v>
      </c>
      <c r="BR122" s="199">
        <v>8.407</v>
      </c>
      <c r="BT122" s="197">
        <v>0.76200000000000001</v>
      </c>
      <c r="BU122" s="201">
        <v>1.1927000000000001</v>
      </c>
      <c r="BV122" s="202">
        <v>1.3358000000000001</v>
      </c>
      <c r="BX122" s="37">
        <v>762</v>
      </c>
      <c r="BY122" s="38">
        <v>0.76229999999999998</v>
      </c>
      <c r="BZ122" s="39">
        <v>54.13</v>
      </c>
      <c r="CA122" s="33"/>
      <c r="CB122" s="37">
        <v>762</v>
      </c>
      <c r="CC122" s="38">
        <v>0.15887999999999999</v>
      </c>
      <c r="CD122" s="42">
        <v>6.2939999999999996</v>
      </c>
      <c r="CE122" s="33"/>
      <c r="CF122" s="33"/>
      <c r="CG122" s="33"/>
      <c r="CH122" s="33"/>
      <c r="CI122" s="33"/>
      <c r="CJ122" s="33"/>
      <c r="CK122" s="33"/>
      <c r="CL122" s="40">
        <v>762</v>
      </c>
      <c r="CM122" s="43">
        <v>760.9</v>
      </c>
      <c r="CN122" s="41">
        <v>1.3142</v>
      </c>
      <c r="CO122" s="33"/>
      <c r="CP122" s="40">
        <v>762</v>
      </c>
      <c r="CQ122" s="34">
        <v>0.8387</v>
      </c>
      <c r="CR122" s="41">
        <v>0.74890000000000001</v>
      </c>
      <c r="CS122" s="33"/>
      <c r="CT122" s="40">
        <v>762</v>
      </c>
      <c r="CU122" s="44">
        <v>347.41</v>
      </c>
      <c r="CV122" s="42">
        <v>8.2720000000000002</v>
      </c>
    </row>
    <row r="123" spans="4:100">
      <c r="D123" s="30">
        <v>11.3</v>
      </c>
      <c r="E123" s="31">
        <v>0.9909</v>
      </c>
      <c r="F123" s="32">
        <v>990.3</v>
      </c>
      <c r="G123" s="33"/>
      <c r="H123" s="30">
        <v>11.3</v>
      </c>
      <c r="I123" s="34">
        <v>3.7839999999999998</v>
      </c>
      <c r="J123" s="35">
        <v>0.15892999999999999</v>
      </c>
      <c r="L123" s="30">
        <v>11.3</v>
      </c>
      <c r="M123" s="172">
        <v>8.2520000000000007</v>
      </c>
      <c r="N123" s="173">
        <v>0.12118</v>
      </c>
      <c r="P123" s="30">
        <v>11.3</v>
      </c>
      <c r="Q123" s="172">
        <v>4.1261000000000001</v>
      </c>
      <c r="R123" s="173">
        <v>0.17330000000000001</v>
      </c>
      <c r="T123" s="30">
        <v>11.3</v>
      </c>
      <c r="U123" s="172">
        <v>242.36</v>
      </c>
      <c r="V123" s="173">
        <v>5.7699999999999401</v>
      </c>
      <c r="X123" s="30">
        <v>11.3</v>
      </c>
      <c r="Y123" s="34">
        <v>3.6840999999999999</v>
      </c>
      <c r="Z123" s="35">
        <v>0.15473000000000001</v>
      </c>
      <c r="AA123" s="36"/>
      <c r="AB123" s="30">
        <v>11.3</v>
      </c>
      <c r="AC123" s="44">
        <v>271.44</v>
      </c>
      <c r="AD123" s="35">
        <v>6.4630000000000001</v>
      </c>
      <c r="AE123" s="36"/>
      <c r="AF123" s="30">
        <v>11.3</v>
      </c>
      <c r="AG123" s="34">
        <v>3.7431999999999999</v>
      </c>
      <c r="AH123" s="35">
        <v>0.15720999999999999</v>
      </c>
      <c r="AI123" s="35"/>
      <c r="AJ123" s="35">
        <v>0.10935</v>
      </c>
      <c r="AK123" s="998">
        <v>73.7</v>
      </c>
      <c r="AM123" s="30">
        <v>11.3</v>
      </c>
      <c r="AN123" s="34">
        <v>0.91710000000000003</v>
      </c>
      <c r="AO123" s="35">
        <v>1.0270999999999999</v>
      </c>
      <c r="AQ123" s="197">
        <v>0.76300000000000001</v>
      </c>
      <c r="AR123" s="200">
        <v>53.95</v>
      </c>
      <c r="AS123" s="199">
        <v>762.7</v>
      </c>
      <c r="AZ123" s="197">
        <v>0.76300000000000001</v>
      </c>
      <c r="BA123" s="198">
        <v>6.3520000000000003</v>
      </c>
      <c r="BB123" s="199">
        <v>0.15742999999999999</v>
      </c>
      <c r="BD123" s="197">
        <v>0.76300000000000001</v>
      </c>
      <c r="BE123" s="198">
        <v>3.1760000000000002</v>
      </c>
      <c r="BF123" s="199">
        <v>0.13339000000000001</v>
      </c>
      <c r="BH123" s="197">
        <v>0.76300000000000001</v>
      </c>
      <c r="BI123" s="198">
        <v>314.86</v>
      </c>
      <c r="BJ123" s="199">
        <v>7.4969999999999999</v>
      </c>
      <c r="BL123" s="197">
        <v>0.76300000000000001</v>
      </c>
      <c r="BM123" s="198">
        <v>2.8357000000000001</v>
      </c>
      <c r="BN123" s="199">
        <v>0.1191</v>
      </c>
      <c r="BP123" s="197">
        <v>0.76300000000000001</v>
      </c>
      <c r="BQ123" s="200">
        <v>352.64</v>
      </c>
      <c r="BR123" s="199">
        <v>8.3960000000000008</v>
      </c>
      <c r="BT123" s="197">
        <v>0.76300000000000001</v>
      </c>
      <c r="BU123" s="201">
        <v>1.1911</v>
      </c>
      <c r="BV123" s="202">
        <v>1.3340000000000001</v>
      </c>
      <c r="BX123" s="37">
        <v>763</v>
      </c>
      <c r="BY123" s="38">
        <v>0.76329999999999998</v>
      </c>
      <c r="BZ123" s="39">
        <v>53.89</v>
      </c>
      <c r="CA123" s="33"/>
      <c r="CB123" s="37">
        <v>763</v>
      </c>
      <c r="CC123" s="38">
        <v>0.15887999999999999</v>
      </c>
      <c r="CD123" s="42">
        <v>6.2939999999999996</v>
      </c>
      <c r="CE123" s="33"/>
      <c r="CF123" s="33"/>
      <c r="CG123" s="33"/>
      <c r="CH123" s="33"/>
      <c r="CI123" s="33"/>
      <c r="CJ123" s="33"/>
      <c r="CK123" s="33"/>
      <c r="CL123" s="40">
        <v>763</v>
      </c>
      <c r="CM123" s="43">
        <v>761.9</v>
      </c>
      <c r="CN123" s="41">
        <v>1.3125</v>
      </c>
      <c r="CO123" s="33"/>
      <c r="CP123" s="40">
        <v>763</v>
      </c>
      <c r="CQ123" s="34">
        <v>0.83979999999999999</v>
      </c>
      <c r="CR123" s="41">
        <v>0.74990000000000001</v>
      </c>
      <c r="CS123" s="33"/>
      <c r="CT123" s="40">
        <v>763</v>
      </c>
      <c r="CU123" s="44">
        <v>346.95</v>
      </c>
      <c r="CV123" s="42">
        <v>8.2609999999999992</v>
      </c>
    </row>
    <row r="124" spans="4:100">
      <c r="D124" s="30">
        <v>11.4</v>
      </c>
      <c r="E124" s="31">
        <v>0.99019999999999997</v>
      </c>
      <c r="F124" s="32">
        <v>989.6</v>
      </c>
      <c r="G124" s="33"/>
      <c r="H124" s="30">
        <v>11.4</v>
      </c>
      <c r="I124" s="34">
        <v>3.7839999999999998</v>
      </c>
      <c r="J124" s="35">
        <v>0.15892999999999999</v>
      </c>
      <c r="L124" s="30">
        <v>11.4</v>
      </c>
      <c r="M124" s="172">
        <v>8.2469999999999999</v>
      </c>
      <c r="N124" s="173">
        <v>0.12126000000000001</v>
      </c>
      <c r="P124" s="30">
        <v>11.4</v>
      </c>
      <c r="Q124" s="172">
        <v>4.1233000000000004</v>
      </c>
      <c r="R124" s="173">
        <v>0.17318</v>
      </c>
      <c r="T124" s="30">
        <v>11.4</v>
      </c>
      <c r="U124" s="172">
        <v>242.53</v>
      </c>
      <c r="V124" s="173">
        <v>5.7739999999999299</v>
      </c>
      <c r="X124" s="30">
        <v>11.4</v>
      </c>
      <c r="Y124" s="34">
        <v>3.6815000000000002</v>
      </c>
      <c r="Z124" s="35">
        <v>0.15462000000000001</v>
      </c>
      <c r="AA124" s="36"/>
      <c r="AB124" s="30">
        <v>11.4</v>
      </c>
      <c r="AC124" s="44">
        <v>271.63</v>
      </c>
      <c r="AD124" s="35">
        <v>6.4669999999999996</v>
      </c>
      <c r="AE124" s="36"/>
      <c r="AF124" s="30">
        <v>11.4</v>
      </c>
      <c r="AG124" s="34">
        <v>3.7406000000000001</v>
      </c>
      <c r="AH124" s="35">
        <v>0.15709999999999999</v>
      </c>
      <c r="AI124" s="35"/>
      <c r="AJ124" s="35">
        <v>0.1094</v>
      </c>
      <c r="AK124" s="998">
        <v>73.599999999999994</v>
      </c>
      <c r="AM124" s="30">
        <v>11.4</v>
      </c>
      <c r="AN124" s="34">
        <v>0.91769999999999996</v>
      </c>
      <c r="AO124" s="35">
        <v>1.0278</v>
      </c>
      <c r="AQ124" s="197">
        <v>0.76400000000000001</v>
      </c>
      <c r="AR124" s="200">
        <v>53.71</v>
      </c>
      <c r="AS124" s="199">
        <v>763.7</v>
      </c>
      <c r="AZ124" s="197">
        <v>0.76400000000000001</v>
      </c>
      <c r="BA124" s="198">
        <v>6.3604000000000003</v>
      </c>
      <c r="BB124" s="199">
        <v>0.15722</v>
      </c>
      <c r="BD124" s="197">
        <v>0.76400000000000001</v>
      </c>
      <c r="BE124" s="198">
        <v>3.1802000000000001</v>
      </c>
      <c r="BF124" s="199">
        <v>0.13356999999999999</v>
      </c>
      <c r="BH124" s="197">
        <v>0.76400000000000001</v>
      </c>
      <c r="BI124" s="198">
        <v>314.45</v>
      </c>
      <c r="BJ124" s="199">
        <v>7.4870000000000001</v>
      </c>
      <c r="BL124" s="197">
        <v>0.76400000000000001</v>
      </c>
      <c r="BM124" s="198">
        <v>2.8393999999999999</v>
      </c>
      <c r="BN124" s="199">
        <v>0.11926</v>
      </c>
      <c r="BP124" s="197">
        <v>0.76400000000000001</v>
      </c>
      <c r="BQ124" s="200">
        <v>352.18</v>
      </c>
      <c r="BR124" s="199">
        <v>8.3849999999999998</v>
      </c>
      <c r="BT124" s="197">
        <v>0.76400000000000001</v>
      </c>
      <c r="BU124" s="201">
        <v>1.1895</v>
      </c>
      <c r="BV124" s="202">
        <v>1.3323</v>
      </c>
      <c r="BX124" s="37">
        <v>764</v>
      </c>
      <c r="BY124" s="38">
        <v>0.76429999999999998</v>
      </c>
      <c r="BZ124" s="39">
        <v>53.65</v>
      </c>
      <c r="CA124" s="33"/>
      <c r="CB124" s="37">
        <v>764</v>
      </c>
      <c r="CC124" s="38">
        <v>0.15887999999999999</v>
      </c>
      <c r="CD124" s="42">
        <v>6.2939999999999996</v>
      </c>
      <c r="CE124" s="33"/>
      <c r="CF124" s="33"/>
      <c r="CG124" s="33"/>
      <c r="CH124" s="33"/>
      <c r="CI124" s="33"/>
      <c r="CJ124" s="33"/>
      <c r="CK124" s="33"/>
      <c r="CL124" s="40">
        <v>764</v>
      </c>
      <c r="CM124" s="43">
        <v>762.9</v>
      </c>
      <c r="CN124" s="41">
        <v>1.3108</v>
      </c>
      <c r="CO124" s="33"/>
      <c r="CP124" s="40">
        <v>764</v>
      </c>
      <c r="CQ124" s="34">
        <v>0.84089999999999998</v>
      </c>
      <c r="CR124" s="41">
        <v>0.75080000000000002</v>
      </c>
      <c r="CS124" s="33"/>
      <c r="CT124" s="40">
        <v>764</v>
      </c>
      <c r="CU124" s="44">
        <v>346.5</v>
      </c>
      <c r="CV124" s="42">
        <v>8.25</v>
      </c>
    </row>
    <row r="125" spans="4:100">
      <c r="D125" s="30">
        <v>11.5</v>
      </c>
      <c r="E125" s="31">
        <v>0.98950000000000005</v>
      </c>
      <c r="F125" s="32">
        <v>988.9</v>
      </c>
      <c r="G125" s="33"/>
      <c r="H125" s="30">
        <v>11.5</v>
      </c>
      <c r="I125" s="34">
        <v>3.7839999999999998</v>
      </c>
      <c r="J125" s="35">
        <v>0.15892999999999999</v>
      </c>
      <c r="L125" s="30">
        <v>11.5</v>
      </c>
      <c r="M125" s="172">
        <v>8.2409999999999997</v>
      </c>
      <c r="N125" s="173">
        <v>0.12135</v>
      </c>
      <c r="P125" s="30">
        <v>11.5</v>
      </c>
      <c r="Q125" s="172">
        <v>4.1204000000000001</v>
      </c>
      <c r="R125" s="173">
        <v>0.17305999999999999</v>
      </c>
      <c r="T125" s="30">
        <v>11.5</v>
      </c>
      <c r="U125" s="172">
        <v>242.7</v>
      </c>
      <c r="V125" s="173">
        <v>5.7779999999999196</v>
      </c>
      <c r="X125" s="30">
        <v>11.5</v>
      </c>
      <c r="Y125" s="34">
        <v>3.6789000000000001</v>
      </c>
      <c r="Z125" s="35">
        <v>0.15451000000000001</v>
      </c>
      <c r="AA125" s="36"/>
      <c r="AB125" s="30">
        <v>11.5</v>
      </c>
      <c r="AC125" s="44">
        <v>271.82</v>
      </c>
      <c r="AD125" s="35">
        <v>6.4720000000000004</v>
      </c>
      <c r="AE125" s="36"/>
      <c r="AF125" s="30">
        <v>11.5</v>
      </c>
      <c r="AG125" s="34">
        <v>3.7378999999999998</v>
      </c>
      <c r="AH125" s="35">
        <v>0.15698999999999999</v>
      </c>
      <c r="AI125" s="35"/>
      <c r="AJ125" s="35">
        <v>0.10945000000000001</v>
      </c>
      <c r="AK125" s="998">
        <v>73.5</v>
      </c>
      <c r="AM125" s="30">
        <v>11.5</v>
      </c>
      <c r="AN125" s="34">
        <v>0.91839999999999999</v>
      </c>
      <c r="AO125" s="35">
        <v>1.0286</v>
      </c>
      <c r="AQ125" s="197">
        <v>0.76500000000000001</v>
      </c>
      <c r="AR125" s="200">
        <v>53.47</v>
      </c>
      <c r="AS125" s="199">
        <v>764.7</v>
      </c>
      <c r="AZ125" s="197">
        <v>0.76500000000000001</v>
      </c>
      <c r="BA125" s="198">
        <v>6.3686999999999996</v>
      </c>
      <c r="BB125" s="199">
        <v>0.15701999999999999</v>
      </c>
      <c r="BD125" s="197">
        <v>0.76500000000000001</v>
      </c>
      <c r="BE125" s="198">
        <v>3.1842999999999999</v>
      </c>
      <c r="BF125" s="199">
        <v>0.13374</v>
      </c>
      <c r="BH125" s="197">
        <v>0.76500000000000001</v>
      </c>
      <c r="BI125" s="198">
        <v>314.04000000000002</v>
      </c>
      <c r="BJ125" s="199">
        <v>7.4770000000000003</v>
      </c>
      <c r="BL125" s="197">
        <v>0.76500000000000001</v>
      </c>
      <c r="BM125" s="198">
        <v>2.8431999999999999</v>
      </c>
      <c r="BN125" s="199">
        <v>0.11941</v>
      </c>
      <c r="BP125" s="197">
        <v>0.76500000000000001</v>
      </c>
      <c r="BQ125" s="200">
        <v>351.72</v>
      </c>
      <c r="BR125" s="199">
        <v>8.3740000000000006</v>
      </c>
      <c r="BT125" s="197">
        <v>0.76500000000000001</v>
      </c>
      <c r="BU125" s="201">
        <v>1.1879999999999999</v>
      </c>
      <c r="BV125" s="202">
        <v>1.3305</v>
      </c>
      <c r="BX125" s="37">
        <v>765</v>
      </c>
      <c r="BY125" s="38">
        <v>0.76529999999999998</v>
      </c>
      <c r="BZ125" s="39">
        <v>53.4</v>
      </c>
      <c r="CA125" s="33"/>
      <c r="CB125" s="37">
        <v>765</v>
      </c>
      <c r="CC125" s="38">
        <v>0.15887999999999999</v>
      </c>
      <c r="CD125" s="42">
        <v>6.2939999999999996</v>
      </c>
      <c r="CE125" s="33"/>
      <c r="CF125" s="33"/>
      <c r="CG125" s="33"/>
      <c r="CH125" s="33"/>
      <c r="CI125" s="33"/>
      <c r="CJ125" s="33"/>
      <c r="CK125" s="33"/>
      <c r="CL125" s="40">
        <v>765</v>
      </c>
      <c r="CM125" s="43">
        <v>763.9</v>
      </c>
      <c r="CN125" s="41">
        <v>1.3090999999999999</v>
      </c>
      <c r="CO125" s="33"/>
      <c r="CP125" s="40">
        <v>765</v>
      </c>
      <c r="CQ125" s="34">
        <v>0.84209999999999996</v>
      </c>
      <c r="CR125" s="41">
        <v>0.75180000000000002</v>
      </c>
      <c r="CS125" s="33"/>
      <c r="CT125" s="40">
        <v>765</v>
      </c>
      <c r="CU125" s="44">
        <v>346.05</v>
      </c>
      <c r="CV125" s="42">
        <v>8.2390000000000008</v>
      </c>
    </row>
    <row r="126" spans="4:100">
      <c r="D126" s="30">
        <v>11.6</v>
      </c>
      <c r="E126" s="31">
        <v>0.98880000000000001</v>
      </c>
      <c r="F126" s="32">
        <v>988.2</v>
      </c>
      <c r="G126" s="33"/>
      <c r="H126" s="30">
        <v>11.6</v>
      </c>
      <c r="I126" s="34">
        <v>3.7839999999999998</v>
      </c>
      <c r="J126" s="35">
        <v>0.15892999999999999</v>
      </c>
      <c r="L126" s="30">
        <v>11.6</v>
      </c>
      <c r="M126" s="172">
        <v>8.2349999999999994</v>
      </c>
      <c r="N126" s="173">
        <v>0.12143</v>
      </c>
      <c r="P126" s="30">
        <v>11.6</v>
      </c>
      <c r="Q126" s="172">
        <v>4.1174999999999997</v>
      </c>
      <c r="R126" s="173">
        <v>0.17293</v>
      </c>
      <c r="T126" s="30">
        <v>11.6</v>
      </c>
      <c r="U126" s="172">
        <v>242.87</v>
      </c>
      <c r="V126" s="173">
        <v>5.7830000000000004</v>
      </c>
      <c r="X126" s="30">
        <v>11.6</v>
      </c>
      <c r="Y126" s="34">
        <v>3.6762999999999999</v>
      </c>
      <c r="Z126" s="35">
        <v>0.15440999999999999</v>
      </c>
      <c r="AA126" s="36"/>
      <c r="AB126" s="30">
        <v>11.6</v>
      </c>
      <c r="AC126" s="44">
        <v>272.01</v>
      </c>
      <c r="AD126" s="35">
        <v>6.476</v>
      </c>
      <c r="AE126" s="36"/>
      <c r="AF126" s="30">
        <v>11.6</v>
      </c>
      <c r="AG126" s="34">
        <v>3.7353000000000001</v>
      </c>
      <c r="AH126" s="35">
        <v>0.15687999999999999</v>
      </c>
      <c r="AI126" s="35"/>
      <c r="AJ126" s="35">
        <v>0.10951</v>
      </c>
      <c r="AK126" s="998">
        <v>73.400000000000006</v>
      </c>
      <c r="AM126" s="30">
        <v>11.6</v>
      </c>
      <c r="AN126" s="34">
        <v>0.91900000000000004</v>
      </c>
      <c r="AO126" s="35">
        <v>1.0293000000000001</v>
      </c>
      <c r="AQ126" s="197">
        <v>0.76600000000000001</v>
      </c>
      <c r="AR126" s="200">
        <v>53.23</v>
      </c>
      <c r="AS126" s="199">
        <v>765.7</v>
      </c>
      <c r="AZ126" s="197">
        <v>0.76600000000000001</v>
      </c>
      <c r="BA126" s="198">
        <v>6.3769999999999998</v>
      </c>
      <c r="BB126" s="199">
        <v>0.15681</v>
      </c>
      <c r="BD126" s="197">
        <v>0.76600000000000001</v>
      </c>
      <c r="BE126" s="198">
        <v>3.1884999999999999</v>
      </c>
      <c r="BF126" s="199">
        <v>0.13392000000000001</v>
      </c>
      <c r="BH126" s="197">
        <v>0.76600000000000001</v>
      </c>
      <c r="BI126" s="198">
        <v>313.63</v>
      </c>
      <c r="BJ126" s="199">
        <v>7.4669999999999996</v>
      </c>
      <c r="BL126" s="197">
        <v>0.76600000000000001</v>
      </c>
      <c r="BM126" s="198">
        <v>2.8469000000000002</v>
      </c>
      <c r="BN126" s="199">
        <v>0.11957</v>
      </c>
      <c r="BP126" s="197">
        <v>0.76600000000000001</v>
      </c>
      <c r="BQ126" s="200">
        <v>351.26</v>
      </c>
      <c r="BR126" s="199">
        <v>8.3629999999999995</v>
      </c>
      <c r="BT126" s="197">
        <v>0.76600000000000001</v>
      </c>
      <c r="BU126" s="201">
        <v>1.1863999999999999</v>
      </c>
      <c r="BV126" s="202">
        <v>1.3288</v>
      </c>
      <c r="BX126" s="37">
        <v>766</v>
      </c>
      <c r="BY126" s="38">
        <v>0.76629999999999998</v>
      </c>
      <c r="BZ126" s="39">
        <v>53.16</v>
      </c>
      <c r="CA126" s="33"/>
      <c r="CB126" s="37">
        <v>766</v>
      </c>
      <c r="CC126" s="38">
        <v>0.15887999999999999</v>
      </c>
      <c r="CD126" s="42">
        <v>6.2939999999999996</v>
      </c>
      <c r="CE126" s="33"/>
      <c r="CF126" s="33"/>
      <c r="CG126" s="33"/>
      <c r="CH126" s="33"/>
      <c r="CI126" s="33"/>
      <c r="CJ126" s="33"/>
      <c r="CK126" s="33"/>
      <c r="CL126" s="40">
        <v>766</v>
      </c>
      <c r="CM126" s="43">
        <v>764.9</v>
      </c>
      <c r="CN126" s="41">
        <v>1.3073999999999999</v>
      </c>
      <c r="CO126" s="33"/>
      <c r="CP126" s="40">
        <v>766</v>
      </c>
      <c r="CQ126" s="34">
        <v>0.84319999999999995</v>
      </c>
      <c r="CR126" s="41">
        <v>0.75280000000000002</v>
      </c>
      <c r="CS126" s="33"/>
      <c r="CT126" s="40">
        <v>766</v>
      </c>
      <c r="CU126" s="44">
        <v>345.59</v>
      </c>
      <c r="CV126" s="42">
        <v>8.2279999999999998</v>
      </c>
    </row>
    <row r="127" spans="4:100">
      <c r="D127" s="30">
        <v>11.7</v>
      </c>
      <c r="E127" s="31">
        <v>0.98809999999999998</v>
      </c>
      <c r="F127" s="32">
        <v>987.5</v>
      </c>
      <c r="G127" s="33"/>
      <c r="H127" s="30">
        <v>11.7</v>
      </c>
      <c r="I127" s="34">
        <v>3.7839999999999998</v>
      </c>
      <c r="J127" s="35">
        <v>0.15892999999999999</v>
      </c>
      <c r="L127" s="30">
        <v>11.7</v>
      </c>
      <c r="M127" s="172">
        <v>8.2289999999999992</v>
      </c>
      <c r="N127" s="173">
        <v>0.12152</v>
      </c>
      <c r="P127" s="30">
        <v>11.7</v>
      </c>
      <c r="Q127" s="172">
        <v>4.1146000000000003</v>
      </c>
      <c r="R127" s="173">
        <v>0.17280999999999999</v>
      </c>
      <c r="T127" s="30">
        <v>11.7</v>
      </c>
      <c r="U127" s="172">
        <v>243.04</v>
      </c>
      <c r="V127" s="173">
        <v>5.7869999999999902</v>
      </c>
      <c r="X127" s="30">
        <v>11.7</v>
      </c>
      <c r="Y127" s="34">
        <v>3.6738</v>
      </c>
      <c r="Z127" s="35">
        <v>0.15429999999999999</v>
      </c>
      <c r="AA127" s="36"/>
      <c r="AB127" s="30">
        <v>11.7</v>
      </c>
      <c r="AC127" s="44">
        <v>272.2</v>
      </c>
      <c r="AD127" s="35">
        <v>6.4809999999999999</v>
      </c>
      <c r="AE127" s="36"/>
      <c r="AF127" s="30">
        <v>11.7</v>
      </c>
      <c r="AG127" s="34">
        <v>3.7326999999999999</v>
      </c>
      <c r="AH127" s="35">
        <v>0.15676999999999999</v>
      </c>
      <c r="AI127" s="35"/>
      <c r="AJ127" s="35">
        <v>0.10956</v>
      </c>
      <c r="AK127" s="998">
        <v>73.3</v>
      </c>
      <c r="AM127" s="30">
        <v>11.7</v>
      </c>
      <c r="AN127" s="34">
        <v>0.91959999999999997</v>
      </c>
      <c r="AO127" s="35">
        <v>1.03</v>
      </c>
      <c r="AQ127" s="197">
        <v>0.76700000000000002</v>
      </c>
      <c r="AR127" s="200">
        <v>52.99</v>
      </c>
      <c r="AS127" s="199">
        <v>766.7</v>
      </c>
      <c r="AZ127" s="197">
        <v>0.76700000000000002</v>
      </c>
      <c r="BA127" s="198">
        <v>6.3853999999999997</v>
      </c>
      <c r="BB127" s="199">
        <v>0.15661</v>
      </c>
      <c r="BD127" s="197">
        <v>0.76700000000000002</v>
      </c>
      <c r="BE127" s="198">
        <v>3.1926999999999999</v>
      </c>
      <c r="BF127" s="199">
        <v>0.13408999999999999</v>
      </c>
      <c r="BH127" s="197">
        <v>0.76700000000000002</v>
      </c>
      <c r="BI127" s="198">
        <v>313.22000000000003</v>
      </c>
      <c r="BJ127" s="199">
        <v>7.4580000000000002</v>
      </c>
      <c r="BL127" s="197">
        <v>0.76700000000000002</v>
      </c>
      <c r="BM127" s="198">
        <v>2.8506</v>
      </c>
      <c r="BN127" s="199">
        <v>0.11973</v>
      </c>
      <c r="BP127" s="197">
        <v>0.76700000000000002</v>
      </c>
      <c r="BQ127" s="200">
        <v>350.8</v>
      </c>
      <c r="BR127" s="199">
        <v>8.3520000000000003</v>
      </c>
      <c r="BT127" s="197">
        <v>0.76700000000000002</v>
      </c>
      <c r="BU127" s="201">
        <v>1.1849000000000001</v>
      </c>
      <c r="BV127" s="202">
        <v>1.3270999999999999</v>
      </c>
      <c r="BX127" s="37">
        <v>767</v>
      </c>
      <c r="BY127" s="38">
        <v>0.76729999999999998</v>
      </c>
      <c r="BZ127" s="39">
        <v>52.92</v>
      </c>
      <c r="CA127" s="33"/>
      <c r="CB127" s="37">
        <v>767</v>
      </c>
      <c r="CC127" s="38">
        <v>0.15887999999999999</v>
      </c>
      <c r="CD127" s="42">
        <v>6.2939999999999996</v>
      </c>
      <c r="CE127" s="33"/>
      <c r="CF127" s="33"/>
      <c r="CG127" s="33"/>
      <c r="CH127" s="33"/>
      <c r="CI127" s="33"/>
      <c r="CJ127" s="33"/>
      <c r="CK127" s="33"/>
      <c r="CL127" s="40">
        <v>767</v>
      </c>
      <c r="CM127" s="43">
        <v>765.9</v>
      </c>
      <c r="CN127" s="41">
        <v>1.3057000000000001</v>
      </c>
      <c r="CO127" s="33"/>
      <c r="CP127" s="40">
        <v>767</v>
      </c>
      <c r="CQ127" s="34">
        <v>0.84430000000000005</v>
      </c>
      <c r="CR127" s="41">
        <v>0.75380000000000003</v>
      </c>
      <c r="CS127" s="33"/>
      <c r="CT127" s="40">
        <v>767</v>
      </c>
      <c r="CU127" s="44">
        <v>345.14</v>
      </c>
      <c r="CV127" s="42">
        <v>8.218</v>
      </c>
    </row>
    <row r="128" spans="4:100">
      <c r="D128" s="30">
        <v>11.8</v>
      </c>
      <c r="E128" s="31">
        <v>0.98740000000000006</v>
      </c>
      <c r="F128" s="32">
        <v>986.8</v>
      </c>
      <c r="G128" s="33"/>
      <c r="H128" s="30">
        <v>11.8</v>
      </c>
      <c r="I128" s="34">
        <v>3.7839999999999998</v>
      </c>
      <c r="J128" s="35">
        <v>0.15892999999999999</v>
      </c>
      <c r="L128" s="30">
        <v>11.8</v>
      </c>
      <c r="M128" s="172">
        <v>8.2230000000000008</v>
      </c>
      <c r="N128" s="173">
        <v>0.1216</v>
      </c>
      <c r="P128" s="30">
        <v>11.8</v>
      </c>
      <c r="Q128" s="172">
        <v>4.1116999999999999</v>
      </c>
      <c r="R128" s="173">
        <v>0.17269000000000001</v>
      </c>
      <c r="T128" s="30">
        <v>11.8</v>
      </c>
      <c r="U128" s="172">
        <v>243.21</v>
      </c>
      <c r="V128" s="173">
        <v>5.7910000000000004</v>
      </c>
      <c r="X128" s="30">
        <v>11.8</v>
      </c>
      <c r="Y128" s="34">
        <v>3.6711999999999998</v>
      </c>
      <c r="Z128" s="35">
        <v>0.15418999999999999</v>
      </c>
      <c r="AA128" s="36"/>
      <c r="AB128" s="30">
        <v>11.8</v>
      </c>
      <c r="AC128" s="44">
        <v>272.39</v>
      </c>
      <c r="AD128" s="35">
        <v>6.4859999999999998</v>
      </c>
      <c r="AE128" s="36"/>
      <c r="AF128" s="30">
        <v>11.8</v>
      </c>
      <c r="AG128" s="34">
        <v>3.7301000000000002</v>
      </c>
      <c r="AH128" s="35">
        <v>0.15665999999999999</v>
      </c>
      <c r="AI128" s="35"/>
      <c r="AJ128" s="35">
        <v>0.10961</v>
      </c>
      <c r="AK128" s="998">
        <v>73.2</v>
      </c>
      <c r="AM128" s="30">
        <v>11.8</v>
      </c>
      <c r="AN128" s="34">
        <v>0.92030000000000001</v>
      </c>
      <c r="AO128" s="35">
        <v>1.0306999999999999</v>
      </c>
      <c r="AQ128" s="197">
        <v>0.76800000000000002</v>
      </c>
      <c r="AR128" s="200">
        <v>52.74</v>
      </c>
      <c r="AS128" s="199">
        <v>767.7</v>
      </c>
      <c r="AZ128" s="197">
        <v>0.76800000000000002</v>
      </c>
      <c r="BA128" s="198">
        <v>6.3936999999999999</v>
      </c>
      <c r="BB128" s="199">
        <v>0.15640000000000001</v>
      </c>
      <c r="BD128" s="197">
        <v>0.76800000000000002</v>
      </c>
      <c r="BE128" s="198">
        <v>3.1968999999999999</v>
      </c>
      <c r="BF128" s="199">
        <v>0.13427</v>
      </c>
      <c r="BH128" s="197">
        <v>0.76800000000000002</v>
      </c>
      <c r="BI128" s="198">
        <v>312.81</v>
      </c>
      <c r="BJ128" s="199">
        <v>7.4480000000000004</v>
      </c>
      <c r="BL128" s="197">
        <v>0.76800000000000002</v>
      </c>
      <c r="BM128" s="198">
        <v>2.8542999999999998</v>
      </c>
      <c r="BN128" s="199">
        <v>0.11988</v>
      </c>
      <c r="BP128" s="197">
        <v>0.76800000000000002</v>
      </c>
      <c r="BQ128" s="200">
        <v>350.34</v>
      </c>
      <c r="BR128" s="199">
        <v>8.3420000000000005</v>
      </c>
      <c r="BT128" s="197">
        <v>0.76800000000000002</v>
      </c>
      <c r="BU128" s="201">
        <v>1.1833</v>
      </c>
      <c r="BV128" s="202">
        <v>1.3252999999999999</v>
      </c>
      <c r="BX128" s="37">
        <v>768</v>
      </c>
      <c r="BY128" s="38">
        <v>0.76829999999999998</v>
      </c>
      <c r="BZ128" s="39">
        <v>52.68</v>
      </c>
      <c r="CA128" s="33"/>
      <c r="CB128" s="37">
        <v>768</v>
      </c>
      <c r="CC128" s="38">
        <v>0.15887999999999999</v>
      </c>
      <c r="CD128" s="42">
        <v>6.2939999999999996</v>
      </c>
      <c r="CE128" s="33"/>
      <c r="CF128" s="33"/>
      <c r="CG128" s="33"/>
      <c r="CH128" s="33"/>
      <c r="CI128" s="33"/>
      <c r="CJ128" s="33"/>
      <c r="CK128" s="33"/>
      <c r="CL128" s="40">
        <v>768</v>
      </c>
      <c r="CM128" s="43">
        <v>766.9</v>
      </c>
      <c r="CN128" s="41">
        <v>1.304</v>
      </c>
      <c r="CO128" s="33"/>
      <c r="CP128" s="40">
        <v>768</v>
      </c>
      <c r="CQ128" s="34">
        <v>0.84540000000000004</v>
      </c>
      <c r="CR128" s="41">
        <v>0.75480000000000003</v>
      </c>
      <c r="CS128" s="33"/>
      <c r="CT128" s="40">
        <v>768</v>
      </c>
      <c r="CU128" s="44">
        <v>344.69</v>
      </c>
      <c r="CV128" s="42">
        <v>8.2070000000000007</v>
      </c>
    </row>
    <row r="129" spans="4:100">
      <c r="D129" s="30">
        <v>11.9</v>
      </c>
      <c r="E129" s="31">
        <v>0.98680000000000001</v>
      </c>
      <c r="F129" s="32">
        <v>986.2</v>
      </c>
      <c r="G129" s="33"/>
      <c r="H129" s="30">
        <v>11.9</v>
      </c>
      <c r="I129" s="34">
        <v>3.7839999999999998</v>
      </c>
      <c r="J129" s="35">
        <v>0.15892999999999999</v>
      </c>
      <c r="L129" s="30">
        <v>11.9</v>
      </c>
      <c r="M129" s="172">
        <v>8.218</v>
      </c>
      <c r="N129" s="173">
        <v>0.12169000000000001</v>
      </c>
      <c r="P129" s="30">
        <v>11.9</v>
      </c>
      <c r="Q129" s="172">
        <v>4.1089000000000002</v>
      </c>
      <c r="R129" s="173">
        <v>0.17257</v>
      </c>
      <c r="T129" s="30">
        <v>11.9</v>
      </c>
      <c r="U129" s="172">
        <v>243.38</v>
      </c>
      <c r="V129" s="173">
        <v>5.7949999999999999</v>
      </c>
      <c r="X129" s="30">
        <v>11.9</v>
      </c>
      <c r="Y129" s="34">
        <v>3.6686000000000001</v>
      </c>
      <c r="Z129" s="35">
        <v>0.15407999999999999</v>
      </c>
      <c r="AA129" s="36"/>
      <c r="AB129" s="30">
        <v>11.9</v>
      </c>
      <c r="AC129" s="44">
        <v>272.58</v>
      </c>
      <c r="AD129" s="35">
        <v>6.49</v>
      </c>
      <c r="AE129" s="36"/>
      <c r="AF129" s="30">
        <v>11.9</v>
      </c>
      <c r="AG129" s="34">
        <v>3.7275</v>
      </c>
      <c r="AH129" s="35">
        <v>0.15654999999999999</v>
      </c>
      <c r="AI129" s="35"/>
      <c r="AJ129" s="35">
        <v>0.10967</v>
      </c>
      <c r="AK129" s="998">
        <v>73.099999999999994</v>
      </c>
      <c r="AM129" s="30">
        <v>11.9</v>
      </c>
      <c r="AN129" s="34">
        <v>0.92090000000000005</v>
      </c>
      <c r="AO129" s="35">
        <v>1.0314000000000001</v>
      </c>
      <c r="AQ129" s="197">
        <v>0.76900000000000002</v>
      </c>
      <c r="AR129" s="200">
        <v>52.51</v>
      </c>
      <c r="AS129" s="199">
        <v>768.7</v>
      </c>
      <c r="AZ129" s="197">
        <v>0.76900000000000002</v>
      </c>
      <c r="BA129" s="198">
        <v>6.4020000000000001</v>
      </c>
      <c r="BB129" s="199">
        <v>0.15620000000000001</v>
      </c>
      <c r="BD129" s="197">
        <v>0.76900000000000002</v>
      </c>
      <c r="BE129" s="198">
        <v>3.2010000000000001</v>
      </c>
      <c r="BF129" s="199">
        <v>0.13444</v>
      </c>
      <c r="BH129" s="197">
        <v>0.76900000000000002</v>
      </c>
      <c r="BI129" s="198">
        <v>312.39999999999998</v>
      </c>
      <c r="BJ129" s="199">
        <v>7.4379999999999997</v>
      </c>
      <c r="BL129" s="197">
        <v>0.76900000000000002</v>
      </c>
      <c r="BM129" s="198">
        <v>2.8580999999999999</v>
      </c>
      <c r="BN129" s="199">
        <v>0.12003999999999999</v>
      </c>
      <c r="BP129" s="197">
        <v>0.76900000000000002</v>
      </c>
      <c r="BQ129" s="200">
        <v>349.89</v>
      </c>
      <c r="BR129" s="199">
        <v>8.3309999999999995</v>
      </c>
      <c r="BT129" s="197">
        <v>0.76900000000000002</v>
      </c>
      <c r="BU129" s="201">
        <v>1.1818</v>
      </c>
      <c r="BV129" s="202">
        <v>1.3236000000000001</v>
      </c>
      <c r="BX129" s="37">
        <v>769</v>
      </c>
      <c r="BY129" s="38">
        <v>0.76929999999999998</v>
      </c>
      <c r="BZ129" s="39">
        <v>52.44</v>
      </c>
      <c r="CA129" s="33"/>
      <c r="CB129" s="37">
        <v>769</v>
      </c>
      <c r="CC129" s="38">
        <v>0.15889</v>
      </c>
      <c r="CD129" s="42">
        <v>6.2939999999999996</v>
      </c>
      <c r="CE129" s="33"/>
      <c r="CF129" s="33"/>
      <c r="CG129" s="33"/>
      <c r="CH129" s="33"/>
      <c r="CI129" s="33"/>
      <c r="CJ129" s="33"/>
      <c r="CK129" s="33"/>
      <c r="CL129" s="40">
        <v>769</v>
      </c>
      <c r="CM129" s="43">
        <v>767.9</v>
      </c>
      <c r="CN129" s="41">
        <v>1.3023</v>
      </c>
      <c r="CO129" s="33"/>
      <c r="CP129" s="40">
        <v>769</v>
      </c>
      <c r="CQ129" s="34">
        <v>0.84650000000000003</v>
      </c>
      <c r="CR129" s="41">
        <v>0.75580000000000003</v>
      </c>
      <c r="CS129" s="33"/>
      <c r="CT129" s="40">
        <v>769</v>
      </c>
      <c r="CU129" s="44">
        <v>344.24</v>
      </c>
      <c r="CV129" s="42">
        <v>8.1959999999999997</v>
      </c>
    </row>
    <row r="130" spans="4:100">
      <c r="D130" s="30">
        <v>12</v>
      </c>
      <c r="E130" s="31">
        <v>0.98609999999999998</v>
      </c>
      <c r="F130" s="32">
        <v>985.5</v>
      </c>
      <c r="G130" s="33"/>
      <c r="H130" s="30">
        <v>12</v>
      </c>
      <c r="I130" s="34">
        <v>3.7839999999999998</v>
      </c>
      <c r="J130" s="35">
        <v>0.15892999999999999</v>
      </c>
      <c r="L130" s="30">
        <v>12</v>
      </c>
      <c r="M130" s="172">
        <v>8.2119999999999997</v>
      </c>
      <c r="N130" s="173">
        <v>0.12177</v>
      </c>
      <c r="P130" s="30">
        <v>12</v>
      </c>
      <c r="Q130" s="172">
        <v>4.1059999999999999</v>
      </c>
      <c r="R130" s="173">
        <v>0.17244999999999999</v>
      </c>
      <c r="T130" s="30">
        <v>12</v>
      </c>
      <c r="U130" s="172">
        <v>243.55</v>
      </c>
      <c r="V130" s="173">
        <v>5.7990000000000004</v>
      </c>
      <c r="X130" s="30">
        <v>12</v>
      </c>
      <c r="Y130" s="34">
        <v>3.6661000000000001</v>
      </c>
      <c r="Z130" s="35">
        <v>0.15397</v>
      </c>
      <c r="AA130" s="36"/>
      <c r="AB130" s="30">
        <v>12</v>
      </c>
      <c r="AC130" s="44">
        <v>272.77</v>
      </c>
      <c r="AD130" s="35">
        <v>6.4950000000000001</v>
      </c>
      <c r="AE130" s="36"/>
      <c r="AF130" s="30">
        <v>12</v>
      </c>
      <c r="AG130" s="34">
        <v>3.7248999999999999</v>
      </c>
      <c r="AH130" s="35">
        <v>0.15645000000000001</v>
      </c>
      <c r="AI130" s="35"/>
      <c r="AJ130" s="35">
        <v>0.10972</v>
      </c>
      <c r="AK130" s="998">
        <v>73</v>
      </c>
      <c r="AM130" s="30">
        <v>12</v>
      </c>
      <c r="AN130" s="34">
        <v>0.92159999999999997</v>
      </c>
      <c r="AO130" s="35">
        <v>1.0322</v>
      </c>
      <c r="AQ130" s="197">
        <v>0.77</v>
      </c>
      <c r="AR130" s="200">
        <v>52.27</v>
      </c>
      <c r="AS130" s="199">
        <v>769.7</v>
      </c>
      <c r="AZ130" s="197">
        <v>0.77</v>
      </c>
      <c r="BA130" s="198">
        <v>6.4104000000000001</v>
      </c>
      <c r="BB130" s="199">
        <v>0.156</v>
      </c>
      <c r="BD130" s="197">
        <v>0.77</v>
      </c>
      <c r="BE130" s="198">
        <v>3.2052</v>
      </c>
      <c r="BF130" s="199">
        <v>0.13461999999999999</v>
      </c>
      <c r="BH130" s="197">
        <v>0.77</v>
      </c>
      <c r="BI130" s="198">
        <v>311.99</v>
      </c>
      <c r="BJ130" s="199">
        <v>7.4279999999999999</v>
      </c>
      <c r="BL130" s="197">
        <v>0.77</v>
      </c>
      <c r="BM130" s="198">
        <v>2.8618000000000001</v>
      </c>
      <c r="BN130" s="199">
        <v>0.12019000000000001</v>
      </c>
      <c r="BP130" s="197">
        <v>0.77</v>
      </c>
      <c r="BQ130" s="200">
        <v>349.43</v>
      </c>
      <c r="BR130" s="199">
        <v>8.32</v>
      </c>
      <c r="BT130" s="197">
        <v>0.77</v>
      </c>
      <c r="BU130" s="201">
        <v>1.1802999999999999</v>
      </c>
      <c r="BV130" s="202">
        <v>1.3219000000000001</v>
      </c>
      <c r="BX130" s="37">
        <v>770</v>
      </c>
      <c r="BY130" s="38">
        <v>0.77029999999999998</v>
      </c>
      <c r="BZ130" s="39">
        <v>52.2</v>
      </c>
      <c r="CA130" s="33"/>
      <c r="CB130" s="37">
        <v>770</v>
      </c>
      <c r="CC130" s="38">
        <v>0.15889</v>
      </c>
      <c r="CD130" s="42">
        <v>6.2939999999999996</v>
      </c>
      <c r="CE130" s="33"/>
      <c r="CF130" s="33"/>
      <c r="CG130" s="33"/>
      <c r="CH130" s="33"/>
      <c r="CI130" s="33"/>
      <c r="CJ130" s="33"/>
      <c r="CK130" s="33"/>
      <c r="CL130" s="40">
        <v>770</v>
      </c>
      <c r="CM130" s="43">
        <v>768.9</v>
      </c>
      <c r="CN130" s="41">
        <v>1.3006</v>
      </c>
      <c r="CO130" s="33"/>
      <c r="CP130" s="40">
        <v>770</v>
      </c>
      <c r="CQ130" s="34">
        <v>0.84760000000000002</v>
      </c>
      <c r="CR130" s="41">
        <v>0.75680000000000003</v>
      </c>
      <c r="CS130" s="33"/>
      <c r="CT130" s="40">
        <v>770</v>
      </c>
      <c r="CU130" s="44">
        <v>343.79</v>
      </c>
      <c r="CV130" s="42">
        <v>8.1859999999999999</v>
      </c>
    </row>
    <row r="131" spans="4:100">
      <c r="D131" s="30">
        <v>12.1</v>
      </c>
      <c r="E131" s="31">
        <v>0.98540000000000005</v>
      </c>
      <c r="F131" s="32">
        <v>984.8</v>
      </c>
      <c r="G131" s="33"/>
      <c r="H131" s="30">
        <v>12.1</v>
      </c>
      <c r="I131" s="34">
        <v>3.7839999999999998</v>
      </c>
      <c r="J131" s="35">
        <v>0.15892999999999999</v>
      </c>
      <c r="L131" s="30">
        <v>12.1</v>
      </c>
      <c r="M131" s="172">
        <v>8.2059999999999995</v>
      </c>
      <c r="N131" s="173">
        <v>0.12186</v>
      </c>
      <c r="P131" s="30">
        <v>12.1</v>
      </c>
      <c r="Q131" s="172">
        <v>4.1031000000000004</v>
      </c>
      <c r="R131" s="173">
        <v>0.17233000000000001</v>
      </c>
      <c r="T131" s="30">
        <v>12.1</v>
      </c>
      <c r="U131" s="172">
        <v>243.72</v>
      </c>
      <c r="V131" s="173">
        <v>5.8029999999999999</v>
      </c>
      <c r="X131" s="30">
        <v>12.1</v>
      </c>
      <c r="Y131" s="34">
        <v>3.6635</v>
      </c>
      <c r="Z131" s="35">
        <v>0.15387000000000001</v>
      </c>
      <c r="AA131" s="36"/>
      <c r="AB131" s="30">
        <v>12.1</v>
      </c>
      <c r="AC131" s="44">
        <v>272.95999999999998</v>
      </c>
      <c r="AD131" s="35">
        <v>6.4989999999999997</v>
      </c>
      <c r="AE131" s="36"/>
      <c r="AF131" s="30">
        <v>12.1</v>
      </c>
      <c r="AG131" s="34">
        <v>3.7223000000000002</v>
      </c>
      <c r="AH131" s="35">
        <v>0.15634000000000001</v>
      </c>
      <c r="AI131" s="35"/>
      <c r="AJ131" s="35">
        <v>0.10978</v>
      </c>
      <c r="AK131" s="998">
        <v>72.900000000000006</v>
      </c>
      <c r="AM131" s="30">
        <v>12.1</v>
      </c>
      <c r="AN131" s="34">
        <v>0.92220000000000002</v>
      </c>
      <c r="AO131" s="35">
        <v>1.0328999999999999</v>
      </c>
      <c r="AQ131" s="197">
        <v>0.77100000000000002</v>
      </c>
      <c r="AR131" s="200">
        <v>52.03</v>
      </c>
      <c r="AS131" s="199">
        <v>770.7</v>
      </c>
      <c r="AZ131" s="197">
        <v>0.77100000000000002</v>
      </c>
      <c r="BA131" s="198">
        <v>6.4187000000000003</v>
      </c>
      <c r="BB131" s="199">
        <v>0.15579000000000001</v>
      </c>
      <c r="BD131" s="197">
        <v>0.77100000000000002</v>
      </c>
      <c r="BE131" s="198">
        <v>3.2094</v>
      </c>
      <c r="BF131" s="199">
        <v>0.13478999999999999</v>
      </c>
      <c r="BH131" s="197">
        <v>0.77100000000000002</v>
      </c>
      <c r="BI131" s="198">
        <v>311.58999999999997</v>
      </c>
      <c r="BJ131" s="199">
        <v>7.4189999999999996</v>
      </c>
      <c r="BL131" s="197">
        <v>0.77100000000000002</v>
      </c>
      <c r="BM131" s="198">
        <v>2.8654999999999999</v>
      </c>
      <c r="BN131" s="199">
        <v>0.12035</v>
      </c>
      <c r="BP131" s="197">
        <v>0.77100000000000002</v>
      </c>
      <c r="BQ131" s="200">
        <v>348.98</v>
      </c>
      <c r="BR131" s="199">
        <v>8.3089999999999993</v>
      </c>
      <c r="BT131" s="197">
        <v>0.77100000000000002</v>
      </c>
      <c r="BU131" s="201">
        <v>1.1787000000000001</v>
      </c>
      <c r="BV131" s="202">
        <v>1.3202</v>
      </c>
      <c r="BX131" s="37">
        <v>771</v>
      </c>
      <c r="BY131" s="38">
        <v>0.77129999999999999</v>
      </c>
      <c r="BZ131" s="39">
        <v>51.96</v>
      </c>
      <c r="CA131" s="33"/>
      <c r="CB131" s="37">
        <v>771</v>
      </c>
      <c r="CC131" s="38">
        <v>0.15889</v>
      </c>
      <c r="CD131" s="42">
        <v>6.2939999999999996</v>
      </c>
      <c r="CE131" s="33"/>
      <c r="CF131" s="33"/>
      <c r="CG131" s="33"/>
      <c r="CH131" s="33"/>
      <c r="CI131" s="33"/>
      <c r="CJ131" s="33"/>
      <c r="CK131" s="33"/>
      <c r="CL131" s="40">
        <v>771</v>
      </c>
      <c r="CM131" s="43">
        <v>769.9</v>
      </c>
      <c r="CN131" s="41">
        <v>1.2988999999999999</v>
      </c>
      <c r="CO131" s="33"/>
      <c r="CP131" s="40">
        <v>771</v>
      </c>
      <c r="CQ131" s="34">
        <v>0.84870000000000001</v>
      </c>
      <c r="CR131" s="41">
        <v>0.75770000000000004</v>
      </c>
      <c r="CS131" s="33"/>
      <c r="CT131" s="40">
        <v>771</v>
      </c>
      <c r="CU131" s="44">
        <v>343.34</v>
      </c>
      <c r="CV131" s="42">
        <v>8.1750000000000007</v>
      </c>
    </row>
    <row r="132" spans="4:100">
      <c r="D132" s="30">
        <v>12.2</v>
      </c>
      <c r="E132" s="31">
        <v>0.98470000000000002</v>
      </c>
      <c r="F132" s="32">
        <v>984.1</v>
      </c>
      <c r="G132" s="33"/>
      <c r="H132" s="30">
        <v>12.2</v>
      </c>
      <c r="I132" s="34">
        <v>3.7839999999999998</v>
      </c>
      <c r="J132" s="35">
        <v>0.15892999999999999</v>
      </c>
      <c r="L132" s="30">
        <v>12.2</v>
      </c>
      <c r="M132" s="172">
        <v>8.2010000000000005</v>
      </c>
      <c r="N132" s="173">
        <v>0.12194000000000001</v>
      </c>
      <c r="P132" s="30">
        <v>12.2</v>
      </c>
      <c r="Q132" s="172">
        <v>4.1002999999999998</v>
      </c>
      <c r="R132" s="173">
        <v>0.17221</v>
      </c>
      <c r="T132" s="30">
        <v>12.2</v>
      </c>
      <c r="U132" s="172">
        <v>243.89</v>
      </c>
      <c r="V132" s="173">
        <v>5.8070000000000004</v>
      </c>
      <c r="X132" s="30">
        <v>12.2</v>
      </c>
      <c r="Y132" s="34">
        <v>3.661</v>
      </c>
      <c r="Z132" s="35">
        <v>0.15376000000000001</v>
      </c>
      <c r="AA132" s="36"/>
      <c r="AB132" s="30">
        <v>12.2</v>
      </c>
      <c r="AC132" s="44">
        <v>273.14999999999998</v>
      </c>
      <c r="AD132" s="35">
        <v>6.5039999999999996</v>
      </c>
      <c r="AE132" s="36"/>
      <c r="AF132" s="30">
        <v>12.2</v>
      </c>
      <c r="AG132" s="34">
        <v>3.7197</v>
      </c>
      <c r="AH132" s="35">
        <v>0.15623000000000001</v>
      </c>
      <c r="AI132" s="35"/>
      <c r="AJ132" s="35">
        <v>0.10983</v>
      </c>
      <c r="AK132" s="998">
        <v>72.8</v>
      </c>
      <c r="AM132" s="30">
        <v>12.2</v>
      </c>
      <c r="AN132" s="34">
        <v>0.92290000000000005</v>
      </c>
      <c r="AO132" s="35">
        <v>1.0336000000000001</v>
      </c>
      <c r="AQ132" s="197">
        <v>0.77200000000000002</v>
      </c>
      <c r="AR132" s="200">
        <v>51.79</v>
      </c>
      <c r="AS132" s="199">
        <v>771.7</v>
      </c>
      <c r="AZ132" s="197">
        <v>0.77200000000000002</v>
      </c>
      <c r="BA132" s="198">
        <v>6.4271000000000003</v>
      </c>
      <c r="BB132" s="199">
        <v>0.15559000000000001</v>
      </c>
      <c r="BD132" s="197">
        <v>0.77200000000000002</v>
      </c>
      <c r="BE132" s="198">
        <v>3.2134999999999998</v>
      </c>
      <c r="BF132" s="199">
        <v>0.13497000000000001</v>
      </c>
      <c r="BH132" s="197">
        <v>0.77200000000000002</v>
      </c>
      <c r="BI132" s="198">
        <v>311.18</v>
      </c>
      <c r="BJ132" s="199">
        <v>7.4089999999999998</v>
      </c>
      <c r="BL132" s="197">
        <v>0.77200000000000002</v>
      </c>
      <c r="BM132" s="198">
        <v>2.8692000000000002</v>
      </c>
      <c r="BN132" s="199">
        <v>0.12051000000000001</v>
      </c>
      <c r="BP132" s="197">
        <v>0.77200000000000002</v>
      </c>
      <c r="BQ132" s="200">
        <v>348.53</v>
      </c>
      <c r="BR132" s="199">
        <v>8.298</v>
      </c>
      <c r="BT132" s="197">
        <v>0.77200000000000002</v>
      </c>
      <c r="BU132" s="201">
        <v>1.1772</v>
      </c>
      <c r="BV132" s="202">
        <v>1.3185</v>
      </c>
      <c r="BX132" s="37">
        <v>772</v>
      </c>
      <c r="BY132" s="38">
        <v>0.77229999999999999</v>
      </c>
      <c r="BZ132" s="39">
        <v>51.72</v>
      </c>
      <c r="CA132" s="33"/>
      <c r="CB132" s="37">
        <v>772</v>
      </c>
      <c r="CC132" s="38">
        <v>0.15889</v>
      </c>
      <c r="CD132" s="42">
        <v>6.2939999999999996</v>
      </c>
      <c r="CE132" s="33"/>
      <c r="CF132" s="33"/>
      <c r="CG132" s="33"/>
      <c r="CH132" s="33"/>
      <c r="CI132" s="33"/>
      <c r="CJ132" s="33"/>
      <c r="CK132" s="33"/>
      <c r="CL132" s="40">
        <v>772</v>
      </c>
      <c r="CM132" s="43">
        <v>770.9</v>
      </c>
      <c r="CN132" s="41">
        <v>1.2971999999999999</v>
      </c>
      <c r="CO132" s="33"/>
      <c r="CP132" s="40">
        <v>772</v>
      </c>
      <c r="CQ132" s="34">
        <v>0.8498</v>
      </c>
      <c r="CR132" s="41">
        <v>0.75870000000000004</v>
      </c>
      <c r="CS132" s="33"/>
      <c r="CT132" s="40">
        <v>772</v>
      </c>
      <c r="CU132" s="44">
        <v>342.9</v>
      </c>
      <c r="CV132" s="42">
        <v>8.1639999999999997</v>
      </c>
    </row>
    <row r="133" spans="4:100">
      <c r="D133" s="30">
        <v>12.3</v>
      </c>
      <c r="E133" s="31">
        <v>0.98399999999999999</v>
      </c>
      <c r="F133" s="32">
        <v>983.4</v>
      </c>
      <c r="G133" s="33"/>
      <c r="H133" s="30">
        <v>12.3</v>
      </c>
      <c r="I133" s="34">
        <v>3.7839999999999998</v>
      </c>
      <c r="J133" s="35">
        <v>0.15892999999999999</v>
      </c>
      <c r="L133" s="30">
        <v>12.3</v>
      </c>
      <c r="M133" s="172">
        <v>8.1950000000000003</v>
      </c>
      <c r="N133" s="173">
        <v>0.12203</v>
      </c>
      <c r="P133" s="30">
        <v>12.3</v>
      </c>
      <c r="Q133" s="172">
        <v>4.0974000000000004</v>
      </c>
      <c r="R133" s="173">
        <v>0.17208999999999999</v>
      </c>
      <c r="T133" s="30">
        <v>12.3</v>
      </c>
      <c r="U133" s="172">
        <v>244.06</v>
      </c>
      <c r="V133" s="173">
        <v>5.8109999999999999</v>
      </c>
      <c r="X133" s="30">
        <v>12.3</v>
      </c>
      <c r="Y133" s="34">
        <v>3.6583999999999999</v>
      </c>
      <c r="Z133" s="35">
        <v>0.15365000000000001</v>
      </c>
      <c r="AA133" s="36"/>
      <c r="AB133" s="30">
        <v>12.3</v>
      </c>
      <c r="AC133" s="44">
        <v>273.33999999999997</v>
      </c>
      <c r="AD133" s="35">
        <v>6.508</v>
      </c>
      <c r="AE133" s="36"/>
      <c r="AF133" s="30">
        <v>12.3</v>
      </c>
      <c r="AG133" s="34">
        <v>3.7170999999999998</v>
      </c>
      <c r="AH133" s="35">
        <v>0.15612000000000001</v>
      </c>
      <c r="AI133" s="35"/>
      <c r="AJ133" s="35">
        <v>0.10988000000000001</v>
      </c>
      <c r="AK133" s="998">
        <v>72.7</v>
      </c>
      <c r="AM133" s="30">
        <v>12.3</v>
      </c>
      <c r="AN133" s="34">
        <v>0.92349999999999999</v>
      </c>
      <c r="AO133" s="35">
        <v>1.0343</v>
      </c>
      <c r="AQ133" s="197">
        <v>0.77300000000000002</v>
      </c>
      <c r="AR133" s="200">
        <v>51.55</v>
      </c>
      <c r="AS133" s="199">
        <v>772.7</v>
      </c>
      <c r="AZ133" s="197">
        <v>0.77300000000000002</v>
      </c>
      <c r="BA133" s="198">
        <v>6.4353999999999996</v>
      </c>
      <c r="BB133" s="199">
        <v>0.15539</v>
      </c>
      <c r="BD133" s="197">
        <v>0.77300000000000002</v>
      </c>
      <c r="BE133" s="198">
        <v>3.2176999999999998</v>
      </c>
      <c r="BF133" s="199">
        <v>0.13514000000000001</v>
      </c>
      <c r="BH133" s="197">
        <v>0.77300000000000002</v>
      </c>
      <c r="BI133" s="198">
        <v>310.77999999999997</v>
      </c>
      <c r="BJ133" s="199">
        <v>7.4</v>
      </c>
      <c r="BL133" s="197">
        <v>0.77300000000000002</v>
      </c>
      <c r="BM133" s="198">
        <v>2.8729</v>
      </c>
      <c r="BN133" s="199">
        <v>0.12066</v>
      </c>
      <c r="BP133" s="197">
        <v>0.77300000000000002</v>
      </c>
      <c r="BQ133" s="200">
        <v>348.07</v>
      </c>
      <c r="BR133" s="199">
        <v>8.2870000000000008</v>
      </c>
      <c r="BT133" s="197">
        <v>0.77300000000000002</v>
      </c>
      <c r="BU133" s="201">
        <v>1.1757</v>
      </c>
      <c r="BV133" s="202">
        <v>1.3168</v>
      </c>
      <c r="BX133" s="37">
        <v>773</v>
      </c>
      <c r="BY133" s="38">
        <v>0.77329999999999999</v>
      </c>
      <c r="BZ133" s="39">
        <v>51.49</v>
      </c>
      <c r="CA133" s="33"/>
      <c r="CB133" s="37">
        <v>773</v>
      </c>
      <c r="CC133" s="38">
        <v>0.15889</v>
      </c>
      <c r="CD133" s="42">
        <v>6.2939999999999996</v>
      </c>
      <c r="CE133" s="33"/>
      <c r="CF133" s="33"/>
      <c r="CG133" s="33"/>
      <c r="CH133" s="33"/>
      <c r="CI133" s="33"/>
      <c r="CJ133" s="33"/>
      <c r="CK133" s="33"/>
      <c r="CL133" s="40">
        <v>773</v>
      </c>
      <c r="CM133" s="43">
        <v>771.9</v>
      </c>
      <c r="CN133" s="41">
        <v>1.2955000000000001</v>
      </c>
      <c r="CO133" s="33"/>
      <c r="CP133" s="40">
        <v>773</v>
      </c>
      <c r="CQ133" s="34">
        <v>0.85089999999999999</v>
      </c>
      <c r="CR133" s="41">
        <v>0.75970000000000004</v>
      </c>
      <c r="CS133" s="33"/>
      <c r="CT133" s="40">
        <v>773</v>
      </c>
      <c r="CU133" s="44">
        <v>342.45</v>
      </c>
      <c r="CV133" s="42">
        <v>8.1539999999999999</v>
      </c>
    </row>
    <row r="134" spans="4:100">
      <c r="D134" s="30">
        <v>12.4</v>
      </c>
      <c r="E134" s="31">
        <v>0.98329999999999995</v>
      </c>
      <c r="F134" s="32">
        <v>982.7</v>
      </c>
      <c r="G134" s="33"/>
      <c r="H134" s="30">
        <v>12.4</v>
      </c>
      <c r="I134" s="34">
        <v>3.7839999999999998</v>
      </c>
      <c r="J134" s="35">
        <v>0.15892999999999999</v>
      </c>
      <c r="L134" s="30">
        <v>12.4</v>
      </c>
      <c r="M134" s="172">
        <v>8.1890000000000001</v>
      </c>
      <c r="N134" s="173">
        <v>0.12211</v>
      </c>
      <c r="P134" s="30">
        <v>12.4</v>
      </c>
      <c r="Q134" s="172">
        <v>4.0945999999999998</v>
      </c>
      <c r="R134" s="173">
        <v>0.17197000000000001</v>
      </c>
      <c r="T134" s="30">
        <v>12.4</v>
      </c>
      <c r="U134" s="172">
        <v>244.23</v>
      </c>
      <c r="V134" s="173">
        <v>5.8150000000000004</v>
      </c>
      <c r="X134" s="30">
        <v>12.4</v>
      </c>
      <c r="Y134" s="34">
        <v>3.6558999999999999</v>
      </c>
      <c r="Z134" s="35">
        <v>0.15354999999999999</v>
      </c>
      <c r="AA134" s="36"/>
      <c r="AB134" s="30">
        <v>12.4</v>
      </c>
      <c r="AC134" s="44">
        <v>273.52999999999997</v>
      </c>
      <c r="AD134" s="35">
        <v>6.5129999999999999</v>
      </c>
      <c r="AE134" s="36"/>
      <c r="AF134" s="30">
        <v>12.4</v>
      </c>
      <c r="AG134" s="34">
        <v>3.7145000000000001</v>
      </c>
      <c r="AH134" s="35">
        <v>0.15601000000000001</v>
      </c>
      <c r="AI134" s="35"/>
      <c r="AJ134" s="35">
        <v>0.10994</v>
      </c>
      <c r="AK134" s="998">
        <v>72.599999999999994</v>
      </c>
      <c r="AM134" s="30">
        <v>12.4</v>
      </c>
      <c r="AN134" s="34">
        <v>0.92410000000000003</v>
      </c>
      <c r="AO134" s="35">
        <v>1.0349999999999999</v>
      </c>
      <c r="AQ134" s="197">
        <v>0.77400000000000002</v>
      </c>
      <c r="AR134" s="200">
        <v>51.32</v>
      </c>
      <c r="AS134" s="199">
        <v>773.7</v>
      </c>
      <c r="AZ134" s="197">
        <v>0.77400000000000002</v>
      </c>
      <c r="BA134" s="198">
        <v>6.4436999999999998</v>
      </c>
      <c r="BB134" s="199">
        <v>0.15518999999999999</v>
      </c>
      <c r="BD134" s="197">
        <v>0.77400000000000002</v>
      </c>
      <c r="BE134" s="198">
        <v>3.2219000000000002</v>
      </c>
      <c r="BF134" s="199">
        <v>0.13532</v>
      </c>
      <c r="BH134" s="197">
        <v>0.77400000000000002</v>
      </c>
      <c r="BI134" s="198">
        <v>310.38</v>
      </c>
      <c r="BJ134" s="199">
        <v>7.39</v>
      </c>
      <c r="BL134" s="197">
        <v>0.77400000000000002</v>
      </c>
      <c r="BM134" s="198">
        <v>2.8767</v>
      </c>
      <c r="BN134" s="199">
        <v>0.12082</v>
      </c>
      <c r="BP134" s="197">
        <v>0.77400000000000002</v>
      </c>
      <c r="BQ134" s="200">
        <v>347.62</v>
      </c>
      <c r="BR134" s="199">
        <v>8.2769999999999992</v>
      </c>
      <c r="BT134" s="197">
        <v>0.77400000000000002</v>
      </c>
      <c r="BU134" s="201">
        <v>1.1741999999999999</v>
      </c>
      <c r="BV134" s="202">
        <v>1.3150999999999999</v>
      </c>
      <c r="BX134" s="37">
        <v>774</v>
      </c>
      <c r="BY134" s="38">
        <v>0.77429999999999999</v>
      </c>
      <c r="BZ134" s="39">
        <v>51.25</v>
      </c>
      <c r="CA134" s="33"/>
      <c r="CB134" s="37">
        <v>774</v>
      </c>
      <c r="CC134" s="38">
        <v>0.15889</v>
      </c>
      <c r="CD134" s="42">
        <v>6.2939999999999996</v>
      </c>
      <c r="CE134" s="33"/>
      <c r="CF134" s="33"/>
      <c r="CG134" s="33"/>
      <c r="CH134" s="33"/>
      <c r="CI134" s="33"/>
      <c r="CJ134" s="33"/>
      <c r="CK134" s="33"/>
      <c r="CL134" s="40">
        <v>774</v>
      </c>
      <c r="CM134" s="43">
        <v>772.9</v>
      </c>
      <c r="CN134" s="41">
        <v>1.2938000000000001</v>
      </c>
      <c r="CO134" s="33"/>
      <c r="CP134" s="40">
        <v>774</v>
      </c>
      <c r="CQ134" s="34">
        <v>0.85199999999999998</v>
      </c>
      <c r="CR134" s="41">
        <v>0.76070000000000004</v>
      </c>
      <c r="CS134" s="33"/>
      <c r="CT134" s="40">
        <v>774</v>
      </c>
      <c r="CU134" s="44">
        <v>342</v>
      </c>
      <c r="CV134" s="42">
        <v>8.1430000000000007</v>
      </c>
    </row>
    <row r="135" spans="4:100">
      <c r="D135" s="30">
        <v>12.5</v>
      </c>
      <c r="E135" s="31">
        <v>0.98260000000000003</v>
      </c>
      <c r="F135" s="32">
        <v>982</v>
      </c>
      <c r="G135" s="33"/>
      <c r="H135" s="30">
        <v>12.5</v>
      </c>
      <c r="I135" s="34">
        <v>3.7839999999999998</v>
      </c>
      <c r="J135" s="35">
        <v>0.15892999999999999</v>
      </c>
      <c r="L135" s="30">
        <v>12.5</v>
      </c>
      <c r="M135" s="172">
        <v>8.1829999999999998</v>
      </c>
      <c r="N135" s="173">
        <v>0.1222</v>
      </c>
      <c r="P135" s="30">
        <v>12.5</v>
      </c>
      <c r="Q135" s="172">
        <v>4.0917000000000003</v>
      </c>
      <c r="R135" s="173">
        <v>0.17185</v>
      </c>
      <c r="T135" s="30">
        <v>12.5</v>
      </c>
      <c r="U135" s="172">
        <v>244.4</v>
      </c>
      <c r="V135" s="173">
        <v>5.819</v>
      </c>
      <c r="X135" s="30">
        <v>12.5</v>
      </c>
      <c r="Y135" s="34">
        <v>3.6533000000000002</v>
      </c>
      <c r="Z135" s="35">
        <v>0.15343999999999999</v>
      </c>
      <c r="AA135" s="36"/>
      <c r="AB135" s="30">
        <v>12.5</v>
      </c>
      <c r="AC135" s="44">
        <v>273.72000000000003</v>
      </c>
      <c r="AD135" s="35">
        <v>6.5170000000000003</v>
      </c>
      <c r="AE135" s="36"/>
      <c r="AF135" s="30">
        <v>12.5</v>
      </c>
      <c r="AG135" s="34">
        <v>3.7119</v>
      </c>
      <c r="AH135" s="35">
        <v>0.15590000000000001</v>
      </c>
      <c r="AI135" s="35"/>
      <c r="AJ135" s="35">
        <v>0.10999</v>
      </c>
      <c r="AK135" s="998">
        <v>72.5</v>
      </c>
      <c r="AM135" s="30">
        <v>12.5</v>
      </c>
      <c r="AN135" s="34">
        <v>0.92479999999999996</v>
      </c>
      <c r="AO135" s="35">
        <v>1.0358000000000001</v>
      </c>
      <c r="AQ135" s="197">
        <v>0.77500000000000002</v>
      </c>
      <c r="AR135" s="200">
        <v>51.08</v>
      </c>
      <c r="AS135" s="199">
        <v>774.7</v>
      </c>
      <c r="AZ135" s="197">
        <v>0.77500000000000002</v>
      </c>
      <c r="BA135" s="198">
        <v>6.4520999999999997</v>
      </c>
      <c r="BB135" s="199">
        <v>0.15498999999999999</v>
      </c>
      <c r="BD135" s="197">
        <v>0.77500000000000002</v>
      </c>
      <c r="BE135" s="198">
        <v>3.226</v>
      </c>
      <c r="BF135" s="199">
        <v>0.13549</v>
      </c>
      <c r="BH135" s="197">
        <v>0.77500000000000002</v>
      </c>
      <c r="BI135" s="198">
        <v>309.98</v>
      </c>
      <c r="BJ135" s="199">
        <v>7.38</v>
      </c>
      <c r="BL135" s="197">
        <v>0.77500000000000002</v>
      </c>
      <c r="BM135" s="198">
        <v>2.8803999999999998</v>
      </c>
      <c r="BN135" s="199">
        <v>0.12098</v>
      </c>
      <c r="BP135" s="197">
        <v>0.77500000000000002</v>
      </c>
      <c r="BQ135" s="200">
        <v>347.18</v>
      </c>
      <c r="BR135" s="199">
        <v>8.266</v>
      </c>
      <c r="BT135" s="197">
        <v>0.77500000000000002</v>
      </c>
      <c r="BU135" s="201">
        <v>1.1727000000000001</v>
      </c>
      <c r="BV135" s="202">
        <v>1.3133999999999999</v>
      </c>
      <c r="BX135" s="37">
        <v>775</v>
      </c>
      <c r="BY135" s="38">
        <v>0.77529999999999999</v>
      </c>
      <c r="BZ135" s="39">
        <v>51.01</v>
      </c>
      <c r="CA135" s="33"/>
      <c r="CB135" s="37">
        <v>775</v>
      </c>
      <c r="CC135" s="38">
        <v>0.15889</v>
      </c>
      <c r="CD135" s="42">
        <v>6.2939999999999996</v>
      </c>
      <c r="CE135" s="33"/>
      <c r="CF135" s="33"/>
      <c r="CG135" s="33"/>
      <c r="CH135" s="33"/>
      <c r="CI135" s="33"/>
      <c r="CJ135" s="33"/>
      <c r="CK135" s="33"/>
      <c r="CL135" s="40">
        <v>775</v>
      </c>
      <c r="CM135" s="43">
        <v>773.9</v>
      </c>
      <c r="CN135" s="41">
        <v>1.2922</v>
      </c>
      <c r="CO135" s="33"/>
      <c r="CP135" s="40">
        <v>775</v>
      </c>
      <c r="CQ135" s="34">
        <v>0.85309999999999997</v>
      </c>
      <c r="CR135" s="41">
        <v>0.76170000000000004</v>
      </c>
      <c r="CS135" s="33"/>
      <c r="CT135" s="40">
        <v>775</v>
      </c>
      <c r="CU135" s="44">
        <v>341.56</v>
      </c>
      <c r="CV135" s="42">
        <v>8.1319999999999997</v>
      </c>
    </row>
    <row r="136" spans="4:100">
      <c r="D136" s="30">
        <v>12.6</v>
      </c>
      <c r="E136" s="31">
        <v>0.98199999999999998</v>
      </c>
      <c r="F136" s="32">
        <v>981.4</v>
      </c>
      <c r="G136" s="33"/>
      <c r="H136" s="30">
        <v>12.6</v>
      </c>
      <c r="I136" s="34">
        <v>3.7839999999999998</v>
      </c>
      <c r="J136" s="35">
        <v>0.15892999999999999</v>
      </c>
      <c r="L136" s="30">
        <v>12.6</v>
      </c>
      <c r="M136" s="172">
        <v>8.1780000000000008</v>
      </c>
      <c r="N136" s="173">
        <v>0.12228</v>
      </c>
      <c r="P136" s="30">
        <v>12.6</v>
      </c>
      <c r="Q136" s="172">
        <v>4.0888999999999998</v>
      </c>
      <c r="R136" s="173">
        <v>0.17172999999999999</v>
      </c>
      <c r="T136" s="30">
        <v>12.6</v>
      </c>
      <c r="U136" s="172">
        <v>244.57</v>
      </c>
      <c r="V136" s="173">
        <v>5.8230000000000004</v>
      </c>
      <c r="X136" s="30">
        <v>12.6</v>
      </c>
      <c r="Y136" s="34">
        <v>3.6507999999999998</v>
      </c>
      <c r="Z136" s="35">
        <v>0.15332999999999999</v>
      </c>
      <c r="AA136" s="36"/>
      <c r="AB136" s="30">
        <v>12.6</v>
      </c>
      <c r="AC136" s="44">
        <v>273.91000000000003</v>
      </c>
      <c r="AD136" s="35">
        <v>6.5220000000000002</v>
      </c>
      <c r="AE136" s="36"/>
      <c r="AF136" s="30">
        <v>12.6</v>
      </c>
      <c r="AG136" s="34">
        <v>3.7094</v>
      </c>
      <c r="AH136" s="35">
        <v>0.15579000000000001</v>
      </c>
      <c r="AI136" s="35"/>
      <c r="AJ136" s="35">
        <v>0.11005</v>
      </c>
      <c r="AK136" s="998">
        <v>72.400000000000006</v>
      </c>
      <c r="AM136" s="30">
        <v>12.6</v>
      </c>
      <c r="AN136" s="34">
        <v>0.9254</v>
      </c>
      <c r="AO136" s="35">
        <v>1.0365</v>
      </c>
      <c r="AQ136" s="197">
        <v>0.77600000000000002</v>
      </c>
      <c r="AR136" s="200">
        <v>50.85</v>
      </c>
      <c r="AS136" s="199">
        <v>775.7</v>
      </c>
      <c r="AZ136" s="197">
        <v>0.77600000000000002</v>
      </c>
      <c r="BA136" s="198">
        <v>6.4603999999999999</v>
      </c>
      <c r="BB136" s="199">
        <v>0.15479000000000001</v>
      </c>
      <c r="BD136" s="197">
        <v>0.77600000000000002</v>
      </c>
      <c r="BE136" s="198">
        <v>3.2302</v>
      </c>
      <c r="BF136" s="199">
        <v>0.13567000000000001</v>
      </c>
      <c r="BH136" s="197">
        <v>0.77600000000000002</v>
      </c>
      <c r="BI136" s="198">
        <v>309.58</v>
      </c>
      <c r="BJ136" s="199">
        <v>7.3710000000000004</v>
      </c>
      <c r="BL136" s="197">
        <v>0.77600000000000002</v>
      </c>
      <c r="BM136" s="198">
        <v>2.8841000000000001</v>
      </c>
      <c r="BN136" s="199">
        <v>0.12113</v>
      </c>
      <c r="BP136" s="197">
        <v>0.77600000000000002</v>
      </c>
      <c r="BQ136" s="200">
        <v>346.73</v>
      </c>
      <c r="BR136" s="199">
        <v>8.2550000000000008</v>
      </c>
      <c r="BT136" s="197">
        <v>0.77600000000000002</v>
      </c>
      <c r="BU136" s="201">
        <v>1.1712</v>
      </c>
      <c r="BV136" s="202">
        <v>1.3117000000000001</v>
      </c>
      <c r="BX136" s="37">
        <v>776</v>
      </c>
      <c r="BY136" s="38">
        <v>0.77629999999999999</v>
      </c>
      <c r="BZ136" s="39">
        <v>50.78</v>
      </c>
      <c r="CA136" s="33"/>
      <c r="CB136" s="37">
        <v>776</v>
      </c>
      <c r="CC136" s="38">
        <v>0.15889</v>
      </c>
      <c r="CD136" s="42">
        <v>6.2939999999999996</v>
      </c>
      <c r="CE136" s="33"/>
      <c r="CF136" s="33"/>
      <c r="CG136" s="33"/>
      <c r="CH136" s="33"/>
      <c r="CI136" s="33"/>
      <c r="CJ136" s="33"/>
      <c r="CK136" s="33"/>
      <c r="CL136" s="40">
        <v>776</v>
      </c>
      <c r="CM136" s="43">
        <v>774.9</v>
      </c>
      <c r="CN136" s="41">
        <v>1.2905</v>
      </c>
      <c r="CO136" s="33"/>
      <c r="CP136" s="40">
        <v>776</v>
      </c>
      <c r="CQ136" s="34">
        <v>0.85419999999999996</v>
      </c>
      <c r="CR136" s="41">
        <v>0.76270000000000004</v>
      </c>
      <c r="CS136" s="33"/>
      <c r="CT136" s="40">
        <v>776</v>
      </c>
      <c r="CU136" s="44">
        <v>341.12</v>
      </c>
      <c r="CV136" s="42">
        <v>8.1219999999999999</v>
      </c>
    </row>
    <row r="137" spans="4:100">
      <c r="D137" s="30">
        <v>12.7</v>
      </c>
      <c r="E137" s="31">
        <v>0.98129999999999995</v>
      </c>
      <c r="F137" s="32">
        <v>980.7</v>
      </c>
      <c r="G137" s="33"/>
      <c r="H137" s="30">
        <v>12.7</v>
      </c>
      <c r="I137" s="34">
        <v>3.7839999999999998</v>
      </c>
      <c r="J137" s="35">
        <v>0.15892999999999999</v>
      </c>
      <c r="L137" s="30">
        <v>12.7</v>
      </c>
      <c r="M137" s="172">
        <v>8.1720000000000006</v>
      </c>
      <c r="N137" s="173">
        <v>0.12237000000000001</v>
      </c>
      <c r="P137" s="30">
        <v>12.7</v>
      </c>
      <c r="Q137" s="172">
        <v>4.0860000000000003</v>
      </c>
      <c r="R137" s="173">
        <v>0.17161000000000001</v>
      </c>
      <c r="T137" s="30">
        <v>12.7</v>
      </c>
      <c r="U137" s="172">
        <v>244.74</v>
      </c>
      <c r="V137" s="173">
        <v>5.827</v>
      </c>
      <c r="X137" s="30">
        <v>12.7</v>
      </c>
      <c r="Y137" s="34">
        <v>3.6482999999999999</v>
      </c>
      <c r="Z137" s="35">
        <v>0.15323000000000001</v>
      </c>
      <c r="AA137" s="36"/>
      <c r="AB137" s="30">
        <v>12.7</v>
      </c>
      <c r="AC137" s="44">
        <v>274.10000000000002</v>
      </c>
      <c r="AD137" s="35">
        <v>6.5259999999999998</v>
      </c>
      <c r="AE137" s="36"/>
      <c r="AF137" s="30">
        <v>12.7</v>
      </c>
      <c r="AG137" s="34">
        <v>3.7067999999999999</v>
      </c>
      <c r="AH137" s="35">
        <v>0.15569</v>
      </c>
      <c r="AI137" s="35"/>
      <c r="AJ137" s="35">
        <v>0.1101</v>
      </c>
      <c r="AK137" s="998">
        <v>72.3</v>
      </c>
      <c r="AM137" s="30">
        <v>12.7</v>
      </c>
      <c r="AN137" s="34">
        <v>0.92610000000000003</v>
      </c>
      <c r="AO137" s="35">
        <v>1.0371999999999999</v>
      </c>
      <c r="AQ137" s="197">
        <v>0.77700000000000002</v>
      </c>
      <c r="AR137" s="200">
        <v>50.61</v>
      </c>
      <c r="AS137" s="199">
        <v>776.7</v>
      </c>
      <c r="AZ137" s="197">
        <v>0.77700000000000002</v>
      </c>
      <c r="BA137" s="198">
        <v>6.4687999999999999</v>
      </c>
      <c r="BB137" s="199">
        <v>0.15459000000000001</v>
      </c>
      <c r="BD137" s="197">
        <v>0.77700000000000002</v>
      </c>
      <c r="BE137" s="198">
        <v>3.2343999999999999</v>
      </c>
      <c r="BF137" s="199">
        <v>0.13583999999999999</v>
      </c>
      <c r="BH137" s="197">
        <v>0.77700000000000002</v>
      </c>
      <c r="BI137" s="198">
        <v>309.18</v>
      </c>
      <c r="BJ137" s="199">
        <v>7.3609999999999998</v>
      </c>
      <c r="BL137" s="197">
        <v>0.77700000000000002</v>
      </c>
      <c r="BM137" s="198">
        <v>2.8877999999999999</v>
      </c>
      <c r="BN137" s="199">
        <v>0.12129</v>
      </c>
      <c r="BP137" s="197">
        <v>0.77700000000000002</v>
      </c>
      <c r="BQ137" s="200">
        <v>346.28</v>
      </c>
      <c r="BR137" s="199">
        <v>8.2449999999999992</v>
      </c>
      <c r="BT137" s="197">
        <v>0.77700000000000002</v>
      </c>
      <c r="BU137" s="201">
        <v>1.1697</v>
      </c>
      <c r="BV137" s="202">
        <v>1.31</v>
      </c>
      <c r="BX137" s="37">
        <v>777</v>
      </c>
      <c r="BY137" s="38">
        <v>0.77729999999999999</v>
      </c>
      <c r="BZ137" s="39">
        <v>50.54</v>
      </c>
      <c r="CA137" s="33"/>
      <c r="CB137" s="37">
        <v>777</v>
      </c>
      <c r="CC137" s="38">
        <v>0.15889</v>
      </c>
      <c r="CD137" s="42">
        <v>6.2939999999999996</v>
      </c>
      <c r="CE137" s="33"/>
      <c r="CF137" s="33"/>
      <c r="CG137" s="33"/>
      <c r="CH137" s="33"/>
      <c r="CI137" s="33"/>
      <c r="CJ137" s="33"/>
      <c r="CK137" s="33"/>
      <c r="CL137" s="40">
        <v>777</v>
      </c>
      <c r="CM137" s="43">
        <v>775.9</v>
      </c>
      <c r="CN137" s="41">
        <v>1.2887999999999999</v>
      </c>
      <c r="CO137" s="33"/>
      <c r="CP137" s="40">
        <v>777</v>
      </c>
      <c r="CQ137" s="34">
        <v>0.85529999999999995</v>
      </c>
      <c r="CR137" s="41">
        <v>0.76359999999999995</v>
      </c>
      <c r="CS137" s="33"/>
      <c r="CT137" s="40">
        <v>777</v>
      </c>
      <c r="CU137" s="44">
        <v>340.68</v>
      </c>
      <c r="CV137" s="42">
        <v>8.1110000000000007</v>
      </c>
    </row>
    <row r="138" spans="4:100">
      <c r="D138" s="30">
        <v>12.8</v>
      </c>
      <c r="E138" s="31">
        <v>0.98060000000000003</v>
      </c>
      <c r="F138" s="32">
        <v>980</v>
      </c>
      <c r="G138" s="33"/>
      <c r="H138" s="30">
        <v>12.8</v>
      </c>
      <c r="I138" s="34">
        <v>3.7839999999999998</v>
      </c>
      <c r="J138" s="35">
        <v>0.15892999999999999</v>
      </c>
      <c r="L138" s="30">
        <v>12.8</v>
      </c>
      <c r="M138" s="172">
        <v>8.1660000000000004</v>
      </c>
      <c r="N138" s="173">
        <v>0.12245</v>
      </c>
      <c r="P138" s="30">
        <v>12.8</v>
      </c>
      <c r="Q138" s="172">
        <v>4.0831999999999997</v>
      </c>
      <c r="R138" s="173">
        <v>0.17149</v>
      </c>
      <c r="T138" s="30">
        <v>12.8</v>
      </c>
      <c r="U138" s="172">
        <v>244.91</v>
      </c>
      <c r="V138" s="173">
        <v>5.8310000000000004</v>
      </c>
      <c r="X138" s="30">
        <v>12.8</v>
      </c>
      <c r="Y138" s="34">
        <v>3.6457000000000002</v>
      </c>
      <c r="Z138" s="35">
        <v>0.15312000000000001</v>
      </c>
      <c r="AA138" s="36"/>
      <c r="AB138" s="30">
        <v>12.8</v>
      </c>
      <c r="AC138" s="44">
        <v>274.29000000000002</v>
      </c>
      <c r="AD138" s="35">
        <v>6.5309999999999997</v>
      </c>
      <c r="AE138" s="36"/>
      <c r="AF138" s="30">
        <v>12.8</v>
      </c>
      <c r="AG138" s="34">
        <v>3.7042000000000002</v>
      </c>
      <c r="AH138" s="35">
        <v>0.15558</v>
      </c>
      <c r="AI138" s="35"/>
      <c r="AJ138" s="35">
        <v>0.11015</v>
      </c>
      <c r="AK138" s="998">
        <v>72.2</v>
      </c>
      <c r="AM138" s="30">
        <v>12.8</v>
      </c>
      <c r="AN138" s="34">
        <v>0.92669999999999997</v>
      </c>
      <c r="AO138" s="35">
        <v>1.0379</v>
      </c>
      <c r="AQ138" s="197">
        <v>0.77800000000000002</v>
      </c>
      <c r="AR138" s="200">
        <v>50.38</v>
      </c>
      <c r="AS138" s="199">
        <v>777.7</v>
      </c>
      <c r="AZ138" s="197">
        <v>0.77800000000000002</v>
      </c>
      <c r="BA138" s="198">
        <v>6.4771000000000001</v>
      </c>
      <c r="BB138" s="199">
        <v>0.15439</v>
      </c>
      <c r="BD138" s="197">
        <v>0.77800000000000002</v>
      </c>
      <c r="BE138" s="198">
        <v>3.2385000000000002</v>
      </c>
      <c r="BF138" s="199">
        <v>0.13602</v>
      </c>
      <c r="BH138" s="197">
        <v>0.77800000000000002</v>
      </c>
      <c r="BI138" s="198">
        <v>308.77999999999997</v>
      </c>
      <c r="BJ138" s="199">
        <v>7.3520000000000003</v>
      </c>
      <c r="BL138" s="197">
        <v>0.77800000000000002</v>
      </c>
      <c r="BM138" s="198">
        <v>2.8915999999999999</v>
      </c>
      <c r="BN138" s="199">
        <v>0.12145</v>
      </c>
      <c r="BP138" s="197">
        <v>0.77800000000000002</v>
      </c>
      <c r="BQ138" s="200">
        <v>345.83</v>
      </c>
      <c r="BR138" s="199">
        <v>8.234</v>
      </c>
      <c r="BT138" s="197">
        <v>0.77800000000000002</v>
      </c>
      <c r="BU138" s="201">
        <v>1.1681999999999999</v>
      </c>
      <c r="BV138" s="202">
        <v>1.3083</v>
      </c>
      <c r="BX138" s="37">
        <v>778</v>
      </c>
      <c r="BY138" s="38">
        <v>0.77829999999999999</v>
      </c>
      <c r="BZ138" s="39">
        <v>50.3</v>
      </c>
      <c r="CA138" s="33"/>
      <c r="CB138" s="37">
        <v>778</v>
      </c>
      <c r="CC138" s="38">
        <v>0.15889</v>
      </c>
      <c r="CD138" s="42">
        <v>6.2939999999999996</v>
      </c>
      <c r="CE138" s="33"/>
      <c r="CF138" s="33"/>
      <c r="CG138" s="33"/>
      <c r="CH138" s="33"/>
      <c r="CI138" s="33"/>
      <c r="CJ138" s="33"/>
      <c r="CK138" s="33"/>
      <c r="CL138" s="40">
        <v>778</v>
      </c>
      <c r="CM138" s="43">
        <v>776.9</v>
      </c>
      <c r="CN138" s="41">
        <v>1.2871999999999999</v>
      </c>
      <c r="CO138" s="33"/>
      <c r="CP138" s="40">
        <v>778</v>
      </c>
      <c r="CQ138" s="34">
        <v>0.85640000000000005</v>
      </c>
      <c r="CR138" s="41">
        <v>0.76459999999999995</v>
      </c>
      <c r="CS138" s="33"/>
      <c r="CT138" s="40">
        <v>778</v>
      </c>
      <c r="CU138" s="44">
        <v>340.23</v>
      </c>
      <c r="CV138" s="42">
        <v>8.1010000000000009</v>
      </c>
    </row>
    <row r="139" spans="4:100">
      <c r="D139" s="30">
        <v>12.9</v>
      </c>
      <c r="E139" s="31">
        <v>0.97989999999999999</v>
      </c>
      <c r="F139" s="32">
        <v>979.3</v>
      </c>
      <c r="G139" s="33"/>
      <c r="H139" s="30">
        <v>12.9</v>
      </c>
      <c r="I139" s="34">
        <v>3.7839999999999998</v>
      </c>
      <c r="J139" s="35">
        <v>0.15892999999999999</v>
      </c>
      <c r="L139" s="30">
        <v>12.9</v>
      </c>
      <c r="M139" s="172">
        <v>8.1609999999999996</v>
      </c>
      <c r="N139" s="173">
        <v>0.12254</v>
      </c>
      <c r="P139" s="30">
        <v>12.9</v>
      </c>
      <c r="Q139" s="172">
        <v>4.0804</v>
      </c>
      <c r="R139" s="173">
        <v>0.17138</v>
      </c>
      <c r="T139" s="30">
        <v>12.9</v>
      </c>
      <c r="U139" s="172">
        <v>245.08</v>
      </c>
      <c r="V139" s="173">
        <v>5.835</v>
      </c>
      <c r="X139" s="30">
        <v>12.9</v>
      </c>
      <c r="Y139" s="34">
        <v>3.6432000000000002</v>
      </c>
      <c r="Z139" s="35">
        <v>0.15301000000000001</v>
      </c>
      <c r="AA139" s="36"/>
      <c r="AB139" s="30">
        <v>12.9</v>
      </c>
      <c r="AC139" s="44">
        <v>274.48</v>
      </c>
      <c r="AD139" s="35">
        <v>6.5350000000000001</v>
      </c>
      <c r="AE139" s="36"/>
      <c r="AF139" s="30">
        <v>12.9</v>
      </c>
      <c r="AG139" s="34">
        <v>3.7017000000000002</v>
      </c>
      <c r="AH139" s="35">
        <v>0.15547</v>
      </c>
      <c r="AI139" s="35"/>
      <c r="AJ139" s="35">
        <v>0.11021</v>
      </c>
      <c r="AK139" s="998">
        <v>72.099999999999994</v>
      </c>
      <c r="AM139" s="30">
        <v>12.9</v>
      </c>
      <c r="AN139" s="34">
        <v>0.9274</v>
      </c>
      <c r="AO139" s="35">
        <v>1.0386</v>
      </c>
      <c r="AQ139" s="197">
        <v>0.77900000000000003</v>
      </c>
      <c r="AR139" s="200">
        <v>50.14</v>
      </c>
      <c r="AS139" s="199">
        <v>778.7</v>
      </c>
      <c r="AZ139" s="197">
        <v>0.77900000000000003</v>
      </c>
      <c r="BA139" s="198">
        <v>6.4854000000000003</v>
      </c>
      <c r="BB139" s="199">
        <v>0.15418999999999999</v>
      </c>
      <c r="BD139" s="197">
        <v>0.77900000000000003</v>
      </c>
      <c r="BE139" s="198">
        <v>3.2427000000000001</v>
      </c>
      <c r="BF139" s="199">
        <v>0.13619000000000001</v>
      </c>
      <c r="BH139" s="197">
        <v>0.77900000000000003</v>
      </c>
      <c r="BI139" s="198">
        <v>308.38</v>
      </c>
      <c r="BJ139" s="199">
        <v>7.3419999999999996</v>
      </c>
      <c r="BL139" s="197">
        <v>0.77900000000000003</v>
      </c>
      <c r="BM139" s="198">
        <v>2.8953000000000002</v>
      </c>
      <c r="BN139" s="199">
        <v>0.1216</v>
      </c>
      <c r="BP139" s="197">
        <v>0.77900000000000003</v>
      </c>
      <c r="BQ139" s="200">
        <v>345.39</v>
      </c>
      <c r="BR139" s="199">
        <v>8.2240000000000002</v>
      </c>
      <c r="BT139" s="197">
        <v>0.77900000000000003</v>
      </c>
      <c r="BU139" s="201">
        <v>1.1667000000000001</v>
      </c>
      <c r="BV139" s="202">
        <v>1.3067</v>
      </c>
      <c r="BX139" s="37">
        <v>779</v>
      </c>
      <c r="BY139" s="38">
        <v>0.77929999999999999</v>
      </c>
      <c r="BZ139" s="39">
        <v>50.07</v>
      </c>
      <c r="CA139" s="33"/>
      <c r="CB139" s="37">
        <v>779</v>
      </c>
      <c r="CC139" s="38">
        <v>0.15889</v>
      </c>
      <c r="CD139" s="42">
        <v>6.2930000000000001</v>
      </c>
      <c r="CE139" s="33"/>
      <c r="CF139" s="33"/>
      <c r="CG139" s="33"/>
      <c r="CH139" s="33"/>
      <c r="CI139" s="33"/>
      <c r="CJ139" s="33"/>
      <c r="CK139" s="33"/>
      <c r="CL139" s="40">
        <v>779</v>
      </c>
      <c r="CM139" s="43">
        <v>777.9</v>
      </c>
      <c r="CN139" s="41">
        <v>1.2855000000000001</v>
      </c>
      <c r="CO139" s="33"/>
      <c r="CP139" s="40">
        <v>779</v>
      </c>
      <c r="CQ139" s="34">
        <v>0.85750000000000004</v>
      </c>
      <c r="CR139" s="41">
        <v>0.76559999999999995</v>
      </c>
      <c r="CS139" s="33"/>
      <c r="CT139" s="40">
        <v>779</v>
      </c>
      <c r="CU139" s="44">
        <v>339.8</v>
      </c>
      <c r="CV139" s="42">
        <v>8.09</v>
      </c>
    </row>
    <row r="140" spans="4:100">
      <c r="D140" s="30">
        <v>13</v>
      </c>
      <c r="E140" s="31">
        <v>0.97919999999999996</v>
      </c>
      <c r="F140" s="32">
        <v>978.6</v>
      </c>
      <c r="G140" s="33"/>
      <c r="H140" s="30">
        <v>13</v>
      </c>
      <c r="I140" s="34">
        <v>3.7839999999999998</v>
      </c>
      <c r="J140" s="35">
        <v>0.15892999999999999</v>
      </c>
      <c r="L140" s="30">
        <v>13</v>
      </c>
      <c r="M140" s="172">
        <v>8.1549999999999994</v>
      </c>
      <c r="N140" s="173">
        <v>0.12262000000000001</v>
      </c>
      <c r="P140" s="30">
        <v>13</v>
      </c>
      <c r="Q140" s="172">
        <v>4.0774999999999997</v>
      </c>
      <c r="R140" s="173">
        <v>0.17126</v>
      </c>
      <c r="T140" s="30">
        <v>13</v>
      </c>
      <c r="U140" s="172">
        <v>245.25</v>
      </c>
      <c r="V140" s="173">
        <v>5.8390000000000004</v>
      </c>
      <c r="X140" s="30">
        <v>13</v>
      </c>
      <c r="Y140" s="34">
        <v>3.6406999999999998</v>
      </c>
      <c r="Z140" s="35">
        <v>0.15290999999999999</v>
      </c>
      <c r="AA140" s="36"/>
      <c r="AB140" s="30">
        <v>13</v>
      </c>
      <c r="AC140" s="44">
        <v>274.67</v>
      </c>
      <c r="AD140" s="35">
        <v>6.54</v>
      </c>
      <c r="AE140" s="36"/>
      <c r="AF140" s="30">
        <v>13</v>
      </c>
      <c r="AG140" s="34">
        <v>3.6991000000000001</v>
      </c>
      <c r="AH140" s="35">
        <v>0.15536</v>
      </c>
      <c r="AI140" s="35"/>
      <c r="AJ140" s="35">
        <v>0.11026</v>
      </c>
      <c r="AK140" s="998">
        <v>72</v>
      </c>
      <c r="AM140" s="30">
        <v>13</v>
      </c>
      <c r="AN140" s="34">
        <v>0.92800000000000005</v>
      </c>
      <c r="AO140" s="35">
        <v>1.0394000000000001</v>
      </c>
      <c r="AQ140" s="197">
        <v>0.78</v>
      </c>
      <c r="AR140" s="200">
        <v>49.91</v>
      </c>
      <c r="AS140" s="199">
        <v>779.7</v>
      </c>
      <c r="AZ140" s="197">
        <v>0.78</v>
      </c>
      <c r="BA140" s="198">
        <v>6.4938000000000002</v>
      </c>
      <c r="BB140" s="199">
        <v>0.15398999999999999</v>
      </c>
      <c r="BD140" s="197">
        <v>0.78</v>
      </c>
      <c r="BE140" s="198">
        <v>3.2469000000000001</v>
      </c>
      <c r="BF140" s="199">
        <v>0.13636999999999999</v>
      </c>
      <c r="BH140" s="197">
        <v>0.78</v>
      </c>
      <c r="BI140" s="198">
        <v>307.99</v>
      </c>
      <c r="BJ140" s="199">
        <v>7.3330000000000002</v>
      </c>
      <c r="BL140" s="197">
        <v>0.78</v>
      </c>
      <c r="BM140" s="198">
        <v>2.899</v>
      </c>
      <c r="BN140" s="199">
        <v>0.12175999999999999</v>
      </c>
      <c r="BP140" s="197">
        <v>0.78</v>
      </c>
      <c r="BQ140" s="200">
        <v>344.95</v>
      </c>
      <c r="BR140" s="199">
        <v>8.2129999999999992</v>
      </c>
      <c r="BT140" s="197">
        <v>0.78</v>
      </c>
      <c r="BU140" s="201">
        <v>1.1652</v>
      </c>
      <c r="BV140" s="202">
        <v>1.3049999999999999</v>
      </c>
      <c r="BX140" s="37">
        <v>780</v>
      </c>
      <c r="BY140" s="38">
        <v>0.78029999999999999</v>
      </c>
      <c r="BZ140" s="39">
        <v>49.84</v>
      </c>
      <c r="CA140" s="33"/>
      <c r="CB140" s="37">
        <v>780</v>
      </c>
      <c r="CC140" s="45">
        <v>0.15890000000000001</v>
      </c>
      <c r="CD140" s="42">
        <v>6.2930000000000001</v>
      </c>
      <c r="CE140" s="33"/>
      <c r="CF140" s="33"/>
      <c r="CG140" s="33"/>
      <c r="CH140" s="33"/>
      <c r="CI140" s="33"/>
      <c r="CJ140" s="33"/>
      <c r="CK140" s="33"/>
      <c r="CL140" s="40">
        <v>780</v>
      </c>
      <c r="CM140" s="43">
        <v>778.9</v>
      </c>
      <c r="CN140" s="41">
        <v>1.2839</v>
      </c>
      <c r="CO140" s="33"/>
      <c r="CP140" s="40">
        <v>780</v>
      </c>
      <c r="CQ140" s="34">
        <v>0.85860000000000003</v>
      </c>
      <c r="CR140" s="41">
        <v>0.76659999999999995</v>
      </c>
      <c r="CS140" s="33"/>
      <c r="CT140" s="40">
        <v>780</v>
      </c>
      <c r="CU140" s="44">
        <v>339.36</v>
      </c>
      <c r="CV140" s="42">
        <v>8.08</v>
      </c>
    </row>
    <row r="141" spans="4:100">
      <c r="D141" s="30">
        <v>13.1</v>
      </c>
      <c r="E141" s="31">
        <v>0.97860000000000003</v>
      </c>
      <c r="F141" s="32">
        <v>978</v>
      </c>
      <c r="G141" s="33"/>
      <c r="H141" s="30">
        <v>13.1</v>
      </c>
      <c r="I141" s="34">
        <v>3.7839999999999998</v>
      </c>
      <c r="J141" s="35">
        <v>0.15892999999999999</v>
      </c>
      <c r="L141" s="30">
        <v>13.1</v>
      </c>
      <c r="M141" s="172">
        <v>8.1489999999999991</v>
      </c>
      <c r="N141" s="173">
        <v>0.12271</v>
      </c>
      <c r="P141" s="30">
        <v>13.1</v>
      </c>
      <c r="Q141" s="172">
        <v>4.0747</v>
      </c>
      <c r="R141" s="173">
        <v>0.17113999999999999</v>
      </c>
      <c r="T141" s="30">
        <v>13.1</v>
      </c>
      <c r="U141" s="172">
        <v>245.42</v>
      </c>
      <c r="V141" s="173">
        <v>5.8430000000000097</v>
      </c>
      <c r="X141" s="30">
        <v>13.1</v>
      </c>
      <c r="Y141" s="34">
        <v>3.6381000000000001</v>
      </c>
      <c r="Z141" s="35">
        <v>0.15279999999999999</v>
      </c>
      <c r="AA141" s="36"/>
      <c r="AB141" s="30">
        <v>13.1</v>
      </c>
      <c r="AC141" s="44">
        <v>274.87</v>
      </c>
      <c r="AD141" s="35">
        <v>6.5439999999999996</v>
      </c>
      <c r="AE141" s="36"/>
      <c r="AF141" s="30">
        <v>13.1</v>
      </c>
      <c r="AG141" s="34">
        <v>3.6964999999999999</v>
      </c>
      <c r="AH141" s="35">
        <v>0.15525</v>
      </c>
      <c r="AI141" s="35"/>
      <c r="AJ141" s="35">
        <v>0.11032</v>
      </c>
      <c r="AK141" s="998">
        <v>71.900000000000006</v>
      </c>
      <c r="AM141" s="30">
        <v>13.1</v>
      </c>
      <c r="AN141" s="34">
        <v>0.92859999999999998</v>
      </c>
      <c r="AO141" s="35">
        <v>1.0401</v>
      </c>
      <c r="AQ141" s="197">
        <v>0.78100000000000003</v>
      </c>
      <c r="AR141" s="200">
        <v>49.68</v>
      </c>
      <c r="AS141" s="199">
        <v>780.7</v>
      </c>
      <c r="AZ141" s="197">
        <v>0.78100000000000003</v>
      </c>
      <c r="BA141" s="198">
        <v>6.5021000000000004</v>
      </c>
      <c r="BB141" s="199">
        <v>0.15379999999999999</v>
      </c>
      <c r="BD141" s="197">
        <v>0.78100000000000003</v>
      </c>
      <c r="BE141" s="198">
        <v>3.2511000000000001</v>
      </c>
      <c r="BF141" s="199">
        <v>0.13653999999999999</v>
      </c>
      <c r="BH141" s="197">
        <v>0.78100000000000003</v>
      </c>
      <c r="BI141" s="198">
        <v>307.58999999999997</v>
      </c>
      <c r="BJ141" s="199">
        <v>7.3239999999999998</v>
      </c>
      <c r="BL141" s="197">
        <v>0.78100000000000003</v>
      </c>
      <c r="BM141" s="198">
        <v>2.9026999999999998</v>
      </c>
      <c r="BN141" s="199">
        <v>0.12191</v>
      </c>
      <c r="BP141" s="197">
        <v>0.78100000000000003</v>
      </c>
      <c r="BQ141" s="200">
        <v>344.5</v>
      </c>
      <c r="BR141" s="199">
        <v>8.202</v>
      </c>
      <c r="BT141" s="197">
        <v>0.78100000000000003</v>
      </c>
      <c r="BU141" s="201">
        <v>1.1637</v>
      </c>
      <c r="BV141" s="202">
        <v>1.3032999999999999</v>
      </c>
      <c r="BX141" s="37">
        <v>781</v>
      </c>
      <c r="BY141" s="38">
        <v>0.78129999999999999</v>
      </c>
      <c r="BZ141" s="39">
        <v>49.6</v>
      </c>
      <c r="CA141" s="33"/>
      <c r="CB141" s="37">
        <v>781</v>
      </c>
      <c r="CC141" s="45">
        <v>0.15890000000000001</v>
      </c>
      <c r="CD141" s="42">
        <v>6.2930000000000001</v>
      </c>
      <c r="CE141" s="33"/>
      <c r="CF141" s="33"/>
      <c r="CG141" s="33"/>
      <c r="CH141" s="33"/>
      <c r="CI141" s="33"/>
      <c r="CJ141" s="33"/>
      <c r="CK141" s="33"/>
      <c r="CL141" s="40">
        <v>781</v>
      </c>
      <c r="CM141" s="43">
        <v>779.9</v>
      </c>
      <c r="CN141" s="41">
        <v>1.2822</v>
      </c>
      <c r="CO141" s="33"/>
      <c r="CP141" s="40">
        <v>781</v>
      </c>
      <c r="CQ141" s="34">
        <v>0.85970000000000002</v>
      </c>
      <c r="CR141" s="41">
        <v>0.76759999999999995</v>
      </c>
      <c r="CS141" s="33"/>
      <c r="CT141" s="40">
        <v>781</v>
      </c>
      <c r="CU141" s="44">
        <v>338.92</v>
      </c>
      <c r="CV141" s="42">
        <v>8.07</v>
      </c>
    </row>
    <row r="142" spans="4:100">
      <c r="D142" s="30">
        <v>13.2</v>
      </c>
      <c r="E142" s="31">
        <v>0.97789999999999999</v>
      </c>
      <c r="F142" s="32">
        <v>977.3</v>
      </c>
      <c r="G142" s="33"/>
      <c r="H142" s="30">
        <v>13.2</v>
      </c>
      <c r="I142" s="34">
        <v>3.7839999999999998</v>
      </c>
      <c r="J142" s="35">
        <v>0.15892999999999999</v>
      </c>
      <c r="L142" s="30">
        <v>13.2</v>
      </c>
      <c r="M142" s="172">
        <v>8.1440000000000001</v>
      </c>
      <c r="N142" s="173">
        <v>0.12279</v>
      </c>
      <c r="P142" s="30">
        <v>13.2</v>
      </c>
      <c r="Q142" s="172">
        <v>4.0719000000000003</v>
      </c>
      <c r="R142" s="173">
        <v>0.17102000000000001</v>
      </c>
      <c r="T142" s="30">
        <v>13.2</v>
      </c>
      <c r="U142" s="172">
        <v>245.59</v>
      </c>
      <c r="V142" s="173">
        <v>5.8470000000000102</v>
      </c>
      <c r="X142" s="30">
        <v>13.2</v>
      </c>
      <c r="Y142" s="34">
        <v>3.6356000000000002</v>
      </c>
      <c r="Z142" s="35">
        <v>0.1527</v>
      </c>
      <c r="AA142" s="36"/>
      <c r="AB142" s="30">
        <v>13.2</v>
      </c>
      <c r="AC142" s="44">
        <v>275.06</v>
      </c>
      <c r="AD142" s="35">
        <v>6.5490000000000004</v>
      </c>
      <c r="AE142" s="36"/>
      <c r="AF142" s="30">
        <v>13.2</v>
      </c>
      <c r="AG142" s="34">
        <v>3.694</v>
      </c>
      <c r="AH142" s="35">
        <v>0.15515000000000001</v>
      </c>
      <c r="AI142" s="35"/>
      <c r="AJ142" s="35">
        <v>0.11037</v>
      </c>
      <c r="AK142" s="998">
        <v>71.8</v>
      </c>
      <c r="AM142" s="30">
        <v>13.2</v>
      </c>
      <c r="AN142" s="34">
        <v>0.92930000000000001</v>
      </c>
      <c r="AO142" s="35">
        <v>1.0407999999999999</v>
      </c>
      <c r="AQ142" s="197">
        <v>0.78200000000000003</v>
      </c>
      <c r="AR142" s="200">
        <v>49.45</v>
      </c>
      <c r="AS142" s="199">
        <v>781.7</v>
      </c>
      <c r="AZ142" s="197">
        <v>0.78200000000000003</v>
      </c>
      <c r="BA142" s="198">
        <v>6.5103999999999997</v>
      </c>
      <c r="BB142" s="199">
        <v>0.15359999999999999</v>
      </c>
      <c r="BD142" s="197">
        <v>0.78200000000000003</v>
      </c>
      <c r="BE142" s="198">
        <v>3.2551999999999999</v>
      </c>
      <c r="BF142" s="199">
        <v>0.13672000000000001</v>
      </c>
      <c r="BH142" s="197">
        <v>0.78200000000000003</v>
      </c>
      <c r="BI142" s="198">
        <v>307.2</v>
      </c>
      <c r="BJ142" s="199">
        <v>7.3140000000000001</v>
      </c>
      <c r="BL142" s="197">
        <v>0.78200000000000003</v>
      </c>
      <c r="BM142" s="198">
        <v>2.9064000000000001</v>
      </c>
      <c r="BN142" s="199">
        <v>0.12207</v>
      </c>
      <c r="BP142" s="197">
        <v>0.78200000000000003</v>
      </c>
      <c r="BQ142" s="200">
        <v>344.06</v>
      </c>
      <c r="BR142" s="199">
        <v>8.1920000000000002</v>
      </c>
      <c r="BT142" s="197">
        <v>0.78200000000000003</v>
      </c>
      <c r="BU142" s="201">
        <v>1.1621999999999999</v>
      </c>
      <c r="BV142" s="202">
        <v>1.3017000000000001</v>
      </c>
      <c r="BX142" s="37">
        <v>782</v>
      </c>
      <c r="BY142" s="38">
        <v>0.7823</v>
      </c>
      <c r="BZ142" s="39">
        <v>49.37</v>
      </c>
      <c r="CA142" s="33"/>
      <c r="CB142" s="37">
        <v>782</v>
      </c>
      <c r="CC142" s="45">
        <v>0.15890000000000001</v>
      </c>
      <c r="CD142" s="42">
        <v>6.2930000000000001</v>
      </c>
      <c r="CE142" s="33"/>
      <c r="CF142" s="33"/>
      <c r="CG142" s="33"/>
      <c r="CH142" s="33"/>
      <c r="CI142" s="33"/>
      <c r="CJ142" s="33"/>
      <c r="CK142" s="33"/>
      <c r="CL142" s="40">
        <v>782</v>
      </c>
      <c r="CM142" s="43">
        <v>780.9</v>
      </c>
      <c r="CN142" s="41">
        <v>1.2806</v>
      </c>
      <c r="CO142" s="33"/>
      <c r="CP142" s="40">
        <v>782</v>
      </c>
      <c r="CQ142" s="34">
        <v>0.86080000000000001</v>
      </c>
      <c r="CR142" s="41">
        <v>0.76859999999999995</v>
      </c>
      <c r="CS142" s="33"/>
      <c r="CT142" s="40">
        <v>782</v>
      </c>
      <c r="CU142" s="44">
        <v>338.48</v>
      </c>
      <c r="CV142" s="42">
        <v>8.0589999999999993</v>
      </c>
    </row>
    <row r="143" spans="4:100">
      <c r="D143" s="30">
        <v>13.3</v>
      </c>
      <c r="E143" s="31">
        <v>0.97719999999999996</v>
      </c>
      <c r="F143" s="32">
        <v>976.6</v>
      </c>
      <c r="G143" s="33"/>
      <c r="H143" s="30">
        <v>13.3</v>
      </c>
      <c r="I143" s="34">
        <v>3.7839999999999998</v>
      </c>
      <c r="J143" s="35">
        <v>0.15892999999999999</v>
      </c>
      <c r="L143" s="30">
        <v>13.3</v>
      </c>
      <c r="M143" s="172">
        <v>8.1359999999999992</v>
      </c>
      <c r="N143" s="173">
        <v>0.12288</v>
      </c>
      <c r="P143" s="30">
        <v>13.3</v>
      </c>
      <c r="Q143" s="172">
        <v>4.0690999999999997</v>
      </c>
      <c r="R143" s="173">
        <v>0.1709</v>
      </c>
      <c r="T143" s="30">
        <v>13.3</v>
      </c>
      <c r="U143" s="172">
        <v>245.76</v>
      </c>
      <c r="V143" s="173">
        <v>5.8510000000000097</v>
      </c>
      <c r="X143" s="30">
        <v>13.3</v>
      </c>
      <c r="Y143" s="34">
        <v>3.6331000000000002</v>
      </c>
      <c r="Z143" s="35">
        <v>0.15259</v>
      </c>
      <c r="AA143" s="36"/>
      <c r="AB143" s="30">
        <v>13.3</v>
      </c>
      <c r="AC143" s="44">
        <v>275.25</v>
      </c>
      <c r="AD143" s="35">
        <v>6.5529999999999999</v>
      </c>
      <c r="AE143" s="36"/>
      <c r="AF143" s="30">
        <v>13.3</v>
      </c>
      <c r="AG143" s="34">
        <v>3.6913999999999998</v>
      </c>
      <c r="AH143" s="35">
        <v>0.15504000000000001</v>
      </c>
      <c r="AI143" s="35"/>
      <c r="AJ143" s="35">
        <v>0.11043</v>
      </c>
      <c r="AK143" s="998">
        <v>71.7</v>
      </c>
      <c r="AM143" s="30">
        <v>13.3</v>
      </c>
      <c r="AN143" s="34">
        <v>0.92989999999999995</v>
      </c>
      <c r="AO143" s="35">
        <v>1.0415000000000001</v>
      </c>
      <c r="AQ143" s="197">
        <v>0.78300000000000003</v>
      </c>
      <c r="AR143" s="200">
        <v>49.22</v>
      </c>
      <c r="AS143" s="199">
        <v>782.7</v>
      </c>
      <c r="AZ143" s="197">
        <v>0.78300000000000003</v>
      </c>
      <c r="BA143" s="198">
        <v>6.5187999999999997</v>
      </c>
      <c r="BB143" s="199">
        <v>0.15340000000000001</v>
      </c>
      <c r="BD143" s="197">
        <v>0.78300000000000003</v>
      </c>
      <c r="BE143" s="198">
        <v>3.2593999999999999</v>
      </c>
      <c r="BF143" s="199">
        <v>0.13689000000000001</v>
      </c>
      <c r="BH143" s="197">
        <v>0.78300000000000003</v>
      </c>
      <c r="BI143" s="198">
        <v>306.81</v>
      </c>
      <c r="BJ143" s="199">
        <v>7.3049999999999997</v>
      </c>
      <c r="BL143" s="197">
        <v>0.78300000000000003</v>
      </c>
      <c r="BM143" s="198">
        <v>2.9102000000000001</v>
      </c>
      <c r="BN143" s="199">
        <v>0.12223000000000001</v>
      </c>
      <c r="BP143" s="197">
        <v>0.78300000000000003</v>
      </c>
      <c r="BQ143" s="200">
        <v>343.62</v>
      </c>
      <c r="BR143" s="199">
        <v>8.1809999999999992</v>
      </c>
      <c r="BT143" s="197">
        <v>0.78300000000000003</v>
      </c>
      <c r="BU143" s="201">
        <v>1.1607000000000001</v>
      </c>
      <c r="BV143" s="202">
        <v>1.3</v>
      </c>
      <c r="BX143" s="37">
        <v>783</v>
      </c>
      <c r="BY143" s="38">
        <v>0.7833</v>
      </c>
      <c r="BZ143" s="39">
        <v>49.14</v>
      </c>
      <c r="CA143" s="33"/>
      <c r="CB143" s="37">
        <v>783</v>
      </c>
      <c r="CC143" s="45">
        <v>0.15890000000000001</v>
      </c>
      <c r="CD143" s="42">
        <v>6.2930000000000001</v>
      </c>
      <c r="CE143" s="33"/>
      <c r="CF143" s="33"/>
      <c r="CG143" s="33"/>
      <c r="CH143" s="33"/>
      <c r="CI143" s="33"/>
      <c r="CJ143" s="33"/>
      <c r="CK143" s="33"/>
      <c r="CL143" s="40">
        <v>783</v>
      </c>
      <c r="CM143" s="43">
        <v>781.9</v>
      </c>
      <c r="CN143" s="41">
        <v>1.2788999999999999</v>
      </c>
      <c r="CO143" s="33"/>
      <c r="CP143" s="40">
        <v>783</v>
      </c>
      <c r="CQ143" s="34">
        <v>0.8619</v>
      </c>
      <c r="CR143" s="41">
        <v>0.76949999999999996</v>
      </c>
      <c r="CS143" s="33"/>
      <c r="CT143" s="40">
        <v>783</v>
      </c>
      <c r="CU143" s="44">
        <v>338.05</v>
      </c>
      <c r="CV143" s="42">
        <v>8.0489999999999995</v>
      </c>
    </row>
    <row r="144" spans="4:100">
      <c r="D144" s="30">
        <v>13.4</v>
      </c>
      <c r="E144" s="31">
        <v>0.97650000000000003</v>
      </c>
      <c r="F144" s="32">
        <v>975.9</v>
      </c>
      <c r="G144" s="33"/>
      <c r="H144" s="30">
        <v>13.4</v>
      </c>
      <c r="I144" s="34">
        <v>3.7839999999999998</v>
      </c>
      <c r="J144" s="35">
        <v>0.15892999999999999</v>
      </c>
      <c r="L144" s="30">
        <v>13.4</v>
      </c>
      <c r="M144" s="172">
        <v>8.1329999999999991</v>
      </c>
      <c r="N144" s="173">
        <v>0.12296</v>
      </c>
      <c r="P144" s="30">
        <v>13.4</v>
      </c>
      <c r="Q144" s="172">
        <v>4.0663</v>
      </c>
      <c r="R144" s="173">
        <v>0.17077999999999999</v>
      </c>
      <c r="T144" s="30">
        <v>13.4</v>
      </c>
      <c r="U144" s="172">
        <v>245.93</v>
      </c>
      <c r="V144" s="173">
        <v>5.8550000000000102</v>
      </c>
      <c r="X144" s="30">
        <v>13.4</v>
      </c>
      <c r="Y144" s="34">
        <v>3.6305999999999998</v>
      </c>
      <c r="Z144" s="35">
        <v>0.15248999999999999</v>
      </c>
      <c r="AA144" s="36"/>
      <c r="AB144" s="30">
        <v>13.4</v>
      </c>
      <c r="AC144" s="44">
        <v>275.44</v>
      </c>
      <c r="AD144" s="35">
        <v>6.5579999999999998</v>
      </c>
      <c r="AE144" s="36"/>
      <c r="AF144" s="30">
        <v>13.4</v>
      </c>
      <c r="AG144" s="34">
        <v>3.6888999999999998</v>
      </c>
      <c r="AH144" s="35">
        <v>0.15493000000000001</v>
      </c>
      <c r="AI144" s="35"/>
      <c r="AJ144" s="35">
        <v>0.11047999999999999</v>
      </c>
      <c r="AK144" s="998">
        <v>71.599999999999994</v>
      </c>
      <c r="AM144" s="30">
        <v>13.4</v>
      </c>
      <c r="AN144" s="34">
        <v>0.93059999999999998</v>
      </c>
      <c r="AO144" s="35">
        <v>1.0422</v>
      </c>
      <c r="AQ144" s="197">
        <v>0.78400000000000003</v>
      </c>
      <c r="AR144" s="200">
        <v>48.98</v>
      </c>
      <c r="AS144" s="199">
        <v>783.7</v>
      </c>
      <c r="AZ144" s="197">
        <v>0.78400000000000003</v>
      </c>
      <c r="BA144" s="198">
        <v>6.5270999999999999</v>
      </c>
      <c r="BB144" s="199">
        <v>0.15321000000000001</v>
      </c>
      <c r="BD144" s="197">
        <v>0.78400000000000003</v>
      </c>
      <c r="BE144" s="198">
        <v>3.2635999999999998</v>
      </c>
      <c r="BF144" s="199">
        <v>0.13707</v>
      </c>
      <c r="BH144" s="197">
        <v>0.78400000000000003</v>
      </c>
      <c r="BI144" s="198">
        <v>306.41000000000003</v>
      </c>
      <c r="BJ144" s="199">
        <v>7.2960000000000003</v>
      </c>
      <c r="BL144" s="197">
        <v>0.78400000000000003</v>
      </c>
      <c r="BM144" s="198">
        <v>2.9138999999999999</v>
      </c>
      <c r="BN144" s="199">
        <v>0.12238</v>
      </c>
      <c r="BP144" s="197">
        <v>0.78400000000000003</v>
      </c>
      <c r="BQ144" s="200">
        <v>343.18</v>
      </c>
      <c r="BR144" s="199">
        <v>8.1709999999999994</v>
      </c>
      <c r="BT144" s="197">
        <v>0.78400000000000003</v>
      </c>
      <c r="BU144" s="201">
        <v>1.1593</v>
      </c>
      <c r="BV144" s="202">
        <v>1.2984</v>
      </c>
      <c r="BX144" s="37">
        <v>784</v>
      </c>
      <c r="BY144" s="38">
        <v>0.7843</v>
      </c>
      <c r="BZ144" s="39">
        <v>48.91</v>
      </c>
      <c r="CA144" s="33"/>
      <c r="CB144" s="37">
        <v>784</v>
      </c>
      <c r="CC144" s="45">
        <v>0.15890000000000001</v>
      </c>
      <c r="CD144" s="42">
        <v>6.2930000000000001</v>
      </c>
      <c r="CE144" s="33"/>
      <c r="CF144" s="33"/>
      <c r="CG144" s="33"/>
      <c r="CH144" s="33"/>
      <c r="CI144" s="33"/>
      <c r="CJ144" s="33"/>
      <c r="CK144" s="33"/>
      <c r="CL144" s="40">
        <v>784</v>
      </c>
      <c r="CM144" s="43">
        <v>782.9</v>
      </c>
      <c r="CN144" s="41">
        <v>1.2773000000000001</v>
      </c>
      <c r="CO144" s="33"/>
      <c r="CP144" s="40">
        <v>784</v>
      </c>
      <c r="CQ144" s="34">
        <v>0.86299999999999999</v>
      </c>
      <c r="CR144" s="41">
        <v>0.77049999999999996</v>
      </c>
      <c r="CS144" s="33"/>
      <c r="CT144" s="40">
        <v>784</v>
      </c>
      <c r="CU144" s="44">
        <v>337.61</v>
      </c>
      <c r="CV144" s="42">
        <v>8.0380000000000003</v>
      </c>
    </row>
    <row r="145" spans="4:100">
      <c r="D145" s="30">
        <v>13.5</v>
      </c>
      <c r="E145" s="31">
        <v>0.97589999999999999</v>
      </c>
      <c r="F145" s="32">
        <v>975.3</v>
      </c>
      <c r="G145" s="33"/>
      <c r="H145" s="30">
        <v>13.5</v>
      </c>
      <c r="I145" s="34">
        <v>3.7839999999999998</v>
      </c>
      <c r="J145" s="35">
        <v>0.15892999999999999</v>
      </c>
      <c r="L145" s="30">
        <v>13.5</v>
      </c>
      <c r="M145" s="172">
        <v>8.1270000000000007</v>
      </c>
      <c r="N145" s="173">
        <v>0.12305000000000001</v>
      </c>
      <c r="P145" s="30">
        <v>13.5</v>
      </c>
      <c r="Q145" s="172">
        <v>4.0635000000000003</v>
      </c>
      <c r="R145" s="173">
        <v>0.17066999999999999</v>
      </c>
      <c r="T145" s="30">
        <v>13.5</v>
      </c>
      <c r="U145" s="172">
        <v>246.1</v>
      </c>
      <c r="V145" s="173">
        <v>5.859</v>
      </c>
      <c r="X145" s="30">
        <v>13.5</v>
      </c>
      <c r="Y145" s="34">
        <v>3.6280999999999999</v>
      </c>
      <c r="Z145" s="35">
        <v>0.15237999999999999</v>
      </c>
      <c r="AA145" s="36"/>
      <c r="AB145" s="30">
        <v>13.5</v>
      </c>
      <c r="AC145" s="44">
        <v>275.63</v>
      </c>
      <c r="AD145" s="35">
        <v>6.5629999999999997</v>
      </c>
      <c r="AE145" s="36"/>
      <c r="AF145" s="30">
        <v>13.5</v>
      </c>
      <c r="AG145" s="34">
        <v>3.6863000000000001</v>
      </c>
      <c r="AH145" s="35">
        <v>0.15483</v>
      </c>
      <c r="AI145" s="35"/>
      <c r="AJ145" s="35">
        <v>0.11053</v>
      </c>
      <c r="AK145" s="998">
        <v>71.5</v>
      </c>
      <c r="AM145" s="30">
        <v>13.5</v>
      </c>
      <c r="AN145" s="34">
        <v>0.93120000000000003</v>
      </c>
      <c r="AO145" s="35">
        <v>1.0429999999999999</v>
      </c>
      <c r="AQ145" s="197">
        <v>0.78500000000000003</v>
      </c>
      <c r="AR145" s="200">
        <v>48.75</v>
      </c>
      <c r="AS145" s="199">
        <v>784.7</v>
      </c>
      <c r="AZ145" s="197">
        <v>0.78500000000000003</v>
      </c>
      <c r="BA145" s="198">
        <v>6.5354999999999999</v>
      </c>
      <c r="BB145" s="199">
        <v>0.15301000000000001</v>
      </c>
      <c r="BD145" s="197">
        <v>0.78500000000000003</v>
      </c>
      <c r="BE145" s="198">
        <v>3.2677</v>
      </c>
      <c r="BF145" s="199">
        <v>0.13724</v>
      </c>
      <c r="BH145" s="197">
        <v>0.78500000000000003</v>
      </c>
      <c r="BI145" s="198">
        <v>306.02</v>
      </c>
      <c r="BJ145" s="199">
        <v>7.2859999999999996</v>
      </c>
      <c r="BL145" s="197">
        <v>0.78500000000000003</v>
      </c>
      <c r="BM145" s="198">
        <v>2.9176000000000002</v>
      </c>
      <c r="BN145" s="199">
        <v>0.12254</v>
      </c>
      <c r="BP145" s="197">
        <v>0.78500000000000003</v>
      </c>
      <c r="BQ145" s="200">
        <v>342.75</v>
      </c>
      <c r="BR145" s="199">
        <v>8.1609999999999996</v>
      </c>
      <c r="BT145" s="197">
        <v>0.78500000000000003</v>
      </c>
      <c r="BU145" s="201">
        <v>1.1577999999999999</v>
      </c>
      <c r="BV145" s="202">
        <v>1.2967</v>
      </c>
      <c r="BX145" s="37">
        <v>785</v>
      </c>
      <c r="BY145" s="38">
        <v>0.7853</v>
      </c>
      <c r="BZ145" s="39">
        <v>48.68</v>
      </c>
      <c r="CA145" s="33"/>
      <c r="CB145" s="37">
        <v>785</v>
      </c>
      <c r="CC145" s="45">
        <v>0.15890000000000001</v>
      </c>
      <c r="CD145" s="42">
        <v>6.2930000000000001</v>
      </c>
      <c r="CE145" s="33"/>
      <c r="CF145" s="33"/>
      <c r="CG145" s="33"/>
      <c r="CH145" s="33"/>
      <c r="CI145" s="33"/>
      <c r="CJ145" s="33"/>
      <c r="CK145" s="33"/>
      <c r="CL145" s="40">
        <v>785</v>
      </c>
      <c r="CM145" s="43">
        <v>783.9</v>
      </c>
      <c r="CN145" s="41">
        <v>1.2757000000000001</v>
      </c>
      <c r="CO145" s="33"/>
      <c r="CP145" s="40">
        <v>785</v>
      </c>
      <c r="CQ145" s="34">
        <v>0.86409999999999998</v>
      </c>
      <c r="CR145" s="41">
        <v>0.77149999999999996</v>
      </c>
      <c r="CS145" s="33"/>
      <c r="CT145" s="40">
        <v>785</v>
      </c>
      <c r="CU145" s="44">
        <v>337.18</v>
      </c>
      <c r="CV145" s="42">
        <v>8.0280000000000005</v>
      </c>
    </row>
    <row r="146" spans="4:100">
      <c r="D146" s="30">
        <v>13.6</v>
      </c>
      <c r="E146" s="31">
        <v>0.97519999999999996</v>
      </c>
      <c r="F146" s="32">
        <v>974.6</v>
      </c>
      <c r="G146" s="33"/>
      <c r="H146" s="30">
        <v>13.6</v>
      </c>
      <c r="I146" s="34">
        <v>3.7839</v>
      </c>
      <c r="J146" s="35">
        <v>0.15892999999999999</v>
      </c>
      <c r="L146" s="30">
        <v>13.6</v>
      </c>
      <c r="M146" s="172">
        <v>8.1210000000000004</v>
      </c>
      <c r="N146" s="173">
        <v>0.12313</v>
      </c>
      <c r="P146" s="30">
        <v>13.6</v>
      </c>
      <c r="Q146" s="172">
        <v>4.0606999999999998</v>
      </c>
      <c r="R146" s="173">
        <v>0.17055000000000001</v>
      </c>
      <c r="T146" s="30">
        <v>13.6</v>
      </c>
      <c r="U146" s="172">
        <v>246.27</v>
      </c>
      <c r="V146" s="173">
        <v>5.8630000000000102</v>
      </c>
      <c r="X146" s="30">
        <v>13.6</v>
      </c>
      <c r="Y146" s="34">
        <v>3.6255999999999999</v>
      </c>
      <c r="Z146" s="35">
        <v>0.15226999999999999</v>
      </c>
      <c r="AA146" s="36"/>
      <c r="AB146" s="30">
        <v>13.6</v>
      </c>
      <c r="AC146" s="44">
        <v>275.82</v>
      </c>
      <c r="AD146" s="35">
        <v>6.5670000000000002</v>
      </c>
      <c r="AE146" s="36"/>
      <c r="AF146" s="30">
        <v>13.6</v>
      </c>
      <c r="AG146" s="34">
        <v>3.6838000000000002</v>
      </c>
      <c r="AH146" s="35">
        <v>0.15472</v>
      </c>
      <c r="AI146" s="35"/>
      <c r="AJ146" s="35">
        <v>0.11058999999999999</v>
      </c>
      <c r="AK146" s="998">
        <v>71.400000000000006</v>
      </c>
      <c r="AM146" s="30">
        <v>13.6</v>
      </c>
      <c r="AN146" s="34">
        <v>0.93189999999999995</v>
      </c>
      <c r="AO146" s="35">
        <v>1.0437000000000001</v>
      </c>
      <c r="AQ146" s="197">
        <v>0.78600000000000003</v>
      </c>
      <c r="AR146" s="200">
        <v>48.53</v>
      </c>
      <c r="AS146" s="199">
        <v>785.7</v>
      </c>
      <c r="AZ146" s="197">
        <v>0.78600000000000003</v>
      </c>
      <c r="BA146" s="198">
        <v>6.5438000000000001</v>
      </c>
      <c r="BB146" s="199">
        <v>0.15282000000000001</v>
      </c>
      <c r="BD146" s="197">
        <v>0.78600000000000003</v>
      </c>
      <c r="BE146" s="198">
        <v>3.2719</v>
      </c>
      <c r="BF146" s="199">
        <v>0.13741999999999999</v>
      </c>
      <c r="BH146" s="197">
        <v>0.78600000000000003</v>
      </c>
      <c r="BI146" s="198">
        <v>305.63</v>
      </c>
      <c r="BJ146" s="199">
        <v>7.2770000000000001</v>
      </c>
      <c r="BL146" s="197">
        <v>0.78600000000000003</v>
      </c>
      <c r="BM146" s="198">
        <v>2.9213</v>
      </c>
      <c r="BN146" s="199">
        <v>0.1227</v>
      </c>
      <c r="BP146" s="197">
        <v>0.78600000000000003</v>
      </c>
      <c r="BQ146" s="200">
        <v>342.31</v>
      </c>
      <c r="BR146" s="199">
        <v>8.15</v>
      </c>
      <c r="BT146" s="197">
        <v>0.78600000000000003</v>
      </c>
      <c r="BU146" s="201">
        <v>1.1563000000000001</v>
      </c>
      <c r="BV146" s="202">
        <v>1.2950999999999999</v>
      </c>
      <c r="BX146" s="37">
        <v>786</v>
      </c>
      <c r="BY146" s="38">
        <v>0.78639999999999999</v>
      </c>
      <c r="BZ146" s="39">
        <v>48.45</v>
      </c>
      <c r="CA146" s="33"/>
      <c r="CB146" s="37">
        <v>786</v>
      </c>
      <c r="CC146" s="45">
        <v>0.15890000000000001</v>
      </c>
      <c r="CD146" s="42">
        <v>6.2930000000000001</v>
      </c>
      <c r="CE146" s="33"/>
      <c r="CF146" s="33"/>
      <c r="CG146" s="33"/>
      <c r="CH146" s="33"/>
      <c r="CI146" s="33"/>
      <c r="CJ146" s="33"/>
      <c r="CK146" s="33"/>
      <c r="CL146" s="40">
        <v>786</v>
      </c>
      <c r="CM146" s="43">
        <v>784.9</v>
      </c>
      <c r="CN146" s="41">
        <v>1.2741</v>
      </c>
      <c r="CO146" s="33"/>
      <c r="CP146" s="40">
        <v>786</v>
      </c>
      <c r="CQ146" s="34">
        <v>0.86519999999999997</v>
      </c>
      <c r="CR146" s="41">
        <v>0.77249999999999996</v>
      </c>
      <c r="CS146" s="33"/>
      <c r="CT146" s="40">
        <v>786</v>
      </c>
      <c r="CU146" s="44">
        <v>336.75</v>
      </c>
      <c r="CV146" s="42">
        <v>8.0180000000000007</v>
      </c>
    </row>
    <row r="147" spans="4:100">
      <c r="D147" s="30">
        <v>13.7</v>
      </c>
      <c r="E147" s="31">
        <v>0.97450000000000003</v>
      </c>
      <c r="F147" s="32">
        <v>973.9</v>
      </c>
      <c r="G147" s="33"/>
      <c r="H147" s="30">
        <v>13.7</v>
      </c>
      <c r="I147" s="34">
        <v>3.7839</v>
      </c>
      <c r="J147" s="35">
        <v>0.15892999999999999</v>
      </c>
      <c r="L147" s="30">
        <v>13.7</v>
      </c>
      <c r="M147" s="172">
        <v>8.1159999999999997</v>
      </c>
      <c r="N147" s="173">
        <v>0.12322</v>
      </c>
      <c r="P147" s="30">
        <v>13.7</v>
      </c>
      <c r="Q147" s="172">
        <v>4.0579000000000001</v>
      </c>
      <c r="R147" s="173">
        <v>0.17043</v>
      </c>
      <c r="T147" s="30">
        <v>13.7</v>
      </c>
      <c r="U147" s="172">
        <v>246.44</v>
      </c>
      <c r="V147" s="173">
        <v>5.8680000000000003</v>
      </c>
      <c r="X147" s="30">
        <v>13.7</v>
      </c>
      <c r="Y147" s="34">
        <v>3.6231</v>
      </c>
      <c r="Z147" s="35">
        <v>0.15217</v>
      </c>
      <c r="AA147" s="36"/>
      <c r="AB147" s="30">
        <v>13.7</v>
      </c>
      <c r="AC147" s="44">
        <v>276.01</v>
      </c>
      <c r="AD147" s="35">
        <v>6.5720000000000001</v>
      </c>
      <c r="AE147" s="36"/>
      <c r="AF147" s="30">
        <v>13.7</v>
      </c>
      <c r="AG147" s="34">
        <v>3.6812</v>
      </c>
      <c r="AH147" s="35">
        <v>0.15461</v>
      </c>
      <c r="AI147" s="35"/>
      <c r="AJ147" s="35">
        <v>0.11064</v>
      </c>
      <c r="AK147" s="998">
        <v>71.3</v>
      </c>
      <c r="AM147" s="30">
        <v>13.7</v>
      </c>
      <c r="AN147" s="34">
        <v>0.9325</v>
      </c>
      <c r="AO147" s="35">
        <v>1.0444</v>
      </c>
      <c r="AQ147" s="197">
        <v>0.78700000000000003</v>
      </c>
      <c r="AR147" s="200">
        <v>48.3</v>
      </c>
      <c r="AS147" s="199">
        <v>786.6</v>
      </c>
      <c r="AZ147" s="197">
        <v>0.78700000000000003</v>
      </c>
      <c r="BA147" s="198">
        <v>6.5521000000000003</v>
      </c>
      <c r="BB147" s="199">
        <v>0.15262000000000001</v>
      </c>
      <c r="BD147" s="197">
        <v>0.78700000000000003</v>
      </c>
      <c r="BE147" s="198">
        <v>3.2761</v>
      </c>
      <c r="BF147" s="199">
        <v>0.13758999999999999</v>
      </c>
      <c r="BH147" s="197">
        <v>0.78700000000000003</v>
      </c>
      <c r="BI147" s="198">
        <v>305.24</v>
      </c>
      <c r="BJ147" s="199">
        <v>7.2679999999999998</v>
      </c>
      <c r="BL147" s="197">
        <v>0.78700000000000003</v>
      </c>
      <c r="BM147" s="198">
        <v>2.9251</v>
      </c>
      <c r="BN147" s="199">
        <v>0.12285</v>
      </c>
      <c r="BP147" s="197">
        <v>0.78700000000000003</v>
      </c>
      <c r="BQ147" s="200">
        <v>341.87</v>
      </c>
      <c r="BR147" s="199">
        <v>8.14</v>
      </c>
      <c r="BT147" s="197">
        <v>0.78700000000000003</v>
      </c>
      <c r="BU147" s="201">
        <v>1.1548</v>
      </c>
      <c r="BV147" s="202">
        <v>1.2934000000000001</v>
      </c>
      <c r="BX147" s="37">
        <v>787</v>
      </c>
      <c r="BY147" s="38">
        <v>0.78739999999999999</v>
      </c>
      <c r="BZ147" s="39">
        <v>48.22</v>
      </c>
      <c r="CA147" s="33"/>
      <c r="CB147" s="37">
        <v>787</v>
      </c>
      <c r="CC147" s="45">
        <v>0.15890000000000001</v>
      </c>
      <c r="CD147" s="42">
        <v>6.2930000000000001</v>
      </c>
      <c r="CE147" s="33"/>
      <c r="CF147" s="33"/>
      <c r="CG147" s="33"/>
      <c r="CH147" s="33"/>
      <c r="CI147" s="33"/>
      <c r="CJ147" s="33"/>
      <c r="CK147" s="33"/>
      <c r="CL147" s="40">
        <v>787</v>
      </c>
      <c r="CM147" s="43">
        <v>785.9</v>
      </c>
      <c r="CN147" s="41">
        <v>1.2724</v>
      </c>
      <c r="CO147" s="33"/>
      <c r="CP147" s="40">
        <v>787</v>
      </c>
      <c r="CQ147" s="34">
        <v>0.86629999999999996</v>
      </c>
      <c r="CR147" s="41">
        <v>0.77349999999999997</v>
      </c>
      <c r="CS147" s="33"/>
      <c r="CT147" s="40">
        <v>787</v>
      </c>
      <c r="CU147" s="44">
        <v>336.32</v>
      </c>
      <c r="CV147" s="42">
        <v>8.0079999999999991</v>
      </c>
    </row>
    <row r="148" spans="4:100">
      <c r="D148" s="30">
        <v>13.8</v>
      </c>
      <c r="E148" s="31">
        <v>0.9738</v>
      </c>
      <c r="F148" s="32">
        <v>973.3</v>
      </c>
      <c r="G148" s="33"/>
      <c r="H148" s="30">
        <v>13.8</v>
      </c>
      <c r="I148" s="34">
        <v>3.7839</v>
      </c>
      <c r="J148" s="35">
        <v>0.15892999999999999</v>
      </c>
      <c r="L148" s="30">
        <v>13.8</v>
      </c>
      <c r="M148" s="172">
        <v>8.11</v>
      </c>
      <c r="N148" s="173">
        <v>0.12330000000000001</v>
      </c>
      <c r="P148" s="30">
        <v>13.8</v>
      </c>
      <c r="Q148" s="172">
        <v>4.0551000000000004</v>
      </c>
      <c r="R148" s="173">
        <v>0.17030999999999999</v>
      </c>
      <c r="T148" s="30">
        <v>13.8</v>
      </c>
      <c r="U148" s="172">
        <v>246.6</v>
      </c>
      <c r="V148" s="173">
        <v>5.8719999999999999</v>
      </c>
      <c r="X148" s="30">
        <v>13.8</v>
      </c>
      <c r="Y148" s="34">
        <v>3.6206</v>
      </c>
      <c r="Z148" s="35">
        <v>0.15207000000000001</v>
      </c>
      <c r="AA148" s="36"/>
      <c r="AB148" s="30">
        <v>13.8</v>
      </c>
      <c r="AC148" s="44">
        <v>276.2</v>
      </c>
      <c r="AD148" s="35">
        <v>6.5759999999999996</v>
      </c>
      <c r="AE148" s="36"/>
      <c r="AF148" s="30">
        <v>13.8</v>
      </c>
      <c r="AG148" s="34">
        <v>3.6787000000000001</v>
      </c>
      <c r="AH148" s="35">
        <v>0.15451000000000001</v>
      </c>
      <c r="AI148" s="35"/>
      <c r="AJ148" s="35">
        <v>0.11070000000000001</v>
      </c>
      <c r="AK148" s="998">
        <v>71.2</v>
      </c>
      <c r="AM148" s="30">
        <v>13.8</v>
      </c>
      <c r="AN148" s="34">
        <v>0.93310000000000004</v>
      </c>
      <c r="AO148" s="35">
        <v>1.0450999999999999</v>
      </c>
      <c r="AQ148" s="197">
        <v>0.78800000000000003</v>
      </c>
      <c r="AR148" s="200">
        <v>48.07</v>
      </c>
      <c r="AS148" s="199">
        <v>787.6</v>
      </c>
      <c r="AZ148" s="197">
        <v>0.78800000000000003</v>
      </c>
      <c r="BA148" s="198">
        <v>6.5605000000000002</v>
      </c>
      <c r="BB148" s="199">
        <v>0.15243000000000001</v>
      </c>
      <c r="BD148" s="197">
        <v>0.78800000000000003</v>
      </c>
      <c r="BE148" s="198">
        <v>3.2801999999999998</v>
      </c>
      <c r="BF148" s="199">
        <v>0.13777</v>
      </c>
      <c r="BH148" s="197">
        <v>0.78800000000000003</v>
      </c>
      <c r="BI148" s="198">
        <v>304.86</v>
      </c>
      <c r="BJ148" s="199">
        <v>7.258</v>
      </c>
      <c r="BL148" s="197">
        <v>0.78800000000000003</v>
      </c>
      <c r="BM148" s="198">
        <v>2.9287999999999998</v>
      </c>
      <c r="BN148" s="199">
        <v>0.12300999999999999</v>
      </c>
      <c r="BP148" s="197">
        <v>0.78800000000000003</v>
      </c>
      <c r="BQ148" s="200">
        <v>341.44</v>
      </c>
      <c r="BR148" s="199">
        <v>8.1289999999999996</v>
      </c>
      <c r="BT148" s="197">
        <v>0.78800000000000003</v>
      </c>
      <c r="BU148" s="201">
        <v>1.1534</v>
      </c>
      <c r="BV148" s="202">
        <v>1.2918000000000001</v>
      </c>
      <c r="BX148" s="37">
        <v>788</v>
      </c>
      <c r="BY148" s="38">
        <v>0.78839999999999999</v>
      </c>
      <c r="BZ148" s="39">
        <v>47.99</v>
      </c>
      <c r="CA148" s="33"/>
      <c r="CB148" s="37">
        <v>788</v>
      </c>
      <c r="CC148" s="45">
        <v>0.15890000000000001</v>
      </c>
      <c r="CD148" s="42">
        <v>6.2930000000000001</v>
      </c>
      <c r="CE148" s="33"/>
      <c r="CF148" s="33"/>
      <c r="CG148" s="33"/>
      <c r="CH148" s="33"/>
      <c r="CI148" s="33"/>
      <c r="CJ148" s="33"/>
      <c r="CK148" s="33"/>
      <c r="CL148" s="40">
        <v>788</v>
      </c>
      <c r="CM148" s="43">
        <v>786.9</v>
      </c>
      <c r="CN148" s="41">
        <v>1.2707999999999999</v>
      </c>
      <c r="CO148" s="33"/>
      <c r="CP148" s="40">
        <v>788</v>
      </c>
      <c r="CQ148" s="34">
        <v>0.86739999999999995</v>
      </c>
      <c r="CR148" s="41">
        <v>0.77449999999999997</v>
      </c>
      <c r="CS148" s="33"/>
      <c r="CT148" s="40">
        <v>788</v>
      </c>
      <c r="CU148" s="44">
        <v>335.89</v>
      </c>
      <c r="CV148" s="42">
        <v>7.9969999999999999</v>
      </c>
    </row>
    <row r="149" spans="4:100">
      <c r="D149" s="30">
        <v>13.9</v>
      </c>
      <c r="E149" s="31">
        <v>0.97319999999999995</v>
      </c>
      <c r="F149" s="32">
        <v>972.6</v>
      </c>
      <c r="G149" s="33"/>
      <c r="H149" s="30">
        <v>13.9</v>
      </c>
      <c r="I149" s="34">
        <v>3.7839</v>
      </c>
      <c r="J149" s="35">
        <v>0.15892999999999999</v>
      </c>
      <c r="L149" s="30">
        <v>13.9</v>
      </c>
      <c r="M149" s="172">
        <v>8.1050000000000004</v>
      </c>
      <c r="N149" s="173">
        <v>0.12339</v>
      </c>
      <c r="P149" s="30">
        <v>13.9</v>
      </c>
      <c r="Q149" s="172">
        <v>4.0522999999999998</v>
      </c>
      <c r="R149" s="173">
        <v>0.17019999999999999</v>
      </c>
      <c r="T149" s="30">
        <v>13.9</v>
      </c>
      <c r="U149" s="172">
        <v>246.77</v>
      </c>
      <c r="V149" s="173">
        <v>5.8760000000000003</v>
      </c>
      <c r="X149" s="30">
        <v>13.9</v>
      </c>
      <c r="Y149" s="34">
        <v>3.6181000000000001</v>
      </c>
      <c r="Z149" s="35">
        <v>0.15196000000000001</v>
      </c>
      <c r="AA149" s="36"/>
      <c r="AB149" s="30">
        <v>13.9</v>
      </c>
      <c r="AC149" s="44">
        <v>276.39</v>
      </c>
      <c r="AD149" s="35">
        <v>6.5810000000000004</v>
      </c>
      <c r="AE149" s="36"/>
      <c r="AF149" s="30">
        <v>13.9</v>
      </c>
      <c r="AG149" s="34">
        <v>3.6762000000000001</v>
      </c>
      <c r="AH149" s="35">
        <v>0.15440000000000001</v>
      </c>
      <c r="AI149" s="35"/>
      <c r="AJ149" s="35">
        <v>0.11075</v>
      </c>
      <c r="AK149" s="998">
        <v>71.099999999999994</v>
      </c>
      <c r="AM149" s="30">
        <v>13.9</v>
      </c>
      <c r="AN149" s="34">
        <v>0.93379999999999996</v>
      </c>
      <c r="AO149" s="35">
        <v>1.0458000000000001</v>
      </c>
      <c r="AQ149" s="197">
        <v>0.78900000000000003</v>
      </c>
      <c r="AR149" s="200">
        <v>47.84</v>
      </c>
      <c r="AS149" s="199">
        <v>788.6</v>
      </c>
      <c r="AZ149" s="197">
        <v>0.78900000000000003</v>
      </c>
      <c r="BA149" s="198">
        <v>6.5688000000000004</v>
      </c>
      <c r="BB149" s="199">
        <v>0.15223</v>
      </c>
      <c r="BD149" s="197">
        <v>0.78900000000000003</v>
      </c>
      <c r="BE149" s="198">
        <v>3.2844000000000002</v>
      </c>
      <c r="BF149" s="199">
        <v>0.13794999999999999</v>
      </c>
      <c r="BH149" s="197">
        <v>0.78900000000000003</v>
      </c>
      <c r="BI149" s="198">
        <v>304.47000000000003</v>
      </c>
      <c r="BJ149" s="199">
        <v>7.2489999999999997</v>
      </c>
      <c r="BL149" s="197">
        <v>0.78900000000000003</v>
      </c>
      <c r="BM149" s="198">
        <v>2.9325000000000001</v>
      </c>
      <c r="BN149" s="199">
        <v>0.12317</v>
      </c>
      <c r="BP149" s="197">
        <v>0.78900000000000003</v>
      </c>
      <c r="BQ149" s="200">
        <v>341.01</v>
      </c>
      <c r="BR149" s="199">
        <v>8.1189999999999998</v>
      </c>
      <c r="BT149" s="197">
        <v>0.78900000000000003</v>
      </c>
      <c r="BU149" s="201">
        <v>1.1518999999999999</v>
      </c>
      <c r="BV149" s="202">
        <v>1.2902</v>
      </c>
      <c r="BX149" s="37">
        <v>789</v>
      </c>
      <c r="BY149" s="38">
        <v>0.78939999999999999</v>
      </c>
      <c r="BZ149" s="39">
        <v>47.76</v>
      </c>
      <c r="CA149" s="33"/>
      <c r="CB149" s="37">
        <v>789</v>
      </c>
      <c r="CC149" s="45">
        <v>0.15890000000000001</v>
      </c>
      <c r="CD149" s="42">
        <v>6.2930000000000001</v>
      </c>
      <c r="CE149" s="33"/>
      <c r="CF149" s="33"/>
      <c r="CG149" s="33"/>
      <c r="CH149" s="33"/>
      <c r="CI149" s="33"/>
      <c r="CJ149" s="33"/>
      <c r="CK149" s="33"/>
      <c r="CL149" s="40">
        <v>789</v>
      </c>
      <c r="CM149" s="43">
        <v>787.9</v>
      </c>
      <c r="CN149" s="41">
        <v>1.2692000000000001</v>
      </c>
      <c r="CO149" s="33"/>
      <c r="CP149" s="40">
        <v>789</v>
      </c>
      <c r="CQ149" s="34">
        <v>0.86850000000000005</v>
      </c>
      <c r="CR149" s="41">
        <v>0.77549999999999997</v>
      </c>
      <c r="CS149" s="33"/>
      <c r="CT149" s="40">
        <v>789</v>
      </c>
      <c r="CU149" s="44">
        <v>335.46</v>
      </c>
      <c r="CV149" s="42">
        <v>7.9870000000000001</v>
      </c>
    </row>
    <row r="150" spans="4:100">
      <c r="D150" s="30">
        <v>14</v>
      </c>
      <c r="E150" s="31">
        <v>0.97250000000000003</v>
      </c>
      <c r="F150" s="32">
        <v>971.9</v>
      </c>
      <c r="G150" s="33"/>
      <c r="H150" s="30">
        <v>14</v>
      </c>
      <c r="I150" s="34">
        <v>3.7839</v>
      </c>
      <c r="J150" s="35">
        <v>0.15892999999999999</v>
      </c>
      <c r="L150" s="30">
        <v>14</v>
      </c>
      <c r="M150" s="172">
        <v>8.0990000000000002</v>
      </c>
      <c r="N150" s="173">
        <v>0.12347</v>
      </c>
      <c r="P150" s="30">
        <v>14</v>
      </c>
      <c r="Q150" s="172">
        <v>4.0495000000000001</v>
      </c>
      <c r="R150" s="173">
        <v>0.17008000000000001</v>
      </c>
      <c r="T150" s="30">
        <v>14</v>
      </c>
      <c r="U150" s="172">
        <v>246.94</v>
      </c>
      <c r="V150" s="173">
        <v>5.88</v>
      </c>
      <c r="X150" s="30">
        <v>14</v>
      </c>
      <c r="Y150" s="34">
        <v>3.6156000000000001</v>
      </c>
      <c r="Z150" s="35">
        <v>0.15185999999999999</v>
      </c>
      <c r="AA150" s="36"/>
      <c r="AB150" s="30">
        <v>14</v>
      </c>
      <c r="AC150" s="44">
        <v>276.58</v>
      </c>
      <c r="AD150" s="35">
        <v>6.585</v>
      </c>
      <c r="AE150" s="36"/>
      <c r="AF150" s="30">
        <v>14</v>
      </c>
      <c r="AG150" s="34">
        <v>3.6736</v>
      </c>
      <c r="AH150" s="35">
        <v>0.15429000000000001</v>
      </c>
      <c r="AI150" s="35"/>
      <c r="AJ150" s="35">
        <v>0.11081000000000001</v>
      </c>
      <c r="AK150" s="998">
        <v>71</v>
      </c>
      <c r="AM150" s="30">
        <v>14</v>
      </c>
      <c r="AN150" s="34">
        <v>0.93440000000000001</v>
      </c>
      <c r="AO150" s="35">
        <v>1.0466</v>
      </c>
      <c r="AQ150" s="197">
        <v>0.79</v>
      </c>
      <c r="AR150" s="200">
        <v>47.61</v>
      </c>
      <c r="AS150" s="199">
        <v>789.6</v>
      </c>
      <c r="AZ150" s="197">
        <v>0.79</v>
      </c>
      <c r="BA150" s="198">
        <v>6.5772000000000004</v>
      </c>
      <c r="BB150" s="199">
        <v>0.15204000000000001</v>
      </c>
      <c r="BD150" s="197">
        <v>0.79</v>
      </c>
      <c r="BE150" s="198">
        <v>3.2886000000000002</v>
      </c>
      <c r="BF150" s="199">
        <v>0.13811999999999999</v>
      </c>
      <c r="BH150" s="197">
        <v>0.79</v>
      </c>
      <c r="BI150" s="198">
        <v>304.08</v>
      </c>
      <c r="BJ150" s="199">
        <v>7.24</v>
      </c>
      <c r="BL150" s="197">
        <v>0.79</v>
      </c>
      <c r="BM150" s="198">
        <v>2.9361999999999999</v>
      </c>
      <c r="BN150" s="199">
        <v>0.12332</v>
      </c>
      <c r="BP150" s="197">
        <v>0.79</v>
      </c>
      <c r="BQ150" s="200">
        <v>340.57</v>
      </c>
      <c r="BR150" s="199">
        <v>8.109</v>
      </c>
      <c r="BT150" s="197">
        <v>0.79</v>
      </c>
      <c r="BU150" s="201">
        <v>1.1505000000000001</v>
      </c>
      <c r="BV150" s="202">
        <v>1.2885</v>
      </c>
      <c r="BX150" s="37">
        <v>790</v>
      </c>
      <c r="BY150" s="38">
        <v>0.79039999999999999</v>
      </c>
      <c r="BZ150" s="39">
        <v>47.53</v>
      </c>
      <c r="CA150" s="33"/>
      <c r="CB150" s="37">
        <v>790</v>
      </c>
      <c r="CC150" s="45">
        <v>0.15890000000000001</v>
      </c>
      <c r="CD150" s="42">
        <v>6.2930000000000001</v>
      </c>
      <c r="CE150" s="33"/>
      <c r="CF150" s="33"/>
      <c r="CG150" s="33"/>
      <c r="CH150" s="33"/>
      <c r="CI150" s="33"/>
      <c r="CJ150" s="33"/>
      <c r="CK150" s="33"/>
      <c r="CL150" s="40">
        <v>790</v>
      </c>
      <c r="CM150" s="43">
        <v>788.9</v>
      </c>
      <c r="CN150" s="41">
        <v>1.2676000000000001</v>
      </c>
      <c r="CO150" s="33"/>
      <c r="CP150" s="40">
        <v>790</v>
      </c>
      <c r="CQ150" s="34">
        <v>0.86960000000000004</v>
      </c>
      <c r="CR150" s="41">
        <v>0.77639999999999998</v>
      </c>
      <c r="CS150" s="33"/>
      <c r="CT150" s="40">
        <v>790</v>
      </c>
      <c r="CU150" s="44">
        <v>335.04</v>
      </c>
      <c r="CV150" s="42">
        <v>7.9770000000000003</v>
      </c>
    </row>
    <row r="151" spans="4:100">
      <c r="D151" s="30">
        <v>14.1</v>
      </c>
      <c r="E151" s="31">
        <v>0.9718</v>
      </c>
      <c r="F151" s="32">
        <v>971.3</v>
      </c>
      <c r="G151" s="33"/>
      <c r="H151" s="30">
        <v>14.1</v>
      </c>
      <c r="I151" s="34">
        <v>3.7839</v>
      </c>
      <c r="J151" s="35">
        <v>0.15892999999999999</v>
      </c>
      <c r="L151" s="30">
        <v>14.1</v>
      </c>
      <c r="M151" s="172">
        <v>8.093</v>
      </c>
      <c r="N151" s="173">
        <v>0.12356</v>
      </c>
      <c r="P151" s="30">
        <v>14.1</v>
      </c>
      <c r="Q151" s="172">
        <v>4.0467000000000004</v>
      </c>
      <c r="R151" s="173">
        <v>0.16996</v>
      </c>
      <c r="T151" s="30">
        <v>14.1</v>
      </c>
      <c r="U151" s="172">
        <v>247.11</v>
      </c>
      <c r="V151" s="173">
        <v>5.8840000000000003</v>
      </c>
      <c r="X151" s="30">
        <v>14.1</v>
      </c>
      <c r="Y151" s="34">
        <v>3.6131000000000002</v>
      </c>
      <c r="Z151" s="35">
        <v>0.15175</v>
      </c>
      <c r="AA151" s="36"/>
      <c r="AB151" s="30">
        <v>14.1</v>
      </c>
      <c r="AC151" s="44">
        <v>276.77</v>
      </c>
      <c r="AD151" s="35">
        <v>6.59</v>
      </c>
      <c r="AE151" s="36"/>
      <c r="AF151" s="30">
        <v>14.1</v>
      </c>
      <c r="AG151" s="34">
        <v>3.6711</v>
      </c>
      <c r="AH151" s="35">
        <v>0.15418999999999999</v>
      </c>
      <c r="AI151" s="35"/>
      <c r="AJ151" s="35">
        <v>0.11086</v>
      </c>
      <c r="AK151" s="998">
        <v>70.900000000000006</v>
      </c>
      <c r="AM151" s="30">
        <v>14.1</v>
      </c>
      <c r="AN151" s="34">
        <v>0.93510000000000004</v>
      </c>
      <c r="AO151" s="35">
        <v>1.0472999999999999</v>
      </c>
      <c r="AQ151" s="197">
        <v>0.79100000000000004</v>
      </c>
      <c r="AR151" s="200">
        <v>47.39</v>
      </c>
      <c r="AS151" s="199">
        <v>790.6</v>
      </c>
      <c r="AZ151" s="197">
        <v>0.79100000000000004</v>
      </c>
      <c r="BA151" s="198">
        <v>6.5854999999999997</v>
      </c>
      <c r="BB151" s="199">
        <v>0.15185000000000001</v>
      </c>
      <c r="BD151" s="197">
        <v>0.79100000000000004</v>
      </c>
      <c r="BE151" s="198">
        <v>3.2927</v>
      </c>
      <c r="BF151" s="199">
        <v>0.13830000000000001</v>
      </c>
      <c r="BH151" s="197">
        <v>0.79100000000000004</v>
      </c>
      <c r="BI151" s="198">
        <v>303.7</v>
      </c>
      <c r="BJ151" s="199">
        <v>7.2309999999999999</v>
      </c>
      <c r="BL151" s="197">
        <v>0.79100000000000004</v>
      </c>
      <c r="BM151" s="198">
        <v>2.94</v>
      </c>
      <c r="BN151" s="199">
        <v>0.12348000000000001</v>
      </c>
      <c r="BP151" s="197">
        <v>0.79100000000000004</v>
      </c>
      <c r="BQ151" s="200">
        <v>340.14</v>
      </c>
      <c r="BR151" s="199">
        <v>8.0990000000000002</v>
      </c>
      <c r="BT151" s="197">
        <v>0.79100000000000004</v>
      </c>
      <c r="BU151" s="201">
        <v>1.149</v>
      </c>
      <c r="BV151" s="202">
        <v>1.2868999999999999</v>
      </c>
      <c r="BX151" s="37">
        <v>791</v>
      </c>
      <c r="BY151" s="38">
        <v>0.79139999999999999</v>
      </c>
      <c r="BZ151" s="39">
        <v>47.31</v>
      </c>
      <c r="CA151" s="33"/>
      <c r="CB151" s="37">
        <v>791</v>
      </c>
      <c r="CC151" s="45">
        <v>0.15890000000000001</v>
      </c>
      <c r="CD151" s="42">
        <v>6.2930000000000001</v>
      </c>
      <c r="CE151" s="33"/>
      <c r="CF151" s="33"/>
      <c r="CG151" s="33"/>
      <c r="CH151" s="33"/>
      <c r="CI151" s="33"/>
      <c r="CJ151" s="33"/>
      <c r="CK151" s="33"/>
      <c r="CL151" s="40">
        <v>791</v>
      </c>
      <c r="CM151" s="43">
        <v>789.9</v>
      </c>
      <c r="CN151" s="41">
        <v>1.266</v>
      </c>
      <c r="CO151" s="33"/>
      <c r="CP151" s="40">
        <v>791</v>
      </c>
      <c r="CQ151" s="34">
        <v>0.87070000000000003</v>
      </c>
      <c r="CR151" s="41">
        <v>0.77739999999999998</v>
      </c>
      <c r="CS151" s="33"/>
      <c r="CT151" s="40">
        <v>791</v>
      </c>
      <c r="CU151" s="44">
        <v>334.61</v>
      </c>
      <c r="CV151" s="42">
        <v>7.9669999999999996</v>
      </c>
    </row>
    <row r="152" spans="4:100">
      <c r="D152" s="30">
        <v>14.2</v>
      </c>
      <c r="E152" s="31">
        <v>0.97119999999999995</v>
      </c>
      <c r="F152" s="32">
        <v>970.6</v>
      </c>
      <c r="G152" s="33"/>
      <c r="H152" s="30">
        <v>14.2</v>
      </c>
      <c r="I152" s="34">
        <v>3.7839</v>
      </c>
      <c r="J152" s="35">
        <v>0.15892999999999999</v>
      </c>
      <c r="L152" s="30">
        <v>14.2</v>
      </c>
      <c r="M152" s="172">
        <v>8.0879999999999992</v>
      </c>
      <c r="N152" s="173">
        <v>0.12364</v>
      </c>
      <c r="P152" s="30">
        <v>14.2</v>
      </c>
      <c r="Q152" s="172">
        <v>4.0438999999999998</v>
      </c>
      <c r="R152" s="173">
        <v>0.16983999999999999</v>
      </c>
      <c r="T152" s="30">
        <v>14.2</v>
      </c>
      <c r="U152" s="172">
        <v>247.28</v>
      </c>
      <c r="V152" s="173">
        <v>5.8879999999999999</v>
      </c>
      <c r="X152" s="30">
        <v>14.2</v>
      </c>
      <c r="Y152" s="34">
        <v>3.6105999999999998</v>
      </c>
      <c r="Z152" s="35">
        <v>0.15165000000000001</v>
      </c>
      <c r="AA152" s="36"/>
      <c r="AB152" s="30">
        <v>14.2</v>
      </c>
      <c r="AC152" s="44">
        <v>276.95999999999998</v>
      </c>
      <c r="AD152" s="35">
        <v>6.5940000000000003</v>
      </c>
      <c r="AE152" s="36"/>
      <c r="AF152" s="30">
        <v>14.2</v>
      </c>
      <c r="AG152" s="34">
        <v>3.6686000000000001</v>
      </c>
      <c r="AH152" s="35">
        <v>0.15407999999999999</v>
      </c>
      <c r="AI152" s="35"/>
      <c r="AJ152" s="35">
        <v>0.11092</v>
      </c>
      <c r="AK152" s="998">
        <v>70.8</v>
      </c>
      <c r="AM152" s="30">
        <v>14.2</v>
      </c>
      <c r="AN152" s="34">
        <v>0.93569999999999998</v>
      </c>
      <c r="AO152" s="35">
        <v>1.048</v>
      </c>
      <c r="AQ152" s="197">
        <v>0.79200000000000004</v>
      </c>
      <c r="AR152" s="200">
        <v>47.16</v>
      </c>
      <c r="AS152" s="199">
        <v>791.6</v>
      </c>
      <c r="AZ152" s="197">
        <v>0.79200000000000004</v>
      </c>
      <c r="BA152" s="198">
        <v>6.5937999999999999</v>
      </c>
      <c r="BB152" s="199">
        <v>0.15165999999999999</v>
      </c>
      <c r="BD152" s="197">
        <v>0.79200000000000004</v>
      </c>
      <c r="BE152" s="198">
        <v>3.2968999999999999</v>
      </c>
      <c r="BF152" s="199">
        <v>0.13847000000000001</v>
      </c>
      <c r="BH152" s="197">
        <v>0.79200000000000004</v>
      </c>
      <c r="BI152" s="198">
        <v>303.31</v>
      </c>
      <c r="BJ152" s="199">
        <v>7.2220000000000004</v>
      </c>
      <c r="BL152" s="197">
        <v>0.79200000000000004</v>
      </c>
      <c r="BM152" s="198">
        <v>2.9437000000000002</v>
      </c>
      <c r="BN152" s="199">
        <v>0.12363</v>
      </c>
      <c r="BP152" s="197">
        <v>0.79200000000000004</v>
      </c>
      <c r="BQ152" s="200">
        <v>339.71</v>
      </c>
      <c r="BR152" s="199">
        <v>8.0879999999999992</v>
      </c>
      <c r="BT152" s="197">
        <v>0.79200000000000004</v>
      </c>
      <c r="BU152" s="201">
        <v>1.1476</v>
      </c>
      <c r="BV152" s="202">
        <v>1.2853000000000001</v>
      </c>
      <c r="BX152" s="37">
        <v>792</v>
      </c>
      <c r="BY152" s="38">
        <v>0.79239999999999999</v>
      </c>
      <c r="BZ152" s="39">
        <v>47.08</v>
      </c>
      <c r="CA152" s="33"/>
      <c r="CB152" s="37">
        <v>792</v>
      </c>
      <c r="CC152" s="45">
        <v>0.15890000000000001</v>
      </c>
      <c r="CD152" s="42">
        <v>6.2930000000000001</v>
      </c>
      <c r="CE152" s="33"/>
      <c r="CF152" s="33"/>
      <c r="CG152" s="33"/>
      <c r="CH152" s="33"/>
      <c r="CI152" s="33"/>
      <c r="CJ152" s="33"/>
      <c r="CK152" s="33"/>
      <c r="CL152" s="40">
        <v>792</v>
      </c>
      <c r="CM152" s="43">
        <v>790.9</v>
      </c>
      <c r="CN152" s="41">
        <v>1.2644</v>
      </c>
      <c r="CO152" s="33"/>
      <c r="CP152" s="40">
        <v>792</v>
      </c>
      <c r="CQ152" s="34">
        <v>0.87180000000000002</v>
      </c>
      <c r="CR152" s="41">
        <v>0.77839999999999998</v>
      </c>
      <c r="CS152" s="33"/>
      <c r="CT152" s="40">
        <v>792</v>
      </c>
      <c r="CU152" s="44">
        <v>334.19</v>
      </c>
      <c r="CV152" s="42">
        <v>7.9569999999999999</v>
      </c>
    </row>
    <row r="153" spans="4:100">
      <c r="D153" s="30">
        <v>14.3</v>
      </c>
      <c r="E153" s="31">
        <v>0.97050000000000003</v>
      </c>
      <c r="F153" s="32">
        <v>969.9</v>
      </c>
      <c r="G153" s="33"/>
      <c r="H153" s="30">
        <v>14.3</v>
      </c>
      <c r="I153" s="34">
        <v>3.7839</v>
      </c>
      <c r="J153" s="35">
        <v>0.15892999999999999</v>
      </c>
      <c r="L153" s="30">
        <v>14.3</v>
      </c>
      <c r="M153" s="172">
        <v>8.0820000000000007</v>
      </c>
      <c r="N153" s="173">
        <v>0.12373000000000001</v>
      </c>
      <c r="P153" s="30">
        <v>14.3</v>
      </c>
      <c r="Q153" s="172">
        <v>4.0411000000000001</v>
      </c>
      <c r="R153" s="173">
        <v>0.16972999999999999</v>
      </c>
      <c r="T153" s="30">
        <v>14.3</v>
      </c>
      <c r="U153" s="172">
        <v>247.45</v>
      </c>
      <c r="V153" s="173">
        <v>5.8920000000000003</v>
      </c>
      <c r="X153" s="30">
        <v>14.3</v>
      </c>
      <c r="Y153" s="34">
        <v>3.6082000000000001</v>
      </c>
      <c r="Z153" s="35">
        <v>0.15154000000000001</v>
      </c>
      <c r="AA153" s="36"/>
      <c r="AB153" s="30">
        <v>14.3</v>
      </c>
      <c r="AC153" s="44">
        <v>277.14999999999998</v>
      </c>
      <c r="AD153" s="35">
        <v>6.5990000000000002</v>
      </c>
      <c r="AE153" s="36"/>
      <c r="AF153" s="30">
        <v>14.3</v>
      </c>
      <c r="AG153" s="34">
        <v>3.6661000000000001</v>
      </c>
      <c r="AH153" s="35">
        <v>0.15397</v>
      </c>
      <c r="AI153" s="35"/>
      <c r="AJ153" s="35">
        <v>0.11097</v>
      </c>
      <c r="AK153" s="998">
        <v>70.7</v>
      </c>
      <c r="AM153" s="30">
        <v>14.3</v>
      </c>
      <c r="AN153" s="34">
        <v>0.93640000000000001</v>
      </c>
      <c r="AO153" s="35">
        <v>1.0487</v>
      </c>
      <c r="AQ153" s="197">
        <v>0.79300000000000004</v>
      </c>
      <c r="AR153" s="200">
        <v>46.94</v>
      </c>
      <c r="AS153" s="199">
        <v>792.6</v>
      </c>
      <c r="AZ153" s="197">
        <v>0.79300000000000004</v>
      </c>
      <c r="BA153" s="198">
        <v>6.6021999999999998</v>
      </c>
      <c r="BB153" s="199">
        <v>0.15146999999999999</v>
      </c>
      <c r="BD153" s="197">
        <v>0.79300000000000004</v>
      </c>
      <c r="BE153" s="198">
        <v>3.3010999999999999</v>
      </c>
      <c r="BF153" s="199">
        <v>0.13865</v>
      </c>
      <c r="BH153" s="197">
        <v>0.79300000000000004</v>
      </c>
      <c r="BI153" s="198">
        <v>302.93</v>
      </c>
      <c r="BJ153" s="199">
        <v>7.2130000000000001</v>
      </c>
      <c r="BL153" s="197">
        <v>0.79300000000000004</v>
      </c>
      <c r="BM153" s="198">
        <v>2.9474</v>
      </c>
      <c r="BN153" s="199">
        <v>0.12379</v>
      </c>
      <c r="BP153" s="197">
        <v>0.79300000000000004</v>
      </c>
      <c r="BQ153" s="200">
        <v>339.28</v>
      </c>
      <c r="BR153" s="199">
        <v>8.0779999999999994</v>
      </c>
      <c r="BT153" s="197">
        <v>0.79300000000000004</v>
      </c>
      <c r="BU153" s="201">
        <v>1.1460999999999999</v>
      </c>
      <c r="BV153" s="202">
        <v>1.2836000000000001</v>
      </c>
      <c r="BX153" s="37">
        <v>793</v>
      </c>
      <c r="BY153" s="38">
        <v>0.79339999999999999</v>
      </c>
      <c r="BZ153" s="39">
        <v>46.85</v>
      </c>
      <c r="CA153" s="33"/>
      <c r="CB153" s="37">
        <v>793</v>
      </c>
      <c r="CC153" s="45">
        <v>0.15890000000000001</v>
      </c>
      <c r="CD153" s="42">
        <v>6.2930000000000001</v>
      </c>
      <c r="CE153" s="33"/>
      <c r="CF153" s="33"/>
      <c r="CG153" s="33"/>
      <c r="CH153" s="33"/>
      <c r="CI153" s="33"/>
      <c r="CJ153" s="33"/>
      <c r="CK153" s="33"/>
      <c r="CL153" s="40">
        <v>793</v>
      </c>
      <c r="CM153" s="43">
        <v>791.9</v>
      </c>
      <c r="CN153" s="41">
        <v>1.2627999999999999</v>
      </c>
      <c r="CO153" s="33"/>
      <c r="CP153" s="40">
        <v>793</v>
      </c>
      <c r="CQ153" s="34">
        <v>0.87290000000000001</v>
      </c>
      <c r="CR153" s="41">
        <v>0.77939999999999998</v>
      </c>
      <c r="CS153" s="33"/>
      <c r="CT153" s="40">
        <v>793</v>
      </c>
      <c r="CU153" s="44">
        <v>333.77</v>
      </c>
      <c r="CV153" s="42">
        <v>7.9470000000000001</v>
      </c>
    </row>
    <row r="154" spans="4:100">
      <c r="D154" s="30">
        <v>14.4</v>
      </c>
      <c r="E154" s="31">
        <v>0.9698</v>
      </c>
      <c r="F154" s="32">
        <v>969.3</v>
      </c>
      <c r="G154" s="33"/>
      <c r="H154" s="30">
        <v>14.4</v>
      </c>
      <c r="I154" s="34">
        <v>3.7839</v>
      </c>
      <c r="J154" s="35">
        <v>0.15892999999999999</v>
      </c>
      <c r="L154" s="30">
        <v>14.4</v>
      </c>
      <c r="M154" s="172">
        <v>8.077</v>
      </c>
      <c r="N154" s="173">
        <v>0.12381</v>
      </c>
      <c r="P154" s="30">
        <v>14.4</v>
      </c>
      <c r="Q154" s="172">
        <v>4.0384000000000002</v>
      </c>
      <c r="R154" s="173">
        <v>0.16961000000000001</v>
      </c>
      <c r="T154" s="30">
        <v>14.4</v>
      </c>
      <c r="U154" s="172">
        <v>247.62</v>
      </c>
      <c r="V154" s="173">
        <v>5.8959999999999999</v>
      </c>
      <c r="X154" s="30">
        <v>14.4</v>
      </c>
      <c r="Y154" s="34">
        <v>3.6057000000000001</v>
      </c>
      <c r="Z154" s="35">
        <v>0.15143999999999999</v>
      </c>
      <c r="AA154" s="36"/>
      <c r="AB154" s="30">
        <v>14.4</v>
      </c>
      <c r="AC154" s="44">
        <v>277.33999999999997</v>
      </c>
      <c r="AD154" s="35">
        <v>6.6029999999999998</v>
      </c>
      <c r="AE154" s="36"/>
      <c r="AF154" s="30">
        <v>14.4</v>
      </c>
      <c r="AG154" s="34">
        <v>3.6635</v>
      </c>
      <c r="AH154" s="35">
        <v>0.15387000000000001</v>
      </c>
      <c r="AI154" s="35"/>
      <c r="AJ154" s="35">
        <v>0.11103</v>
      </c>
      <c r="AK154" s="998">
        <v>70.599999999999994</v>
      </c>
      <c r="AM154" s="30">
        <v>14.4</v>
      </c>
      <c r="AN154" s="34">
        <v>0.93700000000000006</v>
      </c>
      <c r="AO154" s="35">
        <v>1.0494000000000001</v>
      </c>
      <c r="AQ154" s="197">
        <v>0.79400000000000004</v>
      </c>
      <c r="AR154" s="200">
        <v>46.71</v>
      </c>
      <c r="AS154" s="199">
        <v>793.6</v>
      </c>
      <c r="AZ154" s="197">
        <v>0.79400000000000004</v>
      </c>
      <c r="BA154" s="198">
        <v>6.6105</v>
      </c>
      <c r="BB154" s="199">
        <v>0.15126999999999999</v>
      </c>
      <c r="BD154" s="197">
        <v>0.79400000000000004</v>
      </c>
      <c r="BE154" s="198">
        <v>3.3052999999999999</v>
      </c>
      <c r="BF154" s="199">
        <v>0.13882</v>
      </c>
      <c r="BH154" s="197">
        <v>0.79400000000000004</v>
      </c>
      <c r="BI154" s="198">
        <v>302.55</v>
      </c>
      <c r="BJ154" s="199">
        <v>7.2039999999999997</v>
      </c>
      <c r="BL154" s="197">
        <v>0.79400000000000004</v>
      </c>
      <c r="BM154" s="198">
        <v>2.9510999999999998</v>
      </c>
      <c r="BN154" s="199">
        <v>0.12395</v>
      </c>
      <c r="BP154" s="197">
        <v>0.79400000000000004</v>
      </c>
      <c r="BQ154" s="200">
        <v>338.85</v>
      </c>
      <c r="BR154" s="199">
        <v>8.0679999999999996</v>
      </c>
      <c r="BT154" s="197">
        <v>0.79400000000000004</v>
      </c>
      <c r="BU154" s="201">
        <v>1.1447000000000001</v>
      </c>
      <c r="BV154" s="202">
        <v>1.282</v>
      </c>
      <c r="BX154" s="37">
        <v>794</v>
      </c>
      <c r="BY154" s="38">
        <v>0.7944</v>
      </c>
      <c r="BZ154" s="39">
        <v>46.63</v>
      </c>
      <c r="CA154" s="33"/>
      <c r="CB154" s="37">
        <v>794</v>
      </c>
      <c r="CC154" s="45">
        <v>0.15890000000000001</v>
      </c>
      <c r="CD154" s="42">
        <v>6.2930000000000001</v>
      </c>
      <c r="CE154" s="33"/>
      <c r="CF154" s="33"/>
      <c r="CG154" s="33"/>
      <c r="CH154" s="33"/>
      <c r="CI154" s="33"/>
      <c r="CJ154" s="33"/>
      <c r="CK154" s="33"/>
      <c r="CL154" s="40">
        <v>794</v>
      </c>
      <c r="CM154" s="43">
        <v>792.9</v>
      </c>
      <c r="CN154" s="41">
        <v>1.2612000000000001</v>
      </c>
      <c r="CO154" s="33"/>
      <c r="CP154" s="40">
        <v>794</v>
      </c>
      <c r="CQ154" s="34">
        <v>0.874</v>
      </c>
      <c r="CR154" s="41">
        <v>0.78039999999999998</v>
      </c>
      <c r="CS154" s="33"/>
      <c r="CT154" s="40">
        <v>794</v>
      </c>
      <c r="CU154" s="44">
        <v>333.35</v>
      </c>
      <c r="CV154" s="42">
        <v>7.9370000000000003</v>
      </c>
    </row>
    <row r="155" spans="4:100">
      <c r="D155" s="30">
        <v>14.5</v>
      </c>
      <c r="E155" s="31">
        <v>0.96919999999999995</v>
      </c>
      <c r="F155" s="32">
        <v>968.6</v>
      </c>
      <c r="G155" s="33"/>
      <c r="H155" s="30">
        <v>14.5</v>
      </c>
      <c r="I155" s="34">
        <v>3.7839</v>
      </c>
      <c r="J155" s="35">
        <v>0.15892999999999999</v>
      </c>
      <c r="L155" s="30">
        <v>14.5</v>
      </c>
      <c r="M155" s="172">
        <v>8.0709999999999997</v>
      </c>
      <c r="N155" s="173">
        <v>0.1239</v>
      </c>
      <c r="P155" s="30">
        <v>14.5</v>
      </c>
      <c r="Q155" s="172">
        <v>4.0355999999999996</v>
      </c>
      <c r="R155" s="173">
        <v>0.16950000000000001</v>
      </c>
      <c r="T155" s="30">
        <v>14.5</v>
      </c>
      <c r="U155" s="172">
        <v>247.79</v>
      </c>
      <c r="V155" s="173">
        <v>5.9</v>
      </c>
      <c r="X155" s="30">
        <v>14.5</v>
      </c>
      <c r="Y155" s="34">
        <v>3.6032000000000002</v>
      </c>
      <c r="Z155" s="35">
        <v>0.15134</v>
      </c>
      <c r="AA155" s="36"/>
      <c r="AB155" s="30">
        <v>14.5</v>
      </c>
      <c r="AC155" s="44">
        <v>277.52999999999997</v>
      </c>
      <c r="AD155" s="35">
        <v>6.6079999999999997</v>
      </c>
      <c r="AE155" s="36"/>
      <c r="AF155" s="30">
        <v>14.5</v>
      </c>
      <c r="AG155" s="34">
        <v>3.661</v>
      </c>
      <c r="AH155" s="35">
        <v>0.15376000000000001</v>
      </c>
      <c r="AI155" s="35"/>
      <c r="AJ155" s="35">
        <v>0.11108</v>
      </c>
      <c r="AK155" s="998">
        <v>70.5</v>
      </c>
      <c r="AM155" s="30">
        <v>14.5</v>
      </c>
      <c r="AN155" s="34">
        <v>0.93759999999999999</v>
      </c>
      <c r="AO155" s="35">
        <v>1.0502</v>
      </c>
      <c r="AQ155" s="197">
        <v>0.79500000000000004</v>
      </c>
      <c r="AR155" s="200">
        <v>46.49</v>
      </c>
      <c r="AS155" s="199">
        <v>794.6</v>
      </c>
      <c r="AZ155" s="197">
        <v>0.79500000000000004</v>
      </c>
      <c r="BA155" s="198">
        <v>6.6188000000000002</v>
      </c>
      <c r="BB155" s="199">
        <v>0.15107999999999999</v>
      </c>
      <c r="BD155" s="197">
        <v>0.79500000000000004</v>
      </c>
      <c r="BE155" s="198">
        <v>3.3094000000000001</v>
      </c>
      <c r="BF155" s="199">
        <v>0.13900000000000001</v>
      </c>
      <c r="BH155" s="197">
        <v>0.79500000000000004</v>
      </c>
      <c r="BI155" s="198">
        <v>302.17</v>
      </c>
      <c r="BJ155" s="199">
        <v>7.194</v>
      </c>
      <c r="BL155" s="197">
        <v>0.79500000000000004</v>
      </c>
      <c r="BM155" s="198">
        <v>2.9548000000000001</v>
      </c>
      <c r="BN155" s="199">
        <v>0.1241</v>
      </c>
      <c r="BP155" s="197">
        <v>0.79500000000000004</v>
      </c>
      <c r="BQ155" s="200">
        <v>338.43</v>
      </c>
      <c r="BR155" s="199">
        <v>8.0579999999999998</v>
      </c>
      <c r="BT155" s="197">
        <v>0.79500000000000004</v>
      </c>
      <c r="BU155" s="201">
        <v>1.1432</v>
      </c>
      <c r="BV155" s="202">
        <v>1.2804</v>
      </c>
      <c r="BX155" s="37">
        <v>795</v>
      </c>
      <c r="BY155" s="38">
        <v>0.7954</v>
      </c>
      <c r="BZ155" s="39">
        <v>46.4</v>
      </c>
      <c r="CA155" s="33"/>
      <c r="CB155" s="37">
        <v>795</v>
      </c>
      <c r="CC155" s="45">
        <v>0.15890000000000001</v>
      </c>
      <c r="CD155" s="42">
        <v>6.2930000000000001</v>
      </c>
      <c r="CE155" s="33"/>
      <c r="CF155" s="33"/>
      <c r="CG155" s="33"/>
      <c r="CH155" s="33"/>
      <c r="CI155" s="33"/>
      <c r="CJ155" s="33"/>
      <c r="CK155" s="33"/>
      <c r="CL155" s="40">
        <v>795</v>
      </c>
      <c r="CM155" s="43">
        <v>793.9</v>
      </c>
      <c r="CN155" s="41">
        <v>1.2596000000000001</v>
      </c>
      <c r="CO155" s="33"/>
      <c r="CP155" s="40">
        <v>795</v>
      </c>
      <c r="CQ155" s="34">
        <v>0.87509999999999999</v>
      </c>
      <c r="CR155" s="41">
        <v>0.78139999999999998</v>
      </c>
      <c r="CS155" s="33"/>
      <c r="CT155" s="40">
        <v>795</v>
      </c>
      <c r="CU155" s="44">
        <v>332.93</v>
      </c>
      <c r="CV155" s="42">
        <v>7.9269999999999996</v>
      </c>
    </row>
    <row r="156" spans="4:100">
      <c r="D156" s="30">
        <v>14.6</v>
      </c>
      <c r="E156" s="31">
        <v>0.96850000000000003</v>
      </c>
      <c r="F156" s="32">
        <v>967.9</v>
      </c>
      <c r="G156" s="33"/>
      <c r="H156" s="30">
        <v>14.6</v>
      </c>
      <c r="I156" s="34">
        <v>3.7839</v>
      </c>
      <c r="J156" s="35">
        <v>0.15892999999999999</v>
      </c>
      <c r="L156" s="30">
        <v>14.6</v>
      </c>
      <c r="M156" s="172">
        <v>8.0660000000000007</v>
      </c>
      <c r="N156" s="173">
        <v>0.12398000000000001</v>
      </c>
      <c r="P156" s="30">
        <v>14.6</v>
      </c>
      <c r="Q156" s="172">
        <v>4.0327999999999999</v>
      </c>
      <c r="R156" s="173">
        <v>0.16938</v>
      </c>
      <c r="T156" s="30">
        <v>14.6</v>
      </c>
      <c r="U156" s="172">
        <v>247.96</v>
      </c>
      <c r="V156" s="173">
        <v>5.9039999999999999</v>
      </c>
      <c r="X156" s="30">
        <v>14.6</v>
      </c>
      <c r="Y156" s="34">
        <v>3.6006999999999998</v>
      </c>
      <c r="Z156" s="35">
        <v>0.15123</v>
      </c>
      <c r="AA156" s="36"/>
      <c r="AB156" s="30">
        <v>14.6</v>
      </c>
      <c r="AC156" s="44">
        <v>277.72000000000003</v>
      </c>
      <c r="AD156" s="35">
        <v>6.6120000000000001</v>
      </c>
      <c r="AE156" s="36"/>
      <c r="AF156" s="30">
        <v>14.6</v>
      </c>
      <c r="AG156" s="34">
        <v>3.6585000000000001</v>
      </c>
      <c r="AH156" s="35">
        <v>0.15365999999999999</v>
      </c>
      <c r="AI156" s="35"/>
      <c r="AJ156" s="35">
        <v>0.11114</v>
      </c>
      <c r="AK156" s="998">
        <v>70.400000000000006</v>
      </c>
      <c r="AM156" s="30">
        <v>14.6</v>
      </c>
      <c r="AN156" s="34">
        <v>0.93830000000000002</v>
      </c>
      <c r="AO156" s="35">
        <v>1.0508999999999999</v>
      </c>
      <c r="AQ156" s="197">
        <v>0.79600000000000004</v>
      </c>
      <c r="AR156" s="200">
        <v>46.26</v>
      </c>
      <c r="AS156" s="199">
        <v>795.6</v>
      </c>
      <c r="AZ156" s="197">
        <v>0.79600000000000004</v>
      </c>
      <c r="BA156" s="198">
        <v>6.6272000000000002</v>
      </c>
      <c r="BB156" s="199">
        <v>0.15089</v>
      </c>
      <c r="BD156" s="197">
        <v>0.79600000000000004</v>
      </c>
      <c r="BE156" s="198">
        <v>3.3136000000000001</v>
      </c>
      <c r="BF156" s="199">
        <v>0.13916999999999999</v>
      </c>
      <c r="BH156" s="197">
        <v>0.79600000000000004</v>
      </c>
      <c r="BI156" s="198">
        <v>301.79000000000002</v>
      </c>
      <c r="BJ156" s="199">
        <v>7.1849999999999996</v>
      </c>
      <c r="BL156" s="197">
        <v>0.79600000000000004</v>
      </c>
      <c r="BM156" s="198">
        <v>2.9586000000000001</v>
      </c>
      <c r="BN156" s="199">
        <v>0.12426</v>
      </c>
      <c r="BP156" s="197">
        <v>0.79600000000000004</v>
      </c>
      <c r="BQ156" s="200">
        <v>338</v>
      </c>
      <c r="BR156" s="199">
        <v>8.048</v>
      </c>
      <c r="BT156" s="197">
        <v>0.79600000000000004</v>
      </c>
      <c r="BU156" s="201">
        <v>1.1417999999999999</v>
      </c>
      <c r="BV156" s="202">
        <v>1.2787999999999999</v>
      </c>
      <c r="BX156" s="37">
        <v>796</v>
      </c>
      <c r="BY156" s="38">
        <v>0.7964</v>
      </c>
      <c r="BZ156" s="39">
        <v>46.18</v>
      </c>
      <c r="CA156" s="33"/>
      <c r="CB156" s="37">
        <v>796</v>
      </c>
      <c r="CC156" s="45">
        <v>0.15890000000000001</v>
      </c>
      <c r="CD156" s="42">
        <v>6.2930000000000001</v>
      </c>
      <c r="CE156" s="33"/>
      <c r="CF156" s="33"/>
      <c r="CG156" s="33"/>
      <c r="CH156" s="33"/>
      <c r="CI156" s="33"/>
      <c r="CJ156" s="33"/>
      <c r="CK156" s="33"/>
      <c r="CL156" s="40">
        <v>796</v>
      </c>
      <c r="CM156" s="43">
        <v>794.9</v>
      </c>
      <c r="CN156" s="41">
        <v>1.258</v>
      </c>
      <c r="CO156" s="33"/>
      <c r="CP156" s="40">
        <v>796</v>
      </c>
      <c r="CQ156" s="34">
        <v>0.87619999999999998</v>
      </c>
      <c r="CR156" s="41">
        <v>0.7823</v>
      </c>
      <c r="CS156" s="33"/>
      <c r="CT156" s="40">
        <v>796</v>
      </c>
      <c r="CU156" s="44">
        <v>332.51</v>
      </c>
      <c r="CV156" s="42">
        <v>7.9169999999999998</v>
      </c>
    </row>
    <row r="157" spans="4:100">
      <c r="D157" s="30">
        <v>14.7</v>
      </c>
      <c r="E157" s="31">
        <v>0.96789999999999998</v>
      </c>
      <c r="F157" s="32">
        <v>967.3</v>
      </c>
      <c r="G157" s="33"/>
      <c r="H157" s="30">
        <v>14.7</v>
      </c>
      <c r="I157" s="34">
        <v>3.7839</v>
      </c>
      <c r="J157" s="35">
        <v>0.15892999999999999</v>
      </c>
      <c r="L157" s="30">
        <v>14.7</v>
      </c>
      <c r="M157" s="172">
        <v>8.06</v>
      </c>
      <c r="N157" s="173">
        <v>0.12407</v>
      </c>
      <c r="P157" s="30">
        <v>14.7</v>
      </c>
      <c r="Q157" s="172">
        <v>4.0301</v>
      </c>
      <c r="R157" s="173">
        <v>0.16925999999999999</v>
      </c>
      <c r="T157" s="30">
        <v>14.7</v>
      </c>
      <c r="U157" s="172">
        <v>248.13</v>
      </c>
      <c r="V157" s="173">
        <v>5.9080000000000004</v>
      </c>
      <c r="X157" s="30">
        <v>14.7</v>
      </c>
      <c r="Y157" s="34">
        <v>3.5983000000000001</v>
      </c>
      <c r="Z157" s="35">
        <v>0.15112999999999999</v>
      </c>
      <c r="AA157" s="36"/>
      <c r="AB157" s="30">
        <v>14.7</v>
      </c>
      <c r="AC157" s="44">
        <v>277.91000000000003</v>
      </c>
      <c r="AD157" s="35">
        <v>6.617</v>
      </c>
      <c r="AE157" s="36"/>
      <c r="AF157" s="30">
        <v>14.7</v>
      </c>
      <c r="AG157" s="34">
        <v>3.6560000000000001</v>
      </c>
      <c r="AH157" s="35">
        <v>0.15354999999999999</v>
      </c>
      <c r="AI157" s="35"/>
      <c r="AJ157" s="35">
        <v>0.11119</v>
      </c>
      <c r="AK157" s="998">
        <v>70.3</v>
      </c>
      <c r="AM157" s="30">
        <v>14.7</v>
      </c>
      <c r="AN157" s="34">
        <v>0.93889999999999996</v>
      </c>
      <c r="AO157" s="35">
        <v>1.0516000000000001</v>
      </c>
      <c r="AQ157" s="197">
        <v>0.79700000000000004</v>
      </c>
      <c r="AR157" s="200">
        <v>46.04</v>
      </c>
      <c r="AS157" s="199">
        <v>796.6</v>
      </c>
      <c r="AZ157" s="197">
        <v>0.79700000000000004</v>
      </c>
      <c r="BA157" s="198">
        <v>6.6355000000000004</v>
      </c>
      <c r="BB157" s="199">
        <v>0.1507</v>
      </c>
      <c r="BD157" s="197">
        <v>0.79700000000000004</v>
      </c>
      <c r="BE157" s="198">
        <v>3.3178000000000001</v>
      </c>
      <c r="BF157" s="199">
        <v>0.13935</v>
      </c>
      <c r="BH157" s="197">
        <v>0.79700000000000004</v>
      </c>
      <c r="BI157" s="198">
        <v>301.41000000000003</v>
      </c>
      <c r="BJ157" s="199">
        <v>7.1760000000000002</v>
      </c>
      <c r="BL157" s="197">
        <v>0.79700000000000004</v>
      </c>
      <c r="BM157" s="198">
        <v>2.9622999999999999</v>
      </c>
      <c r="BN157" s="199">
        <v>0.12442</v>
      </c>
      <c r="BP157" s="197">
        <v>0.79700000000000004</v>
      </c>
      <c r="BQ157" s="200">
        <v>337.58</v>
      </c>
      <c r="BR157" s="199">
        <v>8.0380000000000003</v>
      </c>
      <c r="BT157" s="197">
        <v>0.79700000000000004</v>
      </c>
      <c r="BU157" s="201">
        <v>1.1404000000000001</v>
      </c>
      <c r="BV157" s="202">
        <v>1.2771999999999999</v>
      </c>
      <c r="BX157" s="37">
        <v>797</v>
      </c>
      <c r="BY157" s="38">
        <v>0.7974</v>
      </c>
      <c r="BZ157" s="39">
        <v>45.96</v>
      </c>
      <c r="CA157" s="33"/>
      <c r="CB157" s="37">
        <v>797</v>
      </c>
      <c r="CC157" s="45">
        <v>0.15890000000000001</v>
      </c>
      <c r="CD157" s="42">
        <v>6.2930000000000001</v>
      </c>
      <c r="CE157" s="33"/>
      <c r="CF157" s="33"/>
      <c r="CG157" s="33"/>
      <c r="CH157" s="33"/>
      <c r="CI157" s="33"/>
      <c r="CJ157" s="33"/>
      <c r="CK157" s="33"/>
      <c r="CL157" s="40">
        <v>797</v>
      </c>
      <c r="CM157" s="43">
        <v>795.9</v>
      </c>
      <c r="CN157" s="41">
        <v>1.2564</v>
      </c>
      <c r="CO157" s="33"/>
      <c r="CP157" s="40">
        <v>797</v>
      </c>
      <c r="CQ157" s="34">
        <v>0.87729999999999997</v>
      </c>
      <c r="CR157" s="41">
        <v>0.7833</v>
      </c>
      <c r="CS157" s="33"/>
      <c r="CT157" s="40">
        <v>797</v>
      </c>
      <c r="CU157" s="44">
        <v>332.09</v>
      </c>
      <c r="CV157" s="42">
        <v>7.907</v>
      </c>
    </row>
    <row r="158" spans="4:100">
      <c r="D158" s="30">
        <v>14.8</v>
      </c>
      <c r="E158" s="31">
        <v>0.96719999999999995</v>
      </c>
      <c r="F158" s="32">
        <v>966.6</v>
      </c>
      <c r="G158" s="33"/>
      <c r="H158" s="30">
        <v>14.8</v>
      </c>
      <c r="I158" s="34">
        <v>3.7839</v>
      </c>
      <c r="J158" s="35">
        <v>0.15892999999999999</v>
      </c>
      <c r="L158" s="30">
        <v>14.8</v>
      </c>
      <c r="M158" s="172">
        <v>8.0549999999999997</v>
      </c>
      <c r="N158" s="173">
        <v>0.12415</v>
      </c>
      <c r="P158" s="30">
        <v>14.8</v>
      </c>
      <c r="Q158" s="172">
        <v>4.0273000000000003</v>
      </c>
      <c r="R158" s="173">
        <v>0.16914999999999999</v>
      </c>
      <c r="T158" s="30">
        <v>14.8</v>
      </c>
      <c r="U158" s="172">
        <v>248.3</v>
      </c>
      <c r="V158" s="173">
        <v>5.9119999999999999</v>
      </c>
      <c r="X158" s="30">
        <v>14.8</v>
      </c>
      <c r="Y158" s="34">
        <v>3.5958000000000001</v>
      </c>
      <c r="Z158" s="35">
        <v>0.15101999999999999</v>
      </c>
      <c r="AA158" s="36"/>
      <c r="AB158" s="30">
        <v>14.8</v>
      </c>
      <c r="AC158" s="44">
        <v>278.10000000000002</v>
      </c>
      <c r="AD158" s="35">
        <v>6.6210000000000004</v>
      </c>
      <c r="AE158" s="36"/>
      <c r="AF158" s="30">
        <v>14.8</v>
      </c>
      <c r="AG158" s="34">
        <v>3.6535000000000002</v>
      </c>
      <c r="AH158" s="35">
        <v>0.15345</v>
      </c>
      <c r="AI158" s="35"/>
      <c r="AJ158" s="35">
        <v>0.11125</v>
      </c>
      <c r="AK158" s="998">
        <v>70.2</v>
      </c>
      <c r="AM158" s="30">
        <v>14.8</v>
      </c>
      <c r="AN158" s="34">
        <v>0.93959999999999999</v>
      </c>
      <c r="AO158" s="35">
        <v>1.0523</v>
      </c>
      <c r="AQ158" s="197">
        <v>0.79800000000000004</v>
      </c>
      <c r="AR158" s="200">
        <v>45.82</v>
      </c>
      <c r="AS158" s="199">
        <v>797.6</v>
      </c>
      <c r="AZ158" s="197">
        <v>0.79800000000000004</v>
      </c>
      <c r="BA158" s="198">
        <v>6.6439000000000004</v>
      </c>
      <c r="BB158" s="199">
        <v>0.15051</v>
      </c>
      <c r="BD158" s="197">
        <v>0.79800000000000004</v>
      </c>
      <c r="BE158" s="198">
        <v>3.3218999999999999</v>
      </c>
      <c r="BF158" s="199">
        <v>0.13952000000000001</v>
      </c>
      <c r="BH158" s="197">
        <v>0.79800000000000004</v>
      </c>
      <c r="BI158" s="198">
        <v>301.02999999999997</v>
      </c>
      <c r="BJ158" s="199">
        <v>7.1669999999999998</v>
      </c>
      <c r="BL158" s="197">
        <v>0.79800000000000004</v>
      </c>
      <c r="BM158" s="198">
        <v>2.9660000000000002</v>
      </c>
      <c r="BN158" s="199">
        <v>0.12457</v>
      </c>
      <c r="BP158" s="197">
        <v>0.79800000000000004</v>
      </c>
      <c r="BQ158" s="200">
        <v>337.15</v>
      </c>
      <c r="BR158" s="199">
        <v>8.0269999999999992</v>
      </c>
      <c r="BT158" s="197">
        <v>0.79800000000000004</v>
      </c>
      <c r="BU158" s="201">
        <v>1.1389</v>
      </c>
      <c r="BV158" s="202">
        <v>1.2756000000000001</v>
      </c>
      <c r="BX158" s="37">
        <v>798</v>
      </c>
      <c r="BY158" s="38">
        <v>0.7984</v>
      </c>
      <c r="BZ158" s="39">
        <v>45.74</v>
      </c>
      <c r="CA158" s="33"/>
      <c r="CB158" s="37">
        <v>798</v>
      </c>
      <c r="CC158" s="45">
        <v>0.15890000000000001</v>
      </c>
      <c r="CD158" s="42">
        <v>6.2930000000000001</v>
      </c>
      <c r="CE158" s="33"/>
      <c r="CF158" s="33"/>
      <c r="CG158" s="33"/>
      <c r="CH158" s="33"/>
      <c r="CI158" s="33"/>
      <c r="CJ158" s="33"/>
      <c r="CK158" s="33"/>
      <c r="CL158" s="40">
        <v>798</v>
      </c>
      <c r="CM158" s="43">
        <v>796.9</v>
      </c>
      <c r="CN158" s="41">
        <v>1.2548999999999999</v>
      </c>
      <c r="CO158" s="33"/>
      <c r="CP158" s="40">
        <v>798</v>
      </c>
      <c r="CQ158" s="34">
        <v>0.87839999999999996</v>
      </c>
      <c r="CR158" s="41">
        <v>0.7843</v>
      </c>
      <c r="CS158" s="33"/>
      <c r="CT158" s="40">
        <v>798</v>
      </c>
      <c r="CU158" s="44">
        <v>331.67</v>
      </c>
      <c r="CV158" s="42">
        <v>7.8970000000000002</v>
      </c>
    </row>
    <row r="159" spans="4:100">
      <c r="D159" s="30">
        <v>14.9</v>
      </c>
      <c r="E159" s="31">
        <v>0.96650000000000003</v>
      </c>
      <c r="F159" s="32">
        <v>966</v>
      </c>
      <c r="G159" s="33"/>
      <c r="H159" s="30">
        <v>14.9</v>
      </c>
      <c r="I159" s="34">
        <v>3.7839</v>
      </c>
      <c r="J159" s="35">
        <v>0.15892999999999999</v>
      </c>
      <c r="L159" s="30">
        <v>14.9</v>
      </c>
      <c r="M159" s="172">
        <v>8.0489999999999995</v>
      </c>
      <c r="N159" s="173">
        <v>0.12424</v>
      </c>
      <c r="P159" s="30">
        <v>14.9</v>
      </c>
      <c r="Q159" s="172">
        <v>4.0246000000000004</v>
      </c>
      <c r="R159" s="173">
        <v>0.16903000000000001</v>
      </c>
      <c r="T159" s="30">
        <v>14.9</v>
      </c>
      <c r="U159" s="172">
        <v>248.47</v>
      </c>
      <c r="V159" s="173">
        <v>5.9160000000000004</v>
      </c>
      <c r="X159" s="30">
        <v>14.9</v>
      </c>
      <c r="Y159" s="34">
        <v>3.5933999999999999</v>
      </c>
      <c r="Z159" s="35">
        <v>0.15092</v>
      </c>
      <c r="AA159" s="36"/>
      <c r="AB159" s="30">
        <v>14.9</v>
      </c>
      <c r="AC159" s="44">
        <v>278.29000000000002</v>
      </c>
      <c r="AD159" s="35">
        <v>6.6260000000000003</v>
      </c>
      <c r="AE159" s="36"/>
      <c r="AF159" s="30">
        <v>14.9</v>
      </c>
      <c r="AG159" s="34">
        <v>3.6509999999999998</v>
      </c>
      <c r="AH159" s="35">
        <v>0.15334</v>
      </c>
      <c r="AI159" s="35"/>
      <c r="AJ159" s="35">
        <v>0.1113</v>
      </c>
      <c r="AK159" s="998">
        <v>70.099999999999994</v>
      </c>
      <c r="AM159" s="30">
        <v>14.9</v>
      </c>
      <c r="AN159" s="34">
        <v>0.94020000000000004</v>
      </c>
      <c r="AO159" s="35">
        <v>1.0529999999999999</v>
      </c>
      <c r="AQ159" s="197">
        <v>0.79900000000000004</v>
      </c>
      <c r="AR159" s="200">
        <v>45.6</v>
      </c>
      <c r="AS159" s="199">
        <v>798.6</v>
      </c>
      <c r="AZ159" s="197">
        <v>0.79900000000000004</v>
      </c>
      <c r="BA159" s="198">
        <v>6.6521999999999997</v>
      </c>
      <c r="BB159" s="199">
        <v>0.15032999999999999</v>
      </c>
      <c r="BD159" s="197">
        <v>0.79900000000000004</v>
      </c>
      <c r="BE159" s="198">
        <v>3.3260999999999998</v>
      </c>
      <c r="BF159" s="199">
        <v>0.13969999999999999</v>
      </c>
      <c r="BH159" s="197">
        <v>0.79900000000000004</v>
      </c>
      <c r="BI159" s="198">
        <v>300.64999999999998</v>
      </c>
      <c r="BJ159" s="199">
        <v>7.1580000000000004</v>
      </c>
      <c r="BL159" s="197">
        <v>0.79900000000000004</v>
      </c>
      <c r="BM159" s="198">
        <v>2.9697</v>
      </c>
      <c r="BN159" s="199">
        <v>0.12472999999999999</v>
      </c>
      <c r="BP159" s="197">
        <v>0.79900000000000004</v>
      </c>
      <c r="BQ159" s="200">
        <v>336.73</v>
      </c>
      <c r="BR159" s="199">
        <v>8.0169999999999995</v>
      </c>
      <c r="BT159" s="197">
        <v>0.79900000000000004</v>
      </c>
      <c r="BU159" s="201">
        <v>1.1375</v>
      </c>
      <c r="BV159" s="202">
        <v>1.274</v>
      </c>
      <c r="BX159" s="37">
        <v>799</v>
      </c>
      <c r="BY159" s="38">
        <v>0.7994</v>
      </c>
      <c r="BZ159" s="39">
        <v>45.51</v>
      </c>
      <c r="CA159" s="33"/>
      <c r="CB159" s="37">
        <v>799</v>
      </c>
      <c r="CC159" s="38">
        <v>0.15891</v>
      </c>
      <c r="CD159" s="42">
        <v>6.2930000000000001</v>
      </c>
      <c r="CE159" s="33"/>
      <c r="CF159" s="33"/>
      <c r="CG159" s="33"/>
      <c r="CH159" s="33"/>
      <c r="CI159" s="33"/>
      <c r="CJ159" s="33"/>
      <c r="CK159" s="33"/>
      <c r="CL159" s="40">
        <v>799</v>
      </c>
      <c r="CM159" s="43">
        <v>797.9</v>
      </c>
      <c r="CN159" s="41">
        <v>1.2533000000000001</v>
      </c>
      <c r="CO159" s="33"/>
      <c r="CP159" s="40">
        <v>799</v>
      </c>
      <c r="CQ159" s="34">
        <v>0.87949999999999995</v>
      </c>
      <c r="CR159" s="41">
        <v>0.7853</v>
      </c>
      <c r="CS159" s="33"/>
      <c r="CT159" s="40">
        <v>799</v>
      </c>
      <c r="CU159" s="44">
        <v>331.25</v>
      </c>
      <c r="CV159" s="42">
        <v>7.8869999999999996</v>
      </c>
    </row>
    <row r="160" spans="4:100">
      <c r="D160" s="30">
        <v>15</v>
      </c>
      <c r="E160" s="31">
        <v>0.96589999999999998</v>
      </c>
      <c r="F160" s="32">
        <v>965.3</v>
      </c>
      <c r="G160" s="33"/>
      <c r="H160" s="30">
        <v>15</v>
      </c>
      <c r="I160" s="34">
        <v>3.7839</v>
      </c>
      <c r="J160" s="35">
        <v>0.15892999999999999</v>
      </c>
      <c r="L160" s="30">
        <v>15</v>
      </c>
      <c r="M160" s="172">
        <v>8.0440000000000005</v>
      </c>
      <c r="N160" s="173">
        <v>0.12432</v>
      </c>
      <c r="P160" s="30">
        <v>15</v>
      </c>
      <c r="Q160" s="172">
        <v>4.0217999999999998</v>
      </c>
      <c r="R160" s="173">
        <v>0.16891999999999999</v>
      </c>
      <c r="T160" s="30">
        <v>15</v>
      </c>
      <c r="U160" s="172">
        <v>248.64</v>
      </c>
      <c r="V160" s="173">
        <v>5.92</v>
      </c>
      <c r="X160" s="30">
        <v>15</v>
      </c>
      <c r="Y160" s="34">
        <v>3.5909</v>
      </c>
      <c r="Z160" s="35">
        <v>0.15082000000000001</v>
      </c>
      <c r="AA160" s="36"/>
      <c r="AB160" s="30">
        <v>15</v>
      </c>
      <c r="AC160" s="44">
        <v>278.48</v>
      </c>
      <c r="AD160" s="35">
        <v>6.6310000000000002</v>
      </c>
      <c r="AE160" s="36"/>
      <c r="AF160" s="30">
        <v>15</v>
      </c>
      <c r="AG160" s="34">
        <v>3.6484999999999999</v>
      </c>
      <c r="AH160" s="35">
        <v>0.15323999999999999</v>
      </c>
      <c r="AI160" s="35"/>
      <c r="AJ160" s="35">
        <v>0.11136</v>
      </c>
      <c r="AK160" s="998">
        <v>70</v>
      </c>
      <c r="AM160" s="30">
        <v>15</v>
      </c>
      <c r="AN160" s="34">
        <v>0.94089999999999996</v>
      </c>
      <c r="AO160" s="35">
        <v>1.0538000000000001</v>
      </c>
      <c r="AQ160" s="197">
        <v>0.8</v>
      </c>
      <c r="AR160" s="200">
        <v>45.38</v>
      </c>
      <c r="AS160" s="199">
        <v>799.6</v>
      </c>
      <c r="AZ160" s="197">
        <v>0.8</v>
      </c>
      <c r="BA160" s="198">
        <v>6.6604999999999999</v>
      </c>
      <c r="BB160" s="199">
        <v>0.15014</v>
      </c>
      <c r="BD160" s="197">
        <v>0.8</v>
      </c>
      <c r="BE160" s="198">
        <v>3.3302999999999998</v>
      </c>
      <c r="BF160" s="199">
        <v>0.13986999999999999</v>
      </c>
      <c r="BH160" s="197">
        <v>0.8</v>
      </c>
      <c r="BI160" s="198">
        <v>300.27999999999997</v>
      </c>
      <c r="BJ160" s="199">
        <v>7.149</v>
      </c>
      <c r="BL160" s="197">
        <v>0.8</v>
      </c>
      <c r="BM160" s="198">
        <v>2.9735</v>
      </c>
      <c r="BN160" s="199">
        <v>0.12489</v>
      </c>
      <c r="BP160" s="197">
        <v>0.8</v>
      </c>
      <c r="BQ160" s="200">
        <v>336.31</v>
      </c>
      <c r="BR160" s="199">
        <v>8.0069999999999997</v>
      </c>
      <c r="BT160" s="197">
        <v>0.8</v>
      </c>
      <c r="BU160" s="201">
        <v>1.1361000000000001</v>
      </c>
      <c r="BV160" s="202">
        <v>1.2724</v>
      </c>
      <c r="BX160" s="37">
        <v>800</v>
      </c>
      <c r="BY160" s="38">
        <v>0.8004</v>
      </c>
      <c r="BZ160" s="39">
        <v>45.29</v>
      </c>
      <c r="CA160" s="33"/>
      <c r="CB160" s="37">
        <v>800</v>
      </c>
      <c r="CC160" s="38">
        <v>0.15891</v>
      </c>
      <c r="CD160" s="42">
        <v>6.2930000000000001</v>
      </c>
      <c r="CE160" s="33"/>
      <c r="CF160" s="33"/>
      <c r="CG160" s="33"/>
      <c r="CH160" s="33"/>
      <c r="CI160" s="33"/>
      <c r="CJ160" s="33"/>
      <c r="CK160" s="33"/>
      <c r="CL160" s="40">
        <v>800</v>
      </c>
      <c r="CM160" s="43">
        <v>798.9</v>
      </c>
      <c r="CN160" s="41">
        <v>1.2517</v>
      </c>
      <c r="CO160" s="33"/>
      <c r="CP160" s="40">
        <v>800</v>
      </c>
      <c r="CQ160" s="34">
        <v>0.88060000000000005</v>
      </c>
      <c r="CR160" s="41">
        <v>0.7863</v>
      </c>
      <c r="CS160" s="33"/>
      <c r="CT160" s="40">
        <v>800</v>
      </c>
      <c r="CU160" s="44">
        <v>330.84</v>
      </c>
      <c r="CV160" s="42">
        <v>7.8769999999999998</v>
      </c>
    </row>
    <row r="161" spans="4:100">
      <c r="D161" s="30">
        <v>15.1</v>
      </c>
      <c r="E161" s="31">
        <v>0.96519999999999995</v>
      </c>
      <c r="F161" s="32">
        <v>964.6</v>
      </c>
      <c r="G161" s="33"/>
      <c r="H161" s="30">
        <v>15.1</v>
      </c>
      <c r="I161" s="34">
        <v>3.7839</v>
      </c>
      <c r="J161" s="35">
        <v>0.15892999999999999</v>
      </c>
      <c r="L161" s="30">
        <v>15.1</v>
      </c>
      <c r="M161" s="172">
        <v>8.0380000000000003</v>
      </c>
      <c r="N161" s="173">
        <v>0.12441000000000001</v>
      </c>
      <c r="P161" s="30">
        <v>15.1</v>
      </c>
      <c r="Q161" s="172">
        <v>4.0190999999999999</v>
      </c>
      <c r="R161" s="173">
        <v>0.16880000000000001</v>
      </c>
      <c r="T161" s="30">
        <v>15.1</v>
      </c>
      <c r="U161" s="172">
        <v>248.81</v>
      </c>
      <c r="V161" s="173">
        <v>5.9240000000000004</v>
      </c>
      <c r="X161" s="30">
        <v>15.1</v>
      </c>
      <c r="Y161" s="34">
        <v>3.5884999999999998</v>
      </c>
      <c r="Z161" s="35">
        <v>0.15071000000000001</v>
      </c>
      <c r="AA161" s="36"/>
      <c r="AB161" s="30">
        <v>15.1</v>
      </c>
      <c r="AC161" s="44">
        <v>278.67</v>
      </c>
      <c r="AD161" s="35">
        <v>6.6349999999999998</v>
      </c>
      <c r="AE161" s="36"/>
      <c r="AF161" s="30">
        <v>15.1</v>
      </c>
      <c r="AG161" s="34">
        <v>3.6459999999999999</v>
      </c>
      <c r="AH161" s="35">
        <v>0.15312999999999999</v>
      </c>
      <c r="AI161" s="35"/>
      <c r="AJ161" s="35">
        <v>0.11141</v>
      </c>
      <c r="AK161" s="998">
        <v>69.900000000000006</v>
      </c>
      <c r="AM161" s="30">
        <v>15.1</v>
      </c>
      <c r="AN161" s="34">
        <v>0.9415</v>
      </c>
      <c r="AO161" s="35">
        <v>1.0545</v>
      </c>
      <c r="AQ161" s="197">
        <v>0.80100000000000005</v>
      </c>
      <c r="AR161" s="200">
        <v>45.15</v>
      </c>
      <c r="AS161" s="199">
        <v>800.6</v>
      </c>
      <c r="AZ161" s="197">
        <v>0.80100000000000005</v>
      </c>
      <c r="BA161" s="198">
        <v>6.6688999999999998</v>
      </c>
      <c r="BB161" s="199">
        <v>0.14995</v>
      </c>
      <c r="BD161" s="197">
        <v>0.80100000000000005</v>
      </c>
      <c r="BE161" s="198">
        <v>3.3344</v>
      </c>
      <c r="BF161" s="199">
        <v>0.14005000000000001</v>
      </c>
      <c r="BH161" s="197">
        <v>0.80100000000000005</v>
      </c>
      <c r="BI161" s="198">
        <v>299.89999999999998</v>
      </c>
      <c r="BJ161" s="199">
        <v>7.14</v>
      </c>
      <c r="BL161" s="197">
        <v>0.80100000000000005</v>
      </c>
      <c r="BM161" s="198">
        <v>2.9771999999999998</v>
      </c>
      <c r="BN161" s="199">
        <v>0.12504000000000001</v>
      </c>
      <c r="BP161" s="197">
        <v>0.80100000000000005</v>
      </c>
      <c r="BQ161" s="200">
        <v>335.89</v>
      </c>
      <c r="BR161" s="199">
        <v>7.9969999999999999</v>
      </c>
      <c r="BT161" s="197">
        <v>0.80100000000000005</v>
      </c>
      <c r="BU161" s="201">
        <v>1.1347</v>
      </c>
      <c r="BV161" s="202">
        <v>1.2707999999999999</v>
      </c>
      <c r="BX161" s="37">
        <v>801</v>
      </c>
      <c r="BY161" s="38">
        <v>0.8014</v>
      </c>
      <c r="BZ161" s="39">
        <v>45.07</v>
      </c>
      <c r="CA161" s="33"/>
      <c r="CB161" s="37">
        <v>801</v>
      </c>
      <c r="CC161" s="38">
        <v>0.15891</v>
      </c>
      <c r="CD161" s="42">
        <v>6.2930000000000001</v>
      </c>
      <c r="CE161" s="33"/>
      <c r="CF161" s="33"/>
      <c r="CG161" s="33"/>
      <c r="CH161" s="33"/>
      <c r="CI161" s="33"/>
      <c r="CJ161" s="33"/>
      <c r="CK161" s="33"/>
      <c r="CL161" s="40">
        <v>801</v>
      </c>
      <c r="CM161" s="43">
        <v>799.9</v>
      </c>
      <c r="CN161" s="41">
        <v>1.2502</v>
      </c>
      <c r="CO161" s="33"/>
      <c r="CP161" s="40">
        <v>801</v>
      </c>
      <c r="CQ161" s="34">
        <v>0.88170000000000004</v>
      </c>
      <c r="CR161" s="41">
        <v>0.7873</v>
      </c>
      <c r="CS161" s="33"/>
      <c r="CT161" s="40">
        <v>801</v>
      </c>
      <c r="CU161" s="44">
        <v>330.43</v>
      </c>
      <c r="CV161" s="42">
        <v>7.867</v>
      </c>
    </row>
    <row r="162" spans="4:100">
      <c r="D162" s="30">
        <v>15.2</v>
      </c>
      <c r="E162" s="31">
        <v>0.96460000000000001</v>
      </c>
      <c r="F162" s="32">
        <v>964</v>
      </c>
      <c r="G162" s="33"/>
      <c r="H162" s="30">
        <v>15.2</v>
      </c>
      <c r="I162" s="34">
        <v>3.7839</v>
      </c>
      <c r="J162" s="35">
        <v>0.15892999999999999</v>
      </c>
      <c r="L162" s="30">
        <v>15.2</v>
      </c>
      <c r="M162" s="172">
        <v>8.0329999999999995</v>
      </c>
      <c r="N162" s="173">
        <v>0.12449</v>
      </c>
      <c r="P162" s="30">
        <v>15.2</v>
      </c>
      <c r="Q162" s="172">
        <v>4.0163000000000002</v>
      </c>
      <c r="R162" s="173">
        <v>0.16869000000000001</v>
      </c>
      <c r="T162" s="30">
        <v>15.2</v>
      </c>
      <c r="U162" s="172">
        <v>248.98</v>
      </c>
      <c r="V162" s="173">
        <v>5.9279999999999902</v>
      </c>
      <c r="X162" s="30">
        <v>15.2</v>
      </c>
      <c r="Y162" s="34">
        <v>3.5859999999999999</v>
      </c>
      <c r="Z162" s="35">
        <v>0.15060999999999999</v>
      </c>
      <c r="AA162" s="36"/>
      <c r="AB162" s="30">
        <v>15.2</v>
      </c>
      <c r="AC162" s="44">
        <v>278.86</v>
      </c>
      <c r="AD162" s="35">
        <v>6.64</v>
      </c>
      <c r="AE162" s="36"/>
      <c r="AF162" s="30">
        <v>15.2</v>
      </c>
      <c r="AG162" s="34">
        <v>3.6435</v>
      </c>
      <c r="AH162" s="35">
        <v>0.15303</v>
      </c>
      <c r="AI162" s="35"/>
      <c r="AJ162" s="35">
        <v>0.11147</v>
      </c>
      <c r="AK162" s="998">
        <v>69.8</v>
      </c>
      <c r="AM162" s="30">
        <v>15.2</v>
      </c>
      <c r="AN162" s="34">
        <v>0.94210000000000005</v>
      </c>
      <c r="AO162" s="35">
        <v>1.0551999999999999</v>
      </c>
      <c r="AQ162" s="197">
        <v>0.80200000000000005</v>
      </c>
      <c r="AR162" s="200">
        <v>44.93</v>
      </c>
      <c r="AS162" s="199">
        <v>801.6</v>
      </c>
      <c r="AZ162" s="197">
        <v>0.80200000000000005</v>
      </c>
      <c r="BA162" s="198">
        <v>6.6772</v>
      </c>
      <c r="BB162" s="199">
        <v>0.14976</v>
      </c>
      <c r="BD162" s="197">
        <v>0.80200000000000005</v>
      </c>
      <c r="BE162" s="198">
        <v>3.3386</v>
      </c>
      <c r="BF162" s="199">
        <v>0.14022000000000001</v>
      </c>
      <c r="BH162" s="197">
        <v>0.80200000000000005</v>
      </c>
      <c r="BI162" s="198">
        <v>299.52999999999997</v>
      </c>
      <c r="BJ162" s="199">
        <v>7.1319999999999997</v>
      </c>
      <c r="BL162" s="197">
        <v>0.80200000000000005</v>
      </c>
      <c r="BM162" s="198">
        <v>2.9809000000000001</v>
      </c>
      <c r="BN162" s="199">
        <v>0.12520000000000001</v>
      </c>
      <c r="BP162" s="197">
        <v>0.80200000000000005</v>
      </c>
      <c r="BQ162" s="200">
        <v>335.47</v>
      </c>
      <c r="BR162" s="199">
        <v>7.9870000000000001</v>
      </c>
      <c r="BT162" s="197">
        <v>0.80200000000000005</v>
      </c>
      <c r="BU162" s="201">
        <v>1.1332</v>
      </c>
      <c r="BV162" s="202">
        <v>1.2692000000000001</v>
      </c>
      <c r="BX162" s="37">
        <v>802</v>
      </c>
      <c r="BY162" s="38">
        <v>0.8024</v>
      </c>
      <c r="BZ162" s="39">
        <v>44.85</v>
      </c>
      <c r="CA162" s="33"/>
      <c r="CB162" s="37">
        <v>802</v>
      </c>
      <c r="CC162" s="38">
        <v>0.15891</v>
      </c>
      <c r="CD162" s="42">
        <v>6.2930000000000001</v>
      </c>
      <c r="CE162" s="33"/>
      <c r="CF162" s="33"/>
      <c r="CG162" s="33"/>
      <c r="CH162" s="33"/>
      <c r="CI162" s="33"/>
      <c r="CJ162" s="33"/>
      <c r="CK162" s="33"/>
      <c r="CL162" s="40">
        <v>802</v>
      </c>
      <c r="CM162" s="43">
        <v>800.9</v>
      </c>
      <c r="CN162" s="41">
        <v>1.2485999999999999</v>
      </c>
      <c r="CO162" s="33"/>
      <c r="CP162" s="40">
        <v>802</v>
      </c>
      <c r="CQ162" s="34">
        <v>0.88280000000000003</v>
      </c>
      <c r="CR162" s="41">
        <v>0.7883</v>
      </c>
      <c r="CS162" s="33"/>
      <c r="CT162" s="40">
        <v>802</v>
      </c>
      <c r="CU162" s="44">
        <v>330.01</v>
      </c>
      <c r="CV162" s="42">
        <v>7.8570000000000002</v>
      </c>
    </row>
    <row r="163" spans="4:100">
      <c r="D163" s="30">
        <v>15.3</v>
      </c>
      <c r="E163" s="31">
        <v>0.96389999999999998</v>
      </c>
      <c r="F163" s="32">
        <v>963.3</v>
      </c>
      <c r="G163" s="33"/>
      <c r="H163" s="30">
        <v>15.3</v>
      </c>
      <c r="I163" s="34">
        <v>3.7839</v>
      </c>
      <c r="J163" s="35">
        <v>0.15892000000000001</v>
      </c>
      <c r="L163" s="30">
        <v>15.3</v>
      </c>
      <c r="M163" s="172">
        <v>8.0269999999999992</v>
      </c>
      <c r="N163" s="173">
        <v>0.12458</v>
      </c>
      <c r="P163" s="30">
        <v>15.3</v>
      </c>
      <c r="Q163" s="172">
        <v>4.0136000000000003</v>
      </c>
      <c r="R163" s="173">
        <v>0.16857</v>
      </c>
      <c r="T163" s="30">
        <v>15.3</v>
      </c>
      <c r="U163" s="172">
        <v>249.15</v>
      </c>
      <c r="V163" s="173">
        <v>5.9320000000000004</v>
      </c>
      <c r="X163" s="30">
        <v>15.3</v>
      </c>
      <c r="Y163" s="34">
        <v>3.5836000000000001</v>
      </c>
      <c r="Z163" s="35">
        <v>0.15051</v>
      </c>
      <c r="AA163" s="36"/>
      <c r="AB163" s="30">
        <v>15.3</v>
      </c>
      <c r="AC163" s="44">
        <v>279.05</v>
      </c>
      <c r="AD163" s="35">
        <v>6.6440000000000001</v>
      </c>
      <c r="AE163" s="36"/>
      <c r="AF163" s="30">
        <v>15.3</v>
      </c>
      <c r="AG163" s="34">
        <v>3.6410999999999998</v>
      </c>
      <c r="AH163" s="35">
        <v>0.15292</v>
      </c>
      <c r="AI163" s="35"/>
      <c r="AJ163" s="35">
        <v>0.11151999999999999</v>
      </c>
      <c r="AK163" s="998">
        <v>69.7</v>
      </c>
      <c r="AM163" s="30">
        <v>15.3</v>
      </c>
      <c r="AN163" s="34">
        <v>0.94279999999999997</v>
      </c>
      <c r="AO163" s="35">
        <v>1.0559000000000001</v>
      </c>
      <c r="AQ163" s="197">
        <v>0.80300000000000005</v>
      </c>
      <c r="AR163" s="200">
        <v>44.71</v>
      </c>
      <c r="AS163" s="199">
        <v>802.6</v>
      </c>
      <c r="AZ163" s="197">
        <v>0.80300000000000005</v>
      </c>
      <c r="BA163" s="198">
        <v>6.6856</v>
      </c>
      <c r="BB163" s="199">
        <v>0.14957999999999999</v>
      </c>
      <c r="BD163" s="197">
        <v>0.80300000000000005</v>
      </c>
      <c r="BE163" s="198">
        <v>3.3428</v>
      </c>
      <c r="BF163" s="199">
        <v>0.1404</v>
      </c>
      <c r="BH163" s="197">
        <v>0.80300000000000005</v>
      </c>
      <c r="BI163" s="198">
        <v>299.14999999999998</v>
      </c>
      <c r="BJ163" s="199">
        <v>7.1230000000000002</v>
      </c>
      <c r="BL163" s="197">
        <v>0.80300000000000005</v>
      </c>
      <c r="BM163" s="198">
        <v>2.9845999999999999</v>
      </c>
      <c r="BN163" s="199">
        <v>0.12534999999999999</v>
      </c>
      <c r="BP163" s="197">
        <v>0.80300000000000005</v>
      </c>
      <c r="BQ163" s="200">
        <v>335.05</v>
      </c>
      <c r="BR163" s="199">
        <v>7.9770000000000003</v>
      </c>
      <c r="BT163" s="197">
        <v>0.80300000000000005</v>
      </c>
      <c r="BU163" s="201">
        <v>1.1317999999999999</v>
      </c>
      <c r="BV163" s="202">
        <v>1.2677</v>
      </c>
      <c r="BX163" s="37">
        <v>803</v>
      </c>
      <c r="BY163" s="38">
        <v>0.8034</v>
      </c>
      <c r="BZ163" s="39">
        <v>44.63</v>
      </c>
      <c r="CA163" s="33"/>
      <c r="CB163" s="37">
        <v>803</v>
      </c>
      <c r="CC163" s="38">
        <v>0.15891</v>
      </c>
      <c r="CD163" s="42">
        <v>6.2930000000000001</v>
      </c>
      <c r="CE163" s="33"/>
      <c r="CF163" s="33"/>
      <c r="CG163" s="33"/>
      <c r="CH163" s="33"/>
      <c r="CI163" s="33"/>
      <c r="CJ163" s="33"/>
      <c r="CK163" s="33"/>
      <c r="CL163" s="40">
        <v>803</v>
      </c>
      <c r="CM163" s="43">
        <v>801.9</v>
      </c>
      <c r="CN163" s="41">
        <v>1.2470000000000001</v>
      </c>
      <c r="CO163" s="33"/>
      <c r="CP163" s="40">
        <v>803</v>
      </c>
      <c r="CQ163" s="34">
        <v>0.88390000000000002</v>
      </c>
      <c r="CR163" s="41">
        <v>0.78920000000000001</v>
      </c>
      <c r="CS163" s="33"/>
      <c r="CT163" s="40">
        <v>803</v>
      </c>
      <c r="CU163" s="44">
        <v>329.6</v>
      </c>
      <c r="CV163" s="42">
        <v>7.8479999999999999</v>
      </c>
    </row>
    <row r="164" spans="4:100">
      <c r="D164" s="30">
        <v>15.4</v>
      </c>
      <c r="E164" s="31">
        <v>0.96319999999999995</v>
      </c>
      <c r="F164" s="32">
        <v>962.7</v>
      </c>
      <c r="G164" s="33"/>
      <c r="H164" s="30">
        <v>15.4</v>
      </c>
      <c r="I164" s="34">
        <v>3.7839</v>
      </c>
      <c r="J164" s="35">
        <v>0.15892000000000001</v>
      </c>
      <c r="L164" s="30">
        <v>15.4</v>
      </c>
      <c r="M164" s="172">
        <v>8.0220000000000002</v>
      </c>
      <c r="N164" s="173">
        <v>0.12466000000000001</v>
      </c>
      <c r="P164" s="30">
        <v>15.4</v>
      </c>
      <c r="Q164" s="172">
        <v>4.0107999999999997</v>
      </c>
      <c r="R164" s="173">
        <v>0.16846</v>
      </c>
      <c r="T164" s="30">
        <v>15.4</v>
      </c>
      <c r="U164" s="172">
        <v>249.32</v>
      </c>
      <c r="V164" s="173">
        <v>5.9359999999999999</v>
      </c>
      <c r="X164" s="30">
        <v>15.4</v>
      </c>
      <c r="Y164" s="34">
        <v>3.5811000000000002</v>
      </c>
      <c r="Z164" s="35">
        <v>0.15040999999999999</v>
      </c>
      <c r="AA164" s="36"/>
      <c r="AB164" s="30">
        <v>15.4</v>
      </c>
      <c r="AC164" s="44">
        <v>279.24</v>
      </c>
      <c r="AD164" s="35">
        <v>6.649</v>
      </c>
      <c r="AE164" s="36"/>
      <c r="AF164" s="30">
        <v>15.4</v>
      </c>
      <c r="AG164" s="34">
        <v>3.6385999999999998</v>
      </c>
      <c r="AH164" s="35">
        <v>0.15282000000000001</v>
      </c>
      <c r="AI164" s="35"/>
      <c r="AJ164" s="35">
        <v>0.11158</v>
      </c>
      <c r="AK164" s="998">
        <v>69.599999999999994</v>
      </c>
      <c r="AM164" s="30">
        <v>15.4</v>
      </c>
      <c r="AN164" s="34">
        <v>0.94340000000000002</v>
      </c>
      <c r="AO164" s="35">
        <v>1.0566</v>
      </c>
      <c r="AQ164" s="197">
        <v>0.80400000000000005</v>
      </c>
      <c r="AR164" s="200">
        <v>44.5</v>
      </c>
      <c r="AS164" s="199">
        <v>803.6</v>
      </c>
      <c r="AZ164" s="197">
        <v>0.80400000000000005</v>
      </c>
      <c r="BA164" s="198">
        <v>6.6939000000000002</v>
      </c>
      <c r="BB164" s="199">
        <v>0.14939</v>
      </c>
      <c r="BD164" s="197">
        <v>0.80400000000000005</v>
      </c>
      <c r="BE164" s="198">
        <v>3.3469000000000002</v>
      </c>
      <c r="BF164" s="199">
        <v>0.14057</v>
      </c>
      <c r="BH164" s="197">
        <v>0.80400000000000005</v>
      </c>
      <c r="BI164" s="198">
        <v>298.77999999999997</v>
      </c>
      <c r="BJ164" s="199">
        <v>7.1139999999999999</v>
      </c>
      <c r="BL164" s="197">
        <v>0.80400000000000005</v>
      </c>
      <c r="BM164" s="198">
        <v>2.9883000000000002</v>
      </c>
      <c r="BN164" s="199">
        <v>0.12551000000000001</v>
      </c>
      <c r="BP164" s="197">
        <v>0.80400000000000005</v>
      </c>
      <c r="BQ164" s="200">
        <v>334.63</v>
      </c>
      <c r="BR164" s="199">
        <v>7.9669999999999996</v>
      </c>
      <c r="BT164" s="197">
        <v>0.80400000000000005</v>
      </c>
      <c r="BU164" s="201">
        <v>1.1304000000000001</v>
      </c>
      <c r="BV164" s="202">
        <v>1.2661</v>
      </c>
      <c r="BX164" s="37">
        <v>804</v>
      </c>
      <c r="BY164" s="38">
        <v>0.8044</v>
      </c>
      <c r="BZ164" s="39">
        <v>44.41</v>
      </c>
      <c r="CA164" s="33"/>
      <c r="CB164" s="37">
        <v>804</v>
      </c>
      <c r="CC164" s="38">
        <v>0.15891</v>
      </c>
      <c r="CD164" s="42">
        <v>6.2930000000000001</v>
      </c>
      <c r="CE164" s="33"/>
      <c r="CF164" s="33"/>
      <c r="CG164" s="33"/>
      <c r="CH164" s="33"/>
      <c r="CI164" s="33"/>
      <c r="CJ164" s="33"/>
      <c r="CK164" s="33"/>
      <c r="CL164" s="40">
        <v>804</v>
      </c>
      <c r="CM164" s="43">
        <v>802.9</v>
      </c>
      <c r="CN164" s="41">
        <v>1.2455000000000001</v>
      </c>
      <c r="CO164" s="33"/>
      <c r="CP164" s="40">
        <v>804</v>
      </c>
      <c r="CQ164" s="34">
        <v>0.88500000000000001</v>
      </c>
      <c r="CR164" s="41">
        <v>0.79020000000000001</v>
      </c>
      <c r="CS164" s="33"/>
      <c r="CT164" s="40">
        <v>804</v>
      </c>
      <c r="CU164" s="44">
        <v>329.19</v>
      </c>
      <c r="CV164" s="42">
        <v>7.8380000000000001</v>
      </c>
    </row>
    <row r="165" spans="4:100">
      <c r="D165" s="30">
        <v>15.5</v>
      </c>
      <c r="E165" s="31">
        <v>0.96260000000000001</v>
      </c>
      <c r="F165" s="32">
        <v>962</v>
      </c>
      <c r="G165" s="33"/>
      <c r="H165" s="30">
        <v>15.5</v>
      </c>
      <c r="I165" s="34">
        <v>3.7839</v>
      </c>
      <c r="J165" s="35">
        <v>0.15892000000000001</v>
      </c>
      <c r="L165" s="30">
        <v>15.5</v>
      </c>
      <c r="M165" s="172">
        <v>8.016</v>
      </c>
      <c r="N165" s="173">
        <v>0.12475</v>
      </c>
      <c r="P165" s="30">
        <v>15.5</v>
      </c>
      <c r="Q165" s="172">
        <v>4.0080999999999998</v>
      </c>
      <c r="R165" s="173">
        <v>0.16833999999999999</v>
      </c>
      <c r="T165" s="30">
        <v>15.5</v>
      </c>
      <c r="U165" s="172">
        <v>249.49</v>
      </c>
      <c r="V165" s="173">
        <v>5.94</v>
      </c>
      <c r="X165" s="30">
        <v>15.5</v>
      </c>
      <c r="Y165" s="34">
        <v>3.5787</v>
      </c>
      <c r="Z165" s="35">
        <v>0.15029999999999999</v>
      </c>
      <c r="AA165" s="36"/>
      <c r="AB165" s="30">
        <v>15.5</v>
      </c>
      <c r="AC165" s="44">
        <v>279.43</v>
      </c>
      <c r="AD165" s="35">
        <v>6.6529999999999996</v>
      </c>
      <c r="AE165" s="36"/>
      <c r="AF165" s="30">
        <v>15.5</v>
      </c>
      <c r="AG165" s="34">
        <v>3.6360999999999999</v>
      </c>
      <c r="AH165" s="35">
        <v>0.15271999999999999</v>
      </c>
      <c r="AI165" s="35"/>
      <c r="AJ165" s="35">
        <v>0.11164</v>
      </c>
      <c r="AK165" s="998">
        <v>69.5</v>
      </c>
      <c r="AM165" s="30">
        <v>15.5</v>
      </c>
      <c r="AN165" s="34">
        <v>0.94410000000000005</v>
      </c>
      <c r="AO165" s="35">
        <v>1.0573999999999999</v>
      </c>
      <c r="AQ165" s="197">
        <v>0.80500000000000005</v>
      </c>
      <c r="AR165" s="200">
        <v>44.28</v>
      </c>
      <c r="AS165" s="199">
        <v>804.6</v>
      </c>
      <c r="AZ165" s="197">
        <v>0.80500000000000005</v>
      </c>
      <c r="BA165" s="198">
        <v>6.7022000000000004</v>
      </c>
      <c r="BB165" s="199">
        <v>0.1492</v>
      </c>
      <c r="BD165" s="197">
        <v>0.80500000000000005</v>
      </c>
      <c r="BE165" s="198">
        <v>3.3511000000000002</v>
      </c>
      <c r="BF165" s="199">
        <v>0.14074999999999999</v>
      </c>
      <c r="BH165" s="197">
        <v>0.80500000000000005</v>
      </c>
      <c r="BI165" s="198">
        <v>298.41000000000003</v>
      </c>
      <c r="BJ165" s="199">
        <v>7.1050000000000004</v>
      </c>
      <c r="BL165" s="197">
        <v>0.80500000000000005</v>
      </c>
      <c r="BM165" s="198">
        <v>2.9921000000000002</v>
      </c>
      <c r="BN165" s="199">
        <v>0.12567</v>
      </c>
      <c r="BP165" s="197">
        <v>0.80500000000000005</v>
      </c>
      <c r="BQ165" s="200">
        <v>334.22</v>
      </c>
      <c r="BR165" s="199">
        <v>7.9580000000000002</v>
      </c>
      <c r="BT165" s="197">
        <v>0.80500000000000005</v>
      </c>
      <c r="BU165" s="201">
        <v>1.129</v>
      </c>
      <c r="BV165" s="202">
        <v>1.2645</v>
      </c>
      <c r="BX165" s="37">
        <v>805</v>
      </c>
      <c r="BY165" s="38">
        <v>0.8054</v>
      </c>
      <c r="BZ165" s="39">
        <v>44.19</v>
      </c>
      <c r="CA165" s="33"/>
      <c r="CB165" s="37">
        <v>805</v>
      </c>
      <c r="CC165" s="38">
        <v>0.15891</v>
      </c>
      <c r="CD165" s="42">
        <v>6.2930000000000001</v>
      </c>
      <c r="CE165" s="33"/>
      <c r="CF165" s="33"/>
      <c r="CG165" s="33"/>
      <c r="CH165" s="33"/>
      <c r="CI165" s="33"/>
      <c r="CJ165" s="33"/>
      <c r="CK165" s="33"/>
      <c r="CL165" s="40">
        <v>805</v>
      </c>
      <c r="CM165" s="43">
        <v>803.9</v>
      </c>
      <c r="CN165" s="41">
        <v>1.2439</v>
      </c>
      <c r="CO165" s="33"/>
      <c r="CP165" s="40">
        <v>805</v>
      </c>
      <c r="CQ165" s="34">
        <v>0.8861</v>
      </c>
      <c r="CR165" s="41">
        <v>0.79120000000000001</v>
      </c>
      <c r="CS165" s="33"/>
      <c r="CT165" s="40">
        <v>805</v>
      </c>
      <c r="CU165" s="44">
        <v>328.78</v>
      </c>
      <c r="CV165" s="42">
        <v>7.8280000000000003</v>
      </c>
    </row>
    <row r="166" spans="4:100">
      <c r="D166" s="30">
        <v>15.6</v>
      </c>
      <c r="E166" s="31">
        <v>0.96189999999999998</v>
      </c>
      <c r="F166" s="32">
        <v>961.4</v>
      </c>
      <c r="G166" s="33"/>
      <c r="H166" s="30">
        <v>15.6</v>
      </c>
      <c r="I166" s="34">
        <v>3.7839</v>
      </c>
      <c r="J166" s="35">
        <v>0.15892000000000001</v>
      </c>
      <c r="L166" s="30">
        <v>15.6</v>
      </c>
      <c r="M166" s="172">
        <v>8.0109999999999992</v>
      </c>
      <c r="N166" s="173">
        <v>0.12483</v>
      </c>
      <c r="P166" s="30">
        <v>15.6</v>
      </c>
      <c r="Q166" s="172">
        <v>4.0053999999999998</v>
      </c>
      <c r="R166" s="173">
        <v>0.16822999999999999</v>
      </c>
      <c r="T166" s="30">
        <v>15.6</v>
      </c>
      <c r="U166" s="172">
        <v>249.66</v>
      </c>
      <c r="V166" s="173">
        <v>5.944</v>
      </c>
      <c r="X166" s="30">
        <v>15.6</v>
      </c>
      <c r="Y166" s="34">
        <v>3.5762</v>
      </c>
      <c r="Z166" s="35">
        <v>0.1502</v>
      </c>
      <c r="AA166" s="36"/>
      <c r="AB166" s="30">
        <v>15.6</v>
      </c>
      <c r="AC166" s="44">
        <v>279.62</v>
      </c>
      <c r="AD166" s="35">
        <v>6.6580000000000004</v>
      </c>
      <c r="AE166" s="36"/>
      <c r="AF166" s="30">
        <v>15.6</v>
      </c>
      <c r="AG166" s="34">
        <v>3.6335999999999999</v>
      </c>
      <c r="AH166" s="35">
        <v>0.15261</v>
      </c>
      <c r="AI166" s="35"/>
      <c r="AJ166" s="35">
        <v>0.11169</v>
      </c>
      <c r="AK166" s="998">
        <v>69.400000000000006</v>
      </c>
      <c r="AM166" s="30">
        <v>15.6</v>
      </c>
      <c r="AN166" s="34">
        <v>0.94469999999999998</v>
      </c>
      <c r="AO166" s="35">
        <v>1.0581</v>
      </c>
      <c r="AQ166" s="197">
        <v>0.80600000000000005</v>
      </c>
      <c r="AR166" s="200">
        <v>44.06</v>
      </c>
      <c r="AS166" s="199">
        <v>805.6</v>
      </c>
      <c r="AZ166" s="197">
        <v>0.80600000000000005</v>
      </c>
      <c r="BA166" s="198">
        <v>6.7106000000000003</v>
      </c>
      <c r="BB166" s="199">
        <v>0.14902000000000001</v>
      </c>
      <c r="BD166" s="197">
        <v>0.80600000000000005</v>
      </c>
      <c r="BE166" s="198">
        <v>3.3553000000000002</v>
      </c>
      <c r="BF166" s="199">
        <v>0.14091999999999999</v>
      </c>
      <c r="BH166" s="197">
        <v>0.80600000000000005</v>
      </c>
      <c r="BI166" s="198">
        <v>298.04000000000002</v>
      </c>
      <c r="BJ166" s="199">
        <v>7.0960000000000001</v>
      </c>
      <c r="BL166" s="197">
        <v>0.80600000000000005</v>
      </c>
      <c r="BM166" s="198">
        <v>2.9958</v>
      </c>
      <c r="BN166" s="199">
        <v>0.12581999999999999</v>
      </c>
      <c r="BP166" s="197">
        <v>0.80600000000000005</v>
      </c>
      <c r="BQ166" s="200">
        <v>333.8</v>
      </c>
      <c r="BR166" s="199">
        <v>7.9480000000000004</v>
      </c>
      <c r="BT166" s="197">
        <v>0.80600000000000005</v>
      </c>
      <c r="BU166" s="201">
        <v>1.1275999999999999</v>
      </c>
      <c r="BV166" s="202">
        <v>1.2628999999999999</v>
      </c>
      <c r="BX166" s="37">
        <v>806</v>
      </c>
      <c r="BY166" s="38">
        <v>0.80640000000000001</v>
      </c>
      <c r="BZ166" s="39">
        <v>43.97</v>
      </c>
      <c r="CA166" s="33"/>
      <c r="CB166" s="37">
        <v>806</v>
      </c>
      <c r="CC166" s="38">
        <v>0.15891</v>
      </c>
      <c r="CD166" s="42">
        <v>6.2930000000000001</v>
      </c>
      <c r="CE166" s="33"/>
      <c r="CF166" s="33"/>
      <c r="CG166" s="33"/>
      <c r="CH166" s="33"/>
      <c r="CI166" s="33"/>
      <c r="CJ166" s="33"/>
      <c r="CK166" s="33"/>
      <c r="CL166" s="40">
        <v>806</v>
      </c>
      <c r="CM166" s="43">
        <v>804.9</v>
      </c>
      <c r="CN166" s="41">
        <v>1.2423999999999999</v>
      </c>
      <c r="CO166" s="33"/>
      <c r="CP166" s="40">
        <v>806</v>
      </c>
      <c r="CQ166" s="34">
        <v>0.88729999999999998</v>
      </c>
      <c r="CR166" s="41">
        <v>0.79220000000000002</v>
      </c>
      <c r="CS166" s="33"/>
      <c r="CT166" s="40">
        <v>806</v>
      </c>
      <c r="CU166" s="44">
        <v>328.37</v>
      </c>
      <c r="CV166" s="42">
        <v>7.8179999999999996</v>
      </c>
    </row>
    <row r="167" spans="4:100">
      <c r="D167" s="30">
        <v>15.7</v>
      </c>
      <c r="E167" s="31">
        <v>0.96130000000000004</v>
      </c>
      <c r="F167" s="32">
        <v>960.7</v>
      </c>
      <c r="G167" s="33"/>
      <c r="H167" s="30">
        <v>15.7</v>
      </c>
      <c r="I167" s="34">
        <v>3.7839</v>
      </c>
      <c r="J167" s="35">
        <v>0.15892000000000001</v>
      </c>
      <c r="L167" s="30">
        <v>15.7</v>
      </c>
      <c r="M167" s="172">
        <v>8.0050000000000008</v>
      </c>
      <c r="N167" s="173">
        <v>0.12492</v>
      </c>
      <c r="P167" s="30">
        <v>15.7</v>
      </c>
      <c r="Q167" s="172">
        <v>4.0026999999999999</v>
      </c>
      <c r="R167" s="173">
        <v>0.16811000000000001</v>
      </c>
      <c r="T167" s="30">
        <v>15.7</v>
      </c>
      <c r="U167" s="172">
        <v>249.83</v>
      </c>
      <c r="V167" s="173">
        <v>5.9480000000000004</v>
      </c>
      <c r="X167" s="30">
        <v>15.7</v>
      </c>
      <c r="Y167" s="34">
        <v>3.5737999999999999</v>
      </c>
      <c r="Z167" s="35">
        <v>0.15010000000000001</v>
      </c>
      <c r="AA167" s="36"/>
      <c r="AB167" s="30">
        <v>15.7</v>
      </c>
      <c r="AC167" s="44">
        <v>279.81</v>
      </c>
      <c r="AD167" s="35">
        <v>6.6619999999999999</v>
      </c>
      <c r="AE167" s="36"/>
      <c r="AF167" s="30">
        <v>15.7</v>
      </c>
      <c r="AG167" s="34">
        <v>3.6312000000000002</v>
      </c>
      <c r="AH167" s="35">
        <v>0.15251000000000001</v>
      </c>
      <c r="AI167" s="35"/>
      <c r="AJ167" s="35">
        <v>0.11175</v>
      </c>
      <c r="AK167" s="998">
        <v>69.3</v>
      </c>
      <c r="AM167" s="30">
        <v>15.7</v>
      </c>
      <c r="AN167" s="34">
        <v>0.94540000000000002</v>
      </c>
      <c r="AO167" s="35">
        <v>1.0588</v>
      </c>
      <c r="AQ167" s="197">
        <v>0.80700000000000005</v>
      </c>
      <c r="AR167" s="200">
        <v>43.84</v>
      </c>
      <c r="AS167" s="199">
        <v>806.6</v>
      </c>
      <c r="AZ167" s="197">
        <v>0.80700000000000005</v>
      </c>
      <c r="BA167" s="198">
        <v>6.7188999999999997</v>
      </c>
      <c r="BB167" s="199">
        <v>0.14882999999999999</v>
      </c>
      <c r="BD167" s="197">
        <v>0.80700000000000005</v>
      </c>
      <c r="BE167" s="198">
        <v>3.3595000000000002</v>
      </c>
      <c r="BF167" s="199">
        <v>0.1411</v>
      </c>
      <c r="BH167" s="197">
        <v>0.80700000000000005</v>
      </c>
      <c r="BI167" s="198">
        <v>297.67</v>
      </c>
      <c r="BJ167" s="199">
        <v>7.0869999999999997</v>
      </c>
      <c r="BL167" s="197">
        <v>0.80700000000000005</v>
      </c>
      <c r="BM167" s="198">
        <v>2.9994999999999998</v>
      </c>
      <c r="BN167" s="199">
        <v>0.12598000000000001</v>
      </c>
      <c r="BP167" s="197">
        <v>0.80700000000000005</v>
      </c>
      <c r="BQ167" s="200">
        <v>333.39</v>
      </c>
      <c r="BR167" s="199">
        <v>7.9379999999999997</v>
      </c>
      <c r="BT167" s="197">
        <v>0.80700000000000005</v>
      </c>
      <c r="BU167" s="201">
        <v>1.1262000000000001</v>
      </c>
      <c r="BV167" s="202">
        <v>1.2614000000000001</v>
      </c>
      <c r="BX167" s="37">
        <v>807</v>
      </c>
      <c r="BY167" s="38">
        <v>0.80740000000000001</v>
      </c>
      <c r="BZ167" s="39">
        <v>43.76</v>
      </c>
      <c r="CA167" s="33"/>
      <c r="CB167" s="37">
        <v>807</v>
      </c>
      <c r="CC167" s="38">
        <v>0.15891</v>
      </c>
      <c r="CD167" s="42">
        <v>6.2930000000000001</v>
      </c>
      <c r="CE167" s="33"/>
      <c r="CF167" s="33"/>
      <c r="CG167" s="33"/>
      <c r="CH167" s="33"/>
      <c r="CI167" s="33"/>
      <c r="CJ167" s="33"/>
      <c r="CK167" s="33"/>
      <c r="CL167" s="40">
        <v>807</v>
      </c>
      <c r="CM167" s="43">
        <v>805.9</v>
      </c>
      <c r="CN167" s="41">
        <v>1.2407999999999999</v>
      </c>
      <c r="CO167" s="33"/>
      <c r="CP167" s="40">
        <v>807</v>
      </c>
      <c r="CQ167" s="34">
        <v>0.88839999999999997</v>
      </c>
      <c r="CR167" s="41">
        <v>0.79320000000000002</v>
      </c>
      <c r="CS167" s="33"/>
      <c r="CT167" s="40">
        <v>807</v>
      </c>
      <c r="CU167" s="44">
        <v>327.96</v>
      </c>
      <c r="CV167" s="42">
        <v>7.8090000000000002</v>
      </c>
    </row>
    <row r="168" spans="4:100">
      <c r="D168" s="30">
        <v>15.8</v>
      </c>
      <c r="E168" s="31">
        <v>0.96060000000000001</v>
      </c>
      <c r="F168" s="32">
        <v>960.1</v>
      </c>
      <c r="G168" s="33"/>
      <c r="H168" s="30">
        <v>15.8</v>
      </c>
      <c r="I168" s="34">
        <v>3.7839</v>
      </c>
      <c r="J168" s="35">
        <v>0.15892000000000001</v>
      </c>
      <c r="L168" s="30">
        <v>15.8</v>
      </c>
      <c r="M168" s="2646">
        <v>8</v>
      </c>
      <c r="N168" s="173">
        <v>0.125</v>
      </c>
      <c r="P168" s="30">
        <v>15.8</v>
      </c>
      <c r="Q168" s="172">
        <v>3.9998999999999998</v>
      </c>
      <c r="R168" s="173">
        <v>0.16800000000000001</v>
      </c>
      <c r="T168" s="30">
        <v>15.8</v>
      </c>
      <c r="U168" s="172">
        <v>250</v>
      </c>
      <c r="V168" s="173">
        <v>5.952</v>
      </c>
      <c r="X168" s="30">
        <v>15.8</v>
      </c>
      <c r="Y168" s="34">
        <v>3.5714000000000001</v>
      </c>
      <c r="Z168" s="35">
        <v>0.15</v>
      </c>
      <c r="AA168" s="36"/>
      <c r="AB168" s="30">
        <v>15.8</v>
      </c>
      <c r="AC168" s="44">
        <v>280</v>
      </c>
      <c r="AD168" s="35">
        <v>6.6669999999999998</v>
      </c>
      <c r="AE168" s="36"/>
      <c r="AF168" s="30">
        <v>15.8</v>
      </c>
      <c r="AG168" s="34">
        <v>3.6286999999999998</v>
      </c>
      <c r="AH168" s="35">
        <v>0.15240000000000001</v>
      </c>
      <c r="AI168" s="35"/>
      <c r="AJ168" s="35">
        <v>0.1118</v>
      </c>
      <c r="AK168" s="998">
        <v>69.2</v>
      </c>
      <c r="AM168" s="30">
        <v>15.8</v>
      </c>
      <c r="AN168" s="34">
        <v>0.94599999999999995</v>
      </c>
      <c r="AO168" s="35">
        <v>1.0595000000000001</v>
      </c>
      <c r="AQ168" s="197">
        <v>0.80800000000000005</v>
      </c>
      <c r="AR168" s="200">
        <v>43.62</v>
      </c>
      <c r="AS168" s="199">
        <v>807.6</v>
      </c>
      <c r="AZ168" s="197">
        <v>0.80800000000000005</v>
      </c>
      <c r="BA168" s="198">
        <v>6.7271999999999998</v>
      </c>
      <c r="BB168" s="199">
        <v>0.14865</v>
      </c>
      <c r="BD168" s="197">
        <v>0.80800000000000005</v>
      </c>
      <c r="BE168" s="198">
        <v>3.3635999999999999</v>
      </c>
      <c r="BF168" s="199">
        <v>0.14127000000000001</v>
      </c>
      <c r="BH168" s="197">
        <v>0.80800000000000005</v>
      </c>
      <c r="BI168" s="198">
        <v>297.3</v>
      </c>
      <c r="BJ168" s="199">
        <v>7.0789999999999997</v>
      </c>
      <c r="BL168" s="197">
        <v>0.80800000000000005</v>
      </c>
      <c r="BM168" s="198">
        <v>3.0032000000000001</v>
      </c>
      <c r="BN168" s="199">
        <v>0.12614</v>
      </c>
      <c r="BP168" s="197">
        <v>0.80800000000000005</v>
      </c>
      <c r="BQ168" s="200">
        <v>332.97</v>
      </c>
      <c r="BR168" s="199">
        <v>7.9279999999999999</v>
      </c>
      <c r="BT168" s="197">
        <v>0.80800000000000005</v>
      </c>
      <c r="BU168" s="201">
        <v>1.1248</v>
      </c>
      <c r="BV168" s="202">
        <v>1.2598</v>
      </c>
      <c r="BX168" s="37">
        <v>808</v>
      </c>
      <c r="BY168" s="38">
        <v>0.80840000000000001</v>
      </c>
      <c r="BZ168" s="39">
        <v>43.54</v>
      </c>
      <c r="CA168" s="33"/>
      <c r="CB168" s="37">
        <v>808</v>
      </c>
      <c r="CC168" s="38">
        <v>0.15891</v>
      </c>
      <c r="CD168" s="42">
        <v>6.2930000000000001</v>
      </c>
      <c r="CE168" s="33"/>
      <c r="CF168" s="33"/>
      <c r="CG168" s="33"/>
      <c r="CH168" s="33"/>
      <c r="CI168" s="33"/>
      <c r="CJ168" s="33"/>
      <c r="CK168" s="33"/>
      <c r="CL168" s="40">
        <v>808</v>
      </c>
      <c r="CM168" s="43">
        <v>806.9</v>
      </c>
      <c r="CN168" s="41">
        <v>1.2393000000000001</v>
      </c>
      <c r="CO168" s="33"/>
      <c r="CP168" s="40">
        <v>808</v>
      </c>
      <c r="CQ168" s="34">
        <v>0.88949999999999996</v>
      </c>
      <c r="CR168" s="41">
        <v>0.79420000000000002</v>
      </c>
      <c r="CS168" s="33"/>
      <c r="CT168" s="40">
        <v>808</v>
      </c>
      <c r="CU168" s="44">
        <v>327.56</v>
      </c>
      <c r="CV168" s="42">
        <v>7.7990000000000004</v>
      </c>
    </row>
    <row r="169" spans="4:100">
      <c r="D169" s="30">
        <v>15.9</v>
      </c>
      <c r="E169" s="31">
        <v>0.96</v>
      </c>
      <c r="F169" s="32">
        <v>959.4</v>
      </c>
      <c r="G169" s="33"/>
      <c r="H169" s="30">
        <v>15.9</v>
      </c>
      <c r="I169" s="34">
        <v>3.7839</v>
      </c>
      <c r="J169" s="35">
        <v>0.15892000000000001</v>
      </c>
      <c r="L169" s="30">
        <v>15.9</v>
      </c>
      <c r="M169" s="172">
        <v>7.9939999999999998</v>
      </c>
      <c r="N169" s="173">
        <v>0.12509000000000001</v>
      </c>
      <c r="P169" s="30">
        <v>15.9</v>
      </c>
      <c r="Q169" s="172">
        <v>3.9971999999999999</v>
      </c>
      <c r="R169" s="173">
        <v>0.16788</v>
      </c>
      <c r="T169" s="30">
        <v>15.9</v>
      </c>
      <c r="U169" s="172">
        <v>250.17</v>
      </c>
      <c r="V169" s="173">
        <v>5.9569999999999999</v>
      </c>
      <c r="X169" s="30">
        <v>15.9</v>
      </c>
      <c r="Y169" s="34">
        <v>3.569</v>
      </c>
      <c r="Z169" s="35">
        <v>0.14990000000000001</v>
      </c>
      <c r="AA169" s="36"/>
      <c r="AB169" s="30">
        <v>15.9</v>
      </c>
      <c r="AC169" s="44">
        <v>280.19</v>
      </c>
      <c r="AD169" s="35">
        <v>6.6710000000000003</v>
      </c>
      <c r="AE169" s="36"/>
      <c r="AF169" s="30">
        <v>15.9</v>
      </c>
      <c r="AG169" s="34">
        <v>3.6261999999999999</v>
      </c>
      <c r="AH169" s="35">
        <v>0.15229999999999999</v>
      </c>
      <c r="AI169" s="35"/>
      <c r="AJ169" s="35">
        <v>0.11186</v>
      </c>
      <c r="AK169" s="998">
        <v>69.099999999999994</v>
      </c>
      <c r="AM169" s="30">
        <v>15.9</v>
      </c>
      <c r="AN169" s="34">
        <v>0.9466</v>
      </c>
      <c r="AO169" s="35">
        <v>1.0602</v>
      </c>
      <c r="AQ169" s="197">
        <v>0.80900000000000005</v>
      </c>
      <c r="AR169" s="200">
        <v>43.41</v>
      </c>
      <c r="AS169" s="199">
        <v>808.6</v>
      </c>
      <c r="AZ169" s="197">
        <v>0.80900000000000005</v>
      </c>
      <c r="BA169" s="198">
        <v>6.7355999999999998</v>
      </c>
      <c r="BB169" s="199">
        <v>0.14846999999999999</v>
      </c>
      <c r="BD169" s="197">
        <v>0.80900000000000005</v>
      </c>
      <c r="BE169" s="198">
        <v>3.3677999999999999</v>
      </c>
      <c r="BF169" s="199">
        <v>0.14144999999999999</v>
      </c>
      <c r="BH169" s="197">
        <v>0.80900000000000005</v>
      </c>
      <c r="BI169" s="198">
        <v>296.93</v>
      </c>
      <c r="BJ169" s="199">
        <v>7.07</v>
      </c>
      <c r="BL169" s="197">
        <v>0.80900000000000005</v>
      </c>
      <c r="BM169" s="198">
        <v>3.0070000000000001</v>
      </c>
      <c r="BN169" s="199">
        <v>0.12629000000000001</v>
      </c>
      <c r="BP169" s="197">
        <v>0.80900000000000005</v>
      </c>
      <c r="BQ169" s="200">
        <v>332.56</v>
      </c>
      <c r="BR169" s="199">
        <v>7.9180000000000001</v>
      </c>
      <c r="BT169" s="197">
        <v>0.80900000000000005</v>
      </c>
      <c r="BU169" s="201">
        <v>1.1234</v>
      </c>
      <c r="BV169" s="202">
        <v>1.2582</v>
      </c>
      <c r="BX169" s="37">
        <v>809</v>
      </c>
      <c r="BY169" s="38">
        <v>0.80940000000000001</v>
      </c>
      <c r="BZ169" s="39">
        <v>43.32</v>
      </c>
      <c r="CA169" s="33"/>
      <c r="CB169" s="37">
        <v>809</v>
      </c>
      <c r="CC169" s="38">
        <v>0.15891</v>
      </c>
      <c r="CD169" s="42">
        <v>6.2930000000000001</v>
      </c>
      <c r="CE169" s="33"/>
      <c r="CF169" s="33"/>
      <c r="CG169" s="33"/>
      <c r="CH169" s="33"/>
      <c r="CI169" s="33"/>
      <c r="CJ169" s="33"/>
      <c r="CK169" s="33"/>
      <c r="CL169" s="40">
        <v>809</v>
      </c>
      <c r="CM169" s="43">
        <v>807.9</v>
      </c>
      <c r="CN169" s="41">
        <v>1.2378</v>
      </c>
      <c r="CO169" s="33"/>
      <c r="CP169" s="40">
        <v>809</v>
      </c>
      <c r="CQ169" s="34">
        <v>0.89059999999999995</v>
      </c>
      <c r="CR169" s="41">
        <v>0.79510000000000003</v>
      </c>
      <c r="CS169" s="33"/>
      <c r="CT169" s="40">
        <v>809</v>
      </c>
      <c r="CU169" s="44">
        <v>327.14999999999998</v>
      </c>
      <c r="CV169" s="42">
        <v>7.7889999999999997</v>
      </c>
    </row>
    <row r="170" spans="4:100">
      <c r="D170" s="30">
        <v>16</v>
      </c>
      <c r="E170" s="31">
        <v>0.95930000000000004</v>
      </c>
      <c r="F170" s="32">
        <v>958.8</v>
      </c>
      <c r="G170" s="33"/>
      <c r="H170" s="30">
        <v>16</v>
      </c>
      <c r="I170" s="34">
        <v>3.7839</v>
      </c>
      <c r="J170" s="35">
        <v>0.15892000000000001</v>
      </c>
      <c r="L170" s="30">
        <v>16</v>
      </c>
      <c r="M170" s="172">
        <v>7.9889999999999999</v>
      </c>
      <c r="N170" s="173">
        <v>0.12517</v>
      </c>
      <c r="P170" s="30">
        <v>16</v>
      </c>
      <c r="Q170" s="172">
        <v>3.9944999999999999</v>
      </c>
      <c r="R170" s="173">
        <v>0.16777</v>
      </c>
      <c r="T170" s="30">
        <v>16</v>
      </c>
      <c r="U170" s="172">
        <v>250.34</v>
      </c>
      <c r="V170" s="173">
        <v>5.9610000000000003</v>
      </c>
      <c r="X170" s="30">
        <v>16</v>
      </c>
      <c r="Y170" s="34">
        <v>3.5665</v>
      </c>
      <c r="Z170" s="35" t="s">
        <v>36</v>
      </c>
      <c r="AA170" s="36"/>
      <c r="AB170" s="30">
        <v>16</v>
      </c>
      <c r="AC170" s="44">
        <v>280.38</v>
      </c>
      <c r="AD170" s="35">
        <v>6.6760000000000002</v>
      </c>
      <c r="AE170" s="36"/>
      <c r="AF170" s="30">
        <v>16</v>
      </c>
      <c r="AG170" s="34">
        <v>3.6238000000000001</v>
      </c>
      <c r="AH170" s="35">
        <v>0.1522</v>
      </c>
      <c r="AI170" s="35"/>
      <c r="AJ170" s="35">
        <v>0.11191</v>
      </c>
      <c r="AK170" s="998">
        <v>69</v>
      </c>
      <c r="AM170" s="30">
        <v>16</v>
      </c>
      <c r="AN170" s="34">
        <v>0.94730000000000003</v>
      </c>
      <c r="AO170" s="35">
        <v>1.0609999999999999</v>
      </c>
      <c r="AQ170" s="197">
        <v>0.81</v>
      </c>
      <c r="AR170" s="200">
        <v>43.19</v>
      </c>
      <c r="AS170" s="199">
        <v>809.6</v>
      </c>
      <c r="AZ170" s="197">
        <v>0.81</v>
      </c>
      <c r="BA170" s="198">
        <v>6.7439</v>
      </c>
      <c r="BB170" s="199">
        <v>0.14828</v>
      </c>
      <c r="BD170" s="197">
        <v>0.81</v>
      </c>
      <c r="BE170" s="198">
        <v>3.3719999999999999</v>
      </c>
      <c r="BF170" s="199">
        <v>0.14162</v>
      </c>
      <c r="BH170" s="197">
        <v>0.81</v>
      </c>
      <c r="BI170" s="198">
        <v>296.56</v>
      </c>
      <c r="BJ170" s="199">
        <v>7.0609999999999999</v>
      </c>
      <c r="BL170" s="197">
        <v>0.81</v>
      </c>
      <c r="BM170" s="198">
        <v>3.0106999999999999</v>
      </c>
      <c r="BN170" s="199">
        <v>0.12645000000000001</v>
      </c>
      <c r="BP170" s="197">
        <v>0.81</v>
      </c>
      <c r="BQ170" s="200">
        <v>332.15</v>
      </c>
      <c r="BR170" s="199">
        <v>7.9080000000000004</v>
      </c>
      <c r="BT170" s="197">
        <v>0.81</v>
      </c>
      <c r="BU170" s="201">
        <v>1.1220000000000001</v>
      </c>
      <c r="BV170" s="202">
        <v>1.2566999999999999</v>
      </c>
      <c r="BX170" s="37">
        <v>810</v>
      </c>
      <c r="BY170" s="38">
        <v>0.81040000000000001</v>
      </c>
      <c r="BZ170" s="39">
        <v>43.11</v>
      </c>
      <c r="CA170" s="33"/>
      <c r="CB170" s="37">
        <v>810</v>
      </c>
      <c r="CC170" s="38">
        <v>0.15891</v>
      </c>
      <c r="CD170" s="42">
        <v>6.2930000000000001</v>
      </c>
      <c r="CE170" s="33"/>
      <c r="CF170" s="33"/>
      <c r="CG170" s="33"/>
      <c r="CH170" s="33"/>
      <c r="CI170" s="33"/>
      <c r="CJ170" s="33"/>
      <c r="CK170" s="33"/>
      <c r="CL170" s="40">
        <v>810</v>
      </c>
      <c r="CM170" s="43">
        <v>808.9</v>
      </c>
      <c r="CN170" s="41">
        <v>1.2362</v>
      </c>
      <c r="CO170" s="33"/>
      <c r="CP170" s="40">
        <v>810</v>
      </c>
      <c r="CQ170" s="34">
        <v>0.89170000000000005</v>
      </c>
      <c r="CR170" s="41">
        <v>0.79610000000000003</v>
      </c>
      <c r="CS170" s="33"/>
      <c r="CT170" s="40">
        <v>810</v>
      </c>
      <c r="CU170" s="44">
        <v>326.74</v>
      </c>
      <c r="CV170" s="42">
        <v>7.78</v>
      </c>
    </row>
    <row r="171" spans="4:100">
      <c r="D171" s="30">
        <v>16.100000000000001</v>
      </c>
      <c r="E171" s="31">
        <v>0.9587</v>
      </c>
      <c r="F171" s="32">
        <v>958.1</v>
      </c>
      <c r="G171" s="33"/>
      <c r="H171" s="30">
        <v>16.100000000000001</v>
      </c>
      <c r="I171" s="34">
        <v>3.7839</v>
      </c>
      <c r="J171" s="35">
        <v>0.15892000000000001</v>
      </c>
      <c r="L171" s="30">
        <v>16.100000000000001</v>
      </c>
      <c r="M171" s="172">
        <v>7.984</v>
      </c>
      <c r="N171" s="173">
        <v>0.12526000000000001</v>
      </c>
      <c r="P171" s="30">
        <v>16.100000000000001</v>
      </c>
      <c r="Q171" s="172">
        <v>3.9918</v>
      </c>
      <c r="R171" s="173">
        <v>0.16766</v>
      </c>
      <c r="T171" s="30">
        <v>16.100000000000001</v>
      </c>
      <c r="U171" s="172">
        <v>250.51</v>
      </c>
      <c r="V171" s="173">
        <v>5.9649999999999999</v>
      </c>
      <c r="X171" s="30">
        <v>16.100000000000001</v>
      </c>
      <c r="Y171" s="34">
        <v>3.5640999999999998</v>
      </c>
      <c r="Z171" s="35">
        <v>0.14968999999999999</v>
      </c>
      <c r="AA171" s="36"/>
      <c r="AB171" s="30">
        <v>16.100000000000001</v>
      </c>
      <c r="AC171" s="44">
        <v>280.58</v>
      </c>
      <c r="AD171" s="35">
        <v>6.68</v>
      </c>
      <c r="AE171" s="36"/>
      <c r="AF171" s="30">
        <v>16.100000000000001</v>
      </c>
      <c r="AG171" s="34">
        <v>3.6213000000000002</v>
      </c>
      <c r="AH171" s="35">
        <v>0.15209</v>
      </c>
      <c r="AI171" s="35"/>
      <c r="AJ171" s="35">
        <v>0.11197</v>
      </c>
      <c r="AK171" s="998">
        <v>68.900000000000006</v>
      </c>
      <c r="AM171" s="30">
        <v>16.100000000000001</v>
      </c>
      <c r="AN171" s="34">
        <v>0.94789999999999996</v>
      </c>
      <c r="AO171" s="35">
        <v>1.0617000000000001</v>
      </c>
      <c r="AQ171" s="197">
        <v>0.81100000000000005</v>
      </c>
      <c r="AR171" s="200">
        <v>42.98</v>
      </c>
      <c r="AS171" s="199">
        <v>810.6</v>
      </c>
      <c r="AZ171" s="197">
        <v>0.81100000000000005</v>
      </c>
      <c r="BA171" s="198">
        <v>6.7523</v>
      </c>
      <c r="BB171" s="199">
        <v>0.14810000000000001</v>
      </c>
      <c r="BD171" s="197">
        <v>0.81100000000000005</v>
      </c>
      <c r="BE171" s="198">
        <v>3.3761000000000001</v>
      </c>
      <c r="BF171" s="199">
        <v>0.14180000000000001</v>
      </c>
      <c r="BH171" s="197">
        <v>0.81100000000000005</v>
      </c>
      <c r="BI171" s="198">
        <v>296.2</v>
      </c>
      <c r="BJ171" s="199">
        <v>7.0519999999999996</v>
      </c>
      <c r="BL171" s="197">
        <v>0.81100000000000005</v>
      </c>
      <c r="BM171" s="198">
        <v>3.0144000000000002</v>
      </c>
      <c r="BN171" s="199">
        <v>0.12659999999999999</v>
      </c>
      <c r="BP171" s="197">
        <v>0.81100000000000005</v>
      </c>
      <c r="BQ171" s="200">
        <v>331.74</v>
      </c>
      <c r="BR171" s="199">
        <v>7.899</v>
      </c>
      <c r="BT171" s="197">
        <v>0.81100000000000005</v>
      </c>
      <c r="BU171" s="201">
        <v>1.1207</v>
      </c>
      <c r="BV171" s="202">
        <v>1.2551000000000001</v>
      </c>
      <c r="BX171" s="37">
        <v>811</v>
      </c>
      <c r="BY171" s="38">
        <v>0.81140000000000001</v>
      </c>
      <c r="BZ171" s="39">
        <v>42.89</v>
      </c>
      <c r="CA171" s="33"/>
      <c r="CB171" s="37">
        <v>811</v>
      </c>
      <c r="CC171" s="38">
        <v>0.15891</v>
      </c>
      <c r="CD171" s="42">
        <v>6.2930000000000001</v>
      </c>
      <c r="CE171" s="33"/>
      <c r="CF171" s="33"/>
      <c r="CG171" s="33"/>
      <c r="CH171" s="33"/>
      <c r="CI171" s="33"/>
      <c r="CJ171" s="33"/>
      <c r="CK171" s="33"/>
      <c r="CL171" s="40">
        <v>811</v>
      </c>
      <c r="CM171" s="43">
        <v>809.9</v>
      </c>
      <c r="CN171" s="41">
        <v>1.2346999999999999</v>
      </c>
      <c r="CO171" s="33"/>
      <c r="CP171" s="40">
        <v>811</v>
      </c>
      <c r="CQ171" s="34">
        <v>0.89280000000000004</v>
      </c>
      <c r="CR171" s="41">
        <v>0.79710000000000003</v>
      </c>
      <c r="CS171" s="33"/>
      <c r="CT171" s="40">
        <v>811</v>
      </c>
      <c r="CU171" s="44">
        <v>326.33999999999997</v>
      </c>
      <c r="CV171" s="42">
        <v>7.77</v>
      </c>
    </row>
    <row r="172" spans="4:100">
      <c r="D172" s="30">
        <v>16.2</v>
      </c>
      <c r="E172" s="31">
        <v>0.95799999999999996</v>
      </c>
      <c r="F172" s="32">
        <v>957.5</v>
      </c>
      <c r="G172" s="33"/>
      <c r="H172" s="30">
        <v>16.2</v>
      </c>
      <c r="I172" s="34">
        <v>3.7839</v>
      </c>
      <c r="J172" s="35">
        <v>0.15892000000000001</v>
      </c>
      <c r="L172" s="30">
        <v>16.2</v>
      </c>
      <c r="M172" s="172">
        <v>7.9779999999999998</v>
      </c>
      <c r="N172" s="173">
        <v>0.12534000000000001</v>
      </c>
      <c r="P172" s="30">
        <v>16.2</v>
      </c>
      <c r="Q172" s="172">
        <v>3.9891000000000001</v>
      </c>
      <c r="R172" s="173">
        <v>0.16753999999999999</v>
      </c>
      <c r="T172" s="30">
        <v>16.2</v>
      </c>
      <c r="U172" s="172">
        <v>250.68</v>
      </c>
      <c r="V172" s="173">
        <v>5.9690000000000003</v>
      </c>
      <c r="X172" s="30">
        <v>16.2</v>
      </c>
      <c r="Y172" s="34">
        <v>3.5617000000000001</v>
      </c>
      <c r="Z172" s="35">
        <v>0.14959</v>
      </c>
      <c r="AA172" s="36"/>
      <c r="AB172" s="30">
        <v>16.2</v>
      </c>
      <c r="AC172" s="44">
        <v>280.77</v>
      </c>
      <c r="AD172" s="35">
        <v>6.6849999999999996</v>
      </c>
      <c r="AE172" s="36"/>
      <c r="AF172" s="30">
        <v>16.2</v>
      </c>
      <c r="AG172" s="34">
        <v>3.6187999999999998</v>
      </c>
      <c r="AH172" s="35">
        <v>0.15198999999999999</v>
      </c>
      <c r="AI172" s="35"/>
      <c r="AJ172" s="35">
        <v>0.11203</v>
      </c>
      <c r="AK172" s="998">
        <v>68.8</v>
      </c>
      <c r="AM172" s="30">
        <v>16.2</v>
      </c>
      <c r="AN172" s="34">
        <v>0.9486</v>
      </c>
      <c r="AO172" s="35">
        <v>1.0624</v>
      </c>
      <c r="AQ172" s="197">
        <v>0.81200000000000006</v>
      </c>
      <c r="AR172" s="200">
        <v>42.76</v>
      </c>
      <c r="AS172" s="199">
        <v>811.6</v>
      </c>
      <c r="AZ172" s="197">
        <v>0.81200000000000006</v>
      </c>
      <c r="BA172" s="198">
        <v>6.7606000000000002</v>
      </c>
      <c r="BB172" s="199">
        <v>0.14792</v>
      </c>
      <c r="BD172" s="197">
        <v>0.81200000000000006</v>
      </c>
      <c r="BE172" s="198">
        <v>3.3803000000000001</v>
      </c>
      <c r="BF172" s="199">
        <v>0.14197000000000001</v>
      </c>
      <c r="BH172" s="197">
        <v>0.81200000000000006</v>
      </c>
      <c r="BI172" s="198">
        <v>295.83</v>
      </c>
      <c r="BJ172" s="199">
        <v>7.0439999999999996</v>
      </c>
      <c r="BL172" s="197">
        <v>0.81200000000000006</v>
      </c>
      <c r="BM172" s="198">
        <v>3.0181</v>
      </c>
      <c r="BN172" s="199">
        <v>0.12676000000000001</v>
      </c>
      <c r="BP172" s="197">
        <v>0.81200000000000006</v>
      </c>
      <c r="BQ172" s="200">
        <v>331.33</v>
      </c>
      <c r="BR172" s="199">
        <v>7.8890000000000002</v>
      </c>
      <c r="BT172" s="197">
        <v>0.81200000000000006</v>
      </c>
      <c r="BU172" s="201">
        <v>1.1193</v>
      </c>
      <c r="BV172" s="202">
        <v>1.2536</v>
      </c>
      <c r="BX172" s="37">
        <v>812</v>
      </c>
      <c r="BY172" s="38">
        <v>0.81240000000000001</v>
      </c>
      <c r="BZ172" s="39">
        <v>42.68</v>
      </c>
      <c r="CA172" s="33"/>
      <c r="CB172" s="37">
        <v>812</v>
      </c>
      <c r="CC172" s="38">
        <v>0.15891</v>
      </c>
      <c r="CD172" s="42">
        <v>6.2930000000000001</v>
      </c>
      <c r="CE172" s="33"/>
      <c r="CF172" s="33"/>
      <c r="CG172" s="33"/>
      <c r="CH172" s="33"/>
      <c r="CI172" s="33"/>
      <c r="CJ172" s="33"/>
      <c r="CK172" s="33"/>
      <c r="CL172" s="40">
        <v>812</v>
      </c>
      <c r="CM172" s="43">
        <v>810.9</v>
      </c>
      <c r="CN172" s="41">
        <v>1.2332000000000001</v>
      </c>
      <c r="CO172" s="33"/>
      <c r="CP172" s="40">
        <v>812</v>
      </c>
      <c r="CQ172" s="34">
        <v>0.89390000000000003</v>
      </c>
      <c r="CR172" s="41">
        <v>0.79810000000000003</v>
      </c>
      <c r="CS172" s="33"/>
      <c r="CT172" s="40">
        <v>812</v>
      </c>
      <c r="CU172" s="44">
        <v>325.94</v>
      </c>
      <c r="CV172" s="42">
        <v>7.76</v>
      </c>
    </row>
    <row r="173" spans="4:100">
      <c r="D173" s="30">
        <v>16.3</v>
      </c>
      <c r="E173" s="31">
        <v>0.95740000000000003</v>
      </c>
      <c r="F173" s="32">
        <v>956.8</v>
      </c>
      <c r="G173" s="33"/>
      <c r="H173" s="30">
        <v>16.3</v>
      </c>
      <c r="I173" s="34">
        <v>3.7839</v>
      </c>
      <c r="J173" s="35">
        <v>0.15892000000000001</v>
      </c>
      <c r="L173" s="30">
        <v>16.3</v>
      </c>
      <c r="M173" s="172">
        <v>7.9729999999999999</v>
      </c>
      <c r="N173" s="173">
        <v>0.12543000000000001</v>
      </c>
      <c r="P173" s="30">
        <v>16.3</v>
      </c>
      <c r="Q173" s="172">
        <v>3.9864000000000002</v>
      </c>
      <c r="R173" s="173">
        <v>0.16743</v>
      </c>
      <c r="T173" s="30">
        <v>16.3</v>
      </c>
      <c r="U173" s="172">
        <v>250.85</v>
      </c>
      <c r="V173" s="173">
        <v>5.9729999999999999</v>
      </c>
      <c r="X173" s="30">
        <v>16.3</v>
      </c>
      <c r="Y173" s="34">
        <v>3.5592999999999999</v>
      </c>
      <c r="Z173" s="35">
        <v>0.14949000000000001</v>
      </c>
      <c r="AA173" s="36"/>
      <c r="AB173" s="30">
        <v>16.3</v>
      </c>
      <c r="AC173" s="44">
        <v>280.95</v>
      </c>
      <c r="AD173" s="35">
        <v>6.6890000000000001</v>
      </c>
      <c r="AE173" s="36"/>
      <c r="AF173" s="30">
        <v>16.3</v>
      </c>
      <c r="AG173" s="34">
        <v>3.6164000000000001</v>
      </c>
      <c r="AH173" s="35">
        <v>0.15189</v>
      </c>
      <c r="AI173" s="35"/>
      <c r="AJ173" s="35">
        <v>0.11208</v>
      </c>
      <c r="AK173" s="998">
        <v>68.7</v>
      </c>
      <c r="AM173" s="30">
        <v>16.3</v>
      </c>
      <c r="AN173" s="34">
        <v>0.94920000000000004</v>
      </c>
      <c r="AO173" s="35">
        <v>1.0630999999999999</v>
      </c>
      <c r="AQ173" s="197">
        <v>0.81299999999999994</v>
      </c>
      <c r="AR173" s="200">
        <v>42.55</v>
      </c>
      <c r="AS173" s="199">
        <v>812.6</v>
      </c>
      <c r="AZ173" s="197">
        <v>0.81299999999999994</v>
      </c>
      <c r="BA173" s="198">
        <v>6.7689000000000004</v>
      </c>
      <c r="BB173" s="199">
        <v>0.14773</v>
      </c>
      <c r="BD173" s="197">
        <v>0.81299999999999994</v>
      </c>
      <c r="BE173" s="198">
        <v>3.3845000000000001</v>
      </c>
      <c r="BF173" s="199">
        <v>0.14215</v>
      </c>
      <c r="BH173" s="197">
        <v>0.81299999999999994</v>
      </c>
      <c r="BI173" s="198">
        <v>295.47000000000003</v>
      </c>
      <c r="BJ173" s="199">
        <v>7.0350000000000001</v>
      </c>
      <c r="BL173" s="197">
        <v>0.81299999999999994</v>
      </c>
      <c r="BM173" s="198">
        <v>3.0217999999999998</v>
      </c>
      <c r="BN173" s="199">
        <v>0.12692000000000001</v>
      </c>
      <c r="BP173" s="197">
        <v>0.81299999999999994</v>
      </c>
      <c r="BQ173" s="200">
        <v>330.92</v>
      </c>
      <c r="BR173" s="199">
        <v>7.8789999999999996</v>
      </c>
      <c r="BT173" s="197">
        <v>0.81299999999999994</v>
      </c>
      <c r="BU173" s="201">
        <v>1.1178999999999999</v>
      </c>
      <c r="BV173" s="202">
        <v>1.2521</v>
      </c>
      <c r="BX173" s="37">
        <v>813</v>
      </c>
      <c r="BY173" s="38">
        <v>0.81340000000000001</v>
      </c>
      <c r="BZ173" s="39">
        <v>42.46</v>
      </c>
      <c r="CA173" s="33"/>
      <c r="CB173" s="37">
        <v>813</v>
      </c>
      <c r="CC173" s="38">
        <v>0.15891</v>
      </c>
      <c r="CD173" s="42">
        <v>6.2930000000000001</v>
      </c>
      <c r="CE173" s="33"/>
      <c r="CF173" s="33"/>
      <c r="CG173" s="33"/>
      <c r="CH173" s="33"/>
      <c r="CI173" s="33"/>
      <c r="CJ173" s="33"/>
      <c r="CK173" s="33"/>
      <c r="CL173" s="40">
        <v>813</v>
      </c>
      <c r="CM173" s="43">
        <v>811.9</v>
      </c>
      <c r="CN173" s="41">
        <v>1.2317</v>
      </c>
      <c r="CO173" s="33"/>
      <c r="CP173" s="40">
        <v>813</v>
      </c>
      <c r="CQ173" s="34">
        <v>0.89500000000000002</v>
      </c>
      <c r="CR173" s="41">
        <v>0.79910000000000003</v>
      </c>
      <c r="CS173" s="33"/>
      <c r="CT173" s="40">
        <v>813</v>
      </c>
      <c r="CU173" s="44">
        <v>325.54000000000002</v>
      </c>
      <c r="CV173" s="42">
        <v>7.7510000000000003</v>
      </c>
    </row>
    <row r="174" spans="4:100">
      <c r="D174" s="30">
        <v>16.399999999999999</v>
      </c>
      <c r="E174" s="31">
        <v>0.95669999999999999</v>
      </c>
      <c r="F174" s="32">
        <v>956.2</v>
      </c>
      <c r="G174" s="33"/>
      <c r="H174" s="30">
        <v>16.399999999999999</v>
      </c>
      <c r="I174" s="34">
        <v>3.7839</v>
      </c>
      <c r="J174" s="35">
        <v>0.15892000000000001</v>
      </c>
      <c r="L174" s="30">
        <v>16.399999999999999</v>
      </c>
      <c r="M174" s="172">
        <v>7.9669999999999996</v>
      </c>
      <c r="N174" s="173">
        <v>0.12551000000000001</v>
      </c>
      <c r="P174" s="30">
        <v>16.399999999999999</v>
      </c>
      <c r="Q174" s="172">
        <v>3.9836999999999998</v>
      </c>
      <c r="R174" s="173">
        <v>0.16732</v>
      </c>
      <c r="T174" s="30">
        <v>16.399999999999999</v>
      </c>
      <c r="U174" s="172">
        <v>251.02</v>
      </c>
      <c r="V174" s="173">
        <v>5.9770000000000003</v>
      </c>
      <c r="X174" s="30">
        <v>16.399999999999999</v>
      </c>
      <c r="Y174" s="34">
        <v>3.5569000000000002</v>
      </c>
      <c r="Z174" s="35">
        <v>0.14939</v>
      </c>
      <c r="AA174" s="36"/>
      <c r="AB174" s="30">
        <v>16.399999999999999</v>
      </c>
      <c r="AC174" s="44">
        <v>281.14</v>
      </c>
      <c r="AD174" s="35">
        <v>6.694</v>
      </c>
      <c r="AE174" s="36"/>
      <c r="AF174" s="30">
        <v>16.399999999999999</v>
      </c>
      <c r="AG174" s="34">
        <v>3.6139000000000001</v>
      </c>
      <c r="AH174" s="35">
        <v>0.15179000000000001</v>
      </c>
      <c r="AI174" s="35"/>
      <c r="AJ174" s="35">
        <v>0.11214</v>
      </c>
      <c r="AK174" s="998">
        <v>68.599999999999994</v>
      </c>
      <c r="AM174" s="30">
        <v>16.399999999999999</v>
      </c>
      <c r="AN174" s="34">
        <v>0.94989999999999997</v>
      </c>
      <c r="AO174" s="35">
        <v>1.0638000000000001</v>
      </c>
      <c r="AQ174" s="197">
        <v>0.81399999999999995</v>
      </c>
      <c r="AR174" s="200">
        <v>42.33</v>
      </c>
      <c r="AS174" s="199">
        <v>813.6</v>
      </c>
      <c r="AZ174" s="197">
        <v>0.81399999999999995</v>
      </c>
      <c r="BA174" s="198">
        <v>6.7773000000000003</v>
      </c>
      <c r="BB174" s="199">
        <v>0.14754999999999999</v>
      </c>
      <c r="BD174" s="197">
        <v>0.81399999999999995</v>
      </c>
      <c r="BE174" s="198">
        <v>3.3885999999999998</v>
      </c>
      <c r="BF174" s="199">
        <v>0.14232</v>
      </c>
      <c r="BH174" s="197">
        <v>0.81399999999999995</v>
      </c>
      <c r="BI174" s="198">
        <v>295.10000000000002</v>
      </c>
      <c r="BJ174" s="199">
        <v>7.0259999999999998</v>
      </c>
      <c r="BL174" s="197">
        <v>0.81399999999999995</v>
      </c>
      <c r="BM174" s="198">
        <v>3.0255999999999998</v>
      </c>
      <c r="BN174" s="199">
        <v>0.12706999999999999</v>
      </c>
      <c r="BP174" s="197">
        <v>0.81399999999999995</v>
      </c>
      <c r="BQ174" s="200">
        <v>330.52</v>
      </c>
      <c r="BR174" s="199">
        <v>7.8689999999999998</v>
      </c>
      <c r="BT174" s="197">
        <v>0.81399999999999995</v>
      </c>
      <c r="BU174" s="201">
        <v>1.1165</v>
      </c>
      <c r="BV174" s="202">
        <v>1.2504999999999999</v>
      </c>
      <c r="BX174" s="37">
        <v>814</v>
      </c>
      <c r="BY174" s="38">
        <v>0.81440000000000001</v>
      </c>
      <c r="BZ174" s="39">
        <v>42.25</v>
      </c>
      <c r="CA174" s="33"/>
      <c r="CB174" s="37">
        <v>814</v>
      </c>
      <c r="CC174" s="38">
        <v>0.15891</v>
      </c>
      <c r="CD174" s="42">
        <v>6.2930000000000001</v>
      </c>
      <c r="CE174" s="33"/>
      <c r="CF174" s="33"/>
      <c r="CG174" s="33"/>
      <c r="CH174" s="33"/>
      <c r="CI174" s="33"/>
      <c r="CJ174" s="33"/>
      <c r="CK174" s="33"/>
      <c r="CL174" s="40">
        <v>814</v>
      </c>
      <c r="CM174" s="43">
        <v>812.9</v>
      </c>
      <c r="CN174" s="41">
        <v>1.2302</v>
      </c>
      <c r="CO174" s="33"/>
      <c r="CP174" s="40">
        <v>814</v>
      </c>
      <c r="CQ174" s="34">
        <v>0.89610000000000001</v>
      </c>
      <c r="CR174" s="41">
        <v>0.80010000000000003</v>
      </c>
      <c r="CS174" s="33"/>
      <c r="CT174" s="40">
        <v>814</v>
      </c>
      <c r="CU174" s="44">
        <v>325.13</v>
      </c>
      <c r="CV174" s="42">
        <v>7.7409999999999997</v>
      </c>
    </row>
    <row r="175" spans="4:100">
      <c r="D175" s="30">
        <v>16.5</v>
      </c>
      <c r="E175" s="31">
        <v>0.95609999999999995</v>
      </c>
      <c r="F175" s="32">
        <v>955.5</v>
      </c>
      <c r="G175" s="33"/>
      <c r="H175" s="30">
        <v>16.5</v>
      </c>
      <c r="I175" s="34">
        <v>3.7839</v>
      </c>
      <c r="J175" s="35">
        <v>0.15892000000000001</v>
      </c>
      <c r="L175" s="30">
        <v>16.5</v>
      </c>
      <c r="M175" s="172">
        <v>7.9619999999999997</v>
      </c>
      <c r="N175" s="173">
        <v>0.12559999999999999</v>
      </c>
      <c r="P175" s="30">
        <v>16.5</v>
      </c>
      <c r="Q175" s="172">
        <v>3.9809999999999999</v>
      </c>
      <c r="R175" s="173">
        <v>0.16719999999999999</v>
      </c>
      <c r="T175" s="30">
        <v>16.5</v>
      </c>
      <c r="U175" s="172">
        <v>251.19</v>
      </c>
      <c r="V175" s="173">
        <v>5.9809999999999999</v>
      </c>
      <c r="X175" s="30">
        <v>16.5</v>
      </c>
      <c r="Y175" s="34">
        <v>3.5545</v>
      </c>
      <c r="Z175" s="35">
        <v>0.14928999999999998</v>
      </c>
      <c r="AA175" s="36"/>
      <c r="AB175" s="30">
        <v>16.5</v>
      </c>
      <c r="AC175" s="44">
        <v>281.33999999999997</v>
      </c>
      <c r="AD175" s="35">
        <v>6.6980000000000004</v>
      </c>
      <c r="AE175" s="36"/>
      <c r="AF175" s="30">
        <v>16.5</v>
      </c>
      <c r="AG175" s="34">
        <v>3.6114999999999999</v>
      </c>
      <c r="AH175" s="35">
        <v>0.15168000000000001</v>
      </c>
      <c r="AI175" s="35"/>
      <c r="AJ175" s="35">
        <v>0.11219999999999999</v>
      </c>
      <c r="AK175" s="998">
        <v>68.5</v>
      </c>
      <c r="AM175" s="30">
        <v>16.5</v>
      </c>
      <c r="AN175" s="34">
        <v>0.95050000000000001</v>
      </c>
      <c r="AO175" s="35">
        <v>1.0646</v>
      </c>
      <c r="AQ175" s="197">
        <v>0.81499999999999995</v>
      </c>
      <c r="AR175" s="200">
        <v>42.12</v>
      </c>
      <c r="AS175" s="199">
        <v>814.6</v>
      </c>
      <c r="AZ175" s="197">
        <v>0.81499999999999995</v>
      </c>
      <c r="BA175" s="198">
        <v>6.7855999999999996</v>
      </c>
      <c r="BB175" s="199">
        <v>0.14737</v>
      </c>
      <c r="BD175" s="197">
        <v>0.81499999999999995</v>
      </c>
      <c r="BE175" s="198">
        <v>3.3927999999999998</v>
      </c>
      <c r="BF175" s="199">
        <v>0.14249999999999999</v>
      </c>
      <c r="BH175" s="197">
        <v>0.81499999999999995</v>
      </c>
      <c r="BI175" s="198">
        <v>294.74</v>
      </c>
      <c r="BJ175" s="199">
        <v>7.0179999999999998</v>
      </c>
      <c r="BL175" s="197">
        <v>0.81499999999999995</v>
      </c>
      <c r="BM175" s="198">
        <v>3.0293000000000001</v>
      </c>
      <c r="BN175" s="199">
        <v>0.12723000000000001</v>
      </c>
      <c r="BP175" s="197">
        <v>0.81499999999999995</v>
      </c>
      <c r="BQ175" s="200">
        <v>330.11</v>
      </c>
      <c r="BR175" s="199">
        <v>7.86</v>
      </c>
      <c r="BT175" s="197">
        <v>0.81499999999999995</v>
      </c>
      <c r="BU175" s="201">
        <v>1.1152</v>
      </c>
      <c r="BV175" s="202">
        <v>1.2490000000000001</v>
      </c>
      <c r="BX175" s="37">
        <v>815</v>
      </c>
      <c r="BY175" s="38">
        <v>0.81540000000000001</v>
      </c>
      <c r="BZ175" s="39">
        <v>42.03</v>
      </c>
      <c r="CA175" s="33"/>
      <c r="CB175" s="37">
        <v>815</v>
      </c>
      <c r="CC175" s="38">
        <v>0.15891</v>
      </c>
      <c r="CD175" s="42">
        <v>6.2930000000000001</v>
      </c>
      <c r="CE175" s="33"/>
      <c r="CF175" s="33"/>
      <c r="CG175" s="33"/>
      <c r="CH175" s="33"/>
      <c r="CI175" s="33"/>
      <c r="CJ175" s="33"/>
      <c r="CK175" s="33"/>
      <c r="CL175" s="40">
        <v>815</v>
      </c>
      <c r="CM175" s="43">
        <v>813.9</v>
      </c>
      <c r="CN175" s="41">
        <v>1.2285999999999999</v>
      </c>
      <c r="CO175" s="33"/>
      <c r="CP175" s="40">
        <v>815</v>
      </c>
      <c r="CQ175" s="34">
        <v>0.8972</v>
      </c>
      <c r="CR175" s="41">
        <v>0.80100000000000005</v>
      </c>
      <c r="CS175" s="33"/>
      <c r="CT175" s="40">
        <v>815</v>
      </c>
      <c r="CU175" s="44">
        <v>324.73</v>
      </c>
      <c r="CV175" s="42">
        <v>7.7320000000000002</v>
      </c>
    </row>
    <row r="176" spans="4:100">
      <c r="D176" s="30">
        <v>16.600000000000001</v>
      </c>
      <c r="E176" s="31">
        <v>0.95540000000000003</v>
      </c>
      <c r="F176" s="32">
        <v>954.9</v>
      </c>
      <c r="G176" s="33"/>
      <c r="H176" s="30">
        <v>16.600000000000001</v>
      </c>
      <c r="I176" s="34">
        <v>3.7839</v>
      </c>
      <c r="J176" s="35">
        <v>0.15892000000000001</v>
      </c>
      <c r="L176" s="30">
        <v>16.600000000000001</v>
      </c>
      <c r="M176" s="172">
        <v>7.9569999999999999</v>
      </c>
      <c r="N176" s="173">
        <v>0.12567999999999999</v>
      </c>
      <c r="P176" s="30">
        <v>16.600000000000001</v>
      </c>
      <c r="Q176" s="172">
        <v>3.9782999999999999</v>
      </c>
      <c r="R176" s="173">
        <v>0.16708999999999999</v>
      </c>
      <c r="T176" s="30">
        <v>16.600000000000001</v>
      </c>
      <c r="U176" s="172">
        <v>251.36</v>
      </c>
      <c r="V176" s="173">
        <v>5.9850000000000003</v>
      </c>
      <c r="X176" s="30">
        <v>16.600000000000001</v>
      </c>
      <c r="Y176" s="34">
        <v>3.5520999999999998</v>
      </c>
      <c r="Z176" s="35">
        <v>0.14918999999999996</v>
      </c>
      <c r="AA176" s="36"/>
      <c r="AB176" s="30">
        <v>16.600000000000001</v>
      </c>
      <c r="AC176" s="44">
        <v>281.52999999999997</v>
      </c>
      <c r="AD176" s="35">
        <v>6.7030000000000003</v>
      </c>
      <c r="AE176" s="36"/>
      <c r="AF176" s="30">
        <v>16.600000000000001</v>
      </c>
      <c r="AG176" s="34">
        <v>3.6091000000000002</v>
      </c>
      <c r="AH176" s="35">
        <v>0.15157999999999999</v>
      </c>
      <c r="AI176" s="35"/>
      <c r="AJ176" s="35">
        <v>0.11225</v>
      </c>
      <c r="AK176" s="998">
        <v>68.400000000000006</v>
      </c>
      <c r="AM176" s="30">
        <v>16.600000000000001</v>
      </c>
      <c r="AN176" s="34">
        <v>0.95109999999999995</v>
      </c>
      <c r="AO176" s="35">
        <v>1.0652999999999999</v>
      </c>
      <c r="AQ176" s="197">
        <v>0.81599999999999995</v>
      </c>
      <c r="AR176" s="200">
        <v>41.91</v>
      </c>
      <c r="AS176" s="199">
        <v>815.6</v>
      </c>
      <c r="AZ176" s="197">
        <v>0.81599999999999995</v>
      </c>
      <c r="BA176" s="198">
        <v>6.7938999999999998</v>
      </c>
      <c r="BB176" s="199">
        <v>0.14718999999999999</v>
      </c>
      <c r="BD176" s="197">
        <v>0.81599999999999995</v>
      </c>
      <c r="BE176" s="198">
        <v>3.3969999999999998</v>
      </c>
      <c r="BF176" s="199">
        <v>0.14266999999999999</v>
      </c>
      <c r="BH176" s="197">
        <v>0.81599999999999995</v>
      </c>
      <c r="BI176" s="198">
        <v>294.38</v>
      </c>
      <c r="BJ176" s="199">
        <v>7.0090000000000003</v>
      </c>
      <c r="BL176" s="197">
        <v>0.81599999999999995</v>
      </c>
      <c r="BM176" s="198">
        <v>3.0329999999999999</v>
      </c>
      <c r="BN176" s="199">
        <v>0.12739</v>
      </c>
      <c r="BP176" s="197">
        <v>0.81599999999999995</v>
      </c>
      <c r="BQ176" s="200">
        <v>329.71</v>
      </c>
      <c r="BR176" s="199">
        <v>7.85</v>
      </c>
      <c r="BT176" s="197">
        <v>0.81599999999999995</v>
      </c>
      <c r="BU176" s="201">
        <v>1.1137999999999999</v>
      </c>
      <c r="BV176" s="202">
        <v>1.2474000000000001</v>
      </c>
      <c r="BX176" s="37">
        <v>816</v>
      </c>
      <c r="BY176" s="38">
        <v>0.81640000000000001</v>
      </c>
      <c r="BZ176" s="39">
        <v>41.82</v>
      </c>
      <c r="CA176" s="33"/>
      <c r="CB176" s="37">
        <v>816</v>
      </c>
      <c r="CC176" s="38">
        <v>0.15891</v>
      </c>
      <c r="CD176" s="42">
        <v>6.2930000000000001</v>
      </c>
      <c r="CE176" s="33"/>
      <c r="CF176" s="33"/>
      <c r="CG176" s="33"/>
      <c r="CH176" s="33"/>
      <c r="CI176" s="33"/>
      <c r="CJ176" s="33"/>
      <c r="CK176" s="33"/>
      <c r="CL176" s="40">
        <v>816</v>
      </c>
      <c r="CM176" s="43">
        <v>814.9</v>
      </c>
      <c r="CN176" s="41">
        <v>1.2271000000000001</v>
      </c>
      <c r="CO176" s="33"/>
      <c r="CP176" s="40">
        <v>816</v>
      </c>
      <c r="CQ176" s="34">
        <v>0.89829999999999999</v>
      </c>
      <c r="CR176" s="41">
        <v>0.80200000000000005</v>
      </c>
      <c r="CS176" s="33"/>
      <c r="CT176" s="40">
        <v>816</v>
      </c>
      <c r="CU176" s="44">
        <v>324.33999999999997</v>
      </c>
      <c r="CV176" s="42">
        <v>7.7220000000000004</v>
      </c>
    </row>
    <row r="177" spans="4:100">
      <c r="D177" s="30">
        <v>16.7</v>
      </c>
      <c r="E177" s="31">
        <v>0.95479999999999998</v>
      </c>
      <c r="F177" s="32">
        <v>954.2</v>
      </c>
      <c r="G177" s="33"/>
      <c r="H177" s="30">
        <v>16.7</v>
      </c>
      <c r="I177" s="34">
        <v>3.7839</v>
      </c>
      <c r="J177" s="35">
        <v>0.15892000000000001</v>
      </c>
      <c r="L177" s="30">
        <v>16.7</v>
      </c>
      <c r="M177" s="172">
        <v>7.9509999999999996</v>
      </c>
      <c r="N177" s="173">
        <v>0.12576999999999999</v>
      </c>
      <c r="P177" s="30">
        <v>16.7</v>
      </c>
      <c r="Q177" s="172">
        <v>3.9756</v>
      </c>
      <c r="R177" s="173">
        <v>0.16697999999999999</v>
      </c>
      <c r="T177" s="30">
        <v>16.7</v>
      </c>
      <c r="U177" s="172">
        <v>251.53</v>
      </c>
      <c r="V177" s="173">
        <v>5.9889999999999999</v>
      </c>
      <c r="X177" s="30">
        <v>16.7</v>
      </c>
      <c r="Y177" s="34">
        <v>3.5497000000000001</v>
      </c>
      <c r="Z177" s="35">
        <v>0.14908999999999994</v>
      </c>
      <c r="AA177" s="36"/>
      <c r="AB177" s="30">
        <v>16.7</v>
      </c>
      <c r="AC177" s="44">
        <v>281.72000000000003</v>
      </c>
      <c r="AD177" s="35">
        <v>6.7080000000000002</v>
      </c>
      <c r="AE177" s="36"/>
      <c r="AF177" s="30">
        <v>16.7</v>
      </c>
      <c r="AG177" s="34">
        <v>3.6065999999999998</v>
      </c>
      <c r="AH177" s="35">
        <v>0.15148</v>
      </c>
      <c r="AI177" s="35"/>
      <c r="AJ177" s="35">
        <v>0.11230999999999999</v>
      </c>
      <c r="AK177" s="998">
        <v>68.3</v>
      </c>
      <c r="AM177" s="30">
        <v>16.7</v>
      </c>
      <c r="AN177" s="34">
        <v>0.95179999999999998</v>
      </c>
      <c r="AO177" s="35">
        <v>1.0660000000000001</v>
      </c>
      <c r="AQ177" s="197">
        <v>0.81699999999999995</v>
      </c>
      <c r="AR177" s="200">
        <v>41.69</v>
      </c>
      <c r="AS177" s="199">
        <v>816.6</v>
      </c>
      <c r="AZ177" s="197">
        <v>0.81699999999999995</v>
      </c>
      <c r="BA177" s="198">
        <v>6.8022999999999998</v>
      </c>
      <c r="BB177" s="199">
        <v>0.14701</v>
      </c>
      <c r="BD177" s="197">
        <v>0.81699999999999995</v>
      </c>
      <c r="BE177" s="198">
        <v>3.4011</v>
      </c>
      <c r="BF177" s="199">
        <v>0.14285</v>
      </c>
      <c r="BH177" s="197">
        <v>0.81699999999999995</v>
      </c>
      <c r="BI177" s="198">
        <v>294.02</v>
      </c>
      <c r="BJ177" s="199">
        <v>7</v>
      </c>
      <c r="BL177" s="197">
        <v>0.81699999999999995</v>
      </c>
      <c r="BM177" s="198">
        <v>3.0367000000000002</v>
      </c>
      <c r="BN177" s="199">
        <v>0.12753999999999999</v>
      </c>
      <c r="BP177" s="197">
        <v>0.81699999999999995</v>
      </c>
      <c r="BQ177" s="200">
        <v>329.3</v>
      </c>
      <c r="BR177" s="199">
        <v>7.84</v>
      </c>
      <c r="BT177" s="197">
        <v>0.81699999999999995</v>
      </c>
      <c r="BU177" s="201">
        <v>1.1124000000000001</v>
      </c>
      <c r="BV177" s="202">
        <v>1.2459</v>
      </c>
      <c r="BX177" s="37">
        <v>817</v>
      </c>
      <c r="BY177" s="38">
        <v>0.81740000000000002</v>
      </c>
      <c r="BZ177" s="39">
        <v>41.61</v>
      </c>
      <c r="CA177" s="33"/>
      <c r="CB177" s="37">
        <v>817</v>
      </c>
      <c r="CC177" s="38">
        <v>0.15891</v>
      </c>
      <c r="CD177" s="42">
        <v>6.2930000000000001</v>
      </c>
      <c r="CE177" s="33"/>
      <c r="CF177" s="33"/>
      <c r="CG177" s="33"/>
      <c r="CH177" s="33"/>
      <c r="CI177" s="33"/>
      <c r="CJ177" s="33"/>
      <c r="CK177" s="33"/>
      <c r="CL177" s="40">
        <v>817</v>
      </c>
      <c r="CM177" s="43">
        <v>815.9</v>
      </c>
      <c r="CN177" s="41">
        <v>1.2256</v>
      </c>
      <c r="CO177" s="33"/>
      <c r="CP177" s="40">
        <v>817</v>
      </c>
      <c r="CQ177" s="34">
        <v>0.89939999999999998</v>
      </c>
      <c r="CR177" s="41">
        <v>0.80300000000000005</v>
      </c>
      <c r="CS177" s="33"/>
      <c r="CT177" s="40">
        <v>817</v>
      </c>
      <c r="CU177" s="44">
        <v>323.94</v>
      </c>
      <c r="CV177" s="42">
        <v>7.7130000000000001</v>
      </c>
    </row>
    <row r="178" spans="4:100">
      <c r="D178" s="30">
        <v>16.8</v>
      </c>
      <c r="E178" s="31">
        <v>0.95409999999999995</v>
      </c>
      <c r="F178" s="32">
        <v>953.6</v>
      </c>
      <c r="G178" s="33"/>
      <c r="H178" s="30">
        <v>16.8</v>
      </c>
      <c r="I178" s="34">
        <v>3.7839</v>
      </c>
      <c r="J178" s="35">
        <v>0.15892000000000001</v>
      </c>
      <c r="L178" s="30">
        <v>16.8</v>
      </c>
      <c r="M178" s="172">
        <v>7.9459999999999997</v>
      </c>
      <c r="N178" s="173">
        <v>0.12584999999999999</v>
      </c>
      <c r="P178" s="30">
        <v>16.8</v>
      </c>
      <c r="Q178" s="172">
        <v>3.9729000000000001</v>
      </c>
      <c r="R178" s="173">
        <v>0.16686000000000001</v>
      </c>
      <c r="T178" s="30">
        <v>16.8</v>
      </c>
      <c r="U178" s="172">
        <v>251.7</v>
      </c>
      <c r="V178" s="173">
        <v>5.9930000000000003</v>
      </c>
      <c r="X178" s="30">
        <v>16.8</v>
      </c>
      <c r="Y178" s="34">
        <v>3.5472999999999999</v>
      </c>
      <c r="Z178" s="35">
        <v>0.14898999999999993</v>
      </c>
      <c r="AA178" s="36"/>
      <c r="AB178" s="30">
        <v>16.8</v>
      </c>
      <c r="AC178" s="44">
        <v>281.91000000000003</v>
      </c>
      <c r="AD178" s="35">
        <v>6.7119999999999997</v>
      </c>
      <c r="AE178" s="36"/>
      <c r="AF178" s="30">
        <v>16.8</v>
      </c>
      <c r="AG178" s="34">
        <v>3.6042000000000001</v>
      </c>
      <c r="AH178" s="35">
        <v>0.15137999999999999</v>
      </c>
      <c r="AI178" s="35"/>
      <c r="AJ178" s="35">
        <v>0.11236</v>
      </c>
      <c r="AK178" s="998">
        <v>68.2</v>
      </c>
      <c r="AM178" s="30">
        <v>16.8</v>
      </c>
      <c r="AN178" s="34">
        <v>0.95240000000000002</v>
      </c>
      <c r="AO178" s="35">
        <v>1.0667</v>
      </c>
      <c r="AQ178" s="197">
        <v>0.81799999999999995</v>
      </c>
      <c r="AR178" s="200">
        <v>41.48</v>
      </c>
      <c r="AS178" s="199">
        <v>817.6</v>
      </c>
      <c r="AZ178" s="197">
        <v>0.81799999999999995</v>
      </c>
      <c r="BA178" s="198">
        <v>6.8106</v>
      </c>
      <c r="BB178" s="199">
        <v>0.14682999999999999</v>
      </c>
      <c r="BD178" s="197">
        <v>0.81799999999999995</v>
      </c>
      <c r="BE178" s="198">
        <v>3.4053</v>
      </c>
      <c r="BF178" s="199">
        <v>0.14302000000000001</v>
      </c>
      <c r="BH178" s="197">
        <v>0.81799999999999995</v>
      </c>
      <c r="BI178" s="198">
        <v>293.66000000000003</v>
      </c>
      <c r="BJ178" s="199">
        <v>6.992</v>
      </c>
      <c r="BL178" s="197">
        <v>0.81799999999999995</v>
      </c>
      <c r="BM178" s="198">
        <v>3.0405000000000002</v>
      </c>
      <c r="BN178" s="199">
        <v>0.12770000000000001</v>
      </c>
      <c r="BP178" s="197">
        <v>0.81799999999999995</v>
      </c>
      <c r="BQ178" s="200">
        <v>328.9</v>
      </c>
      <c r="BR178" s="199">
        <v>7.8310000000000004</v>
      </c>
      <c r="BT178" s="197">
        <v>0.81799999999999995</v>
      </c>
      <c r="BU178" s="201">
        <v>1.1111</v>
      </c>
      <c r="BV178" s="202">
        <v>1.2444</v>
      </c>
      <c r="BX178" s="37">
        <v>818</v>
      </c>
      <c r="BY178" s="38">
        <v>0.81840000000000002</v>
      </c>
      <c r="BZ178" s="39">
        <v>41.4</v>
      </c>
      <c r="CA178" s="33"/>
      <c r="CB178" s="37">
        <v>818</v>
      </c>
      <c r="CC178" s="38">
        <v>0.15891</v>
      </c>
      <c r="CD178" s="42">
        <v>6.2930000000000001</v>
      </c>
      <c r="CE178" s="33"/>
      <c r="CF178" s="33"/>
      <c r="CG178" s="33"/>
      <c r="CH178" s="33"/>
      <c r="CI178" s="33"/>
      <c r="CJ178" s="33"/>
      <c r="CK178" s="33"/>
      <c r="CL178" s="40">
        <v>818</v>
      </c>
      <c r="CM178" s="43">
        <v>816.9</v>
      </c>
      <c r="CN178" s="41">
        <v>1.2241</v>
      </c>
      <c r="CO178" s="33"/>
      <c r="CP178" s="40">
        <v>818</v>
      </c>
      <c r="CQ178" s="34">
        <v>0.90049999999999997</v>
      </c>
      <c r="CR178" s="41">
        <v>0.80400000000000005</v>
      </c>
      <c r="CS178" s="33"/>
      <c r="CT178" s="40">
        <v>818</v>
      </c>
      <c r="CU178" s="44">
        <v>323.54000000000002</v>
      </c>
      <c r="CV178" s="42">
        <v>7.7030000000000003</v>
      </c>
    </row>
    <row r="179" spans="4:100">
      <c r="D179" s="30">
        <v>16.899999999999999</v>
      </c>
      <c r="E179" s="31">
        <v>0.95350000000000001</v>
      </c>
      <c r="F179" s="32">
        <v>952.9</v>
      </c>
      <c r="G179" s="33"/>
      <c r="H179" s="30">
        <v>16.899999999999999</v>
      </c>
      <c r="I179" s="34">
        <v>3.7839</v>
      </c>
      <c r="J179" s="35">
        <v>0.15892000000000001</v>
      </c>
      <c r="L179" s="30">
        <v>16.899999999999999</v>
      </c>
      <c r="M179" s="172">
        <v>7.9409999999999998</v>
      </c>
      <c r="N179" s="173">
        <v>0.12594</v>
      </c>
      <c r="P179" s="30">
        <v>16.899999999999999</v>
      </c>
      <c r="Q179" s="172">
        <v>3.9702999999999999</v>
      </c>
      <c r="R179" s="173">
        <v>0.16675000000000001</v>
      </c>
      <c r="T179" s="30">
        <v>16.899999999999999</v>
      </c>
      <c r="U179" s="172">
        <v>251.87</v>
      </c>
      <c r="V179" s="173">
        <v>5.9969999999999999</v>
      </c>
      <c r="X179" s="30">
        <v>16.899999999999999</v>
      </c>
      <c r="Y179" s="34">
        <v>3.5449000000000002</v>
      </c>
      <c r="Z179" s="35">
        <v>0.14888000000000001</v>
      </c>
      <c r="AA179" s="36"/>
      <c r="AB179" s="30">
        <v>16.899999999999999</v>
      </c>
      <c r="AC179" s="44">
        <v>282.10000000000002</v>
      </c>
      <c r="AD179" s="35">
        <v>6.7169999999999996</v>
      </c>
      <c r="AE179" s="36"/>
      <c r="AF179" s="30">
        <v>16.899999999999999</v>
      </c>
      <c r="AG179" s="34">
        <v>3.6017999999999999</v>
      </c>
      <c r="AH179" s="35">
        <v>0.15126999999999999</v>
      </c>
      <c r="AI179" s="35"/>
      <c r="AJ179" s="35">
        <v>0.11242000000000001</v>
      </c>
      <c r="AK179" s="998">
        <v>68.099999999999994</v>
      </c>
      <c r="AM179" s="30">
        <v>16.899999999999999</v>
      </c>
      <c r="AN179" s="34">
        <v>0.95309999999999995</v>
      </c>
      <c r="AO179" s="35">
        <v>1.0673999999999999</v>
      </c>
      <c r="AQ179" s="197">
        <v>0.81899999999999995</v>
      </c>
      <c r="AR179" s="200">
        <v>41.27</v>
      </c>
      <c r="AS179" s="199">
        <v>818.6</v>
      </c>
      <c r="AZ179" s="197">
        <v>0.81899999999999995</v>
      </c>
      <c r="BA179" s="198">
        <v>6.819</v>
      </c>
      <c r="BB179" s="199">
        <v>0.14665</v>
      </c>
      <c r="BD179" s="197">
        <v>0.81899999999999995</v>
      </c>
      <c r="BE179" s="198">
        <v>3.4095</v>
      </c>
      <c r="BF179" s="199">
        <v>0.14319999999999999</v>
      </c>
      <c r="BH179" s="197">
        <v>0.81899999999999995</v>
      </c>
      <c r="BI179" s="198">
        <v>293.3</v>
      </c>
      <c r="BJ179" s="199">
        <v>6.9829999999999997</v>
      </c>
      <c r="BL179" s="197">
        <v>0.81899999999999995</v>
      </c>
      <c r="BM179" s="198">
        <v>3.0442</v>
      </c>
      <c r="BN179" s="199">
        <v>0.12786</v>
      </c>
      <c r="BP179" s="197">
        <v>0.81899999999999995</v>
      </c>
      <c r="BQ179" s="200">
        <v>328.5</v>
      </c>
      <c r="BR179" s="199">
        <v>7.8209999999999997</v>
      </c>
      <c r="BT179" s="197">
        <v>0.81899999999999995</v>
      </c>
      <c r="BU179" s="201">
        <v>1.1096999999999999</v>
      </c>
      <c r="BV179" s="202">
        <v>1.2428999999999999</v>
      </c>
      <c r="BX179" s="37">
        <v>819</v>
      </c>
      <c r="BY179" s="38">
        <v>0.81940000000000002</v>
      </c>
      <c r="BZ179" s="39">
        <v>41.19</v>
      </c>
      <c r="CA179" s="33"/>
      <c r="CB179" s="37">
        <v>819</v>
      </c>
      <c r="CC179" s="38">
        <v>0.15891</v>
      </c>
      <c r="CD179" s="42">
        <v>6.2930000000000001</v>
      </c>
      <c r="CE179" s="33"/>
      <c r="CF179" s="33"/>
      <c r="CG179" s="33"/>
      <c r="CH179" s="33"/>
      <c r="CI179" s="33"/>
      <c r="CJ179" s="33"/>
      <c r="CK179" s="33"/>
      <c r="CL179" s="40">
        <v>819</v>
      </c>
      <c r="CM179" s="43">
        <v>817.9</v>
      </c>
      <c r="CN179" s="41">
        <v>1.2225999999999999</v>
      </c>
      <c r="CO179" s="33"/>
      <c r="CP179" s="40">
        <v>819</v>
      </c>
      <c r="CQ179" s="34">
        <v>0.90159999999999996</v>
      </c>
      <c r="CR179" s="41">
        <v>0.80500000000000005</v>
      </c>
      <c r="CS179" s="33"/>
      <c r="CT179" s="40">
        <v>819</v>
      </c>
      <c r="CU179" s="44">
        <v>323.14</v>
      </c>
      <c r="CV179" s="42">
        <v>7.694</v>
      </c>
    </row>
    <row r="180" spans="4:100">
      <c r="D180" s="30">
        <v>17</v>
      </c>
      <c r="E180" s="31">
        <v>0.95289999999999997</v>
      </c>
      <c r="F180" s="32">
        <v>952.3</v>
      </c>
      <c r="G180" s="33"/>
      <c r="H180" s="30">
        <v>17</v>
      </c>
      <c r="I180" s="34">
        <v>3.7839</v>
      </c>
      <c r="J180" s="35">
        <v>0.15892000000000001</v>
      </c>
      <c r="L180" s="30">
        <v>17</v>
      </c>
      <c r="M180" s="172">
        <v>7.9349999999999996</v>
      </c>
      <c r="N180" s="173">
        <v>0.12601999999999999</v>
      </c>
      <c r="P180" s="30">
        <v>17</v>
      </c>
      <c r="Q180" s="172">
        <v>3.9676</v>
      </c>
      <c r="R180" s="173">
        <v>0.16664000000000001</v>
      </c>
      <c r="T180" s="30">
        <v>17</v>
      </c>
      <c r="U180" s="172">
        <v>252.04</v>
      </c>
      <c r="V180" s="173">
        <v>6.0010000000000003</v>
      </c>
      <c r="X180" s="30">
        <v>17</v>
      </c>
      <c r="Y180" s="34">
        <v>3.5425</v>
      </c>
      <c r="Z180" s="35">
        <v>0.14878</v>
      </c>
      <c r="AA180" s="36"/>
      <c r="AB180" s="30">
        <v>17</v>
      </c>
      <c r="AC180" s="44">
        <v>282.29000000000002</v>
      </c>
      <c r="AD180" s="35">
        <v>6.7210000000000001</v>
      </c>
      <c r="AE180" s="36"/>
      <c r="AF180" s="30">
        <v>17</v>
      </c>
      <c r="AG180" s="34">
        <v>3.5992999999999999</v>
      </c>
      <c r="AH180" s="35">
        <v>0.15117</v>
      </c>
      <c r="AI180" s="35"/>
      <c r="AJ180" s="35">
        <v>0.11248</v>
      </c>
      <c r="AK180" s="998">
        <v>68</v>
      </c>
      <c r="AM180" s="30">
        <v>17</v>
      </c>
      <c r="AN180" s="34">
        <v>0.95369999999999999</v>
      </c>
      <c r="AO180" s="35">
        <v>1.0682</v>
      </c>
      <c r="AQ180" s="197">
        <v>0.82</v>
      </c>
      <c r="AR180" s="200">
        <v>41.06</v>
      </c>
      <c r="AS180" s="199">
        <v>819.6</v>
      </c>
      <c r="AZ180" s="197">
        <v>0.82</v>
      </c>
      <c r="BA180" s="198">
        <v>6.8273000000000001</v>
      </c>
      <c r="BB180" s="199">
        <v>0.14646999999999999</v>
      </c>
      <c r="BD180" s="197">
        <v>0.82</v>
      </c>
      <c r="BE180" s="198">
        <v>3.4137</v>
      </c>
      <c r="BF180" s="199">
        <v>0.14337</v>
      </c>
      <c r="BH180" s="197">
        <v>0.82</v>
      </c>
      <c r="BI180" s="198">
        <v>292.94</v>
      </c>
      <c r="BJ180" s="199">
        <v>6.9749999999999996</v>
      </c>
      <c r="BL180" s="197">
        <v>0.82</v>
      </c>
      <c r="BM180" s="198">
        <v>3.0478999999999998</v>
      </c>
      <c r="BN180" s="199">
        <v>0.12801000000000001</v>
      </c>
      <c r="BP180" s="197">
        <v>0.82</v>
      </c>
      <c r="BQ180" s="200">
        <v>328.09</v>
      </c>
      <c r="BR180" s="199">
        <v>7.8120000000000003</v>
      </c>
      <c r="BT180" s="197">
        <v>0.82</v>
      </c>
      <c r="BU180" s="201">
        <v>1.1084000000000001</v>
      </c>
      <c r="BV180" s="202">
        <v>1.2414000000000001</v>
      </c>
      <c r="BX180" s="37">
        <v>820</v>
      </c>
      <c r="BY180" s="38">
        <v>0.82040000000000002</v>
      </c>
      <c r="BZ180" s="39">
        <v>40.98</v>
      </c>
      <c r="CA180" s="33"/>
      <c r="CB180" s="37">
        <v>820</v>
      </c>
      <c r="CC180" s="38">
        <v>0.15891</v>
      </c>
      <c r="CD180" s="42">
        <v>6.2930000000000001</v>
      </c>
      <c r="CE180" s="33"/>
      <c r="CF180" s="33"/>
      <c r="CG180" s="33"/>
      <c r="CH180" s="33"/>
      <c r="CI180" s="33"/>
      <c r="CJ180" s="33"/>
      <c r="CK180" s="33"/>
      <c r="CL180" s="40">
        <v>820</v>
      </c>
      <c r="CM180" s="43">
        <v>818.9</v>
      </c>
      <c r="CN180" s="41">
        <v>1.2211000000000001</v>
      </c>
      <c r="CO180" s="33"/>
      <c r="CP180" s="40">
        <v>820</v>
      </c>
      <c r="CQ180" s="34">
        <v>0.90269999999999995</v>
      </c>
      <c r="CR180" s="41">
        <v>0.80600000000000005</v>
      </c>
      <c r="CS180" s="33"/>
      <c r="CT180" s="40">
        <v>820</v>
      </c>
      <c r="CU180" s="44">
        <v>322.75</v>
      </c>
      <c r="CV180" s="42">
        <v>7.6849999999999996</v>
      </c>
    </row>
    <row r="181" spans="4:100">
      <c r="D181" s="30">
        <v>17.100000000000001</v>
      </c>
      <c r="E181" s="31">
        <v>0.95220000000000005</v>
      </c>
      <c r="F181" s="32">
        <v>951.7</v>
      </c>
      <c r="G181" s="33"/>
      <c r="H181" s="30">
        <v>17.100000000000001</v>
      </c>
      <c r="I181" s="34">
        <v>3.7839</v>
      </c>
      <c r="J181" s="35">
        <v>0.15892000000000001</v>
      </c>
      <c r="L181" s="30">
        <v>17.100000000000001</v>
      </c>
      <c r="M181" s="172">
        <v>7.93</v>
      </c>
      <c r="N181" s="173">
        <v>0.12611</v>
      </c>
      <c r="P181" s="30">
        <v>17.100000000000001</v>
      </c>
      <c r="Q181" s="172">
        <v>3.9649000000000001</v>
      </c>
      <c r="R181" s="173">
        <v>0.16653000000000001</v>
      </c>
      <c r="T181" s="30">
        <v>17.100000000000001</v>
      </c>
      <c r="U181" s="172">
        <v>252.21</v>
      </c>
      <c r="V181" s="173">
        <v>6.0049999999999999</v>
      </c>
      <c r="X181" s="30">
        <v>17.100000000000001</v>
      </c>
      <c r="Y181" s="34">
        <v>3.5400999999999998</v>
      </c>
      <c r="Z181" s="35">
        <v>0.14867999999999998</v>
      </c>
      <c r="AA181" s="36"/>
      <c r="AB181" s="30">
        <v>17.100000000000001</v>
      </c>
      <c r="AC181" s="44">
        <v>282.48</v>
      </c>
      <c r="AD181" s="35">
        <v>6.726</v>
      </c>
      <c r="AE181" s="36"/>
      <c r="AF181" s="30">
        <v>17.100000000000001</v>
      </c>
      <c r="AG181" s="34">
        <v>3.5969000000000002</v>
      </c>
      <c r="AH181" s="35">
        <v>0.15107000000000001</v>
      </c>
      <c r="AI181" s="35"/>
      <c r="AJ181" s="35">
        <v>0.11253000000000001</v>
      </c>
      <c r="AK181" s="998">
        <v>67.900000000000006</v>
      </c>
      <c r="AM181" s="30">
        <v>17.100000000000001</v>
      </c>
      <c r="AN181" s="34">
        <v>0.95430000000000004</v>
      </c>
      <c r="AO181" s="35">
        <v>1.0689</v>
      </c>
      <c r="AQ181" s="197">
        <v>0.82099999999999995</v>
      </c>
      <c r="AR181" s="200">
        <v>40.85</v>
      </c>
      <c r="AS181" s="199">
        <v>820.6</v>
      </c>
      <c r="AZ181" s="197">
        <v>0.82099999999999995</v>
      </c>
      <c r="BA181" s="198">
        <v>6.8356000000000003</v>
      </c>
      <c r="BB181" s="199">
        <v>0.14629</v>
      </c>
      <c r="BD181" s="197">
        <v>0.82099999999999995</v>
      </c>
      <c r="BE181" s="198">
        <v>3.4178000000000002</v>
      </c>
      <c r="BF181" s="199">
        <v>0.14355000000000001</v>
      </c>
      <c r="BH181" s="197">
        <v>0.82099999999999995</v>
      </c>
      <c r="BI181" s="198">
        <v>292.58</v>
      </c>
      <c r="BJ181" s="199">
        <v>6.9660000000000002</v>
      </c>
      <c r="BL181" s="197">
        <v>0.82099999999999995</v>
      </c>
      <c r="BM181" s="198">
        <v>3.0516000000000001</v>
      </c>
      <c r="BN181" s="199">
        <v>0.12817000000000001</v>
      </c>
      <c r="BP181" s="197">
        <v>0.82099999999999995</v>
      </c>
      <c r="BQ181" s="200">
        <v>327.69</v>
      </c>
      <c r="BR181" s="199">
        <v>7.8019999999999996</v>
      </c>
      <c r="BT181" s="197">
        <v>0.82099999999999995</v>
      </c>
      <c r="BU181" s="201">
        <v>1.107</v>
      </c>
      <c r="BV181" s="202">
        <v>1.2398</v>
      </c>
      <c r="BX181" s="37">
        <v>821</v>
      </c>
      <c r="BY181" s="38">
        <v>0.82140000000000002</v>
      </c>
      <c r="BZ181" s="39">
        <v>40.76</v>
      </c>
      <c r="CA181" s="33"/>
      <c r="CB181" s="37">
        <v>821</v>
      </c>
      <c r="CC181" s="38">
        <v>0.15891</v>
      </c>
      <c r="CD181" s="42">
        <v>6.2930000000000001</v>
      </c>
      <c r="CE181" s="33"/>
      <c r="CF181" s="33"/>
      <c r="CG181" s="33"/>
      <c r="CH181" s="33"/>
      <c r="CI181" s="33"/>
      <c r="CJ181" s="33"/>
      <c r="CK181" s="33"/>
      <c r="CL181" s="40">
        <v>821</v>
      </c>
      <c r="CM181" s="43">
        <v>819.9</v>
      </c>
      <c r="CN181" s="41">
        <v>1.2197</v>
      </c>
      <c r="CO181" s="33"/>
      <c r="CP181" s="40">
        <v>821</v>
      </c>
      <c r="CQ181" s="34">
        <v>0.90380000000000005</v>
      </c>
      <c r="CR181" s="41">
        <v>0.80700000000000005</v>
      </c>
      <c r="CS181" s="33"/>
      <c r="CT181" s="40">
        <v>821</v>
      </c>
      <c r="CU181" s="44">
        <v>322.36</v>
      </c>
      <c r="CV181" s="42">
        <v>7.6749999999999998</v>
      </c>
    </row>
    <row r="182" spans="4:100">
      <c r="D182" s="30">
        <v>17.2</v>
      </c>
      <c r="E182" s="31">
        <v>0.9516</v>
      </c>
      <c r="F182" s="32">
        <v>951</v>
      </c>
      <c r="G182" s="33"/>
      <c r="H182" s="30">
        <v>17.2</v>
      </c>
      <c r="I182" s="34">
        <v>3.7839</v>
      </c>
      <c r="J182" s="35">
        <v>0.15892000000000001</v>
      </c>
      <c r="L182" s="30">
        <v>17.2</v>
      </c>
      <c r="M182" s="172">
        <v>7.9240000000000004</v>
      </c>
      <c r="N182" s="173">
        <v>0.12619</v>
      </c>
      <c r="P182" s="30">
        <v>17.2</v>
      </c>
      <c r="Q182" s="172">
        <v>3.9622000000000002</v>
      </c>
      <c r="R182" s="173">
        <v>0.16641</v>
      </c>
      <c r="T182" s="30">
        <v>17.2</v>
      </c>
      <c r="U182" s="172">
        <v>252.38</v>
      </c>
      <c r="V182" s="173">
        <v>6.0090000000000003</v>
      </c>
      <c r="X182" s="30">
        <v>17.2</v>
      </c>
      <c r="Y182" s="34">
        <v>3.5377000000000001</v>
      </c>
      <c r="Z182" s="35">
        <v>0.14857999999999996</v>
      </c>
      <c r="AA182" s="36"/>
      <c r="AB182" s="30">
        <v>17.2</v>
      </c>
      <c r="AC182" s="44">
        <v>282.67</v>
      </c>
      <c r="AD182" s="35">
        <v>6.73</v>
      </c>
      <c r="AE182" s="36"/>
      <c r="AF182" s="30">
        <v>17.2</v>
      </c>
      <c r="AG182" s="34">
        <v>3.5945</v>
      </c>
      <c r="AH182" s="35">
        <v>0.15096999999999999</v>
      </c>
      <c r="AI182" s="35"/>
      <c r="AJ182" s="35">
        <v>0.11259</v>
      </c>
      <c r="AK182" s="998">
        <v>67.8</v>
      </c>
      <c r="AM182" s="30">
        <v>17.2</v>
      </c>
      <c r="AN182" s="34">
        <v>0.95499999999999996</v>
      </c>
      <c r="AO182" s="35">
        <v>1.0696000000000001</v>
      </c>
      <c r="AQ182" s="197">
        <v>0.82199999999999995</v>
      </c>
      <c r="AR182" s="200">
        <v>40.64</v>
      </c>
      <c r="AS182" s="199">
        <v>821.6</v>
      </c>
      <c r="AZ182" s="197">
        <v>0.82199999999999995</v>
      </c>
      <c r="BA182" s="198">
        <v>6.8440000000000003</v>
      </c>
      <c r="BB182" s="199">
        <v>0.14610999999999999</v>
      </c>
      <c r="BD182" s="197">
        <v>0.82199999999999995</v>
      </c>
      <c r="BE182" s="198">
        <v>3.4220000000000002</v>
      </c>
      <c r="BF182" s="199">
        <v>0.14371999999999999</v>
      </c>
      <c r="BH182" s="197">
        <v>0.82199999999999995</v>
      </c>
      <c r="BI182" s="198">
        <v>292.23</v>
      </c>
      <c r="BJ182" s="199">
        <v>6.9580000000000002</v>
      </c>
      <c r="BL182" s="197">
        <v>0.82199999999999995</v>
      </c>
      <c r="BM182" s="198">
        <v>3.0552999999999999</v>
      </c>
      <c r="BN182" s="199">
        <v>0.12831999999999999</v>
      </c>
      <c r="BP182" s="197">
        <v>0.82199999999999995</v>
      </c>
      <c r="BQ182" s="200">
        <v>327.29000000000002</v>
      </c>
      <c r="BR182" s="199">
        <v>7.7930000000000001</v>
      </c>
      <c r="BT182" s="197">
        <v>0.82199999999999995</v>
      </c>
      <c r="BU182" s="201">
        <v>1.1056999999999999</v>
      </c>
      <c r="BV182" s="202">
        <v>1.2383</v>
      </c>
      <c r="BX182" s="37">
        <v>822</v>
      </c>
      <c r="BY182" s="38">
        <v>0.82240000000000002</v>
      </c>
      <c r="BZ182" s="39">
        <v>40.56</v>
      </c>
      <c r="CA182" s="33"/>
      <c r="CB182" s="37">
        <v>822</v>
      </c>
      <c r="CC182" s="38">
        <v>0.15891</v>
      </c>
      <c r="CD182" s="42">
        <v>6.2930000000000001</v>
      </c>
      <c r="CE182" s="33"/>
      <c r="CF182" s="33"/>
      <c r="CG182" s="33"/>
      <c r="CH182" s="33"/>
      <c r="CI182" s="33"/>
      <c r="CJ182" s="33"/>
      <c r="CK182" s="33"/>
      <c r="CL182" s="40">
        <v>822</v>
      </c>
      <c r="CM182" s="43">
        <v>820.9</v>
      </c>
      <c r="CN182" s="41">
        <v>1.2181999999999999</v>
      </c>
      <c r="CO182" s="33"/>
      <c r="CP182" s="40">
        <v>822</v>
      </c>
      <c r="CQ182" s="34">
        <v>0.90490000000000004</v>
      </c>
      <c r="CR182" s="41">
        <v>0.80789999999999995</v>
      </c>
      <c r="CS182" s="33"/>
      <c r="CT182" s="40">
        <v>822</v>
      </c>
      <c r="CU182" s="44">
        <v>321.95999999999998</v>
      </c>
      <c r="CV182" s="42">
        <v>7.6660000000000004</v>
      </c>
    </row>
    <row r="183" spans="4:100">
      <c r="D183" s="30">
        <v>17.3</v>
      </c>
      <c r="E183" s="31">
        <v>0.95089999999999997</v>
      </c>
      <c r="F183" s="32">
        <v>950.4</v>
      </c>
      <c r="G183" s="33"/>
      <c r="H183" s="30">
        <v>17.3</v>
      </c>
      <c r="I183" s="34">
        <v>3.7839</v>
      </c>
      <c r="J183" s="35">
        <v>0.15892000000000001</v>
      </c>
      <c r="L183" s="30">
        <v>17.3</v>
      </c>
      <c r="M183" s="172">
        <v>7.9189999999999996</v>
      </c>
      <c r="N183" s="173">
        <v>0.12628</v>
      </c>
      <c r="P183" s="30">
        <v>17.3</v>
      </c>
      <c r="Q183" s="172">
        <v>3.9596</v>
      </c>
      <c r="R183" s="173">
        <v>0.1663</v>
      </c>
      <c r="T183" s="30">
        <v>17.3</v>
      </c>
      <c r="U183" s="172">
        <v>252.55</v>
      </c>
      <c r="V183" s="173">
        <v>6.0129999999999999</v>
      </c>
      <c r="X183" s="30">
        <v>17.3</v>
      </c>
      <c r="Y183" s="34">
        <v>3.5352999999999999</v>
      </c>
      <c r="Z183" s="35">
        <v>0.14847999999999995</v>
      </c>
      <c r="AA183" s="36"/>
      <c r="AB183" s="30">
        <v>17.3</v>
      </c>
      <c r="AC183" s="44">
        <v>282.86</v>
      </c>
      <c r="AD183" s="35">
        <v>6.7350000000000003</v>
      </c>
      <c r="AE183" s="36"/>
      <c r="AF183" s="30">
        <v>17.3</v>
      </c>
      <c r="AG183" s="34">
        <v>3.5920999999999998</v>
      </c>
      <c r="AH183" s="35">
        <v>0.15087</v>
      </c>
      <c r="AI183" s="35"/>
      <c r="AJ183" s="35">
        <v>0.11265</v>
      </c>
      <c r="AK183" s="998">
        <v>67.7</v>
      </c>
      <c r="AM183" s="30">
        <v>17.3</v>
      </c>
      <c r="AN183" s="34">
        <v>0.9556</v>
      </c>
      <c r="AO183" s="35">
        <v>1.0703</v>
      </c>
      <c r="AQ183" s="197">
        <v>0.82299999999999995</v>
      </c>
      <c r="AR183" s="200">
        <v>40.43</v>
      </c>
      <c r="AS183" s="199">
        <v>822.6</v>
      </c>
      <c r="AZ183" s="197">
        <v>0.82299999999999995</v>
      </c>
      <c r="BA183" s="198">
        <v>6.8522999999999996</v>
      </c>
      <c r="BB183" s="199">
        <v>0.14593999999999999</v>
      </c>
      <c r="BD183" s="197">
        <v>0.82299999999999995</v>
      </c>
      <c r="BE183" s="198">
        <v>3.4262000000000001</v>
      </c>
      <c r="BF183" s="199">
        <v>0.1439</v>
      </c>
      <c r="BH183" s="197">
        <v>0.82299999999999995</v>
      </c>
      <c r="BI183" s="198">
        <v>291.87</v>
      </c>
      <c r="BJ183" s="199">
        <v>6.9489999999999998</v>
      </c>
      <c r="BL183" s="197">
        <v>0.82299999999999995</v>
      </c>
      <c r="BM183" s="198">
        <v>3.0590999999999999</v>
      </c>
      <c r="BN183" s="199">
        <v>0.12848000000000001</v>
      </c>
      <c r="BP183" s="197">
        <v>0.82299999999999995</v>
      </c>
      <c r="BQ183" s="200">
        <v>326.89999999999998</v>
      </c>
      <c r="BR183" s="199">
        <v>7.7830000000000004</v>
      </c>
      <c r="BT183" s="197">
        <v>0.82299999999999995</v>
      </c>
      <c r="BU183" s="201">
        <v>1.1043000000000001</v>
      </c>
      <c r="BV183" s="202">
        <v>1.2367999999999999</v>
      </c>
      <c r="BX183" s="37">
        <v>823</v>
      </c>
      <c r="BY183" s="38">
        <v>0.82340000000000002</v>
      </c>
      <c r="BZ183" s="39">
        <v>40.35</v>
      </c>
      <c r="CA183" s="33"/>
      <c r="CB183" s="37">
        <v>823</v>
      </c>
      <c r="CC183" s="38">
        <v>0.15891</v>
      </c>
      <c r="CD183" s="42">
        <v>6.2930000000000001</v>
      </c>
      <c r="CE183" s="33"/>
      <c r="CF183" s="33"/>
      <c r="CG183" s="33"/>
      <c r="CH183" s="33"/>
      <c r="CI183" s="33"/>
      <c r="CJ183" s="33"/>
      <c r="CK183" s="33"/>
      <c r="CL183" s="40">
        <v>823</v>
      </c>
      <c r="CM183" s="43">
        <v>821.9</v>
      </c>
      <c r="CN183" s="41">
        <v>1.2166999999999999</v>
      </c>
      <c r="CO183" s="33"/>
      <c r="CP183" s="40">
        <v>823</v>
      </c>
      <c r="CQ183" s="34">
        <v>0.90600000000000003</v>
      </c>
      <c r="CR183" s="41">
        <v>0.80889999999999995</v>
      </c>
      <c r="CS183" s="33"/>
      <c r="CT183" s="40">
        <v>823</v>
      </c>
      <c r="CU183" s="44">
        <v>321.57</v>
      </c>
      <c r="CV183" s="42">
        <v>7.6559999999999997</v>
      </c>
    </row>
    <row r="184" spans="4:100">
      <c r="D184" s="30">
        <v>17.399999999999999</v>
      </c>
      <c r="E184" s="31">
        <v>0.95030000000000003</v>
      </c>
      <c r="F184" s="32">
        <v>949.7</v>
      </c>
      <c r="G184" s="33"/>
      <c r="H184" s="30">
        <v>17.399999999999999</v>
      </c>
      <c r="I184" s="34">
        <v>3.7839</v>
      </c>
      <c r="J184" s="35">
        <v>0.15892000000000001</v>
      </c>
      <c r="L184" s="30">
        <v>17.399999999999999</v>
      </c>
      <c r="M184" s="172">
        <v>7.9139999999999997</v>
      </c>
      <c r="N184" s="173">
        <v>0.12636</v>
      </c>
      <c r="P184" s="30">
        <v>17.399999999999999</v>
      </c>
      <c r="Q184" s="172">
        <v>3.9569000000000001</v>
      </c>
      <c r="R184" s="173">
        <v>0.16619</v>
      </c>
      <c r="T184" s="30">
        <v>17.399999999999999</v>
      </c>
      <c r="U184" s="172">
        <v>252.72</v>
      </c>
      <c r="V184" s="173">
        <v>6.0170000000000003</v>
      </c>
      <c r="X184" s="30">
        <v>17.399999999999999</v>
      </c>
      <c r="Y184" s="34">
        <v>3.5329999999999999</v>
      </c>
      <c r="Z184" s="35">
        <v>0.14837999999999993</v>
      </c>
      <c r="AA184" s="36"/>
      <c r="AB184" s="30">
        <v>17.399999999999999</v>
      </c>
      <c r="AC184" s="44">
        <v>283.05</v>
      </c>
      <c r="AD184" s="35">
        <v>6.7389999999999999</v>
      </c>
      <c r="AE184" s="36"/>
      <c r="AF184" s="30">
        <v>17.399999999999999</v>
      </c>
      <c r="AG184" s="34">
        <v>3.5895999999999999</v>
      </c>
      <c r="AH184" s="35">
        <v>0.15076999999999999</v>
      </c>
      <c r="AI184" s="35"/>
      <c r="AJ184" s="35">
        <v>0.11269999999999999</v>
      </c>
      <c r="AK184" s="998">
        <v>67.599999999999994</v>
      </c>
      <c r="AM184" s="30">
        <v>17.399999999999999</v>
      </c>
      <c r="AN184" s="34">
        <v>0.95630000000000004</v>
      </c>
      <c r="AO184" s="35">
        <v>1.071</v>
      </c>
      <c r="AQ184" s="197">
        <v>0.82399999999999995</v>
      </c>
      <c r="AR184" s="200">
        <v>40.22</v>
      </c>
      <c r="AS184" s="199">
        <v>823.6</v>
      </c>
      <c r="AZ184" s="197">
        <v>0.82399999999999995</v>
      </c>
      <c r="BA184" s="198">
        <v>6.8606999999999996</v>
      </c>
      <c r="BB184" s="199">
        <v>0.14576</v>
      </c>
      <c r="BD184" s="197">
        <v>0.82399999999999995</v>
      </c>
      <c r="BE184" s="198">
        <v>3.4302999999999999</v>
      </c>
      <c r="BF184" s="199">
        <v>0.14407</v>
      </c>
      <c r="BH184" s="197">
        <v>0.82399999999999995</v>
      </c>
      <c r="BI184" s="198">
        <v>291.52</v>
      </c>
      <c r="BJ184" s="199">
        <v>6.9409999999999998</v>
      </c>
      <c r="BL184" s="197">
        <v>0.82399999999999995</v>
      </c>
      <c r="BM184" s="198">
        <v>3.0628000000000002</v>
      </c>
      <c r="BN184" s="199">
        <v>0.12864</v>
      </c>
      <c r="BP184" s="197">
        <v>0.82399999999999995</v>
      </c>
      <c r="BQ184" s="200">
        <v>326.5</v>
      </c>
      <c r="BR184" s="199">
        <v>7.774</v>
      </c>
      <c r="BT184" s="197">
        <v>0.82399999999999995</v>
      </c>
      <c r="BU184" s="201">
        <v>1.103</v>
      </c>
      <c r="BV184" s="202">
        <v>1.2353000000000001</v>
      </c>
      <c r="BX184" s="37">
        <v>824</v>
      </c>
      <c r="BY184" s="38">
        <v>0.82440000000000002</v>
      </c>
      <c r="BZ184" s="39">
        <v>40.14</v>
      </c>
      <c r="CA184" s="33"/>
      <c r="CB184" s="37">
        <v>824</v>
      </c>
      <c r="CC184" s="38">
        <v>0.15891</v>
      </c>
      <c r="CD184" s="42">
        <v>6.2930000000000001</v>
      </c>
      <c r="CE184" s="33"/>
      <c r="CF184" s="33"/>
      <c r="CG184" s="33"/>
      <c r="CH184" s="33"/>
      <c r="CI184" s="33"/>
      <c r="CJ184" s="33"/>
      <c r="CK184" s="33"/>
      <c r="CL184" s="40">
        <v>824</v>
      </c>
      <c r="CM184" s="43">
        <v>822.9</v>
      </c>
      <c r="CN184" s="41">
        <v>1.2152000000000001</v>
      </c>
      <c r="CO184" s="33"/>
      <c r="CP184" s="40">
        <v>824</v>
      </c>
      <c r="CQ184" s="34">
        <v>0.90710000000000002</v>
      </c>
      <c r="CR184" s="41">
        <v>0.80989999999999995</v>
      </c>
      <c r="CS184" s="33"/>
      <c r="CT184" s="40">
        <v>824</v>
      </c>
      <c r="CU184" s="44">
        <v>321.18</v>
      </c>
      <c r="CV184" s="42">
        <v>7.6470000000000002</v>
      </c>
    </row>
    <row r="185" spans="4:100">
      <c r="D185" s="30">
        <v>17.5</v>
      </c>
      <c r="E185" s="31">
        <v>0.94969999999999999</v>
      </c>
      <c r="F185" s="32">
        <v>949.1</v>
      </c>
      <c r="G185" s="33"/>
      <c r="H185" s="30">
        <v>17.5</v>
      </c>
      <c r="I185" s="34">
        <v>3.7839</v>
      </c>
      <c r="J185" s="35">
        <v>0.15892000000000001</v>
      </c>
      <c r="L185" s="30">
        <v>17.5</v>
      </c>
      <c r="M185" s="172">
        <v>7.9080000000000004</v>
      </c>
      <c r="N185" s="173">
        <v>0.12645000000000001</v>
      </c>
      <c r="P185" s="30">
        <v>17.5</v>
      </c>
      <c r="Q185" s="172">
        <v>3.9542000000000002</v>
      </c>
      <c r="R185" s="173">
        <v>0.16608000000000001</v>
      </c>
      <c r="T185" s="30">
        <v>17.5</v>
      </c>
      <c r="U185" s="172">
        <v>252.89</v>
      </c>
      <c r="V185" s="173">
        <v>6.0210000000000097</v>
      </c>
      <c r="X185" s="30">
        <v>17.5</v>
      </c>
      <c r="Y185" s="34">
        <v>3.5306000000000002</v>
      </c>
      <c r="Z185" s="35">
        <v>0.14827999999999991</v>
      </c>
      <c r="AA185" s="36"/>
      <c r="AB185" s="30">
        <v>17.5</v>
      </c>
      <c r="AC185" s="44">
        <v>283.24</v>
      </c>
      <c r="AD185" s="35">
        <v>6.7439999999999998</v>
      </c>
      <c r="AE185" s="36"/>
      <c r="AF185" s="30">
        <v>17.5</v>
      </c>
      <c r="AG185" s="34">
        <v>3.5872000000000002</v>
      </c>
      <c r="AH185" s="35">
        <v>0.15065999999999999</v>
      </c>
      <c r="AI185" s="35"/>
      <c r="AJ185" s="35">
        <v>0.11276</v>
      </c>
      <c r="AK185" s="998">
        <v>67.5</v>
      </c>
      <c r="AM185" s="30">
        <v>17.5</v>
      </c>
      <c r="AN185" s="34">
        <v>0.95689999999999997</v>
      </c>
      <c r="AO185" s="35">
        <v>1.0718000000000001</v>
      </c>
      <c r="AQ185" s="197">
        <v>0.82499999999999996</v>
      </c>
      <c r="AR185" s="200">
        <v>40.020000000000003</v>
      </c>
      <c r="AS185" s="199">
        <v>824.6</v>
      </c>
      <c r="AZ185" s="197">
        <v>0.82499999999999996</v>
      </c>
      <c r="BA185" s="198">
        <v>6.8689999999999998</v>
      </c>
      <c r="BB185" s="199">
        <v>0.14557999999999999</v>
      </c>
      <c r="BD185" s="197">
        <v>0.82499999999999996</v>
      </c>
      <c r="BE185" s="198">
        <v>3.4344999999999999</v>
      </c>
      <c r="BF185" s="199">
        <v>0.14424999999999999</v>
      </c>
      <c r="BH185" s="197">
        <v>0.82499999999999996</v>
      </c>
      <c r="BI185" s="198">
        <v>291.16000000000003</v>
      </c>
      <c r="BJ185" s="199">
        <v>6.9320000000000004</v>
      </c>
      <c r="BL185" s="197">
        <v>0.82499999999999996</v>
      </c>
      <c r="BM185" s="198">
        <v>3.0665</v>
      </c>
      <c r="BN185" s="199">
        <v>0.12878999999999999</v>
      </c>
      <c r="BP185" s="197">
        <v>0.82499999999999996</v>
      </c>
      <c r="BQ185" s="200">
        <v>326.10000000000002</v>
      </c>
      <c r="BR185" s="199">
        <v>7.7640000000000002</v>
      </c>
      <c r="BT185" s="197">
        <v>0.82499999999999996</v>
      </c>
      <c r="BU185" s="201">
        <v>1.1015999999999999</v>
      </c>
      <c r="BV185" s="202">
        <v>1.2338</v>
      </c>
      <c r="BX185" s="37">
        <v>825</v>
      </c>
      <c r="BY185" s="38">
        <v>0.82540000000000002</v>
      </c>
      <c r="BZ185" s="39">
        <v>39.93</v>
      </c>
      <c r="CA185" s="33"/>
      <c r="CB185" s="37">
        <v>825</v>
      </c>
      <c r="CC185" s="38">
        <v>0.15891</v>
      </c>
      <c r="CD185" s="42">
        <v>6.2930000000000001</v>
      </c>
      <c r="CE185" s="33"/>
      <c r="CF185" s="33"/>
      <c r="CG185" s="33"/>
      <c r="CH185" s="33"/>
      <c r="CI185" s="33"/>
      <c r="CJ185" s="33"/>
      <c r="CK185" s="33"/>
      <c r="CL185" s="40">
        <v>825</v>
      </c>
      <c r="CM185" s="43">
        <v>823.9</v>
      </c>
      <c r="CN185" s="41">
        <v>1.2137</v>
      </c>
      <c r="CO185" s="33"/>
      <c r="CP185" s="40">
        <v>825</v>
      </c>
      <c r="CQ185" s="34">
        <v>0.90820000000000001</v>
      </c>
      <c r="CR185" s="41">
        <v>0.81089999999999995</v>
      </c>
      <c r="CS185" s="33"/>
      <c r="CT185" s="40">
        <v>825</v>
      </c>
      <c r="CU185" s="44">
        <v>320.79000000000002</v>
      </c>
      <c r="CV185" s="42">
        <v>7.6379999999999999</v>
      </c>
    </row>
    <row r="186" spans="4:100">
      <c r="D186" s="30">
        <v>17.600000000000001</v>
      </c>
      <c r="E186" s="31">
        <v>0.94899999999999995</v>
      </c>
      <c r="F186" s="32">
        <v>948.5</v>
      </c>
      <c r="G186" s="33"/>
      <c r="H186" s="30">
        <v>17.600000000000001</v>
      </c>
      <c r="I186" s="34">
        <v>3.7839</v>
      </c>
      <c r="J186" s="35">
        <v>0.15892000000000001</v>
      </c>
      <c r="L186" s="30">
        <v>17.600000000000001</v>
      </c>
      <c r="M186" s="172">
        <v>7.9029999999999996</v>
      </c>
      <c r="N186" s="173">
        <v>0.12653</v>
      </c>
      <c r="P186" s="30">
        <v>17.600000000000001</v>
      </c>
      <c r="Q186" s="172">
        <v>3.9516</v>
      </c>
      <c r="R186" s="173">
        <v>0.16597000000000001</v>
      </c>
      <c r="T186" s="30">
        <v>17.600000000000001</v>
      </c>
      <c r="U186" s="172">
        <v>253.06</v>
      </c>
      <c r="V186" s="173">
        <v>6.0250000000000101</v>
      </c>
      <c r="X186" s="30">
        <v>17.600000000000001</v>
      </c>
      <c r="Y186" s="34">
        <v>3.5282</v>
      </c>
      <c r="Z186" s="35">
        <v>0.1481799999999999</v>
      </c>
      <c r="AA186" s="36"/>
      <c r="AB186" s="30">
        <v>17.600000000000001</v>
      </c>
      <c r="AC186" s="44">
        <v>283.43</v>
      </c>
      <c r="AD186" s="35">
        <v>6.7480000000000002</v>
      </c>
      <c r="AE186" s="36"/>
      <c r="AF186" s="30">
        <v>17.600000000000001</v>
      </c>
      <c r="AG186" s="34">
        <v>3.5848</v>
      </c>
      <c r="AH186" s="35">
        <v>0.15056</v>
      </c>
      <c r="AI186" s="35"/>
      <c r="AJ186" s="35">
        <v>0.11282</v>
      </c>
      <c r="AK186" s="998">
        <v>67.400000000000006</v>
      </c>
      <c r="AM186" s="30">
        <v>17.600000000000001</v>
      </c>
      <c r="AN186" s="34">
        <v>0.95760000000000001</v>
      </c>
      <c r="AO186" s="35">
        <v>1.0725</v>
      </c>
      <c r="AQ186" s="197">
        <v>0.82599999999999996</v>
      </c>
      <c r="AR186" s="200">
        <v>39.81</v>
      </c>
      <c r="AS186" s="199">
        <v>825.6</v>
      </c>
      <c r="AZ186" s="197">
        <v>0.82599999999999996</v>
      </c>
      <c r="BA186" s="198">
        <v>6.8773</v>
      </c>
      <c r="BB186" s="199">
        <v>0.14541000000000001</v>
      </c>
      <c r="BD186" s="197">
        <v>0.82599999999999996</v>
      </c>
      <c r="BE186" s="198">
        <v>3.4386999999999999</v>
      </c>
      <c r="BF186" s="199">
        <v>0.14441999999999999</v>
      </c>
      <c r="BH186" s="197">
        <v>0.82599999999999996</v>
      </c>
      <c r="BI186" s="198">
        <v>290.81</v>
      </c>
      <c r="BJ186" s="199">
        <v>6.9240000000000004</v>
      </c>
      <c r="BL186" s="197">
        <v>0.82599999999999996</v>
      </c>
      <c r="BM186" s="198">
        <v>3.0701999999999998</v>
      </c>
      <c r="BN186" s="199">
        <v>0.12895000000000001</v>
      </c>
      <c r="BP186" s="197">
        <v>0.82599999999999996</v>
      </c>
      <c r="BQ186" s="200">
        <v>325.70999999999998</v>
      </c>
      <c r="BR186" s="199">
        <v>7.7549999999999999</v>
      </c>
      <c r="BT186" s="197">
        <v>0.82599999999999996</v>
      </c>
      <c r="BU186" s="201">
        <v>1.1003000000000001</v>
      </c>
      <c r="BV186" s="202">
        <v>1.2323</v>
      </c>
      <c r="BX186" s="37">
        <v>826</v>
      </c>
      <c r="BY186" s="38">
        <v>0.82640000000000002</v>
      </c>
      <c r="BZ186" s="39">
        <v>39.72</v>
      </c>
      <c r="CA186" s="33"/>
      <c r="CB186" s="37">
        <v>826</v>
      </c>
      <c r="CC186" s="38">
        <v>0.15891</v>
      </c>
      <c r="CD186" s="42">
        <v>6.2930000000000001</v>
      </c>
      <c r="CE186" s="33"/>
      <c r="CF186" s="33"/>
      <c r="CG186" s="33"/>
      <c r="CH186" s="33"/>
      <c r="CI186" s="33"/>
      <c r="CJ186" s="33"/>
      <c r="CK186" s="33"/>
      <c r="CL186" s="40">
        <v>826</v>
      </c>
      <c r="CM186" s="43">
        <v>824.9</v>
      </c>
      <c r="CN186" s="41">
        <v>1.2122999999999999</v>
      </c>
      <c r="CO186" s="33"/>
      <c r="CP186" s="40">
        <v>826</v>
      </c>
      <c r="CQ186" s="34">
        <v>0.9093</v>
      </c>
      <c r="CR186" s="41">
        <v>0.81189999999999996</v>
      </c>
      <c r="CS186" s="33"/>
      <c r="CT186" s="40">
        <v>826</v>
      </c>
      <c r="CU186" s="44">
        <v>320.39999999999998</v>
      </c>
      <c r="CV186" s="42">
        <v>7.6289999999999996</v>
      </c>
    </row>
    <row r="187" spans="4:100">
      <c r="D187" s="30">
        <v>17.7</v>
      </c>
      <c r="E187" s="31">
        <v>0.94840000000000002</v>
      </c>
      <c r="F187" s="32">
        <v>947.8</v>
      </c>
      <c r="G187" s="33"/>
      <c r="H187" s="30">
        <v>17.7</v>
      </c>
      <c r="I187" s="34">
        <v>3.7839</v>
      </c>
      <c r="J187" s="35">
        <v>0.15892000000000001</v>
      </c>
      <c r="L187" s="30">
        <v>17.7</v>
      </c>
      <c r="M187" s="172">
        <v>7.8979999999999997</v>
      </c>
      <c r="N187" s="173">
        <v>0.12662000000000001</v>
      </c>
      <c r="P187" s="30">
        <v>17.7</v>
      </c>
      <c r="Q187" s="172">
        <v>3.9489000000000001</v>
      </c>
      <c r="R187" s="173">
        <v>0.16586000000000001</v>
      </c>
      <c r="T187" s="30">
        <v>17.7</v>
      </c>
      <c r="U187" s="172">
        <v>253.23</v>
      </c>
      <c r="V187" s="173">
        <v>6.0290000000000097</v>
      </c>
      <c r="X187" s="30">
        <v>17.7</v>
      </c>
      <c r="Y187" s="34">
        <v>3.5257999999999998</v>
      </c>
      <c r="Z187" s="35">
        <v>0.14809</v>
      </c>
      <c r="AA187" s="36"/>
      <c r="AB187" s="30">
        <v>17.7</v>
      </c>
      <c r="AC187" s="44">
        <v>283.62</v>
      </c>
      <c r="AD187" s="35">
        <v>6.7530000000000001</v>
      </c>
      <c r="AE187" s="36"/>
      <c r="AF187" s="30">
        <v>17.7</v>
      </c>
      <c r="AG187" s="34">
        <v>3.5823999999999998</v>
      </c>
      <c r="AH187" s="35">
        <v>0.15046000000000001</v>
      </c>
      <c r="AI187" s="35"/>
      <c r="AJ187" s="35">
        <v>0.11287</v>
      </c>
      <c r="AK187" s="998">
        <v>67.3</v>
      </c>
      <c r="AM187" s="30">
        <v>17.7</v>
      </c>
      <c r="AN187" s="34">
        <v>0.95820000000000005</v>
      </c>
      <c r="AO187" s="35">
        <v>1.0731999999999999</v>
      </c>
      <c r="AQ187" s="197">
        <v>0.82699999999999996</v>
      </c>
      <c r="AR187" s="200">
        <v>39.6</v>
      </c>
      <c r="AS187" s="199">
        <v>826.6</v>
      </c>
      <c r="AZ187" s="197">
        <v>0.82699999999999996</v>
      </c>
      <c r="BA187" s="198">
        <v>6.8856999999999999</v>
      </c>
      <c r="BB187" s="199">
        <v>0.14523</v>
      </c>
      <c r="BD187" s="197">
        <v>0.82699999999999996</v>
      </c>
      <c r="BE187" s="198">
        <v>3.4428000000000001</v>
      </c>
      <c r="BF187" s="199">
        <v>0.14460000000000001</v>
      </c>
      <c r="BH187" s="197">
        <v>0.82699999999999996</v>
      </c>
      <c r="BI187" s="198">
        <v>290.45999999999998</v>
      </c>
      <c r="BJ187" s="199">
        <v>6.9160000000000004</v>
      </c>
      <c r="BL187" s="197">
        <v>0.82699999999999996</v>
      </c>
      <c r="BM187" s="198">
        <v>3.0739999999999998</v>
      </c>
      <c r="BN187" s="199">
        <v>0.12911</v>
      </c>
      <c r="BP187" s="197">
        <v>0.82699999999999996</v>
      </c>
      <c r="BQ187" s="200">
        <v>325.31</v>
      </c>
      <c r="BR187" s="199">
        <v>7.7460000000000004</v>
      </c>
      <c r="BT187" s="197">
        <v>0.82699999999999996</v>
      </c>
      <c r="BU187" s="201">
        <v>1.099</v>
      </c>
      <c r="BV187" s="202">
        <v>1.2307999999999999</v>
      </c>
      <c r="BX187" s="37">
        <v>827</v>
      </c>
      <c r="BY187" s="38">
        <v>0.82740000000000002</v>
      </c>
      <c r="BZ187" s="39">
        <v>39.51</v>
      </c>
      <c r="CA187" s="33"/>
      <c r="CB187" s="37">
        <v>827</v>
      </c>
      <c r="CC187" s="38">
        <v>0.15891</v>
      </c>
      <c r="CD187" s="42">
        <v>6.2930000000000001</v>
      </c>
      <c r="CE187" s="33"/>
      <c r="CF187" s="33"/>
      <c r="CG187" s="33"/>
      <c r="CH187" s="33"/>
      <c r="CI187" s="33"/>
      <c r="CJ187" s="33"/>
      <c r="CK187" s="33"/>
      <c r="CL187" s="40">
        <v>827</v>
      </c>
      <c r="CM187" s="43">
        <v>825.9</v>
      </c>
      <c r="CN187" s="41">
        <v>1.2108000000000001</v>
      </c>
      <c r="CO187" s="33"/>
      <c r="CP187" s="40">
        <v>827</v>
      </c>
      <c r="CQ187" s="34">
        <v>0.91039999999999999</v>
      </c>
      <c r="CR187" s="41">
        <v>0.81289999999999996</v>
      </c>
      <c r="CS187" s="33"/>
      <c r="CT187" s="40">
        <v>827</v>
      </c>
      <c r="CU187" s="44">
        <v>320.01</v>
      </c>
      <c r="CV187" s="42">
        <v>7.6189999999999998</v>
      </c>
    </row>
    <row r="188" spans="4:100">
      <c r="D188" s="30">
        <v>17.8</v>
      </c>
      <c r="E188" s="31">
        <v>0.94779999999999998</v>
      </c>
      <c r="F188" s="32">
        <v>947.2</v>
      </c>
      <c r="G188" s="33"/>
      <c r="H188" s="30">
        <v>17.8</v>
      </c>
      <c r="I188" s="34">
        <v>3.7839</v>
      </c>
      <c r="J188" s="35">
        <v>0.15892000000000001</v>
      </c>
      <c r="L188" s="30">
        <v>17.8</v>
      </c>
      <c r="M188" s="172">
        <v>7.8929999999999998</v>
      </c>
      <c r="N188" s="173">
        <v>0.12670000000000001</v>
      </c>
      <c r="P188" s="30">
        <v>17.8</v>
      </c>
      <c r="Q188" s="172">
        <v>3.9462999999999999</v>
      </c>
      <c r="R188" s="173">
        <v>0.16574</v>
      </c>
      <c r="T188" s="30">
        <v>17.8</v>
      </c>
      <c r="U188" s="172">
        <v>253.4</v>
      </c>
      <c r="V188" s="173">
        <v>6.0330000000000101</v>
      </c>
      <c r="X188" s="30">
        <v>17.8</v>
      </c>
      <c r="Y188" s="34">
        <v>3.5234999999999999</v>
      </c>
      <c r="Z188" s="35">
        <v>0.14799000000000001</v>
      </c>
      <c r="AA188" s="36"/>
      <c r="AB188" s="30">
        <v>17.8</v>
      </c>
      <c r="AC188" s="44">
        <v>283.81</v>
      </c>
      <c r="AD188" s="35">
        <v>6.7569999999999997</v>
      </c>
      <c r="AE188" s="36"/>
      <c r="AF188" s="30">
        <v>17.8</v>
      </c>
      <c r="AG188" s="34">
        <v>3.58</v>
      </c>
      <c r="AH188" s="35">
        <v>0.15035999999999999</v>
      </c>
      <c r="AI188" s="35"/>
      <c r="AJ188" s="35">
        <v>0.11293</v>
      </c>
      <c r="AK188" s="998">
        <v>67.2</v>
      </c>
      <c r="AM188" s="30">
        <v>17.8</v>
      </c>
      <c r="AN188" s="34">
        <v>0.95879999999999999</v>
      </c>
      <c r="AO188" s="35">
        <v>1.0739000000000001</v>
      </c>
      <c r="AQ188" s="197">
        <v>0.82799999999999996</v>
      </c>
      <c r="AR188" s="200">
        <v>39.39</v>
      </c>
      <c r="AS188" s="199">
        <v>827.6</v>
      </c>
      <c r="AZ188" s="197">
        <v>0.82799999999999996</v>
      </c>
      <c r="BA188" s="198">
        <v>6.8940000000000001</v>
      </c>
      <c r="BB188" s="199">
        <v>0.14505000000000001</v>
      </c>
      <c r="BD188" s="197">
        <v>0.82799999999999996</v>
      </c>
      <c r="BE188" s="198">
        <v>3.4470000000000001</v>
      </c>
      <c r="BF188" s="199">
        <v>0.14477000000000001</v>
      </c>
      <c r="BH188" s="197">
        <v>0.82799999999999996</v>
      </c>
      <c r="BI188" s="198">
        <v>290.11</v>
      </c>
      <c r="BJ188" s="199">
        <v>6.907</v>
      </c>
      <c r="BL188" s="197">
        <v>0.82799999999999996</v>
      </c>
      <c r="BM188" s="198">
        <v>3.0777000000000001</v>
      </c>
      <c r="BN188" s="199">
        <v>0.12926000000000001</v>
      </c>
      <c r="BP188" s="197">
        <v>0.82799999999999996</v>
      </c>
      <c r="BQ188" s="200">
        <v>324.92</v>
      </c>
      <c r="BR188" s="199">
        <v>7.7359999999999998</v>
      </c>
      <c r="BT188" s="197">
        <v>0.82799999999999996</v>
      </c>
      <c r="BU188" s="201">
        <v>1.0975999999999999</v>
      </c>
      <c r="BV188" s="202">
        <v>1.2294</v>
      </c>
      <c r="BX188" s="37">
        <v>828</v>
      </c>
      <c r="BY188" s="38">
        <v>0.82840000000000003</v>
      </c>
      <c r="BZ188" s="39">
        <v>39.31</v>
      </c>
      <c r="CA188" s="33"/>
      <c r="CB188" s="37">
        <v>828</v>
      </c>
      <c r="CC188" s="38">
        <v>0.15891</v>
      </c>
      <c r="CD188" s="42">
        <v>6.2930000000000001</v>
      </c>
      <c r="CE188" s="33"/>
      <c r="CF188" s="33"/>
      <c r="CG188" s="33"/>
      <c r="CH188" s="33"/>
      <c r="CI188" s="33"/>
      <c r="CJ188" s="33"/>
      <c r="CK188" s="33"/>
      <c r="CL188" s="40">
        <v>828</v>
      </c>
      <c r="CM188" s="43">
        <v>826.9</v>
      </c>
      <c r="CN188" s="41">
        <v>1.2093</v>
      </c>
      <c r="CO188" s="33"/>
      <c r="CP188" s="40">
        <v>828</v>
      </c>
      <c r="CQ188" s="34">
        <v>0.91149999999999998</v>
      </c>
      <c r="CR188" s="41">
        <v>0.81379999999999997</v>
      </c>
      <c r="CS188" s="33"/>
      <c r="CT188" s="40">
        <v>828</v>
      </c>
      <c r="CU188" s="44">
        <v>319.62</v>
      </c>
      <c r="CV188" s="42">
        <v>7.61</v>
      </c>
    </row>
    <row r="189" spans="4:100">
      <c r="D189" s="30">
        <v>17.899999999999999</v>
      </c>
      <c r="E189" s="31">
        <v>0.94710000000000005</v>
      </c>
      <c r="F189" s="32">
        <v>946.6</v>
      </c>
      <c r="G189" s="33"/>
      <c r="H189" s="30">
        <v>17.899999999999999</v>
      </c>
      <c r="I189" s="34">
        <v>3.7839</v>
      </c>
      <c r="J189" s="35">
        <v>0.15892000000000001</v>
      </c>
      <c r="L189" s="30">
        <v>17.899999999999999</v>
      </c>
      <c r="M189" s="172">
        <v>7.8869999999999996</v>
      </c>
      <c r="N189" s="173">
        <v>0.12679000000000001</v>
      </c>
      <c r="P189" s="30">
        <v>17.899999999999999</v>
      </c>
      <c r="Q189" s="172">
        <v>3.9436</v>
      </c>
      <c r="R189" s="173">
        <v>0.16563</v>
      </c>
      <c r="T189" s="30">
        <v>17.899999999999999</v>
      </c>
      <c r="U189" s="172">
        <v>253.57</v>
      </c>
      <c r="V189" s="173">
        <v>6.0370000000000097</v>
      </c>
      <c r="X189" s="30">
        <v>17.899999999999999</v>
      </c>
      <c r="Y189" s="34">
        <v>3.5211000000000001</v>
      </c>
      <c r="Z189" s="35">
        <v>0.14788999999999999</v>
      </c>
      <c r="AA189" s="36"/>
      <c r="AB189" s="30">
        <v>17.899999999999999</v>
      </c>
      <c r="AC189" s="44">
        <v>284</v>
      </c>
      <c r="AD189" s="35">
        <v>6.7619999999999996</v>
      </c>
      <c r="AE189" s="36"/>
      <c r="AF189" s="30">
        <v>17.899999999999999</v>
      </c>
      <c r="AG189" s="34">
        <v>3.5775999999999999</v>
      </c>
      <c r="AH189" s="35">
        <v>0.15026</v>
      </c>
      <c r="AI189" s="35"/>
      <c r="AJ189" s="35">
        <v>0.11298999999999999</v>
      </c>
      <c r="AK189" s="998">
        <v>67.099999999999994</v>
      </c>
      <c r="AM189" s="30">
        <v>17.899999999999999</v>
      </c>
      <c r="AN189" s="34">
        <v>0.95950000000000002</v>
      </c>
      <c r="AO189" s="35">
        <v>1.0746</v>
      </c>
      <c r="AQ189" s="197">
        <v>0.82899999999999996</v>
      </c>
      <c r="AR189" s="200">
        <v>39.19</v>
      </c>
      <c r="AS189" s="199">
        <v>828.6</v>
      </c>
      <c r="AZ189" s="197">
        <v>0.82899999999999996</v>
      </c>
      <c r="BA189" s="198">
        <v>6.9023000000000003</v>
      </c>
      <c r="BB189" s="199">
        <v>0.14488000000000001</v>
      </c>
      <c r="BD189" s="197">
        <v>0.82899999999999996</v>
      </c>
      <c r="BE189" s="198">
        <v>3.4512</v>
      </c>
      <c r="BF189" s="199">
        <v>0.14495</v>
      </c>
      <c r="BH189" s="197">
        <v>0.82899999999999996</v>
      </c>
      <c r="BI189" s="198">
        <v>289.76</v>
      </c>
      <c r="BJ189" s="199">
        <v>6.899</v>
      </c>
      <c r="BL189" s="197">
        <v>0.82899999999999996</v>
      </c>
      <c r="BM189" s="198">
        <v>3.0813999999999999</v>
      </c>
      <c r="BN189" s="199">
        <v>0.12942000000000001</v>
      </c>
      <c r="BP189" s="197">
        <v>0.82899999999999996</v>
      </c>
      <c r="BQ189" s="200">
        <v>324.52999999999997</v>
      </c>
      <c r="BR189" s="199">
        <v>7.7270000000000003</v>
      </c>
      <c r="BT189" s="197">
        <v>0.82899999999999996</v>
      </c>
      <c r="BU189" s="201">
        <v>1.0963000000000001</v>
      </c>
      <c r="BV189" s="202">
        <v>1.2279</v>
      </c>
      <c r="BX189" s="37">
        <v>829</v>
      </c>
      <c r="BY189" s="38">
        <v>0.82940000000000003</v>
      </c>
      <c r="BZ189" s="39">
        <v>39.1</v>
      </c>
      <c r="CA189" s="33"/>
      <c r="CB189" s="37">
        <v>829</v>
      </c>
      <c r="CC189" s="38">
        <v>0.15891</v>
      </c>
      <c r="CD189" s="42">
        <v>6.2930000000000001</v>
      </c>
      <c r="CE189" s="33"/>
      <c r="CF189" s="33"/>
      <c r="CG189" s="33"/>
      <c r="CH189" s="33"/>
      <c r="CI189" s="33"/>
      <c r="CJ189" s="33"/>
      <c r="CK189" s="33"/>
      <c r="CL189" s="40">
        <v>829</v>
      </c>
      <c r="CM189" s="43">
        <v>827.9</v>
      </c>
      <c r="CN189" s="41">
        <v>1.2079</v>
      </c>
      <c r="CO189" s="33"/>
      <c r="CP189" s="40">
        <v>829</v>
      </c>
      <c r="CQ189" s="34">
        <v>0.91259999999999997</v>
      </c>
      <c r="CR189" s="41">
        <v>0.81479999999999997</v>
      </c>
      <c r="CS189" s="33"/>
      <c r="CT189" s="40">
        <v>829</v>
      </c>
      <c r="CU189" s="44">
        <v>319.24</v>
      </c>
      <c r="CV189" s="42">
        <v>7.601</v>
      </c>
    </row>
    <row r="190" spans="4:100">
      <c r="D190" s="30">
        <v>18</v>
      </c>
      <c r="E190" s="31">
        <v>0.94650000000000001</v>
      </c>
      <c r="F190" s="32">
        <v>945.9</v>
      </c>
      <c r="G190" s="33"/>
      <c r="H190" s="30">
        <v>18</v>
      </c>
      <c r="I190" s="34">
        <v>3.7839</v>
      </c>
      <c r="J190" s="35">
        <v>0.15892000000000001</v>
      </c>
      <c r="L190" s="30">
        <v>18</v>
      </c>
      <c r="M190" s="172">
        <v>7.8819999999999997</v>
      </c>
      <c r="N190" s="173">
        <v>0.12687000000000001</v>
      </c>
      <c r="P190" s="30">
        <v>18</v>
      </c>
      <c r="Q190" s="172">
        <v>3.9409999999999998</v>
      </c>
      <c r="R190" s="173">
        <v>0.16552</v>
      </c>
      <c r="T190" s="30">
        <v>18</v>
      </c>
      <c r="U190" s="172">
        <v>253.74</v>
      </c>
      <c r="V190" s="173">
        <v>6.0410000000000101</v>
      </c>
      <c r="X190" s="30">
        <v>18</v>
      </c>
      <c r="Y190" s="34">
        <v>3.5188000000000001</v>
      </c>
      <c r="Z190" s="35">
        <v>0.14779</v>
      </c>
      <c r="AA190" s="36"/>
      <c r="AB190" s="30">
        <v>18</v>
      </c>
      <c r="AC190" s="44">
        <v>284.19</v>
      </c>
      <c r="AD190" s="35">
        <v>6.766</v>
      </c>
      <c r="AE190" s="36"/>
      <c r="AF190" s="30">
        <v>18</v>
      </c>
      <c r="AG190" s="34">
        <v>3.5752000000000002</v>
      </c>
      <c r="AH190" s="35">
        <v>0.15015999999999999</v>
      </c>
      <c r="AI190" s="35"/>
      <c r="AJ190" s="35">
        <v>0.11304</v>
      </c>
      <c r="AK190" s="998">
        <v>67</v>
      </c>
      <c r="AM190" s="30">
        <v>18</v>
      </c>
      <c r="AN190" s="34">
        <v>0.96009999999999995</v>
      </c>
      <c r="AO190" s="35">
        <v>1.0752999999999999</v>
      </c>
      <c r="AQ190" s="197">
        <v>0.83</v>
      </c>
      <c r="AR190" s="200">
        <v>38.979999999999997</v>
      </c>
      <c r="AS190" s="199">
        <v>829.6</v>
      </c>
      <c r="AZ190" s="197">
        <v>0.83</v>
      </c>
      <c r="BA190" s="198">
        <v>6.9107000000000003</v>
      </c>
      <c r="BB190" s="199">
        <v>0.1447</v>
      </c>
      <c r="BD190" s="197">
        <v>0.83</v>
      </c>
      <c r="BE190" s="198">
        <v>3.4552999999999998</v>
      </c>
      <c r="BF190" s="199">
        <v>0.14512</v>
      </c>
      <c r="BH190" s="197">
        <v>0.83</v>
      </c>
      <c r="BI190" s="198">
        <v>289.41000000000003</v>
      </c>
      <c r="BJ190" s="199">
        <v>6.891</v>
      </c>
      <c r="BL190" s="197">
        <v>0.83</v>
      </c>
      <c r="BM190" s="198">
        <v>3.0851000000000002</v>
      </c>
      <c r="BN190" s="199">
        <v>0.12958</v>
      </c>
      <c r="BP190" s="197">
        <v>0.83</v>
      </c>
      <c r="BQ190" s="200">
        <v>324.14</v>
      </c>
      <c r="BR190" s="199">
        <v>7.718</v>
      </c>
      <c r="BT190" s="197">
        <v>0.83</v>
      </c>
      <c r="BU190" s="201">
        <v>1.095</v>
      </c>
      <c r="BV190" s="202">
        <v>1.2263999999999999</v>
      </c>
      <c r="BX190" s="37">
        <v>830</v>
      </c>
      <c r="BY190" s="38">
        <v>0.83040000000000003</v>
      </c>
      <c r="BZ190" s="39">
        <v>38.9</v>
      </c>
      <c r="CA190" s="33"/>
      <c r="CB190" s="37">
        <v>830</v>
      </c>
      <c r="CC190" s="38">
        <v>0.15891</v>
      </c>
      <c r="CD190" s="42">
        <v>6.2930000000000001</v>
      </c>
      <c r="CE190" s="33"/>
      <c r="CF190" s="33"/>
      <c r="CG190" s="33"/>
      <c r="CH190" s="33"/>
      <c r="CI190" s="33"/>
      <c r="CJ190" s="33"/>
      <c r="CK190" s="33"/>
      <c r="CL190" s="40">
        <v>830</v>
      </c>
      <c r="CM190" s="43">
        <v>828.9</v>
      </c>
      <c r="CN190" s="41">
        <v>1.2063999999999999</v>
      </c>
      <c r="CO190" s="33"/>
      <c r="CP190" s="40">
        <v>830</v>
      </c>
      <c r="CQ190" s="34">
        <v>0.91369999999999996</v>
      </c>
      <c r="CR190" s="41">
        <v>0.81579999999999997</v>
      </c>
      <c r="CS190" s="33"/>
      <c r="CT190" s="40">
        <v>830</v>
      </c>
      <c r="CU190" s="44">
        <v>318.85000000000002</v>
      </c>
      <c r="CV190" s="42">
        <v>7.5919999999999996</v>
      </c>
    </row>
    <row r="191" spans="4:100">
      <c r="D191" s="30">
        <v>18.100000000000001</v>
      </c>
      <c r="E191" s="31">
        <v>0.94589999999999996</v>
      </c>
      <c r="F191" s="32">
        <v>945.3</v>
      </c>
      <c r="G191" s="33"/>
      <c r="H191" s="30">
        <v>18.100000000000001</v>
      </c>
      <c r="I191" s="34">
        <v>3.7839</v>
      </c>
      <c r="J191" s="35">
        <v>0.15892000000000001</v>
      </c>
      <c r="L191" s="30">
        <v>18.100000000000001</v>
      </c>
      <c r="M191" s="172">
        <v>7.8769999999999998</v>
      </c>
      <c r="N191" s="173">
        <v>0.12695999999999999</v>
      </c>
      <c r="P191" s="30">
        <v>18.100000000000001</v>
      </c>
      <c r="Q191" s="172">
        <v>3.9384000000000001</v>
      </c>
      <c r="R191" s="173">
        <v>0.16541</v>
      </c>
      <c r="T191" s="30">
        <v>18.100000000000001</v>
      </c>
      <c r="U191" s="172">
        <v>253.91</v>
      </c>
      <c r="V191" s="173">
        <v>6.0460000000000003</v>
      </c>
      <c r="X191" s="30">
        <v>18.100000000000001</v>
      </c>
      <c r="Y191" s="34">
        <v>3.5164</v>
      </c>
      <c r="Z191" s="35">
        <v>0.14769000000000002</v>
      </c>
      <c r="AA191" s="36"/>
      <c r="AB191" s="30">
        <v>18.100000000000001</v>
      </c>
      <c r="AC191" s="44">
        <v>284.38</v>
      </c>
      <c r="AD191" s="35">
        <v>6.7709999999999999</v>
      </c>
      <c r="AE191" s="36"/>
      <c r="AF191" s="30">
        <v>18.100000000000001</v>
      </c>
      <c r="AG191" s="34">
        <v>3.5728</v>
      </c>
      <c r="AH191" s="35">
        <v>0.15006</v>
      </c>
      <c r="AI191" s="35"/>
      <c r="AJ191" s="35">
        <v>0.11310000000000001</v>
      </c>
      <c r="AK191" s="998">
        <v>66.900000000000006</v>
      </c>
      <c r="AM191" s="30">
        <v>18.100000000000001</v>
      </c>
      <c r="AN191" s="34">
        <v>0.96079999999999999</v>
      </c>
      <c r="AO191" s="35">
        <v>1.0761000000000001</v>
      </c>
      <c r="AQ191" s="197">
        <v>0.83099999999999996</v>
      </c>
      <c r="AR191" s="200">
        <v>38.78</v>
      </c>
      <c r="AS191" s="199">
        <v>830.6</v>
      </c>
      <c r="AZ191" s="197">
        <v>0.83099999999999996</v>
      </c>
      <c r="BA191" s="198">
        <v>6.9189999999999996</v>
      </c>
      <c r="BB191" s="199">
        <v>0.14452999999999999</v>
      </c>
      <c r="BD191" s="197">
        <v>0.83099999999999996</v>
      </c>
      <c r="BE191" s="198">
        <v>3.4594999999999998</v>
      </c>
      <c r="BF191" s="199">
        <v>0.14530000000000001</v>
      </c>
      <c r="BH191" s="197">
        <v>0.83099999999999996</v>
      </c>
      <c r="BI191" s="198">
        <v>289.06</v>
      </c>
      <c r="BJ191" s="199">
        <v>6.8819999999999997</v>
      </c>
      <c r="BL191" s="197">
        <v>0.83099999999999996</v>
      </c>
      <c r="BM191" s="198">
        <v>3.0889000000000002</v>
      </c>
      <c r="BN191" s="199">
        <v>0.12973000000000001</v>
      </c>
      <c r="BP191" s="197">
        <v>0.83099999999999996</v>
      </c>
      <c r="BQ191" s="200">
        <v>323.75</v>
      </c>
      <c r="BR191" s="199">
        <v>7.7080000000000002</v>
      </c>
      <c r="BT191" s="197">
        <v>0.83099999999999996</v>
      </c>
      <c r="BU191" s="201">
        <v>1.0936999999999999</v>
      </c>
      <c r="BV191" s="202">
        <v>1.2249000000000001</v>
      </c>
      <c r="BX191" s="37">
        <v>831</v>
      </c>
      <c r="BY191" s="38">
        <v>0.83140000000000003</v>
      </c>
      <c r="BZ191" s="39">
        <v>38.69</v>
      </c>
      <c r="CA191" s="33"/>
      <c r="CB191" s="37">
        <v>831</v>
      </c>
      <c r="CC191" s="38">
        <v>0.15891</v>
      </c>
      <c r="CD191" s="42">
        <v>6.2930000000000001</v>
      </c>
      <c r="CE191" s="33"/>
      <c r="CF191" s="33"/>
      <c r="CG191" s="33"/>
      <c r="CH191" s="33"/>
      <c r="CI191" s="33"/>
      <c r="CJ191" s="33"/>
      <c r="CK191" s="33"/>
      <c r="CL191" s="40">
        <v>831</v>
      </c>
      <c r="CM191" s="43">
        <v>829.9</v>
      </c>
      <c r="CN191" s="41">
        <v>1.2050000000000001</v>
      </c>
      <c r="CO191" s="33"/>
      <c r="CP191" s="40">
        <v>831</v>
      </c>
      <c r="CQ191" s="34">
        <v>0.91479999999999995</v>
      </c>
      <c r="CR191" s="41">
        <v>0.81679999999999997</v>
      </c>
      <c r="CS191" s="33"/>
      <c r="CT191" s="40">
        <v>831</v>
      </c>
      <c r="CU191" s="44">
        <v>318.47000000000003</v>
      </c>
      <c r="CV191" s="42">
        <v>7.5830000000000002</v>
      </c>
    </row>
    <row r="192" spans="4:100">
      <c r="D192" s="30">
        <v>18.2</v>
      </c>
      <c r="E192" s="31">
        <v>0.94520000000000004</v>
      </c>
      <c r="F192" s="32">
        <v>944.7</v>
      </c>
      <c r="G192" s="33"/>
      <c r="H192" s="30">
        <v>18.2</v>
      </c>
      <c r="I192" s="34">
        <v>3.7839</v>
      </c>
      <c r="J192" s="35">
        <v>0.15892000000000001</v>
      </c>
      <c r="L192" s="30">
        <v>18.2</v>
      </c>
      <c r="M192" s="172">
        <v>7.8710000000000004</v>
      </c>
      <c r="N192" s="173">
        <v>0.12703999999999999</v>
      </c>
      <c r="P192" s="30">
        <v>18.2</v>
      </c>
      <c r="Q192" s="172">
        <v>3.9357000000000002</v>
      </c>
      <c r="R192" s="173">
        <v>0.1653</v>
      </c>
      <c r="T192" s="30">
        <v>18.2</v>
      </c>
      <c r="U192" s="172">
        <v>254.08</v>
      </c>
      <c r="V192" s="173">
        <v>6.05</v>
      </c>
      <c r="X192" s="30">
        <v>18.2</v>
      </c>
      <c r="Y192" s="34">
        <v>3.5139999999999998</v>
      </c>
      <c r="Z192" s="35">
        <v>0.14759000000000003</v>
      </c>
      <c r="AA192" s="36"/>
      <c r="AB192" s="30">
        <v>18.2</v>
      </c>
      <c r="AC192" s="44">
        <v>284.57</v>
      </c>
      <c r="AD192" s="35">
        <v>6.7759999999999998</v>
      </c>
      <c r="AE192" s="36"/>
      <c r="AF192" s="30">
        <v>18.2</v>
      </c>
      <c r="AG192" s="34">
        <v>3.5703999999999998</v>
      </c>
      <c r="AH192" s="35">
        <v>0.14996000000000001</v>
      </c>
      <c r="AI192" s="35"/>
      <c r="AJ192" s="35">
        <v>0.11316</v>
      </c>
      <c r="AK192" s="998">
        <v>66.8</v>
      </c>
      <c r="AM192" s="30">
        <v>18.2</v>
      </c>
      <c r="AN192" s="34">
        <v>0.96140000000000003</v>
      </c>
      <c r="AO192" s="35">
        <v>1.0768</v>
      </c>
      <c r="AQ192" s="197">
        <v>0.83199999999999996</v>
      </c>
      <c r="AR192" s="200">
        <v>38.57</v>
      </c>
      <c r="AS192" s="199">
        <v>831.6</v>
      </c>
      <c r="AZ192" s="197">
        <v>0.83199999999999996</v>
      </c>
      <c r="BA192" s="198">
        <v>6.9273999999999996</v>
      </c>
      <c r="BB192" s="199">
        <v>0.14435999999999999</v>
      </c>
      <c r="BD192" s="197">
        <v>0.83199999999999996</v>
      </c>
      <c r="BE192" s="198">
        <v>3.4636999999999998</v>
      </c>
      <c r="BF192" s="199">
        <v>0.14546999999999999</v>
      </c>
      <c r="BH192" s="197">
        <v>0.83199999999999996</v>
      </c>
      <c r="BI192" s="198">
        <v>288.70999999999998</v>
      </c>
      <c r="BJ192" s="199">
        <v>6.8739999999999997</v>
      </c>
      <c r="BL192" s="197">
        <v>0.83199999999999996</v>
      </c>
      <c r="BM192" s="198">
        <v>3.0926</v>
      </c>
      <c r="BN192" s="199">
        <v>0.12989000000000001</v>
      </c>
      <c r="BP192" s="197">
        <v>0.83199999999999996</v>
      </c>
      <c r="BQ192" s="200">
        <v>323.36</v>
      </c>
      <c r="BR192" s="199">
        <v>7.6989999999999998</v>
      </c>
      <c r="BT192" s="197">
        <v>0.83199999999999996</v>
      </c>
      <c r="BU192" s="201">
        <v>1.0924</v>
      </c>
      <c r="BV192" s="202">
        <v>1.2234</v>
      </c>
      <c r="BX192" s="37">
        <v>832</v>
      </c>
      <c r="BY192" s="38">
        <v>0.83240000000000003</v>
      </c>
      <c r="BZ192" s="39">
        <v>38.49</v>
      </c>
      <c r="CA192" s="33"/>
      <c r="CB192" s="37">
        <v>832</v>
      </c>
      <c r="CC192" s="38">
        <v>0.15891</v>
      </c>
      <c r="CD192" s="42">
        <v>6.2930000000000001</v>
      </c>
      <c r="CE192" s="33"/>
      <c r="CF192" s="33"/>
      <c r="CG192" s="33"/>
      <c r="CH192" s="33"/>
      <c r="CI192" s="33"/>
      <c r="CJ192" s="33"/>
      <c r="CK192" s="33"/>
      <c r="CL192" s="40">
        <v>832</v>
      </c>
      <c r="CM192" s="43">
        <v>830.9</v>
      </c>
      <c r="CN192" s="41">
        <v>1.2035</v>
      </c>
      <c r="CO192" s="33"/>
      <c r="CP192" s="40">
        <v>832</v>
      </c>
      <c r="CQ192" s="34">
        <v>0.91590000000000005</v>
      </c>
      <c r="CR192" s="41">
        <v>0.81779999999999997</v>
      </c>
      <c r="CS192" s="33"/>
      <c r="CT192" s="40">
        <v>832</v>
      </c>
      <c r="CU192" s="44">
        <v>318.08</v>
      </c>
      <c r="CV192" s="42">
        <v>7.5730000000000004</v>
      </c>
    </row>
    <row r="193" spans="4:100">
      <c r="D193" s="30">
        <v>18.3</v>
      </c>
      <c r="E193" s="31">
        <v>0.9446</v>
      </c>
      <c r="F193" s="32">
        <v>944</v>
      </c>
      <c r="G193" s="33"/>
      <c r="H193" s="30">
        <v>18.3</v>
      </c>
      <c r="I193" s="34">
        <v>3.7839</v>
      </c>
      <c r="J193" s="35">
        <v>0.15892000000000001</v>
      </c>
      <c r="L193" s="30">
        <v>18.3</v>
      </c>
      <c r="M193" s="172">
        <v>7.8659999999999997</v>
      </c>
      <c r="N193" s="173">
        <v>0.12712999999999999</v>
      </c>
      <c r="P193" s="30">
        <v>18.3</v>
      </c>
      <c r="Q193" s="172">
        <v>3.9331</v>
      </c>
      <c r="R193" s="173">
        <v>0.16519</v>
      </c>
      <c r="T193" s="30">
        <v>18.3</v>
      </c>
      <c r="U193" s="172">
        <v>254.25</v>
      </c>
      <c r="V193" s="173">
        <v>6.0540000000000003</v>
      </c>
      <c r="X193" s="30">
        <v>18.3</v>
      </c>
      <c r="Y193" s="34">
        <v>3.5116999999999998</v>
      </c>
      <c r="Z193" s="35">
        <v>0.14749000000000004</v>
      </c>
      <c r="AA193" s="36"/>
      <c r="AB193" s="30">
        <v>18.3</v>
      </c>
      <c r="AC193" s="44">
        <v>284.76</v>
      </c>
      <c r="AD193" s="35">
        <v>6.78</v>
      </c>
      <c r="AE193" s="36"/>
      <c r="AF193" s="30">
        <v>18.3</v>
      </c>
      <c r="AG193" s="34">
        <v>3.5680999999999998</v>
      </c>
      <c r="AH193" s="35">
        <v>0.14985999999999999</v>
      </c>
      <c r="AI193" s="35"/>
      <c r="AJ193" s="35">
        <v>0.11322</v>
      </c>
      <c r="AK193" s="998">
        <v>66.7</v>
      </c>
      <c r="AM193" s="30">
        <v>18.3</v>
      </c>
      <c r="AN193" s="34">
        <v>0.96209999999999996</v>
      </c>
      <c r="AO193" s="35">
        <v>1.0774999999999999</v>
      </c>
      <c r="AQ193" s="197">
        <v>0.83299999999999996</v>
      </c>
      <c r="AR193" s="200">
        <v>38.369999999999997</v>
      </c>
      <c r="AS193" s="199">
        <v>832.6</v>
      </c>
      <c r="AZ193" s="197">
        <v>0.83299999999999996</v>
      </c>
      <c r="BA193" s="198">
        <v>6.9356999999999998</v>
      </c>
      <c r="BB193" s="199">
        <v>0.14418</v>
      </c>
      <c r="BD193" s="197">
        <v>0.83299999999999996</v>
      </c>
      <c r="BE193" s="198">
        <v>3.4679000000000002</v>
      </c>
      <c r="BF193" s="199">
        <v>0.14565</v>
      </c>
      <c r="BH193" s="197">
        <v>0.83299999999999996</v>
      </c>
      <c r="BI193" s="198">
        <v>288.36</v>
      </c>
      <c r="BJ193" s="199">
        <v>6.8659999999999997</v>
      </c>
      <c r="BL193" s="197">
        <v>0.83299999999999996</v>
      </c>
      <c r="BM193" s="198">
        <v>3.0962999999999998</v>
      </c>
      <c r="BN193" s="199">
        <v>0.13003999999999999</v>
      </c>
      <c r="BP193" s="197">
        <v>0.83299999999999996</v>
      </c>
      <c r="BQ193" s="200">
        <v>322.97000000000003</v>
      </c>
      <c r="BR193" s="199">
        <v>7.69</v>
      </c>
      <c r="BT193" s="197">
        <v>0.83299999999999996</v>
      </c>
      <c r="BU193" s="201">
        <v>1.0911</v>
      </c>
      <c r="BV193" s="202">
        <v>1.222</v>
      </c>
      <c r="BX193" s="37">
        <v>833</v>
      </c>
      <c r="BY193" s="38">
        <v>0.83340000000000003</v>
      </c>
      <c r="BZ193" s="39">
        <v>38.28</v>
      </c>
      <c r="CA193" s="33"/>
      <c r="CB193" s="37">
        <v>833</v>
      </c>
      <c r="CC193" s="38">
        <v>0.15891</v>
      </c>
      <c r="CD193" s="42">
        <v>6.2930000000000001</v>
      </c>
      <c r="CE193" s="33"/>
      <c r="CF193" s="33"/>
      <c r="CG193" s="33"/>
      <c r="CH193" s="33"/>
      <c r="CI193" s="33"/>
      <c r="CJ193" s="33"/>
      <c r="CK193" s="33"/>
      <c r="CL193" s="40">
        <v>833</v>
      </c>
      <c r="CM193" s="43">
        <v>831.9</v>
      </c>
      <c r="CN193" s="41">
        <v>1.2020999999999999</v>
      </c>
      <c r="CO193" s="33"/>
      <c r="CP193" s="40">
        <v>833</v>
      </c>
      <c r="CQ193" s="34">
        <v>0.91700000000000004</v>
      </c>
      <c r="CR193" s="41">
        <v>0.81879999999999997</v>
      </c>
      <c r="CS193" s="33"/>
      <c r="CT193" s="40">
        <v>833</v>
      </c>
      <c r="CU193" s="44">
        <v>317.7</v>
      </c>
      <c r="CV193" s="42">
        <v>7.5640000000000001</v>
      </c>
    </row>
    <row r="194" spans="4:100">
      <c r="D194" s="30">
        <v>18.399999999999999</v>
      </c>
      <c r="E194" s="31">
        <v>0.94399999999999995</v>
      </c>
      <c r="F194" s="32">
        <v>943.4</v>
      </c>
      <c r="G194" s="33"/>
      <c r="H194" s="30">
        <v>18.399999999999999</v>
      </c>
      <c r="I194" s="34">
        <v>3.7839</v>
      </c>
      <c r="J194" s="35">
        <v>0.15892000000000001</v>
      </c>
      <c r="L194" s="30">
        <v>18.399999999999999</v>
      </c>
      <c r="M194" s="172">
        <v>7.8609999999999998</v>
      </c>
      <c r="N194" s="173">
        <v>0.12720999999999999</v>
      </c>
      <c r="P194" s="30">
        <v>18.399999999999999</v>
      </c>
      <c r="Q194" s="172">
        <v>3.9304999999999999</v>
      </c>
      <c r="R194" s="173">
        <v>0.16508</v>
      </c>
      <c r="T194" s="30">
        <v>18.399999999999999</v>
      </c>
      <c r="U194" s="172">
        <v>254.42</v>
      </c>
      <c r="V194" s="173">
        <v>6.0579999999999998</v>
      </c>
      <c r="X194" s="30">
        <v>18.399999999999999</v>
      </c>
      <c r="Y194" s="34">
        <v>3.5093999999999999</v>
      </c>
      <c r="Z194" s="35">
        <v>0.14739000000000005</v>
      </c>
      <c r="AA194" s="36"/>
      <c r="AB194" s="30">
        <v>18.399999999999999</v>
      </c>
      <c r="AC194" s="44">
        <v>284.95</v>
      </c>
      <c r="AD194" s="35">
        <v>6.7850000000000001</v>
      </c>
      <c r="AE194" s="36"/>
      <c r="AF194" s="30">
        <v>18.399999999999999</v>
      </c>
      <c r="AG194" s="34">
        <v>3.5657000000000001</v>
      </c>
      <c r="AH194" s="35">
        <v>0.14976</v>
      </c>
      <c r="AI194" s="35"/>
      <c r="AJ194" s="35">
        <v>0.11327</v>
      </c>
      <c r="AK194" s="998">
        <v>66.599999999999994</v>
      </c>
      <c r="AM194" s="30">
        <v>18.399999999999999</v>
      </c>
      <c r="AN194" s="34">
        <v>0.9627</v>
      </c>
      <c r="AO194" s="35">
        <v>1.0782</v>
      </c>
      <c r="AQ194" s="197">
        <v>0.83399999999999996</v>
      </c>
      <c r="AR194" s="200">
        <v>38.159999999999997</v>
      </c>
      <c r="AS194" s="199">
        <v>833.6</v>
      </c>
      <c r="AZ194" s="197">
        <v>0.83399999999999996</v>
      </c>
      <c r="BA194" s="198">
        <v>6.944</v>
      </c>
      <c r="BB194" s="199">
        <v>0.14401</v>
      </c>
      <c r="BD194" s="197">
        <v>0.83399999999999996</v>
      </c>
      <c r="BE194" s="198">
        <v>3.472</v>
      </c>
      <c r="BF194" s="199">
        <v>0.14582000000000001</v>
      </c>
      <c r="BH194" s="197">
        <v>0.83399999999999996</v>
      </c>
      <c r="BI194" s="198">
        <v>288.02</v>
      </c>
      <c r="BJ194" s="199">
        <v>6.8579999999999997</v>
      </c>
      <c r="BL194" s="197">
        <v>0.83399999999999996</v>
      </c>
      <c r="BM194" s="198">
        <v>3.1</v>
      </c>
      <c r="BN194" s="199">
        <v>0.13020000000000001</v>
      </c>
      <c r="BP194" s="197">
        <v>0.83399999999999996</v>
      </c>
      <c r="BQ194" s="200">
        <v>322.58</v>
      </c>
      <c r="BR194" s="199">
        <v>7.68</v>
      </c>
      <c r="BT194" s="197">
        <v>0.83399999999999996</v>
      </c>
      <c r="BU194" s="201">
        <v>1.0896999999999999</v>
      </c>
      <c r="BV194" s="202">
        <v>1.2204999999999999</v>
      </c>
      <c r="BX194" s="37">
        <v>834</v>
      </c>
      <c r="BY194" s="38">
        <v>0.83440000000000003</v>
      </c>
      <c r="BZ194" s="39">
        <v>38.08</v>
      </c>
      <c r="CA194" s="33"/>
      <c r="CB194" s="37">
        <v>834</v>
      </c>
      <c r="CC194" s="38">
        <v>0.15891</v>
      </c>
      <c r="CD194" s="42">
        <v>6.2930000000000001</v>
      </c>
      <c r="CE194" s="33"/>
      <c r="CF194" s="33"/>
      <c r="CG194" s="33"/>
      <c r="CH194" s="33"/>
      <c r="CI194" s="33"/>
      <c r="CJ194" s="33"/>
      <c r="CK194" s="33"/>
      <c r="CL194" s="40">
        <v>834</v>
      </c>
      <c r="CM194" s="43">
        <v>832.9</v>
      </c>
      <c r="CN194" s="41">
        <v>1.2005999999999999</v>
      </c>
      <c r="CO194" s="33"/>
      <c r="CP194" s="40">
        <v>834</v>
      </c>
      <c r="CQ194" s="34">
        <v>0.91810000000000003</v>
      </c>
      <c r="CR194" s="41">
        <v>0.81979999999999997</v>
      </c>
      <c r="CS194" s="33"/>
      <c r="CT194" s="40">
        <v>834</v>
      </c>
      <c r="CU194" s="44">
        <v>317.32</v>
      </c>
      <c r="CV194" s="42">
        <v>7.5549999999999997</v>
      </c>
    </row>
    <row r="195" spans="4:100">
      <c r="D195" s="30">
        <v>18.5</v>
      </c>
      <c r="E195" s="31">
        <v>0.94330000000000003</v>
      </c>
      <c r="F195" s="32">
        <v>942.8</v>
      </c>
      <c r="G195" s="33"/>
      <c r="H195" s="30">
        <v>18.5</v>
      </c>
      <c r="I195" s="34">
        <v>3.7839</v>
      </c>
      <c r="J195" s="35">
        <v>0.15892000000000001</v>
      </c>
      <c r="L195" s="30">
        <v>18.5</v>
      </c>
      <c r="M195" s="172">
        <v>7.8559999999999999</v>
      </c>
      <c r="N195" s="173">
        <v>0.1273</v>
      </c>
      <c r="P195" s="30">
        <v>18.5</v>
      </c>
      <c r="Q195" s="172">
        <v>3.9279000000000002</v>
      </c>
      <c r="R195" s="173">
        <v>0.16497000000000001</v>
      </c>
      <c r="T195" s="30">
        <v>18.5</v>
      </c>
      <c r="U195" s="172">
        <v>254.59</v>
      </c>
      <c r="V195" s="173">
        <v>6.0620000000000003</v>
      </c>
      <c r="X195" s="30">
        <v>18.5</v>
      </c>
      <c r="Y195" s="34">
        <v>3.5070000000000001</v>
      </c>
      <c r="Z195" s="35">
        <v>0.14729000000000006</v>
      </c>
      <c r="AA195" s="36"/>
      <c r="AB195" s="30">
        <v>18.5</v>
      </c>
      <c r="AC195" s="44">
        <v>285.14</v>
      </c>
      <c r="AD195" s="35">
        <v>6.7889999999999997</v>
      </c>
      <c r="AE195" s="36"/>
      <c r="AF195" s="30">
        <v>18.5</v>
      </c>
      <c r="AG195" s="34">
        <v>3.5632999999999999</v>
      </c>
      <c r="AH195" s="35">
        <v>0.14965999999999999</v>
      </c>
      <c r="AI195" s="35"/>
      <c r="AJ195" s="35">
        <v>0.11333</v>
      </c>
      <c r="AK195" s="998">
        <v>66.5</v>
      </c>
      <c r="AM195" s="30">
        <v>18.5</v>
      </c>
      <c r="AN195" s="34">
        <v>0.96330000000000005</v>
      </c>
      <c r="AO195" s="35">
        <v>1.0789</v>
      </c>
      <c r="AQ195" s="197">
        <v>0.83499999999999996</v>
      </c>
      <c r="AR195" s="200">
        <v>37.96</v>
      </c>
      <c r="AS195" s="199">
        <v>834.6</v>
      </c>
      <c r="AZ195" s="197">
        <v>0.83499999999999996</v>
      </c>
      <c r="BA195" s="198">
        <v>6.9523999999999999</v>
      </c>
      <c r="BB195" s="199">
        <v>0.14384</v>
      </c>
      <c r="BD195" s="197">
        <v>0.83499999999999996</v>
      </c>
      <c r="BE195" s="198">
        <v>3.4762</v>
      </c>
      <c r="BF195" s="199">
        <v>0.14599999999999999</v>
      </c>
      <c r="BH195" s="197">
        <v>0.83499999999999996</v>
      </c>
      <c r="BI195" s="198">
        <v>287.67</v>
      </c>
      <c r="BJ195" s="199">
        <v>6.8490000000000002</v>
      </c>
      <c r="BL195" s="197">
        <v>0.83499999999999996</v>
      </c>
      <c r="BM195" s="198">
        <v>3.1036999999999999</v>
      </c>
      <c r="BN195" s="199">
        <v>0.13036</v>
      </c>
      <c r="BP195" s="197">
        <v>0.83499999999999996</v>
      </c>
      <c r="BQ195" s="200">
        <v>322.19</v>
      </c>
      <c r="BR195" s="199">
        <v>7.6710000000000003</v>
      </c>
      <c r="BT195" s="197">
        <v>0.83499999999999996</v>
      </c>
      <c r="BU195" s="201">
        <v>1.0884</v>
      </c>
      <c r="BV195" s="202">
        <v>1.2191000000000001</v>
      </c>
      <c r="BX195" s="37">
        <v>835</v>
      </c>
      <c r="BY195" s="38">
        <v>0.83540000000000003</v>
      </c>
      <c r="BZ195" s="39">
        <v>37.869999999999997</v>
      </c>
      <c r="CA195" s="33"/>
      <c r="CB195" s="37">
        <v>835</v>
      </c>
      <c r="CC195" s="38">
        <v>0.15891</v>
      </c>
      <c r="CD195" s="42">
        <v>6.2930000000000001</v>
      </c>
      <c r="CE195" s="33"/>
      <c r="CF195" s="33"/>
      <c r="CG195" s="33"/>
      <c r="CH195" s="33"/>
      <c r="CI195" s="33"/>
      <c r="CJ195" s="33"/>
      <c r="CK195" s="33"/>
      <c r="CL195" s="40">
        <v>835</v>
      </c>
      <c r="CM195" s="43">
        <v>833.9</v>
      </c>
      <c r="CN195" s="41">
        <v>1.1992</v>
      </c>
      <c r="CO195" s="33"/>
      <c r="CP195" s="40">
        <v>835</v>
      </c>
      <c r="CQ195" s="34">
        <v>0.91920000000000002</v>
      </c>
      <c r="CR195" s="41">
        <v>0.82069999999999999</v>
      </c>
      <c r="CS195" s="33"/>
      <c r="CT195" s="40">
        <v>835</v>
      </c>
      <c r="CU195" s="44">
        <v>316.94</v>
      </c>
      <c r="CV195" s="42">
        <v>7.5460000000000003</v>
      </c>
    </row>
    <row r="196" spans="4:100">
      <c r="D196" s="30">
        <v>18.600000000000001</v>
      </c>
      <c r="E196" s="31">
        <v>0.94269999999999998</v>
      </c>
      <c r="F196" s="32">
        <v>942.2</v>
      </c>
      <c r="G196" s="33"/>
      <c r="H196" s="30">
        <v>18.600000000000001</v>
      </c>
      <c r="I196" s="34">
        <v>3.7839</v>
      </c>
      <c r="J196" s="35">
        <v>0.15892000000000001</v>
      </c>
      <c r="L196" s="30">
        <v>18.600000000000001</v>
      </c>
      <c r="M196" s="172">
        <v>7.85</v>
      </c>
      <c r="N196" s="173">
        <v>0.12737999999999999</v>
      </c>
      <c r="P196" s="30">
        <v>18.600000000000001</v>
      </c>
      <c r="Q196" s="172">
        <v>3.9251999999999998</v>
      </c>
      <c r="R196" s="173">
        <v>0.16486000000000001</v>
      </c>
      <c r="T196" s="30">
        <v>18.600000000000001</v>
      </c>
      <c r="U196" s="172">
        <v>254.76</v>
      </c>
      <c r="V196" s="173">
        <v>6.0659999999999998</v>
      </c>
      <c r="X196" s="30">
        <v>18.600000000000001</v>
      </c>
      <c r="Y196" s="34">
        <v>3.5047000000000001</v>
      </c>
      <c r="Z196" s="35">
        <v>0.1472</v>
      </c>
      <c r="AA196" s="36"/>
      <c r="AB196" s="30">
        <v>18.600000000000001</v>
      </c>
      <c r="AC196" s="44">
        <v>285.33</v>
      </c>
      <c r="AD196" s="35">
        <v>6.7939999999999996</v>
      </c>
      <c r="AE196" s="36"/>
      <c r="AF196" s="30">
        <v>18.600000000000001</v>
      </c>
      <c r="AG196" s="34">
        <v>3.5609000000000002</v>
      </c>
      <c r="AH196" s="35">
        <v>0.14956</v>
      </c>
      <c r="AI196" s="35"/>
      <c r="AJ196" s="35">
        <v>0.11339</v>
      </c>
      <c r="AK196" s="998">
        <v>66.400000000000006</v>
      </c>
      <c r="AM196" s="30">
        <v>18.600000000000001</v>
      </c>
      <c r="AN196" s="34">
        <v>0.96399999999999997</v>
      </c>
      <c r="AO196" s="35">
        <v>1.0797000000000001</v>
      </c>
      <c r="AQ196" s="197">
        <v>0.83599999999999997</v>
      </c>
      <c r="AR196" s="200">
        <v>37.76</v>
      </c>
      <c r="AS196" s="199">
        <v>835.6</v>
      </c>
      <c r="AZ196" s="197">
        <v>0.83599999999999997</v>
      </c>
      <c r="BA196" s="198">
        <v>6.9607000000000001</v>
      </c>
      <c r="BB196" s="199">
        <v>0.14366000000000001</v>
      </c>
      <c r="BD196" s="197">
        <v>0.83599999999999997</v>
      </c>
      <c r="BE196" s="198">
        <v>3.4803999999999999</v>
      </c>
      <c r="BF196" s="199">
        <v>0.14618</v>
      </c>
      <c r="BH196" s="197">
        <v>0.83599999999999997</v>
      </c>
      <c r="BI196" s="198">
        <v>287.33</v>
      </c>
      <c r="BJ196" s="199">
        <v>6.8410000000000002</v>
      </c>
      <c r="BL196" s="197">
        <v>0.83599999999999997</v>
      </c>
      <c r="BM196" s="198">
        <v>3.1074999999999999</v>
      </c>
      <c r="BN196" s="199">
        <v>0.13050999999999999</v>
      </c>
      <c r="BP196" s="197">
        <v>0.83599999999999997</v>
      </c>
      <c r="BQ196" s="200">
        <v>321.81</v>
      </c>
      <c r="BR196" s="199">
        <v>7.6619999999999999</v>
      </c>
      <c r="BT196" s="197">
        <v>0.83599999999999997</v>
      </c>
      <c r="BU196" s="201">
        <v>1.0871</v>
      </c>
      <c r="BV196" s="202">
        <v>1.2176</v>
      </c>
      <c r="BX196" s="37">
        <v>836</v>
      </c>
      <c r="BY196" s="38">
        <v>0.83640000000000003</v>
      </c>
      <c r="BZ196" s="39">
        <v>37.67</v>
      </c>
      <c r="CA196" s="33"/>
      <c r="CB196" s="37">
        <v>836</v>
      </c>
      <c r="CC196" s="38">
        <v>0.15891</v>
      </c>
      <c r="CD196" s="42">
        <v>6.2930000000000001</v>
      </c>
      <c r="CE196" s="33"/>
      <c r="CF196" s="33"/>
      <c r="CG196" s="33"/>
      <c r="CH196" s="33"/>
      <c r="CI196" s="33"/>
      <c r="CJ196" s="33"/>
      <c r="CK196" s="33"/>
      <c r="CL196" s="40">
        <v>836</v>
      </c>
      <c r="CM196" s="43">
        <v>834.9</v>
      </c>
      <c r="CN196" s="41">
        <v>1.1977</v>
      </c>
      <c r="CO196" s="33"/>
      <c r="CP196" s="40">
        <v>836</v>
      </c>
      <c r="CQ196" s="34">
        <v>0.92030000000000001</v>
      </c>
      <c r="CR196" s="41">
        <v>0.82169999999999999</v>
      </c>
      <c r="CS196" s="33"/>
      <c r="CT196" s="40">
        <v>836</v>
      </c>
      <c r="CU196" s="44">
        <v>316.56</v>
      </c>
      <c r="CV196" s="42">
        <v>7.5369999999999999</v>
      </c>
    </row>
    <row r="197" spans="4:100">
      <c r="D197" s="30">
        <v>18.7</v>
      </c>
      <c r="E197" s="31">
        <v>0.94210000000000005</v>
      </c>
      <c r="F197" s="32">
        <v>941.5</v>
      </c>
      <c r="G197" s="33"/>
      <c r="H197" s="30">
        <v>18.7</v>
      </c>
      <c r="I197" s="34">
        <v>3.7839</v>
      </c>
      <c r="J197" s="35">
        <v>0.15892000000000001</v>
      </c>
      <c r="L197" s="30">
        <v>18.7</v>
      </c>
      <c r="M197" s="172">
        <v>7.8449999999999998</v>
      </c>
      <c r="N197" s="173">
        <v>0.12747</v>
      </c>
      <c r="P197" s="30">
        <v>18.7</v>
      </c>
      <c r="Q197" s="172">
        <v>3.9226000000000001</v>
      </c>
      <c r="R197" s="173">
        <v>0.16475000000000001</v>
      </c>
      <c r="T197" s="30">
        <v>18.7</v>
      </c>
      <c r="U197" s="172">
        <v>254.93</v>
      </c>
      <c r="V197" s="173">
        <v>6.07</v>
      </c>
      <c r="X197" s="30">
        <v>18.7</v>
      </c>
      <c r="Y197" s="34">
        <v>3.5023</v>
      </c>
      <c r="Z197" s="35">
        <v>0.14710000000000001</v>
      </c>
      <c r="AA197" s="36"/>
      <c r="AB197" s="30">
        <v>18.7</v>
      </c>
      <c r="AC197" s="44">
        <v>285.52</v>
      </c>
      <c r="AD197" s="35">
        <v>6.798</v>
      </c>
      <c r="AE197" s="36"/>
      <c r="AF197" s="30">
        <v>18.7</v>
      </c>
      <c r="AG197" s="34">
        <v>3.5585</v>
      </c>
      <c r="AH197" s="35">
        <v>0.14946000000000001</v>
      </c>
      <c r="AI197" s="35"/>
      <c r="AJ197" s="35">
        <v>0.11345</v>
      </c>
      <c r="AK197" s="998">
        <v>66.3</v>
      </c>
      <c r="AM197" s="30">
        <v>18.7</v>
      </c>
      <c r="AN197" s="34">
        <v>0.96460000000000001</v>
      </c>
      <c r="AO197" s="35">
        <v>1.0804</v>
      </c>
      <c r="AQ197" s="197">
        <v>0.83699999999999997</v>
      </c>
      <c r="AR197" s="200">
        <v>37.56</v>
      </c>
      <c r="AS197" s="199">
        <v>836.6</v>
      </c>
      <c r="AZ197" s="197">
        <v>0.83699999999999997</v>
      </c>
      <c r="BA197" s="198">
        <v>6.9691000000000001</v>
      </c>
      <c r="BB197" s="199">
        <v>0.14349000000000001</v>
      </c>
      <c r="BD197" s="197">
        <v>0.83699999999999997</v>
      </c>
      <c r="BE197" s="198">
        <v>3.4845000000000002</v>
      </c>
      <c r="BF197" s="199">
        <v>0.14635000000000001</v>
      </c>
      <c r="BH197" s="197">
        <v>0.83699999999999997</v>
      </c>
      <c r="BI197" s="198">
        <v>286.98</v>
      </c>
      <c r="BJ197" s="199">
        <v>6.8330000000000002</v>
      </c>
      <c r="BL197" s="197">
        <v>0.83699999999999997</v>
      </c>
      <c r="BM197" s="198">
        <v>3.1112000000000002</v>
      </c>
      <c r="BN197" s="199">
        <v>0.13067000000000001</v>
      </c>
      <c r="BP197" s="197">
        <v>0.83699999999999997</v>
      </c>
      <c r="BQ197" s="200">
        <v>321.42</v>
      </c>
      <c r="BR197" s="199">
        <v>7.6529999999999996</v>
      </c>
      <c r="BT197" s="197">
        <v>0.83699999999999997</v>
      </c>
      <c r="BU197" s="201">
        <v>1.0858000000000001</v>
      </c>
      <c r="BV197" s="202">
        <v>1.2161</v>
      </c>
      <c r="BX197" s="37">
        <v>837</v>
      </c>
      <c r="BY197" s="38">
        <v>0.83740000000000003</v>
      </c>
      <c r="BZ197" s="39">
        <v>37.47</v>
      </c>
      <c r="CA197" s="33"/>
      <c r="CB197" s="37">
        <v>837</v>
      </c>
      <c r="CC197" s="38">
        <v>0.15891</v>
      </c>
      <c r="CD197" s="42">
        <v>6.2930000000000001</v>
      </c>
      <c r="CE197" s="33"/>
      <c r="CF197" s="33"/>
      <c r="CG197" s="33"/>
      <c r="CH197" s="33"/>
      <c r="CI197" s="33"/>
      <c r="CJ197" s="33"/>
      <c r="CK197" s="33"/>
      <c r="CL197" s="40">
        <v>837</v>
      </c>
      <c r="CM197" s="43">
        <v>835.9</v>
      </c>
      <c r="CN197" s="41">
        <v>1.1962999999999999</v>
      </c>
      <c r="CO197" s="33"/>
      <c r="CP197" s="40">
        <v>837</v>
      </c>
      <c r="CQ197" s="34">
        <v>0.9214</v>
      </c>
      <c r="CR197" s="41">
        <v>0.82269999999999999</v>
      </c>
      <c r="CS197" s="33"/>
      <c r="CT197" s="40">
        <v>837</v>
      </c>
      <c r="CU197" s="44">
        <v>316.18</v>
      </c>
      <c r="CV197" s="42">
        <v>7.5279999999999996</v>
      </c>
    </row>
    <row r="198" spans="4:100">
      <c r="D198" s="30">
        <v>18.8</v>
      </c>
      <c r="E198" s="31">
        <v>0.9415</v>
      </c>
      <c r="F198" s="32">
        <v>940.9</v>
      </c>
      <c r="G198" s="33"/>
      <c r="H198" s="30">
        <v>18.8</v>
      </c>
      <c r="I198" s="34">
        <v>3.7839</v>
      </c>
      <c r="J198" s="35">
        <v>0.15892000000000001</v>
      </c>
      <c r="L198" s="30">
        <v>18.8</v>
      </c>
      <c r="M198" s="172">
        <v>7.84</v>
      </c>
      <c r="N198" s="173">
        <v>0.12755</v>
      </c>
      <c r="P198" s="30">
        <v>18.8</v>
      </c>
      <c r="Q198" s="172">
        <v>3.92</v>
      </c>
      <c r="R198" s="173">
        <v>0.16464000000000001</v>
      </c>
      <c r="T198" s="30">
        <v>18.8</v>
      </c>
      <c r="U198" s="172">
        <v>255.1</v>
      </c>
      <c r="V198" s="173">
        <v>6.0739999999999998</v>
      </c>
      <c r="X198" s="30">
        <v>18.8</v>
      </c>
      <c r="Y198" s="34">
        <v>3.5</v>
      </c>
      <c r="Z198" s="35">
        <v>0.14700000000000002</v>
      </c>
      <c r="AA198" s="36"/>
      <c r="AB198" s="30">
        <v>18.8</v>
      </c>
      <c r="AC198" s="44">
        <v>285.70999999999998</v>
      </c>
      <c r="AD198" s="35">
        <v>6.8029999999999999</v>
      </c>
      <c r="AE198" s="36"/>
      <c r="AF198" s="30">
        <v>18.8</v>
      </c>
      <c r="AG198" s="34">
        <v>3.5562</v>
      </c>
      <c r="AH198" s="35">
        <v>0.14935999999999999</v>
      </c>
      <c r="AI198" s="35"/>
      <c r="AJ198" s="35">
        <v>0.1135</v>
      </c>
      <c r="AK198" s="998">
        <v>66.2</v>
      </c>
      <c r="AM198" s="30">
        <v>18.8</v>
      </c>
      <c r="AN198" s="34">
        <v>0.96530000000000005</v>
      </c>
      <c r="AO198" s="35">
        <v>1.0810999999999999</v>
      </c>
      <c r="AQ198" s="197">
        <v>0.83799999999999997</v>
      </c>
      <c r="AR198" s="200">
        <v>37.35</v>
      </c>
      <c r="AS198" s="199">
        <v>837.6</v>
      </c>
      <c r="AZ198" s="197">
        <v>0.83799999999999997</v>
      </c>
      <c r="BA198" s="198">
        <v>6.9774000000000003</v>
      </c>
      <c r="BB198" s="199">
        <v>0.14332</v>
      </c>
      <c r="BD198" s="197">
        <v>0.83799999999999997</v>
      </c>
      <c r="BE198" s="198">
        <v>3.4887000000000001</v>
      </c>
      <c r="BF198" s="199">
        <v>0.14652999999999999</v>
      </c>
      <c r="BH198" s="197">
        <v>0.83799999999999997</v>
      </c>
      <c r="BI198" s="198">
        <v>286.64</v>
      </c>
      <c r="BJ198" s="199">
        <v>6.8250000000000002</v>
      </c>
      <c r="BL198" s="197">
        <v>0.83799999999999997</v>
      </c>
      <c r="BM198" s="198">
        <v>3.1149</v>
      </c>
      <c r="BN198" s="199">
        <v>0.13083</v>
      </c>
      <c r="BP198" s="197">
        <v>0.83799999999999997</v>
      </c>
      <c r="BQ198" s="200">
        <v>321.04000000000002</v>
      </c>
      <c r="BR198" s="199">
        <v>7.6440000000000001</v>
      </c>
      <c r="BT198" s="197">
        <v>0.83799999999999997</v>
      </c>
      <c r="BU198" s="201">
        <v>1.0845</v>
      </c>
      <c r="BV198" s="202">
        <v>1.2146999999999999</v>
      </c>
      <c r="BX198" s="37">
        <v>838</v>
      </c>
      <c r="BY198" s="38">
        <v>0.83840000000000003</v>
      </c>
      <c r="BZ198" s="39">
        <v>37.270000000000003</v>
      </c>
      <c r="CA198" s="33"/>
      <c r="CB198" s="37">
        <v>838</v>
      </c>
      <c r="CC198" s="38">
        <v>0.15891</v>
      </c>
      <c r="CD198" s="42">
        <v>6.2930000000000001</v>
      </c>
      <c r="CE198" s="33"/>
      <c r="CF198" s="33"/>
      <c r="CG198" s="33"/>
      <c r="CH198" s="33"/>
      <c r="CI198" s="33"/>
      <c r="CJ198" s="33"/>
      <c r="CK198" s="33"/>
      <c r="CL198" s="40">
        <v>838</v>
      </c>
      <c r="CM198" s="43">
        <v>836.9</v>
      </c>
      <c r="CN198" s="41">
        <v>1.1949000000000001</v>
      </c>
      <c r="CO198" s="33"/>
      <c r="CP198" s="40">
        <v>838</v>
      </c>
      <c r="CQ198" s="34">
        <v>0.92249999999999999</v>
      </c>
      <c r="CR198" s="41">
        <v>0.82369999999999999</v>
      </c>
      <c r="CS198" s="33"/>
      <c r="CT198" s="40">
        <v>838</v>
      </c>
      <c r="CU198" s="44">
        <v>315.8</v>
      </c>
      <c r="CV198" s="42">
        <v>7.5190000000000001</v>
      </c>
    </row>
    <row r="199" spans="4:100">
      <c r="D199" s="30">
        <v>18.899999999999999</v>
      </c>
      <c r="E199" s="31">
        <v>0.94079999999999997</v>
      </c>
      <c r="F199" s="32">
        <v>940.3</v>
      </c>
      <c r="G199" s="33"/>
      <c r="H199" s="30">
        <v>18.899999999999999</v>
      </c>
      <c r="I199" s="34">
        <v>3.7839</v>
      </c>
      <c r="J199" s="35">
        <v>0.15892000000000001</v>
      </c>
      <c r="L199" s="30">
        <v>18.899999999999999</v>
      </c>
      <c r="M199" s="172">
        <v>7.835</v>
      </c>
      <c r="N199" s="173">
        <v>0.12764</v>
      </c>
      <c r="P199" s="30">
        <v>18.899999999999999</v>
      </c>
      <c r="Q199" s="172">
        <v>3.9174000000000002</v>
      </c>
      <c r="R199" s="173">
        <v>0.16453000000000001</v>
      </c>
      <c r="T199" s="30">
        <v>18.899999999999999</v>
      </c>
      <c r="U199" s="172">
        <v>255.27</v>
      </c>
      <c r="V199" s="173">
        <v>6.0780000000000003</v>
      </c>
      <c r="X199" s="30">
        <v>18.899999999999999</v>
      </c>
      <c r="Y199" s="34">
        <v>3.4977</v>
      </c>
      <c r="Z199" s="35">
        <v>0.14690000000000003</v>
      </c>
      <c r="AA199" s="36"/>
      <c r="AB199" s="30">
        <v>18.899999999999999</v>
      </c>
      <c r="AC199" s="44">
        <v>285.89999999999998</v>
      </c>
      <c r="AD199" s="35">
        <v>6.8070000000000004</v>
      </c>
      <c r="AE199" s="36"/>
      <c r="AF199" s="30">
        <v>18.899999999999999</v>
      </c>
      <c r="AG199" s="34">
        <v>3.5537999999999998</v>
      </c>
      <c r="AH199" s="35">
        <v>0.14926</v>
      </c>
      <c r="AI199" s="35"/>
      <c r="AJ199" s="35">
        <v>0.11355999999999999</v>
      </c>
      <c r="AK199" s="998">
        <v>66.099999999999994</v>
      </c>
      <c r="AM199" s="30">
        <v>18.899999999999999</v>
      </c>
      <c r="AN199" s="34">
        <v>0.96589999999999998</v>
      </c>
      <c r="AO199" s="35">
        <v>1.0818000000000001</v>
      </c>
      <c r="AQ199" s="197">
        <v>0.83899999999999997</v>
      </c>
      <c r="AR199" s="200">
        <v>37.15</v>
      </c>
      <c r="AS199" s="199">
        <v>838.6</v>
      </c>
      <c r="AZ199" s="197">
        <v>0.83899999999999997</v>
      </c>
      <c r="BA199" s="198">
        <v>6.9856999999999996</v>
      </c>
      <c r="BB199" s="199">
        <v>0.14315</v>
      </c>
      <c r="BD199" s="197">
        <v>0.83899999999999997</v>
      </c>
      <c r="BE199" s="198">
        <v>3.4929000000000001</v>
      </c>
      <c r="BF199" s="199">
        <v>0.1467</v>
      </c>
      <c r="BH199" s="197">
        <v>0.83899999999999997</v>
      </c>
      <c r="BI199" s="198">
        <v>286.3</v>
      </c>
      <c r="BJ199" s="199">
        <v>6.8170000000000002</v>
      </c>
      <c r="BL199" s="197">
        <v>0.83899999999999997</v>
      </c>
      <c r="BM199" s="198">
        <v>3.1185999999999998</v>
      </c>
      <c r="BN199" s="199">
        <v>0.13098000000000001</v>
      </c>
      <c r="BP199" s="197">
        <v>0.83899999999999997</v>
      </c>
      <c r="BQ199" s="200">
        <v>320.64999999999998</v>
      </c>
      <c r="BR199" s="199">
        <v>7.6349999999999998</v>
      </c>
      <c r="BT199" s="197">
        <v>0.83899999999999997</v>
      </c>
      <c r="BU199" s="201">
        <v>1.0831999999999999</v>
      </c>
      <c r="BV199" s="202">
        <v>1.2132000000000001</v>
      </c>
      <c r="BX199" s="37">
        <v>839</v>
      </c>
      <c r="BY199" s="38">
        <v>0.83940000000000003</v>
      </c>
      <c r="BZ199" s="39">
        <v>37.07</v>
      </c>
      <c r="CA199" s="33"/>
      <c r="CB199" s="37">
        <v>839</v>
      </c>
      <c r="CC199" s="38">
        <v>0.15891</v>
      </c>
      <c r="CD199" s="42">
        <v>6.2930000000000001</v>
      </c>
      <c r="CE199" s="33"/>
      <c r="CF199" s="33"/>
      <c r="CG199" s="33"/>
      <c r="CH199" s="33"/>
      <c r="CI199" s="33"/>
      <c r="CJ199" s="33"/>
      <c r="CK199" s="33"/>
      <c r="CL199" s="40">
        <v>839</v>
      </c>
      <c r="CM199" s="43">
        <v>837.9</v>
      </c>
      <c r="CN199" s="41">
        <v>1.1935</v>
      </c>
      <c r="CO199" s="33"/>
      <c r="CP199" s="40">
        <v>839</v>
      </c>
      <c r="CQ199" s="34">
        <v>0.92359999999999998</v>
      </c>
      <c r="CR199" s="41">
        <v>0.82469999999999999</v>
      </c>
      <c r="CS199" s="33"/>
      <c r="CT199" s="40">
        <v>839</v>
      </c>
      <c r="CU199" s="44">
        <v>315.42</v>
      </c>
      <c r="CV199" s="42">
        <v>7.51</v>
      </c>
    </row>
    <row r="200" spans="4:100">
      <c r="D200" s="30">
        <v>19</v>
      </c>
      <c r="E200" s="31">
        <v>0.94020000000000004</v>
      </c>
      <c r="F200" s="32">
        <v>939.7</v>
      </c>
      <c r="G200" s="33"/>
      <c r="H200" s="30">
        <v>19</v>
      </c>
      <c r="I200" s="34">
        <v>3.7839</v>
      </c>
      <c r="J200" s="35">
        <v>0.15892000000000001</v>
      </c>
      <c r="L200" s="30">
        <v>19</v>
      </c>
      <c r="M200" s="172">
        <v>7.83</v>
      </c>
      <c r="N200" s="173">
        <v>0.12772</v>
      </c>
      <c r="P200" s="30">
        <v>19</v>
      </c>
      <c r="Q200" s="172">
        <v>3.9148000000000001</v>
      </c>
      <c r="R200" s="173">
        <v>0.16442000000000001</v>
      </c>
      <c r="T200" s="30">
        <v>19</v>
      </c>
      <c r="U200" s="172">
        <v>255.44</v>
      </c>
      <c r="V200" s="173">
        <v>6.0819999999999999</v>
      </c>
      <c r="X200" s="30">
        <v>19</v>
      </c>
      <c r="Y200" s="34">
        <v>3.4952999999999999</v>
      </c>
      <c r="Z200" s="35">
        <v>0.14680000000000004</v>
      </c>
      <c r="AA200" s="36"/>
      <c r="AB200" s="30">
        <v>19</v>
      </c>
      <c r="AC200" s="44">
        <v>286.08999999999997</v>
      </c>
      <c r="AD200" s="35">
        <v>6.8120000000000003</v>
      </c>
      <c r="AE200" s="36"/>
      <c r="AF200" s="30">
        <v>19</v>
      </c>
      <c r="AG200" s="34">
        <v>3.5514000000000001</v>
      </c>
      <c r="AH200" s="35">
        <v>0.14915999999999999</v>
      </c>
      <c r="AI200" s="35"/>
      <c r="AJ200" s="35">
        <v>0.11362</v>
      </c>
      <c r="AK200" s="998">
        <v>66</v>
      </c>
      <c r="AM200" s="30">
        <v>19</v>
      </c>
      <c r="AN200" s="34">
        <v>0.96660000000000001</v>
      </c>
      <c r="AO200" s="35">
        <v>1.0825</v>
      </c>
      <c r="AQ200" s="197">
        <v>0.84</v>
      </c>
      <c r="AR200" s="200">
        <v>36.950000000000003</v>
      </c>
      <c r="AS200" s="199">
        <v>839.6</v>
      </c>
      <c r="AZ200" s="197">
        <v>0.84</v>
      </c>
      <c r="BA200" s="198">
        <v>6.9941000000000004</v>
      </c>
      <c r="BB200" s="199">
        <v>0.14298</v>
      </c>
      <c r="BD200" s="197">
        <v>0.84</v>
      </c>
      <c r="BE200" s="198">
        <v>3.4969999999999999</v>
      </c>
      <c r="BF200" s="199">
        <v>0.14688000000000001</v>
      </c>
      <c r="BH200" s="197">
        <v>0.84</v>
      </c>
      <c r="BI200" s="198">
        <v>285.95999999999998</v>
      </c>
      <c r="BJ200" s="199">
        <v>6.8079999999999998</v>
      </c>
      <c r="BL200" s="197">
        <v>0.84</v>
      </c>
      <c r="BM200" s="198">
        <v>3.1223999999999998</v>
      </c>
      <c r="BN200" s="199">
        <v>0.13114000000000001</v>
      </c>
      <c r="BP200" s="197">
        <v>0.84</v>
      </c>
      <c r="BQ200" s="200">
        <v>320.27</v>
      </c>
      <c r="BR200" s="199">
        <v>7.6260000000000003</v>
      </c>
      <c r="BT200" s="197">
        <v>0.84</v>
      </c>
      <c r="BU200" s="201">
        <v>1.0820000000000001</v>
      </c>
      <c r="BV200" s="202">
        <v>1.2118</v>
      </c>
      <c r="BX200" s="37">
        <v>840</v>
      </c>
      <c r="BY200" s="38">
        <v>0.84040000000000004</v>
      </c>
      <c r="BZ200" s="39">
        <v>36.86</v>
      </c>
      <c r="CA200" s="33"/>
      <c r="CB200" s="37">
        <v>840</v>
      </c>
      <c r="CC200" s="38">
        <v>0.15891</v>
      </c>
      <c r="CD200" s="42">
        <v>6.2930000000000001</v>
      </c>
      <c r="CE200" s="33"/>
      <c r="CF200" s="33"/>
      <c r="CG200" s="33"/>
      <c r="CH200" s="33"/>
      <c r="CI200" s="33"/>
      <c r="CJ200" s="33"/>
      <c r="CK200" s="33"/>
      <c r="CL200" s="40">
        <v>840</v>
      </c>
      <c r="CM200" s="43">
        <v>838.9</v>
      </c>
      <c r="CN200" s="41">
        <v>1.1919999999999999</v>
      </c>
      <c r="CO200" s="33"/>
      <c r="CP200" s="40">
        <v>840</v>
      </c>
      <c r="CQ200" s="34">
        <v>0.92469999999999997</v>
      </c>
      <c r="CR200" s="41">
        <v>0.82569999999999999</v>
      </c>
      <c r="CS200" s="33"/>
      <c r="CT200" s="40">
        <v>840</v>
      </c>
      <c r="CU200" s="44">
        <v>315.05</v>
      </c>
      <c r="CV200" s="42">
        <v>7.5010000000000003</v>
      </c>
    </row>
    <row r="201" spans="4:100">
      <c r="D201" s="30">
        <v>19.100000000000001</v>
      </c>
      <c r="E201" s="31">
        <v>0.93959999999999999</v>
      </c>
      <c r="F201" s="32">
        <v>939</v>
      </c>
      <c r="G201" s="33"/>
      <c r="H201" s="30">
        <v>19.100000000000001</v>
      </c>
      <c r="I201" s="34">
        <v>3.7839</v>
      </c>
      <c r="J201" s="35">
        <v>0.15892000000000001</v>
      </c>
      <c r="L201" s="30">
        <v>19.100000000000001</v>
      </c>
      <c r="M201" s="172">
        <v>7.8239999999999998</v>
      </c>
      <c r="N201" s="173">
        <v>0.12781000000000001</v>
      </c>
      <c r="P201" s="30">
        <v>19.100000000000001</v>
      </c>
      <c r="Q201" s="172">
        <v>3.9121999999999999</v>
      </c>
      <c r="R201" s="173">
        <v>0.16431000000000001</v>
      </c>
      <c r="T201" s="30">
        <v>19.100000000000001</v>
      </c>
      <c r="U201" s="172">
        <v>255.61</v>
      </c>
      <c r="V201" s="173">
        <v>6.0860000000000003</v>
      </c>
      <c r="X201" s="30">
        <v>19.100000000000001</v>
      </c>
      <c r="Y201" s="34">
        <v>3.4929999999999999</v>
      </c>
      <c r="Z201" s="35">
        <v>0.14671000000000001</v>
      </c>
      <c r="AA201" s="36"/>
      <c r="AB201" s="30">
        <v>19.100000000000001</v>
      </c>
      <c r="AC201" s="44">
        <v>286.29000000000002</v>
      </c>
      <c r="AD201" s="35">
        <v>6.8159999999999998</v>
      </c>
      <c r="AE201" s="36"/>
      <c r="AF201" s="30">
        <v>19.100000000000001</v>
      </c>
      <c r="AG201" s="34">
        <v>3.5491000000000001</v>
      </c>
      <c r="AH201" s="35">
        <v>0.14906</v>
      </c>
      <c r="AI201" s="35"/>
      <c r="AJ201" s="35">
        <v>0.11368</v>
      </c>
      <c r="AK201" s="998">
        <v>65.900000000000006</v>
      </c>
      <c r="AM201" s="30">
        <v>19.100000000000001</v>
      </c>
      <c r="AN201" s="34">
        <v>0.96719999999999995</v>
      </c>
      <c r="AO201" s="35">
        <v>1.0832999999999999</v>
      </c>
      <c r="AQ201" s="197">
        <v>0.84099999999999997</v>
      </c>
      <c r="AR201" s="200">
        <v>36.75</v>
      </c>
      <c r="AS201" s="199">
        <v>840.6</v>
      </c>
      <c r="AZ201" s="197">
        <v>0.84099999999999997</v>
      </c>
      <c r="BA201" s="198">
        <v>7.0023999999999997</v>
      </c>
      <c r="BB201" s="199">
        <v>0.14280999999999999</v>
      </c>
      <c r="BD201" s="197">
        <v>0.84099999999999997</v>
      </c>
      <c r="BE201" s="198">
        <v>3.5011999999999999</v>
      </c>
      <c r="BF201" s="199">
        <v>0.14704999999999999</v>
      </c>
      <c r="BH201" s="197">
        <v>0.84099999999999997</v>
      </c>
      <c r="BI201" s="198">
        <v>285.62</v>
      </c>
      <c r="BJ201" s="199">
        <v>6.8</v>
      </c>
      <c r="BL201" s="197">
        <v>0.84099999999999997</v>
      </c>
      <c r="BM201" s="198">
        <v>3.1261000000000001</v>
      </c>
      <c r="BN201" s="199">
        <v>0.1313</v>
      </c>
      <c r="BP201" s="197">
        <v>0.84099999999999997</v>
      </c>
      <c r="BQ201" s="200">
        <v>319.89</v>
      </c>
      <c r="BR201" s="199">
        <v>7.6159999999999997</v>
      </c>
      <c r="BT201" s="197">
        <v>0.84099999999999997</v>
      </c>
      <c r="BU201" s="201">
        <v>1.0807</v>
      </c>
      <c r="BV201" s="202">
        <v>1.2102999999999999</v>
      </c>
      <c r="BX201" s="37">
        <v>841</v>
      </c>
      <c r="BY201" s="38">
        <v>0.84140000000000004</v>
      </c>
      <c r="BZ201" s="39">
        <v>36.659999999999997</v>
      </c>
      <c r="CA201" s="33"/>
      <c r="CB201" s="37">
        <v>841</v>
      </c>
      <c r="CC201" s="38">
        <v>0.15891</v>
      </c>
      <c r="CD201" s="42">
        <v>6.2930000000000001</v>
      </c>
      <c r="CE201" s="33"/>
      <c r="CF201" s="33"/>
      <c r="CG201" s="33"/>
      <c r="CH201" s="33"/>
      <c r="CI201" s="33"/>
      <c r="CJ201" s="33"/>
      <c r="CK201" s="33"/>
      <c r="CL201" s="40">
        <v>841</v>
      </c>
      <c r="CM201" s="43">
        <v>839.9</v>
      </c>
      <c r="CN201" s="41">
        <v>1.1906000000000001</v>
      </c>
      <c r="CO201" s="33"/>
      <c r="CP201" s="40">
        <v>841</v>
      </c>
      <c r="CQ201" s="34">
        <v>0.92579999999999996</v>
      </c>
      <c r="CR201" s="41">
        <v>0.8266</v>
      </c>
      <c r="CS201" s="33"/>
      <c r="CT201" s="40">
        <v>841</v>
      </c>
      <c r="CU201" s="44">
        <v>314.67</v>
      </c>
      <c r="CV201" s="42">
        <v>7.492</v>
      </c>
    </row>
    <row r="202" spans="4:100">
      <c r="D202" s="30">
        <v>19.2</v>
      </c>
      <c r="E202" s="31">
        <v>0.93899999999999995</v>
      </c>
      <c r="F202" s="32">
        <v>938.4</v>
      </c>
      <c r="G202" s="33"/>
      <c r="H202" s="30">
        <v>19.2</v>
      </c>
      <c r="I202" s="34">
        <v>3.7839</v>
      </c>
      <c r="J202" s="35">
        <v>0.15892000000000001</v>
      </c>
      <c r="L202" s="30">
        <v>19.2</v>
      </c>
      <c r="M202" s="172">
        <v>7.819</v>
      </c>
      <c r="N202" s="173">
        <v>0.12789</v>
      </c>
      <c r="P202" s="30">
        <v>19.2</v>
      </c>
      <c r="Q202" s="172">
        <v>3.9096000000000002</v>
      </c>
      <c r="R202" s="173">
        <v>0.16420000000000001</v>
      </c>
      <c r="T202" s="30">
        <v>19.2</v>
      </c>
      <c r="U202" s="172">
        <v>255.78</v>
      </c>
      <c r="V202" s="173">
        <v>6.09</v>
      </c>
      <c r="X202" s="30">
        <v>19.2</v>
      </c>
      <c r="Y202" s="34">
        <v>3.4906999999999999</v>
      </c>
      <c r="Z202" s="35">
        <v>0.14660999999999999</v>
      </c>
      <c r="AA202" s="36"/>
      <c r="AB202" s="30">
        <v>19.2</v>
      </c>
      <c r="AC202" s="44">
        <v>286.48</v>
      </c>
      <c r="AD202" s="35">
        <v>6.8209999999999997</v>
      </c>
      <c r="AE202" s="36"/>
      <c r="AF202" s="30">
        <v>19.2</v>
      </c>
      <c r="AG202" s="34">
        <v>3.5467</v>
      </c>
      <c r="AH202" s="35">
        <v>0.14896000000000001</v>
      </c>
      <c r="AI202" s="35"/>
      <c r="AJ202" s="35">
        <v>0.11373</v>
      </c>
      <c r="AK202" s="998">
        <v>65.8</v>
      </c>
      <c r="AM202" s="30">
        <v>19.2</v>
      </c>
      <c r="AN202" s="34">
        <v>0.96779999999999999</v>
      </c>
      <c r="AO202" s="35">
        <v>1.0840000000000001</v>
      </c>
      <c r="AQ202" s="197">
        <v>0.84199999999999997</v>
      </c>
      <c r="AR202" s="200">
        <v>36.549999999999997</v>
      </c>
      <c r="AS202" s="199">
        <v>841.6</v>
      </c>
      <c r="AZ202" s="197">
        <v>0.84199999999999997</v>
      </c>
      <c r="BA202" s="198">
        <v>7.0106999999999999</v>
      </c>
      <c r="BB202" s="199">
        <v>0.14263999999999999</v>
      </c>
      <c r="BD202" s="197">
        <v>0.84199999999999997</v>
      </c>
      <c r="BE202" s="198">
        <v>3.5053999999999998</v>
      </c>
      <c r="BF202" s="199">
        <v>0.14723</v>
      </c>
      <c r="BH202" s="197">
        <v>0.84199999999999997</v>
      </c>
      <c r="BI202" s="198">
        <v>285.27999999999997</v>
      </c>
      <c r="BJ202" s="199">
        <v>6.7919999999999998</v>
      </c>
      <c r="BL202" s="197">
        <v>0.84199999999999997</v>
      </c>
      <c r="BM202" s="198">
        <v>3.1297999999999999</v>
      </c>
      <c r="BN202" s="199">
        <v>0.13145000000000001</v>
      </c>
      <c r="BP202" s="197">
        <v>0.84199999999999997</v>
      </c>
      <c r="BQ202" s="200">
        <v>319.51</v>
      </c>
      <c r="BR202" s="199">
        <v>7.6070000000000002</v>
      </c>
      <c r="BT202" s="197">
        <v>0.84199999999999997</v>
      </c>
      <c r="BU202" s="201">
        <v>1.0793999999999999</v>
      </c>
      <c r="BV202" s="202">
        <v>1.2089000000000001</v>
      </c>
      <c r="BX202" s="37">
        <v>842</v>
      </c>
      <c r="BY202" s="38">
        <v>0.84240000000000004</v>
      </c>
      <c r="BZ202" s="39">
        <v>36.46</v>
      </c>
      <c r="CA202" s="33"/>
      <c r="CB202" s="37">
        <v>842</v>
      </c>
      <c r="CC202" s="38">
        <v>0.15891</v>
      </c>
      <c r="CD202" s="42">
        <v>6.2930000000000001</v>
      </c>
      <c r="CE202" s="33"/>
      <c r="CF202" s="33"/>
      <c r="CG202" s="33"/>
      <c r="CH202" s="33"/>
      <c r="CI202" s="33"/>
      <c r="CJ202" s="33"/>
      <c r="CK202" s="33"/>
      <c r="CL202" s="40">
        <v>842</v>
      </c>
      <c r="CM202" s="43">
        <v>840.9</v>
      </c>
      <c r="CN202" s="41">
        <v>1.1892</v>
      </c>
      <c r="CO202" s="33"/>
      <c r="CP202" s="40">
        <v>842</v>
      </c>
      <c r="CQ202" s="34">
        <v>0.92689999999999995</v>
      </c>
      <c r="CR202" s="41">
        <v>0.8276</v>
      </c>
      <c r="CS202" s="33"/>
      <c r="CT202" s="40">
        <v>842</v>
      </c>
      <c r="CU202" s="44">
        <v>314.3</v>
      </c>
      <c r="CV202" s="42">
        <v>7.4829999999999997</v>
      </c>
    </row>
    <row r="203" spans="4:100">
      <c r="D203" s="30">
        <v>19.3</v>
      </c>
      <c r="E203" s="31">
        <v>0.93830000000000002</v>
      </c>
      <c r="F203" s="32">
        <v>937.8</v>
      </c>
      <c r="G203" s="33"/>
      <c r="H203" s="30">
        <v>19.3</v>
      </c>
      <c r="I203" s="34">
        <v>3.7839</v>
      </c>
      <c r="J203" s="35">
        <v>0.15892000000000001</v>
      </c>
      <c r="L203" s="30">
        <v>19.3</v>
      </c>
      <c r="M203" s="172">
        <v>7.8140000000000001</v>
      </c>
      <c r="N203" s="173">
        <v>0.12798000000000001</v>
      </c>
      <c r="P203" s="30">
        <v>19.3</v>
      </c>
      <c r="Q203" s="172">
        <v>3.907</v>
      </c>
      <c r="R203" s="173">
        <v>0.16409000000000001</v>
      </c>
      <c r="T203" s="30">
        <v>19.3</v>
      </c>
      <c r="U203" s="172">
        <v>255.95</v>
      </c>
      <c r="V203" s="173">
        <v>6.0940000000000003</v>
      </c>
      <c r="X203" s="30">
        <v>19.3</v>
      </c>
      <c r="Y203" s="34">
        <v>3.4883999999999999</v>
      </c>
      <c r="Z203" s="35">
        <v>0.14651</v>
      </c>
      <c r="AA203" s="36"/>
      <c r="AB203" s="30">
        <v>19.3</v>
      </c>
      <c r="AC203" s="44">
        <v>286.67</v>
      </c>
      <c r="AD203" s="35">
        <v>6.8250000000000002</v>
      </c>
      <c r="AE203" s="36"/>
      <c r="AF203" s="30">
        <v>19.3</v>
      </c>
      <c r="AG203" s="34">
        <v>3.5444</v>
      </c>
      <c r="AH203" s="35">
        <v>0.14885999999999999</v>
      </c>
      <c r="AI203" s="35"/>
      <c r="AJ203" s="35">
        <v>0.11379</v>
      </c>
      <c r="AK203" s="998">
        <v>65.7</v>
      </c>
      <c r="AM203" s="30">
        <v>19.3</v>
      </c>
      <c r="AN203" s="34">
        <v>0.96850000000000003</v>
      </c>
      <c r="AO203" s="35">
        <v>1.0847</v>
      </c>
      <c r="AQ203" s="197">
        <v>0.84299999999999997</v>
      </c>
      <c r="AR203" s="200">
        <v>36.35</v>
      </c>
      <c r="AS203" s="199">
        <v>842.6</v>
      </c>
      <c r="AZ203" s="197">
        <v>0.84299999999999997</v>
      </c>
      <c r="BA203" s="198">
        <v>7.0190999999999999</v>
      </c>
      <c r="BB203" s="199">
        <v>0.14247000000000001</v>
      </c>
      <c r="BD203" s="197">
        <v>0.84299999999999997</v>
      </c>
      <c r="BE203" s="198">
        <v>3.5095000000000001</v>
      </c>
      <c r="BF203" s="199">
        <v>0.1474</v>
      </c>
      <c r="BH203" s="197">
        <v>0.84299999999999997</v>
      </c>
      <c r="BI203" s="198">
        <v>284.94</v>
      </c>
      <c r="BJ203" s="199">
        <v>6.7839999999999998</v>
      </c>
      <c r="BL203" s="197">
        <v>0.84299999999999997</v>
      </c>
      <c r="BM203" s="198">
        <v>3.1335000000000002</v>
      </c>
      <c r="BN203" s="199">
        <v>0.13161</v>
      </c>
      <c r="BP203" s="197">
        <v>0.84299999999999997</v>
      </c>
      <c r="BQ203" s="200">
        <v>319.13</v>
      </c>
      <c r="BR203" s="199">
        <v>7.5979999999999999</v>
      </c>
      <c r="BT203" s="197">
        <v>0.84299999999999997</v>
      </c>
      <c r="BU203" s="201">
        <v>1.0781000000000001</v>
      </c>
      <c r="BV203" s="202">
        <v>1.2075</v>
      </c>
      <c r="BX203" s="37">
        <v>843</v>
      </c>
      <c r="BY203" s="38">
        <v>0.84340000000000004</v>
      </c>
      <c r="BZ203" s="39">
        <v>36.270000000000003</v>
      </c>
      <c r="CA203" s="33"/>
      <c r="CB203" s="37">
        <v>843</v>
      </c>
      <c r="CC203" s="38">
        <v>0.15891</v>
      </c>
      <c r="CD203" s="42">
        <v>6.2930000000000001</v>
      </c>
      <c r="CE203" s="33"/>
      <c r="CF203" s="33"/>
      <c r="CG203" s="33"/>
      <c r="CH203" s="33"/>
      <c r="CI203" s="33"/>
      <c r="CJ203" s="33"/>
      <c r="CK203" s="33"/>
      <c r="CL203" s="40">
        <v>843</v>
      </c>
      <c r="CM203" s="43">
        <v>841.9</v>
      </c>
      <c r="CN203" s="41">
        <v>1.1878</v>
      </c>
      <c r="CO203" s="33"/>
      <c r="CP203" s="40">
        <v>843</v>
      </c>
      <c r="CQ203" s="34">
        <v>0.92800000000000005</v>
      </c>
      <c r="CR203" s="41">
        <v>0.8286</v>
      </c>
      <c r="CS203" s="33"/>
      <c r="CT203" s="40">
        <v>843</v>
      </c>
      <c r="CU203" s="44">
        <v>313.92</v>
      </c>
      <c r="CV203" s="42">
        <v>7.4740000000000002</v>
      </c>
    </row>
    <row r="204" spans="4:100">
      <c r="D204" s="30">
        <v>19.399999999999999</v>
      </c>
      <c r="E204" s="31">
        <v>0.93769999999999998</v>
      </c>
      <c r="F204" s="32">
        <v>937.2</v>
      </c>
      <c r="G204" s="33"/>
      <c r="H204" s="30">
        <v>19.399999999999999</v>
      </c>
      <c r="I204" s="34">
        <v>3.7839</v>
      </c>
      <c r="J204" s="35">
        <v>0.15892000000000001</v>
      </c>
      <c r="L204" s="30">
        <v>19.399999999999999</v>
      </c>
      <c r="M204" s="172">
        <v>7.8090000000000002</v>
      </c>
      <c r="N204" s="173">
        <v>0.12806000000000001</v>
      </c>
      <c r="P204" s="30">
        <v>19.399999999999999</v>
      </c>
      <c r="Q204" s="172">
        <v>3.9043999999999999</v>
      </c>
      <c r="R204" s="173">
        <v>0.16397999999999999</v>
      </c>
      <c r="T204" s="30">
        <v>19.399999999999999</v>
      </c>
      <c r="U204" s="172">
        <v>256.12</v>
      </c>
      <c r="V204" s="173">
        <v>6.0979999999999999</v>
      </c>
      <c r="X204" s="30">
        <v>19.399999999999999</v>
      </c>
      <c r="Y204" s="34">
        <v>3.4861</v>
      </c>
      <c r="Z204" s="35">
        <v>0.14641000000000001</v>
      </c>
      <c r="AA204" s="36"/>
      <c r="AB204" s="30">
        <v>19.399999999999999</v>
      </c>
      <c r="AC204" s="44">
        <v>286.86</v>
      </c>
      <c r="AD204" s="35">
        <v>6.83</v>
      </c>
      <c r="AE204" s="36"/>
      <c r="AF204" s="30">
        <v>19.399999999999999</v>
      </c>
      <c r="AG204" s="34">
        <v>3.5419999999999998</v>
      </c>
      <c r="AH204" s="35">
        <v>0.14876</v>
      </c>
      <c r="AI204" s="35"/>
      <c r="AJ204" s="35">
        <v>0.11385000000000001</v>
      </c>
      <c r="AK204" s="998">
        <v>65.599999999999994</v>
      </c>
      <c r="AM204" s="30">
        <v>19.399999999999999</v>
      </c>
      <c r="AN204" s="34">
        <v>0.96909999999999996</v>
      </c>
      <c r="AO204" s="35">
        <v>1.0853999999999999</v>
      </c>
      <c r="AQ204" s="197">
        <v>0.84399999999999997</v>
      </c>
      <c r="AR204" s="200">
        <v>36.15</v>
      </c>
      <c r="AS204" s="199">
        <v>843.6</v>
      </c>
      <c r="AZ204" s="197">
        <v>0.84399999999999997</v>
      </c>
      <c r="BA204" s="198">
        <v>7.0274000000000001</v>
      </c>
      <c r="BB204" s="199">
        <v>0.14230000000000001</v>
      </c>
      <c r="BD204" s="197">
        <v>0.84399999999999997</v>
      </c>
      <c r="BE204" s="198">
        <v>3.5137</v>
      </c>
      <c r="BF204" s="199">
        <v>0.14757999999999999</v>
      </c>
      <c r="BH204" s="197">
        <v>0.84399999999999997</v>
      </c>
      <c r="BI204" s="198">
        <v>284.60000000000002</v>
      </c>
      <c r="BJ204" s="199">
        <v>6.7759999999999998</v>
      </c>
      <c r="BL204" s="197">
        <v>0.84399999999999997</v>
      </c>
      <c r="BM204" s="198">
        <v>3.1372</v>
      </c>
      <c r="BN204" s="199">
        <v>0.13175999999999999</v>
      </c>
      <c r="BP204" s="197">
        <v>0.84399999999999997</v>
      </c>
      <c r="BQ204" s="200">
        <v>318.75</v>
      </c>
      <c r="BR204" s="199">
        <v>7.5890000000000004</v>
      </c>
      <c r="BT204" s="197">
        <v>0.84399999999999997</v>
      </c>
      <c r="BU204" s="201">
        <v>1.0768</v>
      </c>
      <c r="BV204" s="202">
        <v>1.206</v>
      </c>
      <c r="BX204" s="37">
        <v>844</v>
      </c>
      <c r="BY204" s="38">
        <v>0.84440000000000004</v>
      </c>
      <c r="BZ204" s="39">
        <v>36.07</v>
      </c>
      <c r="CA204" s="33"/>
      <c r="CB204" s="37">
        <v>844</v>
      </c>
      <c r="CC204" s="38">
        <v>0.15891</v>
      </c>
      <c r="CD204" s="42">
        <v>6.2930000000000001</v>
      </c>
      <c r="CE204" s="33"/>
      <c r="CF204" s="33"/>
      <c r="CG204" s="33"/>
      <c r="CH204" s="33"/>
      <c r="CI204" s="33"/>
      <c r="CJ204" s="33"/>
      <c r="CK204" s="33"/>
      <c r="CL204" s="40">
        <v>844</v>
      </c>
      <c r="CM204" s="43">
        <v>842.9</v>
      </c>
      <c r="CN204" s="41">
        <v>1.1863999999999999</v>
      </c>
      <c r="CO204" s="33"/>
      <c r="CP204" s="40">
        <v>844</v>
      </c>
      <c r="CQ204" s="34">
        <v>0.92910000000000004</v>
      </c>
      <c r="CR204" s="41">
        <v>0.8296</v>
      </c>
      <c r="CS204" s="33"/>
      <c r="CT204" s="40">
        <v>844</v>
      </c>
      <c r="CU204" s="44">
        <v>313.55</v>
      </c>
      <c r="CV204" s="42">
        <v>7.4649999999999999</v>
      </c>
    </row>
    <row r="205" spans="4:100">
      <c r="D205" s="30">
        <v>19.5</v>
      </c>
      <c r="E205" s="31">
        <v>0.93710000000000004</v>
      </c>
      <c r="F205" s="32">
        <v>936.5</v>
      </c>
      <c r="G205" s="33"/>
      <c r="H205" s="30">
        <v>19.5</v>
      </c>
      <c r="I205" s="34">
        <v>3.7839</v>
      </c>
      <c r="J205" s="35">
        <v>0.15892000000000001</v>
      </c>
      <c r="L205" s="30">
        <v>19.5</v>
      </c>
      <c r="M205" s="172">
        <v>7.8040000000000003</v>
      </c>
      <c r="N205" s="173">
        <v>0.12814999999999999</v>
      </c>
      <c r="P205" s="30">
        <v>19.5</v>
      </c>
      <c r="Q205" s="172">
        <v>3.9018000000000002</v>
      </c>
      <c r="R205" s="173">
        <v>0.16388</v>
      </c>
      <c r="T205" s="30">
        <v>19.5</v>
      </c>
      <c r="U205" s="172">
        <v>256.29000000000002</v>
      </c>
      <c r="V205" s="173">
        <v>6.1019999999999897</v>
      </c>
      <c r="X205" s="30">
        <v>19.5</v>
      </c>
      <c r="Y205" s="34">
        <v>3.4838</v>
      </c>
      <c r="Z205" s="35">
        <v>0.14632000000000001</v>
      </c>
      <c r="AA205" s="36"/>
      <c r="AB205" s="30">
        <v>19.5</v>
      </c>
      <c r="AC205" s="44">
        <v>287.05</v>
      </c>
      <c r="AD205" s="35">
        <v>6.8339999999999996</v>
      </c>
      <c r="AE205" s="36"/>
      <c r="AF205" s="30">
        <v>19.5</v>
      </c>
      <c r="AG205" s="34">
        <v>3.5396999999999998</v>
      </c>
      <c r="AH205" s="35">
        <v>0.14867</v>
      </c>
      <c r="AI205" s="35"/>
      <c r="AJ205" s="35">
        <v>0.11391</v>
      </c>
      <c r="AK205" s="998">
        <v>65.5</v>
      </c>
      <c r="AM205" s="30">
        <v>19.5</v>
      </c>
      <c r="AN205" s="34">
        <v>0.9698</v>
      </c>
      <c r="AO205" s="35">
        <v>1.0861000000000001</v>
      </c>
      <c r="AQ205" s="197">
        <v>0.84499999999999997</v>
      </c>
      <c r="AR205" s="200">
        <v>35.96</v>
      </c>
      <c r="AS205" s="199">
        <v>844.6</v>
      </c>
      <c r="AZ205" s="197">
        <v>0.84499999999999997</v>
      </c>
      <c r="BA205" s="198">
        <v>7.0358000000000001</v>
      </c>
      <c r="BB205" s="199">
        <v>0.14213000000000001</v>
      </c>
      <c r="BD205" s="197">
        <v>0.84499999999999997</v>
      </c>
      <c r="BE205" s="198">
        <v>3.5179</v>
      </c>
      <c r="BF205" s="199">
        <v>0.14774999999999999</v>
      </c>
      <c r="BH205" s="197">
        <v>0.84499999999999997</v>
      </c>
      <c r="BI205" s="198">
        <v>284.26</v>
      </c>
      <c r="BJ205" s="199">
        <v>6.7679999999999998</v>
      </c>
      <c r="BL205" s="197">
        <v>0.84499999999999997</v>
      </c>
      <c r="BM205" s="198">
        <v>3.141</v>
      </c>
      <c r="BN205" s="199">
        <v>0.13192000000000001</v>
      </c>
      <c r="BP205" s="197">
        <v>0.84499999999999997</v>
      </c>
      <c r="BQ205" s="200">
        <v>318.37</v>
      </c>
      <c r="BR205" s="199">
        <v>7.58</v>
      </c>
      <c r="BT205" s="197">
        <v>0.84499999999999997</v>
      </c>
      <c r="BU205" s="201">
        <v>1.0754999999999999</v>
      </c>
      <c r="BV205" s="202">
        <v>1.2045999999999999</v>
      </c>
      <c r="BX205" s="37">
        <v>845</v>
      </c>
      <c r="BY205" s="38">
        <v>0.84540000000000004</v>
      </c>
      <c r="BZ205" s="39">
        <v>35.869999999999997</v>
      </c>
      <c r="CA205" s="33"/>
      <c r="CB205" s="37">
        <v>845</v>
      </c>
      <c r="CC205" s="38">
        <v>0.15891</v>
      </c>
      <c r="CD205" s="42">
        <v>6.2930000000000001</v>
      </c>
      <c r="CE205" s="33"/>
      <c r="CF205" s="33"/>
      <c r="CG205" s="33"/>
      <c r="CH205" s="33"/>
      <c r="CI205" s="33"/>
      <c r="CJ205" s="33"/>
      <c r="CK205" s="33"/>
      <c r="CL205" s="40">
        <v>845</v>
      </c>
      <c r="CM205" s="43">
        <v>843.9</v>
      </c>
      <c r="CN205" s="41">
        <v>1.1850000000000001</v>
      </c>
      <c r="CO205" s="33"/>
      <c r="CP205" s="40">
        <v>845</v>
      </c>
      <c r="CQ205" s="34">
        <v>0.93020000000000003</v>
      </c>
      <c r="CR205" s="41">
        <v>0.8306</v>
      </c>
      <c r="CS205" s="33"/>
      <c r="CT205" s="40">
        <v>845</v>
      </c>
      <c r="CU205" s="44">
        <v>313.18</v>
      </c>
      <c r="CV205" s="42">
        <v>7.4569999999999999</v>
      </c>
    </row>
    <row r="206" spans="4:100">
      <c r="D206" s="30">
        <v>19.600000000000001</v>
      </c>
      <c r="E206" s="31">
        <v>0.9365</v>
      </c>
      <c r="F206" s="32">
        <v>935.9</v>
      </c>
      <c r="G206" s="33"/>
      <c r="H206" s="30">
        <v>19.600000000000001</v>
      </c>
      <c r="I206" s="34">
        <v>3.7839</v>
      </c>
      <c r="J206" s="35">
        <v>0.15892000000000001</v>
      </c>
      <c r="L206" s="30">
        <v>19.600000000000001</v>
      </c>
      <c r="M206" s="172">
        <v>7.798</v>
      </c>
      <c r="N206" s="173">
        <v>0.12823000000000001</v>
      </c>
      <c r="P206" s="30">
        <v>19.600000000000001</v>
      </c>
      <c r="Q206" s="172">
        <v>3.8992</v>
      </c>
      <c r="R206" s="173">
        <v>0.16377</v>
      </c>
      <c r="T206" s="30">
        <v>19.600000000000001</v>
      </c>
      <c r="U206" s="172">
        <v>256.45999999999998</v>
      </c>
      <c r="V206" s="173">
        <v>6.1059999999999901</v>
      </c>
      <c r="X206" s="30">
        <v>19.600000000000001</v>
      </c>
      <c r="Y206" s="34">
        <v>3.4813999999999998</v>
      </c>
      <c r="Z206" s="35">
        <v>0.14621999999999999</v>
      </c>
      <c r="AA206" s="36"/>
      <c r="AB206" s="30">
        <v>19.600000000000001</v>
      </c>
      <c r="AC206" s="44">
        <v>287.24</v>
      </c>
      <c r="AD206" s="35">
        <v>6.8390000000000004</v>
      </c>
      <c r="AE206" s="36"/>
      <c r="AF206" s="30">
        <v>19.600000000000001</v>
      </c>
      <c r="AG206" s="34">
        <v>3.5373000000000001</v>
      </c>
      <c r="AH206" s="35">
        <v>0.14857000000000001</v>
      </c>
      <c r="AI206" s="35"/>
      <c r="AJ206" s="35">
        <v>0.11396000000000001</v>
      </c>
      <c r="AK206" s="998">
        <v>65.400000000000006</v>
      </c>
      <c r="AM206" s="30">
        <v>19.600000000000001</v>
      </c>
      <c r="AN206" s="34">
        <v>0.97040000000000004</v>
      </c>
      <c r="AO206" s="35">
        <v>1.0869</v>
      </c>
      <c r="AQ206" s="197">
        <v>0.84599999999999997</v>
      </c>
      <c r="AR206" s="200">
        <v>35.76</v>
      </c>
      <c r="AS206" s="199">
        <v>845.6</v>
      </c>
      <c r="AZ206" s="197">
        <v>0.84599999999999997</v>
      </c>
      <c r="BA206" s="198">
        <v>7.0441000000000003</v>
      </c>
      <c r="BB206" s="199">
        <v>0.14196</v>
      </c>
      <c r="BD206" s="197">
        <v>0.84599999999999997</v>
      </c>
      <c r="BE206" s="198">
        <v>3.5221</v>
      </c>
      <c r="BF206" s="199">
        <v>0.14793000000000001</v>
      </c>
      <c r="BH206" s="197">
        <v>0.84599999999999997</v>
      </c>
      <c r="BI206" s="198">
        <v>283.93</v>
      </c>
      <c r="BJ206" s="199">
        <v>6.76</v>
      </c>
      <c r="BL206" s="197">
        <v>0.84599999999999997</v>
      </c>
      <c r="BM206" s="198">
        <v>3.1446999999999998</v>
      </c>
      <c r="BN206" s="199">
        <v>0.13208</v>
      </c>
      <c r="BP206" s="197">
        <v>0.84599999999999997</v>
      </c>
      <c r="BQ206" s="200">
        <v>318</v>
      </c>
      <c r="BR206" s="199">
        <v>7.5709999999999997</v>
      </c>
      <c r="BT206" s="197">
        <v>0.84599999999999997</v>
      </c>
      <c r="BU206" s="201">
        <v>1.0743</v>
      </c>
      <c r="BV206" s="202">
        <v>1.2032</v>
      </c>
      <c r="BX206" s="37">
        <v>846</v>
      </c>
      <c r="BY206" s="38">
        <v>0.84640000000000004</v>
      </c>
      <c r="BZ206" s="39">
        <v>35.67</v>
      </c>
      <c r="CA206" s="33"/>
      <c r="CB206" s="37">
        <v>846</v>
      </c>
      <c r="CC206" s="38">
        <v>0.15891</v>
      </c>
      <c r="CD206" s="42">
        <v>6.2930000000000001</v>
      </c>
      <c r="CE206" s="33"/>
      <c r="CF206" s="33"/>
      <c r="CG206" s="33"/>
      <c r="CH206" s="33"/>
      <c r="CI206" s="33"/>
      <c r="CJ206" s="33"/>
      <c r="CK206" s="33"/>
      <c r="CL206" s="40">
        <v>846</v>
      </c>
      <c r="CM206" s="43">
        <v>844.9</v>
      </c>
      <c r="CN206" s="41">
        <v>1.1836</v>
      </c>
      <c r="CO206" s="33"/>
      <c r="CP206" s="40">
        <v>846</v>
      </c>
      <c r="CQ206" s="34">
        <v>0.93140000000000001</v>
      </c>
      <c r="CR206" s="41">
        <v>0.83160000000000001</v>
      </c>
      <c r="CS206" s="33"/>
      <c r="CT206" s="40">
        <v>846</v>
      </c>
      <c r="CU206" s="44">
        <v>312.81</v>
      </c>
      <c r="CV206" s="42">
        <v>7.4480000000000004</v>
      </c>
    </row>
    <row r="207" spans="4:100">
      <c r="D207" s="30">
        <v>19.7</v>
      </c>
      <c r="E207" s="31">
        <v>0.93579999999999997</v>
      </c>
      <c r="F207" s="32">
        <v>935.3</v>
      </c>
      <c r="G207" s="33"/>
      <c r="H207" s="30">
        <v>19.7</v>
      </c>
      <c r="I207" s="34">
        <v>3.7839</v>
      </c>
      <c r="J207" s="35">
        <v>0.15892000000000001</v>
      </c>
      <c r="L207" s="30">
        <v>19.7</v>
      </c>
      <c r="M207" s="172">
        <v>7.7930000000000001</v>
      </c>
      <c r="N207" s="173">
        <v>0.12831999999999999</v>
      </c>
      <c r="P207" s="30">
        <v>19.7</v>
      </c>
      <c r="Q207" s="172">
        <v>3.8965999999999998</v>
      </c>
      <c r="R207" s="173">
        <v>0.16366</v>
      </c>
      <c r="T207" s="30">
        <v>19.7</v>
      </c>
      <c r="U207" s="172">
        <v>256.63</v>
      </c>
      <c r="V207" s="173">
        <v>6.1099999999999897</v>
      </c>
      <c r="X207" s="30">
        <v>19.7</v>
      </c>
      <c r="Y207" s="34">
        <v>3.4790999999999999</v>
      </c>
      <c r="Z207" s="35">
        <v>0.14612</v>
      </c>
      <c r="AA207" s="36"/>
      <c r="AB207" s="30">
        <v>19.7</v>
      </c>
      <c r="AC207" s="44">
        <v>287.43</v>
      </c>
      <c r="AD207" s="35">
        <v>6.8440000000000003</v>
      </c>
      <c r="AE207" s="36"/>
      <c r="AF207" s="30">
        <v>19.7</v>
      </c>
      <c r="AG207" s="34">
        <v>3.5350000000000001</v>
      </c>
      <c r="AH207" s="35">
        <v>0.14846999999999999</v>
      </c>
      <c r="AI207" s="35"/>
      <c r="AJ207" s="35">
        <v>0.11402</v>
      </c>
      <c r="AK207" s="998">
        <v>65.3</v>
      </c>
      <c r="AM207" s="30">
        <v>19.7</v>
      </c>
      <c r="AN207" s="34">
        <v>0.97109999999999996</v>
      </c>
      <c r="AO207" s="35">
        <v>1.0875999999999999</v>
      </c>
      <c r="AQ207" s="197">
        <v>0.84699999999999998</v>
      </c>
      <c r="AR207" s="200">
        <v>35.56</v>
      </c>
      <c r="AS207" s="199">
        <v>846.6</v>
      </c>
      <c r="AZ207" s="197">
        <v>0.84699999999999998</v>
      </c>
      <c r="BA207" s="198">
        <v>7.0523999999999996</v>
      </c>
      <c r="BB207" s="199">
        <v>0.14179</v>
      </c>
      <c r="BD207" s="197">
        <v>0.84699999999999998</v>
      </c>
      <c r="BE207" s="198">
        <v>3.5261999999999998</v>
      </c>
      <c r="BF207" s="199">
        <v>0.14810000000000001</v>
      </c>
      <c r="BH207" s="197">
        <v>0.84699999999999998</v>
      </c>
      <c r="BI207" s="198">
        <v>283.58999999999997</v>
      </c>
      <c r="BJ207" s="199">
        <v>6.7519999999999998</v>
      </c>
      <c r="BL207" s="197">
        <v>0.84699999999999998</v>
      </c>
      <c r="BM207" s="198">
        <v>3.1484000000000001</v>
      </c>
      <c r="BN207" s="199">
        <v>0.13222999999999999</v>
      </c>
      <c r="BP207" s="197">
        <v>0.84699999999999998</v>
      </c>
      <c r="BQ207" s="200">
        <v>317.62</v>
      </c>
      <c r="BR207" s="199">
        <v>7.5620000000000003</v>
      </c>
      <c r="BT207" s="197">
        <v>0.84699999999999998</v>
      </c>
      <c r="BU207" s="201">
        <v>1.073</v>
      </c>
      <c r="BV207" s="202">
        <v>1.2018</v>
      </c>
      <c r="BX207" s="37">
        <v>847</v>
      </c>
      <c r="BY207" s="38">
        <v>0.84740000000000004</v>
      </c>
      <c r="BZ207" s="39">
        <v>35.47</v>
      </c>
      <c r="CA207" s="33"/>
      <c r="CB207" s="37">
        <v>847</v>
      </c>
      <c r="CC207" s="38">
        <v>0.15891</v>
      </c>
      <c r="CD207" s="42">
        <v>6.2930000000000001</v>
      </c>
      <c r="CE207" s="33"/>
      <c r="CF207" s="33"/>
      <c r="CG207" s="33"/>
      <c r="CH207" s="33"/>
      <c r="CI207" s="33"/>
      <c r="CJ207" s="33"/>
      <c r="CK207" s="33"/>
      <c r="CL207" s="40">
        <v>847</v>
      </c>
      <c r="CM207" s="43">
        <v>845.9</v>
      </c>
      <c r="CN207" s="41">
        <v>1.1821999999999999</v>
      </c>
      <c r="CO207" s="33"/>
      <c r="CP207" s="40">
        <v>847</v>
      </c>
      <c r="CQ207" s="34">
        <v>0.9325</v>
      </c>
      <c r="CR207" s="41">
        <v>0.83250000000000002</v>
      </c>
      <c r="CS207" s="33"/>
      <c r="CT207" s="40">
        <v>847</v>
      </c>
      <c r="CU207" s="44">
        <v>312.44</v>
      </c>
      <c r="CV207" s="42">
        <v>7.4390000000000001</v>
      </c>
    </row>
    <row r="208" spans="4:100">
      <c r="D208" s="30">
        <v>19.8</v>
      </c>
      <c r="E208" s="31">
        <v>0.93520000000000003</v>
      </c>
      <c r="F208" s="32">
        <v>934.7</v>
      </c>
      <c r="G208" s="33"/>
      <c r="H208" s="30">
        <v>19.8</v>
      </c>
      <c r="I208" s="34">
        <v>3.7839</v>
      </c>
      <c r="J208" s="35">
        <v>0.15892000000000001</v>
      </c>
      <c r="L208" s="30">
        <v>19.8</v>
      </c>
      <c r="M208" s="172">
        <v>7.7880000000000003</v>
      </c>
      <c r="N208" s="173">
        <v>0.12839999999999999</v>
      </c>
      <c r="P208" s="30">
        <v>19.8</v>
      </c>
      <c r="Q208" s="172">
        <v>3.8940999999999999</v>
      </c>
      <c r="R208" s="173">
        <v>0.16355</v>
      </c>
      <c r="T208" s="30">
        <v>19.8</v>
      </c>
      <c r="U208" s="172">
        <v>256.8</v>
      </c>
      <c r="V208" s="173">
        <v>6.1139999999999901</v>
      </c>
      <c r="X208" s="30">
        <v>19.8</v>
      </c>
      <c r="Y208" s="34">
        <v>3.4767999999999999</v>
      </c>
      <c r="Z208" s="35">
        <v>0.14602999999999999</v>
      </c>
      <c r="AA208" s="36"/>
      <c r="AB208" s="30">
        <v>19.8</v>
      </c>
      <c r="AC208" s="44">
        <v>287.62</v>
      </c>
      <c r="AD208" s="35">
        <v>6.8479999999999999</v>
      </c>
      <c r="AE208" s="36"/>
      <c r="AF208" s="30">
        <v>19.8</v>
      </c>
      <c r="AG208" s="34">
        <v>3.5326</v>
      </c>
      <c r="AH208" s="35">
        <v>0.14837</v>
      </c>
      <c r="AI208" s="35"/>
      <c r="AJ208" s="35">
        <v>0.11408</v>
      </c>
      <c r="AK208" s="998">
        <v>65.2</v>
      </c>
      <c r="AM208" s="30">
        <v>19.8</v>
      </c>
      <c r="AN208" s="34">
        <v>0.97170000000000001</v>
      </c>
      <c r="AO208" s="35">
        <v>1.0883</v>
      </c>
      <c r="AQ208" s="197">
        <v>0.84799999999999998</v>
      </c>
      <c r="AR208" s="200">
        <v>35.36</v>
      </c>
      <c r="AS208" s="199">
        <v>847.6</v>
      </c>
      <c r="AZ208" s="197">
        <v>0.84799999999999998</v>
      </c>
      <c r="BA208" s="198">
        <v>7.0608000000000004</v>
      </c>
      <c r="BB208" s="199">
        <v>0.14163000000000001</v>
      </c>
      <c r="BD208" s="197">
        <v>0.84799999999999998</v>
      </c>
      <c r="BE208" s="198">
        <v>3.5304000000000002</v>
      </c>
      <c r="BF208" s="199">
        <v>0.14828</v>
      </c>
      <c r="BH208" s="197">
        <v>0.84799999999999998</v>
      </c>
      <c r="BI208" s="198">
        <v>283.25</v>
      </c>
      <c r="BJ208" s="199">
        <v>6.7439999999999998</v>
      </c>
      <c r="BL208" s="197">
        <v>0.84799999999999998</v>
      </c>
      <c r="BM208" s="198">
        <v>3.1520999999999999</v>
      </c>
      <c r="BN208" s="199">
        <v>0.13239000000000001</v>
      </c>
      <c r="BP208" s="197">
        <v>0.84799999999999998</v>
      </c>
      <c r="BQ208" s="200">
        <v>317.25</v>
      </c>
      <c r="BR208" s="199">
        <v>7.5529999999999999</v>
      </c>
      <c r="BT208" s="197">
        <v>0.84799999999999998</v>
      </c>
      <c r="BU208" s="201">
        <v>1.0717000000000001</v>
      </c>
      <c r="BV208" s="202">
        <v>1.2002999999999999</v>
      </c>
      <c r="BX208" s="37">
        <v>848</v>
      </c>
      <c r="BY208" s="38">
        <v>0.84840000000000004</v>
      </c>
      <c r="BZ208" s="39">
        <v>35.28</v>
      </c>
      <c r="CA208" s="33"/>
      <c r="CB208" s="37">
        <v>848</v>
      </c>
      <c r="CC208" s="38">
        <v>0.15891</v>
      </c>
      <c r="CD208" s="42">
        <v>6.2930000000000001</v>
      </c>
      <c r="CE208" s="33"/>
      <c r="CF208" s="33"/>
      <c r="CG208" s="33"/>
      <c r="CH208" s="33"/>
      <c r="CI208" s="33"/>
      <c r="CJ208" s="33"/>
      <c r="CK208" s="33"/>
      <c r="CL208" s="40">
        <v>848</v>
      </c>
      <c r="CM208" s="43">
        <v>846.9</v>
      </c>
      <c r="CN208" s="41">
        <v>1.1808000000000001</v>
      </c>
      <c r="CO208" s="33"/>
      <c r="CP208" s="40">
        <v>848</v>
      </c>
      <c r="CQ208" s="34">
        <v>0.93359999999999999</v>
      </c>
      <c r="CR208" s="41">
        <v>0.83350000000000002</v>
      </c>
      <c r="CS208" s="33"/>
      <c r="CT208" s="40">
        <v>848</v>
      </c>
      <c r="CU208" s="44">
        <v>312.07</v>
      </c>
      <c r="CV208" s="42">
        <v>7.43</v>
      </c>
    </row>
    <row r="209" spans="4:100">
      <c r="D209" s="30">
        <v>19.899999999999999</v>
      </c>
      <c r="E209" s="31">
        <v>0.93459999999999999</v>
      </c>
      <c r="F209" s="32">
        <v>934.1</v>
      </c>
      <c r="G209" s="33"/>
      <c r="H209" s="30">
        <v>19.899999999999999</v>
      </c>
      <c r="I209" s="34">
        <v>3.7839</v>
      </c>
      <c r="J209" s="35">
        <v>0.15892000000000001</v>
      </c>
      <c r="L209" s="30">
        <v>19.899999999999999</v>
      </c>
      <c r="M209" s="172">
        <v>7.7830000000000004</v>
      </c>
      <c r="N209" s="173">
        <v>0.12848999999999999</v>
      </c>
      <c r="P209" s="30">
        <v>19.899999999999999</v>
      </c>
      <c r="Q209" s="172">
        <v>3.8915000000000002</v>
      </c>
      <c r="R209" s="173">
        <v>0.16344</v>
      </c>
      <c r="T209" s="30">
        <v>19.899999999999999</v>
      </c>
      <c r="U209" s="172">
        <v>256.97000000000003</v>
      </c>
      <c r="V209" s="173">
        <v>6.1179999999999897</v>
      </c>
      <c r="X209" s="30">
        <v>19.899999999999999</v>
      </c>
      <c r="Y209" s="34">
        <v>3.4744999999999999</v>
      </c>
      <c r="Z209" s="35">
        <v>0.14593</v>
      </c>
      <c r="AA209" s="36"/>
      <c r="AB209" s="30">
        <v>19.899999999999999</v>
      </c>
      <c r="AC209" s="44">
        <v>287.81</v>
      </c>
      <c r="AD209" s="35">
        <v>6.8529999999999998</v>
      </c>
      <c r="AE209" s="36"/>
      <c r="AF209" s="30">
        <v>19.899999999999999</v>
      </c>
      <c r="AG209" s="34">
        <v>3.5303</v>
      </c>
      <c r="AH209" s="35">
        <v>0.14827000000000001</v>
      </c>
      <c r="AI209" s="35"/>
      <c r="AJ209" s="35">
        <v>0.11414000000000001</v>
      </c>
      <c r="AK209" s="998">
        <v>65.099999999999994</v>
      </c>
      <c r="AM209" s="30">
        <v>19.899999999999999</v>
      </c>
      <c r="AN209" s="34">
        <v>0.97230000000000005</v>
      </c>
      <c r="AO209" s="35">
        <v>1.089</v>
      </c>
      <c r="AQ209" s="197">
        <v>0.84899999999999998</v>
      </c>
      <c r="AR209" s="200">
        <v>35.17</v>
      </c>
      <c r="AS209" s="199">
        <v>848.6</v>
      </c>
      <c r="AZ209" s="197">
        <v>0.84899999999999998</v>
      </c>
      <c r="BA209" s="198">
        <v>7.0690999999999997</v>
      </c>
      <c r="BB209" s="199">
        <v>0.14146</v>
      </c>
      <c r="BD209" s="197">
        <v>0.84899999999999998</v>
      </c>
      <c r="BE209" s="198">
        <v>3.5346000000000002</v>
      </c>
      <c r="BF209" s="199">
        <v>0.14845</v>
      </c>
      <c r="BH209" s="197">
        <v>0.84899999999999998</v>
      </c>
      <c r="BI209" s="198">
        <v>282.92</v>
      </c>
      <c r="BJ209" s="199">
        <v>6.7359999999999998</v>
      </c>
      <c r="BL209" s="197">
        <v>0.84899999999999998</v>
      </c>
      <c r="BM209" s="198">
        <v>3.1558999999999999</v>
      </c>
      <c r="BN209" s="199">
        <v>0.13255</v>
      </c>
      <c r="BP209" s="197">
        <v>0.84899999999999998</v>
      </c>
      <c r="BQ209" s="200">
        <v>316.87</v>
      </c>
      <c r="BR209" s="199">
        <v>7.5449999999999999</v>
      </c>
      <c r="BT209" s="197">
        <v>0.84899999999999998</v>
      </c>
      <c r="BU209" s="201">
        <v>1.0705</v>
      </c>
      <c r="BV209" s="202">
        <v>1.1989000000000001</v>
      </c>
      <c r="BX209" s="37">
        <v>849</v>
      </c>
      <c r="BY209" s="38">
        <v>0.84940000000000004</v>
      </c>
      <c r="BZ209" s="39">
        <v>35.08</v>
      </c>
      <c r="CA209" s="33"/>
      <c r="CB209" s="37">
        <v>849</v>
      </c>
      <c r="CC209" s="38">
        <v>0.15891</v>
      </c>
      <c r="CD209" s="42">
        <v>6.2930000000000001</v>
      </c>
      <c r="CE209" s="33"/>
      <c r="CF209" s="33"/>
      <c r="CG209" s="33"/>
      <c r="CH209" s="33"/>
      <c r="CI209" s="33"/>
      <c r="CJ209" s="33"/>
      <c r="CK209" s="33"/>
      <c r="CL209" s="40">
        <v>849</v>
      </c>
      <c r="CM209" s="43">
        <v>847.9</v>
      </c>
      <c r="CN209" s="41">
        <v>1.1794</v>
      </c>
      <c r="CO209" s="33"/>
      <c r="CP209" s="40">
        <v>849</v>
      </c>
      <c r="CQ209" s="34">
        <v>0.93469999999999998</v>
      </c>
      <c r="CR209" s="41">
        <v>0.83450000000000002</v>
      </c>
      <c r="CS209" s="33"/>
      <c r="CT209" s="40">
        <v>849</v>
      </c>
      <c r="CU209" s="44">
        <v>311.7</v>
      </c>
      <c r="CV209" s="42">
        <v>7.4210000000000003</v>
      </c>
    </row>
    <row r="210" spans="4:100">
      <c r="D210" s="30">
        <v>20</v>
      </c>
      <c r="E210" s="31">
        <v>0.93400000000000005</v>
      </c>
      <c r="F210" s="32">
        <v>933.5</v>
      </c>
      <c r="G210" s="33"/>
      <c r="H210" s="30">
        <v>20</v>
      </c>
      <c r="I210" s="34">
        <v>3.7839</v>
      </c>
      <c r="J210" s="35">
        <v>0.15892000000000001</v>
      </c>
      <c r="L210" s="30">
        <v>20</v>
      </c>
      <c r="M210" s="172">
        <v>7.7779999999999996</v>
      </c>
      <c r="N210" s="173">
        <v>0.12856999999999999</v>
      </c>
      <c r="P210" s="30">
        <v>20</v>
      </c>
      <c r="Q210" s="172">
        <v>3.8889</v>
      </c>
      <c r="R210" s="173">
        <v>0.16333</v>
      </c>
      <c r="T210" s="30">
        <v>20</v>
      </c>
      <c r="U210" s="172">
        <v>257.14</v>
      </c>
      <c r="V210" s="173">
        <v>6.1219999999999901</v>
      </c>
      <c r="X210" s="30">
        <v>20</v>
      </c>
      <c r="Y210" s="34">
        <v>3.4722</v>
      </c>
      <c r="Z210" s="35">
        <v>0.14582999999999999</v>
      </c>
      <c r="AA210" s="36"/>
      <c r="AB210" s="30">
        <v>20</v>
      </c>
      <c r="AC210" s="44">
        <v>288</v>
      </c>
      <c r="AD210" s="35">
        <v>6.8570000000000002</v>
      </c>
      <c r="AE210" s="36"/>
      <c r="AF210" s="30">
        <v>20</v>
      </c>
      <c r="AG210" s="34">
        <v>3.528</v>
      </c>
      <c r="AH210" s="35">
        <v>0.14817</v>
      </c>
      <c r="AI210" s="35"/>
      <c r="AJ210" s="35">
        <v>0.1142</v>
      </c>
      <c r="AK210" s="998">
        <v>65</v>
      </c>
      <c r="AM210" s="30">
        <v>20</v>
      </c>
      <c r="AN210" s="34">
        <v>0.97299999999999998</v>
      </c>
      <c r="AO210" s="35">
        <v>1.0896999999999999</v>
      </c>
      <c r="AQ210" s="197">
        <v>0.85</v>
      </c>
      <c r="AR210" s="200">
        <v>34.97</v>
      </c>
      <c r="AS210" s="199">
        <v>849.6</v>
      </c>
      <c r="AZ210" s="197">
        <v>0.85</v>
      </c>
      <c r="BA210" s="198">
        <v>7.0774999999999997</v>
      </c>
      <c r="BB210" s="199">
        <v>0.14129</v>
      </c>
      <c r="BD210" s="197">
        <v>0.85</v>
      </c>
      <c r="BE210" s="198">
        <v>3.5387</v>
      </c>
      <c r="BF210" s="199">
        <v>0.14863000000000001</v>
      </c>
      <c r="BH210" s="197">
        <v>0.85</v>
      </c>
      <c r="BI210" s="198">
        <v>282.58999999999997</v>
      </c>
      <c r="BJ210" s="199">
        <v>6.7279999999999998</v>
      </c>
      <c r="BL210" s="197">
        <v>0.85</v>
      </c>
      <c r="BM210" s="198">
        <v>3.1596000000000002</v>
      </c>
      <c r="BN210" s="199">
        <v>0.13270000000000001</v>
      </c>
      <c r="BP210" s="197">
        <v>0.85</v>
      </c>
      <c r="BQ210" s="200">
        <v>316.5</v>
      </c>
      <c r="BR210" s="199">
        <v>7.5359999999999996</v>
      </c>
      <c r="BT210" s="197">
        <v>0.85</v>
      </c>
      <c r="BU210" s="201">
        <v>1.0691999999999999</v>
      </c>
      <c r="BV210" s="202">
        <v>1.1975</v>
      </c>
      <c r="BX210" s="37">
        <v>850</v>
      </c>
      <c r="BY210" s="38">
        <v>0.85040000000000004</v>
      </c>
      <c r="BZ210" s="39">
        <v>34.880000000000003</v>
      </c>
      <c r="CA210" s="33"/>
      <c r="CB210" s="37">
        <v>850</v>
      </c>
      <c r="CC210" s="38">
        <v>0.15891</v>
      </c>
      <c r="CD210" s="42">
        <v>6.2930000000000001</v>
      </c>
      <c r="CE210" s="33"/>
      <c r="CF210" s="33"/>
      <c r="CG210" s="33"/>
      <c r="CH210" s="33"/>
      <c r="CI210" s="33"/>
      <c r="CJ210" s="33"/>
      <c r="CK210" s="33"/>
      <c r="CL210" s="40">
        <v>850</v>
      </c>
      <c r="CM210" s="43">
        <v>848.9</v>
      </c>
      <c r="CN210" s="41">
        <v>1.1779999999999999</v>
      </c>
      <c r="CO210" s="33"/>
      <c r="CP210" s="40">
        <v>850</v>
      </c>
      <c r="CQ210" s="34">
        <v>0.93579999999999997</v>
      </c>
      <c r="CR210" s="41">
        <v>0.83550000000000002</v>
      </c>
      <c r="CS210" s="33"/>
      <c r="CT210" s="40">
        <v>850</v>
      </c>
      <c r="CU210" s="44">
        <v>311.33</v>
      </c>
      <c r="CV210" s="42">
        <v>7.4130000000000003</v>
      </c>
    </row>
    <row r="211" spans="4:100">
      <c r="D211" s="30">
        <v>20.100000000000001</v>
      </c>
      <c r="E211" s="31">
        <v>0.93340000000000001</v>
      </c>
      <c r="F211" s="32">
        <v>932.8</v>
      </c>
      <c r="G211" s="33"/>
      <c r="H211" s="30">
        <v>20.100000000000001</v>
      </c>
      <c r="I211" s="34">
        <v>3.7839</v>
      </c>
      <c r="J211" s="35">
        <v>0.15892000000000001</v>
      </c>
      <c r="L211" s="30">
        <v>20.100000000000001</v>
      </c>
      <c r="M211" s="172">
        <v>7.7729999999999997</v>
      </c>
      <c r="N211" s="173">
        <v>0.12866</v>
      </c>
      <c r="P211" s="30">
        <v>20.100000000000001</v>
      </c>
      <c r="Q211" s="172">
        <v>3.8862999999999999</v>
      </c>
      <c r="R211" s="173">
        <v>0.16322999999999999</v>
      </c>
      <c r="T211" s="30">
        <v>20.100000000000001</v>
      </c>
      <c r="U211" s="172">
        <v>257.31</v>
      </c>
      <c r="V211" s="173">
        <v>6.1259999999999897</v>
      </c>
      <c r="X211" s="30">
        <v>20.100000000000001</v>
      </c>
      <c r="Y211" s="34">
        <v>3.4699</v>
      </c>
      <c r="Z211" s="35">
        <v>0.14574000000000001</v>
      </c>
      <c r="AA211" s="36"/>
      <c r="AB211" s="30">
        <v>20.100000000000001</v>
      </c>
      <c r="AC211" s="44">
        <v>288.19</v>
      </c>
      <c r="AD211" s="35">
        <v>6.8620000000000001</v>
      </c>
      <c r="AE211" s="36"/>
      <c r="AF211" s="30">
        <v>20.100000000000001</v>
      </c>
      <c r="AG211" s="34">
        <v>3.5255999999999998</v>
      </c>
      <c r="AH211" s="35">
        <v>0.14807999999999999</v>
      </c>
      <c r="AI211" s="35"/>
      <c r="AJ211" s="35">
        <v>0.11426</v>
      </c>
      <c r="AK211" s="998">
        <v>64.900000000000006</v>
      </c>
      <c r="AM211" s="30">
        <v>20.100000000000001</v>
      </c>
      <c r="AN211" s="34">
        <v>0.97360000000000002</v>
      </c>
      <c r="AO211" s="35">
        <v>1.0905</v>
      </c>
      <c r="AQ211" s="197">
        <v>0.85099999999999998</v>
      </c>
      <c r="AR211" s="200">
        <v>34.770000000000003</v>
      </c>
      <c r="AS211" s="199">
        <v>850.6</v>
      </c>
      <c r="AZ211" s="197">
        <v>0.85099999999999998</v>
      </c>
      <c r="BA211" s="198">
        <v>7.0857999999999999</v>
      </c>
      <c r="BB211" s="199">
        <v>0.14113000000000001</v>
      </c>
      <c r="BD211" s="197">
        <v>0.85099999999999998</v>
      </c>
      <c r="BE211" s="198">
        <v>3.5428999999999999</v>
      </c>
      <c r="BF211" s="199">
        <v>0.14879999999999999</v>
      </c>
      <c r="BH211" s="197">
        <v>0.85099999999999998</v>
      </c>
      <c r="BI211" s="198">
        <v>282.25</v>
      </c>
      <c r="BJ211" s="199">
        <v>6.72</v>
      </c>
      <c r="BL211" s="197">
        <v>0.85099999999999998</v>
      </c>
      <c r="BM211" s="198">
        <v>3.1633</v>
      </c>
      <c r="BN211" s="199">
        <v>0.13286000000000001</v>
      </c>
      <c r="BP211" s="197">
        <v>0.85099999999999998</v>
      </c>
      <c r="BQ211" s="200">
        <v>316.13</v>
      </c>
      <c r="BR211" s="199">
        <v>7.5270000000000001</v>
      </c>
      <c r="BT211" s="197">
        <v>0.85099999999999998</v>
      </c>
      <c r="BU211" s="201">
        <v>1.0680000000000001</v>
      </c>
      <c r="BV211" s="202">
        <v>1.1960999999999999</v>
      </c>
      <c r="BX211" s="37">
        <v>851</v>
      </c>
      <c r="BY211" s="38">
        <v>0.85140000000000005</v>
      </c>
      <c r="BZ211" s="39">
        <v>34.69</v>
      </c>
      <c r="CA211" s="33"/>
      <c r="CB211" s="37">
        <v>851</v>
      </c>
      <c r="CC211" s="38">
        <v>0.15891</v>
      </c>
      <c r="CD211" s="42">
        <v>6.2930000000000001</v>
      </c>
      <c r="CE211" s="33"/>
      <c r="CF211" s="33"/>
      <c r="CG211" s="33"/>
      <c r="CH211" s="33"/>
      <c r="CI211" s="33"/>
      <c r="CJ211" s="33"/>
      <c r="CK211" s="33"/>
      <c r="CL211" s="40">
        <v>851</v>
      </c>
      <c r="CM211" s="43">
        <v>849.9</v>
      </c>
      <c r="CN211" s="41">
        <v>1.1766000000000001</v>
      </c>
      <c r="CO211" s="33"/>
      <c r="CP211" s="40">
        <v>851</v>
      </c>
      <c r="CQ211" s="34">
        <v>0.93689999999999996</v>
      </c>
      <c r="CR211" s="41">
        <v>0.83650000000000002</v>
      </c>
      <c r="CS211" s="33"/>
      <c r="CT211" s="40">
        <v>851</v>
      </c>
      <c r="CU211" s="44">
        <v>310.97000000000003</v>
      </c>
      <c r="CV211" s="42">
        <v>7.4039999999999999</v>
      </c>
    </row>
    <row r="212" spans="4:100">
      <c r="D212" s="30">
        <v>20.2</v>
      </c>
      <c r="E212" s="31">
        <v>0.93279999999999996</v>
      </c>
      <c r="F212" s="32">
        <v>932.2</v>
      </c>
      <c r="G212" s="33"/>
      <c r="H212" s="30">
        <v>20.2</v>
      </c>
      <c r="I212" s="34">
        <v>3.7839</v>
      </c>
      <c r="J212" s="35">
        <v>0.15892000000000001</v>
      </c>
      <c r="L212" s="30">
        <v>20.2</v>
      </c>
      <c r="M212" s="172">
        <v>7.7679999999999998</v>
      </c>
      <c r="N212" s="173">
        <v>0.12873999999999999</v>
      </c>
      <c r="P212" s="30">
        <v>20.2</v>
      </c>
      <c r="Q212" s="172">
        <v>3.8837999999999999</v>
      </c>
      <c r="R212" s="173">
        <v>0.16311999999999999</v>
      </c>
      <c r="T212" s="30">
        <v>20.2</v>
      </c>
      <c r="U212" s="172">
        <v>257.48</v>
      </c>
      <c r="V212" s="173">
        <v>6.1310000000000002</v>
      </c>
      <c r="X212" s="30">
        <v>20.2</v>
      </c>
      <c r="Y212" s="34">
        <v>3.4676999999999998</v>
      </c>
      <c r="Z212" s="35">
        <v>0.14563999999999999</v>
      </c>
      <c r="AA212" s="36"/>
      <c r="AB212" s="30">
        <v>20.2</v>
      </c>
      <c r="AC212" s="44">
        <v>288.38</v>
      </c>
      <c r="AD212" s="35">
        <v>6.8659999999999997</v>
      </c>
      <c r="AE212" s="36"/>
      <c r="AF212" s="30">
        <v>20.2</v>
      </c>
      <c r="AG212" s="34">
        <v>3.5232999999999999</v>
      </c>
      <c r="AH212" s="35">
        <v>0.14798</v>
      </c>
      <c r="AI212" s="35"/>
      <c r="AJ212" s="35">
        <v>0.11430999999999999</v>
      </c>
      <c r="AK212" s="998">
        <v>64.8</v>
      </c>
      <c r="AM212" s="30">
        <v>20.2</v>
      </c>
      <c r="AN212" s="34">
        <v>0.97430000000000005</v>
      </c>
      <c r="AO212" s="35">
        <v>1.0911999999999999</v>
      </c>
      <c r="AQ212" s="197">
        <v>0.85199999999999998</v>
      </c>
      <c r="AR212" s="200">
        <v>34.58</v>
      </c>
      <c r="AS212" s="199">
        <v>851.6</v>
      </c>
      <c r="AZ212" s="197">
        <v>0.85199999999999998</v>
      </c>
      <c r="BA212" s="198">
        <v>7.0941000000000001</v>
      </c>
      <c r="BB212" s="199">
        <v>0.14096</v>
      </c>
      <c r="BD212" s="197">
        <v>0.85199999999999998</v>
      </c>
      <c r="BE212" s="198">
        <v>3.5470999999999999</v>
      </c>
      <c r="BF212" s="199">
        <v>0.14898</v>
      </c>
      <c r="BH212" s="197">
        <v>0.85199999999999998</v>
      </c>
      <c r="BI212" s="198">
        <v>281.92</v>
      </c>
      <c r="BJ212" s="199">
        <v>6.7119999999999997</v>
      </c>
      <c r="BL212" s="197">
        <v>0.85199999999999998</v>
      </c>
      <c r="BM212" s="198">
        <v>3.1669999999999998</v>
      </c>
      <c r="BN212" s="199">
        <v>0.13300999999999999</v>
      </c>
      <c r="BP212" s="197">
        <v>0.85199999999999998</v>
      </c>
      <c r="BQ212" s="200">
        <v>315.75</v>
      </c>
      <c r="BR212" s="199">
        <v>7.5179999999999998</v>
      </c>
      <c r="BT212" s="197">
        <v>0.85199999999999998</v>
      </c>
      <c r="BU212" s="201">
        <v>1.0667</v>
      </c>
      <c r="BV212" s="202">
        <v>1.1947000000000001</v>
      </c>
      <c r="BX212" s="37">
        <v>852</v>
      </c>
      <c r="BY212" s="38">
        <v>0.85250000000000004</v>
      </c>
      <c r="BZ212" s="39">
        <v>34.49</v>
      </c>
      <c r="CA212" s="33"/>
      <c r="CB212" s="37">
        <v>852</v>
      </c>
      <c r="CC212" s="38">
        <v>0.15891</v>
      </c>
      <c r="CD212" s="42">
        <v>6.2930000000000001</v>
      </c>
      <c r="CE212" s="33"/>
      <c r="CF212" s="33"/>
      <c r="CG212" s="33"/>
      <c r="CH212" s="33"/>
      <c r="CI212" s="33"/>
      <c r="CJ212" s="33"/>
      <c r="CK212" s="33"/>
      <c r="CL212" s="40">
        <v>852</v>
      </c>
      <c r="CM212" s="43">
        <v>850.9</v>
      </c>
      <c r="CN212" s="41">
        <v>1.1752</v>
      </c>
      <c r="CO212" s="33"/>
      <c r="CP212" s="40">
        <v>852</v>
      </c>
      <c r="CQ212" s="34">
        <v>0.93799999999999994</v>
      </c>
      <c r="CR212" s="41">
        <v>0.83750000000000002</v>
      </c>
      <c r="CS212" s="33"/>
      <c r="CT212" s="40">
        <v>852</v>
      </c>
      <c r="CU212" s="44">
        <v>310.60000000000002</v>
      </c>
      <c r="CV212" s="42">
        <v>7.3949999999999996</v>
      </c>
    </row>
    <row r="213" spans="4:100">
      <c r="D213" s="30">
        <v>20.3</v>
      </c>
      <c r="E213" s="31">
        <v>0.93210000000000004</v>
      </c>
      <c r="F213" s="32">
        <v>931.6</v>
      </c>
      <c r="G213" s="33"/>
      <c r="H213" s="30">
        <v>20.3</v>
      </c>
      <c r="I213" s="34">
        <v>3.7839</v>
      </c>
      <c r="J213" s="35">
        <v>0.15892000000000001</v>
      </c>
      <c r="L213" s="30">
        <v>20.3</v>
      </c>
      <c r="M213" s="172">
        <v>7.7619999999999996</v>
      </c>
      <c r="N213" s="173">
        <v>0.12883</v>
      </c>
      <c r="P213" s="30">
        <v>20.3</v>
      </c>
      <c r="Q213" s="172">
        <v>3.8812000000000002</v>
      </c>
      <c r="R213" s="173">
        <v>0.16300999999999999</v>
      </c>
      <c r="T213" s="30">
        <v>20.3</v>
      </c>
      <c r="U213" s="172">
        <v>257.64999999999998</v>
      </c>
      <c r="V213" s="173">
        <v>6.1349999999999998</v>
      </c>
      <c r="X213" s="30">
        <v>20.3</v>
      </c>
      <c r="Y213" s="34">
        <v>3.4653999999999998</v>
      </c>
      <c r="Z213" s="35">
        <v>0.14555000000000001</v>
      </c>
      <c r="AA213" s="36"/>
      <c r="AB213" s="30">
        <v>20.3</v>
      </c>
      <c r="AC213" s="44">
        <v>288.57</v>
      </c>
      <c r="AD213" s="35">
        <v>6.8710000000000004</v>
      </c>
      <c r="AE213" s="36"/>
      <c r="AF213" s="30">
        <v>20.3</v>
      </c>
      <c r="AG213" s="34">
        <v>3.5209999999999999</v>
      </c>
      <c r="AH213" s="35">
        <v>0.14788000000000001</v>
      </c>
      <c r="AI213" s="35"/>
      <c r="AJ213" s="35">
        <v>0.11437</v>
      </c>
      <c r="AK213" s="998">
        <v>64.7</v>
      </c>
      <c r="AM213" s="30">
        <v>20.3</v>
      </c>
      <c r="AN213" s="34">
        <v>0.97489999999999999</v>
      </c>
      <c r="AO213" s="35">
        <v>1.0919000000000001</v>
      </c>
      <c r="AQ213" s="197">
        <v>0.85299999999999998</v>
      </c>
      <c r="AR213" s="200">
        <v>34.39</v>
      </c>
      <c r="AS213" s="199">
        <v>852.5</v>
      </c>
      <c r="AZ213" s="197">
        <v>0.85299999999999998</v>
      </c>
      <c r="BA213" s="198">
        <v>7.1025</v>
      </c>
      <c r="BB213" s="199">
        <v>0.14080000000000001</v>
      </c>
      <c r="BD213" s="197">
        <v>0.85299999999999998</v>
      </c>
      <c r="BE213" s="198">
        <v>3.5512000000000001</v>
      </c>
      <c r="BF213" s="199">
        <v>0.14915</v>
      </c>
      <c r="BH213" s="197">
        <v>0.85299999999999998</v>
      </c>
      <c r="BI213" s="198">
        <v>281.58999999999997</v>
      </c>
      <c r="BJ213" s="199">
        <v>6.7050000000000001</v>
      </c>
      <c r="BL213" s="197">
        <v>0.85299999999999998</v>
      </c>
      <c r="BM213" s="198">
        <v>3.1707000000000001</v>
      </c>
      <c r="BN213" s="199">
        <v>0.13317000000000001</v>
      </c>
      <c r="BP213" s="197">
        <v>0.85299999999999998</v>
      </c>
      <c r="BQ213" s="200">
        <v>315.38</v>
      </c>
      <c r="BR213" s="199">
        <v>7.5090000000000003</v>
      </c>
      <c r="BT213" s="197">
        <v>0.85299999999999998</v>
      </c>
      <c r="BU213" s="201">
        <v>1.0654999999999999</v>
      </c>
      <c r="BV213" s="202">
        <v>1.1933</v>
      </c>
      <c r="BX213" s="37">
        <v>853</v>
      </c>
      <c r="BY213" s="38">
        <v>0.85350000000000004</v>
      </c>
      <c r="BZ213" s="39">
        <v>34.299999999999997</v>
      </c>
      <c r="CA213" s="33"/>
      <c r="CB213" s="37">
        <v>853</v>
      </c>
      <c r="CC213" s="38">
        <v>0.15891</v>
      </c>
      <c r="CD213" s="42">
        <v>6.2930000000000001</v>
      </c>
      <c r="CE213" s="33"/>
      <c r="CF213" s="33"/>
      <c r="CG213" s="33"/>
      <c r="CH213" s="33"/>
      <c r="CI213" s="33"/>
      <c r="CJ213" s="33"/>
      <c r="CK213" s="33"/>
      <c r="CL213" s="40">
        <v>853</v>
      </c>
      <c r="CM213" s="43">
        <v>851.9</v>
      </c>
      <c r="CN213" s="41">
        <v>1.1738</v>
      </c>
      <c r="CO213" s="33"/>
      <c r="CP213" s="40">
        <v>853</v>
      </c>
      <c r="CQ213" s="34">
        <v>0.93910000000000005</v>
      </c>
      <c r="CR213" s="41">
        <v>0.83850000000000002</v>
      </c>
      <c r="CS213" s="33"/>
      <c r="CT213" s="40">
        <v>853</v>
      </c>
      <c r="CU213" s="44">
        <v>310.24</v>
      </c>
      <c r="CV213" s="42">
        <v>7.3869999999999996</v>
      </c>
    </row>
    <row r="214" spans="4:100">
      <c r="D214" s="30">
        <v>20.399999999999999</v>
      </c>
      <c r="E214" s="31">
        <v>0.93149999999999999</v>
      </c>
      <c r="F214" s="32">
        <v>931</v>
      </c>
      <c r="G214" s="33"/>
      <c r="H214" s="30">
        <v>20.399999999999999</v>
      </c>
      <c r="I214" s="34">
        <v>3.7839</v>
      </c>
      <c r="J214" s="35">
        <v>0.15892000000000001</v>
      </c>
      <c r="L214" s="30">
        <v>20.399999999999999</v>
      </c>
      <c r="M214" s="172">
        <v>7.7569999999999997</v>
      </c>
      <c r="N214" s="173">
        <v>0.12891</v>
      </c>
      <c r="P214" s="30">
        <v>20.399999999999999</v>
      </c>
      <c r="Q214" s="172">
        <v>3.8786999999999998</v>
      </c>
      <c r="R214" s="173">
        <v>0.16289999999999999</v>
      </c>
      <c r="T214" s="30">
        <v>20.399999999999999</v>
      </c>
      <c r="U214" s="172">
        <v>257.82</v>
      </c>
      <c r="V214" s="173">
        <v>6.1390000000000002</v>
      </c>
      <c r="X214" s="30">
        <v>20.399999999999999</v>
      </c>
      <c r="Y214" s="34">
        <v>3.4630999999999998</v>
      </c>
      <c r="Z214" s="35">
        <v>0.14545</v>
      </c>
      <c r="AA214" s="36"/>
      <c r="AB214" s="30">
        <v>20.399999999999999</v>
      </c>
      <c r="AC214" s="44">
        <v>288.76</v>
      </c>
      <c r="AD214" s="35">
        <v>6.875</v>
      </c>
      <c r="AE214" s="36"/>
      <c r="AF214" s="30">
        <v>20.399999999999999</v>
      </c>
      <c r="AG214" s="34">
        <v>3.5186999999999999</v>
      </c>
      <c r="AH214" s="35">
        <v>0.14777999999999999</v>
      </c>
      <c r="AI214" s="35"/>
      <c r="AJ214" s="35">
        <v>0.11443</v>
      </c>
      <c r="AK214" s="998">
        <v>64.599999999999994</v>
      </c>
      <c r="AM214" s="30">
        <v>20.399999999999999</v>
      </c>
      <c r="AN214" s="34">
        <v>0.97560000000000002</v>
      </c>
      <c r="AO214" s="35">
        <v>1.0926</v>
      </c>
      <c r="AQ214" s="197">
        <v>0.85399999999999998</v>
      </c>
      <c r="AR214" s="200">
        <v>34.19</v>
      </c>
      <c r="AS214" s="199">
        <v>853.5</v>
      </c>
      <c r="AZ214" s="197">
        <v>0.85399999999999998</v>
      </c>
      <c r="BA214" s="198">
        <v>7.1108000000000002</v>
      </c>
      <c r="BB214" s="199">
        <v>0.14063000000000001</v>
      </c>
      <c r="BD214" s="197">
        <v>0.85399999999999998</v>
      </c>
      <c r="BE214" s="198">
        <v>3.5554000000000001</v>
      </c>
      <c r="BF214" s="199">
        <v>0.14932999999999999</v>
      </c>
      <c r="BH214" s="197">
        <v>0.85399999999999998</v>
      </c>
      <c r="BI214" s="198">
        <v>281.26</v>
      </c>
      <c r="BJ214" s="199">
        <v>6.6970000000000001</v>
      </c>
      <c r="BL214" s="197">
        <v>0.85399999999999998</v>
      </c>
      <c r="BM214" s="198">
        <v>3.1745000000000001</v>
      </c>
      <c r="BN214" s="199">
        <v>0.13333</v>
      </c>
      <c r="BP214" s="197">
        <v>0.85399999999999998</v>
      </c>
      <c r="BQ214" s="200">
        <v>315.01</v>
      </c>
      <c r="BR214" s="199">
        <v>7.5</v>
      </c>
      <c r="BT214" s="197">
        <v>0.85399999999999998</v>
      </c>
      <c r="BU214" s="201">
        <v>1.0642</v>
      </c>
      <c r="BV214" s="202">
        <v>1.1919</v>
      </c>
      <c r="BX214" s="37">
        <v>854</v>
      </c>
      <c r="BY214" s="38">
        <v>0.85450000000000004</v>
      </c>
      <c r="BZ214" s="39">
        <v>34.1</v>
      </c>
      <c r="CA214" s="33"/>
      <c r="CB214" s="37">
        <v>854</v>
      </c>
      <c r="CC214" s="38">
        <v>0.15891</v>
      </c>
      <c r="CD214" s="42">
        <v>6.2930000000000001</v>
      </c>
      <c r="CE214" s="33"/>
      <c r="CF214" s="33"/>
      <c r="CG214" s="33"/>
      <c r="CH214" s="33"/>
      <c r="CI214" s="33"/>
      <c r="CJ214" s="33"/>
      <c r="CK214" s="33"/>
      <c r="CL214" s="40">
        <v>854</v>
      </c>
      <c r="CM214" s="43">
        <v>852.9</v>
      </c>
      <c r="CN214" s="41">
        <v>1.1725000000000001</v>
      </c>
      <c r="CO214" s="33"/>
      <c r="CP214" s="40">
        <v>854</v>
      </c>
      <c r="CQ214" s="34">
        <v>0.94020000000000004</v>
      </c>
      <c r="CR214" s="41">
        <v>0.83940000000000003</v>
      </c>
      <c r="CS214" s="33"/>
      <c r="CT214" s="40">
        <v>854</v>
      </c>
      <c r="CU214" s="44">
        <v>309.87</v>
      </c>
      <c r="CV214" s="42">
        <v>7.3780000000000001</v>
      </c>
    </row>
    <row r="215" spans="4:100">
      <c r="D215" s="30">
        <v>20.5</v>
      </c>
      <c r="E215" s="31">
        <v>0.93089999999999995</v>
      </c>
      <c r="F215" s="32">
        <v>930.4</v>
      </c>
      <c r="G215" s="33"/>
      <c r="H215" s="30">
        <v>20.5</v>
      </c>
      <c r="I215" s="34">
        <v>3.7839</v>
      </c>
      <c r="J215" s="35">
        <v>0.15892000000000001</v>
      </c>
      <c r="L215" s="30">
        <v>20.5</v>
      </c>
      <c r="M215" s="172">
        <v>7.7519999999999998</v>
      </c>
      <c r="N215" s="173">
        <v>0.129</v>
      </c>
      <c r="P215" s="30">
        <v>20.5</v>
      </c>
      <c r="Q215" s="172">
        <v>3.8761000000000001</v>
      </c>
      <c r="R215" s="173">
        <v>0.1628</v>
      </c>
      <c r="T215" s="30">
        <v>20.5</v>
      </c>
      <c r="U215" s="172">
        <v>257.99</v>
      </c>
      <c r="V215" s="173">
        <v>6.1429999999999998</v>
      </c>
      <c r="X215" s="30">
        <v>20.5</v>
      </c>
      <c r="Y215" s="34">
        <v>3.4607999999999999</v>
      </c>
      <c r="Z215" s="35">
        <v>0.14535000000000001</v>
      </c>
      <c r="AA215" s="36"/>
      <c r="AB215" s="30">
        <v>20.5</v>
      </c>
      <c r="AC215" s="44">
        <v>288.95</v>
      </c>
      <c r="AD215" s="35">
        <v>6.88</v>
      </c>
      <c r="AE215" s="36"/>
      <c r="AF215" s="30">
        <v>20.5</v>
      </c>
      <c r="AG215" s="34">
        <v>3.5163000000000002</v>
      </c>
      <c r="AH215" s="35">
        <v>0.14768999999999999</v>
      </c>
      <c r="AI215" s="35"/>
      <c r="AJ215" s="35">
        <v>0.11448999999999999</v>
      </c>
      <c r="AK215" s="998">
        <v>64.5</v>
      </c>
      <c r="AM215" s="30">
        <v>20.5</v>
      </c>
      <c r="AN215" s="34">
        <v>0.97619999999999996</v>
      </c>
      <c r="AO215" s="35">
        <v>1.0932999999999999</v>
      </c>
      <c r="AQ215" s="197">
        <v>0.85499999999999998</v>
      </c>
      <c r="AR215" s="200">
        <v>34</v>
      </c>
      <c r="AS215" s="199">
        <v>854.5</v>
      </c>
      <c r="AZ215" s="197">
        <v>0.85499999999999998</v>
      </c>
      <c r="BA215" s="198">
        <v>7.1191000000000004</v>
      </c>
      <c r="BB215" s="199">
        <v>0.14047000000000001</v>
      </c>
      <c r="BD215" s="197">
        <v>0.85499999999999998</v>
      </c>
      <c r="BE215" s="198">
        <v>3.5596000000000001</v>
      </c>
      <c r="BF215" s="199">
        <v>0.14949999999999999</v>
      </c>
      <c r="BH215" s="197">
        <v>0.85499999999999998</v>
      </c>
      <c r="BI215" s="198">
        <v>280.93</v>
      </c>
      <c r="BJ215" s="199">
        <v>6.6890000000000001</v>
      </c>
      <c r="BL215" s="197">
        <v>0.85499999999999998</v>
      </c>
      <c r="BM215" s="198">
        <v>3.1781999999999999</v>
      </c>
      <c r="BN215" s="199">
        <v>0.13347999999999999</v>
      </c>
      <c r="BP215" s="197">
        <v>0.85499999999999998</v>
      </c>
      <c r="BQ215" s="200">
        <v>314.64</v>
      </c>
      <c r="BR215" s="199">
        <v>7.492</v>
      </c>
      <c r="BT215" s="197">
        <v>0.85499999999999998</v>
      </c>
      <c r="BU215" s="201">
        <v>1.0629999999999999</v>
      </c>
      <c r="BV215" s="202">
        <v>1.1904999999999999</v>
      </c>
      <c r="BX215" s="37">
        <v>855</v>
      </c>
      <c r="BY215" s="38">
        <v>0.85550000000000004</v>
      </c>
      <c r="BZ215" s="39">
        <v>33.909999999999997</v>
      </c>
      <c r="CA215" s="33"/>
      <c r="CB215" s="37">
        <v>855</v>
      </c>
      <c r="CC215" s="38">
        <v>0.15891</v>
      </c>
      <c r="CD215" s="42">
        <v>6.2930000000000001</v>
      </c>
      <c r="CE215" s="33"/>
      <c r="CF215" s="33"/>
      <c r="CG215" s="33"/>
      <c r="CH215" s="33"/>
      <c r="CI215" s="33"/>
      <c r="CJ215" s="33"/>
      <c r="CK215" s="33"/>
      <c r="CL215" s="40">
        <v>855</v>
      </c>
      <c r="CM215" s="43">
        <v>853.9</v>
      </c>
      <c r="CN215" s="41">
        <v>1.1711</v>
      </c>
      <c r="CO215" s="33"/>
      <c r="CP215" s="40">
        <v>855</v>
      </c>
      <c r="CQ215" s="34">
        <v>0.94130000000000003</v>
      </c>
      <c r="CR215" s="41">
        <v>0.84040000000000004</v>
      </c>
      <c r="CS215" s="33"/>
      <c r="CT215" s="40">
        <v>855</v>
      </c>
      <c r="CU215" s="44">
        <v>309.51</v>
      </c>
      <c r="CV215" s="42">
        <v>7.3689999999999998</v>
      </c>
    </row>
    <row r="216" spans="4:100">
      <c r="D216" s="30">
        <v>20.6</v>
      </c>
      <c r="E216" s="31">
        <v>0.93030000000000002</v>
      </c>
      <c r="F216" s="32">
        <v>929.8</v>
      </c>
      <c r="G216" s="33"/>
      <c r="H216" s="30">
        <v>20.6</v>
      </c>
      <c r="I216" s="34">
        <v>3.7839</v>
      </c>
      <c r="J216" s="35">
        <v>0.15892000000000001</v>
      </c>
      <c r="L216" s="30">
        <v>20.6</v>
      </c>
      <c r="M216" s="172">
        <v>7.7469999999999999</v>
      </c>
      <c r="N216" s="173">
        <v>0.12908</v>
      </c>
      <c r="P216" s="30">
        <v>20.6</v>
      </c>
      <c r="Q216" s="172">
        <v>3.8736000000000002</v>
      </c>
      <c r="R216" s="173">
        <v>0.16269</v>
      </c>
      <c r="T216" s="30">
        <v>20.6</v>
      </c>
      <c r="U216" s="172">
        <v>258.16000000000003</v>
      </c>
      <c r="V216" s="173">
        <v>6.1470000000000002</v>
      </c>
      <c r="X216" s="30">
        <v>20.6</v>
      </c>
      <c r="Y216" s="34">
        <v>3.4584999999999999</v>
      </c>
      <c r="Z216" s="35">
        <v>0.14526</v>
      </c>
      <c r="AA216" s="36"/>
      <c r="AB216" s="30">
        <v>20.6</v>
      </c>
      <c r="AC216" s="44">
        <v>289.14</v>
      </c>
      <c r="AD216" s="35">
        <v>6.8840000000000003</v>
      </c>
      <c r="AE216" s="36"/>
      <c r="AF216" s="30">
        <v>20.6</v>
      </c>
      <c r="AG216" s="34">
        <v>3.5139999999999998</v>
      </c>
      <c r="AH216" s="35">
        <v>0.14759</v>
      </c>
      <c r="AI216" s="35"/>
      <c r="AJ216" s="35">
        <v>0.11455</v>
      </c>
      <c r="AK216" s="998">
        <v>64.400000000000006</v>
      </c>
      <c r="AM216" s="30">
        <v>20.6</v>
      </c>
      <c r="AN216" s="34">
        <v>0.9768</v>
      </c>
      <c r="AO216" s="35">
        <v>1.0941000000000001</v>
      </c>
      <c r="AQ216" s="197">
        <v>0.85599999999999998</v>
      </c>
      <c r="AR216" s="200">
        <v>33.799999999999997</v>
      </c>
      <c r="AS216" s="199">
        <v>855.5</v>
      </c>
      <c r="AZ216" s="197">
        <v>0.85599999999999998</v>
      </c>
      <c r="BA216" s="198">
        <v>7.1275000000000004</v>
      </c>
      <c r="BB216" s="199">
        <v>0.14030000000000001</v>
      </c>
      <c r="BD216" s="197">
        <v>0.85599999999999998</v>
      </c>
      <c r="BE216" s="198">
        <v>3.5636999999999999</v>
      </c>
      <c r="BF216" s="199">
        <v>0.14968000000000001</v>
      </c>
      <c r="BH216" s="197">
        <v>0.85599999999999998</v>
      </c>
      <c r="BI216" s="198">
        <v>280.60000000000002</v>
      </c>
      <c r="BJ216" s="199">
        <v>6.681</v>
      </c>
      <c r="BL216" s="197">
        <v>0.85599999999999998</v>
      </c>
      <c r="BM216" s="198">
        <v>3.1819000000000002</v>
      </c>
      <c r="BN216" s="199">
        <v>0.13364000000000001</v>
      </c>
      <c r="BP216" s="197">
        <v>0.85599999999999998</v>
      </c>
      <c r="BQ216" s="200">
        <v>314.27999999999997</v>
      </c>
      <c r="BR216" s="199">
        <v>7.4829999999999997</v>
      </c>
      <c r="BT216" s="197">
        <v>0.85599999999999998</v>
      </c>
      <c r="BU216" s="201">
        <v>1.0617000000000001</v>
      </c>
      <c r="BV216" s="202">
        <v>1.1891</v>
      </c>
      <c r="BX216" s="37">
        <v>856</v>
      </c>
      <c r="BY216" s="38">
        <v>0.85650000000000004</v>
      </c>
      <c r="BZ216" s="39">
        <v>33.72</v>
      </c>
      <c r="CA216" s="33"/>
      <c r="CB216" s="37">
        <v>856</v>
      </c>
      <c r="CC216" s="38">
        <v>0.15891</v>
      </c>
      <c r="CD216" s="42">
        <v>6.2930000000000001</v>
      </c>
      <c r="CE216" s="33"/>
      <c r="CF216" s="33"/>
      <c r="CG216" s="33"/>
      <c r="CH216" s="33"/>
      <c r="CI216" s="33"/>
      <c r="CJ216" s="33"/>
      <c r="CK216" s="33"/>
      <c r="CL216" s="40">
        <v>856</v>
      </c>
      <c r="CM216" s="43">
        <v>854.9</v>
      </c>
      <c r="CN216" s="41">
        <v>1.1697</v>
      </c>
      <c r="CO216" s="33"/>
      <c r="CP216" s="40">
        <v>856</v>
      </c>
      <c r="CQ216" s="34">
        <v>0.94240000000000002</v>
      </c>
      <c r="CR216" s="41">
        <v>0.84140000000000004</v>
      </c>
      <c r="CS216" s="33"/>
      <c r="CT216" s="40">
        <v>856</v>
      </c>
      <c r="CU216" s="44">
        <v>309.14999999999998</v>
      </c>
      <c r="CV216" s="42">
        <v>7.3609999999999998</v>
      </c>
    </row>
    <row r="217" spans="4:100">
      <c r="D217" s="30">
        <v>20.7</v>
      </c>
      <c r="E217" s="31">
        <v>0.92969999999999997</v>
      </c>
      <c r="F217" s="32">
        <v>929.2</v>
      </c>
      <c r="G217" s="33"/>
      <c r="H217" s="30">
        <v>20.7</v>
      </c>
      <c r="I217" s="34">
        <v>3.7839</v>
      </c>
      <c r="J217" s="35">
        <v>0.15892000000000001</v>
      </c>
      <c r="L217" s="30">
        <v>20.7</v>
      </c>
      <c r="M217" s="172">
        <v>7.742</v>
      </c>
      <c r="N217" s="173">
        <v>0.12917000000000001</v>
      </c>
      <c r="P217" s="30">
        <v>20.7</v>
      </c>
      <c r="Q217" s="172">
        <v>3.871</v>
      </c>
      <c r="R217" s="173">
        <v>0.16258</v>
      </c>
      <c r="T217" s="30">
        <v>20.7</v>
      </c>
      <c r="U217" s="172">
        <v>258.33</v>
      </c>
      <c r="V217" s="173">
        <v>6.1509999999999998</v>
      </c>
      <c r="X217" s="30">
        <v>20.7</v>
      </c>
      <c r="Y217" s="34">
        <v>3.4563000000000001</v>
      </c>
      <c r="Z217" s="35">
        <v>0.14516000000000001</v>
      </c>
      <c r="AA217" s="36"/>
      <c r="AB217" s="30">
        <v>20.7</v>
      </c>
      <c r="AC217" s="44">
        <v>289.33</v>
      </c>
      <c r="AD217" s="35">
        <v>6.8890000000000002</v>
      </c>
      <c r="AE217" s="36"/>
      <c r="AF217" s="30">
        <v>20.7</v>
      </c>
      <c r="AG217" s="34">
        <v>3.5116999999999998</v>
      </c>
      <c r="AH217" s="35">
        <v>0.14749000000000001</v>
      </c>
      <c r="AI217" s="35"/>
      <c r="AJ217" s="35">
        <v>0.11461</v>
      </c>
      <c r="AK217" s="998">
        <v>64.3</v>
      </c>
      <c r="AM217" s="30">
        <v>20.7</v>
      </c>
      <c r="AN217" s="34">
        <v>0.97750000000000004</v>
      </c>
      <c r="AO217" s="35">
        <v>1.0948</v>
      </c>
      <c r="AQ217" s="197">
        <v>0.85699999999999998</v>
      </c>
      <c r="AR217" s="200">
        <v>33.61</v>
      </c>
      <c r="AS217" s="199">
        <v>856.5</v>
      </c>
      <c r="AZ217" s="197">
        <v>0.85699999999999998</v>
      </c>
      <c r="BA217" s="198">
        <v>7.1357999999999997</v>
      </c>
      <c r="BB217" s="199">
        <v>0.14013999999999999</v>
      </c>
      <c r="BD217" s="197">
        <v>0.85699999999999998</v>
      </c>
      <c r="BE217" s="198">
        <v>3.5678999999999998</v>
      </c>
      <c r="BF217" s="199">
        <v>0.14985000000000001</v>
      </c>
      <c r="BH217" s="197">
        <v>0.85699999999999998</v>
      </c>
      <c r="BI217" s="198">
        <v>280.27999999999997</v>
      </c>
      <c r="BJ217" s="199">
        <v>6.673</v>
      </c>
      <c r="BL217" s="197">
        <v>0.85699999999999998</v>
      </c>
      <c r="BM217" s="198">
        <v>3.1856</v>
      </c>
      <c r="BN217" s="199">
        <v>0.1338</v>
      </c>
      <c r="BP217" s="197">
        <v>0.85699999999999998</v>
      </c>
      <c r="BQ217" s="200">
        <v>313.91000000000003</v>
      </c>
      <c r="BR217" s="199">
        <v>7.4740000000000002</v>
      </c>
      <c r="BT217" s="197">
        <v>0.85699999999999998</v>
      </c>
      <c r="BU217" s="201">
        <v>1.0605</v>
      </c>
      <c r="BV217" s="202">
        <v>1.1877</v>
      </c>
      <c r="BX217" s="37">
        <v>857</v>
      </c>
      <c r="BY217" s="38">
        <v>0.85750000000000004</v>
      </c>
      <c r="BZ217" s="39">
        <v>33.520000000000003</v>
      </c>
      <c r="CA217" s="33"/>
      <c r="CB217" s="37">
        <v>857</v>
      </c>
      <c r="CC217" s="38">
        <v>0.15891</v>
      </c>
      <c r="CD217" s="42">
        <v>6.2930000000000001</v>
      </c>
      <c r="CE217" s="33"/>
      <c r="CF217" s="33"/>
      <c r="CG217" s="33"/>
      <c r="CH217" s="33"/>
      <c r="CI217" s="33"/>
      <c r="CJ217" s="33"/>
      <c r="CK217" s="33"/>
      <c r="CL217" s="40">
        <v>857</v>
      </c>
      <c r="CM217" s="43">
        <v>855.9</v>
      </c>
      <c r="CN217" s="41">
        <v>1.1682999999999999</v>
      </c>
      <c r="CO217" s="33"/>
      <c r="CP217" s="40">
        <v>857</v>
      </c>
      <c r="CQ217" s="34">
        <v>0.94350000000000001</v>
      </c>
      <c r="CR217" s="41">
        <v>0.84240000000000004</v>
      </c>
      <c r="CS217" s="33"/>
      <c r="CT217" s="40">
        <v>857</v>
      </c>
      <c r="CU217" s="44">
        <v>308.77999999999997</v>
      </c>
      <c r="CV217" s="42">
        <v>7.3520000000000003</v>
      </c>
    </row>
    <row r="218" spans="4:100">
      <c r="D218" s="30">
        <v>20.8</v>
      </c>
      <c r="E218" s="31">
        <v>0.92910000000000004</v>
      </c>
      <c r="F218" s="32">
        <v>928.6</v>
      </c>
      <c r="G218" s="33"/>
      <c r="H218" s="30">
        <v>20.8</v>
      </c>
      <c r="I218" s="34">
        <v>3.7839</v>
      </c>
      <c r="J218" s="35">
        <v>0.15892000000000001</v>
      </c>
      <c r="L218" s="30">
        <v>20.8</v>
      </c>
      <c r="M218" s="172">
        <v>7.7370000000000001</v>
      </c>
      <c r="N218" s="173">
        <v>0.12925</v>
      </c>
      <c r="P218" s="30">
        <v>20.8</v>
      </c>
      <c r="Q218" s="172">
        <v>3.8685</v>
      </c>
      <c r="R218" s="173">
        <v>0.16248000000000001</v>
      </c>
      <c r="T218" s="30">
        <v>20.8</v>
      </c>
      <c r="U218" s="172">
        <v>258.5</v>
      </c>
      <c r="V218" s="173">
        <v>6.1550000000000002</v>
      </c>
      <c r="X218" s="30">
        <v>20.8</v>
      </c>
      <c r="Y218" s="34">
        <v>3.4540000000000002</v>
      </c>
      <c r="Z218" s="35">
        <v>0.14507</v>
      </c>
      <c r="AA218" s="36"/>
      <c r="AB218" s="30">
        <v>20.8</v>
      </c>
      <c r="AC218" s="44">
        <v>289.52</v>
      </c>
      <c r="AD218" s="35">
        <v>6.8929999999999998</v>
      </c>
      <c r="AE218" s="36"/>
      <c r="AF218" s="30">
        <v>20.8</v>
      </c>
      <c r="AG218" s="34">
        <v>3.5093999999999999</v>
      </c>
      <c r="AH218" s="35">
        <v>0.1474</v>
      </c>
      <c r="AI218" s="35"/>
      <c r="AJ218" s="35">
        <v>0.11466</v>
      </c>
      <c r="AK218" s="998">
        <v>64.2</v>
      </c>
      <c r="AM218" s="30">
        <v>20.8</v>
      </c>
      <c r="AN218" s="34">
        <v>0.97809999999999997</v>
      </c>
      <c r="AO218" s="35">
        <v>1.0954999999999999</v>
      </c>
      <c r="AQ218" s="197">
        <v>0.85799999999999998</v>
      </c>
      <c r="AR218" s="200">
        <v>33.42</v>
      </c>
      <c r="AS218" s="199">
        <v>857.5</v>
      </c>
      <c r="AZ218" s="197">
        <v>0.85799999999999998</v>
      </c>
      <c r="BA218" s="198">
        <v>7.1441999999999997</v>
      </c>
      <c r="BB218" s="199">
        <v>0.13997000000000001</v>
      </c>
      <c r="BD218" s="197">
        <v>0.85799999999999998</v>
      </c>
      <c r="BE218" s="198">
        <v>3.5720999999999998</v>
      </c>
      <c r="BF218" s="199">
        <v>0.15003</v>
      </c>
      <c r="BH218" s="197">
        <v>0.85799999999999998</v>
      </c>
      <c r="BI218" s="198">
        <v>279.95</v>
      </c>
      <c r="BJ218" s="199">
        <v>6.665</v>
      </c>
      <c r="BL218" s="197">
        <v>0.85799999999999998</v>
      </c>
      <c r="BM218" s="198">
        <v>3.1894</v>
      </c>
      <c r="BN218" s="199">
        <v>0.13395000000000001</v>
      </c>
      <c r="BP218" s="197">
        <v>0.85799999999999998</v>
      </c>
      <c r="BQ218" s="200">
        <v>313.54000000000002</v>
      </c>
      <c r="BR218" s="199">
        <v>7.4649999999999999</v>
      </c>
      <c r="BT218" s="197">
        <v>0.85799999999999998</v>
      </c>
      <c r="BU218" s="201">
        <v>1.0591999999999999</v>
      </c>
      <c r="BV218" s="202">
        <v>1.1862999999999999</v>
      </c>
      <c r="BX218" s="37">
        <v>858</v>
      </c>
      <c r="BY218" s="38">
        <v>0.85850000000000004</v>
      </c>
      <c r="BZ218" s="39">
        <v>33.33</v>
      </c>
      <c r="CA218" s="33"/>
      <c r="CB218" s="37">
        <v>858</v>
      </c>
      <c r="CC218" s="38">
        <v>0.15891</v>
      </c>
      <c r="CD218" s="42">
        <v>6.2930000000000001</v>
      </c>
      <c r="CE218" s="33"/>
      <c r="CF218" s="33"/>
      <c r="CG218" s="33"/>
      <c r="CH218" s="33"/>
      <c r="CI218" s="33"/>
      <c r="CJ218" s="33"/>
      <c r="CK218" s="33"/>
      <c r="CL218" s="40">
        <v>858</v>
      </c>
      <c r="CM218" s="43">
        <v>856.9</v>
      </c>
      <c r="CN218" s="41">
        <v>1.167</v>
      </c>
      <c r="CO218" s="33"/>
      <c r="CP218" s="40">
        <v>858</v>
      </c>
      <c r="CQ218" s="34">
        <v>0.9446</v>
      </c>
      <c r="CR218" s="41">
        <v>0.84340000000000004</v>
      </c>
      <c r="CS218" s="33"/>
      <c r="CT218" s="40">
        <v>858</v>
      </c>
      <c r="CU218" s="44">
        <v>308.42</v>
      </c>
      <c r="CV218" s="42">
        <v>7.343</v>
      </c>
    </row>
    <row r="219" spans="4:100">
      <c r="D219" s="30">
        <v>20.9</v>
      </c>
      <c r="E219" s="31">
        <v>0.92849999999999999</v>
      </c>
      <c r="F219" s="32">
        <v>927.9</v>
      </c>
      <c r="G219" s="33"/>
      <c r="H219" s="30">
        <v>20.9</v>
      </c>
      <c r="I219" s="34">
        <v>3.7839</v>
      </c>
      <c r="J219" s="35">
        <v>0.15892000000000001</v>
      </c>
      <c r="L219" s="30">
        <v>20.9</v>
      </c>
      <c r="M219" s="172">
        <v>7.7320000000000002</v>
      </c>
      <c r="N219" s="173">
        <v>0.12934000000000001</v>
      </c>
      <c r="P219" s="30">
        <v>20.9</v>
      </c>
      <c r="Q219" s="172">
        <v>3.8658999999999999</v>
      </c>
      <c r="R219" s="173">
        <v>0.16236999999999999</v>
      </c>
      <c r="T219" s="30">
        <v>20.9</v>
      </c>
      <c r="U219" s="172">
        <v>258.67</v>
      </c>
      <c r="V219" s="173">
        <v>6.1589999999999998</v>
      </c>
      <c r="X219" s="30">
        <v>20.9</v>
      </c>
      <c r="Y219" s="34">
        <v>3.4517000000000002</v>
      </c>
      <c r="Z219" s="35">
        <v>0.14496999999999999</v>
      </c>
      <c r="AA219" s="36"/>
      <c r="AB219" s="30">
        <v>20.9</v>
      </c>
      <c r="AC219" s="44">
        <v>289.70999999999998</v>
      </c>
      <c r="AD219" s="35">
        <v>6.8979999999999997</v>
      </c>
      <c r="AE219" s="36"/>
      <c r="AF219" s="30">
        <v>20.9</v>
      </c>
      <c r="AG219" s="34">
        <v>3.5070999999999999</v>
      </c>
      <c r="AH219" s="35">
        <v>0.14729999999999999</v>
      </c>
      <c r="AI219" s="35"/>
      <c r="AJ219" s="35">
        <v>0.11472</v>
      </c>
      <c r="AK219" s="998">
        <v>64.099999999999994</v>
      </c>
      <c r="AM219" s="30">
        <v>20.9</v>
      </c>
      <c r="AN219" s="34">
        <v>0.9788</v>
      </c>
      <c r="AO219" s="35">
        <v>1.0962000000000001</v>
      </c>
      <c r="AQ219" s="197">
        <v>0.85899999999999999</v>
      </c>
      <c r="AR219" s="200">
        <v>33.229999999999997</v>
      </c>
      <c r="AS219" s="199">
        <v>858.5</v>
      </c>
      <c r="AZ219" s="197">
        <v>0.85899999999999999</v>
      </c>
      <c r="BA219" s="198">
        <v>7.1524999999999999</v>
      </c>
      <c r="BB219" s="199">
        <v>0.13980999999999999</v>
      </c>
      <c r="BD219" s="197">
        <v>0.85899999999999999</v>
      </c>
      <c r="BE219" s="198">
        <v>3.5762</v>
      </c>
      <c r="BF219" s="199">
        <v>0.1502</v>
      </c>
      <c r="BH219" s="197">
        <v>0.85899999999999999</v>
      </c>
      <c r="BI219" s="198">
        <v>279.62</v>
      </c>
      <c r="BJ219" s="199">
        <v>6.6580000000000004</v>
      </c>
      <c r="BL219" s="197">
        <v>0.85899999999999999</v>
      </c>
      <c r="BM219" s="198">
        <v>3.1930999999999998</v>
      </c>
      <c r="BN219" s="199">
        <v>0.13411000000000001</v>
      </c>
      <c r="BP219" s="197">
        <v>0.85899999999999999</v>
      </c>
      <c r="BQ219" s="200">
        <v>313.18</v>
      </c>
      <c r="BR219" s="199">
        <v>7.4569999999999999</v>
      </c>
      <c r="BT219" s="197">
        <v>0.85899999999999999</v>
      </c>
      <c r="BU219" s="201">
        <v>1.0580000000000001</v>
      </c>
      <c r="BV219" s="202">
        <v>1.1850000000000001</v>
      </c>
      <c r="BX219" s="37">
        <v>859</v>
      </c>
      <c r="BY219" s="38">
        <v>0.85950000000000004</v>
      </c>
      <c r="BZ219" s="39">
        <v>33.14</v>
      </c>
      <c r="CA219" s="33"/>
      <c r="CB219" s="37">
        <v>859</v>
      </c>
      <c r="CC219" s="38">
        <v>0.15891</v>
      </c>
      <c r="CD219" s="42">
        <v>6.2930000000000001</v>
      </c>
      <c r="CE219" s="33"/>
      <c r="CF219" s="33"/>
      <c r="CG219" s="33"/>
      <c r="CH219" s="33"/>
      <c r="CI219" s="33"/>
      <c r="CJ219" s="33"/>
      <c r="CK219" s="33"/>
      <c r="CL219" s="40">
        <v>859</v>
      </c>
      <c r="CM219" s="43">
        <v>857.9</v>
      </c>
      <c r="CN219" s="41">
        <v>1.1656</v>
      </c>
      <c r="CO219" s="33"/>
      <c r="CP219" s="40">
        <v>859</v>
      </c>
      <c r="CQ219" s="34">
        <v>0.94569999999999999</v>
      </c>
      <c r="CR219" s="41">
        <v>0.84440000000000004</v>
      </c>
      <c r="CS219" s="33"/>
      <c r="CT219" s="40">
        <v>859</v>
      </c>
      <c r="CU219" s="44">
        <v>308.06</v>
      </c>
      <c r="CV219" s="42">
        <v>7.335</v>
      </c>
    </row>
    <row r="220" spans="4:100">
      <c r="D220" s="30">
        <v>21</v>
      </c>
      <c r="E220" s="31">
        <v>0.92789999999999995</v>
      </c>
      <c r="F220" s="32">
        <v>927.3</v>
      </c>
      <c r="G220" s="33"/>
      <c r="H220" s="30">
        <v>21</v>
      </c>
      <c r="I220" s="34">
        <v>3.7839</v>
      </c>
      <c r="J220" s="35">
        <v>0.15892000000000001</v>
      </c>
      <c r="L220" s="30">
        <v>21</v>
      </c>
      <c r="M220" s="172">
        <v>7.7270000000000003</v>
      </c>
      <c r="N220" s="173">
        <v>0.12942000000000001</v>
      </c>
      <c r="P220" s="30">
        <v>21</v>
      </c>
      <c r="Q220" s="172">
        <v>3.8633999999999999</v>
      </c>
      <c r="R220" s="173">
        <v>0.16225999999999999</v>
      </c>
      <c r="T220" s="30">
        <v>21</v>
      </c>
      <c r="U220" s="172">
        <v>258.83999999999997</v>
      </c>
      <c r="V220" s="173">
        <v>6.1630000000000003</v>
      </c>
      <c r="X220" s="30">
        <v>21</v>
      </c>
      <c r="Y220" s="34">
        <v>3.4493999999999998</v>
      </c>
      <c r="Z220" s="35">
        <v>0.14488000000000001</v>
      </c>
      <c r="AA220" s="36"/>
      <c r="AB220" s="30">
        <v>21</v>
      </c>
      <c r="AC220" s="44">
        <v>289.89999999999998</v>
      </c>
      <c r="AD220" s="35">
        <v>6.9020000000000001</v>
      </c>
      <c r="AE220" s="36"/>
      <c r="AF220" s="30">
        <v>21</v>
      </c>
      <c r="AG220" s="34">
        <v>3.5047999999999999</v>
      </c>
      <c r="AH220" s="35">
        <v>0.1472</v>
      </c>
      <c r="AI220" s="35"/>
      <c r="AJ220" s="35">
        <v>0.11477999999999999</v>
      </c>
      <c r="AK220" s="998">
        <v>64</v>
      </c>
      <c r="AM220" s="30">
        <v>21</v>
      </c>
      <c r="AN220" s="34">
        <v>0.97940000000000005</v>
      </c>
      <c r="AO220" s="35">
        <v>1.0969</v>
      </c>
      <c r="AQ220" s="197">
        <v>0.86</v>
      </c>
      <c r="AR220" s="200">
        <v>33.03</v>
      </c>
      <c r="AS220" s="199">
        <v>859.5</v>
      </c>
      <c r="AZ220" s="197">
        <v>0.86</v>
      </c>
      <c r="BA220" s="198">
        <v>7.1608000000000001</v>
      </c>
      <c r="BB220" s="199">
        <v>0.13965</v>
      </c>
      <c r="BD220" s="197">
        <v>0.86</v>
      </c>
      <c r="BE220" s="198">
        <v>3.5804</v>
      </c>
      <c r="BF220" s="199">
        <v>0.15038000000000001</v>
      </c>
      <c r="BH220" s="197">
        <v>0.86</v>
      </c>
      <c r="BI220" s="198">
        <v>279.3</v>
      </c>
      <c r="BJ220" s="199">
        <v>6.65</v>
      </c>
      <c r="BL220" s="197">
        <v>0.86</v>
      </c>
      <c r="BM220" s="198">
        <v>3.1968000000000001</v>
      </c>
      <c r="BN220" s="199">
        <v>0.13427</v>
      </c>
      <c r="BP220" s="197">
        <v>0.86</v>
      </c>
      <c r="BQ220" s="200">
        <v>312.81</v>
      </c>
      <c r="BR220" s="199">
        <v>7.4480000000000004</v>
      </c>
      <c r="BT220" s="197">
        <v>0.86</v>
      </c>
      <c r="BU220" s="201">
        <v>1.0568</v>
      </c>
      <c r="BV220" s="202">
        <v>1.1836</v>
      </c>
      <c r="BX220" s="37">
        <v>860</v>
      </c>
      <c r="BY220" s="38">
        <v>0.86050000000000004</v>
      </c>
      <c r="BZ220" s="39">
        <v>32.950000000000003</v>
      </c>
      <c r="CA220" s="33"/>
      <c r="CB220" s="37">
        <v>860</v>
      </c>
      <c r="CC220" s="38">
        <v>0.15892000000000001</v>
      </c>
      <c r="CD220" s="42">
        <v>6.2930000000000001</v>
      </c>
      <c r="CE220" s="33"/>
      <c r="CF220" s="33"/>
      <c r="CG220" s="33"/>
      <c r="CH220" s="33"/>
      <c r="CI220" s="33"/>
      <c r="CJ220" s="33"/>
      <c r="CK220" s="33"/>
      <c r="CL220" s="40">
        <v>860</v>
      </c>
      <c r="CM220" s="43">
        <v>858.9</v>
      </c>
      <c r="CN220" s="41">
        <v>1.1642999999999999</v>
      </c>
      <c r="CO220" s="33"/>
      <c r="CP220" s="40">
        <v>860</v>
      </c>
      <c r="CQ220" s="34">
        <v>0.94679999999999997</v>
      </c>
      <c r="CR220" s="41">
        <v>0.84530000000000005</v>
      </c>
      <c r="CS220" s="33"/>
      <c r="CT220" s="40">
        <v>860</v>
      </c>
      <c r="CU220" s="44">
        <v>307.70999999999998</v>
      </c>
      <c r="CV220" s="42">
        <v>7.3259999999999996</v>
      </c>
    </row>
    <row r="221" spans="4:100">
      <c r="D221" s="30">
        <v>21.1</v>
      </c>
      <c r="E221" s="31">
        <v>0.92730000000000001</v>
      </c>
      <c r="F221" s="32">
        <v>926.7</v>
      </c>
      <c r="G221" s="33"/>
      <c r="H221" s="30">
        <v>21.1</v>
      </c>
      <c r="I221" s="34">
        <v>3.7839</v>
      </c>
      <c r="J221" s="35">
        <v>0.15892000000000001</v>
      </c>
      <c r="L221" s="30">
        <v>21.1</v>
      </c>
      <c r="M221" s="172">
        <v>7.7220000000000004</v>
      </c>
      <c r="N221" s="173">
        <v>0.12950999999999999</v>
      </c>
      <c r="P221" s="30">
        <v>21.1</v>
      </c>
      <c r="Q221" s="172">
        <v>3.8607999999999998</v>
      </c>
      <c r="R221" s="173">
        <v>0.16216</v>
      </c>
      <c r="T221" s="30">
        <v>21.1</v>
      </c>
      <c r="U221" s="172">
        <v>259.01</v>
      </c>
      <c r="V221" s="173">
        <v>6.1669999999999998</v>
      </c>
      <c r="X221" s="30">
        <v>21.1</v>
      </c>
      <c r="Y221" s="34">
        <v>3.4472</v>
      </c>
      <c r="Z221" s="35">
        <v>0.14477999999999999</v>
      </c>
      <c r="AA221" s="36"/>
      <c r="AB221" s="30">
        <v>21.1</v>
      </c>
      <c r="AC221" s="44">
        <v>290.08999999999997</v>
      </c>
      <c r="AD221" s="35">
        <v>6.907</v>
      </c>
      <c r="AE221" s="36"/>
      <c r="AF221" s="30">
        <v>21.1</v>
      </c>
      <c r="AG221" s="34">
        <v>3.5024999999999999</v>
      </c>
      <c r="AH221" s="35">
        <v>0.14710000000000001</v>
      </c>
      <c r="AI221" s="35"/>
      <c r="AJ221" s="35">
        <v>0.11484</v>
      </c>
      <c r="AK221" s="998">
        <v>63.9</v>
      </c>
      <c r="AM221" s="30">
        <v>21.1</v>
      </c>
      <c r="AN221" s="34">
        <v>0.98009999999999997</v>
      </c>
      <c r="AO221" s="35">
        <v>1.0976999999999999</v>
      </c>
      <c r="AQ221" s="197">
        <v>0.86099999999999999</v>
      </c>
      <c r="AR221" s="200">
        <v>32.840000000000003</v>
      </c>
      <c r="AS221" s="199">
        <v>860.5</v>
      </c>
      <c r="AZ221" s="197">
        <v>0.86099999999999999</v>
      </c>
      <c r="BA221" s="198">
        <v>7.1692</v>
      </c>
      <c r="BB221" s="199">
        <v>0.13949</v>
      </c>
      <c r="BD221" s="197">
        <v>0.86099999999999999</v>
      </c>
      <c r="BE221" s="198">
        <v>3.5846</v>
      </c>
      <c r="BF221" s="199">
        <v>0.15054999999999999</v>
      </c>
      <c r="BH221" s="197">
        <v>0.86099999999999999</v>
      </c>
      <c r="BI221" s="198">
        <v>278.97000000000003</v>
      </c>
      <c r="BJ221" s="199">
        <v>6.6420000000000003</v>
      </c>
      <c r="BL221" s="197">
        <v>0.86099999999999999</v>
      </c>
      <c r="BM221" s="198">
        <v>3.2004999999999999</v>
      </c>
      <c r="BN221" s="199">
        <v>0.13442000000000001</v>
      </c>
      <c r="BP221" s="197">
        <v>0.86099999999999999</v>
      </c>
      <c r="BQ221" s="200">
        <v>312.45</v>
      </c>
      <c r="BR221" s="199">
        <v>7.4390000000000001</v>
      </c>
      <c r="BT221" s="197">
        <v>0.86099999999999999</v>
      </c>
      <c r="BU221" s="201">
        <v>1.0555000000000001</v>
      </c>
      <c r="BV221" s="202">
        <v>1.1821999999999999</v>
      </c>
      <c r="BX221" s="37">
        <v>861</v>
      </c>
      <c r="BY221" s="38">
        <v>0.86150000000000004</v>
      </c>
      <c r="BZ221" s="39">
        <v>32.76</v>
      </c>
      <c r="CA221" s="33"/>
      <c r="CB221" s="37">
        <v>861</v>
      </c>
      <c r="CC221" s="38">
        <v>0.15892000000000001</v>
      </c>
      <c r="CD221" s="42">
        <v>6.2930000000000001</v>
      </c>
      <c r="CE221" s="33"/>
      <c r="CF221" s="33"/>
      <c r="CG221" s="33"/>
      <c r="CH221" s="33"/>
      <c r="CI221" s="33"/>
      <c r="CJ221" s="33"/>
      <c r="CK221" s="33"/>
      <c r="CL221" s="40">
        <v>861</v>
      </c>
      <c r="CM221" s="43">
        <v>859.9</v>
      </c>
      <c r="CN221" s="41">
        <v>1.1629</v>
      </c>
      <c r="CO221" s="33"/>
      <c r="CP221" s="40">
        <v>861</v>
      </c>
      <c r="CQ221" s="34">
        <v>0.94789999999999996</v>
      </c>
      <c r="CR221" s="41">
        <v>0.84630000000000005</v>
      </c>
      <c r="CS221" s="33"/>
      <c r="CT221" s="40">
        <v>861</v>
      </c>
      <c r="CU221" s="44">
        <v>307.35000000000002</v>
      </c>
      <c r="CV221" s="42">
        <v>7.3179999999999996</v>
      </c>
    </row>
    <row r="222" spans="4:100">
      <c r="D222" s="30">
        <v>21.2</v>
      </c>
      <c r="E222" s="31">
        <v>0.92669999999999997</v>
      </c>
      <c r="F222" s="32">
        <v>926.1</v>
      </c>
      <c r="G222" s="33"/>
      <c r="H222" s="30">
        <v>21.2</v>
      </c>
      <c r="I222" s="34">
        <v>3.7837999999999998</v>
      </c>
      <c r="J222" s="35">
        <v>0.15892000000000001</v>
      </c>
      <c r="L222" s="30">
        <v>21.2</v>
      </c>
      <c r="M222" s="172">
        <v>7.7169999999999996</v>
      </c>
      <c r="N222" s="173">
        <v>0.12959000000000001</v>
      </c>
      <c r="P222" s="30">
        <v>21.2</v>
      </c>
      <c r="Q222" s="172">
        <v>3.8582999999999998</v>
      </c>
      <c r="R222" s="173">
        <v>0.16205</v>
      </c>
      <c r="T222" s="30">
        <v>21.2</v>
      </c>
      <c r="U222" s="172">
        <v>259.18</v>
      </c>
      <c r="V222" s="173">
        <v>6.1710000000000003</v>
      </c>
      <c r="X222" s="30">
        <v>21.2</v>
      </c>
      <c r="Y222" s="34">
        <v>3.4449000000000001</v>
      </c>
      <c r="Z222" s="35">
        <v>0.14469000000000001</v>
      </c>
      <c r="AA222" s="36"/>
      <c r="AB222" s="30">
        <v>21.2</v>
      </c>
      <c r="AC222" s="44">
        <v>290.27999999999997</v>
      </c>
      <c r="AD222" s="35">
        <v>6.9109999999999996</v>
      </c>
      <c r="AE222" s="36"/>
      <c r="AF222" s="30">
        <v>21.2</v>
      </c>
      <c r="AG222" s="34">
        <v>3.5002</v>
      </c>
      <c r="AH222" s="35">
        <v>0.14701</v>
      </c>
      <c r="AI222" s="35"/>
      <c r="AJ222" s="35">
        <v>0.1149</v>
      </c>
      <c r="AK222" s="998">
        <v>63.8</v>
      </c>
      <c r="AM222" s="30">
        <v>21.2</v>
      </c>
      <c r="AN222" s="34">
        <v>0.98070000000000002</v>
      </c>
      <c r="AO222" s="35">
        <v>1.0984</v>
      </c>
      <c r="AQ222" s="197">
        <v>0.86199999999999999</v>
      </c>
      <c r="AR222" s="200">
        <v>32.65</v>
      </c>
      <c r="AS222" s="199">
        <v>861.5</v>
      </c>
      <c r="AZ222" s="197">
        <v>0.86199999999999999</v>
      </c>
      <c r="BA222" s="198">
        <v>7.1775000000000002</v>
      </c>
      <c r="BB222" s="199">
        <v>0.13932</v>
      </c>
      <c r="BD222" s="197">
        <v>0.86199999999999999</v>
      </c>
      <c r="BE222" s="198">
        <v>3.5888</v>
      </c>
      <c r="BF222" s="199">
        <v>0.15073</v>
      </c>
      <c r="BH222" s="197">
        <v>0.86199999999999999</v>
      </c>
      <c r="BI222" s="198">
        <v>278.64999999999998</v>
      </c>
      <c r="BJ222" s="199">
        <v>6.6340000000000003</v>
      </c>
      <c r="BL222" s="197">
        <v>0.86199999999999999</v>
      </c>
      <c r="BM222" s="198">
        <v>3.2042000000000002</v>
      </c>
      <c r="BN222" s="199">
        <v>0.13458000000000001</v>
      </c>
      <c r="BP222" s="197">
        <v>0.86199999999999999</v>
      </c>
      <c r="BQ222" s="200">
        <v>312.08999999999997</v>
      </c>
      <c r="BR222" s="199">
        <v>7.431</v>
      </c>
      <c r="BT222" s="197">
        <v>0.86199999999999999</v>
      </c>
      <c r="BU222" s="201">
        <v>1.0543</v>
      </c>
      <c r="BV222" s="202">
        <v>1.1808000000000001</v>
      </c>
      <c r="BX222" s="37">
        <v>862</v>
      </c>
      <c r="BY222" s="38">
        <v>0.86250000000000004</v>
      </c>
      <c r="BZ222" s="39">
        <v>32.57</v>
      </c>
      <c r="CA222" s="33"/>
      <c r="CB222" s="37">
        <v>862</v>
      </c>
      <c r="CC222" s="38">
        <v>0.15892000000000001</v>
      </c>
      <c r="CD222" s="42">
        <v>6.2930000000000001</v>
      </c>
      <c r="CE222" s="33"/>
      <c r="CF222" s="33"/>
      <c r="CG222" s="33"/>
      <c r="CH222" s="33"/>
      <c r="CI222" s="33"/>
      <c r="CJ222" s="33"/>
      <c r="CK222" s="33"/>
      <c r="CL222" s="40">
        <v>862</v>
      </c>
      <c r="CM222" s="43">
        <v>860.9</v>
      </c>
      <c r="CN222" s="41">
        <v>1.1616</v>
      </c>
      <c r="CO222" s="33"/>
      <c r="CP222" s="40">
        <v>862</v>
      </c>
      <c r="CQ222" s="34">
        <v>0.94899999999999995</v>
      </c>
      <c r="CR222" s="41">
        <v>0.84730000000000005</v>
      </c>
      <c r="CS222" s="33"/>
      <c r="CT222" s="40">
        <v>862</v>
      </c>
      <c r="CU222" s="44">
        <v>306.99</v>
      </c>
      <c r="CV222" s="42">
        <v>7.3090000000000002</v>
      </c>
    </row>
    <row r="223" spans="4:100">
      <c r="D223" s="30">
        <v>21.3</v>
      </c>
      <c r="E223" s="31">
        <v>0.92600000000000005</v>
      </c>
      <c r="F223" s="32">
        <v>925.5</v>
      </c>
      <c r="G223" s="33"/>
      <c r="H223" s="30">
        <v>21.3</v>
      </c>
      <c r="I223" s="34">
        <v>3.7837999999999998</v>
      </c>
      <c r="J223" s="35">
        <v>0.15892000000000001</v>
      </c>
      <c r="L223" s="30">
        <v>21.3</v>
      </c>
      <c r="M223" s="172">
        <v>7.7119999999999997</v>
      </c>
      <c r="N223" s="173">
        <v>0.12967999999999999</v>
      </c>
      <c r="P223" s="30">
        <v>21.3</v>
      </c>
      <c r="Q223" s="172">
        <v>3.8557999999999999</v>
      </c>
      <c r="R223" s="173">
        <v>0.16194</v>
      </c>
      <c r="T223" s="30">
        <v>21.3</v>
      </c>
      <c r="U223" s="172">
        <v>259.35000000000002</v>
      </c>
      <c r="V223" s="173">
        <v>6.1749999999999998</v>
      </c>
      <c r="X223" s="30">
        <v>21.3</v>
      </c>
      <c r="Y223" s="34">
        <v>3.4426999999999999</v>
      </c>
      <c r="Z223" s="35">
        <v>0.14459</v>
      </c>
      <c r="AA223" s="36"/>
      <c r="AB223" s="30">
        <v>21.3</v>
      </c>
      <c r="AC223" s="44">
        <v>290.47000000000003</v>
      </c>
      <c r="AD223" s="35">
        <v>6.9160000000000004</v>
      </c>
      <c r="AE223" s="36"/>
      <c r="AF223" s="30">
        <v>21.3</v>
      </c>
      <c r="AG223" s="34">
        <v>3.4979</v>
      </c>
      <c r="AH223" s="35">
        <v>0.14691000000000001</v>
      </c>
      <c r="AI223" s="35"/>
      <c r="AJ223" s="35">
        <v>0.11496000000000001</v>
      </c>
      <c r="AK223" s="998">
        <v>63.7</v>
      </c>
      <c r="AM223" s="30">
        <v>21.3</v>
      </c>
      <c r="AN223" s="34">
        <v>0.98129999999999995</v>
      </c>
      <c r="AO223" s="35">
        <v>1.0991</v>
      </c>
      <c r="AQ223" s="197">
        <v>0.86299999999999999</v>
      </c>
      <c r="AR223" s="200">
        <v>32.46</v>
      </c>
      <c r="AS223" s="199">
        <v>862.5</v>
      </c>
      <c r="AZ223" s="197">
        <v>0.86299999999999999</v>
      </c>
      <c r="BA223" s="198">
        <v>7.1859000000000002</v>
      </c>
      <c r="BB223" s="199">
        <v>0.13916000000000001</v>
      </c>
      <c r="BD223" s="197">
        <v>0.86299999999999999</v>
      </c>
      <c r="BE223" s="198">
        <v>3.5929000000000002</v>
      </c>
      <c r="BF223" s="199">
        <v>0.15090000000000001</v>
      </c>
      <c r="BH223" s="197">
        <v>0.86299999999999999</v>
      </c>
      <c r="BI223" s="198">
        <v>278.32</v>
      </c>
      <c r="BJ223" s="199">
        <v>6.6269999999999998</v>
      </c>
      <c r="BL223" s="197">
        <v>0.86299999999999999</v>
      </c>
      <c r="BM223" s="198">
        <v>3.2080000000000002</v>
      </c>
      <c r="BN223" s="199">
        <v>0.13472999999999999</v>
      </c>
      <c r="BP223" s="197">
        <v>0.86299999999999999</v>
      </c>
      <c r="BQ223" s="200">
        <v>311.72000000000003</v>
      </c>
      <c r="BR223" s="199">
        <v>7.4219999999999997</v>
      </c>
      <c r="BT223" s="197">
        <v>0.86299999999999999</v>
      </c>
      <c r="BU223" s="201">
        <v>1.0530999999999999</v>
      </c>
      <c r="BV223" s="202">
        <v>1.1795</v>
      </c>
      <c r="BX223" s="37">
        <v>863</v>
      </c>
      <c r="BY223" s="38">
        <v>0.86350000000000005</v>
      </c>
      <c r="BZ223" s="39">
        <v>32.380000000000003</v>
      </c>
      <c r="CA223" s="33"/>
      <c r="CB223" s="37">
        <v>863</v>
      </c>
      <c r="CC223" s="38">
        <v>0.15892000000000001</v>
      </c>
      <c r="CD223" s="42">
        <v>6.2930000000000001</v>
      </c>
      <c r="CE223" s="33"/>
      <c r="CF223" s="33"/>
      <c r="CG223" s="33"/>
      <c r="CH223" s="33"/>
      <c r="CI223" s="33"/>
      <c r="CJ223" s="33"/>
      <c r="CK223" s="33"/>
      <c r="CL223" s="40">
        <v>863</v>
      </c>
      <c r="CM223" s="43">
        <v>861.9</v>
      </c>
      <c r="CN223" s="41">
        <v>1.1601999999999999</v>
      </c>
      <c r="CO223" s="33"/>
      <c r="CP223" s="40">
        <v>863</v>
      </c>
      <c r="CQ223" s="34">
        <v>0.95009999999999994</v>
      </c>
      <c r="CR223" s="41">
        <v>0.84830000000000005</v>
      </c>
      <c r="CS223" s="33"/>
      <c r="CT223" s="40">
        <v>863</v>
      </c>
      <c r="CU223" s="44">
        <v>306.63</v>
      </c>
      <c r="CV223" s="42">
        <v>7.3010000000000002</v>
      </c>
    </row>
    <row r="224" spans="4:100">
      <c r="D224" s="30">
        <v>21.4</v>
      </c>
      <c r="E224" s="31">
        <v>0.9254</v>
      </c>
      <c r="F224" s="32">
        <v>924.9</v>
      </c>
      <c r="G224" s="33"/>
      <c r="H224" s="30">
        <v>21.4</v>
      </c>
      <c r="I224" s="34">
        <v>3.7837999999999998</v>
      </c>
      <c r="J224" s="35">
        <v>0.15892000000000001</v>
      </c>
      <c r="L224" s="30">
        <v>21.4</v>
      </c>
      <c r="M224" s="172">
        <v>7.7069999999999999</v>
      </c>
      <c r="N224" s="173">
        <v>0.12975999999999999</v>
      </c>
      <c r="P224" s="30">
        <v>21.4</v>
      </c>
      <c r="Q224" s="172">
        <v>3.8532999999999999</v>
      </c>
      <c r="R224" s="173">
        <v>0.16184000000000001</v>
      </c>
      <c r="T224" s="30">
        <v>21.4</v>
      </c>
      <c r="U224" s="172">
        <v>259.52</v>
      </c>
      <c r="V224" s="173">
        <v>6.1789999999999896</v>
      </c>
      <c r="X224" s="30">
        <v>21.4</v>
      </c>
      <c r="Y224" s="34">
        <v>3.4403999999999999</v>
      </c>
      <c r="Z224" s="35">
        <v>0.14449999999999999</v>
      </c>
      <c r="AA224" s="36"/>
      <c r="AB224" s="30">
        <v>21.4</v>
      </c>
      <c r="AC224" s="44">
        <v>290.66000000000003</v>
      </c>
      <c r="AD224" s="35">
        <v>6.9210000000000003</v>
      </c>
      <c r="AE224" s="36"/>
      <c r="AF224" s="30">
        <v>21.4</v>
      </c>
      <c r="AG224" s="34">
        <v>3.4956</v>
      </c>
      <c r="AH224" s="35">
        <v>0.14682000000000001</v>
      </c>
      <c r="AI224" s="35"/>
      <c r="AJ224" s="35">
        <v>0.11502</v>
      </c>
      <c r="AK224" s="998">
        <v>63.6</v>
      </c>
      <c r="AM224" s="30">
        <v>21.4</v>
      </c>
      <c r="AN224" s="34">
        <v>0.98199999999999998</v>
      </c>
      <c r="AO224" s="35">
        <v>1.0998000000000001</v>
      </c>
      <c r="AQ224" s="197">
        <v>0.86399999999999999</v>
      </c>
      <c r="AR224" s="200">
        <v>32.270000000000003</v>
      </c>
      <c r="AS224" s="199">
        <v>863.5</v>
      </c>
      <c r="AZ224" s="197">
        <v>0.86399999999999999</v>
      </c>
      <c r="BA224" s="198">
        <v>7.1942000000000004</v>
      </c>
      <c r="BB224" s="199">
        <v>0.13900000000000001</v>
      </c>
      <c r="BD224" s="197">
        <v>0.86399999999999999</v>
      </c>
      <c r="BE224" s="198">
        <v>3.5971000000000002</v>
      </c>
      <c r="BF224" s="199">
        <v>0.15107999999999999</v>
      </c>
      <c r="BH224" s="197">
        <v>0.86399999999999999</v>
      </c>
      <c r="BI224" s="198">
        <v>278</v>
      </c>
      <c r="BJ224" s="199">
        <v>6.6189999999999998</v>
      </c>
      <c r="BL224" s="197">
        <v>0.86399999999999999</v>
      </c>
      <c r="BM224" s="198">
        <v>3.2117</v>
      </c>
      <c r="BN224" s="199">
        <v>0.13489000000000001</v>
      </c>
      <c r="BP224" s="197">
        <v>0.86399999999999999</v>
      </c>
      <c r="BQ224" s="200">
        <v>311.36</v>
      </c>
      <c r="BR224" s="199">
        <v>7.4130000000000003</v>
      </c>
      <c r="BT224" s="197">
        <v>0.86399999999999999</v>
      </c>
      <c r="BU224" s="201">
        <v>1.0519000000000001</v>
      </c>
      <c r="BV224" s="202">
        <v>1.1780999999999999</v>
      </c>
      <c r="BX224" s="37">
        <v>864</v>
      </c>
      <c r="BY224" s="38">
        <v>0.86450000000000005</v>
      </c>
      <c r="BZ224" s="39">
        <v>32.19</v>
      </c>
      <c r="CA224" s="33"/>
      <c r="CB224" s="37">
        <v>864</v>
      </c>
      <c r="CC224" s="38">
        <v>0.15892000000000001</v>
      </c>
      <c r="CD224" s="42">
        <v>6.2930000000000001</v>
      </c>
      <c r="CE224" s="33"/>
      <c r="CF224" s="33"/>
      <c r="CG224" s="33"/>
      <c r="CH224" s="33"/>
      <c r="CI224" s="33"/>
      <c r="CJ224" s="33"/>
      <c r="CK224" s="33"/>
      <c r="CL224" s="40">
        <v>864</v>
      </c>
      <c r="CM224" s="43">
        <v>862.9</v>
      </c>
      <c r="CN224" s="41">
        <v>1.1589</v>
      </c>
      <c r="CO224" s="33"/>
      <c r="CP224" s="40">
        <v>864</v>
      </c>
      <c r="CQ224" s="34">
        <v>0.95120000000000005</v>
      </c>
      <c r="CR224" s="41">
        <v>0.84930000000000005</v>
      </c>
      <c r="CS224" s="33"/>
      <c r="CT224" s="40">
        <v>864</v>
      </c>
      <c r="CU224" s="44">
        <v>306.27999999999997</v>
      </c>
      <c r="CV224" s="42">
        <v>7.2919999999999998</v>
      </c>
    </row>
    <row r="225" spans="4:100">
      <c r="D225" s="30">
        <v>21.5</v>
      </c>
      <c r="E225" s="31">
        <v>0.92479999999999996</v>
      </c>
      <c r="F225" s="32">
        <v>924.3</v>
      </c>
      <c r="G225" s="33"/>
      <c r="H225" s="30">
        <v>21.5</v>
      </c>
      <c r="I225" s="34">
        <v>3.7837999999999998</v>
      </c>
      <c r="J225" s="35">
        <v>0.15892000000000001</v>
      </c>
      <c r="L225" s="30">
        <v>21.5</v>
      </c>
      <c r="M225" s="172">
        <v>7.7009999999999996</v>
      </c>
      <c r="N225" s="173">
        <v>0.12984999999999999</v>
      </c>
      <c r="P225" s="30">
        <v>21.5</v>
      </c>
      <c r="Q225" s="172">
        <v>3.8506999999999998</v>
      </c>
      <c r="R225" s="173">
        <v>0.16173000000000001</v>
      </c>
      <c r="T225" s="30">
        <v>21.5</v>
      </c>
      <c r="U225" s="172">
        <v>259.69</v>
      </c>
      <c r="V225" s="173">
        <v>6.1829999999999901</v>
      </c>
      <c r="X225" s="30">
        <v>21.5</v>
      </c>
      <c r="Y225" s="34">
        <v>3.4382000000000001</v>
      </c>
      <c r="Z225" s="35">
        <v>0.1444</v>
      </c>
      <c r="AA225" s="36"/>
      <c r="AB225" s="30">
        <v>21.5</v>
      </c>
      <c r="AC225" s="44">
        <v>290.85000000000002</v>
      </c>
      <c r="AD225" s="35">
        <v>6.9249999999999998</v>
      </c>
      <c r="AE225" s="36"/>
      <c r="AF225" s="30">
        <v>21.5</v>
      </c>
      <c r="AG225" s="34">
        <v>3.4933000000000001</v>
      </c>
      <c r="AH225" s="35">
        <v>0.14671999999999999</v>
      </c>
      <c r="AI225" s="35"/>
      <c r="AJ225" s="35">
        <v>0.11508</v>
      </c>
      <c r="AK225" s="998">
        <v>63.5</v>
      </c>
      <c r="AM225" s="30">
        <v>21.5</v>
      </c>
      <c r="AN225" s="34">
        <v>0.98260000000000003</v>
      </c>
      <c r="AO225" s="35">
        <v>1.1005</v>
      </c>
      <c r="AQ225" s="197">
        <v>0.86499999999999999</v>
      </c>
      <c r="AR225" s="200">
        <v>32.08</v>
      </c>
      <c r="AS225" s="199">
        <v>864.5</v>
      </c>
      <c r="AZ225" s="197">
        <v>0.86499999999999999</v>
      </c>
      <c r="BA225" s="198">
        <v>7.2024999999999997</v>
      </c>
      <c r="BB225" s="199">
        <v>0.13883999999999999</v>
      </c>
      <c r="BD225" s="197">
        <v>0.86499999999999999</v>
      </c>
      <c r="BE225" s="198">
        <v>3.6013000000000002</v>
      </c>
      <c r="BF225" s="199">
        <v>0.15125</v>
      </c>
      <c r="BH225" s="197">
        <v>0.86499999999999999</v>
      </c>
      <c r="BI225" s="198">
        <v>277.68</v>
      </c>
      <c r="BJ225" s="199">
        <v>6.6109999999999998</v>
      </c>
      <c r="BL225" s="197">
        <v>0.86499999999999999</v>
      </c>
      <c r="BM225" s="198">
        <v>3.2153999999999998</v>
      </c>
      <c r="BN225" s="199">
        <v>0.13505</v>
      </c>
      <c r="BP225" s="197">
        <v>0.86499999999999999</v>
      </c>
      <c r="BQ225" s="200">
        <v>311</v>
      </c>
      <c r="BR225" s="199">
        <v>7.4050000000000002</v>
      </c>
      <c r="BT225" s="197">
        <v>0.86499999999999999</v>
      </c>
      <c r="BU225" s="201">
        <v>1.0507</v>
      </c>
      <c r="BV225" s="202">
        <v>1.1767000000000001</v>
      </c>
      <c r="BX225" s="37">
        <v>865</v>
      </c>
      <c r="BY225" s="38">
        <v>0.86550000000000005</v>
      </c>
      <c r="BZ225" s="39">
        <v>32</v>
      </c>
      <c r="CA225" s="33"/>
      <c r="CB225" s="37">
        <v>865</v>
      </c>
      <c r="CC225" s="38">
        <v>0.15892000000000001</v>
      </c>
      <c r="CD225" s="42">
        <v>6.2930000000000001</v>
      </c>
      <c r="CE225" s="33"/>
      <c r="CF225" s="33"/>
      <c r="CG225" s="33"/>
      <c r="CH225" s="33"/>
      <c r="CI225" s="33"/>
      <c r="CJ225" s="33"/>
      <c r="CK225" s="33"/>
      <c r="CL225" s="40">
        <v>865</v>
      </c>
      <c r="CM225" s="43">
        <v>863.9</v>
      </c>
      <c r="CN225" s="41">
        <v>1.1575</v>
      </c>
      <c r="CO225" s="33"/>
      <c r="CP225" s="40">
        <v>865</v>
      </c>
      <c r="CQ225" s="34">
        <v>0.95230000000000004</v>
      </c>
      <c r="CR225" s="41">
        <v>0.85029999999999994</v>
      </c>
      <c r="CS225" s="33"/>
      <c r="CT225" s="40">
        <v>865</v>
      </c>
      <c r="CU225" s="44">
        <v>305.92</v>
      </c>
      <c r="CV225" s="42">
        <v>7.2839999999999998</v>
      </c>
    </row>
    <row r="226" spans="4:100">
      <c r="D226" s="30">
        <v>21.6</v>
      </c>
      <c r="E226" s="31">
        <v>0.92420000000000002</v>
      </c>
      <c r="F226" s="32">
        <v>923.7</v>
      </c>
      <c r="G226" s="33"/>
      <c r="H226" s="30">
        <v>21.6</v>
      </c>
      <c r="I226" s="34">
        <v>3.7837999999999998</v>
      </c>
      <c r="J226" s="35">
        <v>0.15892000000000001</v>
      </c>
      <c r="L226" s="30">
        <v>21.6</v>
      </c>
      <c r="M226" s="172">
        <v>7.6959999999999997</v>
      </c>
      <c r="N226" s="173">
        <v>0.12992999999999999</v>
      </c>
      <c r="P226" s="30">
        <v>21.6</v>
      </c>
      <c r="Q226" s="172">
        <v>3.8481999999999998</v>
      </c>
      <c r="R226" s="173">
        <v>0.16163</v>
      </c>
      <c r="T226" s="30">
        <v>21.6</v>
      </c>
      <c r="U226" s="172">
        <v>259.86</v>
      </c>
      <c r="V226" s="173">
        <v>6.1869999999999896</v>
      </c>
      <c r="X226" s="30">
        <v>21.6</v>
      </c>
      <c r="Y226" s="34">
        <v>3.4359000000000002</v>
      </c>
      <c r="Z226" s="35">
        <v>0.14430999999999999</v>
      </c>
      <c r="AA226" s="36"/>
      <c r="AB226" s="30">
        <v>21.6</v>
      </c>
      <c r="AC226" s="44">
        <v>291.04000000000002</v>
      </c>
      <c r="AD226" s="35">
        <v>6.93</v>
      </c>
      <c r="AE226" s="36"/>
      <c r="AF226" s="30">
        <v>21.6</v>
      </c>
      <c r="AG226" s="34">
        <v>3.4910000000000001</v>
      </c>
      <c r="AH226" s="35">
        <v>0.14662</v>
      </c>
      <c r="AI226" s="35"/>
      <c r="AJ226" s="35">
        <v>0.11514000000000001</v>
      </c>
      <c r="AK226" s="998">
        <v>63.4</v>
      </c>
      <c r="AM226" s="30">
        <v>21.6</v>
      </c>
      <c r="AN226" s="34">
        <v>0.98329999999999995</v>
      </c>
      <c r="AO226" s="35">
        <v>1.1012999999999999</v>
      </c>
      <c r="AQ226" s="197">
        <v>0.86599999999999999</v>
      </c>
      <c r="AR226" s="200">
        <v>31.89</v>
      </c>
      <c r="AS226" s="199">
        <v>865.5</v>
      </c>
      <c r="AZ226" s="197">
        <v>0.86599999999999999</v>
      </c>
      <c r="BA226" s="198">
        <v>7.2108999999999996</v>
      </c>
      <c r="BB226" s="199">
        <v>0.13868</v>
      </c>
      <c r="BD226" s="197">
        <v>0.86599999999999999</v>
      </c>
      <c r="BE226" s="198">
        <v>3.6053999999999999</v>
      </c>
      <c r="BF226" s="199">
        <v>0.15143000000000001</v>
      </c>
      <c r="BH226" s="197">
        <v>0.86599999999999999</v>
      </c>
      <c r="BI226" s="198">
        <v>277.36</v>
      </c>
      <c r="BJ226" s="199">
        <v>6.6040000000000001</v>
      </c>
      <c r="BL226" s="197">
        <v>0.86599999999999999</v>
      </c>
      <c r="BM226" s="198">
        <v>3.2191000000000001</v>
      </c>
      <c r="BN226" s="199">
        <v>0.13519999999999999</v>
      </c>
      <c r="BP226" s="197">
        <v>0.86599999999999999</v>
      </c>
      <c r="BQ226" s="200">
        <v>310.64</v>
      </c>
      <c r="BR226" s="199">
        <v>7.3959999999999999</v>
      </c>
      <c r="BT226" s="197">
        <v>0.86599999999999999</v>
      </c>
      <c r="BU226" s="201">
        <v>1.0494000000000001</v>
      </c>
      <c r="BV226" s="202">
        <v>1.1754</v>
      </c>
      <c r="BX226" s="37">
        <v>866</v>
      </c>
      <c r="BY226" s="38">
        <v>0.86650000000000005</v>
      </c>
      <c r="BZ226" s="39">
        <v>31.81</v>
      </c>
      <c r="CA226" s="33"/>
      <c r="CB226" s="37">
        <v>866</v>
      </c>
      <c r="CC226" s="38">
        <v>0.15892000000000001</v>
      </c>
      <c r="CD226" s="42">
        <v>6.2930000000000001</v>
      </c>
      <c r="CE226" s="33"/>
      <c r="CF226" s="33"/>
      <c r="CG226" s="33"/>
      <c r="CH226" s="33"/>
      <c r="CI226" s="33"/>
      <c r="CJ226" s="33"/>
      <c r="CK226" s="33"/>
      <c r="CL226" s="40">
        <v>866</v>
      </c>
      <c r="CM226" s="43">
        <v>864.9</v>
      </c>
      <c r="CN226" s="41">
        <v>1.1561999999999999</v>
      </c>
      <c r="CO226" s="33"/>
      <c r="CP226" s="40">
        <v>866</v>
      </c>
      <c r="CQ226" s="34">
        <v>0.95340000000000003</v>
      </c>
      <c r="CR226" s="41">
        <v>0.85129999999999995</v>
      </c>
      <c r="CS226" s="33"/>
      <c r="CT226" s="40">
        <v>866</v>
      </c>
      <c r="CU226" s="44">
        <v>305.57</v>
      </c>
      <c r="CV226" s="42">
        <v>7.2750000000000004</v>
      </c>
    </row>
    <row r="227" spans="4:100">
      <c r="D227" s="30">
        <v>21.7</v>
      </c>
      <c r="E227" s="31">
        <v>0.92359999999999998</v>
      </c>
      <c r="F227" s="32">
        <v>923.1</v>
      </c>
      <c r="G227" s="33"/>
      <c r="H227" s="30">
        <v>21.7</v>
      </c>
      <c r="I227" s="34">
        <v>3.7837999999999998</v>
      </c>
      <c r="J227" s="35">
        <v>0.15892000000000001</v>
      </c>
      <c r="L227" s="30">
        <v>21.7</v>
      </c>
      <c r="M227" s="172">
        <v>7.6909999999999998</v>
      </c>
      <c r="N227" s="173">
        <v>0.13002</v>
      </c>
      <c r="P227" s="30">
        <v>21.7</v>
      </c>
      <c r="Q227" s="172">
        <v>3.8456999999999999</v>
      </c>
      <c r="R227" s="173">
        <v>0.16152</v>
      </c>
      <c r="T227" s="30">
        <v>21.7</v>
      </c>
      <c r="U227" s="172">
        <v>260.02999999999997</v>
      </c>
      <c r="V227" s="173">
        <v>6.1909999999999901</v>
      </c>
      <c r="X227" s="30">
        <v>21.7</v>
      </c>
      <c r="Y227" s="34">
        <v>3.4337</v>
      </c>
      <c r="Z227" s="35">
        <v>0.14421</v>
      </c>
      <c r="AA227" s="36"/>
      <c r="AB227" s="30">
        <v>21.7</v>
      </c>
      <c r="AC227" s="44">
        <v>291.23</v>
      </c>
      <c r="AD227" s="35">
        <v>6.9340000000000002</v>
      </c>
      <c r="AE227" s="36"/>
      <c r="AF227" s="30">
        <v>21.7</v>
      </c>
      <c r="AG227" s="34">
        <v>3.4887999999999999</v>
      </c>
      <c r="AH227" s="35">
        <v>0.14652999999999999</v>
      </c>
      <c r="AI227" s="35"/>
      <c r="AJ227" s="35">
        <v>0.1152</v>
      </c>
      <c r="AK227" s="998">
        <v>63.3</v>
      </c>
      <c r="AM227" s="30">
        <v>21.7</v>
      </c>
      <c r="AN227" s="34">
        <v>0.9839</v>
      </c>
      <c r="AO227" s="35">
        <v>1.1020000000000001</v>
      </c>
      <c r="AQ227" s="197">
        <v>0.86699999999999999</v>
      </c>
      <c r="AR227" s="200">
        <v>31.71</v>
      </c>
      <c r="AS227" s="199">
        <v>866.5</v>
      </c>
      <c r="AZ227" s="197">
        <v>0.86699999999999999</v>
      </c>
      <c r="BA227" s="198">
        <v>7.2191999999999998</v>
      </c>
      <c r="BB227" s="199">
        <v>0.13852</v>
      </c>
      <c r="BD227" s="197">
        <v>0.86699999999999999</v>
      </c>
      <c r="BE227" s="198">
        <v>3.6095999999999999</v>
      </c>
      <c r="BF227" s="199">
        <v>0.15160000000000001</v>
      </c>
      <c r="BH227" s="197">
        <v>0.86699999999999999</v>
      </c>
      <c r="BI227" s="198">
        <v>277.04000000000002</v>
      </c>
      <c r="BJ227" s="199">
        <v>6.5960000000000001</v>
      </c>
      <c r="BL227" s="197">
        <v>0.86699999999999999</v>
      </c>
      <c r="BM227" s="198">
        <v>3.2229000000000001</v>
      </c>
      <c r="BN227" s="199">
        <v>0.13536000000000001</v>
      </c>
      <c r="BP227" s="197">
        <v>0.86699999999999999</v>
      </c>
      <c r="BQ227" s="200">
        <v>310.27999999999997</v>
      </c>
      <c r="BR227" s="199">
        <v>7.3879999999999999</v>
      </c>
      <c r="BT227" s="197">
        <v>0.86699999999999999</v>
      </c>
      <c r="BU227" s="201">
        <v>1.0482</v>
      </c>
      <c r="BV227" s="202">
        <v>1.1739999999999999</v>
      </c>
      <c r="BX227" s="37">
        <v>867</v>
      </c>
      <c r="BY227" s="38">
        <v>0.86750000000000005</v>
      </c>
      <c r="BZ227" s="39">
        <v>31.62</v>
      </c>
      <c r="CA227" s="33"/>
      <c r="CB227" s="37">
        <v>867</v>
      </c>
      <c r="CC227" s="38">
        <v>0.15892000000000001</v>
      </c>
      <c r="CD227" s="42">
        <v>6.2930000000000001</v>
      </c>
      <c r="CE227" s="33"/>
      <c r="CF227" s="33"/>
      <c r="CG227" s="33"/>
      <c r="CH227" s="33"/>
      <c r="CI227" s="33"/>
      <c r="CJ227" s="33"/>
      <c r="CK227" s="33"/>
      <c r="CL227" s="40">
        <v>867</v>
      </c>
      <c r="CM227" s="43">
        <v>865.9</v>
      </c>
      <c r="CN227" s="41">
        <v>1.1549</v>
      </c>
      <c r="CO227" s="33"/>
      <c r="CP227" s="40">
        <v>867</v>
      </c>
      <c r="CQ227" s="34">
        <v>0.95450000000000002</v>
      </c>
      <c r="CR227" s="41">
        <v>0.85219999999999996</v>
      </c>
      <c r="CS227" s="33"/>
      <c r="CT227" s="40">
        <v>867</v>
      </c>
      <c r="CU227" s="44">
        <v>305.22000000000003</v>
      </c>
      <c r="CV227" s="42">
        <v>7.2670000000000003</v>
      </c>
    </row>
    <row r="228" spans="4:100">
      <c r="D228" s="30">
        <v>21.8</v>
      </c>
      <c r="E228" s="31">
        <v>0.92300000000000004</v>
      </c>
      <c r="F228" s="32">
        <v>922.5</v>
      </c>
      <c r="G228" s="33"/>
      <c r="H228" s="30">
        <v>21.8</v>
      </c>
      <c r="I228" s="34">
        <v>3.7837999999999998</v>
      </c>
      <c r="J228" s="35">
        <v>0.15892000000000001</v>
      </c>
      <c r="L228" s="30">
        <v>21.8</v>
      </c>
      <c r="M228" s="172">
        <v>7.6859999999999999</v>
      </c>
      <c r="N228" s="173">
        <v>0.13009999999999999</v>
      </c>
      <c r="P228" s="30">
        <v>21.8</v>
      </c>
      <c r="Q228" s="172">
        <v>3.8431999999999999</v>
      </c>
      <c r="R228" s="173">
        <v>0.16141</v>
      </c>
      <c r="T228" s="30">
        <v>21.8</v>
      </c>
      <c r="U228" s="172">
        <v>260.2</v>
      </c>
      <c r="V228" s="173">
        <v>6.1949999999999896</v>
      </c>
      <c r="X228" s="30">
        <v>21.8</v>
      </c>
      <c r="Y228" s="34">
        <v>3.4314</v>
      </c>
      <c r="Z228" s="35">
        <v>0.14412</v>
      </c>
      <c r="AA228" s="36"/>
      <c r="AB228" s="30">
        <v>21.8</v>
      </c>
      <c r="AC228" s="44">
        <v>291.42</v>
      </c>
      <c r="AD228" s="35">
        <v>6.9390000000000001</v>
      </c>
      <c r="AE228" s="36"/>
      <c r="AF228" s="30">
        <v>21.8</v>
      </c>
      <c r="AG228" s="34">
        <v>3.4864999999999999</v>
      </c>
      <c r="AH228" s="35">
        <v>0.14643</v>
      </c>
      <c r="AI228" s="35"/>
      <c r="AJ228" s="35">
        <v>0.11525000000000001</v>
      </c>
      <c r="AK228" s="998">
        <v>63.2</v>
      </c>
      <c r="AM228" s="30">
        <v>21.8</v>
      </c>
      <c r="AN228" s="34">
        <v>0.98460000000000003</v>
      </c>
      <c r="AO228" s="35">
        <v>1.1027</v>
      </c>
      <c r="AQ228" s="197">
        <v>0.86799999999999999</v>
      </c>
      <c r="AR228" s="200">
        <v>31.52</v>
      </c>
      <c r="AS228" s="199">
        <v>867.5</v>
      </c>
      <c r="AZ228" s="197">
        <v>0.86799999999999999</v>
      </c>
      <c r="BA228" s="198">
        <v>7.2275</v>
      </c>
      <c r="BB228" s="199">
        <v>0.13836000000000001</v>
      </c>
      <c r="BD228" s="197">
        <v>0.86799999999999999</v>
      </c>
      <c r="BE228" s="198">
        <v>3.6137999999999999</v>
      </c>
      <c r="BF228" s="199">
        <v>0.15178</v>
      </c>
      <c r="BH228" s="197">
        <v>0.86799999999999999</v>
      </c>
      <c r="BI228" s="198">
        <v>276.72000000000003</v>
      </c>
      <c r="BJ228" s="199">
        <v>6.5890000000000004</v>
      </c>
      <c r="BL228" s="197">
        <v>0.86799999999999999</v>
      </c>
      <c r="BM228" s="198">
        <v>3.2265999999999999</v>
      </c>
      <c r="BN228" s="199">
        <v>0.13552</v>
      </c>
      <c r="BP228" s="197">
        <v>0.86799999999999999</v>
      </c>
      <c r="BQ228" s="200">
        <v>309.93</v>
      </c>
      <c r="BR228" s="199">
        <v>7.3789999999999996</v>
      </c>
      <c r="BT228" s="197">
        <v>0.86799999999999999</v>
      </c>
      <c r="BU228" s="201">
        <v>1.0469999999999999</v>
      </c>
      <c r="BV228" s="202">
        <v>1.1727000000000001</v>
      </c>
      <c r="BX228" s="37">
        <v>868</v>
      </c>
      <c r="BY228" s="38">
        <v>0.86850000000000005</v>
      </c>
      <c r="BZ228" s="39">
        <v>31.43</v>
      </c>
      <c r="CA228" s="33"/>
      <c r="CB228" s="37">
        <v>868</v>
      </c>
      <c r="CC228" s="38">
        <v>0.15892000000000001</v>
      </c>
      <c r="CD228" s="42">
        <v>6.2930000000000001</v>
      </c>
      <c r="CE228" s="33"/>
      <c r="CF228" s="33"/>
      <c r="CG228" s="33"/>
      <c r="CH228" s="33"/>
      <c r="CI228" s="33"/>
      <c r="CJ228" s="33"/>
      <c r="CK228" s="33"/>
      <c r="CL228" s="40">
        <v>868</v>
      </c>
      <c r="CM228" s="43">
        <v>866.9</v>
      </c>
      <c r="CN228" s="41">
        <v>1.1535</v>
      </c>
      <c r="CO228" s="33"/>
      <c r="CP228" s="40">
        <v>868</v>
      </c>
      <c r="CQ228" s="34">
        <v>0.9556</v>
      </c>
      <c r="CR228" s="41">
        <v>0.85319999999999996</v>
      </c>
      <c r="CS228" s="33"/>
      <c r="CT228" s="40">
        <v>868</v>
      </c>
      <c r="CU228" s="44">
        <v>304.86</v>
      </c>
      <c r="CV228" s="42">
        <v>7.2590000000000003</v>
      </c>
    </row>
    <row r="229" spans="4:100">
      <c r="D229" s="30">
        <v>21.9</v>
      </c>
      <c r="E229" s="31">
        <v>0.9224</v>
      </c>
      <c r="F229" s="32">
        <v>921.9</v>
      </c>
      <c r="G229" s="33"/>
      <c r="H229" s="30">
        <v>21.9</v>
      </c>
      <c r="I229" s="34">
        <v>3.7837999999999998</v>
      </c>
      <c r="J229" s="35">
        <v>0.15892000000000001</v>
      </c>
      <c r="L229" s="30">
        <v>21.9</v>
      </c>
      <c r="M229" s="172">
        <v>7.681</v>
      </c>
      <c r="N229" s="173">
        <v>0.13019</v>
      </c>
      <c r="P229" s="30">
        <v>21.9</v>
      </c>
      <c r="Q229" s="172">
        <v>3.8407</v>
      </c>
      <c r="R229" s="173">
        <v>0.16131000000000001</v>
      </c>
      <c r="T229" s="30">
        <v>21.9</v>
      </c>
      <c r="U229" s="172">
        <v>260.37</v>
      </c>
      <c r="V229" s="173">
        <v>6.1989999999999901</v>
      </c>
      <c r="X229" s="30">
        <v>21.9</v>
      </c>
      <c r="Y229" s="34">
        <v>3.4291999999999998</v>
      </c>
      <c r="Z229" s="35">
        <v>0.14402999999999999</v>
      </c>
      <c r="AA229" s="36"/>
      <c r="AB229" s="30">
        <v>21.9</v>
      </c>
      <c r="AC229" s="44">
        <v>291.61</v>
      </c>
      <c r="AD229" s="35">
        <v>6.9429999999999996</v>
      </c>
      <c r="AE229" s="36"/>
      <c r="AF229" s="30">
        <v>21.9</v>
      </c>
      <c r="AG229" s="34">
        <v>3.4842</v>
      </c>
      <c r="AH229" s="35">
        <v>0.14634</v>
      </c>
      <c r="AI229" s="35"/>
      <c r="AJ229" s="35">
        <v>0.11531</v>
      </c>
      <c r="AK229" s="998">
        <v>63.1</v>
      </c>
      <c r="AM229" s="30">
        <v>21.9</v>
      </c>
      <c r="AN229" s="34">
        <v>0.98519999999999996</v>
      </c>
      <c r="AO229" s="35">
        <v>1.1033999999999999</v>
      </c>
      <c r="AQ229" s="197">
        <v>0.86899999999999999</v>
      </c>
      <c r="AR229" s="200">
        <v>31.33</v>
      </c>
      <c r="AS229" s="199">
        <v>868.5</v>
      </c>
      <c r="AZ229" s="197">
        <v>0.86899999999999999</v>
      </c>
      <c r="BA229" s="198">
        <v>7.2359</v>
      </c>
      <c r="BB229" s="199">
        <v>0.13819999999999999</v>
      </c>
      <c r="BD229" s="197">
        <v>0.86899999999999999</v>
      </c>
      <c r="BE229" s="198">
        <v>3.6179000000000001</v>
      </c>
      <c r="BF229" s="199">
        <v>0.15195</v>
      </c>
      <c r="BH229" s="197">
        <v>0.86899999999999999</v>
      </c>
      <c r="BI229" s="198">
        <v>276.39999999999998</v>
      </c>
      <c r="BJ229" s="199">
        <v>6.5810000000000004</v>
      </c>
      <c r="BL229" s="197">
        <v>0.86899999999999999</v>
      </c>
      <c r="BM229" s="198">
        <v>3.2303000000000002</v>
      </c>
      <c r="BN229" s="199">
        <v>0.13567000000000001</v>
      </c>
      <c r="BP229" s="197">
        <v>0.86899999999999999</v>
      </c>
      <c r="BQ229" s="200">
        <v>309.57</v>
      </c>
      <c r="BR229" s="199">
        <v>7.3710000000000004</v>
      </c>
      <c r="BT229" s="197">
        <v>0.86899999999999999</v>
      </c>
      <c r="BU229" s="201">
        <v>1.0458000000000001</v>
      </c>
      <c r="BV229" s="202">
        <v>1.1713</v>
      </c>
      <c r="BX229" s="37">
        <v>869</v>
      </c>
      <c r="BY229" s="38">
        <v>0.86950000000000005</v>
      </c>
      <c r="BZ229" s="39">
        <v>31.24</v>
      </c>
      <c r="CA229" s="33"/>
      <c r="CB229" s="37">
        <v>869</v>
      </c>
      <c r="CC229" s="38">
        <v>0.15892000000000001</v>
      </c>
      <c r="CD229" s="42">
        <v>6.2930000000000001</v>
      </c>
      <c r="CE229" s="33"/>
      <c r="CF229" s="33"/>
      <c r="CG229" s="33"/>
      <c r="CH229" s="33"/>
      <c r="CI229" s="33"/>
      <c r="CJ229" s="33"/>
      <c r="CK229" s="33"/>
      <c r="CL229" s="40">
        <v>869</v>
      </c>
      <c r="CM229" s="43">
        <v>867.9</v>
      </c>
      <c r="CN229" s="41">
        <v>1.1521999999999999</v>
      </c>
      <c r="CO229" s="33"/>
      <c r="CP229" s="40">
        <v>869</v>
      </c>
      <c r="CQ229" s="34">
        <v>0.95669999999999999</v>
      </c>
      <c r="CR229" s="41">
        <v>0.85419999999999996</v>
      </c>
      <c r="CS229" s="33"/>
      <c r="CT229" s="40">
        <v>869</v>
      </c>
      <c r="CU229" s="44">
        <v>304.51</v>
      </c>
      <c r="CV229" s="42">
        <v>7.25</v>
      </c>
    </row>
    <row r="230" spans="4:100">
      <c r="D230" s="30">
        <v>22</v>
      </c>
      <c r="E230" s="31">
        <v>0.92179999999999995</v>
      </c>
      <c r="F230" s="32">
        <v>921.3</v>
      </c>
      <c r="G230" s="33"/>
      <c r="H230" s="30">
        <v>22</v>
      </c>
      <c r="I230" s="34">
        <v>3.7837999999999998</v>
      </c>
      <c r="J230" s="35">
        <v>0.15892000000000001</v>
      </c>
      <c r="L230" s="30">
        <v>22</v>
      </c>
      <c r="M230" s="172">
        <v>7.6760000000000002</v>
      </c>
      <c r="N230" s="173">
        <v>0.13027</v>
      </c>
      <c r="P230" s="30">
        <v>22</v>
      </c>
      <c r="Q230" s="172">
        <v>3.8382000000000001</v>
      </c>
      <c r="R230" s="173">
        <v>0.16120000000000001</v>
      </c>
      <c r="T230" s="30">
        <v>22</v>
      </c>
      <c r="U230" s="172">
        <v>260.54000000000002</v>
      </c>
      <c r="V230" s="173">
        <v>6.2029999999999896</v>
      </c>
      <c r="X230" s="30">
        <v>22</v>
      </c>
      <c r="Y230" s="34">
        <v>3.4268999999999998</v>
      </c>
      <c r="Z230" s="35">
        <v>0.14393</v>
      </c>
      <c r="AA230" s="36"/>
      <c r="AB230" s="30">
        <v>22</v>
      </c>
      <c r="AC230" s="44">
        <v>291.81</v>
      </c>
      <c r="AD230" s="35">
        <v>6.9480000000000004</v>
      </c>
      <c r="AE230" s="36"/>
      <c r="AF230" s="30">
        <v>22</v>
      </c>
      <c r="AG230" s="34">
        <v>3.4819</v>
      </c>
      <c r="AH230" s="35">
        <v>0.14624000000000001</v>
      </c>
      <c r="AI230" s="35"/>
      <c r="AJ230" s="35">
        <v>0.11537</v>
      </c>
      <c r="AK230" s="998">
        <v>63</v>
      </c>
      <c r="AM230" s="30">
        <v>22</v>
      </c>
      <c r="AN230" s="34">
        <v>0.98580000000000001</v>
      </c>
      <c r="AO230" s="35">
        <v>1.1041000000000001</v>
      </c>
      <c r="AQ230" s="197">
        <v>0.87</v>
      </c>
      <c r="AR230" s="200">
        <v>31.14</v>
      </c>
      <c r="AS230" s="199">
        <v>869.5</v>
      </c>
      <c r="AZ230" s="197">
        <v>0.87</v>
      </c>
      <c r="BA230" s="198">
        <v>7.2442000000000002</v>
      </c>
      <c r="BB230" s="199">
        <v>0.13804</v>
      </c>
      <c r="BD230" s="197">
        <v>0.87</v>
      </c>
      <c r="BE230" s="198">
        <v>3.6221000000000001</v>
      </c>
      <c r="BF230" s="199">
        <v>0.15212999999999999</v>
      </c>
      <c r="BH230" s="197">
        <v>0.87</v>
      </c>
      <c r="BI230" s="198">
        <v>276.08</v>
      </c>
      <c r="BJ230" s="199">
        <v>6.5730000000000004</v>
      </c>
      <c r="BL230" s="197">
        <v>0.87</v>
      </c>
      <c r="BM230" s="198">
        <v>3.234</v>
      </c>
      <c r="BN230" s="199">
        <v>0.13583000000000001</v>
      </c>
      <c r="BP230" s="197">
        <v>0.87</v>
      </c>
      <c r="BQ230" s="200">
        <v>309.20999999999998</v>
      </c>
      <c r="BR230" s="199">
        <v>7.3620000000000001</v>
      </c>
      <c r="BT230" s="197">
        <v>0.87</v>
      </c>
      <c r="BU230" s="201">
        <v>1.0446</v>
      </c>
      <c r="BV230" s="202">
        <v>1.17</v>
      </c>
      <c r="BX230" s="37">
        <v>870</v>
      </c>
      <c r="BY230" s="38">
        <v>0.87050000000000005</v>
      </c>
      <c r="BZ230" s="39">
        <v>31.06</v>
      </c>
      <c r="CA230" s="33"/>
      <c r="CB230" s="37">
        <v>870</v>
      </c>
      <c r="CC230" s="38">
        <v>0.15892000000000001</v>
      </c>
      <c r="CD230" s="42">
        <v>6.2930000000000001</v>
      </c>
      <c r="CE230" s="33"/>
      <c r="CF230" s="33"/>
      <c r="CG230" s="33"/>
      <c r="CH230" s="33"/>
      <c r="CI230" s="33"/>
      <c r="CJ230" s="33"/>
      <c r="CK230" s="33"/>
      <c r="CL230" s="40">
        <v>870</v>
      </c>
      <c r="CM230" s="43">
        <v>868.9</v>
      </c>
      <c r="CN230" s="41">
        <v>1.1509</v>
      </c>
      <c r="CO230" s="33"/>
      <c r="CP230" s="40">
        <v>870</v>
      </c>
      <c r="CQ230" s="34">
        <v>0.95779999999999998</v>
      </c>
      <c r="CR230" s="41">
        <v>0.85519999999999996</v>
      </c>
      <c r="CS230" s="33"/>
      <c r="CT230" s="40">
        <v>870</v>
      </c>
      <c r="CU230" s="44">
        <v>304.16000000000003</v>
      </c>
      <c r="CV230" s="42">
        <v>7.242</v>
      </c>
    </row>
    <row r="231" spans="4:100">
      <c r="D231" s="30">
        <v>22.1</v>
      </c>
      <c r="E231" s="31">
        <v>0.92120000000000002</v>
      </c>
      <c r="F231" s="32">
        <v>920.7</v>
      </c>
      <c r="G231" s="33"/>
      <c r="H231" s="30">
        <v>22.1</v>
      </c>
      <c r="I231" s="34">
        <v>3.7837999999999998</v>
      </c>
      <c r="J231" s="35">
        <v>0.15892000000000001</v>
      </c>
      <c r="L231" s="30">
        <v>22.1</v>
      </c>
      <c r="M231" s="172">
        <v>7.6710000000000003</v>
      </c>
      <c r="N231" s="173">
        <v>0.13036</v>
      </c>
      <c r="P231" s="30">
        <v>22.1</v>
      </c>
      <c r="Q231" s="172">
        <v>3.8357000000000001</v>
      </c>
      <c r="R231" s="173">
        <v>0.16109999999999999</v>
      </c>
      <c r="T231" s="30">
        <v>22.1</v>
      </c>
      <c r="U231" s="172">
        <v>260.70999999999998</v>
      </c>
      <c r="V231" s="173">
        <v>6.2069999999999901</v>
      </c>
      <c r="X231" s="30">
        <v>22.1</v>
      </c>
      <c r="Y231" s="34">
        <v>3.4247000000000001</v>
      </c>
      <c r="Z231" s="35">
        <v>0.14384</v>
      </c>
      <c r="AA231" s="36"/>
      <c r="AB231" s="30">
        <v>22.1</v>
      </c>
      <c r="AC231" s="44">
        <v>292</v>
      </c>
      <c r="AD231" s="35">
        <v>6.952</v>
      </c>
      <c r="AE231" s="36"/>
      <c r="AF231" s="30">
        <v>22.1</v>
      </c>
      <c r="AG231" s="34">
        <v>3.4796999999999998</v>
      </c>
      <c r="AH231" s="35">
        <v>0.14615</v>
      </c>
      <c r="AI231" s="35"/>
      <c r="AJ231" s="35">
        <v>0.11543</v>
      </c>
      <c r="AK231" s="998">
        <v>62.9</v>
      </c>
      <c r="AM231" s="30">
        <v>22.1</v>
      </c>
      <c r="AN231" s="34">
        <v>0.98650000000000004</v>
      </c>
      <c r="AO231" s="35">
        <v>1.1049</v>
      </c>
      <c r="AQ231" s="197">
        <v>0.871</v>
      </c>
      <c r="AR231" s="200">
        <v>30.96</v>
      </c>
      <c r="AS231" s="199">
        <v>870.5</v>
      </c>
      <c r="AZ231" s="197">
        <v>0.871</v>
      </c>
      <c r="BA231" s="198">
        <v>7.2526000000000002</v>
      </c>
      <c r="BB231" s="199">
        <v>0.13788</v>
      </c>
      <c r="BD231" s="197">
        <v>0.871</v>
      </c>
      <c r="BE231" s="198">
        <v>3.6263000000000001</v>
      </c>
      <c r="BF231" s="199">
        <v>0.15229999999999999</v>
      </c>
      <c r="BH231" s="197">
        <v>0.871</v>
      </c>
      <c r="BI231" s="198">
        <v>275.76</v>
      </c>
      <c r="BJ231" s="199">
        <v>6.5659999999999998</v>
      </c>
      <c r="BL231" s="197">
        <v>0.871</v>
      </c>
      <c r="BM231" s="198">
        <v>3.2376999999999998</v>
      </c>
      <c r="BN231" s="199">
        <v>0.13599</v>
      </c>
      <c r="BP231" s="197">
        <v>0.871</v>
      </c>
      <c r="BQ231" s="200">
        <v>308.86</v>
      </c>
      <c r="BR231" s="199">
        <v>7.3540000000000001</v>
      </c>
      <c r="BT231" s="197">
        <v>0.871</v>
      </c>
      <c r="BU231" s="201">
        <v>1.0434000000000001</v>
      </c>
      <c r="BV231" s="202">
        <v>1.1686000000000001</v>
      </c>
      <c r="BX231" s="37">
        <v>871</v>
      </c>
      <c r="BY231" s="38">
        <v>0.87150000000000005</v>
      </c>
      <c r="BZ231" s="39">
        <v>30.87</v>
      </c>
      <c r="CA231" s="33"/>
      <c r="CB231" s="37">
        <v>871</v>
      </c>
      <c r="CC231" s="38">
        <v>0.15892000000000001</v>
      </c>
      <c r="CD231" s="42">
        <v>6.2930000000000001</v>
      </c>
      <c r="CE231" s="33"/>
      <c r="CF231" s="33"/>
      <c r="CG231" s="33"/>
      <c r="CH231" s="33"/>
      <c r="CI231" s="33"/>
      <c r="CJ231" s="33"/>
      <c r="CK231" s="33"/>
      <c r="CL231" s="40">
        <v>871</v>
      </c>
      <c r="CM231" s="43">
        <v>869.9</v>
      </c>
      <c r="CN231" s="41">
        <v>1.1495</v>
      </c>
      <c r="CO231" s="33"/>
      <c r="CP231" s="40">
        <v>871</v>
      </c>
      <c r="CQ231" s="34">
        <v>0.95889999999999997</v>
      </c>
      <c r="CR231" s="41">
        <v>0.85619999999999996</v>
      </c>
      <c r="CS231" s="33"/>
      <c r="CT231" s="40">
        <v>871</v>
      </c>
      <c r="CU231" s="44">
        <v>303.81</v>
      </c>
      <c r="CV231" s="42">
        <v>7.234</v>
      </c>
    </row>
    <row r="232" spans="4:100">
      <c r="D232" s="30">
        <v>22.2</v>
      </c>
      <c r="E232" s="31">
        <v>0.92059999999999997</v>
      </c>
      <c r="F232" s="32">
        <v>920.1</v>
      </c>
      <c r="G232" s="33"/>
      <c r="H232" s="30">
        <v>22.2</v>
      </c>
      <c r="I232" s="34">
        <v>3.7837999999999998</v>
      </c>
      <c r="J232" s="35">
        <v>0.15892000000000001</v>
      </c>
      <c r="L232" s="30">
        <v>22.2</v>
      </c>
      <c r="M232" s="172">
        <v>7.6660000000000004</v>
      </c>
      <c r="N232" s="173">
        <v>0.13044</v>
      </c>
      <c r="P232" s="30">
        <v>22.2</v>
      </c>
      <c r="Q232" s="172">
        <v>3.8332000000000002</v>
      </c>
      <c r="R232" s="173">
        <v>0.16098999999999999</v>
      </c>
      <c r="T232" s="30">
        <v>22.2</v>
      </c>
      <c r="U232" s="172">
        <v>260.88</v>
      </c>
      <c r="V232" s="173">
        <v>6.2109999999999896</v>
      </c>
      <c r="X232" s="30">
        <v>22.2</v>
      </c>
      <c r="Y232" s="34">
        <v>3.4224999999999999</v>
      </c>
      <c r="Z232" s="35">
        <v>0.14374000000000001</v>
      </c>
      <c r="AA232" s="36"/>
      <c r="AB232" s="30">
        <v>22.2</v>
      </c>
      <c r="AC232" s="44">
        <v>292.19</v>
      </c>
      <c r="AD232" s="35">
        <v>6.9569999999999999</v>
      </c>
      <c r="AE232" s="36"/>
      <c r="AF232" s="30">
        <v>22.2</v>
      </c>
      <c r="AG232" s="34">
        <v>3.4773999999999998</v>
      </c>
      <c r="AH232" s="35">
        <v>0.14605000000000001</v>
      </c>
      <c r="AI232" s="35"/>
      <c r="AJ232" s="35">
        <v>0.11549</v>
      </c>
      <c r="AK232" s="998">
        <v>62.8</v>
      </c>
      <c r="AM232" s="30">
        <v>22.2</v>
      </c>
      <c r="AN232" s="34">
        <v>0.98709999999999998</v>
      </c>
      <c r="AO232" s="35">
        <v>1.1055999999999999</v>
      </c>
      <c r="AQ232" s="197">
        <v>0.872</v>
      </c>
      <c r="AR232" s="200">
        <v>30.77</v>
      </c>
      <c r="AS232" s="199">
        <v>871.5</v>
      </c>
      <c r="AZ232" s="197">
        <v>0.872</v>
      </c>
      <c r="BA232" s="198">
        <v>7.2609000000000004</v>
      </c>
      <c r="BB232" s="199">
        <v>0.13772000000000001</v>
      </c>
      <c r="BD232" s="197">
        <v>0.872</v>
      </c>
      <c r="BE232" s="198">
        <v>3.6303999999999998</v>
      </c>
      <c r="BF232" s="199">
        <v>0.15248</v>
      </c>
      <c r="BH232" s="197">
        <v>0.872</v>
      </c>
      <c r="BI232" s="198">
        <v>275.45</v>
      </c>
      <c r="BJ232" s="199">
        <v>6.5579999999999998</v>
      </c>
      <c r="BL232" s="197">
        <v>0.872</v>
      </c>
      <c r="BM232" s="198">
        <v>3.2414999999999998</v>
      </c>
      <c r="BN232" s="199">
        <v>0.13614000000000001</v>
      </c>
      <c r="BP232" s="197">
        <v>0.872</v>
      </c>
      <c r="BQ232" s="200">
        <v>308.5</v>
      </c>
      <c r="BR232" s="199">
        <v>7.3449999999999998</v>
      </c>
      <c r="BT232" s="197">
        <v>0.872</v>
      </c>
      <c r="BU232" s="201">
        <v>1.0422</v>
      </c>
      <c r="BV232" s="202">
        <v>1.1673</v>
      </c>
      <c r="BX232" s="37">
        <v>872</v>
      </c>
      <c r="BY232" s="38">
        <v>0.87250000000000005</v>
      </c>
      <c r="BZ232" s="39">
        <v>30.68</v>
      </c>
      <c r="CA232" s="33"/>
      <c r="CB232" s="37">
        <v>872</v>
      </c>
      <c r="CC232" s="38">
        <v>0.15892000000000001</v>
      </c>
      <c r="CD232" s="42">
        <v>6.2930000000000001</v>
      </c>
      <c r="CE232" s="33"/>
      <c r="CF232" s="33"/>
      <c r="CG232" s="33"/>
      <c r="CH232" s="33"/>
      <c r="CI232" s="33"/>
      <c r="CJ232" s="33"/>
      <c r="CK232" s="33"/>
      <c r="CL232" s="40">
        <v>872</v>
      </c>
      <c r="CM232" s="43">
        <v>870.9</v>
      </c>
      <c r="CN232" s="41">
        <v>1.1482000000000001</v>
      </c>
      <c r="CO232" s="33"/>
      <c r="CP232" s="40">
        <v>872</v>
      </c>
      <c r="CQ232" s="34">
        <v>0.96</v>
      </c>
      <c r="CR232" s="41">
        <v>0.85719999999999996</v>
      </c>
      <c r="CS232" s="33"/>
      <c r="CT232" s="40">
        <v>872</v>
      </c>
      <c r="CU232" s="44">
        <v>303.45999999999998</v>
      </c>
      <c r="CV232" s="42">
        <v>7.2249999999999996</v>
      </c>
    </row>
    <row r="233" spans="4:100">
      <c r="D233" s="30">
        <v>22.3</v>
      </c>
      <c r="E233" s="31">
        <v>0.92</v>
      </c>
      <c r="F233" s="32">
        <v>919.5</v>
      </c>
      <c r="G233" s="33"/>
      <c r="H233" s="30">
        <v>22.3</v>
      </c>
      <c r="I233" s="34">
        <v>3.7837999999999998</v>
      </c>
      <c r="J233" s="35">
        <v>0.15892000000000001</v>
      </c>
      <c r="L233" s="30">
        <v>22.3</v>
      </c>
      <c r="M233" s="172">
        <v>7.6609999999999996</v>
      </c>
      <c r="N233" s="173">
        <v>0.13053000000000001</v>
      </c>
      <c r="P233" s="30">
        <v>22.3</v>
      </c>
      <c r="Q233" s="172">
        <v>3.8307000000000002</v>
      </c>
      <c r="R233" s="173">
        <v>0.16089000000000001</v>
      </c>
      <c r="T233" s="30">
        <v>22.3</v>
      </c>
      <c r="U233" s="172">
        <v>261.05</v>
      </c>
      <c r="V233" s="173">
        <v>6.2149999999999901</v>
      </c>
      <c r="X233" s="30">
        <v>22.3</v>
      </c>
      <c r="Y233" s="34">
        <v>3.4201999999999999</v>
      </c>
      <c r="Z233" s="35">
        <v>0.14365</v>
      </c>
      <c r="AA233" s="36"/>
      <c r="AB233" s="30">
        <v>22.3</v>
      </c>
      <c r="AC233" s="44">
        <v>292.38</v>
      </c>
      <c r="AD233" s="35">
        <v>6.9610000000000003</v>
      </c>
      <c r="AE233" s="36"/>
      <c r="AF233" s="30">
        <v>22.3</v>
      </c>
      <c r="AG233" s="34">
        <v>3.4750999999999999</v>
      </c>
      <c r="AH233" s="35">
        <v>0.14596000000000001</v>
      </c>
      <c r="AI233" s="35"/>
      <c r="AJ233" s="35">
        <v>0.11555</v>
      </c>
      <c r="AK233" s="998">
        <v>62.7</v>
      </c>
      <c r="AM233" s="30">
        <v>22.3</v>
      </c>
      <c r="AN233" s="34">
        <v>0.98780000000000001</v>
      </c>
      <c r="AO233" s="35">
        <v>1.1063000000000001</v>
      </c>
      <c r="AQ233" s="197">
        <v>0.873</v>
      </c>
      <c r="AR233" s="200">
        <v>30.58</v>
      </c>
      <c r="AS233" s="199">
        <v>872.5</v>
      </c>
      <c r="AZ233" s="197">
        <v>0.873</v>
      </c>
      <c r="BA233" s="198">
        <v>7.2691999999999997</v>
      </c>
      <c r="BB233" s="199">
        <v>0.13757</v>
      </c>
      <c r="BD233" s="197">
        <v>0.873</v>
      </c>
      <c r="BE233" s="198">
        <v>3.6345999999999998</v>
      </c>
      <c r="BF233" s="199">
        <v>0.15265000000000001</v>
      </c>
      <c r="BH233" s="197">
        <v>0.873</v>
      </c>
      <c r="BI233" s="198">
        <v>275.13</v>
      </c>
      <c r="BJ233" s="199">
        <v>6.5510000000000002</v>
      </c>
      <c r="BL233" s="197">
        <v>0.873</v>
      </c>
      <c r="BM233" s="198">
        <v>3.2452000000000001</v>
      </c>
      <c r="BN233" s="199">
        <v>0.1363</v>
      </c>
      <c r="BP233" s="197">
        <v>0.873</v>
      </c>
      <c r="BQ233" s="200">
        <v>308.14999999999998</v>
      </c>
      <c r="BR233" s="199">
        <v>7.3369999999999997</v>
      </c>
      <c r="BT233" s="197">
        <v>0.873</v>
      </c>
      <c r="BU233" s="201">
        <v>1.0409999999999999</v>
      </c>
      <c r="BV233" s="202">
        <v>1.1658999999999999</v>
      </c>
      <c r="BX233" s="37">
        <v>873</v>
      </c>
      <c r="BY233" s="38">
        <v>0.87350000000000005</v>
      </c>
      <c r="BZ233" s="39">
        <v>30.5</v>
      </c>
      <c r="CA233" s="33"/>
      <c r="CB233" s="37">
        <v>873</v>
      </c>
      <c r="CC233" s="38">
        <v>0.15892000000000001</v>
      </c>
      <c r="CD233" s="42">
        <v>6.2930000000000001</v>
      </c>
      <c r="CE233" s="33"/>
      <c r="CF233" s="33"/>
      <c r="CG233" s="33"/>
      <c r="CH233" s="33"/>
      <c r="CI233" s="33"/>
      <c r="CJ233" s="33"/>
      <c r="CK233" s="33"/>
      <c r="CL233" s="40">
        <v>873</v>
      </c>
      <c r="CM233" s="43">
        <v>871.9</v>
      </c>
      <c r="CN233" s="41">
        <v>1.1469</v>
      </c>
      <c r="CO233" s="33"/>
      <c r="CP233" s="40">
        <v>873</v>
      </c>
      <c r="CQ233" s="34">
        <v>0.96109999999999995</v>
      </c>
      <c r="CR233" s="41">
        <v>0.85809999999999997</v>
      </c>
      <c r="CS233" s="33"/>
      <c r="CT233" s="40">
        <v>873</v>
      </c>
      <c r="CU233" s="44">
        <v>303.11</v>
      </c>
      <c r="CV233" s="42">
        <v>7.2169999999999996</v>
      </c>
    </row>
    <row r="234" spans="4:100">
      <c r="D234" s="30">
        <v>22.4</v>
      </c>
      <c r="E234" s="31">
        <v>0.9194</v>
      </c>
      <c r="F234" s="32">
        <v>918.9</v>
      </c>
      <c r="G234" s="33"/>
      <c r="H234" s="30">
        <v>22.4</v>
      </c>
      <c r="I234" s="34">
        <v>3.7837999999999998</v>
      </c>
      <c r="J234" s="35">
        <v>0.15892000000000001</v>
      </c>
      <c r="L234" s="30">
        <v>22.4</v>
      </c>
      <c r="M234" s="172">
        <v>7.6559999999999997</v>
      </c>
      <c r="N234" s="173">
        <v>0.13061</v>
      </c>
      <c r="P234" s="30">
        <v>22.4</v>
      </c>
      <c r="Q234" s="172">
        <v>3.8281999999999998</v>
      </c>
      <c r="R234" s="173">
        <v>0.16078000000000001</v>
      </c>
      <c r="T234" s="30">
        <v>22.4</v>
      </c>
      <c r="U234" s="172">
        <v>261.22000000000003</v>
      </c>
      <c r="V234" s="173">
        <v>6.22</v>
      </c>
      <c r="X234" s="30">
        <v>22.4</v>
      </c>
      <c r="Y234" s="34">
        <v>3.4180000000000001</v>
      </c>
      <c r="Z234" s="35">
        <v>0.14355999999999999</v>
      </c>
      <c r="AA234" s="36"/>
      <c r="AB234" s="30">
        <v>22.4</v>
      </c>
      <c r="AC234" s="44">
        <v>292.57</v>
      </c>
      <c r="AD234" s="35">
        <v>6.9660000000000002</v>
      </c>
      <c r="AE234" s="36"/>
      <c r="AF234" s="30">
        <v>22.4</v>
      </c>
      <c r="AG234" s="34">
        <v>3.4729000000000001</v>
      </c>
      <c r="AH234" s="35">
        <v>0.14585999999999999</v>
      </c>
      <c r="AI234" s="35"/>
      <c r="AJ234" s="35">
        <v>0.11561</v>
      </c>
      <c r="AK234" s="998">
        <v>62.6</v>
      </c>
      <c r="AM234" s="30">
        <v>22.4</v>
      </c>
      <c r="AN234" s="34">
        <v>0.98839999999999995</v>
      </c>
      <c r="AO234" s="35">
        <v>1.107</v>
      </c>
      <c r="AQ234" s="197">
        <v>0.874</v>
      </c>
      <c r="AR234" s="200">
        <v>30.4</v>
      </c>
      <c r="AS234" s="199">
        <v>873.5</v>
      </c>
      <c r="AZ234" s="197">
        <v>0.874</v>
      </c>
      <c r="BA234" s="198">
        <v>7.2775999999999996</v>
      </c>
      <c r="BB234" s="199">
        <v>0.13741</v>
      </c>
      <c r="BD234" s="197">
        <v>0.874</v>
      </c>
      <c r="BE234" s="198">
        <v>3.6387999999999998</v>
      </c>
      <c r="BF234" s="199">
        <v>0.15282999999999999</v>
      </c>
      <c r="BH234" s="197">
        <v>0.874</v>
      </c>
      <c r="BI234" s="198">
        <v>274.82</v>
      </c>
      <c r="BJ234" s="199">
        <v>6.5430000000000001</v>
      </c>
      <c r="BL234" s="197">
        <v>0.874</v>
      </c>
      <c r="BM234" s="198">
        <v>3.2488999999999999</v>
      </c>
      <c r="BN234" s="199">
        <v>0.13644999999999999</v>
      </c>
      <c r="BP234" s="197">
        <v>0.874</v>
      </c>
      <c r="BQ234" s="200">
        <v>307.79000000000002</v>
      </c>
      <c r="BR234" s="199">
        <v>7.3280000000000003</v>
      </c>
      <c r="BT234" s="197">
        <v>0.874</v>
      </c>
      <c r="BU234" s="201">
        <v>1.0398000000000001</v>
      </c>
      <c r="BV234" s="202">
        <v>1.1646000000000001</v>
      </c>
      <c r="BX234" s="37">
        <v>874</v>
      </c>
      <c r="BY234" s="38">
        <v>0.87450000000000006</v>
      </c>
      <c r="BZ234" s="39">
        <v>30.31</v>
      </c>
      <c r="CA234" s="33"/>
      <c r="CB234" s="37">
        <v>874</v>
      </c>
      <c r="CC234" s="38">
        <v>0.15892000000000001</v>
      </c>
      <c r="CD234" s="42">
        <v>6.2930000000000001</v>
      </c>
      <c r="CE234" s="33"/>
      <c r="CF234" s="33"/>
      <c r="CG234" s="33"/>
      <c r="CH234" s="33"/>
      <c r="CI234" s="33"/>
      <c r="CJ234" s="33"/>
      <c r="CK234" s="33"/>
      <c r="CL234" s="40">
        <v>874</v>
      </c>
      <c r="CM234" s="43">
        <v>872.9</v>
      </c>
      <c r="CN234" s="41">
        <v>1.1456</v>
      </c>
      <c r="CO234" s="33"/>
      <c r="CP234" s="40">
        <v>874</v>
      </c>
      <c r="CQ234" s="34">
        <v>0.96220000000000006</v>
      </c>
      <c r="CR234" s="41">
        <v>0.85909999999999997</v>
      </c>
      <c r="CS234" s="33"/>
      <c r="CT234" s="40">
        <v>874</v>
      </c>
      <c r="CU234" s="44">
        <v>302.77</v>
      </c>
      <c r="CV234" s="42">
        <v>7.2089999999999996</v>
      </c>
    </row>
    <row r="235" spans="4:100">
      <c r="D235" s="30">
        <v>22.5</v>
      </c>
      <c r="E235" s="31">
        <v>0.91879999999999995</v>
      </c>
      <c r="F235" s="32">
        <v>918.3</v>
      </c>
      <c r="G235" s="33"/>
      <c r="H235" s="30">
        <v>22.5</v>
      </c>
      <c r="I235" s="34">
        <v>3.7837999999999998</v>
      </c>
      <c r="J235" s="35">
        <v>0.15892000000000001</v>
      </c>
      <c r="L235" s="30">
        <v>22.5</v>
      </c>
      <c r="M235" s="172">
        <v>7.6509999999999998</v>
      </c>
      <c r="N235" s="173">
        <v>0.13070000000000001</v>
      </c>
      <c r="P235" s="30">
        <v>22.5</v>
      </c>
      <c r="Q235" s="172">
        <v>3.8256999999999999</v>
      </c>
      <c r="R235" s="173">
        <v>0.16067999999999999</v>
      </c>
      <c r="T235" s="30">
        <v>22.5</v>
      </c>
      <c r="U235" s="172">
        <v>261.39</v>
      </c>
      <c r="V235" s="173">
        <v>6.2240000000000002</v>
      </c>
      <c r="X235" s="30">
        <v>22.5</v>
      </c>
      <c r="Y235" s="34">
        <v>3.4157999999999999</v>
      </c>
      <c r="Z235" s="35">
        <v>0.14346</v>
      </c>
      <c r="AA235" s="36"/>
      <c r="AB235" s="30">
        <v>22.5</v>
      </c>
      <c r="AC235" s="44">
        <v>292.76</v>
      </c>
      <c r="AD235" s="35">
        <v>6.97</v>
      </c>
      <c r="AE235" s="36"/>
      <c r="AF235" s="30">
        <v>22.5</v>
      </c>
      <c r="AG235" s="34">
        <v>3.4706000000000001</v>
      </c>
      <c r="AH235" s="35">
        <v>0.14577000000000001</v>
      </c>
      <c r="AI235" s="35"/>
      <c r="AJ235" s="35">
        <v>0.11567</v>
      </c>
      <c r="AK235" s="998">
        <v>62.5</v>
      </c>
      <c r="AM235" s="30">
        <v>22.5</v>
      </c>
      <c r="AN235" s="34">
        <v>0.98909999999999998</v>
      </c>
      <c r="AO235" s="35">
        <v>1.1076999999999999</v>
      </c>
      <c r="AQ235" s="197">
        <v>0.875</v>
      </c>
      <c r="AR235" s="200">
        <v>30.21</v>
      </c>
      <c r="AS235" s="199">
        <v>874.5</v>
      </c>
      <c r="AZ235" s="197">
        <v>0.875</v>
      </c>
      <c r="BA235" s="198">
        <v>7.2858999999999998</v>
      </c>
      <c r="BB235" s="199">
        <v>0.13725000000000001</v>
      </c>
      <c r="BD235" s="197">
        <v>0.875</v>
      </c>
      <c r="BE235" s="198">
        <v>3.6429999999999998</v>
      </c>
      <c r="BF235" s="199">
        <v>0.153</v>
      </c>
      <c r="BH235" s="197">
        <v>0.875</v>
      </c>
      <c r="BI235" s="198">
        <v>274.5</v>
      </c>
      <c r="BJ235" s="199">
        <v>6.5359999999999996</v>
      </c>
      <c r="BL235" s="197">
        <v>0.875</v>
      </c>
      <c r="BM235" s="198">
        <v>3.2526000000000002</v>
      </c>
      <c r="BN235" s="199">
        <v>0.13661000000000001</v>
      </c>
      <c r="BP235" s="197">
        <v>0.875</v>
      </c>
      <c r="BQ235" s="200">
        <v>307.44</v>
      </c>
      <c r="BR235" s="199">
        <v>7.32</v>
      </c>
      <c r="BT235" s="197">
        <v>0.875</v>
      </c>
      <c r="BU235" s="201">
        <v>1.0386</v>
      </c>
      <c r="BV235" s="202">
        <v>1.1633</v>
      </c>
      <c r="BX235" s="37">
        <v>875</v>
      </c>
      <c r="BY235" s="38">
        <v>0.87549999999999994</v>
      </c>
      <c r="BZ235" s="39">
        <v>30.13</v>
      </c>
      <c r="CA235" s="33"/>
      <c r="CB235" s="37">
        <v>875</v>
      </c>
      <c r="CC235" s="38">
        <v>0.15892000000000001</v>
      </c>
      <c r="CD235" s="42">
        <v>6.2930000000000001</v>
      </c>
      <c r="CE235" s="33"/>
      <c r="CF235" s="33"/>
      <c r="CG235" s="33"/>
      <c r="CH235" s="33"/>
      <c r="CI235" s="33"/>
      <c r="CJ235" s="33"/>
      <c r="CK235" s="33"/>
      <c r="CL235" s="40">
        <v>875</v>
      </c>
      <c r="CM235" s="43">
        <v>873.9</v>
      </c>
      <c r="CN235" s="41">
        <v>1.1443000000000001</v>
      </c>
      <c r="CO235" s="33"/>
      <c r="CP235" s="40">
        <v>875</v>
      </c>
      <c r="CQ235" s="34">
        <v>0.96330000000000005</v>
      </c>
      <c r="CR235" s="41">
        <v>0.86009999999999998</v>
      </c>
      <c r="CS235" s="33"/>
      <c r="CT235" s="40">
        <v>875</v>
      </c>
      <c r="CU235" s="44">
        <v>302.42</v>
      </c>
      <c r="CV235" s="42">
        <v>7.2</v>
      </c>
    </row>
    <row r="236" spans="4:100">
      <c r="D236" s="30">
        <v>22.6</v>
      </c>
      <c r="E236" s="31">
        <v>0.91820000000000002</v>
      </c>
      <c r="F236" s="32">
        <v>917.7</v>
      </c>
      <c r="G236" s="33"/>
      <c r="H236" s="30">
        <v>22.6</v>
      </c>
      <c r="I236" s="34">
        <v>3.7837999999999998</v>
      </c>
      <c r="J236" s="35">
        <v>0.15892000000000001</v>
      </c>
      <c r="L236" s="30">
        <v>22.6</v>
      </c>
      <c r="M236" s="172">
        <v>7.6459999999999999</v>
      </c>
      <c r="N236" s="173">
        <v>0.13078000000000001</v>
      </c>
      <c r="P236" s="30">
        <v>22.6</v>
      </c>
      <c r="Q236" s="172">
        <v>3.8231999999999999</v>
      </c>
      <c r="R236" s="173">
        <v>0.16056999999999999</v>
      </c>
      <c r="T236" s="30">
        <v>22.6</v>
      </c>
      <c r="U236" s="172">
        <v>261.56</v>
      </c>
      <c r="V236" s="173">
        <v>6.2279999999999998</v>
      </c>
      <c r="X236" s="30">
        <v>22.6</v>
      </c>
      <c r="Y236" s="34">
        <v>3.4136000000000002</v>
      </c>
      <c r="Z236" s="35">
        <v>0.14337</v>
      </c>
      <c r="AA236" s="36"/>
      <c r="AB236" s="30">
        <v>22.6</v>
      </c>
      <c r="AC236" s="44">
        <v>292.95</v>
      </c>
      <c r="AD236" s="35">
        <v>6.9749999999999996</v>
      </c>
      <c r="AE236" s="36"/>
      <c r="AF236" s="30">
        <v>22.6</v>
      </c>
      <c r="AG236" s="34">
        <v>3.4683999999999999</v>
      </c>
      <c r="AH236" s="35">
        <v>0.14566999999999999</v>
      </c>
      <c r="AI236" s="35"/>
      <c r="AJ236" s="35">
        <v>0.11573</v>
      </c>
      <c r="AK236" s="998">
        <v>62.4</v>
      </c>
      <c r="AM236" s="30">
        <v>22.6</v>
      </c>
      <c r="AN236" s="34">
        <v>0.98970000000000002</v>
      </c>
      <c r="AO236" s="35">
        <v>1.1085</v>
      </c>
      <c r="AQ236" s="197">
        <v>0.876</v>
      </c>
      <c r="AR236" s="200">
        <v>30.03</v>
      </c>
      <c r="AS236" s="199">
        <v>875.5</v>
      </c>
      <c r="AZ236" s="197">
        <v>0.876</v>
      </c>
      <c r="BA236" s="198">
        <v>7.2942999999999998</v>
      </c>
      <c r="BB236" s="199">
        <v>0.13708999999999999</v>
      </c>
      <c r="BD236" s="197">
        <v>0.876</v>
      </c>
      <c r="BE236" s="198">
        <v>3.6471</v>
      </c>
      <c r="BF236" s="199">
        <v>0.15318000000000001</v>
      </c>
      <c r="BH236" s="197">
        <v>0.876</v>
      </c>
      <c r="BI236" s="198">
        <v>274.19</v>
      </c>
      <c r="BJ236" s="199">
        <v>6.5279999999999996</v>
      </c>
      <c r="BL236" s="197">
        <v>0.876</v>
      </c>
      <c r="BM236" s="198">
        <v>3.2564000000000002</v>
      </c>
      <c r="BN236" s="199">
        <v>0.13677</v>
      </c>
      <c r="BP236" s="197">
        <v>0.876</v>
      </c>
      <c r="BQ236" s="200">
        <v>307.08999999999997</v>
      </c>
      <c r="BR236" s="199">
        <v>7.3120000000000003</v>
      </c>
      <c r="BT236" s="197">
        <v>0.876</v>
      </c>
      <c r="BU236" s="201">
        <v>1.0375000000000001</v>
      </c>
      <c r="BV236" s="202">
        <v>1.1619999999999999</v>
      </c>
      <c r="BX236" s="37">
        <v>876</v>
      </c>
      <c r="BY236" s="38">
        <v>0.87649999999999995</v>
      </c>
      <c r="BZ236" s="39">
        <v>29.94</v>
      </c>
      <c r="CA236" s="33"/>
      <c r="CB236" s="37">
        <v>876</v>
      </c>
      <c r="CC236" s="38">
        <v>0.15892000000000001</v>
      </c>
      <c r="CD236" s="42">
        <v>6.2930000000000001</v>
      </c>
      <c r="CE236" s="33"/>
      <c r="CF236" s="33"/>
      <c r="CG236" s="33"/>
      <c r="CH236" s="33"/>
      <c r="CI236" s="33"/>
      <c r="CJ236" s="33"/>
      <c r="CK236" s="33"/>
      <c r="CL236" s="40">
        <v>876</v>
      </c>
      <c r="CM236" s="43">
        <v>874.9</v>
      </c>
      <c r="CN236" s="41">
        <v>1.143</v>
      </c>
      <c r="CO236" s="33"/>
      <c r="CP236" s="40">
        <v>876</v>
      </c>
      <c r="CQ236" s="34">
        <v>0.96440000000000003</v>
      </c>
      <c r="CR236" s="41">
        <v>0.86109999999999998</v>
      </c>
      <c r="CS236" s="33"/>
      <c r="CT236" s="40">
        <v>876</v>
      </c>
      <c r="CU236" s="44">
        <v>302.07</v>
      </c>
      <c r="CV236" s="42">
        <v>7.1920000000000002</v>
      </c>
    </row>
    <row r="237" spans="4:100">
      <c r="D237" s="30">
        <v>22.7</v>
      </c>
      <c r="E237" s="31">
        <v>0.91759999999999997</v>
      </c>
      <c r="F237" s="32">
        <v>917.1</v>
      </c>
      <c r="G237" s="33"/>
      <c r="H237" s="30">
        <v>22.7</v>
      </c>
      <c r="I237" s="34">
        <v>3.7837999999999998</v>
      </c>
      <c r="J237" s="35">
        <v>0.15892000000000001</v>
      </c>
      <c r="L237" s="30">
        <v>22.7</v>
      </c>
      <c r="M237" s="172">
        <v>7.641</v>
      </c>
      <c r="N237" s="173">
        <v>0.13086999999999999</v>
      </c>
      <c r="P237" s="30">
        <v>22.7</v>
      </c>
      <c r="Q237" s="172">
        <v>3.8207</v>
      </c>
      <c r="R237" s="173">
        <v>0.16047</v>
      </c>
      <c r="T237" s="30">
        <v>22.7</v>
      </c>
      <c r="U237" s="172">
        <v>261.73</v>
      </c>
      <c r="V237" s="173">
        <v>6.2320000000000002</v>
      </c>
      <c r="X237" s="30">
        <v>22.7</v>
      </c>
      <c r="Y237" s="34">
        <v>3.4114</v>
      </c>
      <c r="Z237" s="35">
        <v>0.14327999999999999</v>
      </c>
      <c r="AA237" s="36"/>
      <c r="AB237" s="30">
        <v>22.7</v>
      </c>
      <c r="AC237" s="44">
        <v>293.14</v>
      </c>
      <c r="AD237" s="35">
        <v>6.9790000000000001</v>
      </c>
      <c r="AE237" s="36"/>
      <c r="AF237" s="30">
        <v>22.7</v>
      </c>
      <c r="AG237" s="34">
        <v>3.4661</v>
      </c>
      <c r="AH237" s="35">
        <v>0.14557999999999999</v>
      </c>
      <c r="AI237" s="35"/>
      <c r="AJ237" s="35">
        <v>0.11579</v>
      </c>
      <c r="AK237" s="998">
        <v>62.3</v>
      </c>
      <c r="AM237" s="30">
        <v>22.7</v>
      </c>
      <c r="AN237" s="34">
        <v>0.99029999999999996</v>
      </c>
      <c r="AO237" s="35">
        <v>1.1092</v>
      </c>
      <c r="AQ237" s="197">
        <v>0.877</v>
      </c>
      <c r="AR237" s="200">
        <v>29.85</v>
      </c>
      <c r="AS237" s="199">
        <v>876.5</v>
      </c>
      <c r="AZ237" s="197">
        <v>0.877</v>
      </c>
      <c r="BA237" s="198">
        <v>7.3026</v>
      </c>
      <c r="BB237" s="199">
        <v>0.13694000000000001</v>
      </c>
      <c r="BD237" s="197">
        <v>0.877</v>
      </c>
      <c r="BE237" s="198">
        <v>3.6513</v>
      </c>
      <c r="BF237" s="199">
        <v>0.15334999999999999</v>
      </c>
      <c r="BH237" s="197">
        <v>0.877</v>
      </c>
      <c r="BI237" s="198">
        <v>273.88</v>
      </c>
      <c r="BJ237" s="199">
        <v>6.5209999999999999</v>
      </c>
      <c r="BL237" s="197">
        <v>0.877</v>
      </c>
      <c r="BM237" s="198">
        <v>3.2601</v>
      </c>
      <c r="BN237" s="199">
        <v>0.13691999999999999</v>
      </c>
      <c r="BP237" s="197">
        <v>0.877</v>
      </c>
      <c r="BQ237" s="200">
        <v>306.74</v>
      </c>
      <c r="BR237" s="199">
        <v>7.3029999999999999</v>
      </c>
      <c r="BT237" s="197">
        <v>0.877</v>
      </c>
      <c r="BU237" s="201">
        <v>1.0363</v>
      </c>
      <c r="BV237" s="202">
        <v>1.1606000000000001</v>
      </c>
      <c r="BX237" s="37">
        <v>877</v>
      </c>
      <c r="BY237" s="38">
        <v>0.87749999999999995</v>
      </c>
      <c r="BZ237" s="39">
        <v>29.76</v>
      </c>
      <c r="CA237" s="33"/>
      <c r="CB237" s="37">
        <v>877</v>
      </c>
      <c r="CC237" s="38">
        <v>0.15892000000000001</v>
      </c>
      <c r="CD237" s="42">
        <v>6.2930000000000001</v>
      </c>
      <c r="CE237" s="33"/>
      <c r="CF237" s="33"/>
      <c r="CG237" s="33"/>
      <c r="CH237" s="33"/>
      <c r="CI237" s="33"/>
      <c r="CJ237" s="33"/>
      <c r="CK237" s="33"/>
      <c r="CL237" s="40">
        <v>877</v>
      </c>
      <c r="CM237" s="43">
        <v>875.9</v>
      </c>
      <c r="CN237" s="41">
        <v>1.1416999999999999</v>
      </c>
      <c r="CO237" s="33"/>
      <c r="CP237" s="40">
        <v>877</v>
      </c>
      <c r="CQ237" s="34">
        <v>0.96550000000000002</v>
      </c>
      <c r="CR237" s="41">
        <v>0.86209999999999998</v>
      </c>
      <c r="CS237" s="33"/>
      <c r="CT237" s="40">
        <v>877</v>
      </c>
      <c r="CU237" s="44">
        <v>301.73</v>
      </c>
      <c r="CV237" s="42">
        <v>7.1840000000000002</v>
      </c>
    </row>
    <row r="238" spans="4:100">
      <c r="D238" s="30">
        <v>22.8</v>
      </c>
      <c r="E238" s="31">
        <v>0.91700000000000004</v>
      </c>
      <c r="F238" s="32">
        <v>916.5</v>
      </c>
      <c r="G238" s="33"/>
      <c r="H238" s="30">
        <v>22.8</v>
      </c>
      <c r="I238" s="34">
        <v>3.7837999999999998</v>
      </c>
      <c r="J238" s="35">
        <v>0.15892000000000001</v>
      </c>
      <c r="L238" s="30">
        <v>22.8</v>
      </c>
      <c r="M238" s="172">
        <v>7.6360000000000001</v>
      </c>
      <c r="N238" s="173">
        <v>0.13095000000000001</v>
      </c>
      <c r="P238" s="30">
        <v>22.8</v>
      </c>
      <c r="Q238" s="172">
        <v>3.8182</v>
      </c>
      <c r="R238" s="173">
        <v>0.16037000000000001</v>
      </c>
      <c r="T238" s="30">
        <v>22.8</v>
      </c>
      <c r="U238" s="172">
        <v>261.89999999999998</v>
      </c>
      <c r="V238" s="173">
        <v>6.2359999999999998</v>
      </c>
      <c r="X238" s="30">
        <v>22.8</v>
      </c>
      <c r="Y238" s="34">
        <v>3.4091999999999998</v>
      </c>
      <c r="Z238" s="35">
        <v>0.14318</v>
      </c>
      <c r="AA238" s="36"/>
      <c r="AB238" s="30">
        <v>22.8</v>
      </c>
      <c r="AC238" s="44">
        <v>293.33</v>
      </c>
      <c r="AD238" s="35">
        <v>6.984</v>
      </c>
      <c r="AE238" s="36"/>
      <c r="AF238" s="30">
        <v>22.8</v>
      </c>
      <c r="AG238" s="34">
        <v>3.4639000000000002</v>
      </c>
      <c r="AH238" s="35">
        <v>0.14548</v>
      </c>
      <c r="AI238" s="35"/>
      <c r="AJ238" s="35">
        <v>0.11584999999999999</v>
      </c>
      <c r="AK238" s="998">
        <v>62.2</v>
      </c>
      <c r="AM238" s="30">
        <v>22.8</v>
      </c>
      <c r="AN238" s="34">
        <v>0.99099999999999999</v>
      </c>
      <c r="AO238" s="35">
        <v>1.1099000000000001</v>
      </c>
      <c r="AQ238" s="197">
        <v>0.878</v>
      </c>
      <c r="AR238" s="200">
        <v>29.66</v>
      </c>
      <c r="AS238" s="199">
        <v>877.5</v>
      </c>
      <c r="AZ238" s="197">
        <v>0.878</v>
      </c>
      <c r="BA238" s="198">
        <v>7.3109000000000002</v>
      </c>
      <c r="BB238" s="199">
        <v>0.13678000000000001</v>
      </c>
      <c r="BD238" s="197">
        <v>0.878</v>
      </c>
      <c r="BE238" s="198">
        <v>3.6555</v>
      </c>
      <c r="BF238" s="199">
        <v>0.15353</v>
      </c>
      <c r="BH238" s="197">
        <v>0.878</v>
      </c>
      <c r="BI238" s="198">
        <v>273.56</v>
      </c>
      <c r="BJ238" s="199">
        <v>6.5129999999999999</v>
      </c>
      <c r="BL238" s="197">
        <v>0.878</v>
      </c>
      <c r="BM238" s="198">
        <v>3.2637999999999998</v>
      </c>
      <c r="BN238" s="199">
        <v>0.13708000000000001</v>
      </c>
      <c r="BP238" s="197">
        <v>0.878</v>
      </c>
      <c r="BQ238" s="200">
        <v>306.39</v>
      </c>
      <c r="BR238" s="199">
        <v>7.2949999999999999</v>
      </c>
      <c r="BT238" s="197">
        <v>0.878</v>
      </c>
      <c r="BU238" s="201">
        <v>1.0350999999999999</v>
      </c>
      <c r="BV238" s="202">
        <v>1.1593</v>
      </c>
      <c r="BX238" s="37">
        <v>878</v>
      </c>
      <c r="BY238" s="38">
        <v>0.87849999999999995</v>
      </c>
      <c r="BZ238" s="39">
        <v>29.57</v>
      </c>
      <c r="CA238" s="33"/>
      <c r="CB238" s="37">
        <v>878</v>
      </c>
      <c r="CC238" s="38">
        <v>0.15892000000000001</v>
      </c>
      <c r="CD238" s="42">
        <v>6.2930000000000001</v>
      </c>
      <c r="CE238" s="33"/>
      <c r="CF238" s="33"/>
      <c r="CG238" s="33"/>
      <c r="CH238" s="33"/>
      <c r="CI238" s="33"/>
      <c r="CJ238" s="33"/>
      <c r="CK238" s="33"/>
      <c r="CL238" s="40">
        <v>878</v>
      </c>
      <c r="CM238" s="43">
        <v>876.9</v>
      </c>
      <c r="CN238" s="41">
        <v>1.1404000000000001</v>
      </c>
      <c r="CO238" s="33"/>
      <c r="CP238" s="40">
        <v>878</v>
      </c>
      <c r="CQ238" s="34">
        <v>0.96660000000000001</v>
      </c>
      <c r="CR238" s="41">
        <v>0.86309999999999998</v>
      </c>
      <c r="CS238" s="33"/>
      <c r="CT238" s="40">
        <v>878</v>
      </c>
      <c r="CU238" s="44">
        <v>301.38</v>
      </c>
      <c r="CV238" s="42">
        <v>7.1760000000000002</v>
      </c>
    </row>
    <row r="239" spans="4:100">
      <c r="D239" s="30">
        <v>22.9</v>
      </c>
      <c r="E239" s="31">
        <v>0.91649999999999998</v>
      </c>
      <c r="F239" s="32">
        <v>915.9</v>
      </c>
      <c r="G239" s="33"/>
      <c r="H239" s="30">
        <v>22.9</v>
      </c>
      <c r="I239" s="34">
        <v>3.7837999999999998</v>
      </c>
      <c r="J239" s="35">
        <v>0.15892000000000001</v>
      </c>
      <c r="L239" s="30">
        <v>22.9</v>
      </c>
      <c r="M239" s="172">
        <v>7.6319999999999997</v>
      </c>
      <c r="N239" s="173">
        <v>0.13103999999999999</v>
      </c>
      <c r="P239" s="30">
        <v>22.9</v>
      </c>
      <c r="Q239" s="172">
        <v>3.8157999999999999</v>
      </c>
      <c r="R239" s="173">
        <v>0.16026000000000001</v>
      </c>
      <c r="T239" s="30">
        <v>22.9</v>
      </c>
      <c r="U239" s="172">
        <v>262.07</v>
      </c>
      <c r="V239" s="173">
        <v>6.24</v>
      </c>
      <c r="X239" s="30">
        <v>22.9</v>
      </c>
      <c r="Y239" s="34">
        <v>3.4068999999999998</v>
      </c>
      <c r="Z239" s="35">
        <v>0.14308999999999999</v>
      </c>
      <c r="AA239" s="36"/>
      <c r="AB239" s="30">
        <v>22.9</v>
      </c>
      <c r="AC239" s="44">
        <v>293.52</v>
      </c>
      <c r="AD239" s="35">
        <v>6.9889999999999999</v>
      </c>
      <c r="AE239" s="36"/>
      <c r="AF239" s="30">
        <v>22.9</v>
      </c>
      <c r="AG239" s="34">
        <v>3.4615999999999998</v>
      </c>
      <c r="AH239" s="35">
        <v>0.14538999999999999</v>
      </c>
      <c r="AI239" s="35"/>
      <c r="AJ239" s="35">
        <v>0.11591</v>
      </c>
      <c r="AK239" s="998">
        <v>62.1</v>
      </c>
      <c r="AM239" s="30">
        <v>22.9</v>
      </c>
      <c r="AN239" s="34">
        <v>0.99160000000000004</v>
      </c>
      <c r="AO239" s="35">
        <v>1.1106</v>
      </c>
      <c r="AQ239" s="197">
        <v>0.879</v>
      </c>
      <c r="AR239" s="200">
        <v>29.48</v>
      </c>
      <c r="AS239" s="199">
        <v>878.5</v>
      </c>
      <c r="AZ239" s="197">
        <v>0.879</v>
      </c>
      <c r="BA239" s="198">
        <v>7.3193000000000001</v>
      </c>
      <c r="BB239" s="199">
        <v>0.13663</v>
      </c>
      <c r="BD239" s="197">
        <v>0.879</v>
      </c>
      <c r="BE239" s="198">
        <v>3.6596000000000002</v>
      </c>
      <c r="BF239" s="199">
        <v>0.1537</v>
      </c>
      <c r="BH239" s="197">
        <v>0.879</v>
      </c>
      <c r="BI239" s="198">
        <v>273.25</v>
      </c>
      <c r="BJ239" s="199">
        <v>6.5060000000000002</v>
      </c>
      <c r="BL239" s="197">
        <v>0.879</v>
      </c>
      <c r="BM239" s="198">
        <v>3.2675000000000001</v>
      </c>
      <c r="BN239" s="199">
        <v>0.13724</v>
      </c>
      <c r="BP239" s="197">
        <v>0.879</v>
      </c>
      <c r="BQ239" s="200">
        <v>306.04000000000002</v>
      </c>
      <c r="BR239" s="199">
        <v>7.2869999999999999</v>
      </c>
      <c r="BT239" s="197">
        <v>0.879</v>
      </c>
      <c r="BU239" s="201">
        <v>1.0339</v>
      </c>
      <c r="BV239" s="202">
        <v>1.1579999999999999</v>
      </c>
      <c r="BX239" s="37">
        <v>879</v>
      </c>
      <c r="BY239" s="38">
        <v>0.87949999999999995</v>
      </c>
      <c r="BZ239" s="39">
        <v>29.39</v>
      </c>
      <c r="CA239" s="33"/>
      <c r="CB239" s="37">
        <v>879</v>
      </c>
      <c r="CC239" s="38">
        <v>0.15892000000000001</v>
      </c>
      <c r="CD239" s="42">
        <v>6.2930000000000001</v>
      </c>
      <c r="CE239" s="33"/>
      <c r="CF239" s="33"/>
      <c r="CG239" s="33"/>
      <c r="CH239" s="33"/>
      <c r="CI239" s="33"/>
      <c r="CJ239" s="33"/>
      <c r="CK239" s="33"/>
      <c r="CL239" s="40">
        <v>879</v>
      </c>
      <c r="CM239" s="43">
        <v>877.9</v>
      </c>
      <c r="CN239" s="41">
        <v>1.1391</v>
      </c>
      <c r="CO239" s="33"/>
      <c r="CP239" s="40">
        <v>879</v>
      </c>
      <c r="CQ239" s="34">
        <v>0.9677</v>
      </c>
      <c r="CR239" s="41">
        <v>0.86399999999999999</v>
      </c>
      <c r="CS239" s="33"/>
      <c r="CT239" s="40">
        <v>879</v>
      </c>
      <c r="CU239" s="44">
        <v>301.04000000000002</v>
      </c>
      <c r="CV239" s="42">
        <v>7.1680000000000001</v>
      </c>
    </row>
    <row r="240" spans="4:100">
      <c r="D240" s="30">
        <v>23</v>
      </c>
      <c r="E240" s="31">
        <v>0.91590000000000005</v>
      </c>
      <c r="F240" s="32">
        <v>915.3</v>
      </c>
      <c r="G240" s="33"/>
      <c r="H240" s="30">
        <v>23</v>
      </c>
      <c r="I240" s="34">
        <v>3.7837999999999998</v>
      </c>
      <c r="J240" s="35">
        <v>0.15892000000000001</v>
      </c>
      <c r="L240" s="30">
        <v>23</v>
      </c>
      <c r="M240" s="172">
        <v>7.6269999999999998</v>
      </c>
      <c r="N240" s="173">
        <v>0.13111999999999999</v>
      </c>
      <c r="P240" s="30">
        <v>23</v>
      </c>
      <c r="Q240" s="172">
        <v>3.8132999999999999</v>
      </c>
      <c r="R240" s="173">
        <v>0.16016</v>
      </c>
      <c r="T240" s="30">
        <v>23</v>
      </c>
      <c r="U240" s="172">
        <v>262.24</v>
      </c>
      <c r="V240" s="173">
        <v>6.2439999999999998</v>
      </c>
      <c r="X240" s="30">
        <v>23</v>
      </c>
      <c r="Y240" s="34">
        <v>3.4047000000000001</v>
      </c>
      <c r="Z240" s="35">
        <v>0.14299999999999999</v>
      </c>
      <c r="AA240" s="36"/>
      <c r="AB240" s="30">
        <v>23</v>
      </c>
      <c r="AC240" s="44">
        <v>293.70999999999998</v>
      </c>
      <c r="AD240" s="35">
        <v>6.9930000000000003</v>
      </c>
      <c r="AE240" s="36"/>
      <c r="AF240" s="30">
        <v>23</v>
      </c>
      <c r="AG240" s="34">
        <v>3.4594</v>
      </c>
      <c r="AH240" s="35">
        <v>0.14529</v>
      </c>
      <c r="AI240" s="35"/>
      <c r="AJ240" s="35">
        <v>0.11597</v>
      </c>
      <c r="AK240" s="998">
        <v>62</v>
      </c>
      <c r="AM240" s="30">
        <v>23</v>
      </c>
      <c r="AN240" s="34">
        <v>0.99229999999999996</v>
      </c>
      <c r="AO240" s="35">
        <v>1.1113</v>
      </c>
      <c r="AQ240" s="197">
        <v>0.88</v>
      </c>
      <c r="AR240" s="200">
        <v>29.3</v>
      </c>
      <c r="AS240" s="199">
        <v>879.5</v>
      </c>
      <c r="AZ240" s="197">
        <v>0.88</v>
      </c>
      <c r="BA240" s="198">
        <v>7.3276000000000003</v>
      </c>
      <c r="BB240" s="199">
        <v>0.13647000000000001</v>
      </c>
      <c r="BD240" s="197">
        <v>0.88</v>
      </c>
      <c r="BE240" s="198">
        <v>3.6638000000000002</v>
      </c>
      <c r="BF240" s="199">
        <v>0.15387999999999999</v>
      </c>
      <c r="BH240" s="197">
        <v>0.88</v>
      </c>
      <c r="BI240" s="198">
        <v>272.94</v>
      </c>
      <c r="BJ240" s="199">
        <v>6.4989999999999997</v>
      </c>
      <c r="BL240" s="197">
        <v>0.88</v>
      </c>
      <c r="BM240" s="198">
        <v>3.2713000000000001</v>
      </c>
      <c r="BN240" s="199">
        <v>0.13739000000000001</v>
      </c>
      <c r="BP240" s="197">
        <v>0.88</v>
      </c>
      <c r="BQ240" s="200">
        <v>305.69</v>
      </c>
      <c r="BR240" s="199">
        <v>7.2779999999999996</v>
      </c>
      <c r="BT240" s="197">
        <v>0.88</v>
      </c>
      <c r="BU240" s="201">
        <v>1.0327</v>
      </c>
      <c r="BV240" s="202">
        <v>1.1567000000000001</v>
      </c>
      <c r="BX240" s="37">
        <v>880</v>
      </c>
      <c r="BY240" s="38">
        <v>0.88049999999999995</v>
      </c>
      <c r="BZ240" s="39">
        <v>29.21</v>
      </c>
      <c r="CA240" s="33"/>
      <c r="CB240" s="37">
        <v>880</v>
      </c>
      <c r="CC240" s="38">
        <v>0.15892000000000001</v>
      </c>
      <c r="CD240" s="42">
        <v>6.2930000000000001</v>
      </c>
      <c r="CE240" s="33"/>
      <c r="CF240" s="33"/>
      <c r="CG240" s="33"/>
      <c r="CH240" s="33"/>
      <c r="CI240" s="33"/>
      <c r="CJ240" s="33"/>
      <c r="CK240" s="33"/>
      <c r="CL240" s="40">
        <v>880</v>
      </c>
      <c r="CM240" s="43">
        <v>878.9</v>
      </c>
      <c r="CN240" s="41">
        <v>1.1377999999999999</v>
      </c>
      <c r="CO240" s="33"/>
      <c r="CP240" s="40">
        <v>880</v>
      </c>
      <c r="CQ240" s="34">
        <v>0.96879999999999999</v>
      </c>
      <c r="CR240" s="41">
        <v>0.86499999999999999</v>
      </c>
      <c r="CS240" s="33"/>
      <c r="CT240" s="40">
        <v>880</v>
      </c>
      <c r="CU240" s="44">
        <v>300.7</v>
      </c>
      <c r="CV240" s="42">
        <v>7.1589999999999998</v>
      </c>
    </row>
    <row r="241" spans="4:100">
      <c r="D241" s="30">
        <v>23.1</v>
      </c>
      <c r="E241" s="31">
        <v>0.9153</v>
      </c>
      <c r="F241" s="32">
        <v>914.7</v>
      </c>
      <c r="G241" s="33"/>
      <c r="H241" s="30">
        <v>23.1</v>
      </c>
      <c r="I241" s="34">
        <v>3.7837999999999998</v>
      </c>
      <c r="J241" s="35">
        <v>0.15892000000000001</v>
      </c>
      <c r="L241" s="30">
        <v>23.1</v>
      </c>
      <c r="M241" s="172">
        <v>7.6219999999999999</v>
      </c>
      <c r="N241" s="173">
        <v>0.13120999999999999</v>
      </c>
      <c r="P241" s="30">
        <v>23.1</v>
      </c>
      <c r="Q241" s="172">
        <v>3.8108</v>
      </c>
      <c r="R241" s="173">
        <v>0.16005</v>
      </c>
      <c r="T241" s="30">
        <v>23.1</v>
      </c>
      <c r="U241" s="172">
        <v>262.41000000000003</v>
      </c>
      <c r="V241" s="173">
        <v>6.2480000000000002</v>
      </c>
      <c r="X241" s="30">
        <v>23.1</v>
      </c>
      <c r="Y241" s="34">
        <v>3.4024999999999999</v>
      </c>
      <c r="Z241" s="35">
        <v>0.14291000000000001</v>
      </c>
      <c r="AA241" s="36"/>
      <c r="AB241" s="30">
        <v>23.1</v>
      </c>
      <c r="AC241" s="44">
        <v>293.89999999999998</v>
      </c>
      <c r="AD241" s="35">
        <v>6.9980000000000002</v>
      </c>
      <c r="AE241" s="36"/>
      <c r="AF241" s="30">
        <v>23.1</v>
      </c>
      <c r="AG241" s="34">
        <v>3.4571000000000001</v>
      </c>
      <c r="AH241" s="35">
        <v>0.1452</v>
      </c>
      <c r="AI241" s="35"/>
      <c r="AJ241" s="35">
        <v>0.11602999999999999</v>
      </c>
      <c r="AK241" s="998">
        <v>61.9</v>
      </c>
      <c r="AM241" s="30">
        <v>23.1</v>
      </c>
      <c r="AN241" s="34">
        <v>0.9929</v>
      </c>
      <c r="AO241" s="35">
        <v>1.1121000000000001</v>
      </c>
      <c r="AQ241" s="197">
        <v>0.88100000000000001</v>
      </c>
      <c r="AR241" s="200">
        <v>29.11</v>
      </c>
      <c r="AS241" s="199">
        <v>880.5</v>
      </c>
      <c r="AZ241" s="197">
        <v>0.88100000000000001</v>
      </c>
      <c r="BA241" s="198">
        <v>7.3358999999999996</v>
      </c>
      <c r="BB241" s="199">
        <v>0.13632</v>
      </c>
      <c r="BD241" s="197">
        <v>0.88100000000000001</v>
      </c>
      <c r="BE241" s="198">
        <v>3.6680000000000001</v>
      </c>
      <c r="BF241" s="199">
        <v>0.15404999999999999</v>
      </c>
      <c r="BH241" s="197">
        <v>0.88100000000000001</v>
      </c>
      <c r="BI241" s="198">
        <v>272.63</v>
      </c>
      <c r="BJ241" s="199">
        <v>6.4909999999999997</v>
      </c>
      <c r="BL241" s="197">
        <v>0.88100000000000001</v>
      </c>
      <c r="BM241" s="198">
        <v>3.2749999999999999</v>
      </c>
      <c r="BN241" s="199">
        <v>0.13755000000000001</v>
      </c>
      <c r="BP241" s="197">
        <v>0.88100000000000001</v>
      </c>
      <c r="BQ241" s="200">
        <v>305.35000000000002</v>
      </c>
      <c r="BR241" s="199">
        <v>7.27</v>
      </c>
      <c r="BT241" s="197">
        <v>0.88100000000000001</v>
      </c>
      <c r="BU241" s="201">
        <v>1.0316000000000001</v>
      </c>
      <c r="BV241" s="202">
        <v>1.1554</v>
      </c>
      <c r="BX241" s="37">
        <v>881</v>
      </c>
      <c r="BY241" s="38">
        <v>0.88149999999999995</v>
      </c>
      <c r="BZ241" s="39">
        <v>29.02</v>
      </c>
      <c r="CA241" s="33"/>
      <c r="CB241" s="37">
        <v>881</v>
      </c>
      <c r="CC241" s="38">
        <v>0.15892000000000001</v>
      </c>
      <c r="CD241" s="42">
        <v>6.2930000000000001</v>
      </c>
      <c r="CE241" s="33"/>
      <c r="CF241" s="33"/>
      <c r="CG241" s="33"/>
      <c r="CH241" s="33"/>
      <c r="CI241" s="33"/>
      <c r="CJ241" s="33"/>
      <c r="CK241" s="33"/>
      <c r="CL241" s="40">
        <v>881</v>
      </c>
      <c r="CM241" s="43">
        <v>879.9</v>
      </c>
      <c r="CN241" s="41">
        <v>1.1365000000000001</v>
      </c>
      <c r="CO241" s="33"/>
      <c r="CP241" s="40">
        <v>881</v>
      </c>
      <c r="CQ241" s="34">
        <v>0.96989999999999998</v>
      </c>
      <c r="CR241" s="41">
        <v>0.86599999999999999</v>
      </c>
      <c r="CS241" s="33"/>
      <c r="CT241" s="40">
        <v>881</v>
      </c>
      <c r="CU241" s="44">
        <v>300.36</v>
      </c>
      <c r="CV241" s="42">
        <v>7.1509999999999998</v>
      </c>
    </row>
    <row r="242" spans="4:100">
      <c r="D242" s="30">
        <v>23.2</v>
      </c>
      <c r="E242" s="31">
        <v>0.91469999999999996</v>
      </c>
      <c r="F242" s="32">
        <v>914.2</v>
      </c>
      <c r="G242" s="33"/>
      <c r="H242" s="30">
        <v>23.2</v>
      </c>
      <c r="I242" s="34">
        <v>3.7837999999999998</v>
      </c>
      <c r="J242" s="35">
        <v>0.15892000000000001</v>
      </c>
      <c r="L242" s="30">
        <v>23.2</v>
      </c>
      <c r="M242" s="172">
        <v>7.617</v>
      </c>
      <c r="N242" s="173">
        <v>0.13128999999999999</v>
      </c>
      <c r="P242" s="30">
        <v>23.2</v>
      </c>
      <c r="Q242" s="172">
        <v>3.8083999999999998</v>
      </c>
      <c r="R242" s="173">
        <v>0.15995000000000001</v>
      </c>
      <c r="T242" s="30">
        <v>23.2</v>
      </c>
      <c r="U242" s="172">
        <v>262.58</v>
      </c>
      <c r="V242" s="173">
        <v>6.2519999999999998</v>
      </c>
      <c r="X242" s="30">
        <v>23.2</v>
      </c>
      <c r="Y242" s="34">
        <v>3.4003000000000001</v>
      </c>
      <c r="Z242" s="35">
        <v>0.14280999999999999</v>
      </c>
      <c r="AA242" s="36"/>
      <c r="AB242" s="30">
        <v>23.2</v>
      </c>
      <c r="AC242" s="44">
        <v>294.08999999999997</v>
      </c>
      <c r="AD242" s="35">
        <v>7.0019999999999998</v>
      </c>
      <c r="AE242" s="36"/>
      <c r="AF242" s="30">
        <v>23.2</v>
      </c>
      <c r="AG242" s="34">
        <v>3.4548999999999999</v>
      </c>
      <c r="AH242" s="35">
        <v>0.14510999999999999</v>
      </c>
      <c r="AI242" s="35"/>
      <c r="AJ242" s="35">
        <v>0.11609</v>
      </c>
      <c r="AK242" s="998">
        <v>61.8</v>
      </c>
      <c r="AM242" s="30">
        <v>23.2</v>
      </c>
      <c r="AN242" s="34">
        <v>0.99360000000000004</v>
      </c>
      <c r="AO242" s="35">
        <v>1.1128</v>
      </c>
      <c r="AQ242" s="197">
        <v>0.88200000000000001</v>
      </c>
      <c r="AR242" s="200">
        <v>28.93</v>
      </c>
      <c r="AS242" s="199">
        <v>881.5</v>
      </c>
      <c r="AZ242" s="197">
        <v>0.88200000000000001</v>
      </c>
      <c r="BA242" s="198">
        <v>7.3442999999999996</v>
      </c>
      <c r="BB242" s="199">
        <v>0.13616</v>
      </c>
      <c r="BD242" s="197">
        <v>0.88200000000000001</v>
      </c>
      <c r="BE242" s="198">
        <v>3.6720999999999999</v>
      </c>
      <c r="BF242" s="199">
        <v>0.15423000000000001</v>
      </c>
      <c r="BH242" s="197">
        <v>0.88200000000000001</v>
      </c>
      <c r="BI242" s="198">
        <v>272.32</v>
      </c>
      <c r="BJ242" s="199">
        <v>6.484</v>
      </c>
      <c r="BL242" s="197">
        <v>0.88200000000000001</v>
      </c>
      <c r="BM242" s="198">
        <v>3.2787000000000002</v>
      </c>
      <c r="BN242" s="199">
        <v>0.13771</v>
      </c>
      <c r="BP242" s="197">
        <v>0.88200000000000001</v>
      </c>
      <c r="BQ242" s="200">
        <v>305</v>
      </c>
      <c r="BR242" s="199">
        <v>7.2619999999999996</v>
      </c>
      <c r="BT242" s="197">
        <v>0.88200000000000001</v>
      </c>
      <c r="BU242" s="201">
        <v>1.0304</v>
      </c>
      <c r="BV242" s="202">
        <v>1.1539999999999999</v>
      </c>
      <c r="BX242" s="37">
        <v>882</v>
      </c>
      <c r="BY242" s="38">
        <v>0.88249999999999995</v>
      </c>
      <c r="BZ242" s="39">
        <v>28.84</v>
      </c>
      <c r="CA242" s="33"/>
      <c r="CB242" s="37">
        <v>882</v>
      </c>
      <c r="CC242" s="38">
        <v>0.15892000000000001</v>
      </c>
      <c r="CD242" s="42">
        <v>6.2930000000000001</v>
      </c>
      <c r="CE242" s="33"/>
      <c r="CF242" s="33"/>
      <c r="CG242" s="33"/>
      <c r="CH242" s="33"/>
      <c r="CI242" s="33"/>
      <c r="CJ242" s="33"/>
      <c r="CK242" s="33"/>
      <c r="CL242" s="40">
        <v>882</v>
      </c>
      <c r="CM242" s="43">
        <v>880.9</v>
      </c>
      <c r="CN242" s="41">
        <v>1.1352</v>
      </c>
      <c r="CO242" s="33"/>
      <c r="CP242" s="40">
        <v>882</v>
      </c>
      <c r="CQ242" s="34">
        <v>0.97099999999999997</v>
      </c>
      <c r="CR242" s="41">
        <v>0.86699999999999999</v>
      </c>
      <c r="CS242" s="33"/>
      <c r="CT242" s="40">
        <v>882</v>
      </c>
      <c r="CU242" s="44">
        <v>300.02</v>
      </c>
      <c r="CV242" s="42">
        <v>7.1429999999999998</v>
      </c>
    </row>
    <row r="243" spans="4:100">
      <c r="D243" s="30">
        <v>23.3</v>
      </c>
      <c r="E243" s="31">
        <v>0.91410000000000002</v>
      </c>
      <c r="F243" s="32">
        <v>913.6</v>
      </c>
      <c r="G243" s="33"/>
      <c r="H243" s="30">
        <v>23.3</v>
      </c>
      <c r="I243" s="34">
        <v>3.7837999999999998</v>
      </c>
      <c r="J243" s="35">
        <v>0.15892000000000001</v>
      </c>
      <c r="L243" s="30">
        <v>23.3</v>
      </c>
      <c r="M243" s="172">
        <v>7.6120000000000001</v>
      </c>
      <c r="N243" s="173">
        <v>0.13136999999999999</v>
      </c>
      <c r="P243" s="30">
        <v>23.3</v>
      </c>
      <c r="Q243" s="172">
        <v>3.8058999999999998</v>
      </c>
      <c r="R243" s="173">
        <v>0.15984999999999999</v>
      </c>
      <c r="T243" s="30">
        <v>23.3</v>
      </c>
      <c r="U243" s="172">
        <v>262.75</v>
      </c>
      <c r="V243" s="173">
        <v>6.2560000000000002</v>
      </c>
      <c r="X243" s="30">
        <v>23.3</v>
      </c>
      <c r="Y243" s="34">
        <v>3.3980999999999999</v>
      </c>
      <c r="Z243" s="35">
        <v>0.14272000000000001</v>
      </c>
      <c r="AA243" s="36"/>
      <c r="AB243" s="30">
        <v>23.3</v>
      </c>
      <c r="AC243" s="44">
        <v>294.27999999999997</v>
      </c>
      <c r="AD243" s="35">
        <v>7.0069999999999997</v>
      </c>
      <c r="AE243" s="36"/>
      <c r="AF243" s="30">
        <v>23.3</v>
      </c>
      <c r="AG243" s="34">
        <v>3.4527000000000001</v>
      </c>
      <c r="AH243" s="35">
        <v>0.14501</v>
      </c>
      <c r="AI243" s="35"/>
      <c r="AJ243" s="35">
        <v>0.11615</v>
      </c>
      <c r="AK243" s="998">
        <v>61.7</v>
      </c>
      <c r="AM243" s="30">
        <v>23.3</v>
      </c>
      <c r="AN243" s="34">
        <v>0.99419999999999997</v>
      </c>
      <c r="AO243" s="35">
        <v>1.1134999999999999</v>
      </c>
      <c r="AQ243" s="197">
        <v>0.88300000000000001</v>
      </c>
      <c r="AR243" s="200">
        <v>28.75</v>
      </c>
      <c r="AS243" s="199">
        <v>882.5</v>
      </c>
      <c r="AZ243" s="197">
        <v>0.88300000000000001</v>
      </c>
      <c r="BA243" s="198">
        <v>7.3525999999999998</v>
      </c>
      <c r="BB243" s="199">
        <v>0.13600999999999999</v>
      </c>
      <c r="BD243" s="197">
        <v>0.88300000000000001</v>
      </c>
      <c r="BE243" s="198">
        <v>3.6762999999999999</v>
      </c>
      <c r="BF243" s="199">
        <v>0.15440999999999999</v>
      </c>
      <c r="BH243" s="197">
        <v>0.88300000000000001</v>
      </c>
      <c r="BI243" s="198">
        <v>272.01</v>
      </c>
      <c r="BJ243" s="199">
        <v>6.476</v>
      </c>
      <c r="BL243" s="197">
        <v>0.88300000000000001</v>
      </c>
      <c r="BM243" s="198">
        <v>3.2824</v>
      </c>
      <c r="BN243" s="199">
        <v>0.13786000000000001</v>
      </c>
      <c r="BP243" s="197">
        <v>0.88300000000000001</v>
      </c>
      <c r="BQ243" s="200">
        <v>304.64999999999998</v>
      </c>
      <c r="BR243" s="199">
        <v>7.2539999999999996</v>
      </c>
      <c r="BT243" s="197">
        <v>0.88300000000000001</v>
      </c>
      <c r="BU243" s="201">
        <v>1.0291999999999999</v>
      </c>
      <c r="BV243" s="202">
        <v>1.1527000000000001</v>
      </c>
      <c r="BX243" s="37">
        <v>883</v>
      </c>
      <c r="BY243" s="38">
        <v>0.88349999999999995</v>
      </c>
      <c r="BZ243" s="39">
        <v>28.66</v>
      </c>
      <c r="CA243" s="33"/>
      <c r="CB243" s="37">
        <v>883</v>
      </c>
      <c r="CC243" s="38">
        <v>0.15892000000000001</v>
      </c>
      <c r="CD243" s="42">
        <v>6.2930000000000001</v>
      </c>
      <c r="CE243" s="33"/>
      <c r="CF243" s="33"/>
      <c r="CG243" s="33"/>
      <c r="CH243" s="33"/>
      <c r="CI243" s="33"/>
      <c r="CJ243" s="33"/>
      <c r="CK243" s="33"/>
      <c r="CL243" s="40">
        <v>883</v>
      </c>
      <c r="CM243" s="43">
        <v>881.9</v>
      </c>
      <c r="CN243" s="41">
        <v>1.1338999999999999</v>
      </c>
      <c r="CO243" s="33"/>
      <c r="CP243" s="40">
        <v>883</v>
      </c>
      <c r="CQ243" s="34">
        <v>0.97209999999999996</v>
      </c>
      <c r="CR243" s="41">
        <v>0.86799999999999999</v>
      </c>
      <c r="CS243" s="33"/>
      <c r="CT243" s="40">
        <v>883</v>
      </c>
      <c r="CU243" s="44">
        <v>299.67</v>
      </c>
      <c r="CV243" s="42">
        <v>7.1349999999999998</v>
      </c>
    </row>
    <row r="244" spans="4:100">
      <c r="D244" s="30">
        <v>23.4</v>
      </c>
      <c r="E244" s="31">
        <v>0.91349999999999998</v>
      </c>
      <c r="F244" s="32">
        <v>913</v>
      </c>
      <c r="G244" s="33"/>
      <c r="H244" s="30">
        <v>23.4</v>
      </c>
      <c r="I244" s="34">
        <v>3.7837999999999998</v>
      </c>
      <c r="J244" s="35">
        <v>0.15892000000000001</v>
      </c>
      <c r="L244" s="30">
        <v>23.4</v>
      </c>
      <c r="M244" s="172">
        <v>7.6070000000000002</v>
      </c>
      <c r="N244" s="173">
        <v>0.13145999999999999</v>
      </c>
      <c r="P244" s="30">
        <v>23.4</v>
      </c>
      <c r="Q244" s="172">
        <v>3.8033999999999999</v>
      </c>
      <c r="R244" s="173">
        <v>0.15973999999999999</v>
      </c>
      <c r="T244" s="30">
        <v>23.4</v>
      </c>
      <c r="U244" s="172">
        <v>262.92</v>
      </c>
      <c r="V244" s="173">
        <v>6.26</v>
      </c>
      <c r="X244" s="30">
        <v>23.4</v>
      </c>
      <c r="Y244" s="34">
        <v>3.3959000000000001</v>
      </c>
      <c r="Z244" s="35">
        <v>0.14263000000000001</v>
      </c>
      <c r="AA244" s="36"/>
      <c r="AB244" s="30">
        <v>23.4</v>
      </c>
      <c r="AC244" s="44">
        <v>294.47000000000003</v>
      </c>
      <c r="AD244" s="35">
        <v>7.0110000000000001</v>
      </c>
      <c r="AE244" s="36"/>
      <c r="AF244" s="30">
        <v>23.4</v>
      </c>
      <c r="AG244" s="34">
        <v>3.4504000000000001</v>
      </c>
      <c r="AH244" s="35">
        <v>0.14491999999999999</v>
      </c>
      <c r="AI244" s="35"/>
      <c r="AJ244" s="35">
        <v>0.11620999999999999</v>
      </c>
      <c r="AK244" s="998">
        <v>61.6</v>
      </c>
      <c r="AM244" s="30">
        <v>23.4</v>
      </c>
      <c r="AN244" s="34">
        <v>0.99480000000000002</v>
      </c>
      <c r="AO244" s="35">
        <v>1.1142000000000001</v>
      </c>
      <c r="AQ244" s="197">
        <v>0.88400000000000001</v>
      </c>
      <c r="AR244" s="200">
        <v>28.57</v>
      </c>
      <c r="AS244" s="199">
        <v>883.5</v>
      </c>
      <c r="AZ244" s="197">
        <v>0.88400000000000001</v>
      </c>
      <c r="BA244" s="198">
        <v>7.3609999999999998</v>
      </c>
      <c r="BB244" s="199">
        <v>0.13585</v>
      </c>
      <c r="BD244" s="197">
        <v>0.88400000000000001</v>
      </c>
      <c r="BE244" s="198">
        <v>3.6804999999999999</v>
      </c>
      <c r="BF244" s="199">
        <v>0.15458</v>
      </c>
      <c r="BH244" s="197">
        <v>0.88400000000000001</v>
      </c>
      <c r="BI244" s="198">
        <v>271.7</v>
      </c>
      <c r="BJ244" s="199">
        <v>6.4690000000000003</v>
      </c>
      <c r="BL244" s="197">
        <v>0.88400000000000001</v>
      </c>
      <c r="BM244" s="198">
        <v>3.2860999999999998</v>
      </c>
      <c r="BN244" s="199">
        <v>0.13802</v>
      </c>
      <c r="BP244" s="197">
        <v>0.88400000000000001</v>
      </c>
      <c r="BQ244" s="200">
        <v>304.31</v>
      </c>
      <c r="BR244" s="199">
        <v>7.2450000000000001</v>
      </c>
      <c r="BT244" s="197">
        <v>0.88400000000000001</v>
      </c>
      <c r="BU244" s="201">
        <v>1.0281</v>
      </c>
      <c r="BV244" s="202">
        <v>1.1514</v>
      </c>
      <c r="BX244" s="37">
        <v>884</v>
      </c>
      <c r="BY244" s="38">
        <v>0.88449999999999995</v>
      </c>
      <c r="BZ244" s="39">
        <v>28.48</v>
      </c>
      <c r="CA244" s="33"/>
      <c r="CB244" s="37">
        <v>884</v>
      </c>
      <c r="CC244" s="38">
        <v>0.15892000000000001</v>
      </c>
      <c r="CD244" s="42">
        <v>6.2930000000000001</v>
      </c>
      <c r="CE244" s="33"/>
      <c r="CF244" s="33"/>
      <c r="CG244" s="33"/>
      <c r="CH244" s="33"/>
      <c r="CI244" s="33"/>
      <c r="CJ244" s="33"/>
      <c r="CK244" s="33"/>
      <c r="CL244" s="40">
        <v>884</v>
      </c>
      <c r="CM244" s="43">
        <v>882.9</v>
      </c>
      <c r="CN244" s="41">
        <v>1.1326000000000001</v>
      </c>
      <c r="CO244" s="33"/>
      <c r="CP244" s="40">
        <v>884</v>
      </c>
      <c r="CQ244" s="34">
        <v>0.97319999999999995</v>
      </c>
      <c r="CR244" s="41">
        <v>0.86899999999999999</v>
      </c>
      <c r="CS244" s="33"/>
      <c r="CT244" s="40">
        <v>884</v>
      </c>
      <c r="CU244" s="44">
        <v>299.33999999999997</v>
      </c>
      <c r="CV244" s="42">
        <v>7.1269999999999998</v>
      </c>
    </row>
    <row r="245" spans="4:100">
      <c r="D245" s="30">
        <v>23.5</v>
      </c>
      <c r="E245" s="31">
        <v>0.91290000000000004</v>
      </c>
      <c r="F245" s="32">
        <v>912.4</v>
      </c>
      <c r="G245" s="33"/>
      <c r="H245" s="30">
        <v>23.5</v>
      </c>
      <c r="I245" s="34">
        <v>3.7837999999999998</v>
      </c>
      <c r="J245" s="35">
        <v>0.15892000000000001</v>
      </c>
      <c r="L245" s="30">
        <v>23.5</v>
      </c>
      <c r="M245" s="172">
        <v>7.6020000000000003</v>
      </c>
      <c r="N245" s="173">
        <v>0.13153999999999999</v>
      </c>
      <c r="P245" s="30">
        <v>23.5</v>
      </c>
      <c r="Q245" s="172">
        <v>3.8010000000000002</v>
      </c>
      <c r="R245" s="173">
        <v>0.15964</v>
      </c>
      <c r="T245" s="30">
        <v>23.5</v>
      </c>
      <c r="U245" s="172">
        <v>263.08999999999997</v>
      </c>
      <c r="V245" s="173">
        <v>6.2640000000000002</v>
      </c>
      <c r="X245" s="30">
        <v>23.5</v>
      </c>
      <c r="Y245" s="34">
        <v>3.3936999999999999</v>
      </c>
      <c r="Z245" s="35">
        <v>0.14254</v>
      </c>
      <c r="AA245" s="36"/>
      <c r="AB245" s="30">
        <v>23.5</v>
      </c>
      <c r="AC245" s="44">
        <v>294.66000000000003</v>
      </c>
      <c r="AD245" s="35">
        <v>7.016</v>
      </c>
      <c r="AE245" s="36"/>
      <c r="AF245" s="30">
        <v>23.5</v>
      </c>
      <c r="AG245" s="34">
        <v>3.4481999999999999</v>
      </c>
      <c r="AH245" s="35">
        <v>0.14482</v>
      </c>
      <c r="AI245" s="35"/>
      <c r="AJ245" s="35">
        <v>0.11627</v>
      </c>
      <c r="AK245" s="998">
        <v>61.5</v>
      </c>
      <c r="AM245" s="30">
        <v>23.5</v>
      </c>
      <c r="AN245" s="34">
        <v>0.99550000000000005</v>
      </c>
      <c r="AO245" s="35">
        <v>1.1149</v>
      </c>
      <c r="AQ245" s="197">
        <v>0.88500000000000001</v>
      </c>
      <c r="AR245" s="200">
        <v>28.39</v>
      </c>
      <c r="AS245" s="199">
        <v>884.5</v>
      </c>
      <c r="AZ245" s="197">
        <v>0.88500000000000001</v>
      </c>
      <c r="BA245" s="198">
        <v>7.3693</v>
      </c>
      <c r="BB245" s="199">
        <v>0.13569999999999999</v>
      </c>
      <c r="BD245" s="197">
        <v>0.88500000000000001</v>
      </c>
      <c r="BE245" s="198">
        <v>3.6846000000000001</v>
      </c>
      <c r="BF245" s="199">
        <v>0.15476000000000001</v>
      </c>
      <c r="BH245" s="197">
        <v>0.88500000000000001</v>
      </c>
      <c r="BI245" s="198">
        <v>271.39999999999998</v>
      </c>
      <c r="BJ245" s="199">
        <v>6.4619999999999997</v>
      </c>
      <c r="BL245" s="197">
        <v>0.88500000000000001</v>
      </c>
      <c r="BM245" s="198">
        <v>3.2898999999999998</v>
      </c>
      <c r="BN245" s="199">
        <v>0.13816999999999999</v>
      </c>
      <c r="BP245" s="197">
        <v>0.88500000000000001</v>
      </c>
      <c r="BQ245" s="200">
        <v>303.95999999999998</v>
      </c>
      <c r="BR245" s="199">
        <v>7.2370000000000001</v>
      </c>
      <c r="BT245" s="197">
        <v>0.88500000000000001</v>
      </c>
      <c r="BU245" s="201">
        <v>1.0268999999999999</v>
      </c>
      <c r="BV245" s="202">
        <v>1.1500999999999999</v>
      </c>
      <c r="BX245" s="37">
        <v>885</v>
      </c>
      <c r="BY245" s="38">
        <v>0.88549999999999995</v>
      </c>
      <c r="BZ245" s="39">
        <v>28.3</v>
      </c>
      <c r="CA245" s="33"/>
      <c r="CB245" s="37">
        <v>885</v>
      </c>
      <c r="CC245" s="38">
        <v>0.15892000000000001</v>
      </c>
      <c r="CD245" s="42">
        <v>6.2930000000000001</v>
      </c>
      <c r="CE245" s="33"/>
      <c r="CF245" s="33"/>
      <c r="CG245" s="33"/>
      <c r="CH245" s="33"/>
      <c r="CI245" s="33"/>
      <c r="CJ245" s="33"/>
      <c r="CK245" s="33"/>
      <c r="CL245" s="40">
        <v>885</v>
      </c>
      <c r="CM245" s="43">
        <v>883.9</v>
      </c>
      <c r="CN245" s="41">
        <v>1.1313</v>
      </c>
      <c r="CO245" s="33"/>
      <c r="CP245" s="40">
        <v>885</v>
      </c>
      <c r="CQ245" s="34">
        <v>0.97430000000000005</v>
      </c>
      <c r="CR245" s="41">
        <v>0.87</v>
      </c>
      <c r="CS245" s="33"/>
      <c r="CT245" s="40">
        <v>885</v>
      </c>
      <c r="CU245" s="44">
        <v>299</v>
      </c>
      <c r="CV245" s="42">
        <v>7.1189999999999998</v>
      </c>
    </row>
    <row r="246" spans="4:100">
      <c r="D246" s="30">
        <v>23.6</v>
      </c>
      <c r="E246" s="31">
        <v>0.9123</v>
      </c>
      <c r="F246" s="32">
        <v>911.8</v>
      </c>
      <c r="G246" s="33"/>
      <c r="H246" s="30">
        <v>23.6</v>
      </c>
      <c r="I246" s="34">
        <v>3.7837999999999998</v>
      </c>
      <c r="J246" s="35">
        <v>0.15892000000000001</v>
      </c>
      <c r="L246" s="30">
        <v>23.6</v>
      </c>
      <c r="M246" s="172">
        <v>7.5970000000000004</v>
      </c>
      <c r="N246" s="173">
        <v>0.13163</v>
      </c>
      <c r="P246" s="30">
        <v>23.6</v>
      </c>
      <c r="Q246" s="172">
        <v>3.7985000000000002</v>
      </c>
      <c r="R246" s="173">
        <v>0.15953999999999999</v>
      </c>
      <c r="T246" s="30">
        <v>23.6</v>
      </c>
      <c r="U246" s="172">
        <v>263.26</v>
      </c>
      <c r="V246" s="173">
        <v>6.2679999999999998</v>
      </c>
      <c r="X246" s="30">
        <v>23.6</v>
      </c>
      <c r="Y246" s="34">
        <v>3.3915000000000002</v>
      </c>
      <c r="Z246" s="35">
        <v>0.14244000000000001</v>
      </c>
      <c r="AA246" s="36"/>
      <c r="AB246" s="30">
        <v>23.6</v>
      </c>
      <c r="AC246" s="44">
        <v>294.85000000000002</v>
      </c>
      <c r="AD246" s="35">
        <v>7.02</v>
      </c>
      <c r="AE246" s="36"/>
      <c r="AF246" s="30">
        <v>23.6</v>
      </c>
      <c r="AG246" s="34">
        <v>3.4460000000000002</v>
      </c>
      <c r="AH246" s="35">
        <v>0.14473</v>
      </c>
      <c r="AI246" s="35"/>
      <c r="AJ246" s="35">
        <v>0.11633</v>
      </c>
      <c r="AK246" s="998">
        <v>61.4</v>
      </c>
      <c r="AM246" s="30">
        <v>23.6</v>
      </c>
      <c r="AN246" s="34">
        <v>0.99609999999999999</v>
      </c>
      <c r="AO246" s="35">
        <v>1.1156999999999999</v>
      </c>
      <c r="AQ246" s="197">
        <v>0.88600000000000001</v>
      </c>
      <c r="AR246" s="200">
        <v>28.21</v>
      </c>
      <c r="AS246" s="199">
        <v>885.5</v>
      </c>
      <c r="AZ246" s="197">
        <v>0.88600000000000001</v>
      </c>
      <c r="BA246" s="198">
        <v>7.3776000000000002</v>
      </c>
      <c r="BB246" s="199">
        <v>0.13553999999999999</v>
      </c>
      <c r="BD246" s="197">
        <v>0.88600000000000001</v>
      </c>
      <c r="BE246" s="198">
        <v>3.6888000000000001</v>
      </c>
      <c r="BF246" s="199">
        <v>0.15493000000000001</v>
      </c>
      <c r="BH246" s="197">
        <v>0.88600000000000001</v>
      </c>
      <c r="BI246" s="198">
        <v>271.08999999999997</v>
      </c>
      <c r="BJ246" s="199">
        <v>6.4550000000000001</v>
      </c>
      <c r="BL246" s="197">
        <v>0.88600000000000001</v>
      </c>
      <c r="BM246" s="198">
        <v>3.2936000000000001</v>
      </c>
      <c r="BN246" s="199">
        <v>0.13833000000000001</v>
      </c>
      <c r="BP246" s="197">
        <v>0.88600000000000001</v>
      </c>
      <c r="BQ246" s="200">
        <v>303.62</v>
      </c>
      <c r="BR246" s="199">
        <v>7.2290000000000001</v>
      </c>
      <c r="BT246" s="197">
        <v>0.88600000000000001</v>
      </c>
      <c r="BU246" s="201">
        <v>1.0257000000000001</v>
      </c>
      <c r="BV246" s="202">
        <v>1.1488</v>
      </c>
      <c r="BX246" s="37">
        <v>886</v>
      </c>
      <c r="BY246" s="38">
        <v>0.88649999999999995</v>
      </c>
      <c r="BZ246" s="39">
        <v>28.12</v>
      </c>
      <c r="CA246" s="33"/>
      <c r="CB246" s="37">
        <v>886</v>
      </c>
      <c r="CC246" s="38">
        <v>0.15892000000000001</v>
      </c>
      <c r="CD246" s="42">
        <v>6.2930000000000001</v>
      </c>
      <c r="CE246" s="33"/>
      <c r="CF246" s="33"/>
      <c r="CG246" s="33"/>
      <c r="CH246" s="33"/>
      <c r="CI246" s="33"/>
      <c r="CJ246" s="33"/>
      <c r="CK246" s="33"/>
      <c r="CL246" s="40">
        <v>886</v>
      </c>
      <c r="CM246" s="43">
        <v>884.9</v>
      </c>
      <c r="CN246" s="41">
        <v>1.1301000000000001</v>
      </c>
      <c r="CO246" s="33"/>
      <c r="CP246" s="40">
        <v>886</v>
      </c>
      <c r="CQ246" s="34">
        <v>0.97540000000000004</v>
      </c>
      <c r="CR246" s="41">
        <v>0.87090000000000001</v>
      </c>
      <c r="CS246" s="33"/>
      <c r="CT246" s="40">
        <v>886</v>
      </c>
      <c r="CU246" s="44">
        <v>298.66000000000003</v>
      </c>
      <c r="CV246" s="42">
        <v>7.1109999999999998</v>
      </c>
    </row>
    <row r="247" spans="4:100">
      <c r="D247" s="30">
        <v>23.7</v>
      </c>
      <c r="E247" s="31">
        <v>0.91169999999999995</v>
      </c>
      <c r="F247" s="32">
        <v>911.2</v>
      </c>
      <c r="G247" s="33"/>
      <c r="H247" s="30">
        <v>23.7</v>
      </c>
      <c r="I247" s="34">
        <v>3.7837999999999998</v>
      </c>
      <c r="J247" s="35">
        <v>0.15892000000000001</v>
      </c>
      <c r="L247" s="30">
        <v>23.7</v>
      </c>
      <c r="M247" s="172">
        <v>7.5919999999999996</v>
      </c>
      <c r="N247" s="173">
        <v>0.13170999999999999</v>
      </c>
      <c r="P247" s="30">
        <v>23.7</v>
      </c>
      <c r="Q247" s="172">
        <v>3.7961</v>
      </c>
      <c r="R247" s="173">
        <v>0.15944</v>
      </c>
      <c r="T247" s="30">
        <v>23.7</v>
      </c>
      <c r="U247" s="172">
        <v>263.43</v>
      </c>
      <c r="V247" s="173">
        <v>6.2720000000000002</v>
      </c>
      <c r="X247" s="30">
        <v>23.7</v>
      </c>
      <c r="Y247" s="34">
        <v>3.3894000000000002</v>
      </c>
      <c r="Z247" s="35">
        <v>0.14235</v>
      </c>
      <c r="AA247" s="36"/>
      <c r="AB247" s="30">
        <v>23.7</v>
      </c>
      <c r="AC247" s="44">
        <v>295.04000000000002</v>
      </c>
      <c r="AD247" s="35">
        <v>7.0250000000000004</v>
      </c>
      <c r="AE247" s="36"/>
      <c r="AF247" s="30">
        <v>23.7</v>
      </c>
      <c r="AG247" s="34">
        <v>3.4437000000000002</v>
      </c>
      <c r="AH247" s="35">
        <v>0.14463999999999999</v>
      </c>
      <c r="AI247" s="35"/>
      <c r="AJ247" s="35">
        <v>0.11638999999999999</v>
      </c>
      <c r="AK247" s="998">
        <v>61.3</v>
      </c>
      <c r="AM247" s="30">
        <v>23.7</v>
      </c>
      <c r="AN247" s="34">
        <v>0.99680000000000002</v>
      </c>
      <c r="AO247" s="35">
        <v>1.1164000000000001</v>
      </c>
      <c r="AQ247" s="197">
        <v>0.88700000000000001</v>
      </c>
      <c r="AR247" s="200">
        <v>28.03</v>
      </c>
      <c r="AS247" s="199">
        <v>886.5</v>
      </c>
      <c r="AZ247" s="197">
        <v>0.88700000000000001</v>
      </c>
      <c r="BA247" s="198">
        <v>7.3860000000000001</v>
      </c>
      <c r="BB247" s="199">
        <v>0.13539000000000001</v>
      </c>
      <c r="BD247" s="197">
        <v>0.88700000000000001</v>
      </c>
      <c r="BE247" s="198">
        <v>3.6930000000000001</v>
      </c>
      <c r="BF247" s="199">
        <v>0.15511</v>
      </c>
      <c r="BH247" s="197">
        <v>0.88700000000000001</v>
      </c>
      <c r="BI247" s="198">
        <v>270.77999999999997</v>
      </c>
      <c r="BJ247" s="199">
        <v>6.4470000000000001</v>
      </c>
      <c r="BL247" s="197">
        <v>0.88700000000000001</v>
      </c>
      <c r="BM247" s="198">
        <v>3.2972999999999999</v>
      </c>
      <c r="BN247" s="199">
        <v>0.13849</v>
      </c>
      <c r="BP247" s="197">
        <v>0.88700000000000001</v>
      </c>
      <c r="BQ247" s="200">
        <v>303.27999999999997</v>
      </c>
      <c r="BR247" s="199">
        <v>7.2210000000000001</v>
      </c>
      <c r="BT247" s="197">
        <v>0.88700000000000001</v>
      </c>
      <c r="BU247" s="201">
        <v>1.0246</v>
      </c>
      <c r="BV247" s="202">
        <v>1.1475</v>
      </c>
      <c r="BX247" s="37">
        <v>887</v>
      </c>
      <c r="BY247" s="38">
        <v>0.88749999999999996</v>
      </c>
      <c r="BZ247" s="39">
        <v>27.94</v>
      </c>
      <c r="CA247" s="33"/>
      <c r="CB247" s="37">
        <v>887</v>
      </c>
      <c r="CC247" s="38">
        <v>0.15892000000000001</v>
      </c>
      <c r="CD247" s="42">
        <v>6.2930000000000001</v>
      </c>
      <c r="CE247" s="33"/>
      <c r="CF247" s="33"/>
      <c r="CG247" s="33"/>
      <c r="CH247" s="33"/>
      <c r="CI247" s="33"/>
      <c r="CJ247" s="33"/>
      <c r="CK247" s="33"/>
      <c r="CL247" s="40">
        <v>887</v>
      </c>
      <c r="CM247" s="43">
        <v>885.9</v>
      </c>
      <c r="CN247" s="41">
        <v>1.1288</v>
      </c>
      <c r="CO247" s="33"/>
      <c r="CP247" s="40">
        <v>887</v>
      </c>
      <c r="CQ247" s="34">
        <v>0.97660000000000002</v>
      </c>
      <c r="CR247" s="41">
        <v>0.87190000000000001</v>
      </c>
      <c r="CS247" s="33"/>
      <c r="CT247" s="40">
        <v>887</v>
      </c>
      <c r="CU247" s="44">
        <v>298.32</v>
      </c>
      <c r="CV247" s="42">
        <v>7.1029999999999998</v>
      </c>
    </row>
    <row r="248" spans="4:100">
      <c r="D248" s="30">
        <v>23.8</v>
      </c>
      <c r="E248" s="31">
        <v>0.91110000000000002</v>
      </c>
      <c r="F248" s="32">
        <v>910.6</v>
      </c>
      <c r="G248" s="33"/>
      <c r="H248" s="30">
        <v>23.8</v>
      </c>
      <c r="I248" s="34">
        <v>3.7837999999999998</v>
      </c>
      <c r="J248" s="35">
        <v>0.15892000000000001</v>
      </c>
      <c r="L248" s="30">
        <v>23.8</v>
      </c>
      <c r="M248" s="172">
        <v>7.5869999999999997</v>
      </c>
      <c r="N248" s="173">
        <v>0.1318</v>
      </c>
      <c r="P248" s="30">
        <v>23.8</v>
      </c>
      <c r="Q248" s="172">
        <v>3.7936000000000001</v>
      </c>
      <c r="R248" s="173">
        <v>0.15933</v>
      </c>
      <c r="T248" s="30">
        <v>23.8</v>
      </c>
      <c r="U248" s="172">
        <v>263.60000000000002</v>
      </c>
      <c r="V248" s="173">
        <v>6.2760000000000096</v>
      </c>
      <c r="X248" s="30">
        <v>23.8</v>
      </c>
      <c r="Y248" s="34">
        <v>3.3872</v>
      </c>
      <c r="Z248" s="35">
        <v>0.14226</v>
      </c>
      <c r="AA248" s="36"/>
      <c r="AB248" s="30">
        <v>23.8</v>
      </c>
      <c r="AC248" s="44">
        <v>295.23</v>
      </c>
      <c r="AD248" s="35">
        <v>7.0289999999999999</v>
      </c>
      <c r="AE248" s="36"/>
      <c r="AF248" s="30">
        <v>23.8</v>
      </c>
      <c r="AG248" s="34">
        <v>3.4415</v>
      </c>
      <c r="AH248" s="35">
        <v>0.14454</v>
      </c>
      <c r="AI248" s="35"/>
      <c r="AJ248" s="35">
        <v>0.11645</v>
      </c>
      <c r="AK248" s="998">
        <v>61.2</v>
      </c>
      <c r="AM248" s="30">
        <v>23.8</v>
      </c>
      <c r="AN248" s="34">
        <v>0.99739999999999995</v>
      </c>
      <c r="AO248" s="35">
        <v>1.1171</v>
      </c>
      <c r="AQ248" s="197">
        <v>0.88800000000000001</v>
      </c>
      <c r="AR248" s="200">
        <v>27.85</v>
      </c>
      <c r="AS248" s="199">
        <v>887.5</v>
      </c>
      <c r="AZ248" s="197">
        <v>0.88800000000000001</v>
      </c>
      <c r="BA248" s="198">
        <v>7.3943000000000003</v>
      </c>
      <c r="BB248" s="199">
        <v>0.13524</v>
      </c>
      <c r="BD248" s="197">
        <v>0.88800000000000001</v>
      </c>
      <c r="BE248" s="198">
        <v>3.6972</v>
      </c>
      <c r="BF248" s="199">
        <v>0.15528</v>
      </c>
      <c r="BH248" s="197">
        <v>0.88800000000000001</v>
      </c>
      <c r="BI248" s="198">
        <v>270.48</v>
      </c>
      <c r="BJ248" s="199">
        <v>6.44</v>
      </c>
      <c r="BL248" s="197">
        <v>0.88800000000000001</v>
      </c>
      <c r="BM248" s="198">
        <v>3.3010000000000002</v>
      </c>
      <c r="BN248" s="199">
        <v>0.13864000000000001</v>
      </c>
      <c r="BP248" s="197">
        <v>0.88800000000000001</v>
      </c>
      <c r="BQ248" s="200">
        <v>302.94</v>
      </c>
      <c r="BR248" s="199">
        <v>7.2130000000000001</v>
      </c>
      <c r="BT248" s="197">
        <v>0.88800000000000001</v>
      </c>
      <c r="BU248" s="201">
        <v>1.0234000000000001</v>
      </c>
      <c r="BV248" s="202">
        <v>1.1462000000000001</v>
      </c>
      <c r="BX248" s="37">
        <v>888</v>
      </c>
      <c r="BY248" s="38">
        <v>0.88849999999999996</v>
      </c>
      <c r="BZ248" s="39">
        <v>27.76</v>
      </c>
      <c r="CA248" s="33"/>
      <c r="CB248" s="37">
        <v>888</v>
      </c>
      <c r="CC248" s="38">
        <v>0.15892000000000001</v>
      </c>
      <c r="CD248" s="42">
        <v>6.2930000000000001</v>
      </c>
      <c r="CE248" s="33"/>
      <c r="CF248" s="33"/>
      <c r="CG248" s="33"/>
      <c r="CH248" s="33"/>
      <c r="CI248" s="33"/>
      <c r="CJ248" s="33"/>
      <c r="CK248" s="33"/>
      <c r="CL248" s="40">
        <v>888</v>
      </c>
      <c r="CM248" s="43">
        <v>886.9</v>
      </c>
      <c r="CN248" s="41">
        <v>1.1274999999999999</v>
      </c>
      <c r="CO248" s="33"/>
      <c r="CP248" s="40">
        <v>888</v>
      </c>
      <c r="CQ248" s="34">
        <v>0.97770000000000001</v>
      </c>
      <c r="CR248" s="41">
        <v>0.87290000000000001</v>
      </c>
      <c r="CS248" s="33"/>
      <c r="CT248" s="40">
        <v>888</v>
      </c>
      <c r="CU248" s="44">
        <v>297.98</v>
      </c>
      <c r="CV248" s="42">
        <v>7.0949999999999998</v>
      </c>
    </row>
    <row r="249" spans="4:100">
      <c r="D249" s="30">
        <v>23.9</v>
      </c>
      <c r="E249" s="31">
        <v>0.91059999999999997</v>
      </c>
      <c r="F249" s="32">
        <v>910</v>
      </c>
      <c r="G249" s="33"/>
      <c r="H249" s="30">
        <v>23.9</v>
      </c>
      <c r="I249" s="34">
        <v>3.7837999999999998</v>
      </c>
      <c r="J249" s="35">
        <v>0.15892000000000001</v>
      </c>
      <c r="L249" s="30">
        <v>23.9</v>
      </c>
      <c r="M249" s="172">
        <v>7.5819999999999999</v>
      </c>
      <c r="N249" s="173">
        <v>0.13188</v>
      </c>
      <c r="P249" s="30">
        <v>23.9</v>
      </c>
      <c r="Q249" s="172">
        <v>3.7911999999999999</v>
      </c>
      <c r="R249" s="173">
        <v>0.15923000000000001</v>
      </c>
      <c r="T249" s="30">
        <v>23.9</v>
      </c>
      <c r="U249" s="172">
        <v>263.77</v>
      </c>
      <c r="V249" s="173">
        <v>6.28000000000001</v>
      </c>
      <c r="X249" s="30">
        <v>23.9</v>
      </c>
      <c r="Y249" s="34">
        <v>3.3849999999999998</v>
      </c>
      <c r="Z249" s="35">
        <v>0.14216999999999999</v>
      </c>
      <c r="AA249" s="36"/>
      <c r="AB249" s="30">
        <v>23.9</v>
      </c>
      <c r="AC249" s="44">
        <v>295.42</v>
      </c>
      <c r="AD249" s="35">
        <v>7.0339999999999998</v>
      </c>
      <c r="AE249" s="36"/>
      <c r="AF249" s="30">
        <v>23.9</v>
      </c>
      <c r="AG249" s="34">
        <v>3.4392999999999998</v>
      </c>
      <c r="AH249" s="35">
        <v>0.14445</v>
      </c>
      <c r="AI249" s="35"/>
      <c r="AJ249" s="35">
        <v>0.11651</v>
      </c>
      <c r="AK249" s="998">
        <v>61.1</v>
      </c>
      <c r="AM249" s="30">
        <v>23.9</v>
      </c>
      <c r="AN249" s="34">
        <v>0.99809999999999999</v>
      </c>
      <c r="AO249" s="35">
        <v>1.1177999999999999</v>
      </c>
      <c r="AQ249" s="197">
        <v>0.88900000000000001</v>
      </c>
      <c r="AR249" s="200">
        <v>27.67</v>
      </c>
      <c r="AS249" s="199">
        <v>888.5</v>
      </c>
      <c r="AZ249" s="197">
        <v>0.88900000000000001</v>
      </c>
      <c r="BA249" s="198">
        <v>7.4027000000000003</v>
      </c>
      <c r="BB249" s="199">
        <v>0.13508999999999999</v>
      </c>
      <c r="BD249" s="197">
        <v>0.88900000000000001</v>
      </c>
      <c r="BE249" s="198">
        <v>3.7012999999999998</v>
      </c>
      <c r="BF249" s="199">
        <v>0.15545999999999999</v>
      </c>
      <c r="BH249" s="197">
        <v>0.88900000000000001</v>
      </c>
      <c r="BI249" s="198">
        <v>270.17</v>
      </c>
      <c r="BJ249" s="199">
        <v>6.4329999999999998</v>
      </c>
      <c r="BL249" s="197">
        <v>0.88900000000000001</v>
      </c>
      <c r="BM249" s="198">
        <v>3.3048000000000002</v>
      </c>
      <c r="BN249" s="199">
        <v>0.13880000000000001</v>
      </c>
      <c r="BP249" s="197">
        <v>0.88900000000000001</v>
      </c>
      <c r="BQ249" s="200">
        <v>302.58999999999997</v>
      </c>
      <c r="BR249" s="199">
        <v>7.2050000000000001</v>
      </c>
      <c r="BT249" s="197">
        <v>0.88900000000000001</v>
      </c>
      <c r="BU249" s="201">
        <v>1.0223</v>
      </c>
      <c r="BV249" s="202">
        <v>1.1449</v>
      </c>
      <c r="BX249" s="37">
        <v>889</v>
      </c>
      <c r="BY249" s="38">
        <v>0.88949999999999996</v>
      </c>
      <c r="BZ249" s="39">
        <v>27.58</v>
      </c>
      <c r="CA249" s="33"/>
      <c r="CB249" s="37">
        <v>889</v>
      </c>
      <c r="CC249" s="38">
        <v>0.15892000000000001</v>
      </c>
      <c r="CD249" s="42">
        <v>6.2930000000000001</v>
      </c>
      <c r="CE249" s="33"/>
      <c r="CF249" s="33"/>
      <c r="CG249" s="33"/>
      <c r="CH249" s="33"/>
      <c r="CI249" s="33"/>
      <c r="CJ249" s="33"/>
      <c r="CK249" s="33"/>
      <c r="CL249" s="40">
        <v>889</v>
      </c>
      <c r="CM249" s="43">
        <v>887.9</v>
      </c>
      <c r="CN249" s="41">
        <v>1.1262000000000001</v>
      </c>
      <c r="CO249" s="33"/>
      <c r="CP249" s="40">
        <v>889</v>
      </c>
      <c r="CQ249" s="34">
        <v>0.9788</v>
      </c>
      <c r="CR249" s="41">
        <v>0.87390000000000001</v>
      </c>
      <c r="CS249" s="33"/>
      <c r="CT249" s="40">
        <v>889</v>
      </c>
      <c r="CU249" s="44">
        <v>297.64999999999998</v>
      </c>
      <c r="CV249" s="42">
        <v>7.0869999999999997</v>
      </c>
    </row>
    <row r="250" spans="4:100">
      <c r="D250" s="30">
        <v>24</v>
      </c>
      <c r="E250" s="31">
        <v>0.91</v>
      </c>
      <c r="F250" s="32">
        <v>909.5</v>
      </c>
      <c r="G250" s="33"/>
      <c r="H250" s="30">
        <v>24</v>
      </c>
      <c r="I250" s="34">
        <v>3.7837999999999998</v>
      </c>
      <c r="J250" s="35">
        <v>0.15892000000000001</v>
      </c>
      <c r="L250" s="30">
        <v>24</v>
      </c>
      <c r="M250" s="172">
        <v>7.577</v>
      </c>
      <c r="N250" s="173">
        <v>0.13197</v>
      </c>
      <c r="P250" s="30">
        <v>24</v>
      </c>
      <c r="Q250" s="172">
        <v>3.7887</v>
      </c>
      <c r="R250" s="173">
        <v>0.15912999999999999</v>
      </c>
      <c r="T250" s="30">
        <v>24</v>
      </c>
      <c r="U250" s="172">
        <v>263.94</v>
      </c>
      <c r="V250" s="173">
        <v>6.2840000000000096</v>
      </c>
      <c r="X250" s="30">
        <v>24</v>
      </c>
      <c r="Y250" s="34">
        <v>3.3828</v>
      </c>
      <c r="Z250" s="35">
        <v>0.14208000000000001</v>
      </c>
      <c r="AA250" s="36"/>
      <c r="AB250" s="30">
        <v>24</v>
      </c>
      <c r="AC250" s="44">
        <v>295.61</v>
      </c>
      <c r="AD250" s="35">
        <v>7.0380000000000003</v>
      </c>
      <c r="AE250" s="36"/>
      <c r="AF250" s="30">
        <v>24</v>
      </c>
      <c r="AG250" s="34">
        <v>3.4371</v>
      </c>
      <c r="AH250" s="35">
        <v>0.14435999999999999</v>
      </c>
      <c r="AI250" s="35"/>
      <c r="AJ250" s="35">
        <v>0.11656999999999999</v>
      </c>
      <c r="AK250" s="998">
        <v>61</v>
      </c>
      <c r="AM250" s="30">
        <v>24</v>
      </c>
      <c r="AN250" s="34">
        <v>0.99870000000000003</v>
      </c>
      <c r="AO250" s="35">
        <v>1.1185</v>
      </c>
      <c r="AQ250" s="197">
        <v>0.89</v>
      </c>
      <c r="AR250" s="200">
        <v>27.49</v>
      </c>
      <c r="AS250" s="199">
        <v>889.5</v>
      </c>
      <c r="AZ250" s="197">
        <v>0.89</v>
      </c>
      <c r="BA250" s="198">
        <v>7.4109999999999996</v>
      </c>
      <c r="BB250" s="199">
        <v>0.13492999999999999</v>
      </c>
      <c r="BD250" s="197">
        <v>0.89</v>
      </c>
      <c r="BE250" s="198">
        <v>3.7054999999999998</v>
      </c>
      <c r="BF250" s="199">
        <v>0.15562999999999999</v>
      </c>
      <c r="BH250" s="197">
        <v>0.89</v>
      </c>
      <c r="BI250" s="198">
        <v>269.87</v>
      </c>
      <c r="BJ250" s="199">
        <v>6.4249999999999998</v>
      </c>
      <c r="BL250" s="197">
        <v>0.89</v>
      </c>
      <c r="BM250" s="198">
        <v>3.3085</v>
      </c>
      <c r="BN250" s="199">
        <v>0.13896</v>
      </c>
      <c r="BP250" s="197">
        <v>0.89</v>
      </c>
      <c r="BQ250" s="200">
        <v>302.25</v>
      </c>
      <c r="BR250" s="199">
        <v>7.1970000000000001</v>
      </c>
      <c r="BT250" s="197">
        <v>0.89</v>
      </c>
      <c r="BU250" s="201">
        <v>1.0210999999999999</v>
      </c>
      <c r="BV250" s="202">
        <v>1.1436999999999999</v>
      </c>
      <c r="BX250" s="37">
        <v>890</v>
      </c>
      <c r="BY250" s="38">
        <v>0.89049999999999996</v>
      </c>
      <c r="BZ250" s="39">
        <v>27.4</v>
      </c>
      <c r="CA250" s="33"/>
      <c r="CB250" s="37">
        <v>890</v>
      </c>
      <c r="CC250" s="38">
        <v>0.15892000000000001</v>
      </c>
      <c r="CD250" s="42">
        <v>6.2930000000000001</v>
      </c>
      <c r="CE250" s="33"/>
      <c r="CF250" s="33"/>
      <c r="CG250" s="33"/>
      <c r="CH250" s="33"/>
      <c r="CI250" s="33"/>
      <c r="CJ250" s="33"/>
      <c r="CK250" s="33"/>
      <c r="CL250" s="40">
        <v>890</v>
      </c>
      <c r="CM250" s="43">
        <v>888.9</v>
      </c>
      <c r="CN250" s="41">
        <v>1.125</v>
      </c>
      <c r="CO250" s="33"/>
      <c r="CP250" s="40">
        <v>890</v>
      </c>
      <c r="CQ250" s="34">
        <v>0.97989999999999999</v>
      </c>
      <c r="CR250" s="41">
        <v>0.87490000000000001</v>
      </c>
      <c r="CS250" s="33"/>
      <c r="CT250" s="40">
        <v>890</v>
      </c>
      <c r="CU250" s="44">
        <v>297.31</v>
      </c>
      <c r="CV250" s="42">
        <v>7.0789999999999997</v>
      </c>
    </row>
    <row r="251" spans="4:100">
      <c r="D251" s="30">
        <v>24.1</v>
      </c>
      <c r="E251" s="31">
        <v>0.90939999999999999</v>
      </c>
      <c r="F251" s="32">
        <v>908.9</v>
      </c>
      <c r="G251" s="33"/>
      <c r="H251" s="30">
        <v>24.1</v>
      </c>
      <c r="I251" s="34">
        <v>3.7837999999999998</v>
      </c>
      <c r="J251" s="35">
        <v>0.15892000000000001</v>
      </c>
      <c r="L251" s="30">
        <v>24.1</v>
      </c>
      <c r="M251" s="172">
        <v>7.5730000000000004</v>
      </c>
      <c r="N251" s="173">
        <v>0.13205</v>
      </c>
      <c r="P251" s="30">
        <v>24.1</v>
      </c>
      <c r="Q251" s="172">
        <v>3.7863000000000002</v>
      </c>
      <c r="R251" s="173">
        <v>0.15901999999999999</v>
      </c>
      <c r="T251" s="30">
        <v>24.1</v>
      </c>
      <c r="U251" s="172">
        <v>264.11</v>
      </c>
      <c r="V251" s="173">
        <v>6.28800000000001</v>
      </c>
      <c r="X251" s="30">
        <v>24.1</v>
      </c>
      <c r="Y251" s="34">
        <v>3.3805999999999998</v>
      </c>
      <c r="Z251" s="35">
        <v>0.14199000000000001</v>
      </c>
      <c r="AA251" s="36"/>
      <c r="AB251" s="30">
        <v>24.1</v>
      </c>
      <c r="AC251" s="44">
        <v>295.8</v>
      </c>
      <c r="AD251" s="35">
        <v>7.0430000000000001</v>
      </c>
      <c r="AE251" s="36"/>
      <c r="AF251" s="30">
        <v>24.1</v>
      </c>
      <c r="AG251" s="34">
        <v>3.4348999999999998</v>
      </c>
      <c r="AH251" s="35">
        <v>0.14426</v>
      </c>
      <c r="AI251" s="35"/>
      <c r="AJ251" s="35">
        <v>0.11663</v>
      </c>
      <c r="AK251" s="998">
        <v>60.9</v>
      </c>
      <c r="AM251" s="30">
        <v>24.1</v>
      </c>
      <c r="AN251" s="34">
        <v>0.99929999999999997</v>
      </c>
      <c r="AO251" s="35">
        <v>1.1193</v>
      </c>
      <c r="AQ251" s="197">
        <v>0.89100000000000001</v>
      </c>
      <c r="AR251" s="200">
        <v>27.31</v>
      </c>
      <c r="AS251" s="199">
        <v>890.5</v>
      </c>
      <c r="AZ251" s="197">
        <v>0.89100000000000001</v>
      </c>
      <c r="BA251" s="198">
        <v>7.4192999999999998</v>
      </c>
      <c r="BB251" s="199">
        <v>0.13478000000000001</v>
      </c>
      <c r="BD251" s="197">
        <v>0.89100000000000001</v>
      </c>
      <c r="BE251" s="198">
        <v>3.7097000000000002</v>
      </c>
      <c r="BF251" s="199">
        <v>0.15581</v>
      </c>
      <c r="BH251" s="197">
        <v>0.89100000000000001</v>
      </c>
      <c r="BI251" s="198">
        <v>269.57</v>
      </c>
      <c r="BJ251" s="199">
        <v>6.4180000000000001</v>
      </c>
      <c r="BL251" s="197">
        <v>0.89100000000000001</v>
      </c>
      <c r="BM251" s="198">
        <v>3.3121999999999998</v>
      </c>
      <c r="BN251" s="199">
        <v>0.13911000000000001</v>
      </c>
      <c r="BP251" s="197">
        <v>0.89100000000000001</v>
      </c>
      <c r="BQ251" s="200">
        <v>301.91000000000003</v>
      </c>
      <c r="BR251" s="199">
        <v>7.1879999999999997</v>
      </c>
      <c r="BT251" s="197">
        <v>0.89100000000000001</v>
      </c>
      <c r="BU251" s="201">
        <v>1.02</v>
      </c>
      <c r="BV251" s="202">
        <v>1.1424000000000001</v>
      </c>
      <c r="BX251" s="37">
        <v>891</v>
      </c>
      <c r="BY251" s="38">
        <v>0.89149999999999996</v>
      </c>
      <c r="BZ251" s="39">
        <v>27.22</v>
      </c>
      <c r="CA251" s="33"/>
      <c r="CB251" s="37">
        <v>891</v>
      </c>
      <c r="CC251" s="38">
        <v>0.15892000000000001</v>
      </c>
      <c r="CD251" s="42">
        <v>6.2930000000000001</v>
      </c>
      <c r="CE251" s="33"/>
      <c r="CF251" s="33"/>
      <c r="CG251" s="33"/>
      <c r="CH251" s="33"/>
      <c r="CI251" s="33"/>
      <c r="CJ251" s="33"/>
      <c r="CK251" s="33"/>
      <c r="CL251" s="40">
        <v>891</v>
      </c>
      <c r="CM251" s="43">
        <v>889.9</v>
      </c>
      <c r="CN251" s="41">
        <v>1.1236999999999999</v>
      </c>
      <c r="CO251" s="33"/>
      <c r="CP251" s="40">
        <v>891</v>
      </c>
      <c r="CQ251" s="34">
        <v>0.98099999999999998</v>
      </c>
      <c r="CR251" s="41">
        <v>0.87590000000000001</v>
      </c>
      <c r="CS251" s="33"/>
      <c r="CT251" s="40">
        <v>891</v>
      </c>
      <c r="CU251" s="44">
        <v>296.98</v>
      </c>
      <c r="CV251" s="42">
        <v>7.0709999999999997</v>
      </c>
    </row>
    <row r="252" spans="4:100">
      <c r="D252" s="30">
        <v>24.2</v>
      </c>
      <c r="E252" s="31">
        <v>0.90880000000000005</v>
      </c>
      <c r="F252" s="32">
        <v>908.3</v>
      </c>
      <c r="G252" s="33"/>
      <c r="H252" s="30">
        <v>24.2</v>
      </c>
      <c r="I252" s="34">
        <v>3.7837999999999998</v>
      </c>
      <c r="J252" s="35">
        <v>0.15892000000000001</v>
      </c>
      <c r="L252" s="30">
        <v>24.2</v>
      </c>
      <c r="M252" s="172">
        <v>7.5679999999999996</v>
      </c>
      <c r="N252" s="173">
        <v>0.13214000000000001</v>
      </c>
      <c r="P252" s="30">
        <v>24.2</v>
      </c>
      <c r="Q252" s="172">
        <v>3.7839</v>
      </c>
      <c r="R252" s="173">
        <v>0.15892000000000001</v>
      </c>
      <c r="T252" s="30">
        <v>24.2</v>
      </c>
      <c r="U252" s="172">
        <v>264.27999999999997</v>
      </c>
      <c r="V252" s="173">
        <v>6.2920000000000096</v>
      </c>
      <c r="X252" s="30">
        <v>24.2</v>
      </c>
      <c r="Y252" s="34">
        <v>3.3784999999999998</v>
      </c>
      <c r="Z252" s="35">
        <v>0.1419</v>
      </c>
      <c r="AA252" s="36"/>
      <c r="AB252" s="30">
        <v>24.2</v>
      </c>
      <c r="AC252" s="44">
        <v>295.99</v>
      </c>
      <c r="AD252" s="35">
        <v>7.0469999999999997</v>
      </c>
      <c r="AE252" s="36"/>
      <c r="AF252" s="30">
        <v>24.2</v>
      </c>
      <c r="AG252" s="34">
        <v>3.4327000000000001</v>
      </c>
      <c r="AH252" s="35">
        <v>0.14416999999999999</v>
      </c>
      <c r="AI252" s="35"/>
      <c r="AJ252" s="35">
        <v>0.1167</v>
      </c>
      <c r="AK252" s="998">
        <v>60.8</v>
      </c>
      <c r="AM252" s="30">
        <v>24.2</v>
      </c>
      <c r="AN252" s="34">
        <v>1</v>
      </c>
      <c r="AO252" s="35">
        <v>1.1200000000000001</v>
      </c>
      <c r="AQ252" s="197">
        <v>0.89200000000000002</v>
      </c>
      <c r="AR252" s="200">
        <v>27.13</v>
      </c>
      <c r="AS252" s="199">
        <v>891.5</v>
      </c>
      <c r="AZ252" s="197">
        <v>0.89200000000000002</v>
      </c>
      <c r="BA252" s="198">
        <v>7.4276999999999997</v>
      </c>
      <c r="BB252" s="199">
        <v>0.13463</v>
      </c>
      <c r="BD252" s="197">
        <v>0.89200000000000002</v>
      </c>
      <c r="BE252" s="198">
        <v>3.7138</v>
      </c>
      <c r="BF252" s="199">
        <v>0.15598000000000001</v>
      </c>
      <c r="BH252" s="197">
        <v>0.89200000000000002</v>
      </c>
      <c r="BI252" s="198">
        <v>269.26</v>
      </c>
      <c r="BJ252" s="199">
        <v>6.4109999999999996</v>
      </c>
      <c r="BL252" s="197">
        <v>0.89200000000000002</v>
      </c>
      <c r="BM252" s="198">
        <v>3.3159000000000001</v>
      </c>
      <c r="BN252" s="199">
        <v>0.13927</v>
      </c>
      <c r="BP252" s="197">
        <v>0.89200000000000002</v>
      </c>
      <c r="BQ252" s="200">
        <v>301.58</v>
      </c>
      <c r="BR252" s="199">
        <v>7.18</v>
      </c>
      <c r="BT252" s="197">
        <v>0.89200000000000002</v>
      </c>
      <c r="BU252" s="201">
        <v>1.0187999999999999</v>
      </c>
      <c r="BV252" s="202">
        <v>1.1411</v>
      </c>
      <c r="BX252" s="37">
        <v>892</v>
      </c>
      <c r="BY252" s="38">
        <v>0.89249999999999996</v>
      </c>
      <c r="BZ252" s="39">
        <v>27.04</v>
      </c>
      <c r="CA252" s="33"/>
      <c r="CB252" s="37">
        <v>892</v>
      </c>
      <c r="CC252" s="38">
        <v>0.15892000000000001</v>
      </c>
      <c r="CD252" s="42">
        <v>6.2930000000000001</v>
      </c>
      <c r="CE252" s="33"/>
      <c r="CF252" s="33"/>
      <c r="CG252" s="33"/>
      <c r="CH252" s="33"/>
      <c r="CI252" s="33"/>
      <c r="CJ252" s="33"/>
      <c r="CK252" s="33"/>
      <c r="CL252" s="40">
        <v>892</v>
      </c>
      <c r="CM252" s="43">
        <v>890.9</v>
      </c>
      <c r="CN252" s="41">
        <v>1.1224000000000001</v>
      </c>
      <c r="CO252" s="33"/>
      <c r="CP252" s="40">
        <v>892</v>
      </c>
      <c r="CQ252" s="34">
        <v>0.98209999999999997</v>
      </c>
      <c r="CR252" s="41">
        <v>0.87680000000000002</v>
      </c>
      <c r="CS252" s="33"/>
      <c r="CT252" s="40">
        <v>892</v>
      </c>
      <c r="CU252" s="44">
        <v>296.64999999999998</v>
      </c>
      <c r="CV252" s="42">
        <v>7.0629999999999997</v>
      </c>
    </row>
    <row r="253" spans="4:100">
      <c r="D253" s="30">
        <v>24.3</v>
      </c>
      <c r="E253" s="31">
        <v>0.90820000000000001</v>
      </c>
      <c r="F253" s="32">
        <v>907.7</v>
      </c>
      <c r="G253" s="33"/>
      <c r="H253" s="30">
        <v>24.3</v>
      </c>
      <c r="I253" s="34">
        <v>3.7837999999999998</v>
      </c>
      <c r="J253" s="35">
        <v>0.15892000000000001</v>
      </c>
      <c r="L253" s="30">
        <v>24.3</v>
      </c>
      <c r="M253" s="172">
        <v>7.5629999999999997</v>
      </c>
      <c r="N253" s="173">
        <v>0.13222</v>
      </c>
      <c r="P253" s="30">
        <v>24.3</v>
      </c>
      <c r="Q253" s="172">
        <v>3.7814000000000001</v>
      </c>
      <c r="R253" s="173">
        <v>0.15881999999999999</v>
      </c>
      <c r="T253" s="30">
        <v>24.3</v>
      </c>
      <c r="U253" s="172">
        <v>264.45</v>
      </c>
      <c r="V253" s="173">
        <v>6.29600000000001</v>
      </c>
      <c r="X253" s="30">
        <v>24.3</v>
      </c>
      <c r="Y253" s="34">
        <v>3.3763000000000001</v>
      </c>
      <c r="Z253" s="35">
        <v>0.14180000000000001</v>
      </c>
      <c r="AA253" s="36"/>
      <c r="AB253" s="30">
        <v>24.3</v>
      </c>
      <c r="AC253" s="44">
        <v>296.18</v>
      </c>
      <c r="AD253" s="35">
        <v>7.0519999999999996</v>
      </c>
      <c r="AE253" s="36"/>
      <c r="AF253" s="30">
        <v>24.3</v>
      </c>
      <c r="AG253" s="34">
        <v>3.4304999999999999</v>
      </c>
      <c r="AH253" s="35">
        <v>0.14408000000000001</v>
      </c>
      <c r="AI253" s="35"/>
      <c r="AJ253" s="35">
        <v>0.11676</v>
      </c>
      <c r="AK253" s="998">
        <v>60.7</v>
      </c>
      <c r="AM253" s="30">
        <v>24.3</v>
      </c>
      <c r="AN253" s="34">
        <v>1.0005999999999999</v>
      </c>
      <c r="AO253" s="35">
        <v>1.1207</v>
      </c>
      <c r="AQ253" s="197">
        <v>0.89300000000000002</v>
      </c>
      <c r="AR253" s="200">
        <v>26.95</v>
      </c>
      <c r="AS253" s="199">
        <v>892.5</v>
      </c>
      <c r="AZ253" s="197">
        <v>0.89300000000000002</v>
      </c>
      <c r="BA253" s="198">
        <v>7.4359999999999999</v>
      </c>
      <c r="BB253" s="199">
        <v>0.13447999999999999</v>
      </c>
      <c r="BD253" s="197">
        <v>0.89300000000000002</v>
      </c>
      <c r="BE253" s="198">
        <v>3.718</v>
      </c>
      <c r="BF253" s="199">
        <v>0.15615999999999999</v>
      </c>
      <c r="BH253" s="197">
        <v>0.89300000000000002</v>
      </c>
      <c r="BI253" s="198">
        <v>268.95999999999998</v>
      </c>
      <c r="BJ253" s="199">
        <v>6.4039999999999999</v>
      </c>
      <c r="BL253" s="197">
        <v>0.89300000000000002</v>
      </c>
      <c r="BM253" s="198">
        <v>3.3195999999999999</v>
      </c>
      <c r="BN253" s="199">
        <v>0.13943</v>
      </c>
      <c r="BP253" s="197">
        <v>0.89300000000000002</v>
      </c>
      <c r="BQ253" s="200">
        <v>301.24</v>
      </c>
      <c r="BR253" s="199">
        <v>7.1719999999999997</v>
      </c>
      <c r="BT253" s="197">
        <v>0.89300000000000002</v>
      </c>
      <c r="BU253" s="201">
        <v>1.0177</v>
      </c>
      <c r="BV253" s="202">
        <v>1.1397999999999999</v>
      </c>
      <c r="BX253" s="37">
        <v>893</v>
      </c>
      <c r="BY253" s="38">
        <v>0.89349999999999996</v>
      </c>
      <c r="BZ253" s="39">
        <v>26.87</v>
      </c>
      <c r="CA253" s="33"/>
      <c r="CB253" s="37">
        <v>893</v>
      </c>
      <c r="CC253" s="38">
        <v>0.15892000000000001</v>
      </c>
      <c r="CD253" s="42">
        <v>6.2930000000000001</v>
      </c>
      <c r="CE253" s="33"/>
      <c r="CF253" s="33"/>
      <c r="CG253" s="33"/>
      <c r="CH253" s="33"/>
      <c r="CI253" s="33"/>
      <c r="CJ253" s="33"/>
      <c r="CK253" s="33"/>
      <c r="CL253" s="40">
        <v>893</v>
      </c>
      <c r="CM253" s="43">
        <v>891.9</v>
      </c>
      <c r="CN253" s="41">
        <v>1.1212</v>
      </c>
      <c r="CO253" s="33"/>
      <c r="CP253" s="40">
        <v>893</v>
      </c>
      <c r="CQ253" s="34">
        <v>0.98319999999999996</v>
      </c>
      <c r="CR253" s="41">
        <v>0.87780000000000002</v>
      </c>
      <c r="CS253" s="33"/>
      <c r="CT253" s="40">
        <v>893</v>
      </c>
      <c r="CU253" s="44">
        <v>296.31</v>
      </c>
      <c r="CV253" s="42">
        <v>7.0549999999999997</v>
      </c>
    </row>
    <row r="254" spans="4:100">
      <c r="D254" s="30">
        <v>24.4</v>
      </c>
      <c r="E254" s="31">
        <v>0.90759999999999996</v>
      </c>
      <c r="F254" s="32">
        <v>907.1</v>
      </c>
      <c r="G254" s="33"/>
      <c r="H254" s="30">
        <v>24.4</v>
      </c>
      <c r="I254" s="34">
        <v>3.7837999999999998</v>
      </c>
      <c r="J254" s="35">
        <v>0.15892000000000001</v>
      </c>
      <c r="L254" s="30">
        <v>24.4</v>
      </c>
      <c r="M254" s="172">
        <v>7.5579999999999998</v>
      </c>
      <c r="N254" s="173">
        <v>0.13231000000000001</v>
      </c>
      <c r="P254" s="30">
        <v>24.4</v>
      </c>
      <c r="Q254" s="172">
        <v>3.7789999999999999</v>
      </c>
      <c r="R254" s="173">
        <v>0.15872</v>
      </c>
      <c r="T254" s="30">
        <v>24.4</v>
      </c>
      <c r="U254" s="172">
        <v>264.62</v>
      </c>
      <c r="V254" s="173">
        <v>6.3000000000000096</v>
      </c>
      <c r="X254" s="30">
        <v>24.4</v>
      </c>
      <c r="Y254" s="34">
        <v>3.3740999999999999</v>
      </c>
      <c r="Z254" s="35">
        <v>0.14171</v>
      </c>
      <c r="AA254" s="36"/>
      <c r="AB254" s="30">
        <v>24.4</v>
      </c>
      <c r="AC254" s="44">
        <v>296.37</v>
      </c>
      <c r="AD254" s="35">
        <v>7.0570000000000004</v>
      </c>
      <c r="AE254" s="36"/>
      <c r="AF254" s="30">
        <v>24.4</v>
      </c>
      <c r="AG254" s="34">
        <v>3.4283000000000001</v>
      </c>
      <c r="AH254" s="35">
        <v>0.14399000000000001</v>
      </c>
      <c r="AI254" s="35"/>
      <c r="AJ254" s="35">
        <v>0.11681999999999999</v>
      </c>
      <c r="AK254" s="998">
        <v>60.6</v>
      </c>
      <c r="AM254" s="30">
        <v>24.4</v>
      </c>
      <c r="AN254" s="34">
        <v>1.0013000000000001</v>
      </c>
      <c r="AO254" s="35">
        <v>1.1214</v>
      </c>
      <c r="AQ254" s="197">
        <v>0.89400000000000002</v>
      </c>
      <c r="AR254" s="200">
        <v>26.78</v>
      </c>
      <c r="AS254" s="199">
        <v>893.5</v>
      </c>
      <c r="AZ254" s="197">
        <v>0.89400000000000002</v>
      </c>
      <c r="BA254" s="198">
        <v>7.4443000000000001</v>
      </c>
      <c r="BB254" s="199">
        <v>0.13433</v>
      </c>
      <c r="BD254" s="197">
        <v>0.89400000000000002</v>
      </c>
      <c r="BE254" s="198">
        <v>3.7222</v>
      </c>
      <c r="BF254" s="199">
        <v>0.15633</v>
      </c>
      <c r="BH254" s="197">
        <v>0.89400000000000002</v>
      </c>
      <c r="BI254" s="198">
        <v>268.66000000000003</v>
      </c>
      <c r="BJ254" s="199">
        <v>6.3970000000000002</v>
      </c>
      <c r="BL254" s="197">
        <v>0.89400000000000002</v>
      </c>
      <c r="BM254" s="198">
        <v>3.3233999999999999</v>
      </c>
      <c r="BN254" s="199">
        <v>0.13958000000000001</v>
      </c>
      <c r="BP254" s="197">
        <v>0.89400000000000002</v>
      </c>
      <c r="BQ254" s="200">
        <v>300.89999999999998</v>
      </c>
      <c r="BR254" s="199">
        <v>7.1639999999999997</v>
      </c>
      <c r="BT254" s="197">
        <v>0.89400000000000002</v>
      </c>
      <c r="BU254" s="201">
        <v>1.0165999999999999</v>
      </c>
      <c r="BV254" s="202">
        <v>1.1385000000000001</v>
      </c>
      <c r="BX254" s="37">
        <v>894</v>
      </c>
      <c r="BY254" s="38">
        <v>0.89449999999999996</v>
      </c>
      <c r="BZ254" s="39">
        <v>26.69</v>
      </c>
      <c r="CA254" s="33"/>
      <c r="CB254" s="37">
        <v>894</v>
      </c>
      <c r="CC254" s="38">
        <v>0.15892000000000001</v>
      </c>
      <c r="CD254" s="42">
        <v>6.2930000000000001</v>
      </c>
      <c r="CE254" s="33"/>
      <c r="CF254" s="33"/>
      <c r="CG254" s="33"/>
      <c r="CH254" s="33"/>
      <c r="CI254" s="33"/>
      <c r="CJ254" s="33"/>
      <c r="CK254" s="33"/>
      <c r="CL254" s="40">
        <v>894</v>
      </c>
      <c r="CM254" s="43">
        <v>892.9</v>
      </c>
      <c r="CN254" s="41">
        <v>1.1198999999999999</v>
      </c>
      <c r="CO254" s="33"/>
      <c r="CP254" s="40">
        <v>894</v>
      </c>
      <c r="CQ254" s="34">
        <v>0.98429999999999995</v>
      </c>
      <c r="CR254" s="41">
        <v>0.87880000000000003</v>
      </c>
      <c r="CS254" s="33"/>
      <c r="CT254" s="40">
        <v>894</v>
      </c>
      <c r="CU254" s="44">
        <v>295.98</v>
      </c>
      <c r="CV254" s="42">
        <v>7.0469999999999997</v>
      </c>
    </row>
    <row r="255" spans="4:100">
      <c r="D255" s="30">
        <v>24.5</v>
      </c>
      <c r="E255" s="31">
        <v>0.90710000000000002</v>
      </c>
      <c r="F255" s="32">
        <v>906.5</v>
      </c>
      <c r="G255" s="33"/>
      <c r="H255" s="30">
        <v>24.5</v>
      </c>
      <c r="I255" s="34">
        <v>3.7837999999999998</v>
      </c>
      <c r="J255" s="35">
        <v>0.15892000000000001</v>
      </c>
      <c r="L255" s="30">
        <v>24.5</v>
      </c>
      <c r="M255" s="172">
        <v>7.5529999999999999</v>
      </c>
      <c r="N255" s="173">
        <v>0.13239000000000001</v>
      </c>
      <c r="P255" s="30">
        <v>24.5</v>
      </c>
      <c r="Q255" s="172">
        <v>3.7766000000000002</v>
      </c>
      <c r="R255" s="173">
        <v>0.15862000000000001</v>
      </c>
      <c r="T255" s="30">
        <v>24.5</v>
      </c>
      <c r="U255" s="172">
        <v>264.79000000000002</v>
      </c>
      <c r="V255" s="173">
        <v>6.3049999999999997</v>
      </c>
      <c r="X255" s="30">
        <v>24.5</v>
      </c>
      <c r="Y255" s="34">
        <v>3.3719999999999999</v>
      </c>
      <c r="Z255" s="35">
        <v>0.14162</v>
      </c>
      <c r="AA255" s="36"/>
      <c r="AB255" s="30">
        <v>24.5</v>
      </c>
      <c r="AC255" s="44">
        <v>296.56</v>
      </c>
      <c r="AD255" s="35">
        <v>7.0609999999999999</v>
      </c>
      <c r="AE255" s="36"/>
      <c r="AF255" s="30">
        <v>24.5</v>
      </c>
      <c r="AG255" s="34">
        <v>3.4260999999999999</v>
      </c>
      <c r="AH255" s="35">
        <v>0.14388999999999999</v>
      </c>
      <c r="AI255" s="35"/>
      <c r="AJ255" s="35">
        <v>0.11688</v>
      </c>
      <c r="AK255" s="998">
        <v>60.5</v>
      </c>
      <c r="AM255" s="30">
        <v>24.5</v>
      </c>
      <c r="AN255" s="34">
        <v>1.0019</v>
      </c>
      <c r="AO255" s="35">
        <v>1.1221000000000001</v>
      </c>
      <c r="AQ255" s="197">
        <v>0.89500000000000002</v>
      </c>
      <c r="AR255" s="200">
        <v>26.6</v>
      </c>
      <c r="AS255" s="199">
        <v>894.5</v>
      </c>
      <c r="AZ255" s="197">
        <v>0.89500000000000002</v>
      </c>
      <c r="BA255" s="198">
        <v>7.4527000000000001</v>
      </c>
      <c r="BB255" s="199">
        <v>0.13417999999999999</v>
      </c>
      <c r="BD255" s="197">
        <v>0.89500000000000002</v>
      </c>
      <c r="BE255" s="198">
        <v>3.7263000000000002</v>
      </c>
      <c r="BF255" s="199">
        <v>0.15651000000000001</v>
      </c>
      <c r="BH255" s="197">
        <v>0.89500000000000002</v>
      </c>
      <c r="BI255" s="198">
        <v>268.36</v>
      </c>
      <c r="BJ255" s="199">
        <v>6.39</v>
      </c>
      <c r="BL255" s="197">
        <v>0.89500000000000002</v>
      </c>
      <c r="BM255" s="198">
        <v>3.3271000000000002</v>
      </c>
      <c r="BN255" s="199">
        <v>0.13974</v>
      </c>
      <c r="BP255" s="197">
        <v>0.89500000000000002</v>
      </c>
      <c r="BQ255" s="200">
        <v>300.56</v>
      </c>
      <c r="BR255" s="199">
        <v>7.1559999999999997</v>
      </c>
      <c r="BT255" s="197">
        <v>0.89500000000000002</v>
      </c>
      <c r="BU255" s="201">
        <v>1.0154000000000001</v>
      </c>
      <c r="BV255" s="202">
        <v>1.1373</v>
      </c>
      <c r="BX255" s="37">
        <v>895</v>
      </c>
      <c r="BY255" s="38">
        <v>0.89549999999999996</v>
      </c>
      <c r="BZ255" s="39">
        <v>26.51</v>
      </c>
      <c r="CA255" s="33"/>
      <c r="CB255" s="37">
        <v>895</v>
      </c>
      <c r="CC255" s="38">
        <v>0.15892000000000001</v>
      </c>
      <c r="CD255" s="42">
        <v>6.2930000000000001</v>
      </c>
      <c r="CE255" s="33"/>
      <c r="CF255" s="33"/>
      <c r="CG255" s="33"/>
      <c r="CH255" s="33"/>
      <c r="CI255" s="33"/>
      <c r="CJ255" s="33"/>
      <c r="CK255" s="33"/>
      <c r="CL255" s="40">
        <v>895</v>
      </c>
      <c r="CM255" s="43">
        <v>893.9</v>
      </c>
      <c r="CN255" s="41">
        <v>1.1187</v>
      </c>
      <c r="CO255" s="33"/>
      <c r="CP255" s="40">
        <v>895</v>
      </c>
      <c r="CQ255" s="34">
        <v>0.98540000000000005</v>
      </c>
      <c r="CR255" s="41">
        <v>0.87980000000000003</v>
      </c>
      <c r="CS255" s="33"/>
      <c r="CT255" s="40">
        <v>895</v>
      </c>
      <c r="CU255" s="44">
        <v>295.64999999999998</v>
      </c>
      <c r="CV255" s="42">
        <v>7.0389999999999997</v>
      </c>
    </row>
    <row r="256" spans="4:100">
      <c r="D256" s="30">
        <v>24.6</v>
      </c>
      <c r="E256" s="31">
        <v>0.90649999999999997</v>
      </c>
      <c r="F256" s="32">
        <v>906</v>
      </c>
      <c r="G256" s="33"/>
      <c r="H256" s="30">
        <v>24.6</v>
      </c>
      <c r="I256" s="34">
        <v>3.7837999999999998</v>
      </c>
      <c r="J256" s="35">
        <v>0.15892000000000001</v>
      </c>
      <c r="L256" s="30">
        <v>24.6</v>
      </c>
      <c r="M256" s="172">
        <v>7.548</v>
      </c>
      <c r="N256" s="173">
        <v>0.13247999999999999</v>
      </c>
      <c r="P256" s="30">
        <v>24.6</v>
      </c>
      <c r="Q256" s="172">
        <v>3.7742</v>
      </c>
      <c r="R256" s="173">
        <v>0.15851000000000001</v>
      </c>
      <c r="T256" s="30">
        <v>24.6</v>
      </c>
      <c r="U256" s="172">
        <v>264.95999999999998</v>
      </c>
      <c r="V256" s="173">
        <v>6.3090000000000002</v>
      </c>
      <c r="X256" s="30">
        <v>24.6</v>
      </c>
      <c r="Y256" s="34">
        <v>3.3698000000000001</v>
      </c>
      <c r="Z256" s="35">
        <v>0.14152999999999999</v>
      </c>
      <c r="AA256" s="36"/>
      <c r="AB256" s="30">
        <v>24.6</v>
      </c>
      <c r="AC256" s="44">
        <v>296.75</v>
      </c>
      <c r="AD256" s="35">
        <v>7.0659999999999998</v>
      </c>
      <c r="AE256" s="36"/>
      <c r="AF256" s="30">
        <v>24.6</v>
      </c>
      <c r="AG256" s="34">
        <v>3.4239000000000002</v>
      </c>
      <c r="AH256" s="35">
        <v>0.14380000000000001</v>
      </c>
      <c r="AI256" s="35"/>
      <c r="AJ256" s="35">
        <v>0.11694</v>
      </c>
      <c r="AK256" s="998">
        <v>60.4</v>
      </c>
      <c r="AM256" s="30">
        <v>24.6</v>
      </c>
      <c r="AN256" s="34">
        <v>1.0025999999999999</v>
      </c>
      <c r="AO256" s="35">
        <v>1.1229</v>
      </c>
      <c r="AQ256" s="197">
        <v>0.89600000000000002</v>
      </c>
      <c r="AR256" s="200">
        <v>26.42</v>
      </c>
      <c r="AS256" s="199">
        <v>895.5</v>
      </c>
      <c r="AZ256" s="197">
        <v>0.89600000000000002</v>
      </c>
      <c r="BA256" s="198">
        <v>7.4610000000000003</v>
      </c>
      <c r="BB256" s="199">
        <v>0.13403000000000001</v>
      </c>
      <c r="BD256" s="197">
        <v>0.89600000000000002</v>
      </c>
      <c r="BE256" s="198">
        <v>3.7305000000000001</v>
      </c>
      <c r="BF256" s="199">
        <v>0.15668000000000001</v>
      </c>
      <c r="BH256" s="197">
        <v>0.89600000000000002</v>
      </c>
      <c r="BI256" s="198">
        <v>268.06</v>
      </c>
      <c r="BJ256" s="199">
        <v>6.3819999999999997</v>
      </c>
      <c r="BL256" s="197">
        <v>0.89600000000000002</v>
      </c>
      <c r="BM256" s="198">
        <v>3.3308</v>
      </c>
      <c r="BN256" s="199">
        <v>0.13988999999999999</v>
      </c>
      <c r="BP256" s="197">
        <v>0.89600000000000002</v>
      </c>
      <c r="BQ256" s="200">
        <v>300.23</v>
      </c>
      <c r="BR256" s="199">
        <v>7.1479999999999997</v>
      </c>
      <c r="BT256" s="197">
        <v>0.89600000000000002</v>
      </c>
      <c r="BU256" s="201">
        <v>1.0143</v>
      </c>
      <c r="BV256" s="202">
        <v>1.1359999999999999</v>
      </c>
      <c r="BX256" s="37">
        <v>896</v>
      </c>
      <c r="BY256" s="38">
        <v>0.89649999999999996</v>
      </c>
      <c r="BZ256" s="39">
        <v>26.34</v>
      </c>
      <c r="CA256" s="33"/>
      <c r="CB256" s="37">
        <v>896</v>
      </c>
      <c r="CC256" s="38">
        <v>0.15892000000000001</v>
      </c>
      <c r="CD256" s="42">
        <v>6.2930000000000001</v>
      </c>
      <c r="CE256" s="33"/>
      <c r="CF256" s="33"/>
      <c r="CG256" s="33"/>
      <c r="CH256" s="33"/>
      <c r="CI256" s="33"/>
      <c r="CJ256" s="33"/>
      <c r="CK256" s="33"/>
      <c r="CL256" s="40">
        <v>896</v>
      </c>
      <c r="CM256" s="43">
        <v>894.9</v>
      </c>
      <c r="CN256" s="41">
        <v>1.1173999999999999</v>
      </c>
      <c r="CO256" s="33"/>
      <c r="CP256" s="40">
        <v>896</v>
      </c>
      <c r="CQ256" s="34">
        <v>0.98650000000000004</v>
      </c>
      <c r="CR256" s="41">
        <v>0.88080000000000003</v>
      </c>
      <c r="CS256" s="33"/>
      <c r="CT256" s="40">
        <v>896</v>
      </c>
      <c r="CU256" s="44">
        <v>295.32</v>
      </c>
      <c r="CV256" s="42">
        <v>7.0309999999999997</v>
      </c>
    </row>
    <row r="257" spans="4:100">
      <c r="D257" s="30">
        <v>24.7</v>
      </c>
      <c r="E257" s="31">
        <v>0.90590000000000004</v>
      </c>
      <c r="F257" s="32">
        <v>905.4</v>
      </c>
      <c r="G257" s="33"/>
      <c r="H257" s="30">
        <v>24.7</v>
      </c>
      <c r="I257" s="34">
        <v>3.7837999999999998</v>
      </c>
      <c r="J257" s="35">
        <v>0.15892000000000001</v>
      </c>
      <c r="L257" s="30">
        <v>24.7</v>
      </c>
      <c r="M257" s="172">
        <v>7.5430000000000001</v>
      </c>
      <c r="N257" s="173">
        <v>0.13256000000000001</v>
      </c>
      <c r="P257" s="30">
        <v>24.7</v>
      </c>
      <c r="Q257" s="172">
        <v>3.7717000000000001</v>
      </c>
      <c r="R257" s="173">
        <v>0.15841</v>
      </c>
      <c r="T257" s="30">
        <v>24.7</v>
      </c>
      <c r="U257" s="172">
        <v>265.13</v>
      </c>
      <c r="V257" s="173">
        <v>6.3129999999999997</v>
      </c>
      <c r="X257" s="30">
        <v>24.7</v>
      </c>
      <c r="Y257" s="34">
        <v>3.3675999999999999</v>
      </c>
      <c r="Z257" s="35">
        <v>0.14144000000000001</v>
      </c>
      <c r="AA257" s="36"/>
      <c r="AB257" s="30">
        <v>24.7</v>
      </c>
      <c r="AC257" s="44">
        <v>296.94</v>
      </c>
      <c r="AD257" s="35">
        <v>7.07</v>
      </c>
      <c r="AE257" s="36"/>
      <c r="AF257" s="30">
        <v>24.7</v>
      </c>
      <c r="AG257" s="34">
        <v>3.4217</v>
      </c>
      <c r="AH257" s="35">
        <v>0.14371</v>
      </c>
      <c r="AI257" s="35"/>
      <c r="AJ257" s="35">
        <v>0.11700000000000001</v>
      </c>
      <c r="AK257" s="998">
        <v>60.3</v>
      </c>
      <c r="AM257" s="30">
        <v>24.7</v>
      </c>
      <c r="AN257" s="34">
        <v>1.0032000000000001</v>
      </c>
      <c r="AO257" s="35">
        <v>1.1235999999999999</v>
      </c>
      <c r="AQ257" s="197">
        <v>0.89700000000000002</v>
      </c>
      <c r="AR257" s="200">
        <v>26.25</v>
      </c>
      <c r="AS257" s="199">
        <v>896.5</v>
      </c>
      <c r="AZ257" s="197">
        <v>0.89700000000000002</v>
      </c>
      <c r="BA257" s="198">
        <v>7.4694000000000003</v>
      </c>
      <c r="BB257" s="199">
        <v>0.13388</v>
      </c>
      <c r="BD257" s="197">
        <v>0.89700000000000002</v>
      </c>
      <c r="BE257" s="198">
        <v>3.7347000000000001</v>
      </c>
      <c r="BF257" s="199">
        <v>0.15686</v>
      </c>
      <c r="BH257" s="197">
        <v>0.89700000000000002</v>
      </c>
      <c r="BI257" s="198">
        <v>267.76</v>
      </c>
      <c r="BJ257" s="199">
        <v>6.375</v>
      </c>
      <c r="BL257" s="197">
        <v>0.89700000000000002</v>
      </c>
      <c r="BM257" s="198">
        <v>3.3344999999999998</v>
      </c>
      <c r="BN257" s="199">
        <v>0.14005000000000001</v>
      </c>
      <c r="BP257" s="197">
        <v>0.89700000000000002</v>
      </c>
      <c r="BQ257" s="200">
        <v>299.89</v>
      </c>
      <c r="BR257" s="199">
        <v>7.14</v>
      </c>
      <c r="BT257" s="197">
        <v>0.89700000000000002</v>
      </c>
      <c r="BU257" s="201">
        <v>1.0130999999999999</v>
      </c>
      <c r="BV257" s="202">
        <v>1.1347</v>
      </c>
      <c r="BX257" s="37">
        <v>897</v>
      </c>
      <c r="BY257" s="38">
        <v>0.89749999999999996</v>
      </c>
      <c r="BZ257" s="39">
        <v>26.16</v>
      </c>
      <c r="CA257" s="33"/>
      <c r="CB257" s="37">
        <v>897</v>
      </c>
      <c r="CC257" s="38">
        <v>0.15892000000000001</v>
      </c>
      <c r="CD257" s="42">
        <v>6.2930000000000001</v>
      </c>
      <c r="CE257" s="33"/>
      <c r="CF257" s="33"/>
      <c r="CG257" s="33"/>
      <c r="CH257" s="33"/>
      <c r="CI257" s="33"/>
      <c r="CJ257" s="33"/>
      <c r="CK257" s="33"/>
      <c r="CL257" s="40">
        <v>897</v>
      </c>
      <c r="CM257" s="43">
        <v>895.9</v>
      </c>
      <c r="CN257" s="41">
        <v>1.1162000000000001</v>
      </c>
      <c r="CO257" s="33"/>
      <c r="CP257" s="40">
        <v>897</v>
      </c>
      <c r="CQ257" s="34">
        <v>0.98760000000000003</v>
      </c>
      <c r="CR257" s="41">
        <v>0.88180000000000003</v>
      </c>
      <c r="CS257" s="33"/>
      <c r="CT257" s="40">
        <v>897</v>
      </c>
      <c r="CU257" s="44">
        <v>294.99</v>
      </c>
      <c r="CV257" s="42">
        <v>7.024</v>
      </c>
    </row>
    <row r="258" spans="4:100">
      <c r="D258" s="30">
        <v>24.8</v>
      </c>
      <c r="E258" s="31">
        <v>0.90529999999999999</v>
      </c>
      <c r="F258" s="32">
        <v>904.8</v>
      </c>
      <c r="G258" s="33"/>
      <c r="H258" s="30">
        <v>24.8</v>
      </c>
      <c r="I258" s="34">
        <v>3.7837999999999998</v>
      </c>
      <c r="J258" s="35">
        <v>0.15892000000000001</v>
      </c>
      <c r="L258" s="30">
        <v>24.8</v>
      </c>
      <c r="M258" s="172">
        <v>7.5389999999999997</v>
      </c>
      <c r="N258" s="173">
        <v>0.13264999999999999</v>
      </c>
      <c r="P258" s="30">
        <v>24.8</v>
      </c>
      <c r="Q258" s="172">
        <v>3.7692999999999999</v>
      </c>
      <c r="R258" s="173">
        <v>0.15831000000000001</v>
      </c>
      <c r="T258" s="30">
        <v>24.8</v>
      </c>
      <c r="U258" s="172">
        <v>265.3</v>
      </c>
      <c r="V258" s="173">
        <v>6.3170000000000002</v>
      </c>
      <c r="X258" s="30">
        <v>24.8</v>
      </c>
      <c r="Y258" s="34">
        <v>3.3654999999999999</v>
      </c>
      <c r="Z258" s="35">
        <v>0.14135</v>
      </c>
      <c r="AA258" s="36"/>
      <c r="AB258" s="30">
        <v>24.8</v>
      </c>
      <c r="AC258" s="44">
        <v>297.14</v>
      </c>
      <c r="AD258" s="35">
        <v>7.0750000000000002</v>
      </c>
      <c r="AE258" s="36"/>
      <c r="AF258" s="30">
        <v>24.8</v>
      </c>
      <c r="AG258" s="34">
        <v>3.4195000000000002</v>
      </c>
      <c r="AH258" s="35">
        <v>0.14362</v>
      </c>
      <c r="AI258" s="35"/>
      <c r="AJ258" s="35">
        <v>0.11706</v>
      </c>
      <c r="AK258" s="998">
        <v>60.2</v>
      </c>
      <c r="AM258" s="30">
        <v>24.8</v>
      </c>
      <c r="AN258" s="34">
        <v>1.0038</v>
      </c>
      <c r="AO258" s="35">
        <v>1.1243000000000001</v>
      </c>
      <c r="AQ258" s="197">
        <v>0.89800000000000002</v>
      </c>
      <c r="AR258" s="200">
        <v>26.07</v>
      </c>
      <c r="AS258" s="199">
        <v>897.5</v>
      </c>
      <c r="AZ258" s="197">
        <v>0.89800000000000002</v>
      </c>
      <c r="BA258" s="198">
        <v>7.4776999999999996</v>
      </c>
      <c r="BB258" s="199">
        <v>0.13372999999999999</v>
      </c>
      <c r="BD258" s="197">
        <v>0.89800000000000002</v>
      </c>
      <c r="BE258" s="198">
        <v>3.7387999999999999</v>
      </c>
      <c r="BF258" s="199">
        <v>0.15703</v>
      </c>
      <c r="BH258" s="197">
        <v>0.89800000000000002</v>
      </c>
      <c r="BI258" s="198">
        <v>267.45999999999998</v>
      </c>
      <c r="BJ258" s="199">
        <v>6.3680000000000003</v>
      </c>
      <c r="BL258" s="197">
        <v>0.89800000000000002</v>
      </c>
      <c r="BM258" s="198">
        <v>3.3382999999999998</v>
      </c>
      <c r="BN258" s="199">
        <v>0.14021</v>
      </c>
      <c r="BP258" s="197">
        <v>0.89800000000000002</v>
      </c>
      <c r="BQ258" s="200">
        <v>299.56</v>
      </c>
      <c r="BR258" s="199">
        <v>7.1319999999999997</v>
      </c>
      <c r="BT258" s="197">
        <v>0.89800000000000002</v>
      </c>
      <c r="BU258" s="201">
        <v>1.012</v>
      </c>
      <c r="BV258" s="202">
        <v>1.1335</v>
      </c>
      <c r="BX258" s="37">
        <v>898</v>
      </c>
      <c r="BY258" s="38">
        <v>0.89849999999999997</v>
      </c>
      <c r="BZ258" s="39">
        <v>25.98</v>
      </c>
      <c r="CA258" s="33"/>
      <c r="CB258" s="37">
        <v>898</v>
      </c>
      <c r="CC258" s="38">
        <v>0.15892000000000001</v>
      </c>
      <c r="CD258" s="42">
        <v>6.2930000000000001</v>
      </c>
      <c r="CE258" s="33"/>
      <c r="CF258" s="33"/>
      <c r="CG258" s="33"/>
      <c r="CH258" s="33"/>
      <c r="CI258" s="33"/>
      <c r="CJ258" s="33"/>
      <c r="CK258" s="33"/>
      <c r="CL258" s="40">
        <v>898</v>
      </c>
      <c r="CM258" s="43">
        <v>896.9</v>
      </c>
      <c r="CN258" s="41">
        <v>1.1149</v>
      </c>
      <c r="CO258" s="33"/>
      <c r="CP258" s="40">
        <v>898</v>
      </c>
      <c r="CQ258" s="34">
        <v>0.98870000000000002</v>
      </c>
      <c r="CR258" s="41">
        <v>0.88270000000000004</v>
      </c>
      <c r="CS258" s="33"/>
      <c r="CT258" s="40">
        <v>898</v>
      </c>
      <c r="CU258" s="44">
        <v>294.66000000000003</v>
      </c>
      <c r="CV258" s="42">
        <v>7.016</v>
      </c>
    </row>
    <row r="259" spans="4:100">
      <c r="D259" s="30">
        <v>24.9</v>
      </c>
      <c r="E259" s="31">
        <v>0.90469999999999995</v>
      </c>
      <c r="F259" s="32">
        <v>904.2</v>
      </c>
      <c r="G259" s="33"/>
      <c r="H259" s="30">
        <v>24.9</v>
      </c>
      <c r="I259" s="34">
        <v>3.7837999999999998</v>
      </c>
      <c r="J259" s="35">
        <v>0.15892000000000001</v>
      </c>
      <c r="L259" s="30">
        <v>24.9</v>
      </c>
      <c r="M259" s="172">
        <v>7.5339999999999998</v>
      </c>
      <c r="N259" s="173">
        <v>0.13272999999999999</v>
      </c>
      <c r="P259" s="30">
        <v>24.9</v>
      </c>
      <c r="Q259" s="172">
        <v>3.7669000000000001</v>
      </c>
      <c r="R259" s="173">
        <v>0.15820999999999999</v>
      </c>
      <c r="T259" s="30">
        <v>24.9</v>
      </c>
      <c r="U259" s="172">
        <v>265.47000000000003</v>
      </c>
      <c r="V259" s="173">
        <v>6.3209999999999997</v>
      </c>
      <c r="X259" s="30">
        <v>24.9</v>
      </c>
      <c r="Y259" s="34">
        <v>3.3633000000000002</v>
      </c>
      <c r="Z259" s="35">
        <v>0.14126</v>
      </c>
      <c r="AA259" s="36"/>
      <c r="AB259" s="30">
        <v>24.9</v>
      </c>
      <c r="AC259" s="44">
        <v>297.33</v>
      </c>
      <c r="AD259" s="35">
        <v>7.0789999999999997</v>
      </c>
      <c r="AE259" s="36"/>
      <c r="AF259" s="30">
        <v>24.9</v>
      </c>
      <c r="AG259" s="34">
        <v>3.4173</v>
      </c>
      <c r="AH259" s="35">
        <v>0.14352999999999999</v>
      </c>
      <c r="AI259" s="35"/>
      <c r="AJ259" s="35">
        <v>0.11712</v>
      </c>
      <c r="AK259" s="998">
        <v>60.1</v>
      </c>
      <c r="AM259" s="30">
        <v>24.9</v>
      </c>
      <c r="AN259" s="34">
        <v>1.0044999999999999</v>
      </c>
      <c r="AO259" s="35">
        <v>1.125</v>
      </c>
      <c r="AQ259" s="197">
        <v>0.89900000000000002</v>
      </c>
      <c r="AR259" s="200">
        <v>25.9</v>
      </c>
      <c r="AS259" s="199">
        <v>898.5</v>
      </c>
      <c r="AZ259" s="197">
        <v>0.89900000000000002</v>
      </c>
      <c r="BA259" s="198">
        <v>7.4859999999999998</v>
      </c>
      <c r="BB259" s="199">
        <v>0.13358</v>
      </c>
      <c r="BD259" s="197">
        <v>0.89900000000000002</v>
      </c>
      <c r="BE259" s="198">
        <v>3.7429999999999999</v>
      </c>
      <c r="BF259" s="199">
        <v>0.15720999999999999</v>
      </c>
      <c r="BH259" s="197">
        <v>0.89900000000000002</v>
      </c>
      <c r="BI259" s="198">
        <v>267.16000000000003</v>
      </c>
      <c r="BJ259" s="199">
        <v>6.3609999999999998</v>
      </c>
      <c r="BL259" s="197">
        <v>0.89900000000000002</v>
      </c>
      <c r="BM259" s="198">
        <v>3.3420000000000001</v>
      </c>
      <c r="BN259" s="199">
        <v>0.14036000000000001</v>
      </c>
      <c r="BP259" s="197">
        <v>0.89900000000000002</v>
      </c>
      <c r="BQ259" s="200">
        <v>299.22000000000003</v>
      </c>
      <c r="BR259" s="199">
        <v>7.1239999999999997</v>
      </c>
      <c r="BT259" s="197">
        <v>0.89900000000000002</v>
      </c>
      <c r="BU259" s="201">
        <v>1.0108999999999999</v>
      </c>
      <c r="BV259" s="202">
        <v>1.1322000000000001</v>
      </c>
      <c r="BX259" s="37">
        <v>899</v>
      </c>
      <c r="BY259" s="38">
        <v>0.89949999999999997</v>
      </c>
      <c r="BZ259" s="39">
        <v>25.81</v>
      </c>
      <c r="CA259" s="33"/>
      <c r="CB259" s="37">
        <v>899</v>
      </c>
      <c r="CC259" s="38">
        <v>0.15892000000000001</v>
      </c>
      <c r="CD259" s="42">
        <v>6.2930000000000001</v>
      </c>
      <c r="CE259" s="33"/>
      <c r="CF259" s="33"/>
      <c r="CG259" s="33"/>
      <c r="CH259" s="33"/>
      <c r="CI259" s="33"/>
      <c r="CJ259" s="33"/>
      <c r="CK259" s="33"/>
      <c r="CL259" s="40">
        <v>899</v>
      </c>
      <c r="CM259" s="43">
        <v>897.9</v>
      </c>
      <c r="CN259" s="41">
        <v>1.1136999999999999</v>
      </c>
      <c r="CO259" s="33"/>
      <c r="CP259" s="40">
        <v>899</v>
      </c>
      <c r="CQ259" s="34">
        <v>0.98980000000000001</v>
      </c>
      <c r="CR259" s="41">
        <v>0.88370000000000004</v>
      </c>
      <c r="CS259" s="33"/>
      <c r="CT259" s="40">
        <v>899</v>
      </c>
      <c r="CU259" s="44">
        <v>294.33</v>
      </c>
      <c r="CV259" s="42">
        <v>7.008</v>
      </c>
    </row>
    <row r="260" spans="4:100">
      <c r="D260" s="30">
        <v>25</v>
      </c>
      <c r="E260" s="31">
        <v>0.9042</v>
      </c>
      <c r="F260" s="32">
        <v>903.6</v>
      </c>
      <c r="G260" s="33"/>
      <c r="H260" s="30">
        <v>25</v>
      </c>
      <c r="I260" s="34">
        <v>3.7837999999999998</v>
      </c>
      <c r="J260" s="35">
        <v>0.15892000000000001</v>
      </c>
      <c r="L260" s="30">
        <v>25</v>
      </c>
      <c r="M260" s="172">
        <v>7.5289999999999999</v>
      </c>
      <c r="N260" s="173">
        <v>0.13281999999999999</v>
      </c>
      <c r="P260" s="30">
        <v>25</v>
      </c>
      <c r="Q260" s="172">
        <v>3.7645</v>
      </c>
      <c r="R260" s="173">
        <v>0.15811</v>
      </c>
      <c r="T260" s="30">
        <v>25</v>
      </c>
      <c r="U260" s="172">
        <v>265.64</v>
      </c>
      <c r="V260" s="173">
        <v>6.3250000000000002</v>
      </c>
      <c r="X260" s="30">
        <v>25</v>
      </c>
      <c r="Y260" s="34">
        <v>3.3612000000000002</v>
      </c>
      <c r="Z260" s="35">
        <v>0.14116999999999999</v>
      </c>
      <c r="AA260" s="36"/>
      <c r="AB260" s="30">
        <v>25</v>
      </c>
      <c r="AC260" s="44">
        <v>297.52</v>
      </c>
      <c r="AD260" s="35">
        <v>7.0839999999999996</v>
      </c>
      <c r="AE260" s="36"/>
      <c r="AF260" s="30">
        <v>25</v>
      </c>
      <c r="AG260" s="34">
        <v>3.4150999999999998</v>
      </c>
      <c r="AH260" s="35">
        <v>0.14343</v>
      </c>
      <c r="AI260" s="35"/>
      <c r="AJ260" s="35">
        <v>0.11718000000000001</v>
      </c>
      <c r="AK260" s="998">
        <v>60</v>
      </c>
      <c r="AM260" s="30">
        <v>25</v>
      </c>
      <c r="AN260" s="34">
        <v>1.0051000000000001</v>
      </c>
      <c r="AO260" s="35">
        <v>1.1256999999999999</v>
      </c>
      <c r="AQ260" s="197">
        <v>0.9</v>
      </c>
      <c r="AR260" s="200">
        <v>25.72</v>
      </c>
      <c r="AS260" s="199">
        <v>899.5</v>
      </c>
      <c r="AZ260" s="197">
        <v>0.9</v>
      </c>
      <c r="BA260" s="198">
        <v>7.4943999999999997</v>
      </c>
      <c r="BB260" s="199">
        <v>0.13342999999999999</v>
      </c>
      <c r="BD260" s="197">
        <v>0.9</v>
      </c>
      <c r="BE260" s="198">
        <v>3.7471999999999999</v>
      </c>
      <c r="BF260" s="199">
        <v>0.15737999999999999</v>
      </c>
      <c r="BH260" s="197">
        <v>0.9</v>
      </c>
      <c r="BI260" s="198">
        <v>266.87</v>
      </c>
      <c r="BJ260" s="199">
        <v>6.3540000000000001</v>
      </c>
      <c r="BL260" s="197">
        <v>0.9</v>
      </c>
      <c r="BM260" s="198">
        <v>3.3456999999999999</v>
      </c>
      <c r="BN260" s="199">
        <v>0.14052000000000001</v>
      </c>
      <c r="BP260" s="197">
        <v>0.9</v>
      </c>
      <c r="BQ260" s="200">
        <v>298.89</v>
      </c>
      <c r="BR260" s="199">
        <v>7.1159999999999997</v>
      </c>
      <c r="BT260" s="197">
        <v>0.9</v>
      </c>
      <c r="BU260" s="201">
        <v>1.0098</v>
      </c>
      <c r="BV260" s="202">
        <v>1.1309</v>
      </c>
      <c r="BX260" s="37">
        <v>900</v>
      </c>
      <c r="BY260" s="38">
        <v>0.90049999999999997</v>
      </c>
      <c r="BZ260" s="39">
        <v>25.63</v>
      </c>
      <c r="CA260" s="33"/>
      <c r="CB260" s="37">
        <v>900</v>
      </c>
      <c r="CC260" s="38">
        <v>0.15892000000000001</v>
      </c>
      <c r="CD260" s="42">
        <v>6.2930000000000001</v>
      </c>
      <c r="CE260" s="33"/>
      <c r="CF260" s="33"/>
      <c r="CG260" s="33"/>
      <c r="CH260" s="33"/>
      <c r="CI260" s="33"/>
      <c r="CJ260" s="33"/>
      <c r="CK260" s="33"/>
      <c r="CL260" s="40">
        <v>900</v>
      </c>
      <c r="CM260" s="43">
        <v>898.9</v>
      </c>
      <c r="CN260" s="41">
        <v>1.1125</v>
      </c>
      <c r="CO260" s="33"/>
      <c r="CP260" s="40">
        <v>900</v>
      </c>
      <c r="CQ260" s="34">
        <v>0.9909</v>
      </c>
      <c r="CR260" s="41">
        <v>0.88470000000000004</v>
      </c>
      <c r="CS260" s="33"/>
      <c r="CT260" s="40">
        <v>900</v>
      </c>
      <c r="CU260" s="44">
        <v>294</v>
      </c>
      <c r="CV260" s="42">
        <v>7</v>
      </c>
    </row>
    <row r="261" spans="4:100">
      <c r="D261" s="30">
        <v>25.1</v>
      </c>
      <c r="E261" s="31">
        <v>0.90359999999999996</v>
      </c>
      <c r="F261" s="32">
        <v>903.1</v>
      </c>
      <c r="G261" s="33"/>
      <c r="H261" s="30">
        <v>25.1</v>
      </c>
      <c r="I261" s="34">
        <v>3.7837999999999998</v>
      </c>
      <c r="J261" s="35">
        <v>0.15892000000000001</v>
      </c>
      <c r="L261" s="30">
        <v>25.1</v>
      </c>
      <c r="M261" s="172">
        <v>7.524</v>
      </c>
      <c r="N261" s="173">
        <v>0.13289999999999999</v>
      </c>
      <c r="P261" s="30">
        <v>25.1</v>
      </c>
      <c r="Q261" s="172">
        <v>3.7621000000000002</v>
      </c>
      <c r="R261" s="173">
        <v>0.15801000000000001</v>
      </c>
      <c r="T261" s="30">
        <v>25.1</v>
      </c>
      <c r="U261" s="172">
        <v>265.81</v>
      </c>
      <c r="V261" s="173">
        <v>6.3289999999999997</v>
      </c>
      <c r="X261" s="30">
        <v>25.1</v>
      </c>
      <c r="Y261" s="34">
        <v>3.359</v>
      </c>
      <c r="Z261" s="35">
        <v>0.14108000000000001</v>
      </c>
      <c r="AA261" s="36"/>
      <c r="AB261" s="30">
        <v>25.1</v>
      </c>
      <c r="AC261" s="44">
        <v>297.70999999999998</v>
      </c>
      <c r="AD261" s="35">
        <v>7.0880000000000001</v>
      </c>
      <c r="AE261" s="36"/>
      <c r="AF261" s="30">
        <v>25.1</v>
      </c>
      <c r="AG261" s="34">
        <v>3.4129</v>
      </c>
      <c r="AH261" s="35">
        <v>0.14334</v>
      </c>
      <c r="AI261" s="35"/>
      <c r="AJ261" s="35">
        <v>0.11724999999999999</v>
      </c>
      <c r="AK261" s="998">
        <v>59.9</v>
      </c>
      <c r="AM261" s="30">
        <v>25.1</v>
      </c>
      <c r="AN261" s="34">
        <v>1.0058</v>
      </c>
      <c r="AO261" s="35">
        <v>1.1265000000000001</v>
      </c>
      <c r="AQ261" s="197">
        <v>0.90100000000000002</v>
      </c>
      <c r="AR261" s="200">
        <v>25.55</v>
      </c>
      <c r="AS261" s="199">
        <v>900.5</v>
      </c>
      <c r="AZ261" s="197">
        <v>0.90100000000000002</v>
      </c>
      <c r="BA261" s="198">
        <v>7.5026999999999999</v>
      </c>
      <c r="BB261" s="199">
        <v>0.13328999999999999</v>
      </c>
      <c r="BD261" s="197">
        <v>0.90100000000000002</v>
      </c>
      <c r="BE261" s="198">
        <v>3.7513999999999998</v>
      </c>
      <c r="BF261" s="199">
        <v>0.15756000000000001</v>
      </c>
      <c r="BH261" s="197">
        <v>0.90100000000000002</v>
      </c>
      <c r="BI261" s="198">
        <v>266.57</v>
      </c>
      <c r="BJ261" s="199">
        <v>6.3470000000000004</v>
      </c>
      <c r="BL261" s="197">
        <v>0.90100000000000002</v>
      </c>
      <c r="BM261" s="198">
        <v>3.3494000000000002</v>
      </c>
      <c r="BN261" s="199">
        <v>0.14068</v>
      </c>
      <c r="BP261" s="197">
        <v>0.90100000000000002</v>
      </c>
      <c r="BQ261" s="200">
        <v>298.56</v>
      </c>
      <c r="BR261" s="199">
        <v>7.109</v>
      </c>
      <c r="BT261" s="197">
        <v>0.90100000000000002</v>
      </c>
      <c r="BU261" s="201">
        <v>1.0085999999999999</v>
      </c>
      <c r="BV261" s="202">
        <v>1.1296999999999999</v>
      </c>
      <c r="BX261" s="37">
        <v>901</v>
      </c>
      <c r="BY261" s="38">
        <v>0.90149999999999997</v>
      </c>
      <c r="BZ261" s="39">
        <v>25.46</v>
      </c>
      <c r="CA261" s="33"/>
      <c r="CB261" s="37">
        <v>901</v>
      </c>
      <c r="CC261" s="38">
        <v>0.15892000000000001</v>
      </c>
      <c r="CD261" s="42">
        <v>6.2930000000000001</v>
      </c>
      <c r="CE261" s="33"/>
      <c r="CF261" s="33"/>
      <c r="CG261" s="33"/>
      <c r="CH261" s="33"/>
      <c r="CI261" s="33"/>
      <c r="CJ261" s="33"/>
      <c r="CK261" s="33"/>
      <c r="CL261" s="40">
        <v>901</v>
      </c>
      <c r="CM261" s="43">
        <v>899.9</v>
      </c>
      <c r="CN261" s="41">
        <v>1.1112</v>
      </c>
      <c r="CO261" s="33"/>
      <c r="CP261" s="40">
        <v>901</v>
      </c>
      <c r="CQ261" s="34">
        <v>0.99199999999999999</v>
      </c>
      <c r="CR261" s="41">
        <v>0.88570000000000004</v>
      </c>
      <c r="CS261" s="33"/>
      <c r="CT261" s="40">
        <v>901</v>
      </c>
      <c r="CU261" s="44">
        <v>293.68</v>
      </c>
      <c r="CV261" s="42">
        <v>6.992</v>
      </c>
    </row>
    <row r="262" spans="4:100">
      <c r="D262" s="30">
        <v>25.2</v>
      </c>
      <c r="E262" s="31">
        <v>0.90300000000000002</v>
      </c>
      <c r="F262" s="32">
        <v>902.5</v>
      </c>
      <c r="G262" s="33"/>
      <c r="H262" s="30">
        <v>25.2</v>
      </c>
      <c r="I262" s="34">
        <v>3.7837999999999998</v>
      </c>
      <c r="J262" s="35">
        <v>0.15892000000000001</v>
      </c>
      <c r="L262" s="30">
        <v>25.2</v>
      </c>
      <c r="M262" s="172">
        <v>7.5190000000000001</v>
      </c>
      <c r="N262" s="173">
        <v>0.13299</v>
      </c>
      <c r="P262" s="30">
        <v>25.2</v>
      </c>
      <c r="Q262" s="172">
        <v>3.7597</v>
      </c>
      <c r="R262" s="173">
        <v>0.15790999999999999</v>
      </c>
      <c r="T262" s="30">
        <v>25.2</v>
      </c>
      <c r="U262" s="172">
        <v>265.98</v>
      </c>
      <c r="V262" s="173">
        <v>6.3330000000000002</v>
      </c>
      <c r="X262" s="30">
        <v>25.2</v>
      </c>
      <c r="Y262" s="34">
        <v>3.3569</v>
      </c>
      <c r="Z262" s="35">
        <v>0.14099</v>
      </c>
      <c r="AA262" s="36"/>
      <c r="AB262" s="30">
        <v>25.2</v>
      </c>
      <c r="AC262" s="44">
        <v>297.89999999999998</v>
      </c>
      <c r="AD262" s="35">
        <v>7.093</v>
      </c>
      <c r="AE262" s="36"/>
      <c r="AF262" s="30">
        <v>25.2</v>
      </c>
      <c r="AG262" s="34">
        <v>3.4106999999999998</v>
      </c>
      <c r="AH262" s="35">
        <v>0.14324999999999999</v>
      </c>
      <c r="AI262" s="35"/>
      <c r="AJ262" s="35">
        <v>0.11731</v>
      </c>
      <c r="AK262" s="998">
        <v>59.8</v>
      </c>
      <c r="AM262" s="30">
        <v>25.2</v>
      </c>
      <c r="AN262" s="34">
        <v>1.0064</v>
      </c>
      <c r="AO262" s="35">
        <v>1.1272</v>
      </c>
      <c r="AQ262" s="197">
        <v>0.90200000000000002</v>
      </c>
      <c r="AR262" s="200">
        <v>25.37</v>
      </c>
      <c r="AS262" s="199">
        <v>901.5</v>
      </c>
      <c r="AZ262" s="197">
        <v>0.90200000000000002</v>
      </c>
      <c r="BA262" s="198">
        <v>7.5110000000000001</v>
      </c>
      <c r="BB262" s="199">
        <v>0.13314000000000001</v>
      </c>
      <c r="BD262" s="197">
        <v>0.90200000000000002</v>
      </c>
      <c r="BE262" s="198">
        <v>3.7555000000000001</v>
      </c>
      <c r="BF262" s="199">
        <v>0.15773000000000001</v>
      </c>
      <c r="BH262" s="197">
        <v>0.90200000000000002</v>
      </c>
      <c r="BI262" s="198">
        <v>266.27</v>
      </c>
      <c r="BJ262" s="199">
        <v>6.34</v>
      </c>
      <c r="BL262" s="197">
        <v>0.90200000000000002</v>
      </c>
      <c r="BM262" s="198">
        <v>3.3531</v>
      </c>
      <c r="BN262" s="199">
        <v>0.14083000000000001</v>
      </c>
      <c r="BP262" s="197">
        <v>0.90200000000000002</v>
      </c>
      <c r="BQ262" s="200">
        <v>298.23</v>
      </c>
      <c r="BR262" s="199">
        <v>7.101</v>
      </c>
      <c r="BT262" s="197">
        <v>0.90200000000000002</v>
      </c>
      <c r="BU262" s="201">
        <v>1.0075000000000001</v>
      </c>
      <c r="BV262" s="202">
        <v>1.1284000000000001</v>
      </c>
      <c r="BX262" s="37">
        <v>902</v>
      </c>
      <c r="BY262" s="38">
        <v>0.90249999999999997</v>
      </c>
      <c r="BZ262" s="39">
        <v>25.29</v>
      </c>
      <c r="CA262" s="33"/>
      <c r="CB262" s="37">
        <v>902</v>
      </c>
      <c r="CC262" s="38">
        <v>0.15892000000000001</v>
      </c>
      <c r="CD262" s="42">
        <v>6.2919999999999998</v>
      </c>
      <c r="CE262" s="33"/>
      <c r="CF262" s="33"/>
      <c r="CG262" s="33"/>
      <c r="CH262" s="33"/>
      <c r="CI262" s="33"/>
      <c r="CJ262" s="33"/>
      <c r="CK262" s="33"/>
      <c r="CL262" s="40">
        <v>902</v>
      </c>
      <c r="CM262" s="43">
        <v>900.9</v>
      </c>
      <c r="CN262" s="41">
        <v>1.1100000000000001</v>
      </c>
      <c r="CO262" s="33"/>
      <c r="CP262" s="40">
        <v>902</v>
      </c>
      <c r="CQ262" s="34">
        <v>0.99309999999999998</v>
      </c>
      <c r="CR262" s="41">
        <v>0.88670000000000004</v>
      </c>
      <c r="CS262" s="33"/>
      <c r="CT262" s="40">
        <v>902</v>
      </c>
      <c r="CU262" s="44">
        <v>293.35000000000002</v>
      </c>
      <c r="CV262" s="42">
        <v>6.9850000000000003</v>
      </c>
    </row>
    <row r="263" spans="4:100">
      <c r="D263" s="30">
        <v>25.3</v>
      </c>
      <c r="E263" s="31">
        <v>0.90239999999999998</v>
      </c>
      <c r="F263" s="32">
        <v>901.9</v>
      </c>
      <c r="G263" s="33"/>
      <c r="H263" s="30">
        <v>25.3</v>
      </c>
      <c r="I263" s="34">
        <v>3.7837999999999998</v>
      </c>
      <c r="J263" s="35">
        <v>0.15892000000000001</v>
      </c>
      <c r="L263" s="30">
        <v>25.3</v>
      </c>
      <c r="M263" s="172">
        <v>7.5149999999999997</v>
      </c>
      <c r="N263" s="173">
        <v>0.13306999999999999</v>
      </c>
      <c r="P263" s="30">
        <v>25.3</v>
      </c>
      <c r="Q263" s="172">
        <v>3.7572999999999999</v>
      </c>
      <c r="R263" s="173">
        <v>0.15781000000000001</v>
      </c>
      <c r="T263" s="30">
        <v>25.3</v>
      </c>
      <c r="U263" s="172">
        <v>266.14999999999998</v>
      </c>
      <c r="V263" s="173">
        <v>6.3369999999999997</v>
      </c>
      <c r="X263" s="30">
        <v>25.3</v>
      </c>
      <c r="Y263" s="34">
        <v>3.3546999999999998</v>
      </c>
      <c r="Z263" s="35">
        <v>0.1409</v>
      </c>
      <c r="AA263" s="36"/>
      <c r="AB263" s="30">
        <v>25.3</v>
      </c>
      <c r="AC263" s="44">
        <v>298.08999999999997</v>
      </c>
      <c r="AD263" s="35">
        <v>7.0970000000000004</v>
      </c>
      <c r="AE263" s="36"/>
      <c r="AF263" s="30">
        <v>25.3</v>
      </c>
      <c r="AG263" s="34">
        <v>3.4085999999999999</v>
      </c>
      <c r="AH263" s="35">
        <v>0.14316000000000001</v>
      </c>
      <c r="AI263" s="35"/>
      <c r="AJ263" s="35">
        <v>0.11737</v>
      </c>
      <c r="AK263" s="998">
        <v>59.7</v>
      </c>
      <c r="AM263" s="30">
        <v>25.3</v>
      </c>
      <c r="AN263" s="34">
        <v>1.0071000000000001</v>
      </c>
      <c r="AO263" s="35">
        <v>1.1278999999999999</v>
      </c>
      <c r="AQ263" s="197">
        <v>0.90300000000000002</v>
      </c>
      <c r="AR263" s="200">
        <v>25.2</v>
      </c>
      <c r="AS263" s="199">
        <v>902.5</v>
      </c>
      <c r="AZ263" s="197">
        <v>0.90300000000000002</v>
      </c>
      <c r="BA263" s="198">
        <v>7.5194000000000001</v>
      </c>
      <c r="BB263" s="199">
        <v>0.13299</v>
      </c>
      <c r="BD263" s="197">
        <v>0.90300000000000002</v>
      </c>
      <c r="BE263" s="198">
        <v>3.7597</v>
      </c>
      <c r="BF263" s="199">
        <v>0.15790999999999999</v>
      </c>
      <c r="BH263" s="197">
        <v>0.90300000000000002</v>
      </c>
      <c r="BI263" s="198">
        <v>265.98</v>
      </c>
      <c r="BJ263" s="199">
        <v>6.3330000000000002</v>
      </c>
      <c r="BL263" s="197">
        <v>0.90300000000000002</v>
      </c>
      <c r="BM263" s="198">
        <v>3.3569</v>
      </c>
      <c r="BN263" s="199">
        <v>0.14099</v>
      </c>
      <c r="BP263" s="197">
        <v>0.90300000000000002</v>
      </c>
      <c r="BQ263" s="200">
        <v>297.89999999999998</v>
      </c>
      <c r="BR263" s="199">
        <v>7.093</v>
      </c>
      <c r="BT263" s="197">
        <v>0.90300000000000002</v>
      </c>
      <c r="BU263" s="201">
        <v>1.0064</v>
      </c>
      <c r="BV263" s="202">
        <v>1.1272</v>
      </c>
      <c r="BX263" s="37">
        <v>903</v>
      </c>
      <c r="BY263" s="38">
        <v>0.90349999999999997</v>
      </c>
      <c r="BZ263" s="39">
        <v>25.11</v>
      </c>
      <c r="CA263" s="33"/>
      <c r="CB263" s="37">
        <v>903</v>
      </c>
      <c r="CC263" s="38">
        <v>0.15892000000000001</v>
      </c>
      <c r="CD263" s="42">
        <v>6.2919999999999998</v>
      </c>
      <c r="CE263" s="33"/>
      <c r="CF263" s="33"/>
      <c r="CG263" s="33"/>
      <c r="CH263" s="33"/>
      <c r="CI263" s="33"/>
      <c r="CJ263" s="33"/>
      <c r="CK263" s="33"/>
      <c r="CL263" s="40">
        <v>903</v>
      </c>
      <c r="CM263" s="43">
        <v>901.9</v>
      </c>
      <c r="CN263" s="41">
        <v>1.1088</v>
      </c>
      <c r="CO263" s="33"/>
      <c r="CP263" s="40">
        <v>903</v>
      </c>
      <c r="CQ263" s="34">
        <v>0.99419999999999997</v>
      </c>
      <c r="CR263" s="41">
        <v>0.88770000000000004</v>
      </c>
      <c r="CS263" s="33"/>
      <c r="CT263" s="40">
        <v>903</v>
      </c>
      <c r="CU263" s="44">
        <v>293.02999999999997</v>
      </c>
      <c r="CV263" s="42">
        <v>6.9770000000000003</v>
      </c>
    </row>
    <row r="264" spans="4:100">
      <c r="D264" s="30">
        <v>25.4</v>
      </c>
      <c r="E264" s="31">
        <v>0.90180000000000005</v>
      </c>
      <c r="F264" s="32">
        <v>901.3</v>
      </c>
      <c r="G264" s="33"/>
      <c r="H264" s="30">
        <v>25.4</v>
      </c>
      <c r="I264" s="34">
        <v>3.7837999999999998</v>
      </c>
      <c r="J264" s="35">
        <v>0.15892000000000001</v>
      </c>
      <c r="L264" s="30">
        <v>25.4</v>
      </c>
      <c r="M264" s="12">
        <v>7.51</v>
      </c>
      <c r="N264" s="173">
        <v>0.13316</v>
      </c>
      <c r="P264" s="30">
        <v>25.4</v>
      </c>
      <c r="Q264" s="172">
        <v>3.7549000000000001</v>
      </c>
      <c r="R264" s="173">
        <v>0.15770999999999999</v>
      </c>
      <c r="T264" s="30">
        <v>25.4</v>
      </c>
      <c r="U264" s="172">
        <v>266.32</v>
      </c>
      <c r="V264" s="173">
        <v>6.3410000000000002</v>
      </c>
      <c r="X264" s="30">
        <v>25.4</v>
      </c>
      <c r="Y264" s="34">
        <v>3.3525999999999998</v>
      </c>
      <c r="Z264" s="35">
        <v>0.14080999999999999</v>
      </c>
      <c r="AA264" s="36"/>
      <c r="AB264" s="30">
        <v>25.4</v>
      </c>
      <c r="AC264" s="44">
        <v>298.27999999999997</v>
      </c>
      <c r="AD264" s="35">
        <v>7.1020000000000003</v>
      </c>
      <c r="AE264" s="36"/>
      <c r="AF264" s="30">
        <v>25.4</v>
      </c>
      <c r="AG264" s="34">
        <v>3.4064000000000001</v>
      </c>
      <c r="AH264" s="35">
        <v>0.14307</v>
      </c>
      <c r="AI264" s="35"/>
      <c r="AJ264" s="35">
        <v>0.11743000000000001</v>
      </c>
      <c r="AK264" s="998">
        <v>59.6</v>
      </c>
      <c r="AM264" s="30">
        <v>25.4</v>
      </c>
      <c r="AN264" s="34">
        <v>1.0077</v>
      </c>
      <c r="AO264" s="35">
        <v>1.1286</v>
      </c>
      <c r="AQ264" s="197">
        <v>0.90400000000000003</v>
      </c>
      <c r="AR264" s="200">
        <v>25.03</v>
      </c>
      <c r="AS264" s="199">
        <v>903.5</v>
      </c>
      <c r="AZ264" s="197">
        <v>0.90400000000000003</v>
      </c>
      <c r="BA264" s="198">
        <v>7.5277000000000003</v>
      </c>
      <c r="BB264" s="199">
        <v>0.13284000000000001</v>
      </c>
      <c r="BD264" s="197">
        <v>0.90400000000000003</v>
      </c>
      <c r="BE264" s="198">
        <v>3.7639</v>
      </c>
      <c r="BF264" s="199">
        <v>0.15808</v>
      </c>
      <c r="BH264" s="197">
        <v>0.90400000000000003</v>
      </c>
      <c r="BI264" s="198">
        <v>265.68</v>
      </c>
      <c r="BJ264" s="199">
        <v>6.3259999999999996</v>
      </c>
      <c r="BL264" s="197">
        <v>0.90400000000000003</v>
      </c>
      <c r="BM264" s="198">
        <v>3.3605999999999998</v>
      </c>
      <c r="BN264" s="199">
        <v>0.14113999999999999</v>
      </c>
      <c r="BP264" s="197">
        <v>0.90400000000000003</v>
      </c>
      <c r="BQ264" s="200">
        <v>297.57</v>
      </c>
      <c r="BR264" s="199">
        <v>7.085</v>
      </c>
      <c r="BT264" s="197">
        <v>0.90400000000000003</v>
      </c>
      <c r="BU264" s="201">
        <v>1.0053000000000001</v>
      </c>
      <c r="BV264" s="202">
        <v>1.1258999999999999</v>
      </c>
      <c r="BX264" s="37">
        <v>904</v>
      </c>
      <c r="BY264" s="38">
        <v>0.90449999999999997</v>
      </c>
      <c r="BZ264" s="39">
        <v>24.94</v>
      </c>
      <c r="CA264" s="33"/>
      <c r="CB264" s="37">
        <v>904</v>
      </c>
      <c r="CC264" s="38">
        <v>0.15892000000000001</v>
      </c>
      <c r="CD264" s="42">
        <v>6.2919999999999998</v>
      </c>
      <c r="CE264" s="33"/>
      <c r="CF264" s="33"/>
      <c r="CG264" s="33"/>
      <c r="CH264" s="33"/>
      <c r="CI264" s="33"/>
      <c r="CJ264" s="33"/>
      <c r="CK264" s="33"/>
      <c r="CL264" s="40">
        <v>904</v>
      </c>
      <c r="CM264" s="43">
        <v>902.9</v>
      </c>
      <c r="CN264" s="41">
        <v>1.1074999999999999</v>
      </c>
      <c r="CO264" s="33"/>
      <c r="CP264" s="40">
        <v>904</v>
      </c>
      <c r="CQ264" s="34">
        <v>0.99529999999999996</v>
      </c>
      <c r="CR264" s="41">
        <v>0.88870000000000005</v>
      </c>
      <c r="CS264" s="33"/>
      <c r="CT264" s="40">
        <v>904</v>
      </c>
      <c r="CU264" s="44">
        <v>292.7</v>
      </c>
      <c r="CV264" s="42">
        <v>6.9690000000000003</v>
      </c>
    </row>
    <row r="265" spans="4:100">
      <c r="D265" s="30">
        <v>25.5</v>
      </c>
      <c r="E265" s="31">
        <v>0.90129999999999999</v>
      </c>
      <c r="F265" s="32">
        <v>900.8</v>
      </c>
      <c r="G265" s="33"/>
      <c r="H265" s="30">
        <v>25.5</v>
      </c>
      <c r="I265" s="34">
        <v>3.7837999999999998</v>
      </c>
      <c r="J265" s="35">
        <v>0.15892000000000001</v>
      </c>
      <c r="L265" s="30">
        <v>25.5</v>
      </c>
      <c r="M265" s="172">
        <v>7.5049999999999999</v>
      </c>
      <c r="N265" s="173">
        <v>0.13324</v>
      </c>
      <c r="P265" s="30">
        <v>25.5</v>
      </c>
      <c r="Q265" s="172">
        <v>3.7524999999999999</v>
      </c>
      <c r="R265" s="173">
        <v>0.15759999999999999</v>
      </c>
      <c r="T265" s="30">
        <v>25.5</v>
      </c>
      <c r="U265" s="172">
        <v>266.49</v>
      </c>
      <c r="V265" s="173">
        <v>6.3449999999999998</v>
      </c>
      <c r="X265" s="30">
        <v>25.5</v>
      </c>
      <c r="Y265" s="34">
        <v>3.3504</v>
      </c>
      <c r="Z265" s="35">
        <v>0.14072000000000001</v>
      </c>
      <c r="AA265" s="36"/>
      <c r="AB265" s="30">
        <v>25.5</v>
      </c>
      <c r="AC265" s="44">
        <v>298.47000000000003</v>
      </c>
      <c r="AD265" s="35">
        <v>7.1059999999999999</v>
      </c>
      <c r="AE265" s="36"/>
      <c r="AF265" s="30">
        <v>25.5</v>
      </c>
      <c r="AG265" s="34">
        <v>3.4041999999999999</v>
      </c>
      <c r="AH265" s="35">
        <v>0.14298</v>
      </c>
      <c r="AI265" s="35"/>
      <c r="AJ265" s="35">
        <v>0.11749</v>
      </c>
      <c r="AK265" s="998">
        <v>59.5</v>
      </c>
      <c r="AM265" s="30">
        <v>25.5</v>
      </c>
      <c r="AN265" s="34">
        <v>1.0083</v>
      </c>
      <c r="AO265" s="35">
        <v>1.1293</v>
      </c>
      <c r="AQ265" s="197">
        <v>0.90500000000000003</v>
      </c>
      <c r="AR265" s="200">
        <v>24.85</v>
      </c>
      <c r="AS265" s="199">
        <v>904.5</v>
      </c>
      <c r="AZ265" s="197">
        <v>0.90500000000000003</v>
      </c>
      <c r="BA265" s="198">
        <v>7.5361000000000002</v>
      </c>
      <c r="BB265" s="199">
        <v>0.13270000000000001</v>
      </c>
      <c r="BD265" s="197">
        <v>0.90500000000000003</v>
      </c>
      <c r="BE265" s="198">
        <v>3.7679999999999998</v>
      </c>
      <c r="BF265" s="199">
        <v>0.15826000000000001</v>
      </c>
      <c r="BH265" s="197">
        <v>0.90500000000000003</v>
      </c>
      <c r="BI265" s="198">
        <v>265.39</v>
      </c>
      <c r="BJ265" s="199">
        <v>6.319</v>
      </c>
      <c r="BL265" s="197">
        <v>0.90500000000000003</v>
      </c>
      <c r="BM265" s="198">
        <v>3.3643000000000001</v>
      </c>
      <c r="BN265" s="199">
        <v>0.14130000000000001</v>
      </c>
      <c r="BP265" s="197">
        <v>0.90500000000000003</v>
      </c>
      <c r="BQ265" s="200">
        <v>297.24</v>
      </c>
      <c r="BR265" s="199">
        <v>7.077</v>
      </c>
      <c r="BT265" s="197">
        <v>0.90500000000000003</v>
      </c>
      <c r="BU265" s="201">
        <v>1.0042</v>
      </c>
      <c r="BV265" s="202">
        <v>1.1247</v>
      </c>
      <c r="BX265" s="37">
        <v>905</v>
      </c>
      <c r="BY265" s="38">
        <v>0.90549999999999997</v>
      </c>
      <c r="BZ265" s="39">
        <v>24.77</v>
      </c>
      <c r="CA265" s="33"/>
      <c r="CB265" s="37">
        <v>905</v>
      </c>
      <c r="CC265" s="38">
        <v>0.15892000000000001</v>
      </c>
      <c r="CD265" s="42">
        <v>6.2919999999999998</v>
      </c>
      <c r="CE265" s="33"/>
      <c r="CF265" s="33"/>
      <c r="CG265" s="33"/>
      <c r="CH265" s="33"/>
      <c r="CI265" s="33"/>
      <c r="CJ265" s="33"/>
      <c r="CK265" s="33"/>
      <c r="CL265" s="40">
        <v>905</v>
      </c>
      <c r="CM265" s="43">
        <v>903.9</v>
      </c>
      <c r="CN265" s="41">
        <v>1.1063000000000001</v>
      </c>
      <c r="CO265" s="33"/>
      <c r="CP265" s="40">
        <v>905</v>
      </c>
      <c r="CQ265" s="34">
        <v>0.99639999999999995</v>
      </c>
      <c r="CR265" s="41">
        <v>0.88959999999999995</v>
      </c>
      <c r="CS265" s="33"/>
      <c r="CT265" s="40">
        <v>905</v>
      </c>
      <c r="CU265" s="44">
        <v>292.38</v>
      </c>
      <c r="CV265" s="42">
        <v>6.9610000000000003</v>
      </c>
    </row>
    <row r="266" spans="4:100">
      <c r="D266" s="30">
        <v>25.6</v>
      </c>
      <c r="E266" s="31">
        <v>0.90069999999999995</v>
      </c>
      <c r="F266" s="32">
        <v>900.2</v>
      </c>
      <c r="G266" s="33"/>
      <c r="H266" s="30">
        <v>25.6</v>
      </c>
      <c r="I266" s="34">
        <v>3.7837999999999998</v>
      </c>
      <c r="J266" s="35">
        <v>0.15892000000000001</v>
      </c>
      <c r="L266" s="30">
        <v>25.6</v>
      </c>
      <c r="M266" s="172">
        <v>7.5</v>
      </c>
      <c r="N266" s="173">
        <v>0.13333</v>
      </c>
      <c r="P266" s="30">
        <v>25.6</v>
      </c>
      <c r="Q266" s="172">
        <v>3.7501000000000002</v>
      </c>
      <c r="R266" s="173">
        <v>0.1575</v>
      </c>
      <c r="T266" s="30">
        <v>25.6</v>
      </c>
      <c r="U266" s="172">
        <v>266.66000000000003</v>
      </c>
      <c r="V266" s="173">
        <v>6.3490000000000002</v>
      </c>
      <c r="X266" s="30">
        <v>25.6</v>
      </c>
      <c r="Y266" s="34">
        <v>3.3483000000000001</v>
      </c>
      <c r="Z266" s="35">
        <v>0.14063000000000001</v>
      </c>
      <c r="AA266" s="36"/>
      <c r="AB266" s="30">
        <v>25.6</v>
      </c>
      <c r="AC266" s="44">
        <v>298.66000000000003</v>
      </c>
      <c r="AD266" s="35">
        <v>7.1109999999999998</v>
      </c>
      <c r="AE266" s="36"/>
      <c r="AF266" s="30">
        <v>25.6</v>
      </c>
      <c r="AG266" s="34">
        <v>3.4020000000000001</v>
      </c>
      <c r="AH266" s="35">
        <v>0.14288999999999999</v>
      </c>
      <c r="AI266" s="35"/>
      <c r="AJ266" s="35">
        <v>0.11755</v>
      </c>
      <c r="AK266" s="998">
        <v>59.4</v>
      </c>
      <c r="AM266" s="30">
        <v>25.6</v>
      </c>
      <c r="AN266" s="34">
        <v>1.0089999999999999</v>
      </c>
      <c r="AO266" s="35">
        <v>1.1301000000000001</v>
      </c>
      <c r="AQ266" s="197">
        <v>0.90600000000000003</v>
      </c>
      <c r="AR266" s="200">
        <v>24.68</v>
      </c>
      <c r="AS266" s="199">
        <v>905.5</v>
      </c>
      <c r="AZ266" s="197">
        <v>0.90600000000000003</v>
      </c>
      <c r="BA266" s="198">
        <v>7.5444000000000004</v>
      </c>
      <c r="BB266" s="199">
        <v>0.13255</v>
      </c>
      <c r="BD266" s="197">
        <v>0.90600000000000003</v>
      </c>
      <c r="BE266" s="198">
        <v>3.7722000000000002</v>
      </c>
      <c r="BF266" s="199">
        <v>0.15842999999999999</v>
      </c>
      <c r="BH266" s="197">
        <v>0.90600000000000003</v>
      </c>
      <c r="BI266" s="198">
        <v>265.10000000000002</v>
      </c>
      <c r="BJ266" s="199">
        <v>6.3120000000000003</v>
      </c>
      <c r="BL266" s="197">
        <v>0.90600000000000003</v>
      </c>
      <c r="BM266" s="198">
        <v>3.3679999999999999</v>
      </c>
      <c r="BN266" s="199">
        <v>0.14146</v>
      </c>
      <c r="BP266" s="197">
        <v>0.90600000000000003</v>
      </c>
      <c r="BQ266" s="200">
        <v>296.91000000000003</v>
      </c>
      <c r="BR266" s="199">
        <v>7.069</v>
      </c>
      <c r="BT266" s="197">
        <v>0.90600000000000003</v>
      </c>
      <c r="BU266" s="201">
        <v>1.0031000000000001</v>
      </c>
      <c r="BV266" s="202">
        <v>1.1234</v>
      </c>
      <c r="BX266" s="37">
        <v>906</v>
      </c>
      <c r="BY266" s="38">
        <v>0.90649999999999997</v>
      </c>
      <c r="BZ266" s="39">
        <v>24.59</v>
      </c>
      <c r="CA266" s="33"/>
      <c r="CB266" s="37">
        <v>906</v>
      </c>
      <c r="CC266" s="38">
        <v>0.15892000000000001</v>
      </c>
      <c r="CD266" s="42">
        <v>6.2919999999999998</v>
      </c>
      <c r="CE266" s="33"/>
      <c r="CF266" s="33"/>
      <c r="CG266" s="33"/>
      <c r="CH266" s="33"/>
      <c r="CI266" s="33"/>
      <c r="CJ266" s="33"/>
      <c r="CK266" s="33"/>
      <c r="CL266" s="40">
        <v>906</v>
      </c>
      <c r="CM266" s="43">
        <v>904.9</v>
      </c>
      <c r="CN266" s="41">
        <v>1.1051</v>
      </c>
      <c r="CO266" s="33"/>
      <c r="CP266" s="40">
        <v>906</v>
      </c>
      <c r="CQ266" s="34">
        <v>0.99750000000000005</v>
      </c>
      <c r="CR266" s="41">
        <v>0.89059999999999995</v>
      </c>
      <c r="CS266" s="33"/>
      <c r="CT266" s="40">
        <v>906</v>
      </c>
      <c r="CU266" s="44">
        <v>292.05</v>
      </c>
      <c r="CV266" s="42">
        <v>6.9539999999999997</v>
      </c>
    </row>
    <row r="267" spans="4:100">
      <c r="D267" s="30">
        <v>25.7</v>
      </c>
      <c r="E267" s="31">
        <v>0.90010000000000001</v>
      </c>
      <c r="F267" s="32">
        <v>899.6</v>
      </c>
      <c r="G267" s="33"/>
      <c r="H267" s="30">
        <v>25.7</v>
      </c>
      <c r="I267" s="34">
        <v>3.7837999999999998</v>
      </c>
      <c r="J267" s="35">
        <v>0.15892000000000001</v>
      </c>
      <c r="L267" s="30">
        <v>25.7</v>
      </c>
      <c r="M267" s="172">
        <v>7.4950000000000001</v>
      </c>
      <c r="N267" s="173">
        <v>0.13341</v>
      </c>
      <c r="P267" s="30">
        <v>25.7</v>
      </c>
      <c r="Q267" s="172">
        <v>3.7477</v>
      </c>
      <c r="R267" s="173">
        <v>0.15740000000000001</v>
      </c>
      <c r="T267" s="30">
        <v>25.7</v>
      </c>
      <c r="U267" s="172">
        <v>266.83</v>
      </c>
      <c r="V267" s="173">
        <v>6.3529999999999998</v>
      </c>
      <c r="X267" s="30">
        <v>25.7</v>
      </c>
      <c r="Y267" s="34">
        <v>3.3462000000000001</v>
      </c>
      <c r="Z267" s="35">
        <v>0.14054</v>
      </c>
      <c r="AA267" s="36"/>
      <c r="AB267" s="30">
        <v>25.7</v>
      </c>
      <c r="AC267" s="44">
        <v>298.85000000000002</v>
      </c>
      <c r="AD267" s="35">
        <v>7.1150000000000002</v>
      </c>
      <c r="AE267" s="36"/>
      <c r="AF267" s="30">
        <v>25.7</v>
      </c>
      <c r="AG267" s="34">
        <v>3.3999000000000001</v>
      </c>
      <c r="AH267" s="35">
        <v>0.14279</v>
      </c>
      <c r="AI267" s="35"/>
      <c r="AJ267" s="35">
        <v>0.11761000000000001</v>
      </c>
      <c r="AK267" s="998">
        <v>59.3</v>
      </c>
      <c r="AM267" s="30">
        <v>25.7</v>
      </c>
      <c r="AN267" s="34">
        <v>1.0096000000000001</v>
      </c>
      <c r="AO267" s="35">
        <v>1.1308</v>
      </c>
      <c r="AQ267" s="197">
        <v>0.90700000000000003</v>
      </c>
      <c r="AR267" s="200">
        <v>24.51</v>
      </c>
      <c r="AS267" s="199">
        <v>906.5</v>
      </c>
      <c r="AZ267" s="197">
        <v>0.90700000000000003</v>
      </c>
      <c r="BA267" s="198">
        <v>7.5526999999999997</v>
      </c>
      <c r="BB267" s="199">
        <v>0.13239999999999999</v>
      </c>
      <c r="BD267" s="197">
        <v>0.90700000000000003</v>
      </c>
      <c r="BE267" s="198">
        <v>3.7764000000000002</v>
      </c>
      <c r="BF267" s="199">
        <v>0.15861</v>
      </c>
      <c r="BH267" s="197">
        <v>0.90700000000000003</v>
      </c>
      <c r="BI267" s="198">
        <v>264.8</v>
      </c>
      <c r="BJ267" s="199">
        <v>6.3049999999999997</v>
      </c>
      <c r="BL267" s="197">
        <v>0.90700000000000003</v>
      </c>
      <c r="BM267" s="198">
        <v>3.3717999999999999</v>
      </c>
      <c r="BN267" s="199">
        <v>0.14161000000000001</v>
      </c>
      <c r="BP267" s="197">
        <v>0.90700000000000003</v>
      </c>
      <c r="BQ267" s="200">
        <v>296.58</v>
      </c>
      <c r="BR267" s="199">
        <v>7.0609999999999999</v>
      </c>
      <c r="BT267" s="197">
        <v>0.90700000000000003</v>
      </c>
      <c r="BU267" s="201">
        <v>1.002</v>
      </c>
      <c r="BV267" s="202">
        <v>1.1222000000000001</v>
      </c>
      <c r="BX267" s="37">
        <v>907</v>
      </c>
      <c r="BY267" s="38">
        <v>0.90749999999999997</v>
      </c>
      <c r="BZ267" s="39">
        <v>24.42</v>
      </c>
      <c r="CA267" s="33"/>
      <c r="CB267" s="37">
        <v>907</v>
      </c>
      <c r="CC267" s="38">
        <v>0.15892000000000001</v>
      </c>
      <c r="CD267" s="42">
        <v>6.2919999999999998</v>
      </c>
      <c r="CE267" s="33"/>
      <c r="CF267" s="33"/>
      <c r="CG267" s="33"/>
      <c r="CH267" s="33"/>
      <c r="CI267" s="33"/>
      <c r="CJ267" s="33"/>
      <c r="CK267" s="33"/>
      <c r="CL267" s="40">
        <v>907</v>
      </c>
      <c r="CM267" s="43">
        <v>905.9</v>
      </c>
      <c r="CN267" s="41">
        <v>1.1039000000000001</v>
      </c>
      <c r="CO267" s="33"/>
      <c r="CP267" s="40">
        <v>907</v>
      </c>
      <c r="CQ267" s="34">
        <v>0.99860000000000004</v>
      </c>
      <c r="CR267" s="41">
        <v>0.89159999999999995</v>
      </c>
      <c r="CS267" s="33"/>
      <c r="CT267" s="40">
        <v>907</v>
      </c>
      <c r="CU267" s="44">
        <v>291.73</v>
      </c>
      <c r="CV267" s="42">
        <v>6.9459999999999997</v>
      </c>
    </row>
    <row r="268" spans="4:100">
      <c r="D268" s="30">
        <v>25.8</v>
      </c>
      <c r="E268" s="31">
        <v>0.89959999999999996</v>
      </c>
      <c r="F268" s="32">
        <v>899.1</v>
      </c>
      <c r="G268" s="33"/>
      <c r="H268" s="30">
        <v>25.8</v>
      </c>
      <c r="I268" s="34">
        <v>3.7837999999999998</v>
      </c>
      <c r="J268" s="35">
        <v>0.15892000000000001</v>
      </c>
      <c r="L268" s="30">
        <v>25.8</v>
      </c>
      <c r="M268" s="172">
        <v>7.4909999999999997</v>
      </c>
      <c r="N268" s="173">
        <v>0.13350000000000001</v>
      </c>
      <c r="P268" s="30">
        <v>25.8</v>
      </c>
      <c r="Q268" s="172">
        <v>3.7452999999999999</v>
      </c>
      <c r="R268" s="173">
        <v>0.1573</v>
      </c>
      <c r="T268" s="30">
        <v>25.8</v>
      </c>
      <c r="U268" s="172">
        <v>267</v>
      </c>
      <c r="V268" s="173">
        <v>6.3570000000000002</v>
      </c>
      <c r="X268" s="30">
        <v>25.8</v>
      </c>
      <c r="Y268" s="34">
        <v>3.3439999999999999</v>
      </c>
      <c r="Z268" s="35">
        <v>0.14044999999999999</v>
      </c>
      <c r="AA268" s="36"/>
      <c r="AB268" s="30">
        <v>25.8</v>
      </c>
      <c r="AC268" s="44">
        <v>299.04000000000002</v>
      </c>
      <c r="AD268" s="35">
        <v>7.12</v>
      </c>
      <c r="AE268" s="36"/>
      <c r="AF268" s="30">
        <v>25.8</v>
      </c>
      <c r="AG268" s="34">
        <v>3.3976999999999999</v>
      </c>
      <c r="AH268" s="35">
        <v>0.14269999999999999</v>
      </c>
      <c r="AI268" s="35"/>
      <c r="AJ268" s="35">
        <v>0.11768000000000001</v>
      </c>
      <c r="AK268" s="998">
        <v>59.2</v>
      </c>
      <c r="AM268" s="30">
        <v>25.8</v>
      </c>
      <c r="AN268" s="34">
        <v>1.0103</v>
      </c>
      <c r="AO268" s="35">
        <v>1.1315</v>
      </c>
      <c r="AQ268" s="197">
        <v>0.90800000000000003</v>
      </c>
      <c r="AR268" s="200">
        <v>24.34</v>
      </c>
      <c r="AS268" s="199">
        <v>907.5</v>
      </c>
      <c r="AZ268" s="197">
        <v>0.90800000000000003</v>
      </c>
      <c r="BA268" s="198">
        <v>7.5610999999999997</v>
      </c>
      <c r="BB268" s="199">
        <v>0.13225999999999999</v>
      </c>
      <c r="BD268" s="197">
        <v>0.90800000000000003</v>
      </c>
      <c r="BE268" s="198">
        <v>3.7805</v>
      </c>
      <c r="BF268" s="199">
        <v>0.15878</v>
      </c>
      <c r="BH268" s="197">
        <v>0.90800000000000003</v>
      </c>
      <c r="BI268" s="198">
        <v>264.51</v>
      </c>
      <c r="BJ268" s="199">
        <v>6.298</v>
      </c>
      <c r="BL268" s="197">
        <v>0.90800000000000003</v>
      </c>
      <c r="BM268" s="198">
        <v>3.3755000000000002</v>
      </c>
      <c r="BN268" s="199">
        <v>0.14177000000000001</v>
      </c>
      <c r="BP268" s="197">
        <v>0.90800000000000003</v>
      </c>
      <c r="BQ268" s="200">
        <v>296.25</v>
      </c>
      <c r="BR268" s="199">
        <v>7.0540000000000003</v>
      </c>
      <c r="BT268" s="197">
        <v>0.90800000000000003</v>
      </c>
      <c r="BU268" s="201">
        <v>1.0008999999999999</v>
      </c>
      <c r="BV268" s="202">
        <v>1.121</v>
      </c>
      <c r="BX268" s="37">
        <v>908</v>
      </c>
      <c r="BY268" s="38">
        <v>0.90849999999999997</v>
      </c>
      <c r="BZ268" s="39">
        <v>24.25</v>
      </c>
      <c r="CA268" s="33"/>
      <c r="CB268" s="37">
        <v>908</v>
      </c>
      <c r="CC268" s="38">
        <v>0.15892000000000001</v>
      </c>
      <c r="CD268" s="42">
        <v>6.2919999999999998</v>
      </c>
      <c r="CE268" s="33"/>
      <c r="CF268" s="33"/>
      <c r="CG268" s="33"/>
      <c r="CH268" s="33"/>
      <c r="CI268" s="33"/>
      <c r="CJ268" s="33"/>
      <c r="CK268" s="33"/>
      <c r="CL268" s="40">
        <v>908</v>
      </c>
      <c r="CM268" s="43">
        <v>906.9</v>
      </c>
      <c r="CN268" s="41">
        <v>1.1026</v>
      </c>
      <c r="CO268" s="33"/>
      <c r="CP268" s="40">
        <v>908</v>
      </c>
      <c r="CQ268" s="34">
        <v>0.99970000000000003</v>
      </c>
      <c r="CR268" s="41">
        <v>0.89259999999999995</v>
      </c>
      <c r="CS268" s="33"/>
      <c r="CT268" s="40">
        <v>908</v>
      </c>
      <c r="CU268" s="44">
        <v>291.41000000000003</v>
      </c>
      <c r="CV268" s="42">
        <v>6.9379999999999997</v>
      </c>
    </row>
    <row r="269" spans="4:100">
      <c r="D269" s="30">
        <v>25.9</v>
      </c>
      <c r="E269" s="31">
        <v>0.89900000000000002</v>
      </c>
      <c r="F269" s="32">
        <v>898.5</v>
      </c>
      <c r="G269" s="33"/>
      <c r="H269" s="30">
        <v>25.9</v>
      </c>
      <c r="I269" s="34">
        <v>3.7837999999999998</v>
      </c>
      <c r="J269" s="35">
        <v>0.15892000000000001</v>
      </c>
      <c r="L269" s="30">
        <v>25.9</v>
      </c>
      <c r="M269" s="172">
        <v>7.4859999999999998</v>
      </c>
      <c r="N269" s="173">
        <v>0.13358</v>
      </c>
      <c r="P269" s="30">
        <v>25.9</v>
      </c>
      <c r="Q269" s="172">
        <v>3.7429000000000001</v>
      </c>
      <c r="R269" s="173">
        <v>0.15720000000000001</v>
      </c>
      <c r="T269" s="30">
        <v>25.9</v>
      </c>
      <c r="U269" s="172">
        <v>267.17</v>
      </c>
      <c r="V269" s="173">
        <v>6.3610000000000104</v>
      </c>
      <c r="X269" s="30">
        <v>25.9</v>
      </c>
      <c r="Y269" s="34">
        <v>3.3418999999999999</v>
      </c>
      <c r="Z269" s="35">
        <v>0.14036000000000001</v>
      </c>
      <c r="AA269" s="36"/>
      <c r="AB269" s="30">
        <v>25.9</v>
      </c>
      <c r="AC269" s="44">
        <v>299.23</v>
      </c>
      <c r="AD269" s="35">
        <v>7.125</v>
      </c>
      <c r="AE269" s="36"/>
      <c r="AF269" s="30">
        <v>25.9</v>
      </c>
      <c r="AG269" s="34">
        <v>3.3955000000000002</v>
      </c>
      <c r="AH269" s="35">
        <v>0.14260999999999999</v>
      </c>
      <c r="AI269" s="35"/>
      <c r="AJ269" s="35">
        <v>0.11774</v>
      </c>
      <c r="AK269" s="998">
        <v>59.1</v>
      </c>
      <c r="AM269" s="30">
        <v>25.9</v>
      </c>
      <c r="AN269" s="34">
        <v>1.0108999999999999</v>
      </c>
      <c r="AO269" s="35">
        <v>1.1322000000000001</v>
      </c>
      <c r="AQ269" s="197">
        <v>0.90900000000000003</v>
      </c>
      <c r="AR269" s="200">
        <v>24.17</v>
      </c>
      <c r="AS269" s="199">
        <v>908.5</v>
      </c>
      <c r="AZ269" s="197">
        <v>0.90900000000000003</v>
      </c>
      <c r="BA269" s="198">
        <v>7.5693999999999999</v>
      </c>
      <c r="BB269" s="199">
        <v>0.13211000000000001</v>
      </c>
      <c r="BD269" s="197">
        <v>0.90900000000000003</v>
      </c>
      <c r="BE269" s="198">
        <v>3.7847</v>
      </c>
      <c r="BF269" s="199">
        <v>0.15895999999999999</v>
      </c>
      <c r="BH269" s="197">
        <v>0.90900000000000003</v>
      </c>
      <c r="BI269" s="198">
        <v>264.22000000000003</v>
      </c>
      <c r="BJ269" s="199">
        <v>6.2910000000000004</v>
      </c>
      <c r="BL269" s="197">
        <v>0.90900000000000003</v>
      </c>
      <c r="BM269" s="198">
        <v>3.3792</v>
      </c>
      <c r="BN269" s="199">
        <v>0.14193</v>
      </c>
      <c r="BP269" s="197">
        <v>0.90900000000000003</v>
      </c>
      <c r="BQ269" s="200">
        <v>295.93</v>
      </c>
      <c r="BR269" s="199">
        <v>7.0460000000000003</v>
      </c>
      <c r="BT269" s="197">
        <v>0.90900000000000003</v>
      </c>
      <c r="BU269" s="201">
        <v>0.99980000000000002</v>
      </c>
      <c r="BV269" s="202">
        <v>1.1196999999999999</v>
      </c>
      <c r="BX269" s="37">
        <v>909</v>
      </c>
      <c r="BY269" s="38">
        <v>0.90949999999999998</v>
      </c>
      <c r="BZ269" s="39">
        <v>24.08</v>
      </c>
      <c r="CA269" s="33"/>
      <c r="CB269" s="37">
        <v>909</v>
      </c>
      <c r="CC269" s="38">
        <v>0.15892000000000001</v>
      </c>
      <c r="CD269" s="42">
        <v>6.2919999999999998</v>
      </c>
      <c r="CE269" s="33"/>
      <c r="CF269" s="33"/>
      <c r="CG269" s="33"/>
      <c r="CH269" s="33"/>
      <c r="CI269" s="33"/>
      <c r="CJ269" s="33"/>
      <c r="CK269" s="33"/>
      <c r="CL269" s="40">
        <v>909</v>
      </c>
      <c r="CM269" s="43">
        <v>907.9</v>
      </c>
      <c r="CN269" s="41">
        <v>1.1013999999999999</v>
      </c>
      <c r="CO269" s="33"/>
      <c r="CP269" s="40">
        <v>909</v>
      </c>
      <c r="CQ269" s="34">
        <v>1.0007999999999999</v>
      </c>
      <c r="CR269" s="41">
        <v>0.89359999999999995</v>
      </c>
      <c r="CS269" s="33"/>
      <c r="CT269" s="40">
        <v>909</v>
      </c>
      <c r="CU269" s="44">
        <v>291.08999999999997</v>
      </c>
      <c r="CV269" s="42">
        <v>6.931</v>
      </c>
    </row>
    <row r="270" spans="4:100">
      <c r="D270" s="30">
        <v>26</v>
      </c>
      <c r="E270" s="31">
        <v>0.89839999999999998</v>
      </c>
      <c r="F270" s="32">
        <v>897.9</v>
      </c>
      <c r="G270" s="33"/>
      <c r="H270" s="30">
        <v>26</v>
      </c>
      <c r="I270" s="34">
        <v>3.7837999999999998</v>
      </c>
      <c r="J270" s="35">
        <v>0.15892000000000001</v>
      </c>
      <c r="L270" s="30">
        <v>26</v>
      </c>
      <c r="M270" s="172">
        <v>7.4809999999999999</v>
      </c>
      <c r="N270" s="173">
        <v>0.13367000000000001</v>
      </c>
      <c r="P270" s="30">
        <v>26</v>
      </c>
      <c r="Q270" s="172">
        <v>3.7406000000000001</v>
      </c>
      <c r="R270" s="173">
        <v>0.15709999999999999</v>
      </c>
      <c r="T270" s="30">
        <v>26</v>
      </c>
      <c r="U270" s="172">
        <v>267.33999999999997</v>
      </c>
      <c r="V270" s="173">
        <v>6.36500000000001</v>
      </c>
      <c r="X270" s="30">
        <v>26</v>
      </c>
      <c r="Y270" s="34">
        <v>3.3397999999999999</v>
      </c>
      <c r="Z270" s="35">
        <v>0.14027000000000001</v>
      </c>
      <c r="AA270" s="36"/>
      <c r="AB270" s="30">
        <v>26</v>
      </c>
      <c r="AC270" s="44">
        <v>299.42</v>
      </c>
      <c r="AD270" s="35">
        <v>7.1289999999999996</v>
      </c>
      <c r="AE270" s="36"/>
      <c r="AF270" s="30">
        <v>26</v>
      </c>
      <c r="AG270" s="34">
        <v>3.3934000000000002</v>
      </c>
      <c r="AH270" s="35">
        <v>0.14252000000000001</v>
      </c>
      <c r="AI270" s="35"/>
      <c r="AJ270" s="35">
        <v>0.1178</v>
      </c>
      <c r="AK270" s="998">
        <v>59</v>
      </c>
      <c r="AM270" s="30">
        <v>26</v>
      </c>
      <c r="AN270" s="34">
        <v>1.0116000000000001</v>
      </c>
      <c r="AO270" s="35">
        <v>1.1329</v>
      </c>
      <c r="AQ270" s="197">
        <v>0.91</v>
      </c>
      <c r="AR270" s="200">
        <v>23.99</v>
      </c>
      <c r="AS270" s="199">
        <v>909.5</v>
      </c>
      <c r="AZ270" s="197">
        <v>0.91</v>
      </c>
      <c r="BA270" s="198">
        <v>7.5777999999999999</v>
      </c>
      <c r="BB270" s="199">
        <v>0.13197</v>
      </c>
      <c r="BD270" s="197">
        <v>0.91</v>
      </c>
      <c r="BE270" s="198">
        <v>3.7888999999999999</v>
      </c>
      <c r="BF270" s="199">
        <v>0.15912999999999999</v>
      </c>
      <c r="BH270" s="197">
        <v>0.91</v>
      </c>
      <c r="BI270" s="198">
        <v>263.93</v>
      </c>
      <c r="BJ270" s="199">
        <v>6.2839999999999998</v>
      </c>
      <c r="BL270" s="197">
        <v>0.91</v>
      </c>
      <c r="BM270" s="198">
        <v>3.3828999999999998</v>
      </c>
      <c r="BN270" s="199">
        <v>0.14208000000000001</v>
      </c>
      <c r="BP270" s="197">
        <v>0.91</v>
      </c>
      <c r="BQ270" s="200">
        <v>295.60000000000002</v>
      </c>
      <c r="BR270" s="199">
        <v>7.0380000000000003</v>
      </c>
      <c r="BT270" s="197">
        <v>0.91</v>
      </c>
      <c r="BU270" s="201">
        <v>0.99870000000000003</v>
      </c>
      <c r="BV270" s="202">
        <v>1.1185</v>
      </c>
      <c r="BX270" s="37">
        <v>910</v>
      </c>
      <c r="BY270" s="38">
        <v>0.91049999999999998</v>
      </c>
      <c r="BZ270" s="39">
        <v>23.91</v>
      </c>
      <c r="CA270" s="33"/>
      <c r="CB270" s="37">
        <v>910</v>
      </c>
      <c r="CC270" s="38">
        <v>0.15892000000000001</v>
      </c>
      <c r="CD270" s="42">
        <v>6.2919999999999998</v>
      </c>
      <c r="CE270" s="33"/>
      <c r="CF270" s="33"/>
      <c r="CG270" s="33"/>
      <c r="CH270" s="33"/>
      <c r="CI270" s="33"/>
      <c r="CJ270" s="33"/>
      <c r="CK270" s="33"/>
      <c r="CL270" s="40">
        <v>910</v>
      </c>
      <c r="CM270" s="43">
        <v>908.9</v>
      </c>
      <c r="CN270" s="41">
        <v>1.1002000000000001</v>
      </c>
      <c r="CO270" s="33"/>
      <c r="CP270" s="40">
        <v>910</v>
      </c>
      <c r="CQ270" s="34">
        <v>1.0019</v>
      </c>
      <c r="CR270" s="41">
        <v>0.89459999999999995</v>
      </c>
      <c r="CS270" s="33"/>
      <c r="CT270" s="40">
        <v>910</v>
      </c>
      <c r="CU270" s="44">
        <v>290.77</v>
      </c>
      <c r="CV270" s="42">
        <v>6.923</v>
      </c>
    </row>
    <row r="271" spans="4:100">
      <c r="D271" s="30">
        <v>26.1</v>
      </c>
      <c r="E271" s="31">
        <v>0.89780000000000004</v>
      </c>
      <c r="F271" s="32">
        <v>897.3</v>
      </c>
      <c r="G271" s="33"/>
      <c r="H271" s="30">
        <v>26.1</v>
      </c>
      <c r="I271" s="34">
        <v>3.7837999999999998</v>
      </c>
      <c r="J271" s="35">
        <v>0.15892000000000001</v>
      </c>
      <c r="L271" s="30">
        <v>26.1</v>
      </c>
      <c r="M271" s="172">
        <v>7.476</v>
      </c>
      <c r="N271" s="173">
        <v>0.13375000000000001</v>
      </c>
      <c r="P271" s="30">
        <v>26.1</v>
      </c>
      <c r="Q271" s="172">
        <v>3.7382</v>
      </c>
      <c r="R271" s="173">
        <v>0.157</v>
      </c>
      <c r="T271" s="30">
        <v>26.1</v>
      </c>
      <c r="U271" s="172">
        <v>267.51000000000101</v>
      </c>
      <c r="V271" s="173">
        <v>6.3690000000000104</v>
      </c>
      <c r="X271" s="30">
        <v>26.1</v>
      </c>
      <c r="Y271" s="34">
        <v>3.3376999999999999</v>
      </c>
      <c r="Z271" s="35">
        <v>0.14018</v>
      </c>
      <c r="AA271" s="36"/>
      <c r="AB271" s="30">
        <v>26.1</v>
      </c>
      <c r="AC271" s="44">
        <v>299.61</v>
      </c>
      <c r="AD271" s="35">
        <v>7.1340000000000003</v>
      </c>
      <c r="AE271" s="36"/>
      <c r="AF271" s="30">
        <v>26.1</v>
      </c>
      <c r="AG271" s="34">
        <v>3.3912</v>
      </c>
      <c r="AH271" s="35">
        <v>0.14243</v>
      </c>
      <c r="AI271" s="35"/>
      <c r="AJ271" s="35">
        <v>0.11786000000000001</v>
      </c>
      <c r="AK271" s="998">
        <v>58.9</v>
      </c>
      <c r="AM271" s="30">
        <v>26.1</v>
      </c>
      <c r="AN271" s="34">
        <v>1.0122</v>
      </c>
      <c r="AO271" s="35">
        <v>1.1336999999999999</v>
      </c>
      <c r="AQ271" s="197">
        <v>0.91100000000000003</v>
      </c>
      <c r="AR271" s="200">
        <v>23.82</v>
      </c>
      <c r="AS271" s="199">
        <v>910.5</v>
      </c>
      <c r="AZ271" s="197">
        <v>0.91100000000000003</v>
      </c>
      <c r="BA271" s="198">
        <v>7.5861000000000001</v>
      </c>
      <c r="BB271" s="199">
        <v>0.13181999999999999</v>
      </c>
      <c r="BD271" s="197">
        <v>0.91100000000000003</v>
      </c>
      <c r="BE271" s="198">
        <v>3.7930000000000001</v>
      </c>
      <c r="BF271" s="199">
        <v>0.15931000000000001</v>
      </c>
      <c r="BH271" s="197">
        <v>0.91100000000000003</v>
      </c>
      <c r="BI271" s="198">
        <v>263.64</v>
      </c>
      <c r="BJ271" s="199">
        <v>6.2770000000000001</v>
      </c>
      <c r="BL271" s="197">
        <v>0.91100000000000003</v>
      </c>
      <c r="BM271" s="198">
        <v>3.3866000000000001</v>
      </c>
      <c r="BN271" s="199">
        <v>0.14224000000000001</v>
      </c>
      <c r="BP271" s="197">
        <v>0.91100000000000003</v>
      </c>
      <c r="BQ271" s="200">
        <v>295.27999999999997</v>
      </c>
      <c r="BR271" s="199">
        <v>7.03</v>
      </c>
      <c r="BT271" s="197">
        <v>0.91100000000000003</v>
      </c>
      <c r="BU271" s="201">
        <v>0.99760000000000004</v>
      </c>
      <c r="BV271" s="202">
        <v>1.1173</v>
      </c>
      <c r="BX271" s="37">
        <v>911</v>
      </c>
      <c r="BY271" s="38">
        <v>0.91149999999999998</v>
      </c>
      <c r="BZ271" s="39">
        <v>23.74</v>
      </c>
      <c r="CA271" s="33"/>
      <c r="CB271" s="37">
        <v>911</v>
      </c>
      <c r="CC271" s="38">
        <v>0.15892000000000001</v>
      </c>
      <c r="CD271" s="42">
        <v>6.2919999999999998</v>
      </c>
      <c r="CE271" s="33"/>
      <c r="CF271" s="33"/>
      <c r="CG271" s="33"/>
      <c r="CH271" s="33"/>
      <c r="CI271" s="33"/>
      <c r="CJ271" s="33"/>
      <c r="CK271" s="33"/>
      <c r="CL271" s="40">
        <v>911</v>
      </c>
      <c r="CM271" s="43">
        <v>909.9</v>
      </c>
      <c r="CN271" s="41">
        <v>1.099</v>
      </c>
      <c r="CO271" s="33"/>
      <c r="CP271" s="40">
        <v>911</v>
      </c>
      <c r="CQ271" s="34">
        <v>1.0029999999999999</v>
      </c>
      <c r="CR271" s="41">
        <v>0.89549999999999996</v>
      </c>
      <c r="CS271" s="33"/>
      <c r="CT271" s="40">
        <v>911</v>
      </c>
      <c r="CU271" s="44">
        <v>290.45</v>
      </c>
      <c r="CV271" s="42">
        <v>6.915</v>
      </c>
    </row>
    <row r="272" spans="4:100">
      <c r="D272" s="30">
        <v>26.2</v>
      </c>
      <c r="E272" s="31">
        <v>0.89729999999999999</v>
      </c>
      <c r="F272" s="32">
        <v>896.8</v>
      </c>
      <c r="G272" s="33"/>
      <c r="H272" s="30">
        <v>26.2</v>
      </c>
      <c r="I272" s="34">
        <v>3.7837999999999998</v>
      </c>
      <c r="J272" s="35">
        <v>0.15892000000000001</v>
      </c>
      <c r="L272" s="30">
        <v>26.2</v>
      </c>
      <c r="M272" s="172">
        <v>7.4720000000000004</v>
      </c>
      <c r="N272" s="173">
        <v>0.13383999999999999</v>
      </c>
      <c r="P272" s="30">
        <v>26.2</v>
      </c>
      <c r="Q272" s="172">
        <v>3.7357999999999998</v>
      </c>
      <c r="R272" s="173">
        <v>0.15690000000000001</v>
      </c>
      <c r="T272" s="30">
        <v>26.2</v>
      </c>
      <c r="U272" s="172">
        <v>267.68000000000097</v>
      </c>
      <c r="V272" s="173">
        <v>6.37300000000001</v>
      </c>
      <c r="X272" s="30">
        <v>26.2</v>
      </c>
      <c r="Y272" s="34">
        <v>3.3355999999999999</v>
      </c>
      <c r="Z272" s="35">
        <v>0.14008999999999999</v>
      </c>
      <c r="AA272" s="36"/>
      <c r="AB272" s="30">
        <v>26.2</v>
      </c>
      <c r="AC272" s="44">
        <v>299.8</v>
      </c>
      <c r="AD272" s="35">
        <v>7.1379999999999999</v>
      </c>
      <c r="AE272" s="36"/>
      <c r="AF272" s="30">
        <v>26.2</v>
      </c>
      <c r="AG272" s="34">
        <v>3.3891</v>
      </c>
      <c r="AH272" s="35">
        <v>0.14233999999999999</v>
      </c>
      <c r="AI272" s="35"/>
      <c r="AJ272" s="35">
        <v>0.11792</v>
      </c>
      <c r="AK272" s="998">
        <v>58.8</v>
      </c>
      <c r="AM272" s="30">
        <v>26.2</v>
      </c>
      <c r="AN272" s="34">
        <v>1.0127999999999999</v>
      </c>
      <c r="AO272" s="35">
        <v>1.1344000000000001</v>
      </c>
      <c r="AQ272" s="197">
        <v>0.91200000000000003</v>
      </c>
      <c r="AR272" s="200">
        <v>23.65</v>
      </c>
      <c r="AS272" s="199">
        <v>911.5</v>
      </c>
      <c r="AZ272" s="197">
        <v>0.91200000000000003</v>
      </c>
      <c r="BA272" s="198">
        <v>7.5944000000000003</v>
      </c>
      <c r="BB272" s="199">
        <v>0.13167999999999999</v>
      </c>
      <c r="BD272" s="197">
        <v>0.91200000000000003</v>
      </c>
      <c r="BE272" s="198">
        <v>3.7972000000000001</v>
      </c>
      <c r="BF272" s="199">
        <v>0.15948000000000001</v>
      </c>
      <c r="BH272" s="197">
        <v>0.91200000000000003</v>
      </c>
      <c r="BI272" s="198">
        <v>263.35000000000002</v>
      </c>
      <c r="BJ272" s="199">
        <v>6.27</v>
      </c>
      <c r="BL272" s="197">
        <v>0.91200000000000003</v>
      </c>
      <c r="BM272" s="198">
        <v>3.3904000000000001</v>
      </c>
      <c r="BN272" s="199">
        <v>0.1424</v>
      </c>
      <c r="BP272" s="197">
        <v>0.91200000000000003</v>
      </c>
      <c r="BQ272" s="200">
        <v>294.95</v>
      </c>
      <c r="BR272" s="199">
        <v>7.0229999999999997</v>
      </c>
      <c r="BT272" s="197">
        <v>0.91200000000000003</v>
      </c>
      <c r="BU272" s="201">
        <v>0.99650000000000005</v>
      </c>
      <c r="BV272" s="202">
        <v>1.1160000000000001</v>
      </c>
      <c r="BX272" s="37">
        <v>912</v>
      </c>
      <c r="BY272" s="38">
        <v>0.91249999999999998</v>
      </c>
      <c r="BZ272" s="39">
        <v>23.57</v>
      </c>
      <c r="CA272" s="33"/>
      <c r="CB272" s="37">
        <v>912</v>
      </c>
      <c r="CC272" s="38">
        <v>0.15892000000000001</v>
      </c>
      <c r="CD272" s="42">
        <v>6.2919999999999998</v>
      </c>
      <c r="CE272" s="33"/>
      <c r="CF272" s="33"/>
      <c r="CG272" s="33"/>
      <c r="CH272" s="33"/>
      <c r="CI272" s="33"/>
      <c r="CJ272" s="33"/>
      <c r="CK272" s="33"/>
      <c r="CL272" s="40">
        <v>912</v>
      </c>
      <c r="CM272" s="43">
        <v>910.9</v>
      </c>
      <c r="CN272" s="41">
        <v>1.0978000000000001</v>
      </c>
      <c r="CO272" s="33"/>
      <c r="CP272" s="40">
        <v>912</v>
      </c>
      <c r="CQ272" s="34">
        <v>1.0041</v>
      </c>
      <c r="CR272" s="41">
        <v>0.89649999999999996</v>
      </c>
      <c r="CS272" s="33"/>
      <c r="CT272" s="40">
        <v>912</v>
      </c>
      <c r="CU272" s="44">
        <v>290.13</v>
      </c>
      <c r="CV272" s="42">
        <v>6.9080000000000004</v>
      </c>
    </row>
    <row r="273" spans="4:100">
      <c r="D273" s="30">
        <v>26.3</v>
      </c>
      <c r="E273" s="31">
        <v>0.89670000000000005</v>
      </c>
      <c r="F273" s="32">
        <v>896.2</v>
      </c>
      <c r="G273" s="33"/>
      <c r="H273" s="30">
        <v>26.3</v>
      </c>
      <c r="I273" s="34">
        <v>3.7837999999999998</v>
      </c>
      <c r="J273" s="35">
        <v>0.15892000000000001</v>
      </c>
      <c r="L273" s="30">
        <v>26.3</v>
      </c>
      <c r="M273" s="172">
        <v>7.4669999999999996</v>
      </c>
      <c r="N273" s="173">
        <v>0.13392000000000001</v>
      </c>
      <c r="P273" s="30">
        <v>26.3</v>
      </c>
      <c r="Q273" s="172">
        <v>3.7334000000000001</v>
      </c>
      <c r="R273" s="173">
        <v>0.15679999999999999</v>
      </c>
      <c r="T273" s="30">
        <v>26.3</v>
      </c>
      <c r="U273" s="172">
        <v>267.85000000000099</v>
      </c>
      <c r="V273" s="173">
        <v>6.3770000000000104</v>
      </c>
      <c r="X273" s="30">
        <v>26.3</v>
      </c>
      <c r="Y273" s="34">
        <v>3.3334000000000001</v>
      </c>
      <c r="Z273" s="35">
        <v>0.14000000000000001</v>
      </c>
      <c r="AA273" s="36"/>
      <c r="AB273" s="30">
        <v>26.3</v>
      </c>
      <c r="AC273" s="44">
        <v>299.99</v>
      </c>
      <c r="AD273" s="35">
        <v>7.1429999999999998</v>
      </c>
      <c r="AE273" s="36"/>
      <c r="AF273" s="30">
        <v>26.3</v>
      </c>
      <c r="AG273" s="34">
        <v>3.3868999999999998</v>
      </c>
      <c r="AH273" s="35">
        <v>0.14224999999999999</v>
      </c>
      <c r="AI273" s="35"/>
      <c r="AJ273" s="35">
        <v>0.11799</v>
      </c>
      <c r="AK273" s="998">
        <v>58.7</v>
      </c>
      <c r="AM273" s="30">
        <v>26.3</v>
      </c>
      <c r="AN273" s="34">
        <v>1.0135000000000001</v>
      </c>
      <c r="AO273" s="35">
        <v>1.1351</v>
      </c>
      <c r="AQ273" s="197">
        <v>0.91300000000000003</v>
      </c>
      <c r="AR273" s="200">
        <v>23.48</v>
      </c>
      <c r="AS273" s="199">
        <v>912.5</v>
      </c>
      <c r="AZ273" s="197">
        <v>0.91300000000000003</v>
      </c>
      <c r="BA273" s="198">
        <v>7.6028000000000002</v>
      </c>
      <c r="BB273" s="199">
        <v>0.13153000000000001</v>
      </c>
      <c r="BD273" s="197">
        <v>0.91300000000000003</v>
      </c>
      <c r="BE273" s="198">
        <v>3.8014000000000001</v>
      </c>
      <c r="BF273" s="199">
        <v>0.15966</v>
      </c>
      <c r="BH273" s="197">
        <v>0.91300000000000003</v>
      </c>
      <c r="BI273" s="198">
        <v>263.06</v>
      </c>
      <c r="BJ273" s="199">
        <v>6.2629999999999999</v>
      </c>
      <c r="BL273" s="197">
        <v>0.91300000000000003</v>
      </c>
      <c r="BM273" s="198">
        <v>3.3940999999999999</v>
      </c>
      <c r="BN273" s="199">
        <v>0.14255000000000001</v>
      </c>
      <c r="BP273" s="197">
        <v>0.91300000000000003</v>
      </c>
      <c r="BQ273" s="200">
        <v>294.63</v>
      </c>
      <c r="BR273" s="199">
        <v>7.0149999999999997</v>
      </c>
      <c r="BT273" s="197">
        <v>0.91300000000000003</v>
      </c>
      <c r="BU273" s="201">
        <v>0.99539999999999995</v>
      </c>
      <c r="BV273" s="202">
        <v>1.1148</v>
      </c>
      <c r="BX273" s="37">
        <v>913</v>
      </c>
      <c r="BY273" s="38">
        <v>0.91349999999999998</v>
      </c>
      <c r="BZ273" s="39">
        <v>23.4</v>
      </c>
      <c r="CA273" s="33"/>
      <c r="CB273" s="37">
        <v>913</v>
      </c>
      <c r="CC273" s="38">
        <v>0.15892000000000001</v>
      </c>
      <c r="CD273" s="42">
        <v>6.2919999999999998</v>
      </c>
      <c r="CE273" s="33"/>
      <c r="CF273" s="33"/>
      <c r="CG273" s="33"/>
      <c r="CH273" s="33"/>
      <c r="CI273" s="33"/>
      <c r="CJ273" s="33"/>
      <c r="CK273" s="33"/>
      <c r="CL273" s="40">
        <v>913</v>
      </c>
      <c r="CM273" s="43">
        <v>911.9</v>
      </c>
      <c r="CN273" s="41">
        <v>1.0966</v>
      </c>
      <c r="CO273" s="33"/>
      <c r="CP273" s="40">
        <v>913</v>
      </c>
      <c r="CQ273" s="34">
        <v>1.0052000000000001</v>
      </c>
      <c r="CR273" s="41">
        <v>0.89749999999999996</v>
      </c>
      <c r="CS273" s="33"/>
      <c r="CT273" s="40">
        <v>913</v>
      </c>
      <c r="CU273" s="44">
        <v>289.81</v>
      </c>
      <c r="CV273" s="42">
        <v>6.9</v>
      </c>
    </row>
    <row r="274" spans="4:100">
      <c r="D274" s="30">
        <v>26.4</v>
      </c>
      <c r="E274" s="31">
        <v>0.89610000000000001</v>
      </c>
      <c r="F274" s="32">
        <v>895.6</v>
      </c>
      <c r="G274" s="33"/>
      <c r="H274" s="30">
        <v>26.4</v>
      </c>
      <c r="I274" s="34">
        <v>3.7837999999999998</v>
      </c>
      <c r="J274" s="35">
        <v>0.15892000000000001</v>
      </c>
      <c r="L274" s="30">
        <v>26.4</v>
      </c>
      <c r="M274" s="172">
        <v>7.4619999999999997</v>
      </c>
      <c r="N274" s="173">
        <v>0.13400999999999999</v>
      </c>
      <c r="P274" s="30">
        <v>26.4</v>
      </c>
      <c r="Q274" s="172">
        <v>3.7311000000000001</v>
      </c>
      <c r="R274" s="173">
        <v>0.15670999999999999</v>
      </c>
      <c r="T274" s="30">
        <v>26.4</v>
      </c>
      <c r="U274" s="172">
        <v>268.020000000001</v>
      </c>
      <c r="V274" s="173">
        <v>6.38100000000001</v>
      </c>
      <c r="X274" s="30">
        <v>26.4</v>
      </c>
      <c r="Y274" s="34">
        <v>3.3313000000000001</v>
      </c>
      <c r="Z274" s="35">
        <v>0.13991999999999999</v>
      </c>
      <c r="AA274" s="36"/>
      <c r="AB274" s="30">
        <v>26.4</v>
      </c>
      <c r="AC274" s="44">
        <v>300.18</v>
      </c>
      <c r="AD274" s="35">
        <v>7.1470000000000002</v>
      </c>
      <c r="AE274" s="36"/>
      <c r="AF274" s="30">
        <v>26.4</v>
      </c>
      <c r="AG274" s="34">
        <v>3.3847999999999998</v>
      </c>
      <c r="AH274" s="35">
        <v>0.14216000000000001</v>
      </c>
      <c r="AI274" s="35"/>
      <c r="AJ274" s="35">
        <v>0.11805</v>
      </c>
      <c r="AK274" s="998">
        <v>58.6</v>
      </c>
      <c r="AM274" s="30">
        <v>26.4</v>
      </c>
      <c r="AN274" s="34">
        <v>1.0141</v>
      </c>
      <c r="AO274" s="35">
        <v>1.1357999999999999</v>
      </c>
      <c r="AQ274" s="197">
        <v>0.91400000000000003</v>
      </c>
      <c r="AR274" s="200">
        <v>23.31</v>
      </c>
      <c r="AS274" s="199">
        <v>913.5</v>
      </c>
      <c r="AZ274" s="197">
        <v>0.91400000000000003</v>
      </c>
      <c r="BA274" s="198">
        <v>7.6111000000000004</v>
      </c>
      <c r="BB274" s="199">
        <v>0.13139000000000001</v>
      </c>
      <c r="BD274" s="197">
        <v>0.91400000000000003</v>
      </c>
      <c r="BE274" s="198">
        <v>3.8056000000000001</v>
      </c>
      <c r="BF274" s="199">
        <v>0.15983</v>
      </c>
      <c r="BH274" s="197">
        <v>0.91400000000000003</v>
      </c>
      <c r="BI274" s="198">
        <v>262.77</v>
      </c>
      <c r="BJ274" s="199">
        <v>6.2569999999999997</v>
      </c>
      <c r="BL274" s="197">
        <v>0.91400000000000003</v>
      </c>
      <c r="BM274" s="198">
        <v>3.3978000000000002</v>
      </c>
      <c r="BN274" s="199">
        <v>0.14271</v>
      </c>
      <c r="BP274" s="197">
        <v>0.91400000000000003</v>
      </c>
      <c r="BQ274" s="200">
        <v>294.31</v>
      </c>
      <c r="BR274" s="199">
        <v>7.0069999999999997</v>
      </c>
      <c r="BT274" s="197">
        <v>0.91400000000000003</v>
      </c>
      <c r="BU274" s="201">
        <v>0.99429999999999996</v>
      </c>
      <c r="BV274" s="202">
        <v>1.1135999999999999</v>
      </c>
      <c r="BX274" s="37">
        <v>914</v>
      </c>
      <c r="BY274" s="38">
        <v>0.91449999999999998</v>
      </c>
      <c r="BZ274" s="39">
        <v>23.23</v>
      </c>
      <c r="CA274" s="33"/>
      <c r="CB274" s="37">
        <v>914</v>
      </c>
      <c r="CC274" s="38">
        <v>0.15892000000000001</v>
      </c>
      <c r="CD274" s="42">
        <v>6.2919999999999998</v>
      </c>
      <c r="CE274" s="33"/>
      <c r="CF274" s="33"/>
      <c r="CG274" s="33"/>
      <c r="CH274" s="33"/>
      <c r="CI274" s="33"/>
      <c r="CJ274" s="33"/>
      <c r="CK274" s="33"/>
      <c r="CL274" s="40">
        <v>914</v>
      </c>
      <c r="CM274" s="43">
        <v>912.9</v>
      </c>
      <c r="CN274" s="41">
        <v>1.0953999999999999</v>
      </c>
      <c r="CO274" s="33"/>
      <c r="CP274" s="40">
        <v>914</v>
      </c>
      <c r="CQ274" s="34">
        <v>1.0063</v>
      </c>
      <c r="CR274" s="41">
        <v>0.89849999999999997</v>
      </c>
      <c r="CS274" s="33"/>
      <c r="CT274" s="40">
        <v>914</v>
      </c>
      <c r="CU274" s="44">
        <v>289.49</v>
      </c>
      <c r="CV274" s="42">
        <v>6.8929999999999998</v>
      </c>
    </row>
    <row r="275" spans="4:100">
      <c r="D275" s="30">
        <v>26.5</v>
      </c>
      <c r="E275" s="31">
        <v>0.89559999999999995</v>
      </c>
      <c r="F275" s="32">
        <v>895.1</v>
      </c>
      <c r="G275" s="33"/>
      <c r="H275" s="30">
        <v>26.5</v>
      </c>
      <c r="I275" s="34">
        <v>3.7837999999999998</v>
      </c>
      <c r="J275" s="35">
        <v>0.15892000000000001</v>
      </c>
      <c r="L275" s="30">
        <v>26.5</v>
      </c>
      <c r="M275" s="172">
        <v>7.4569999999999999</v>
      </c>
      <c r="N275" s="173">
        <v>0.13408999999999999</v>
      </c>
      <c r="P275" s="30">
        <v>26.5</v>
      </c>
      <c r="Q275" s="172">
        <v>3.7286999999999999</v>
      </c>
      <c r="R275" s="173">
        <v>0.15661</v>
      </c>
      <c r="T275" s="30">
        <v>26.5</v>
      </c>
      <c r="U275" s="172">
        <v>268.19000000000102</v>
      </c>
      <c r="V275" s="173">
        <v>6.3850000000000096</v>
      </c>
      <c r="X275" s="30">
        <v>26.5</v>
      </c>
      <c r="Y275" s="34">
        <v>3.3292000000000002</v>
      </c>
      <c r="Z275" s="35">
        <v>0.13983000000000001</v>
      </c>
      <c r="AA275" s="36"/>
      <c r="AB275" s="30">
        <v>26.5</v>
      </c>
      <c r="AC275" s="44">
        <v>300.37</v>
      </c>
      <c r="AD275" s="35">
        <v>7.1520000000000001</v>
      </c>
      <c r="AE275" s="36"/>
      <c r="AF275" s="30">
        <v>26.5</v>
      </c>
      <c r="AG275" s="34">
        <v>3.3826000000000001</v>
      </c>
      <c r="AH275" s="35">
        <v>0.14207</v>
      </c>
      <c r="AI275" s="35"/>
      <c r="AJ275" s="35">
        <v>0.11811000000000001</v>
      </c>
      <c r="AK275" s="998">
        <v>58.5</v>
      </c>
      <c r="AM275" s="30">
        <v>26.5</v>
      </c>
      <c r="AN275" s="34">
        <v>1.0147999999999999</v>
      </c>
      <c r="AO275" s="35">
        <v>1.1365000000000001</v>
      </c>
      <c r="AQ275" s="197">
        <v>0.91500000000000004</v>
      </c>
      <c r="AR275" s="200">
        <v>23.14</v>
      </c>
      <c r="AS275" s="199">
        <v>914.5</v>
      </c>
      <c r="AZ275" s="197">
        <v>0.91500000000000004</v>
      </c>
      <c r="BA275" s="198">
        <v>7.6193999999999997</v>
      </c>
      <c r="BB275" s="199">
        <v>0.13124</v>
      </c>
      <c r="BD275" s="197">
        <v>0.91500000000000004</v>
      </c>
      <c r="BE275" s="198">
        <v>3.8096999999999999</v>
      </c>
      <c r="BF275" s="199">
        <v>0.16001000000000001</v>
      </c>
      <c r="BH275" s="197">
        <v>0.91500000000000004</v>
      </c>
      <c r="BI275" s="198">
        <v>262.49</v>
      </c>
      <c r="BJ275" s="199">
        <v>6.25</v>
      </c>
      <c r="BL275" s="197">
        <v>0.91500000000000004</v>
      </c>
      <c r="BM275" s="198">
        <v>3.4015</v>
      </c>
      <c r="BN275" s="199">
        <v>0.14285999999999999</v>
      </c>
      <c r="BP275" s="197">
        <v>0.91500000000000004</v>
      </c>
      <c r="BQ275" s="200">
        <v>293.98</v>
      </c>
      <c r="BR275" s="199">
        <v>7</v>
      </c>
      <c r="BT275" s="197">
        <v>0.91500000000000004</v>
      </c>
      <c r="BU275" s="201">
        <v>0.99319999999999997</v>
      </c>
      <c r="BV275" s="202">
        <v>1.1124000000000001</v>
      </c>
      <c r="BX275" s="37">
        <v>915</v>
      </c>
      <c r="BY275" s="38">
        <v>0.91549999999999998</v>
      </c>
      <c r="BZ275" s="39">
        <v>23.06</v>
      </c>
      <c r="CA275" s="33"/>
      <c r="CB275" s="37">
        <v>915</v>
      </c>
      <c r="CC275" s="38">
        <v>0.15892000000000001</v>
      </c>
      <c r="CD275" s="42">
        <v>6.2919999999999998</v>
      </c>
      <c r="CE275" s="33"/>
      <c r="CF275" s="33"/>
      <c r="CG275" s="33"/>
      <c r="CH275" s="33"/>
      <c r="CI275" s="33"/>
      <c r="CJ275" s="33"/>
      <c r="CK275" s="33"/>
      <c r="CL275" s="40">
        <v>915</v>
      </c>
      <c r="CM275" s="43">
        <v>913.9</v>
      </c>
      <c r="CN275" s="41">
        <v>1.0942000000000001</v>
      </c>
      <c r="CO275" s="33"/>
      <c r="CP275" s="40">
        <v>915</v>
      </c>
      <c r="CQ275" s="34">
        <v>1.0074000000000001</v>
      </c>
      <c r="CR275" s="41">
        <v>0.89949999999999997</v>
      </c>
      <c r="CS275" s="33"/>
      <c r="CT275" s="40">
        <v>915</v>
      </c>
      <c r="CU275" s="44">
        <v>289.17</v>
      </c>
      <c r="CV275" s="42">
        <v>6.8849999999999998</v>
      </c>
    </row>
    <row r="276" spans="4:100">
      <c r="D276" s="30">
        <v>26.6</v>
      </c>
      <c r="E276" s="31">
        <v>0.89500000000000002</v>
      </c>
      <c r="F276" s="32">
        <v>894.5</v>
      </c>
      <c r="G276" s="33"/>
      <c r="H276" s="30">
        <v>26.6</v>
      </c>
      <c r="I276" s="34">
        <v>3.7837999999999998</v>
      </c>
      <c r="J276" s="35">
        <v>0.15892000000000001</v>
      </c>
      <c r="L276" s="30">
        <v>26.6</v>
      </c>
      <c r="M276" s="172">
        <v>7.4530000000000003</v>
      </c>
      <c r="N276" s="173">
        <v>0.13417999999999999</v>
      </c>
      <c r="P276" s="30">
        <v>26.6</v>
      </c>
      <c r="Q276" s="172">
        <v>3.7263999999999999</v>
      </c>
      <c r="R276" s="173">
        <v>0.15651000000000001</v>
      </c>
      <c r="T276" s="30">
        <v>26.6</v>
      </c>
      <c r="U276" s="172">
        <v>268.36000000000098</v>
      </c>
      <c r="V276" s="173">
        <v>6.38900000000001</v>
      </c>
      <c r="X276" s="30">
        <v>26.6</v>
      </c>
      <c r="Y276" s="34">
        <v>3.3271000000000002</v>
      </c>
      <c r="Z276" s="35">
        <v>0.13974</v>
      </c>
      <c r="AA276" s="36"/>
      <c r="AB276" s="30">
        <v>26.6</v>
      </c>
      <c r="AC276" s="44">
        <v>300.56</v>
      </c>
      <c r="AD276" s="35">
        <v>7.1559999999999997</v>
      </c>
      <c r="AE276" s="36"/>
      <c r="AF276" s="30">
        <v>26.6</v>
      </c>
      <c r="AG276" s="34">
        <v>3.3805000000000001</v>
      </c>
      <c r="AH276" s="35">
        <v>0.14198</v>
      </c>
      <c r="AI276" s="35"/>
      <c r="AJ276" s="35">
        <v>0.11817</v>
      </c>
      <c r="AK276" s="998">
        <v>58.4</v>
      </c>
      <c r="AM276" s="30">
        <v>26.6</v>
      </c>
      <c r="AN276" s="34">
        <v>1.0154000000000001</v>
      </c>
      <c r="AO276" s="35">
        <v>1.1373</v>
      </c>
      <c r="AQ276" s="197">
        <v>0.91600000000000004</v>
      </c>
      <c r="AR276" s="200">
        <v>22.98</v>
      </c>
      <c r="AS276" s="199">
        <v>915.5</v>
      </c>
      <c r="AZ276" s="197">
        <v>0.91600000000000004</v>
      </c>
      <c r="BA276" s="198">
        <v>7.6277999999999997</v>
      </c>
      <c r="BB276" s="199">
        <v>0.13109999999999999</v>
      </c>
      <c r="BD276" s="197">
        <v>0.91600000000000004</v>
      </c>
      <c r="BE276" s="198">
        <v>3.8138999999999998</v>
      </c>
      <c r="BF276" s="199">
        <v>0.16017999999999999</v>
      </c>
      <c r="BH276" s="197">
        <v>0.91600000000000004</v>
      </c>
      <c r="BI276" s="198">
        <v>262.2</v>
      </c>
      <c r="BJ276" s="199">
        <v>6.2430000000000003</v>
      </c>
      <c r="BL276" s="197">
        <v>0.91600000000000004</v>
      </c>
      <c r="BM276" s="198">
        <v>3.4053</v>
      </c>
      <c r="BN276" s="199">
        <v>0.14302000000000001</v>
      </c>
      <c r="BP276" s="197">
        <v>0.91600000000000004</v>
      </c>
      <c r="BQ276" s="200">
        <v>293.66000000000003</v>
      </c>
      <c r="BR276" s="199">
        <v>6.992</v>
      </c>
      <c r="BT276" s="197">
        <v>0.91600000000000004</v>
      </c>
      <c r="BU276" s="201">
        <v>0.99209999999999998</v>
      </c>
      <c r="BV276" s="202">
        <v>1.1112</v>
      </c>
      <c r="BX276" s="37">
        <v>916</v>
      </c>
      <c r="BY276" s="38">
        <v>0.91649999999999998</v>
      </c>
      <c r="BZ276" s="39">
        <v>22.89</v>
      </c>
      <c r="CA276" s="33"/>
      <c r="CB276" s="37">
        <v>916</v>
      </c>
      <c r="CC276" s="38">
        <v>0.15892000000000001</v>
      </c>
      <c r="CD276" s="42">
        <v>6.2919999999999998</v>
      </c>
      <c r="CE276" s="33"/>
      <c r="CF276" s="33"/>
      <c r="CG276" s="33"/>
      <c r="CH276" s="33"/>
      <c r="CI276" s="33"/>
      <c r="CJ276" s="33"/>
      <c r="CK276" s="33"/>
      <c r="CL276" s="40">
        <v>916</v>
      </c>
      <c r="CM276" s="43">
        <v>914.9</v>
      </c>
      <c r="CN276" s="41">
        <v>1.093</v>
      </c>
      <c r="CO276" s="33"/>
      <c r="CP276" s="40">
        <v>916</v>
      </c>
      <c r="CQ276" s="34">
        <v>1.0085</v>
      </c>
      <c r="CR276" s="41">
        <v>0.90049999999999997</v>
      </c>
      <c r="CS276" s="33"/>
      <c r="CT276" s="40">
        <v>916</v>
      </c>
      <c r="CU276" s="44">
        <v>288.86</v>
      </c>
      <c r="CV276" s="42">
        <v>6.8780000000000001</v>
      </c>
    </row>
    <row r="277" spans="4:100">
      <c r="D277" s="30">
        <v>26.7</v>
      </c>
      <c r="E277" s="31">
        <v>0.89439999999999997</v>
      </c>
      <c r="F277" s="32">
        <v>893.9</v>
      </c>
      <c r="G277" s="33"/>
      <c r="H277" s="30">
        <v>26.7</v>
      </c>
      <c r="I277" s="34">
        <v>3.7837999999999998</v>
      </c>
      <c r="J277" s="35">
        <v>0.15892000000000001</v>
      </c>
      <c r="L277" s="30">
        <v>26.7</v>
      </c>
      <c r="M277" s="172">
        <v>7.4480000000000004</v>
      </c>
      <c r="N277" s="173">
        <v>0.13425999999999999</v>
      </c>
      <c r="P277" s="30">
        <v>26.7</v>
      </c>
      <c r="Q277" s="172">
        <v>3.7240000000000002</v>
      </c>
      <c r="R277" s="173">
        <v>0.15640999999999999</v>
      </c>
      <c r="T277" s="30">
        <v>26.7</v>
      </c>
      <c r="U277" s="172">
        <v>268.530000000001</v>
      </c>
      <c r="V277" s="173">
        <v>6.3940000000000001</v>
      </c>
      <c r="X277" s="30">
        <v>26.7</v>
      </c>
      <c r="Y277" s="34">
        <v>3.3250000000000002</v>
      </c>
      <c r="Z277" s="35">
        <v>0.13965</v>
      </c>
      <c r="AA277" s="36"/>
      <c r="AB277" s="30">
        <v>26.7</v>
      </c>
      <c r="AC277" s="44">
        <v>300.75</v>
      </c>
      <c r="AD277" s="35">
        <v>7.1609999999999996</v>
      </c>
      <c r="AE277" s="36"/>
      <c r="AF277" s="30">
        <v>26.7</v>
      </c>
      <c r="AG277" s="34">
        <v>3.3784000000000001</v>
      </c>
      <c r="AH277" s="35">
        <v>0.14188999999999999</v>
      </c>
      <c r="AI277" s="35"/>
      <c r="AJ277" s="35">
        <v>0.11824</v>
      </c>
      <c r="AK277" s="998">
        <v>58.3</v>
      </c>
      <c r="AM277" s="30">
        <v>26.7</v>
      </c>
      <c r="AN277" s="34">
        <v>1.0161</v>
      </c>
      <c r="AO277" s="35">
        <v>1.1379999999999999</v>
      </c>
      <c r="AQ277" s="197">
        <v>0.91700000000000004</v>
      </c>
      <c r="AR277" s="200">
        <v>22.81</v>
      </c>
      <c r="AS277" s="199">
        <v>916.5</v>
      </c>
      <c r="AZ277" s="197">
        <v>0.91700000000000004</v>
      </c>
      <c r="BA277" s="198">
        <v>7.6360999999999999</v>
      </c>
      <c r="BB277" s="199">
        <v>0.13095999999999999</v>
      </c>
      <c r="BD277" s="197">
        <v>0.91700000000000004</v>
      </c>
      <c r="BE277" s="198">
        <v>3.8180999999999998</v>
      </c>
      <c r="BF277" s="199">
        <v>0.16036</v>
      </c>
      <c r="BH277" s="197">
        <v>0.91700000000000004</v>
      </c>
      <c r="BI277" s="198">
        <v>261.91000000000003</v>
      </c>
      <c r="BJ277" s="199">
        <v>6.2359999999999998</v>
      </c>
      <c r="BL277" s="197">
        <v>0.91700000000000004</v>
      </c>
      <c r="BM277" s="198">
        <v>3.4089999999999998</v>
      </c>
      <c r="BN277" s="199">
        <v>0.14318</v>
      </c>
      <c r="BP277" s="197">
        <v>0.91700000000000004</v>
      </c>
      <c r="BQ277" s="200">
        <v>293.33999999999997</v>
      </c>
      <c r="BR277" s="199">
        <v>6.984</v>
      </c>
      <c r="BT277" s="197">
        <v>0.91700000000000004</v>
      </c>
      <c r="BU277" s="201">
        <v>0.99099999999999999</v>
      </c>
      <c r="BV277" s="202">
        <v>1.1100000000000001</v>
      </c>
      <c r="BX277" s="37">
        <v>917</v>
      </c>
      <c r="BY277" s="38">
        <v>0.91749999999999998</v>
      </c>
      <c r="BZ277" s="39">
        <v>22.72</v>
      </c>
      <c r="CA277" s="33"/>
      <c r="CB277" s="37">
        <v>917</v>
      </c>
      <c r="CC277" s="38">
        <v>0.15892000000000001</v>
      </c>
      <c r="CD277" s="42">
        <v>6.2919999999999998</v>
      </c>
      <c r="CE277" s="33"/>
      <c r="CF277" s="33"/>
      <c r="CG277" s="33"/>
      <c r="CH277" s="33"/>
      <c r="CI277" s="33"/>
      <c r="CJ277" s="33"/>
      <c r="CK277" s="33"/>
      <c r="CL277" s="40">
        <v>917</v>
      </c>
      <c r="CM277" s="43">
        <v>915.9</v>
      </c>
      <c r="CN277" s="41">
        <v>1.0918000000000001</v>
      </c>
      <c r="CO277" s="33"/>
      <c r="CP277" s="40">
        <v>917</v>
      </c>
      <c r="CQ277" s="34">
        <v>1.0096000000000001</v>
      </c>
      <c r="CR277" s="41">
        <v>0.90149999999999997</v>
      </c>
      <c r="CS277" s="33"/>
      <c r="CT277" s="40">
        <v>917</v>
      </c>
      <c r="CU277" s="44">
        <v>288.54000000000002</v>
      </c>
      <c r="CV277" s="42">
        <v>6.87</v>
      </c>
    </row>
    <row r="278" spans="4:100">
      <c r="D278" s="30">
        <v>26.8</v>
      </c>
      <c r="E278" s="31">
        <v>0.89390000000000003</v>
      </c>
      <c r="F278" s="32">
        <v>893.4</v>
      </c>
      <c r="G278" s="33"/>
      <c r="H278" s="30">
        <v>26.8</v>
      </c>
      <c r="I278" s="34">
        <v>3.7837999999999998</v>
      </c>
      <c r="J278" s="35">
        <v>0.15892000000000001</v>
      </c>
      <c r="L278" s="30">
        <v>26.8</v>
      </c>
      <c r="M278" s="172">
        <v>7.4429999999999996</v>
      </c>
      <c r="N278" s="173">
        <v>0.13435</v>
      </c>
      <c r="P278" s="30">
        <v>26.8</v>
      </c>
      <c r="Q278" s="172">
        <v>3.7216</v>
      </c>
      <c r="R278" s="173">
        <v>0.15631</v>
      </c>
      <c r="T278" s="30">
        <v>26.8</v>
      </c>
      <c r="U278" s="172">
        <v>268.70000000000101</v>
      </c>
      <c r="V278" s="173">
        <v>6.3979999999999997</v>
      </c>
      <c r="X278" s="30">
        <v>26.8</v>
      </c>
      <c r="Y278" s="34">
        <v>3.3229000000000002</v>
      </c>
      <c r="Z278" s="35">
        <v>0.13955999999999999</v>
      </c>
      <c r="AA278" s="36"/>
      <c r="AB278" s="30">
        <v>26.8</v>
      </c>
      <c r="AC278" s="44">
        <v>300.94</v>
      </c>
      <c r="AD278" s="35">
        <v>7.165</v>
      </c>
      <c r="AE278" s="36"/>
      <c r="AF278" s="30">
        <v>26.8</v>
      </c>
      <c r="AG278" s="34">
        <v>3.3761999999999999</v>
      </c>
      <c r="AH278" s="35">
        <v>0.14180000000000001</v>
      </c>
      <c r="AI278" s="35"/>
      <c r="AJ278" s="35">
        <v>0.1183</v>
      </c>
      <c r="AK278" s="998">
        <v>58.2</v>
      </c>
      <c r="AM278" s="30">
        <v>26.8</v>
      </c>
      <c r="AN278" s="34">
        <v>1.0166999999999999</v>
      </c>
      <c r="AO278" s="35">
        <v>1.1387</v>
      </c>
      <c r="AQ278" s="197">
        <v>0.91800000000000004</v>
      </c>
      <c r="AR278" s="200">
        <v>22.64</v>
      </c>
      <c r="AS278" s="199">
        <v>917.5</v>
      </c>
      <c r="AZ278" s="197">
        <v>0.91800000000000004</v>
      </c>
      <c r="BA278" s="198">
        <v>7.6444999999999999</v>
      </c>
      <c r="BB278" s="199">
        <v>0.13081000000000001</v>
      </c>
      <c r="BD278" s="197">
        <v>0.91800000000000004</v>
      </c>
      <c r="BE278" s="198">
        <v>3.8222</v>
      </c>
      <c r="BF278" s="199">
        <v>0.16053000000000001</v>
      </c>
      <c r="BH278" s="197">
        <v>0.91800000000000004</v>
      </c>
      <c r="BI278" s="198">
        <v>261.63</v>
      </c>
      <c r="BJ278" s="199">
        <v>6.2290000000000001</v>
      </c>
      <c r="BL278" s="197">
        <v>0.91800000000000004</v>
      </c>
      <c r="BM278" s="198">
        <v>3.4127000000000001</v>
      </c>
      <c r="BN278" s="199">
        <v>0.14333000000000001</v>
      </c>
      <c r="BP278" s="197">
        <v>0.91800000000000004</v>
      </c>
      <c r="BQ278" s="200">
        <v>293.02</v>
      </c>
      <c r="BR278" s="199">
        <v>6.9770000000000003</v>
      </c>
      <c r="BT278" s="197">
        <v>0.91800000000000004</v>
      </c>
      <c r="BU278" s="201">
        <v>0.99</v>
      </c>
      <c r="BV278" s="202">
        <v>1.1087</v>
      </c>
      <c r="BX278" s="37">
        <v>918</v>
      </c>
      <c r="BY278" s="38">
        <v>0.91849999999999998</v>
      </c>
      <c r="BZ278" s="39">
        <v>22.55</v>
      </c>
      <c r="CA278" s="33"/>
      <c r="CB278" s="37">
        <v>918</v>
      </c>
      <c r="CC278" s="38">
        <v>0.15892000000000001</v>
      </c>
      <c r="CD278" s="42">
        <v>6.2919999999999998</v>
      </c>
      <c r="CE278" s="33"/>
      <c r="CF278" s="33"/>
      <c r="CG278" s="33"/>
      <c r="CH278" s="33"/>
      <c r="CI278" s="33"/>
      <c r="CJ278" s="33"/>
      <c r="CK278" s="33"/>
      <c r="CL278" s="40">
        <v>918</v>
      </c>
      <c r="CM278" s="43">
        <v>916.9</v>
      </c>
      <c r="CN278" s="41">
        <v>1.0906</v>
      </c>
      <c r="CO278" s="33"/>
      <c r="CP278" s="40">
        <v>918</v>
      </c>
      <c r="CQ278" s="34">
        <v>1.0106999999999999</v>
      </c>
      <c r="CR278" s="41">
        <v>0.90239999999999998</v>
      </c>
      <c r="CS278" s="33"/>
      <c r="CT278" s="40">
        <v>918</v>
      </c>
      <c r="CU278" s="44">
        <v>288.23</v>
      </c>
      <c r="CV278" s="42">
        <v>6.8630000000000004</v>
      </c>
    </row>
    <row r="279" spans="4:100">
      <c r="D279" s="30">
        <v>26.9</v>
      </c>
      <c r="E279" s="31">
        <v>0.89329999999999998</v>
      </c>
      <c r="F279" s="32">
        <v>892.8</v>
      </c>
      <c r="G279" s="33"/>
      <c r="H279" s="30">
        <v>26.9</v>
      </c>
      <c r="I279" s="34">
        <v>3.7837999999999998</v>
      </c>
      <c r="J279" s="35">
        <v>0.15892000000000001</v>
      </c>
      <c r="L279" s="30">
        <v>26.9</v>
      </c>
      <c r="M279" s="172">
        <v>7.4390000000000001</v>
      </c>
      <c r="N279" s="173">
        <v>0.13442999999999999</v>
      </c>
      <c r="P279" s="30">
        <v>26.9</v>
      </c>
      <c r="Q279" s="172">
        <v>3.7193000000000001</v>
      </c>
      <c r="R279" s="173">
        <v>0.15620999999999999</v>
      </c>
      <c r="T279" s="30">
        <v>26.9</v>
      </c>
      <c r="U279" s="172">
        <v>268.87000000000103</v>
      </c>
      <c r="V279" s="173">
        <v>6.4020000000000001</v>
      </c>
      <c r="X279" s="30">
        <v>26.9</v>
      </c>
      <c r="Y279" s="34">
        <v>3.3208000000000002</v>
      </c>
      <c r="Z279" s="35">
        <v>0.13947000000000001</v>
      </c>
      <c r="AA279" s="36"/>
      <c r="AB279" s="30">
        <v>26.9</v>
      </c>
      <c r="AC279" s="44">
        <v>301.13</v>
      </c>
      <c r="AD279" s="35">
        <v>7.17</v>
      </c>
      <c r="AE279" s="36"/>
      <c r="AF279" s="30">
        <v>26.9</v>
      </c>
      <c r="AG279" s="34">
        <v>3.3740999999999999</v>
      </c>
      <c r="AH279" s="35">
        <v>0.14171</v>
      </c>
      <c r="AI279" s="35"/>
      <c r="AJ279" s="35">
        <v>0.11836000000000001</v>
      </c>
      <c r="AK279" s="998">
        <v>58.1</v>
      </c>
      <c r="AM279" s="30">
        <v>26.9</v>
      </c>
      <c r="AN279" s="34">
        <v>1.0173000000000001</v>
      </c>
      <c r="AO279" s="35">
        <v>1.1394</v>
      </c>
      <c r="AQ279" s="197">
        <v>0.91900000000000004</v>
      </c>
      <c r="AR279" s="200">
        <v>22.47</v>
      </c>
      <c r="AS279" s="199">
        <v>918.5</v>
      </c>
      <c r="AZ279" s="197">
        <v>0.91900000000000004</v>
      </c>
      <c r="BA279" s="198">
        <v>7.6528</v>
      </c>
      <c r="BB279" s="199">
        <v>0.13067000000000001</v>
      </c>
      <c r="BD279" s="197">
        <v>0.91900000000000004</v>
      </c>
      <c r="BE279" s="198">
        <v>3.8264</v>
      </c>
      <c r="BF279" s="199">
        <v>0.16070999999999999</v>
      </c>
      <c r="BH279" s="197">
        <v>0.91900000000000004</v>
      </c>
      <c r="BI279" s="198">
        <v>261.33999999999997</v>
      </c>
      <c r="BJ279" s="199">
        <v>6.2220000000000004</v>
      </c>
      <c r="BL279" s="197">
        <v>0.91900000000000004</v>
      </c>
      <c r="BM279" s="198">
        <v>3.4163999999999999</v>
      </c>
      <c r="BN279" s="199">
        <v>0.14349000000000001</v>
      </c>
      <c r="BP279" s="197">
        <v>0.91900000000000004</v>
      </c>
      <c r="BQ279" s="200">
        <v>292.7</v>
      </c>
      <c r="BR279" s="199">
        <v>6.9690000000000003</v>
      </c>
      <c r="BT279" s="197">
        <v>0.91900000000000004</v>
      </c>
      <c r="BU279" s="201">
        <v>0.9889</v>
      </c>
      <c r="BV279" s="202">
        <v>1.1074999999999999</v>
      </c>
      <c r="BX279" s="37">
        <v>919</v>
      </c>
      <c r="BY279" s="38">
        <v>0.91949999999999998</v>
      </c>
      <c r="BZ279" s="39">
        <v>22.38</v>
      </c>
      <c r="CA279" s="33"/>
      <c r="CB279" s="37">
        <v>919</v>
      </c>
      <c r="CC279" s="38">
        <v>0.15892000000000001</v>
      </c>
      <c r="CD279" s="42">
        <v>6.2919999999999998</v>
      </c>
      <c r="CE279" s="33"/>
      <c r="CF279" s="33"/>
      <c r="CG279" s="33"/>
      <c r="CH279" s="33"/>
      <c r="CI279" s="33"/>
      <c r="CJ279" s="33"/>
      <c r="CK279" s="33"/>
      <c r="CL279" s="40">
        <v>919</v>
      </c>
      <c r="CM279" s="43">
        <v>917.9</v>
      </c>
      <c r="CN279" s="41">
        <v>1.0893999999999999</v>
      </c>
      <c r="CO279" s="33"/>
      <c r="CP279" s="40">
        <v>919</v>
      </c>
      <c r="CQ279" s="34">
        <v>1.0118</v>
      </c>
      <c r="CR279" s="41">
        <v>0.90339999999999998</v>
      </c>
      <c r="CS279" s="33"/>
      <c r="CT279" s="40">
        <v>919</v>
      </c>
      <c r="CU279" s="44">
        <v>287.91000000000003</v>
      </c>
      <c r="CV279" s="42">
        <v>6.8550000000000004</v>
      </c>
    </row>
    <row r="280" spans="4:100">
      <c r="D280" s="30">
        <v>27</v>
      </c>
      <c r="E280" s="31">
        <v>0.89270000000000005</v>
      </c>
      <c r="F280" s="32">
        <v>892.2</v>
      </c>
      <c r="G280" s="33"/>
      <c r="H280" s="30">
        <v>27</v>
      </c>
      <c r="I280" s="34">
        <v>3.7837999999999998</v>
      </c>
      <c r="J280" s="35">
        <v>0.15892000000000001</v>
      </c>
      <c r="L280" s="30">
        <v>27</v>
      </c>
      <c r="M280" s="172">
        <v>7.4340000000000002</v>
      </c>
      <c r="N280" s="173">
        <v>0.13452</v>
      </c>
      <c r="P280" s="30">
        <v>27</v>
      </c>
      <c r="Q280" s="172">
        <v>3.7168999999999999</v>
      </c>
      <c r="R280" s="173">
        <v>0.15611</v>
      </c>
      <c r="T280" s="30">
        <v>27</v>
      </c>
      <c r="U280" s="172">
        <v>269.04000000000099</v>
      </c>
      <c r="V280" s="173">
        <v>6.4059999999999997</v>
      </c>
      <c r="X280" s="30">
        <v>27</v>
      </c>
      <c r="Y280" s="34">
        <v>3.3187000000000002</v>
      </c>
      <c r="Z280" s="35">
        <v>0.13938999999999999</v>
      </c>
      <c r="AA280" s="36"/>
      <c r="AB280" s="30">
        <v>27</v>
      </c>
      <c r="AC280" s="44">
        <v>301.32</v>
      </c>
      <c r="AD280" s="35">
        <v>7.1740000000000004</v>
      </c>
      <c r="AE280" s="36"/>
      <c r="AF280" s="30">
        <v>27</v>
      </c>
      <c r="AG280" s="34">
        <v>3.3719000000000001</v>
      </c>
      <c r="AH280" s="35">
        <v>0.14162</v>
      </c>
      <c r="AI280" s="35"/>
      <c r="AJ280" s="35">
        <v>0.11842</v>
      </c>
      <c r="AK280" s="998">
        <v>58</v>
      </c>
      <c r="AM280" s="30">
        <v>27</v>
      </c>
      <c r="AN280" s="34">
        <v>1.018</v>
      </c>
      <c r="AO280" s="35">
        <v>1.1400999999999999</v>
      </c>
      <c r="AQ280" s="197">
        <v>0.92</v>
      </c>
      <c r="AR280" s="200">
        <v>22.3</v>
      </c>
      <c r="AS280" s="199">
        <v>919.5</v>
      </c>
      <c r="AZ280" s="197">
        <v>0.92</v>
      </c>
      <c r="BA280" s="198">
        <v>7.6611000000000002</v>
      </c>
      <c r="BB280" s="199">
        <v>0.13053000000000001</v>
      </c>
      <c r="BD280" s="197">
        <v>0.92</v>
      </c>
      <c r="BE280" s="198">
        <v>3.8306</v>
      </c>
      <c r="BF280" s="199">
        <v>0.16088</v>
      </c>
      <c r="BH280" s="197">
        <v>0.92</v>
      </c>
      <c r="BI280" s="198">
        <v>261.06</v>
      </c>
      <c r="BJ280" s="199">
        <v>6.2160000000000002</v>
      </c>
      <c r="BL280" s="197">
        <v>0.92</v>
      </c>
      <c r="BM280" s="198">
        <v>3.4201999999999999</v>
      </c>
      <c r="BN280" s="199">
        <v>0.14365</v>
      </c>
      <c r="BP280" s="197">
        <v>0.92</v>
      </c>
      <c r="BQ280" s="200">
        <v>292.38</v>
      </c>
      <c r="BR280" s="199">
        <v>6.9619999999999997</v>
      </c>
      <c r="BT280" s="197">
        <v>0.92</v>
      </c>
      <c r="BU280" s="201">
        <v>0.98780000000000001</v>
      </c>
      <c r="BV280" s="202">
        <v>1.1063000000000001</v>
      </c>
      <c r="BX280" s="37">
        <v>920</v>
      </c>
      <c r="BY280" s="38">
        <v>0.92049999999999998</v>
      </c>
      <c r="BZ280" s="39">
        <v>22.22</v>
      </c>
      <c r="CA280" s="33"/>
      <c r="CB280" s="37">
        <v>920</v>
      </c>
      <c r="CC280" s="38">
        <v>0.15892000000000001</v>
      </c>
      <c r="CD280" s="42">
        <v>6.2919999999999998</v>
      </c>
      <c r="CE280" s="33"/>
      <c r="CF280" s="33"/>
      <c r="CG280" s="33"/>
      <c r="CH280" s="33"/>
      <c r="CI280" s="33"/>
      <c r="CJ280" s="33"/>
      <c r="CK280" s="33"/>
      <c r="CL280" s="40">
        <v>920</v>
      </c>
      <c r="CM280" s="43">
        <v>918.9</v>
      </c>
      <c r="CN280" s="41">
        <v>1.0882000000000001</v>
      </c>
      <c r="CO280" s="33"/>
      <c r="CP280" s="40">
        <v>920</v>
      </c>
      <c r="CQ280" s="34">
        <v>1.0128999999999999</v>
      </c>
      <c r="CR280" s="41">
        <v>0.90439999999999998</v>
      </c>
      <c r="CS280" s="33"/>
      <c r="CT280" s="40">
        <v>920</v>
      </c>
      <c r="CU280" s="44">
        <v>287.60000000000002</v>
      </c>
      <c r="CV280" s="42">
        <v>6.8479999999999999</v>
      </c>
    </row>
    <row r="281" spans="4:100">
      <c r="D281" s="30">
        <v>27.1</v>
      </c>
      <c r="E281" s="31">
        <v>0.89219999999999999</v>
      </c>
      <c r="F281" s="32">
        <v>891.7</v>
      </c>
      <c r="G281" s="33"/>
      <c r="H281" s="30">
        <v>27.1</v>
      </c>
      <c r="I281" s="34">
        <v>3.7837999999999998</v>
      </c>
      <c r="J281" s="35">
        <v>0.15892000000000001</v>
      </c>
      <c r="L281" s="30">
        <v>27.1</v>
      </c>
      <c r="M281" s="172">
        <v>7.4290000000000003</v>
      </c>
      <c r="N281" s="173">
        <v>0.1346</v>
      </c>
      <c r="P281" s="30">
        <v>27.1</v>
      </c>
      <c r="Q281" s="172">
        <v>3.7145999999999999</v>
      </c>
      <c r="R281" s="173">
        <v>0.15601000000000001</v>
      </c>
      <c r="T281" s="30">
        <v>27.1</v>
      </c>
      <c r="U281" s="172">
        <v>269.210000000001</v>
      </c>
      <c r="V281" s="173">
        <v>6.41</v>
      </c>
      <c r="X281" s="30">
        <v>27.1</v>
      </c>
      <c r="Y281" s="34">
        <v>3.3166000000000002</v>
      </c>
      <c r="Z281" s="35">
        <v>0.13930000000000001</v>
      </c>
      <c r="AA281" s="36"/>
      <c r="AB281" s="30">
        <v>27.1</v>
      </c>
      <c r="AC281" s="44">
        <v>301.51</v>
      </c>
      <c r="AD281" s="35">
        <v>7.1790000000000003</v>
      </c>
      <c r="AE281" s="36"/>
      <c r="AF281" s="30">
        <v>27.1</v>
      </c>
      <c r="AG281" s="34">
        <v>3.3698000000000001</v>
      </c>
      <c r="AH281" s="35">
        <v>0.14152999999999999</v>
      </c>
      <c r="AI281" s="35"/>
      <c r="AJ281" s="35">
        <v>0.11849</v>
      </c>
      <c r="AK281" s="998">
        <v>57.9</v>
      </c>
      <c r="AM281" s="30">
        <v>27.1</v>
      </c>
      <c r="AN281" s="34">
        <v>1.0185999999999999</v>
      </c>
      <c r="AO281" s="35">
        <v>1.1409</v>
      </c>
      <c r="AQ281" s="197">
        <v>0.92100000000000004</v>
      </c>
      <c r="AR281" s="200">
        <v>22.14</v>
      </c>
      <c r="AS281" s="199">
        <v>920.5</v>
      </c>
      <c r="AZ281" s="197">
        <v>0.92100000000000004</v>
      </c>
      <c r="BA281" s="198">
        <v>7.6695000000000002</v>
      </c>
      <c r="BB281" s="199">
        <v>0.13039000000000001</v>
      </c>
      <c r="BD281" s="197">
        <v>0.92100000000000004</v>
      </c>
      <c r="BE281" s="198">
        <v>3.8347000000000002</v>
      </c>
      <c r="BF281" s="199">
        <v>0.16106000000000001</v>
      </c>
      <c r="BH281" s="197">
        <v>0.92100000000000004</v>
      </c>
      <c r="BI281" s="198">
        <v>260.77</v>
      </c>
      <c r="BJ281" s="199">
        <v>6.2089999999999996</v>
      </c>
      <c r="BL281" s="197">
        <v>0.92100000000000004</v>
      </c>
      <c r="BM281" s="198">
        <v>3.4239000000000002</v>
      </c>
      <c r="BN281" s="199">
        <v>0.14380000000000001</v>
      </c>
      <c r="BP281" s="197">
        <v>0.92100000000000004</v>
      </c>
      <c r="BQ281" s="200">
        <v>292.07</v>
      </c>
      <c r="BR281" s="199">
        <v>6.9539999999999997</v>
      </c>
      <c r="BT281" s="197">
        <v>0.92100000000000004</v>
      </c>
      <c r="BU281" s="201">
        <v>0.98670000000000002</v>
      </c>
      <c r="BV281" s="202">
        <v>1.1051</v>
      </c>
      <c r="BX281" s="37">
        <v>921</v>
      </c>
      <c r="BY281" s="38">
        <v>0.92149999999999999</v>
      </c>
      <c r="BZ281" s="39">
        <v>22.05</v>
      </c>
      <c r="CA281" s="33"/>
      <c r="CB281" s="37">
        <v>921</v>
      </c>
      <c r="CC281" s="38">
        <v>0.15892000000000001</v>
      </c>
      <c r="CD281" s="42">
        <v>6.2919999999999998</v>
      </c>
      <c r="CE281" s="33"/>
      <c r="CF281" s="33"/>
      <c r="CG281" s="33"/>
      <c r="CH281" s="33"/>
      <c r="CI281" s="33"/>
      <c r="CJ281" s="33"/>
      <c r="CK281" s="33"/>
      <c r="CL281" s="40">
        <v>921</v>
      </c>
      <c r="CM281" s="43">
        <v>919.9</v>
      </c>
      <c r="CN281" s="41">
        <v>1.0871</v>
      </c>
      <c r="CO281" s="33"/>
      <c r="CP281" s="40">
        <v>921</v>
      </c>
      <c r="CQ281" s="34">
        <v>1.014</v>
      </c>
      <c r="CR281" s="41">
        <v>0.90539999999999998</v>
      </c>
      <c r="CS281" s="33"/>
      <c r="CT281" s="40">
        <v>921</v>
      </c>
      <c r="CU281" s="44">
        <v>287.29000000000002</v>
      </c>
      <c r="CV281" s="42">
        <v>6.84</v>
      </c>
    </row>
    <row r="282" spans="4:100">
      <c r="D282" s="30">
        <v>27.2</v>
      </c>
      <c r="E282" s="31">
        <v>0.89159999999999995</v>
      </c>
      <c r="F282" s="32">
        <v>891.1</v>
      </c>
      <c r="G282" s="33"/>
      <c r="H282" s="30">
        <v>27.2</v>
      </c>
      <c r="I282" s="34">
        <v>3.7837999999999998</v>
      </c>
      <c r="J282" s="35">
        <v>0.15892000000000001</v>
      </c>
      <c r="L282" s="30">
        <v>27.2</v>
      </c>
      <c r="M282" s="172">
        <v>7.4240000000000004</v>
      </c>
      <c r="N282" s="173">
        <v>0.13469</v>
      </c>
      <c r="P282" s="30">
        <v>27.2</v>
      </c>
      <c r="Q282" s="172">
        <v>3.7122000000000002</v>
      </c>
      <c r="R282" s="173">
        <v>0.15590999999999999</v>
      </c>
      <c r="T282" s="30">
        <v>27.2</v>
      </c>
      <c r="U282" s="172">
        <v>269.38000000000102</v>
      </c>
      <c r="V282" s="173">
        <v>6.4139999999999997</v>
      </c>
      <c r="X282" s="30">
        <v>27.2</v>
      </c>
      <c r="Y282" s="34">
        <v>3.3144999999999998</v>
      </c>
      <c r="Z282" s="35">
        <v>0.13921</v>
      </c>
      <c r="AA282" s="36"/>
      <c r="AB282" s="30">
        <v>27.2</v>
      </c>
      <c r="AC282" s="44">
        <v>301.7</v>
      </c>
      <c r="AD282" s="35">
        <v>7.1829999999999998</v>
      </c>
      <c r="AE282" s="36"/>
      <c r="AF282" s="30">
        <v>27.2</v>
      </c>
      <c r="AG282" s="34">
        <v>3.3677000000000001</v>
      </c>
      <c r="AH282" s="35">
        <v>0.14144000000000001</v>
      </c>
      <c r="AI282" s="35"/>
      <c r="AJ282" s="35">
        <v>0.11855</v>
      </c>
      <c r="AK282" s="998">
        <v>57.8</v>
      </c>
      <c r="AM282" s="30">
        <v>27.2</v>
      </c>
      <c r="AN282" s="34">
        <v>1.0193000000000001</v>
      </c>
      <c r="AO282" s="35">
        <v>1.1415999999999999</v>
      </c>
      <c r="AQ282" s="197">
        <v>0.92200000000000004</v>
      </c>
      <c r="AR282" s="200">
        <v>21.97</v>
      </c>
      <c r="AS282" s="199">
        <v>921.5</v>
      </c>
      <c r="AZ282" s="197">
        <v>0.92200000000000004</v>
      </c>
      <c r="BA282" s="198">
        <v>7.6778000000000004</v>
      </c>
      <c r="BB282" s="199">
        <v>0.13025</v>
      </c>
      <c r="BD282" s="197">
        <v>0.92200000000000004</v>
      </c>
      <c r="BE282" s="198">
        <v>3.8389000000000002</v>
      </c>
      <c r="BF282" s="199">
        <v>0.16123000000000001</v>
      </c>
      <c r="BH282" s="197">
        <v>0.92200000000000004</v>
      </c>
      <c r="BI282" s="198">
        <v>260.49</v>
      </c>
      <c r="BJ282" s="199">
        <v>6.202</v>
      </c>
      <c r="BL282" s="197">
        <v>0.92200000000000004</v>
      </c>
      <c r="BM282" s="198">
        <v>3.4276</v>
      </c>
      <c r="BN282" s="199">
        <v>0.14396</v>
      </c>
      <c r="BP282" s="197">
        <v>0.92200000000000004</v>
      </c>
      <c r="BQ282" s="200">
        <v>291.75</v>
      </c>
      <c r="BR282" s="199">
        <v>6.9459999999999997</v>
      </c>
      <c r="BT282" s="197">
        <v>0.92200000000000004</v>
      </c>
      <c r="BU282" s="201">
        <v>0.98570000000000002</v>
      </c>
      <c r="BV282" s="202">
        <v>1.1039000000000001</v>
      </c>
      <c r="BX282" s="37">
        <v>922</v>
      </c>
      <c r="BY282" s="38">
        <v>0.92249999999999999</v>
      </c>
      <c r="BZ282" s="39">
        <v>21.88</v>
      </c>
      <c r="CA282" s="33"/>
      <c r="CB282" s="37">
        <v>922</v>
      </c>
      <c r="CC282" s="38">
        <v>0.15892000000000001</v>
      </c>
      <c r="CD282" s="42">
        <v>6.2919999999999998</v>
      </c>
      <c r="CE282" s="33"/>
      <c r="CF282" s="33"/>
      <c r="CG282" s="33"/>
      <c r="CH282" s="33"/>
      <c r="CI282" s="33"/>
      <c r="CJ282" s="33"/>
      <c r="CK282" s="33"/>
      <c r="CL282" s="40">
        <v>922</v>
      </c>
      <c r="CM282" s="43">
        <v>920.9</v>
      </c>
      <c r="CN282" s="41">
        <v>1.0859000000000001</v>
      </c>
      <c r="CO282" s="33"/>
      <c r="CP282" s="40">
        <v>922</v>
      </c>
      <c r="CQ282" s="34">
        <v>1.0150999999999999</v>
      </c>
      <c r="CR282" s="41">
        <v>0.90639999999999998</v>
      </c>
      <c r="CS282" s="33"/>
      <c r="CT282" s="40">
        <v>922</v>
      </c>
      <c r="CU282" s="44">
        <v>286.98</v>
      </c>
      <c r="CV282" s="42">
        <v>6.8330000000000002</v>
      </c>
    </row>
    <row r="283" spans="4:100">
      <c r="D283" s="30">
        <v>27.3</v>
      </c>
      <c r="E283" s="31">
        <v>0.8911</v>
      </c>
      <c r="F283" s="32">
        <v>890.6</v>
      </c>
      <c r="G283" s="33"/>
      <c r="H283" s="30">
        <v>27.3</v>
      </c>
      <c r="I283" s="34">
        <v>3.7837999999999998</v>
      </c>
      <c r="J283" s="35">
        <v>0.15892000000000001</v>
      </c>
      <c r="L283" s="30">
        <v>27.3</v>
      </c>
      <c r="M283" s="172">
        <v>7.42</v>
      </c>
      <c r="N283" s="173">
        <v>0.13477</v>
      </c>
      <c r="P283" s="30">
        <v>27.3</v>
      </c>
      <c r="Q283" s="172">
        <v>3.7099000000000002</v>
      </c>
      <c r="R283" s="173">
        <v>0.15581999999999999</v>
      </c>
      <c r="T283" s="30">
        <v>27.3</v>
      </c>
      <c r="U283" s="172">
        <v>269.55000000000098</v>
      </c>
      <c r="V283" s="173">
        <v>6.4180000000000001</v>
      </c>
      <c r="X283" s="30">
        <v>27.3</v>
      </c>
      <c r="Y283" s="34">
        <v>3.3123999999999998</v>
      </c>
      <c r="Z283" s="35">
        <v>0.13911999999999999</v>
      </c>
      <c r="AA283" s="36"/>
      <c r="AB283" s="30">
        <v>27.3</v>
      </c>
      <c r="AC283" s="44">
        <v>301.89</v>
      </c>
      <c r="AD283" s="35">
        <v>7.1879999999999997</v>
      </c>
      <c r="AE283" s="36"/>
      <c r="AF283" s="30">
        <v>27.3</v>
      </c>
      <c r="AG283" s="34">
        <v>3.3656000000000001</v>
      </c>
      <c r="AH283" s="35">
        <v>0.14135</v>
      </c>
      <c r="AI283" s="35"/>
      <c r="AJ283" s="35">
        <v>0.11860999999999999</v>
      </c>
      <c r="AK283" s="998">
        <v>57.7</v>
      </c>
      <c r="AM283" s="30">
        <v>27.3</v>
      </c>
      <c r="AN283" s="34">
        <v>1.0199</v>
      </c>
      <c r="AO283" s="35">
        <v>1.1423000000000001</v>
      </c>
      <c r="AQ283" s="197">
        <v>0.92300000000000004</v>
      </c>
      <c r="AR283" s="200">
        <v>21.8</v>
      </c>
      <c r="AS283" s="199">
        <v>922.5</v>
      </c>
      <c r="AZ283" s="197">
        <v>0.92300000000000004</v>
      </c>
      <c r="BA283" s="198">
        <v>7.6862000000000004</v>
      </c>
      <c r="BB283" s="199">
        <v>0.13009999999999999</v>
      </c>
      <c r="BD283" s="197">
        <v>0.92300000000000004</v>
      </c>
      <c r="BE283" s="198">
        <v>3.8431000000000002</v>
      </c>
      <c r="BF283" s="199">
        <v>0.16141</v>
      </c>
      <c r="BH283" s="197">
        <v>0.92300000000000004</v>
      </c>
      <c r="BI283" s="198">
        <v>260.20999999999998</v>
      </c>
      <c r="BJ283" s="199">
        <v>6.1950000000000003</v>
      </c>
      <c r="BL283" s="197">
        <v>0.92300000000000004</v>
      </c>
      <c r="BM283" s="198">
        <v>3.4312999999999998</v>
      </c>
      <c r="BN283" s="199">
        <v>0.14412</v>
      </c>
      <c r="BP283" s="197">
        <v>0.92300000000000004</v>
      </c>
      <c r="BQ283" s="200">
        <v>291.43</v>
      </c>
      <c r="BR283" s="199">
        <v>6.9390000000000001</v>
      </c>
      <c r="BT283" s="197">
        <v>0.92300000000000004</v>
      </c>
      <c r="BU283" s="201">
        <v>0.98460000000000003</v>
      </c>
      <c r="BV283" s="202">
        <v>1.1027</v>
      </c>
      <c r="BX283" s="37">
        <v>923</v>
      </c>
      <c r="BY283" s="38">
        <v>0.92349999999999999</v>
      </c>
      <c r="BZ283" s="39">
        <v>21.72</v>
      </c>
      <c r="CA283" s="33"/>
      <c r="CB283" s="37">
        <v>923</v>
      </c>
      <c r="CC283" s="38">
        <v>0.15892000000000001</v>
      </c>
      <c r="CD283" s="42">
        <v>6.2919999999999998</v>
      </c>
      <c r="CE283" s="33"/>
      <c r="CF283" s="33"/>
      <c r="CG283" s="33"/>
      <c r="CH283" s="33"/>
      <c r="CI283" s="33"/>
      <c r="CJ283" s="33"/>
      <c r="CK283" s="33"/>
      <c r="CL283" s="40">
        <v>923</v>
      </c>
      <c r="CM283" s="43">
        <v>921.9</v>
      </c>
      <c r="CN283" s="41">
        <v>1.0847</v>
      </c>
      <c r="CO283" s="33"/>
      <c r="CP283" s="40">
        <v>923</v>
      </c>
      <c r="CQ283" s="34">
        <v>1.0162</v>
      </c>
      <c r="CR283" s="41">
        <v>0.90739999999999998</v>
      </c>
      <c r="CS283" s="33"/>
      <c r="CT283" s="40">
        <v>923</v>
      </c>
      <c r="CU283" s="44">
        <v>286.66000000000003</v>
      </c>
      <c r="CV283" s="42">
        <v>6.8250000000000002</v>
      </c>
    </row>
    <row r="284" spans="4:100">
      <c r="D284" s="30">
        <v>27.4</v>
      </c>
      <c r="E284" s="31">
        <v>0.89049999999999996</v>
      </c>
      <c r="F284" s="32">
        <v>890</v>
      </c>
      <c r="G284" s="33"/>
      <c r="H284" s="30">
        <v>27.4</v>
      </c>
      <c r="I284" s="34">
        <v>3.7837999999999998</v>
      </c>
      <c r="J284" s="35">
        <v>0.15892000000000001</v>
      </c>
      <c r="L284" s="30">
        <v>27.4</v>
      </c>
      <c r="M284" s="172">
        <v>7.415</v>
      </c>
      <c r="N284" s="173">
        <v>0.13486000000000001</v>
      </c>
      <c r="P284" s="30">
        <v>27.4</v>
      </c>
      <c r="Q284" s="172">
        <v>3.7075999999999998</v>
      </c>
      <c r="R284" s="173">
        <v>0.15572</v>
      </c>
      <c r="T284" s="30">
        <v>27.4</v>
      </c>
      <c r="U284" s="172">
        <v>269.72000000000099</v>
      </c>
      <c r="V284" s="173">
        <v>6.4219999999999997</v>
      </c>
      <c r="X284" s="30">
        <v>27.4</v>
      </c>
      <c r="Y284" s="34">
        <v>3.3102999999999998</v>
      </c>
      <c r="Z284" s="35">
        <v>0.13902999999999999</v>
      </c>
      <c r="AA284" s="36"/>
      <c r="AB284" s="30">
        <v>27.4</v>
      </c>
      <c r="AC284" s="44">
        <v>302.08</v>
      </c>
      <c r="AD284" s="35">
        <v>7.1920000000000002</v>
      </c>
      <c r="AE284" s="36"/>
      <c r="AF284" s="30">
        <v>27.4</v>
      </c>
      <c r="AG284" s="34">
        <v>3.3633999999999999</v>
      </c>
      <c r="AH284" s="35">
        <v>0.14126</v>
      </c>
      <c r="AI284" s="35"/>
      <c r="AJ284" s="35">
        <v>0.11867</v>
      </c>
      <c r="AK284" s="998">
        <v>57.6</v>
      </c>
      <c r="AM284" s="30">
        <v>27.4</v>
      </c>
      <c r="AN284" s="34">
        <v>1.0206</v>
      </c>
      <c r="AO284" s="35">
        <v>1.143</v>
      </c>
      <c r="AQ284" s="197">
        <v>0.92400000000000004</v>
      </c>
      <c r="AR284" s="200">
        <v>21.64</v>
      </c>
      <c r="AS284" s="199">
        <v>923.5</v>
      </c>
      <c r="AZ284" s="197">
        <v>0.92400000000000004</v>
      </c>
      <c r="BA284" s="198">
        <v>7.6944999999999997</v>
      </c>
      <c r="BB284" s="199">
        <v>0.12995999999999999</v>
      </c>
      <c r="BD284" s="197">
        <v>0.92400000000000004</v>
      </c>
      <c r="BE284" s="198">
        <v>3.8472</v>
      </c>
      <c r="BF284" s="199">
        <v>0.16158</v>
      </c>
      <c r="BH284" s="197">
        <v>0.92400000000000004</v>
      </c>
      <c r="BI284" s="198">
        <v>259.93</v>
      </c>
      <c r="BJ284" s="199">
        <v>6.1890000000000001</v>
      </c>
      <c r="BL284" s="197">
        <v>0.92400000000000004</v>
      </c>
      <c r="BM284" s="198">
        <v>3.4350000000000001</v>
      </c>
      <c r="BN284" s="199">
        <v>0.14427000000000001</v>
      </c>
      <c r="BP284" s="197">
        <v>0.92400000000000004</v>
      </c>
      <c r="BQ284" s="200">
        <v>291.12</v>
      </c>
      <c r="BR284" s="199">
        <v>6.931</v>
      </c>
      <c r="BT284" s="197">
        <v>0.92400000000000004</v>
      </c>
      <c r="BU284" s="201">
        <v>0.98350000000000004</v>
      </c>
      <c r="BV284" s="202">
        <v>1.1014999999999999</v>
      </c>
      <c r="BX284" s="37">
        <v>924</v>
      </c>
      <c r="BY284" s="38">
        <v>0.92449999999999999</v>
      </c>
      <c r="BZ284" s="39">
        <v>21.55</v>
      </c>
      <c r="CA284" s="33"/>
      <c r="CB284" s="37">
        <v>924</v>
      </c>
      <c r="CC284" s="38">
        <v>0.15892000000000001</v>
      </c>
      <c r="CD284" s="42">
        <v>6.2919999999999998</v>
      </c>
      <c r="CE284" s="33"/>
      <c r="CF284" s="33"/>
      <c r="CG284" s="33"/>
      <c r="CH284" s="33"/>
      <c r="CI284" s="33"/>
      <c r="CJ284" s="33"/>
      <c r="CK284" s="33"/>
      <c r="CL284" s="40">
        <v>924</v>
      </c>
      <c r="CM284" s="43">
        <v>922.9</v>
      </c>
      <c r="CN284" s="41">
        <v>1.0834999999999999</v>
      </c>
      <c r="CO284" s="33"/>
      <c r="CP284" s="40">
        <v>924</v>
      </c>
      <c r="CQ284" s="34">
        <v>1.0173000000000001</v>
      </c>
      <c r="CR284" s="41">
        <v>0.9083</v>
      </c>
      <c r="CS284" s="33"/>
      <c r="CT284" s="40">
        <v>924</v>
      </c>
      <c r="CU284" s="44">
        <v>286.35000000000002</v>
      </c>
      <c r="CV284" s="42">
        <v>6.8179999999999996</v>
      </c>
    </row>
    <row r="285" spans="4:100">
      <c r="D285" s="30">
        <v>27.5</v>
      </c>
      <c r="E285" s="31">
        <v>0.88990000000000002</v>
      </c>
      <c r="F285" s="32">
        <v>889.4</v>
      </c>
      <c r="G285" s="33"/>
      <c r="H285" s="30">
        <v>27.5</v>
      </c>
      <c r="I285" s="34">
        <v>3.7837999999999998</v>
      </c>
      <c r="J285" s="35">
        <v>0.15892000000000001</v>
      </c>
      <c r="L285" s="30">
        <v>27.5</v>
      </c>
      <c r="M285" s="172">
        <v>7.41</v>
      </c>
      <c r="N285" s="173">
        <v>0.13494</v>
      </c>
      <c r="P285" s="30">
        <v>27.5</v>
      </c>
      <c r="Q285" s="172">
        <v>3.7052</v>
      </c>
      <c r="R285" s="173">
        <v>0.15562000000000001</v>
      </c>
      <c r="T285" s="30">
        <v>27.5</v>
      </c>
      <c r="U285" s="172">
        <v>269.89000000000101</v>
      </c>
      <c r="V285" s="173">
        <v>6.4260000000000002</v>
      </c>
      <c r="X285" s="30">
        <v>27.5</v>
      </c>
      <c r="Y285" s="34">
        <v>3.3081999999999998</v>
      </c>
      <c r="Z285" s="35">
        <v>0.13894999999999999</v>
      </c>
      <c r="AA285" s="36"/>
      <c r="AB285" s="30">
        <v>27.5</v>
      </c>
      <c r="AC285" s="44">
        <v>302.27999999999997</v>
      </c>
      <c r="AD285" s="35">
        <v>7.1970000000000001</v>
      </c>
      <c r="AE285" s="36"/>
      <c r="AF285" s="30">
        <v>27.5</v>
      </c>
      <c r="AG285" s="34">
        <v>3.3613</v>
      </c>
      <c r="AH285" s="35">
        <v>0.14118</v>
      </c>
      <c r="AI285" s="35"/>
      <c r="AJ285" s="35">
        <v>0.11874</v>
      </c>
      <c r="AK285" s="998">
        <v>57.5</v>
      </c>
      <c r="AM285" s="30">
        <v>27.5</v>
      </c>
      <c r="AN285" s="34">
        <v>1.0212000000000001</v>
      </c>
      <c r="AO285" s="35">
        <v>1.1436999999999999</v>
      </c>
      <c r="AQ285" s="197">
        <v>0.92500000000000004</v>
      </c>
      <c r="AR285" s="200">
        <v>21.47</v>
      </c>
      <c r="AS285" s="199">
        <v>924.5</v>
      </c>
      <c r="AZ285" s="197">
        <v>0.92500000000000004</v>
      </c>
      <c r="BA285" s="198">
        <v>7.7027999999999999</v>
      </c>
      <c r="BB285" s="199">
        <v>0.12981999999999999</v>
      </c>
      <c r="BD285" s="197">
        <v>0.92500000000000004</v>
      </c>
      <c r="BE285" s="198">
        <v>3.8513999999999999</v>
      </c>
      <c r="BF285" s="199">
        <v>0.16175999999999999</v>
      </c>
      <c r="BH285" s="197">
        <v>0.92500000000000004</v>
      </c>
      <c r="BI285" s="198">
        <v>259.64</v>
      </c>
      <c r="BJ285" s="199">
        <v>6.1820000000000004</v>
      </c>
      <c r="BL285" s="197">
        <v>0.92500000000000004</v>
      </c>
      <c r="BM285" s="198">
        <v>3.4388000000000001</v>
      </c>
      <c r="BN285" s="199">
        <v>0.14443</v>
      </c>
      <c r="BP285" s="197">
        <v>0.92500000000000004</v>
      </c>
      <c r="BQ285" s="200">
        <v>290.8</v>
      </c>
      <c r="BR285" s="199">
        <v>6.9240000000000004</v>
      </c>
      <c r="BT285" s="197">
        <v>0.92500000000000004</v>
      </c>
      <c r="BU285" s="201">
        <v>0.98250000000000004</v>
      </c>
      <c r="BV285" s="202">
        <v>1.1004</v>
      </c>
      <c r="BX285" s="37">
        <v>925</v>
      </c>
      <c r="BY285" s="38">
        <v>0.92549999999999999</v>
      </c>
      <c r="BZ285" s="39">
        <v>21.39</v>
      </c>
      <c r="CA285" s="33"/>
      <c r="CB285" s="37">
        <v>925</v>
      </c>
      <c r="CC285" s="38">
        <v>0.15892000000000001</v>
      </c>
      <c r="CD285" s="42">
        <v>6.2919999999999998</v>
      </c>
      <c r="CE285" s="33"/>
      <c r="CF285" s="33"/>
      <c r="CG285" s="33"/>
      <c r="CH285" s="33"/>
      <c r="CI285" s="33"/>
      <c r="CJ285" s="33"/>
      <c r="CK285" s="33"/>
      <c r="CL285" s="40">
        <v>925</v>
      </c>
      <c r="CM285" s="43">
        <v>923.9</v>
      </c>
      <c r="CN285" s="41">
        <v>1.0823</v>
      </c>
      <c r="CO285" s="33"/>
      <c r="CP285" s="40">
        <v>925</v>
      </c>
      <c r="CQ285" s="34">
        <v>1.0184</v>
      </c>
      <c r="CR285" s="41">
        <v>0.9093</v>
      </c>
      <c r="CS285" s="33"/>
      <c r="CT285" s="40">
        <v>925</v>
      </c>
      <c r="CU285" s="44">
        <v>286.04000000000002</v>
      </c>
      <c r="CV285" s="42">
        <v>6.8109999999999999</v>
      </c>
    </row>
    <row r="286" spans="4:100">
      <c r="D286" s="30">
        <v>27.6</v>
      </c>
      <c r="E286" s="31">
        <v>0.88939999999999997</v>
      </c>
      <c r="F286" s="32">
        <v>888.9</v>
      </c>
      <c r="G286" s="33"/>
      <c r="H286" s="30">
        <v>27.6</v>
      </c>
      <c r="I286" s="34">
        <v>3.7837999999999998</v>
      </c>
      <c r="J286" s="35">
        <v>0.15892000000000001</v>
      </c>
      <c r="L286" s="30">
        <v>27.6</v>
      </c>
      <c r="M286" s="172">
        <v>7.4059999999999997</v>
      </c>
      <c r="N286" s="173">
        <v>0.13503000000000001</v>
      </c>
      <c r="P286" s="30">
        <v>27.6</v>
      </c>
      <c r="Q286" s="172">
        <v>3.7029000000000001</v>
      </c>
      <c r="R286" s="173">
        <v>0.15551999999999999</v>
      </c>
      <c r="T286" s="30">
        <v>27.6</v>
      </c>
      <c r="U286" s="172">
        <v>270.06000000000103</v>
      </c>
      <c r="V286" s="173">
        <v>6.43</v>
      </c>
      <c r="X286" s="30">
        <v>27.6</v>
      </c>
      <c r="Y286" s="34">
        <v>3.3062</v>
      </c>
      <c r="Z286" s="35">
        <v>0.13886000000000001</v>
      </c>
      <c r="AA286" s="36"/>
      <c r="AB286" s="30">
        <v>27.6</v>
      </c>
      <c r="AC286" s="44">
        <v>302.47000000000003</v>
      </c>
      <c r="AD286" s="35">
        <v>7.202</v>
      </c>
      <c r="AE286" s="36"/>
      <c r="AF286" s="30">
        <v>27.6</v>
      </c>
      <c r="AG286" s="34">
        <v>3.3592</v>
      </c>
      <c r="AH286" s="35">
        <v>0.14108999999999999</v>
      </c>
      <c r="AI286" s="35"/>
      <c r="AJ286" s="35">
        <v>0.1188</v>
      </c>
      <c r="AK286" s="998">
        <v>57.4</v>
      </c>
      <c r="AM286" s="30">
        <v>27.6</v>
      </c>
      <c r="AN286" s="34">
        <v>1.0218</v>
      </c>
      <c r="AO286" s="35">
        <v>1.1445000000000001</v>
      </c>
      <c r="AQ286" s="197">
        <v>0.92600000000000005</v>
      </c>
      <c r="AR286" s="200">
        <v>21.31</v>
      </c>
      <c r="AS286" s="199">
        <v>925.5</v>
      </c>
      <c r="AZ286" s="197">
        <v>0.92600000000000005</v>
      </c>
      <c r="BA286" s="198">
        <v>7.7111999999999998</v>
      </c>
      <c r="BB286" s="199">
        <v>0.12967999999999999</v>
      </c>
      <c r="BD286" s="197">
        <v>0.92600000000000005</v>
      </c>
      <c r="BE286" s="198">
        <v>3.8555999999999999</v>
      </c>
      <c r="BF286" s="199">
        <v>0.16192999999999999</v>
      </c>
      <c r="BH286" s="197">
        <v>0.92600000000000005</v>
      </c>
      <c r="BI286" s="198">
        <v>259.36</v>
      </c>
      <c r="BJ286" s="199">
        <v>6.1749999999999998</v>
      </c>
      <c r="BL286" s="197">
        <v>0.92600000000000005</v>
      </c>
      <c r="BM286" s="198">
        <v>3.4424999999999999</v>
      </c>
      <c r="BN286" s="199">
        <v>0.14457999999999999</v>
      </c>
      <c r="BP286" s="197">
        <v>0.92600000000000005</v>
      </c>
      <c r="BQ286" s="200">
        <v>290.49</v>
      </c>
      <c r="BR286" s="199">
        <v>6.9160000000000004</v>
      </c>
      <c r="BT286" s="197">
        <v>0.92600000000000005</v>
      </c>
      <c r="BU286" s="201">
        <v>0.98140000000000005</v>
      </c>
      <c r="BV286" s="202">
        <v>1.0992</v>
      </c>
      <c r="BX286" s="37">
        <v>926</v>
      </c>
      <c r="BY286" s="38">
        <v>0.92649999999999999</v>
      </c>
      <c r="BZ286" s="39">
        <v>21.22</v>
      </c>
      <c r="CA286" s="33"/>
      <c r="CB286" s="37">
        <v>926</v>
      </c>
      <c r="CC286" s="38">
        <v>0.15892000000000001</v>
      </c>
      <c r="CD286" s="42">
        <v>6.2919999999999998</v>
      </c>
      <c r="CE286" s="33"/>
      <c r="CF286" s="33"/>
      <c r="CG286" s="33"/>
      <c r="CH286" s="33"/>
      <c r="CI286" s="33"/>
      <c r="CJ286" s="33"/>
      <c r="CK286" s="33"/>
      <c r="CL286" s="40">
        <v>926</v>
      </c>
      <c r="CM286" s="43">
        <v>924.9</v>
      </c>
      <c r="CN286" s="41">
        <v>1.0811999999999999</v>
      </c>
      <c r="CO286" s="33"/>
      <c r="CP286" s="40">
        <v>926</v>
      </c>
      <c r="CQ286" s="34">
        <v>1.0195000000000001</v>
      </c>
      <c r="CR286" s="41">
        <v>0.9103</v>
      </c>
      <c r="CS286" s="33"/>
      <c r="CT286" s="40">
        <v>926</v>
      </c>
      <c r="CU286" s="44">
        <v>285.73</v>
      </c>
      <c r="CV286" s="42">
        <v>6.8029999999999999</v>
      </c>
    </row>
    <row r="287" spans="4:100">
      <c r="D287" s="30">
        <v>27.7</v>
      </c>
      <c r="E287" s="31">
        <v>0.88880000000000003</v>
      </c>
      <c r="F287" s="32">
        <v>888.3</v>
      </c>
      <c r="G287" s="33"/>
      <c r="H287" s="30">
        <v>27.7</v>
      </c>
      <c r="I287" s="34">
        <v>3.7837999999999998</v>
      </c>
      <c r="J287" s="35">
        <v>0.15892000000000001</v>
      </c>
      <c r="L287" s="30">
        <v>27.7</v>
      </c>
      <c r="M287" s="172">
        <v>7.4009999999999998</v>
      </c>
      <c r="N287" s="173">
        <v>0.13511000000000001</v>
      </c>
      <c r="P287" s="30">
        <v>27.7</v>
      </c>
      <c r="Q287" s="172">
        <v>3.7006000000000001</v>
      </c>
      <c r="R287" s="173">
        <v>0.15542</v>
      </c>
      <c r="T287" s="30">
        <v>27.7</v>
      </c>
      <c r="U287" s="172">
        <v>270.23000000000098</v>
      </c>
      <c r="V287" s="173">
        <v>6.4340000000000002</v>
      </c>
      <c r="X287" s="30">
        <v>27.7</v>
      </c>
      <c r="Y287" s="34">
        <v>3.3041</v>
      </c>
      <c r="Z287" s="35">
        <v>0.13877</v>
      </c>
      <c r="AA287" s="36"/>
      <c r="AB287" s="30">
        <v>27.7</v>
      </c>
      <c r="AC287" s="44">
        <v>302.66000000000003</v>
      </c>
      <c r="AD287" s="35">
        <v>7.2060000000000004</v>
      </c>
      <c r="AE287" s="36"/>
      <c r="AF287" s="30">
        <v>27.7</v>
      </c>
      <c r="AG287" s="34">
        <v>3.3571</v>
      </c>
      <c r="AH287" s="35">
        <v>0.14099999999999999</v>
      </c>
      <c r="AI287" s="35"/>
      <c r="AJ287" s="35">
        <v>0.11885999999999999</v>
      </c>
      <c r="AK287" s="998">
        <v>57.3</v>
      </c>
      <c r="AM287" s="30">
        <v>27.7</v>
      </c>
      <c r="AN287" s="34">
        <v>1.0225</v>
      </c>
      <c r="AO287" s="35">
        <v>1.1452</v>
      </c>
      <c r="AQ287" s="197">
        <v>0.92700000000000005</v>
      </c>
      <c r="AR287" s="200">
        <v>21.14</v>
      </c>
      <c r="AS287" s="199">
        <v>926.5</v>
      </c>
      <c r="AZ287" s="197">
        <v>0.92700000000000005</v>
      </c>
      <c r="BA287" s="198">
        <v>7.7195</v>
      </c>
      <c r="BB287" s="199">
        <v>0.12953999999999999</v>
      </c>
      <c r="BD287" s="197">
        <v>0.92700000000000005</v>
      </c>
      <c r="BE287" s="198">
        <v>3.8597999999999999</v>
      </c>
      <c r="BF287" s="199">
        <v>0.16211</v>
      </c>
      <c r="BH287" s="197">
        <v>0.92700000000000005</v>
      </c>
      <c r="BI287" s="198">
        <v>259.08</v>
      </c>
      <c r="BJ287" s="199">
        <v>6.1689999999999996</v>
      </c>
      <c r="BL287" s="197">
        <v>0.92700000000000005</v>
      </c>
      <c r="BM287" s="198">
        <v>3.4462000000000002</v>
      </c>
      <c r="BN287" s="199">
        <v>0.14474000000000001</v>
      </c>
      <c r="BP287" s="197">
        <v>0.92700000000000005</v>
      </c>
      <c r="BQ287" s="200">
        <v>290.17</v>
      </c>
      <c r="BR287" s="199">
        <v>6.9089999999999998</v>
      </c>
      <c r="BT287" s="197">
        <v>0.92700000000000005</v>
      </c>
      <c r="BU287" s="201">
        <v>0.98029999999999995</v>
      </c>
      <c r="BV287" s="202">
        <v>1.0980000000000001</v>
      </c>
      <c r="BX287" s="37">
        <v>927</v>
      </c>
      <c r="BY287" s="38">
        <v>0.92749999999999999</v>
      </c>
      <c r="BZ287" s="39">
        <v>21.06</v>
      </c>
      <c r="CA287" s="33"/>
      <c r="CB287" s="37">
        <v>927</v>
      </c>
      <c r="CC287" s="38">
        <v>0.15892000000000001</v>
      </c>
      <c r="CD287" s="42">
        <v>6.2919999999999998</v>
      </c>
      <c r="CE287" s="33"/>
      <c r="CF287" s="33"/>
      <c r="CG287" s="33"/>
      <c r="CH287" s="33"/>
      <c r="CI287" s="33"/>
      <c r="CJ287" s="33"/>
      <c r="CK287" s="33"/>
      <c r="CL287" s="40">
        <v>927</v>
      </c>
      <c r="CM287" s="43">
        <v>925.9</v>
      </c>
      <c r="CN287" s="41">
        <v>1.08</v>
      </c>
      <c r="CO287" s="33"/>
      <c r="CP287" s="40">
        <v>927</v>
      </c>
      <c r="CQ287" s="34">
        <v>1.0206999999999999</v>
      </c>
      <c r="CR287" s="41">
        <v>0.9113</v>
      </c>
      <c r="CS287" s="33"/>
      <c r="CT287" s="40">
        <v>927</v>
      </c>
      <c r="CU287" s="44">
        <v>285.42</v>
      </c>
      <c r="CV287" s="42">
        <v>6.7960000000000003</v>
      </c>
    </row>
    <row r="288" spans="4:100">
      <c r="D288" s="30">
        <v>27.8</v>
      </c>
      <c r="E288" s="31">
        <v>0.88829999999999998</v>
      </c>
      <c r="F288" s="32">
        <v>887.8</v>
      </c>
      <c r="G288" s="33"/>
      <c r="H288" s="30">
        <v>27.8</v>
      </c>
      <c r="I288" s="34">
        <v>3.7837999999999998</v>
      </c>
      <c r="J288" s="35">
        <v>0.15892000000000001</v>
      </c>
      <c r="L288" s="30">
        <v>27.8</v>
      </c>
      <c r="M288" s="172">
        <v>7.3959999999999999</v>
      </c>
      <c r="N288" s="173">
        <v>0.13519999999999999</v>
      </c>
      <c r="P288" s="30">
        <v>27.8</v>
      </c>
      <c r="Q288" s="172">
        <v>3.6981999999999999</v>
      </c>
      <c r="R288" s="173">
        <v>0.15533</v>
      </c>
      <c r="T288" s="30">
        <v>27.8</v>
      </c>
      <c r="U288" s="172">
        <v>270.400000000001</v>
      </c>
      <c r="V288" s="173">
        <v>6.4379999999999997</v>
      </c>
      <c r="X288" s="30">
        <v>27.8</v>
      </c>
      <c r="Y288" s="34">
        <v>3.302</v>
      </c>
      <c r="Z288" s="35">
        <v>0.13868</v>
      </c>
      <c r="AA288" s="36"/>
      <c r="AB288" s="30">
        <v>27.8</v>
      </c>
      <c r="AC288" s="44">
        <v>302.85000000000002</v>
      </c>
      <c r="AD288" s="35">
        <v>7.2110000000000003</v>
      </c>
      <c r="AE288" s="36"/>
      <c r="AF288" s="30">
        <v>27.8</v>
      </c>
      <c r="AG288" s="34">
        <v>3.355</v>
      </c>
      <c r="AH288" s="35">
        <v>0.14091000000000001</v>
      </c>
      <c r="AI288" s="35"/>
      <c r="AJ288" s="35">
        <v>0.11892999999999999</v>
      </c>
      <c r="AK288" s="998">
        <v>57.2</v>
      </c>
      <c r="AM288" s="30">
        <v>27.8</v>
      </c>
      <c r="AN288" s="34">
        <v>1.0230999999999999</v>
      </c>
      <c r="AO288" s="35">
        <v>1.1458999999999999</v>
      </c>
      <c r="AQ288" s="197">
        <v>0.92800000000000005</v>
      </c>
      <c r="AR288" s="200">
        <v>20.98</v>
      </c>
      <c r="AS288" s="199">
        <v>927.5</v>
      </c>
      <c r="AZ288" s="197">
        <v>0.92800000000000005</v>
      </c>
      <c r="BA288" s="198">
        <v>7.7278000000000002</v>
      </c>
      <c r="BB288" s="199">
        <v>0.12939999999999999</v>
      </c>
      <c r="BD288" s="197">
        <v>0.92800000000000005</v>
      </c>
      <c r="BE288" s="198">
        <v>3.8639000000000001</v>
      </c>
      <c r="BF288" s="199">
        <v>0.16228000000000001</v>
      </c>
      <c r="BH288" s="197">
        <v>0.92800000000000005</v>
      </c>
      <c r="BI288" s="198">
        <v>258.8</v>
      </c>
      <c r="BJ288" s="199">
        <v>6.1619999999999999</v>
      </c>
      <c r="BL288" s="197">
        <v>0.92800000000000005</v>
      </c>
      <c r="BM288" s="198">
        <v>3.4499</v>
      </c>
      <c r="BN288" s="199">
        <v>0.1449</v>
      </c>
      <c r="BP288" s="197">
        <v>0.92800000000000005</v>
      </c>
      <c r="BQ288" s="200">
        <v>289.86</v>
      </c>
      <c r="BR288" s="199">
        <v>6.9009999999999998</v>
      </c>
      <c r="BT288" s="197">
        <v>0.92800000000000005</v>
      </c>
      <c r="BU288" s="201">
        <v>0.97929999999999995</v>
      </c>
      <c r="BV288" s="202">
        <v>1.0968</v>
      </c>
      <c r="BX288" s="37">
        <v>928</v>
      </c>
      <c r="BY288" s="38">
        <v>0.92849999999999999</v>
      </c>
      <c r="BZ288" s="39">
        <v>20.89</v>
      </c>
      <c r="CA288" s="33"/>
      <c r="CB288" s="37">
        <v>928</v>
      </c>
      <c r="CC288" s="38">
        <v>0.15892000000000001</v>
      </c>
      <c r="CD288" s="42">
        <v>6.2919999999999998</v>
      </c>
      <c r="CE288" s="33"/>
      <c r="CF288" s="33"/>
      <c r="CG288" s="33"/>
      <c r="CH288" s="33"/>
      <c r="CI288" s="33"/>
      <c r="CJ288" s="33"/>
      <c r="CK288" s="33"/>
      <c r="CL288" s="40">
        <v>928</v>
      </c>
      <c r="CM288" s="43">
        <v>926.9</v>
      </c>
      <c r="CN288" s="41">
        <v>1.0788</v>
      </c>
      <c r="CO288" s="33"/>
      <c r="CP288" s="40">
        <v>928</v>
      </c>
      <c r="CQ288" s="34">
        <v>1.0218</v>
      </c>
      <c r="CR288" s="41">
        <v>0.9123</v>
      </c>
      <c r="CS288" s="33"/>
      <c r="CT288" s="40">
        <v>928</v>
      </c>
      <c r="CU288" s="44">
        <v>285.12</v>
      </c>
      <c r="CV288" s="42">
        <v>6.7880000000000003</v>
      </c>
    </row>
    <row r="289" spans="4:100">
      <c r="D289" s="30">
        <v>27.9</v>
      </c>
      <c r="E289" s="31">
        <v>0.88770000000000004</v>
      </c>
      <c r="F289" s="32">
        <v>887.2</v>
      </c>
      <c r="G289" s="33"/>
      <c r="H289" s="30">
        <v>27.9</v>
      </c>
      <c r="I289" s="34">
        <v>3.7837999999999998</v>
      </c>
      <c r="J289" s="35">
        <v>0.15892000000000001</v>
      </c>
      <c r="L289" s="30">
        <v>27.9</v>
      </c>
      <c r="M289" s="172">
        <v>7.3920000000000003</v>
      </c>
      <c r="N289" s="173">
        <v>0.13528000000000001</v>
      </c>
      <c r="P289" s="30">
        <v>27.9</v>
      </c>
      <c r="Q289" s="172">
        <v>3.6959</v>
      </c>
      <c r="R289" s="173">
        <v>0.15523000000000001</v>
      </c>
      <c r="T289" s="30">
        <v>27.9</v>
      </c>
      <c r="U289" s="172">
        <v>270.57000000000102</v>
      </c>
      <c r="V289" s="173">
        <v>6.4419999999999904</v>
      </c>
      <c r="X289" s="30">
        <v>27.9</v>
      </c>
      <c r="Y289" s="34">
        <v>3.2999000000000001</v>
      </c>
      <c r="Z289" s="35">
        <v>0.1386</v>
      </c>
      <c r="AA289" s="36"/>
      <c r="AB289" s="30">
        <v>27.9</v>
      </c>
      <c r="AC289" s="44">
        <v>303.04000000000002</v>
      </c>
      <c r="AD289" s="35">
        <v>7.2149999999999999</v>
      </c>
      <c r="AE289" s="36"/>
      <c r="AF289" s="30">
        <v>27.9</v>
      </c>
      <c r="AG289" s="34">
        <v>3.3529</v>
      </c>
      <c r="AH289" s="35">
        <v>0.14082</v>
      </c>
      <c r="AI289" s="35"/>
      <c r="AJ289" s="35">
        <v>0.11899</v>
      </c>
      <c r="AK289" s="998">
        <v>57.1</v>
      </c>
      <c r="AM289" s="30">
        <v>27.9</v>
      </c>
      <c r="AN289" s="34">
        <v>1.0238</v>
      </c>
      <c r="AO289" s="35">
        <v>1.1466000000000001</v>
      </c>
      <c r="AQ289" s="197">
        <v>0.92900000000000005</v>
      </c>
      <c r="AR289" s="200">
        <v>20.81</v>
      </c>
      <c r="AS289" s="199">
        <v>928.5</v>
      </c>
      <c r="AZ289" s="197">
        <v>0.92900000000000005</v>
      </c>
      <c r="BA289" s="198">
        <v>7.7362000000000002</v>
      </c>
      <c r="BB289" s="199">
        <v>0.12926000000000001</v>
      </c>
      <c r="BD289" s="197">
        <v>0.92900000000000005</v>
      </c>
      <c r="BE289" s="198">
        <v>3.8681000000000001</v>
      </c>
      <c r="BF289" s="199">
        <v>0.16245999999999999</v>
      </c>
      <c r="BH289" s="197">
        <v>0.92900000000000005</v>
      </c>
      <c r="BI289" s="198">
        <v>258.52999999999997</v>
      </c>
      <c r="BJ289" s="199">
        <v>6.1550000000000002</v>
      </c>
      <c r="BL289" s="197">
        <v>0.92900000000000005</v>
      </c>
      <c r="BM289" s="198">
        <v>3.4537</v>
      </c>
      <c r="BN289" s="199">
        <v>0.14505000000000001</v>
      </c>
      <c r="BP289" s="197">
        <v>0.92900000000000005</v>
      </c>
      <c r="BQ289" s="200">
        <v>289.55</v>
      </c>
      <c r="BR289" s="199">
        <v>6.8940000000000001</v>
      </c>
      <c r="BT289" s="197">
        <v>0.92900000000000005</v>
      </c>
      <c r="BU289" s="201">
        <v>0.97819999999999996</v>
      </c>
      <c r="BV289" s="202">
        <v>1.0955999999999999</v>
      </c>
      <c r="BX289" s="37">
        <v>929</v>
      </c>
      <c r="BY289" s="38">
        <v>0.92949999999999999</v>
      </c>
      <c r="BZ289" s="39">
        <v>20.73</v>
      </c>
      <c r="CA289" s="33"/>
      <c r="CB289" s="37">
        <v>929</v>
      </c>
      <c r="CC289" s="38">
        <v>0.15892000000000001</v>
      </c>
      <c r="CD289" s="42">
        <v>6.2919999999999998</v>
      </c>
      <c r="CE289" s="33"/>
      <c r="CF289" s="33"/>
      <c r="CG289" s="33"/>
      <c r="CH289" s="33"/>
      <c r="CI289" s="33"/>
      <c r="CJ289" s="33"/>
      <c r="CK289" s="33"/>
      <c r="CL289" s="40">
        <v>929</v>
      </c>
      <c r="CM289" s="43">
        <v>927.9</v>
      </c>
      <c r="CN289" s="41">
        <v>1.0777000000000001</v>
      </c>
      <c r="CO289" s="33"/>
      <c r="CP289" s="40">
        <v>929</v>
      </c>
      <c r="CQ289" s="34">
        <v>1.0228999999999999</v>
      </c>
      <c r="CR289" s="41">
        <v>0.9133</v>
      </c>
      <c r="CS289" s="33"/>
      <c r="CT289" s="40">
        <v>929</v>
      </c>
      <c r="CU289" s="44">
        <v>284.81</v>
      </c>
      <c r="CV289" s="42">
        <v>6.7809999999999997</v>
      </c>
    </row>
    <row r="290" spans="4:100">
      <c r="D290" s="30">
        <v>28</v>
      </c>
      <c r="E290" s="31">
        <v>0.8871</v>
      </c>
      <c r="F290" s="32">
        <v>886.7</v>
      </c>
      <c r="G290" s="33"/>
      <c r="H290" s="30">
        <v>28</v>
      </c>
      <c r="I290" s="34">
        <v>3.7837999999999998</v>
      </c>
      <c r="J290" s="35">
        <v>0.15892000000000001</v>
      </c>
      <c r="L290" s="30">
        <v>28</v>
      </c>
      <c r="M290" s="172">
        <v>7.3869999999999996</v>
      </c>
      <c r="N290" s="173">
        <v>0.13536999999999999</v>
      </c>
      <c r="P290" s="30">
        <v>28</v>
      </c>
      <c r="Q290" s="172">
        <v>3.6936</v>
      </c>
      <c r="R290" s="173">
        <v>0.15512999999999999</v>
      </c>
      <c r="T290" s="30">
        <v>28</v>
      </c>
      <c r="U290" s="172">
        <v>270.74000000000098</v>
      </c>
      <c r="V290" s="173">
        <v>6.44599999999999</v>
      </c>
      <c r="X290" s="30">
        <v>28</v>
      </c>
      <c r="Y290" s="34">
        <v>3.2978999999999998</v>
      </c>
      <c r="Z290" s="35">
        <v>0.13850999999999999</v>
      </c>
      <c r="AA290" s="36"/>
      <c r="AB290" s="30">
        <v>28</v>
      </c>
      <c r="AC290" s="44">
        <v>303.23</v>
      </c>
      <c r="AD290" s="35">
        <v>7.22</v>
      </c>
      <c r="AE290" s="36"/>
      <c r="AF290" s="30">
        <v>28</v>
      </c>
      <c r="AG290" s="34">
        <v>3.3508</v>
      </c>
      <c r="AH290" s="35">
        <v>0.14072999999999999</v>
      </c>
      <c r="AI290" s="35"/>
      <c r="AJ290" s="35">
        <v>0.11905</v>
      </c>
      <c r="AK290" s="998">
        <v>57</v>
      </c>
      <c r="AM290" s="30">
        <v>28</v>
      </c>
      <c r="AN290" s="34">
        <v>1.0244</v>
      </c>
      <c r="AO290" s="35">
        <v>1.1473</v>
      </c>
      <c r="AQ290" s="197">
        <v>0.93</v>
      </c>
      <c r="AR290" s="200">
        <v>20.65</v>
      </c>
      <c r="AS290" s="199">
        <v>929.5</v>
      </c>
      <c r="AZ290" s="197">
        <v>0.93</v>
      </c>
      <c r="BA290" s="198">
        <v>7.7445000000000004</v>
      </c>
      <c r="BB290" s="199">
        <v>0.12912000000000001</v>
      </c>
      <c r="BD290" s="197">
        <v>0.93</v>
      </c>
      <c r="BE290" s="198">
        <v>3.8723000000000001</v>
      </c>
      <c r="BF290" s="199">
        <v>0.16263</v>
      </c>
      <c r="BH290" s="197">
        <v>0.93</v>
      </c>
      <c r="BI290" s="198">
        <v>258.25</v>
      </c>
      <c r="BJ290" s="199">
        <v>6.149</v>
      </c>
      <c r="BL290" s="197">
        <v>0.93</v>
      </c>
      <c r="BM290" s="198">
        <v>3.4573999999999998</v>
      </c>
      <c r="BN290" s="199">
        <v>0.14521000000000001</v>
      </c>
      <c r="BP290" s="197">
        <v>0.93</v>
      </c>
      <c r="BQ290" s="200">
        <v>289.24</v>
      </c>
      <c r="BR290" s="199">
        <v>6.8869999999999996</v>
      </c>
      <c r="BT290" s="197">
        <v>0.93</v>
      </c>
      <c r="BU290" s="201">
        <v>0.97719999999999996</v>
      </c>
      <c r="BV290" s="202">
        <v>1.0944</v>
      </c>
      <c r="BX290" s="37">
        <v>930</v>
      </c>
      <c r="BY290" s="38">
        <v>0.93049999999999999</v>
      </c>
      <c r="BZ290" s="39">
        <v>20.56</v>
      </c>
      <c r="CA290" s="33"/>
      <c r="CB290" s="37">
        <v>930</v>
      </c>
      <c r="CC290" s="38">
        <v>0.15892000000000001</v>
      </c>
      <c r="CD290" s="42">
        <v>6.2919999999999998</v>
      </c>
      <c r="CE290" s="33"/>
      <c r="CF290" s="33"/>
      <c r="CG290" s="33"/>
      <c r="CH290" s="33"/>
      <c r="CI290" s="33"/>
      <c r="CJ290" s="33"/>
      <c r="CK290" s="33"/>
      <c r="CL290" s="40">
        <v>930</v>
      </c>
      <c r="CM290" s="43">
        <v>928.9</v>
      </c>
      <c r="CN290" s="41">
        <v>1.0765</v>
      </c>
      <c r="CO290" s="33"/>
      <c r="CP290" s="40">
        <v>930</v>
      </c>
      <c r="CQ290" s="34">
        <v>1.024</v>
      </c>
      <c r="CR290" s="41">
        <v>0.91420000000000001</v>
      </c>
      <c r="CS290" s="33"/>
      <c r="CT290" s="40">
        <v>930</v>
      </c>
      <c r="CU290" s="44">
        <v>284.5</v>
      </c>
      <c r="CV290" s="42">
        <v>6.774</v>
      </c>
    </row>
    <row r="291" spans="4:100">
      <c r="D291" s="30">
        <v>28.1</v>
      </c>
      <c r="E291" s="31">
        <v>0.88660000000000005</v>
      </c>
      <c r="F291" s="32">
        <v>886.1</v>
      </c>
      <c r="G291" s="33"/>
      <c r="H291" s="30">
        <v>28.1</v>
      </c>
      <c r="I291" s="34">
        <v>3.7837999999999998</v>
      </c>
      <c r="J291" s="35">
        <v>0.15892000000000001</v>
      </c>
      <c r="L291" s="30">
        <v>28.1</v>
      </c>
      <c r="M291" s="172">
        <v>7.383</v>
      </c>
      <c r="N291" s="173">
        <v>0.13544999999999999</v>
      </c>
      <c r="P291" s="30">
        <v>28.1</v>
      </c>
      <c r="Q291" s="172">
        <v>3.6913</v>
      </c>
      <c r="R291" s="173">
        <v>0.15503</v>
      </c>
      <c r="T291" s="30">
        <v>28.1</v>
      </c>
      <c r="U291" s="172">
        <v>270.91000000000099</v>
      </c>
      <c r="V291" s="173">
        <v>6.4499999999999904</v>
      </c>
      <c r="X291" s="30">
        <v>28.1</v>
      </c>
      <c r="Y291" s="34">
        <v>3.2957999999999998</v>
      </c>
      <c r="Z291" s="35">
        <v>0.13841999999999999</v>
      </c>
      <c r="AA291" s="36"/>
      <c r="AB291" s="30">
        <v>28.1</v>
      </c>
      <c r="AC291" s="44">
        <v>303.42</v>
      </c>
      <c r="AD291" s="35">
        <v>7.2240000000000002</v>
      </c>
      <c r="AE291" s="36"/>
      <c r="AF291" s="30">
        <v>28.1</v>
      </c>
      <c r="AG291" s="34">
        <v>3.3487</v>
      </c>
      <c r="AH291" s="35">
        <v>0.14063999999999999</v>
      </c>
      <c r="AI291" s="35"/>
      <c r="AJ291" s="35">
        <v>0.11912</v>
      </c>
      <c r="AK291" s="998">
        <v>56.9</v>
      </c>
      <c r="AM291" s="30">
        <v>28.1</v>
      </c>
      <c r="AN291" s="34">
        <v>1.0250999999999999</v>
      </c>
      <c r="AO291" s="35">
        <v>1.1480999999999999</v>
      </c>
      <c r="AQ291" s="197">
        <v>0.93100000000000005</v>
      </c>
      <c r="AR291" s="200">
        <v>20.49</v>
      </c>
      <c r="AS291" s="199">
        <v>930.5</v>
      </c>
      <c r="AZ291" s="197">
        <v>0.93100000000000005</v>
      </c>
      <c r="BA291" s="198">
        <v>7.7529000000000003</v>
      </c>
      <c r="BB291" s="199">
        <v>0.12898000000000001</v>
      </c>
      <c r="BD291" s="197">
        <v>0.93100000000000005</v>
      </c>
      <c r="BE291" s="198">
        <v>3.8763999999999998</v>
      </c>
      <c r="BF291" s="199">
        <v>0.16281000000000001</v>
      </c>
      <c r="BH291" s="197">
        <v>0.93100000000000005</v>
      </c>
      <c r="BI291" s="198">
        <v>257.97000000000003</v>
      </c>
      <c r="BJ291" s="199">
        <v>6.1420000000000003</v>
      </c>
      <c r="BL291" s="197">
        <v>0.93100000000000005</v>
      </c>
      <c r="BM291" s="198">
        <v>3.4611000000000001</v>
      </c>
      <c r="BN291" s="199">
        <v>0.14537</v>
      </c>
      <c r="BP291" s="197">
        <v>0.93100000000000005</v>
      </c>
      <c r="BQ291" s="200">
        <v>288.93</v>
      </c>
      <c r="BR291" s="199">
        <v>6.8789999999999996</v>
      </c>
      <c r="BT291" s="197">
        <v>0.93100000000000005</v>
      </c>
      <c r="BU291" s="201">
        <v>0.97609999999999997</v>
      </c>
      <c r="BV291" s="202">
        <v>1.0932999999999999</v>
      </c>
      <c r="BX291" s="37">
        <v>931</v>
      </c>
      <c r="BY291" s="38">
        <v>0.93149999999999999</v>
      </c>
      <c r="BZ291" s="39">
        <v>20.399999999999999</v>
      </c>
      <c r="CA291" s="33"/>
      <c r="CB291" s="37">
        <v>931</v>
      </c>
      <c r="CC291" s="38">
        <v>0.15892000000000001</v>
      </c>
      <c r="CD291" s="42">
        <v>6.2919999999999998</v>
      </c>
      <c r="CE291" s="33"/>
      <c r="CF291" s="33"/>
      <c r="CG291" s="33"/>
      <c r="CH291" s="33"/>
      <c r="CI291" s="33"/>
      <c r="CJ291" s="33"/>
      <c r="CK291" s="33"/>
      <c r="CL291" s="40">
        <v>931</v>
      </c>
      <c r="CM291" s="43">
        <v>929.9</v>
      </c>
      <c r="CN291" s="41">
        <v>1.0753999999999999</v>
      </c>
      <c r="CO291" s="33"/>
      <c r="CP291" s="40">
        <v>931</v>
      </c>
      <c r="CQ291" s="34">
        <v>1.0250999999999999</v>
      </c>
      <c r="CR291" s="41">
        <v>0.91520000000000001</v>
      </c>
      <c r="CS291" s="33"/>
      <c r="CT291" s="40">
        <v>931</v>
      </c>
      <c r="CU291" s="44">
        <v>284.2</v>
      </c>
      <c r="CV291" s="42">
        <v>6.7670000000000003</v>
      </c>
    </row>
    <row r="292" spans="4:100">
      <c r="D292" s="30">
        <v>28.2</v>
      </c>
      <c r="E292" s="31">
        <v>0.88600000000000001</v>
      </c>
      <c r="F292" s="32">
        <v>885.5</v>
      </c>
      <c r="G292" s="33"/>
      <c r="H292" s="30">
        <v>28.2</v>
      </c>
      <c r="I292" s="34">
        <v>3.7837999999999998</v>
      </c>
      <c r="J292" s="35">
        <v>0.15892000000000001</v>
      </c>
      <c r="L292" s="30">
        <v>28.2</v>
      </c>
      <c r="M292" s="172">
        <v>7.3780000000000001</v>
      </c>
      <c r="N292" s="173">
        <v>0.13553999999999999</v>
      </c>
      <c r="P292" s="30">
        <v>28.2</v>
      </c>
      <c r="Q292" s="172">
        <v>3.6890000000000001</v>
      </c>
      <c r="R292" s="173">
        <v>0.15493999999999999</v>
      </c>
      <c r="T292" s="30">
        <v>28.2</v>
      </c>
      <c r="U292" s="172">
        <v>271.08000000000101</v>
      </c>
      <c r="V292" s="173">
        <v>6.45399999999999</v>
      </c>
      <c r="X292" s="30">
        <v>28.2</v>
      </c>
      <c r="Y292" s="34">
        <v>3.2936999999999999</v>
      </c>
      <c r="Z292" s="35">
        <v>0.13833999999999999</v>
      </c>
      <c r="AA292" s="36"/>
      <c r="AB292" s="30">
        <v>28.2</v>
      </c>
      <c r="AC292" s="44">
        <v>303.61</v>
      </c>
      <c r="AD292" s="35">
        <v>7.2290000000000001</v>
      </c>
      <c r="AE292" s="36"/>
      <c r="AF292" s="30">
        <v>28.2</v>
      </c>
      <c r="AG292" s="34">
        <v>3.3466</v>
      </c>
      <c r="AH292" s="35">
        <v>0.14055999999999999</v>
      </c>
      <c r="AI292" s="35"/>
      <c r="AJ292" s="35">
        <v>0.11917999999999999</v>
      </c>
      <c r="AK292" s="998">
        <v>56.8</v>
      </c>
      <c r="AM292" s="30">
        <v>28.2</v>
      </c>
      <c r="AN292" s="34">
        <v>1.0257000000000001</v>
      </c>
      <c r="AO292" s="35">
        <v>1.1488</v>
      </c>
      <c r="AQ292" s="197">
        <v>0.93200000000000005</v>
      </c>
      <c r="AR292" s="200">
        <v>20.32</v>
      </c>
      <c r="AS292" s="199">
        <v>931.5</v>
      </c>
      <c r="AZ292" s="197">
        <v>0.93200000000000005</v>
      </c>
      <c r="BA292" s="198">
        <v>7.7611999999999997</v>
      </c>
      <c r="BB292" s="199">
        <v>0.12884999999999999</v>
      </c>
      <c r="BD292" s="197">
        <v>0.93200000000000005</v>
      </c>
      <c r="BE292" s="198">
        <v>3.8805999999999998</v>
      </c>
      <c r="BF292" s="199">
        <v>0.16299</v>
      </c>
      <c r="BH292" s="197">
        <v>0.93200000000000005</v>
      </c>
      <c r="BI292" s="198">
        <v>257.69</v>
      </c>
      <c r="BJ292" s="199">
        <v>6.1360000000000001</v>
      </c>
      <c r="BL292" s="197">
        <v>0.93200000000000005</v>
      </c>
      <c r="BM292" s="198">
        <v>3.4647999999999999</v>
      </c>
      <c r="BN292" s="199">
        <v>0.14552000000000001</v>
      </c>
      <c r="BP292" s="197">
        <v>0.93200000000000005</v>
      </c>
      <c r="BQ292" s="200">
        <v>288.62</v>
      </c>
      <c r="BR292" s="199">
        <v>6.8719999999999999</v>
      </c>
      <c r="BT292" s="197">
        <v>0.93200000000000005</v>
      </c>
      <c r="BU292" s="201">
        <v>0.97509999999999997</v>
      </c>
      <c r="BV292" s="202">
        <v>1.0921000000000001</v>
      </c>
      <c r="BX292" s="37">
        <v>932</v>
      </c>
      <c r="BY292" s="38">
        <v>0.9325</v>
      </c>
      <c r="BZ292" s="39">
        <v>20.239999999999998</v>
      </c>
      <c r="CA292" s="33"/>
      <c r="CB292" s="37">
        <v>932</v>
      </c>
      <c r="CC292" s="38">
        <v>0.15892000000000001</v>
      </c>
      <c r="CD292" s="42">
        <v>6.2919999999999998</v>
      </c>
      <c r="CE292" s="33"/>
      <c r="CF292" s="33"/>
      <c r="CG292" s="33"/>
      <c r="CH292" s="33"/>
      <c r="CI292" s="33"/>
      <c r="CJ292" s="33"/>
      <c r="CK292" s="33"/>
      <c r="CL292" s="40">
        <v>932</v>
      </c>
      <c r="CM292" s="43">
        <v>930.9</v>
      </c>
      <c r="CN292" s="41">
        <v>1.0742</v>
      </c>
      <c r="CO292" s="33"/>
      <c r="CP292" s="40">
        <v>932</v>
      </c>
      <c r="CQ292" s="34">
        <v>1.0262</v>
      </c>
      <c r="CR292" s="41">
        <v>0.91620000000000001</v>
      </c>
      <c r="CS292" s="33"/>
      <c r="CT292" s="40">
        <v>932</v>
      </c>
      <c r="CU292" s="44">
        <v>283.89</v>
      </c>
      <c r="CV292" s="42">
        <v>6.7590000000000003</v>
      </c>
    </row>
    <row r="293" spans="4:100">
      <c r="D293" s="30">
        <v>28.3</v>
      </c>
      <c r="E293" s="31">
        <v>0.88549999999999995</v>
      </c>
      <c r="F293" s="32">
        <v>885</v>
      </c>
      <c r="G293" s="33"/>
      <c r="H293" s="30">
        <v>28.3</v>
      </c>
      <c r="I293" s="34">
        <v>3.7837999999999998</v>
      </c>
      <c r="J293" s="35">
        <v>0.15892000000000001</v>
      </c>
      <c r="L293" s="30">
        <v>28.3</v>
      </c>
      <c r="M293" s="172">
        <v>7.3730000000000002</v>
      </c>
      <c r="N293" s="173">
        <v>0.13561999999999999</v>
      </c>
      <c r="P293" s="30">
        <v>28.3</v>
      </c>
      <c r="Q293" s="172">
        <v>3.6867000000000001</v>
      </c>
      <c r="R293" s="173">
        <v>0.15484000000000001</v>
      </c>
      <c r="T293" s="30">
        <v>28.3</v>
      </c>
      <c r="U293" s="172">
        <v>271.25000000000102</v>
      </c>
      <c r="V293" s="173">
        <v>6.4579999999999904</v>
      </c>
      <c r="X293" s="30">
        <v>28.3</v>
      </c>
      <c r="Y293" s="34">
        <v>3.2917000000000001</v>
      </c>
      <c r="Z293" s="35">
        <v>0.13825000000000001</v>
      </c>
      <c r="AA293" s="36"/>
      <c r="AB293" s="30">
        <v>28.3</v>
      </c>
      <c r="AC293" s="44">
        <v>303.8</v>
      </c>
      <c r="AD293" s="35">
        <v>7.2329999999999997</v>
      </c>
      <c r="AE293" s="36"/>
      <c r="AF293" s="30">
        <v>28.3</v>
      </c>
      <c r="AG293" s="34">
        <v>3.3445</v>
      </c>
      <c r="AH293" s="35">
        <v>0.14047000000000001</v>
      </c>
      <c r="AI293" s="35"/>
      <c r="AJ293" s="35">
        <v>0.11924</v>
      </c>
      <c r="AK293" s="998">
        <v>56.7</v>
      </c>
      <c r="AM293" s="30">
        <v>28.3</v>
      </c>
      <c r="AN293" s="34">
        <v>1.0263</v>
      </c>
      <c r="AO293" s="35">
        <v>1.1495</v>
      </c>
      <c r="AQ293" s="197">
        <v>0.93300000000000005</v>
      </c>
      <c r="AR293" s="200">
        <v>20.16</v>
      </c>
      <c r="AS293" s="199">
        <v>932.5</v>
      </c>
      <c r="AZ293" s="197">
        <v>0.93300000000000005</v>
      </c>
      <c r="BA293" s="198">
        <v>7.7694999999999999</v>
      </c>
      <c r="BB293" s="199">
        <v>0.12870999999999999</v>
      </c>
      <c r="BD293" s="197">
        <v>0.93300000000000005</v>
      </c>
      <c r="BE293" s="198">
        <v>3.8847999999999998</v>
      </c>
      <c r="BF293" s="199">
        <v>0.16316</v>
      </c>
      <c r="BH293" s="197">
        <v>0.93300000000000005</v>
      </c>
      <c r="BI293" s="198">
        <v>257.42</v>
      </c>
      <c r="BJ293" s="199">
        <v>6.1289999999999996</v>
      </c>
      <c r="BL293" s="197">
        <v>0.93300000000000005</v>
      </c>
      <c r="BM293" s="198">
        <v>3.4685000000000001</v>
      </c>
      <c r="BN293" s="199">
        <v>0.14568</v>
      </c>
      <c r="BP293" s="197">
        <v>0.93300000000000005</v>
      </c>
      <c r="BQ293" s="200">
        <v>288.31</v>
      </c>
      <c r="BR293" s="199">
        <v>6.8639999999999999</v>
      </c>
      <c r="BT293" s="197">
        <v>0.93300000000000005</v>
      </c>
      <c r="BU293" s="201">
        <v>0.97399999999999998</v>
      </c>
      <c r="BV293" s="202">
        <v>1.0909</v>
      </c>
      <c r="BX293" s="37">
        <v>933</v>
      </c>
      <c r="BY293" s="38">
        <v>0.9335</v>
      </c>
      <c r="BZ293" s="39">
        <v>20.07</v>
      </c>
      <c r="CA293" s="33"/>
      <c r="CB293" s="37">
        <v>933</v>
      </c>
      <c r="CC293" s="38">
        <v>0.15892000000000001</v>
      </c>
      <c r="CD293" s="42">
        <v>6.2919999999999998</v>
      </c>
      <c r="CE293" s="33"/>
      <c r="CF293" s="33"/>
      <c r="CG293" s="33"/>
      <c r="CH293" s="33"/>
      <c r="CI293" s="33"/>
      <c r="CJ293" s="33"/>
      <c r="CK293" s="33"/>
      <c r="CL293" s="40">
        <v>933</v>
      </c>
      <c r="CM293" s="43">
        <v>931.9</v>
      </c>
      <c r="CN293" s="41">
        <v>1.0730999999999999</v>
      </c>
      <c r="CO293" s="33"/>
      <c r="CP293" s="40">
        <v>933</v>
      </c>
      <c r="CQ293" s="34">
        <v>1.0273000000000001</v>
      </c>
      <c r="CR293" s="41">
        <v>0.91720000000000002</v>
      </c>
      <c r="CS293" s="33"/>
      <c r="CT293" s="40">
        <v>933</v>
      </c>
      <c r="CU293" s="44">
        <v>283.58999999999997</v>
      </c>
      <c r="CV293" s="42">
        <v>6.7519999999999998</v>
      </c>
    </row>
    <row r="294" spans="4:100">
      <c r="D294" s="30">
        <v>28.4</v>
      </c>
      <c r="E294" s="31">
        <v>0.88490000000000002</v>
      </c>
      <c r="F294" s="32">
        <v>884.4</v>
      </c>
      <c r="G294" s="33"/>
      <c r="H294" s="30">
        <v>28.4</v>
      </c>
      <c r="I294" s="34">
        <v>3.7837999999999998</v>
      </c>
      <c r="J294" s="35">
        <v>0.15892000000000001</v>
      </c>
      <c r="L294" s="30">
        <v>28.4</v>
      </c>
      <c r="M294" s="172">
        <v>7.3689999999999998</v>
      </c>
      <c r="N294" s="173">
        <v>0.13571</v>
      </c>
      <c r="P294" s="30">
        <v>28.4</v>
      </c>
      <c r="Q294" s="172">
        <v>3.6842999999999999</v>
      </c>
      <c r="R294" s="173">
        <v>0.15473999999999999</v>
      </c>
      <c r="T294" s="30">
        <v>28.4</v>
      </c>
      <c r="U294" s="172">
        <v>271.42000000000098</v>
      </c>
      <c r="V294" s="173">
        <v>6.46199999999999</v>
      </c>
      <c r="X294" s="30">
        <v>28.4</v>
      </c>
      <c r="Y294" s="34">
        <v>3.2896000000000001</v>
      </c>
      <c r="Z294" s="35">
        <v>0.13816000000000001</v>
      </c>
      <c r="AA294" s="36"/>
      <c r="AB294" s="30">
        <v>28.4</v>
      </c>
      <c r="AC294" s="44">
        <v>303.99</v>
      </c>
      <c r="AD294" s="35">
        <v>7.2380000000000004</v>
      </c>
      <c r="AE294" s="36"/>
      <c r="AF294" s="30">
        <v>28.4</v>
      </c>
      <c r="AG294" s="34">
        <v>3.3424</v>
      </c>
      <c r="AH294" s="35">
        <v>0.14038</v>
      </c>
      <c r="AI294" s="35"/>
      <c r="AJ294" s="35">
        <v>0.11931</v>
      </c>
      <c r="AK294" s="998">
        <v>56.6</v>
      </c>
      <c r="AM294" s="30">
        <v>28.4</v>
      </c>
      <c r="AN294" s="34">
        <v>1.0269999999999999</v>
      </c>
      <c r="AO294" s="35">
        <v>1.1501999999999999</v>
      </c>
      <c r="AQ294" s="197">
        <v>0.93400000000000005</v>
      </c>
      <c r="AR294" s="200">
        <v>20</v>
      </c>
      <c r="AS294" s="199">
        <v>933.5</v>
      </c>
      <c r="AZ294" s="197">
        <v>0.93400000000000005</v>
      </c>
      <c r="BA294" s="198">
        <v>7.7778999999999998</v>
      </c>
      <c r="BB294" s="199">
        <v>0.12856999999999999</v>
      </c>
      <c r="BD294" s="197">
        <v>0.93400000000000005</v>
      </c>
      <c r="BE294" s="198">
        <v>3.8889</v>
      </c>
      <c r="BF294" s="199">
        <v>0.16334000000000001</v>
      </c>
      <c r="BH294" s="197">
        <v>0.93400000000000005</v>
      </c>
      <c r="BI294" s="198">
        <v>257.14</v>
      </c>
      <c r="BJ294" s="199">
        <v>6.1219999999999999</v>
      </c>
      <c r="BL294" s="197">
        <v>0.93400000000000005</v>
      </c>
      <c r="BM294" s="198">
        <v>3.4723000000000002</v>
      </c>
      <c r="BN294" s="199">
        <v>0.14584</v>
      </c>
      <c r="BP294" s="197">
        <v>0.93400000000000005</v>
      </c>
      <c r="BQ294" s="200">
        <v>288</v>
      </c>
      <c r="BR294" s="199">
        <v>6.8570000000000002</v>
      </c>
      <c r="BT294" s="197">
        <v>0.93400000000000005</v>
      </c>
      <c r="BU294" s="201">
        <v>0.97299999999999998</v>
      </c>
      <c r="BV294" s="202">
        <v>1.0896999999999999</v>
      </c>
      <c r="BX294" s="37">
        <v>934</v>
      </c>
      <c r="BY294" s="38">
        <v>0.9345</v>
      </c>
      <c r="BZ294" s="39">
        <v>19.91</v>
      </c>
      <c r="CA294" s="33"/>
      <c r="CB294" s="37">
        <v>934</v>
      </c>
      <c r="CC294" s="38">
        <v>0.15892000000000001</v>
      </c>
      <c r="CD294" s="42">
        <v>6.2919999999999998</v>
      </c>
      <c r="CE294" s="33"/>
      <c r="CF294" s="33"/>
      <c r="CG294" s="33"/>
      <c r="CH294" s="33"/>
      <c r="CI294" s="33"/>
      <c r="CJ294" s="33"/>
      <c r="CK294" s="33"/>
      <c r="CL294" s="40">
        <v>934</v>
      </c>
      <c r="CM294" s="43">
        <v>932.9</v>
      </c>
      <c r="CN294" s="41">
        <v>1.0719000000000001</v>
      </c>
      <c r="CO294" s="33"/>
      <c r="CP294" s="40">
        <v>934</v>
      </c>
      <c r="CQ294" s="34">
        <v>1.0284</v>
      </c>
      <c r="CR294" s="41">
        <v>0.91820000000000002</v>
      </c>
      <c r="CS294" s="33"/>
      <c r="CT294" s="40">
        <v>934</v>
      </c>
      <c r="CU294" s="44">
        <v>283.27999999999997</v>
      </c>
      <c r="CV294" s="42">
        <v>6.7450000000000001</v>
      </c>
    </row>
    <row r="295" spans="4:100">
      <c r="D295" s="30">
        <v>28.5</v>
      </c>
      <c r="E295" s="31">
        <v>0.88439999999999996</v>
      </c>
      <c r="F295" s="32">
        <v>883.9</v>
      </c>
      <c r="G295" s="33"/>
      <c r="H295" s="30">
        <v>28.5</v>
      </c>
      <c r="I295" s="34">
        <v>3.7837999999999998</v>
      </c>
      <c r="J295" s="35">
        <v>0.15892000000000001</v>
      </c>
      <c r="L295" s="30">
        <v>28.5</v>
      </c>
      <c r="M295" s="172">
        <v>7.3639999999999999</v>
      </c>
      <c r="N295" s="173">
        <v>0.13578999999999999</v>
      </c>
      <c r="P295" s="30">
        <v>28.5</v>
      </c>
      <c r="Q295" s="172">
        <v>3.6819999999999999</v>
      </c>
      <c r="R295" s="173">
        <v>0.15465000000000001</v>
      </c>
      <c r="T295" s="30">
        <v>28.5</v>
      </c>
      <c r="U295" s="172">
        <v>271.590000000001</v>
      </c>
      <c r="V295" s="173">
        <v>6.4659999999999904</v>
      </c>
      <c r="X295" s="30">
        <v>28.5</v>
      </c>
      <c r="Y295" s="34">
        <v>3.2875000000000001</v>
      </c>
      <c r="Z295" s="35">
        <v>0.13808000000000001</v>
      </c>
      <c r="AA295" s="36"/>
      <c r="AB295" s="30">
        <v>28.5</v>
      </c>
      <c r="AC295" s="44">
        <v>304.18</v>
      </c>
      <c r="AD295" s="35">
        <v>7.242</v>
      </c>
      <c r="AE295" s="36"/>
      <c r="AF295" s="30">
        <v>28.5</v>
      </c>
      <c r="AG295" s="34">
        <v>3.3403</v>
      </c>
      <c r="AH295" s="35">
        <v>0.14029</v>
      </c>
      <c r="AI295" s="35"/>
      <c r="AJ295" s="35">
        <v>0.11937</v>
      </c>
      <c r="AK295" s="998">
        <v>56.5</v>
      </c>
      <c r="AM295" s="30">
        <v>28.5</v>
      </c>
      <c r="AN295" s="34">
        <v>1.0276000000000001</v>
      </c>
      <c r="AO295" s="35">
        <v>1.1509</v>
      </c>
      <c r="AQ295" s="197">
        <v>0.93500000000000005</v>
      </c>
      <c r="AR295" s="200">
        <v>19.84</v>
      </c>
      <c r="AS295" s="199">
        <v>934.5</v>
      </c>
      <c r="AZ295" s="197">
        <v>0.93500000000000005</v>
      </c>
      <c r="BA295" s="198">
        <v>7.7862</v>
      </c>
      <c r="BB295" s="199">
        <v>0.12842999999999999</v>
      </c>
      <c r="BD295" s="197">
        <v>0.93500000000000005</v>
      </c>
      <c r="BE295" s="198">
        <v>3.8931</v>
      </c>
      <c r="BF295" s="199">
        <v>0.16350999999999999</v>
      </c>
      <c r="BH295" s="197">
        <v>0.93500000000000005</v>
      </c>
      <c r="BI295" s="198">
        <v>256.86</v>
      </c>
      <c r="BJ295" s="199">
        <v>6.1159999999999997</v>
      </c>
      <c r="BL295" s="197">
        <v>0.93500000000000005</v>
      </c>
      <c r="BM295" s="198">
        <v>3.476</v>
      </c>
      <c r="BN295" s="199">
        <v>0.14599000000000001</v>
      </c>
      <c r="BP295" s="197">
        <v>0.93500000000000005</v>
      </c>
      <c r="BQ295" s="200">
        <v>287.69</v>
      </c>
      <c r="BR295" s="199">
        <v>6.85</v>
      </c>
      <c r="BT295" s="197">
        <v>0.93500000000000005</v>
      </c>
      <c r="BU295" s="201">
        <v>0.97189999999999999</v>
      </c>
      <c r="BV295" s="202">
        <v>1.0886</v>
      </c>
      <c r="BX295" s="37">
        <v>935</v>
      </c>
      <c r="BY295" s="38">
        <v>0.9355</v>
      </c>
      <c r="BZ295" s="39">
        <v>19.75</v>
      </c>
      <c r="CA295" s="33"/>
      <c r="CB295" s="37">
        <v>935</v>
      </c>
      <c r="CC295" s="38">
        <v>0.15892000000000001</v>
      </c>
      <c r="CD295" s="42">
        <v>6.2919999999999998</v>
      </c>
      <c r="CE295" s="33"/>
      <c r="CF295" s="33"/>
      <c r="CG295" s="33"/>
      <c r="CH295" s="33"/>
      <c r="CI295" s="33"/>
      <c r="CJ295" s="33"/>
      <c r="CK295" s="33"/>
      <c r="CL295" s="40">
        <v>935</v>
      </c>
      <c r="CM295" s="43">
        <v>933.9</v>
      </c>
      <c r="CN295" s="41">
        <v>1.0708</v>
      </c>
      <c r="CO295" s="33"/>
      <c r="CP295" s="40">
        <v>935</v>
      </c>
      <c r="CQ295" s="34">
        <v>1.0295000000000001</v>
      </c>
      <c r="CR295" s="41">
        <v>0.91920000000000002</v>
      </c>
      <c r="CS295" s="33"/>
      <c r="CT295" s="40">
        <v>935</v>
      </c>
      <c r="CU295" s="44">
        <v>282.98</v>
      </c>
      <c r="CV295" s="42">
        <v>6.7380000000000004</v>
      </c>
    </row>
    <row r="296" spans="4:100">
      <c r="D296" s="30">
        <v>28.6</v>
      </c>
      <c r="E296" s="31">
        <v>0.88380000000000003</v>
      </c>
      <c r="F296" s="32">
        <v>883.3</v>
      </c>
      <c r="G296" s="33"/>
      <c r="H296" s="30">
        <v>28.6</v>
      </c>
      <c r="I296" s="34">
        <v>3.7837999999999998</v>
      </c>
      <c r="J296" s="35">
        <v>0.15892000000000001</v>
      </c>
      <c r="L296" s="30">
        <v>28.6</v>
      </c>
      <c r="M296" s="172">
        <v>7.359</v>
      </c>
      <c r="N296" s="173">
        <v>0.13588</v>
      </c>
      <c r="P296" s="30">
        <v>28.6</v>
      </c>
      <c r="Q296" s="172">
        <v>3.6797</v>
      </c>
      <c r="R296" s="173">
        <v>0.15454999999999999</v>
      </c>
      <c r="T296" s="30">
        <v>28.6</v>
      </c>
      <c r="U296" s="172">
        <v>271.76000000000101</v>
      </c>
      <c r="V296" s="173">
        <v>6.46999999999999</v>
      </c>
      <c r="X296" s="30">
        <v>28.6</v>
      </c>
      <c r="Y296" s="34">
        <v>3.2854999999999999</v>
      </c>
      <c r="Z296" s="35">
        <v>0.13799</v>
      </c>
      <c r="AA296" s="36"/>
      <c r="AB296" s="30">
        <v>28.6</v>
      </c>
      <c r="AC296" s="44">
        <v>304.37</v>
      </c>
      <c r="AD296" s="35">
        <v>7.2469999999999999</v>
      </c>
      <c r="AE296" s="36"/>
      <c r="AF296" s="30">
        <v>28.6</v>
      </c>
      <c r="AG296" s="34">
        <v>3.3382000000000001</v>
      </c>
      <c r="AH296" s="35">
        <v>0.14019999999999999</v>
      </c>
      <c r="AI296" s="35"/>
      <c r="AJ296" s="35">
        <v>0.11942999999999999</v>
      </c>
      <c r="AK296" s="998">
        <v>56.4</v>
      </c>
      <c r="AM296" s="30">
        <v>28.6</v>
      </c>
      <c r="AN296" s="34">
        <v>1.0283</v>
      </c>
      <c r="AO296" s="35">
        <v>1.1516999999999999</v>
      </c>
      <c r="AQ296" s="197">
        <v>0.93600000000000005</v>
      </c>
      <c r="AR296" s="200">
        <v>19.68</v>
      </c>
      <c r="AS296" s="199">
        <v>935.5</v>
      </c>
      <c r="AZ296" s="197">
        <v>0.93600000000000005</v>
      </c>
      <c r="BA296" s="198">
        <v>7.7946</v>
      </c>
      <c r="BB296" s="199">
        <v>0.12828999999999999</v>
      </c>
      <c r="BD296" s="197">
        <v>0.93600000000000005</v>
      </c>
      <c r="BE296" s="198">
        <v>3.8973</v>
      </c>
      <c r="BF296" s="199">
        <v>0.16369</v>
      </c>
      <c r="BH296" s="197">
        <v>0.93600000000000005</v>
      </c>
      <c r="BI296" s="198">
        <v>256.58999999999997</v>
      </c>
      <c r="BJ296" s="199">
        <v>6.109</v>
      </c>
      <c r="BL296" s="197">
        <v>0.93600000000000005</v>
      </c>
      <c r="BM296" s="198">
        <v>3.4796999999999998</v>
      </c>
      <c r="BN296" s="199">
        <v>0.14615</v>
      </c>
      <c r="BP296" s="197">
        <v>0.93600000000000005</v>
      </c>
      <c r="BQ296" s="200">
        <v>287.38</v>
      </c>
      <c r="BR296" s="199">
        <v>6.8419999999999996</v>
      </c>
      <c r="BT296" s="197">
        <v>0.93600000000000005</v>
      </c>
      <c r="BU296" s="201">
        <v>0.97089999999999999</v>
      </c>
      <c r="BV296" s="202">
        <v>1.0873999999999999</v>
      </c>
      <c r="BX296" s="37">
        <v>936</v>
      </c>
      <c r="BY296" s="38">
        <v>0.9365</v>
      </c>
      <c r="BZ296" s="39">
        <v>19.59</v>
      </c>
      <c r="CA296" s="33"/>
      <c r="CB296" s="37">
        <v>936</v>
      </c>
      <c r="CC296" s="38">
        <v>0.15892000000000001</v>
      </c>
      <c r="CD296" s="42">
        <v>6.2919999999999998</v>
      </c>
      <c r="CE296" s="33"/>
      <c r="CF296" s="33"/>
      <c r="CG296" s="33"/>
      <c r="CH296" s="33"/>
      <c r="CI296" s="33"/>
      <c r="CJ296" s="33"/>
      <c r="CK296" s="33"/>
      <c r="CL296" s="40">
        <v>936</v>
      </c>
      <c r="CM296" s="43">
        <v>934.9</v>
      </c>
      <c r="CN296" s="41">
        <v>1.0696000000000001</v>
      </c>
      <c r="CO296" s="33"/>
      <c r="CP296" s="40">
        <v>936</v>
      </c>
      <c r="CQ296" s="34">
        <v>1.0306</v>
      </c>
      <c r="CR296" s="41">
        <v>0.92020000000000002</v>
      </c>
      <c r="CS296" s="33"/>
      <c r="CT296" s="40">
        <v>936</v>
      </c>
      <c r="CU296" s="44">
        <v>282.68</v>
      </c>
      <c r="CV296" s="42">
        <v>6.73</v>
      </c>
    </row>
    <row r="297" spans="4:100">
      <c r="D297" s="30">
        <v>28.7</v>
      </c>
      <c r="E297" s="31">
        <v>0.88329999999999997</v>
      </c>
      <c r="F297" s="32">
        <v>882.8</v>
      </c>
      <c r="G297" s="33"/>
      <c r="H297" s="30">
        <v>28.7</v>
      </c>
      <c r="I297" s="34">
        <v>3.7837000000000001</v>
      </c>
      <c r="J297" s="35">
        <v>0.15892000000000001</v>
      </c>
      <c r="L297" s="30">
        <v>28.7</v>
      </c>
      <c r="M297" s="172">
        <v>7.3550000000000004</v>
      </c>
      <c r="N297" s="173">
        <v>0.13596</v>
      </c>
      <c r="P297" s="30">
        <v>28.7</v>
      </c>
      <c r="Q297" s="172">
        <v>3.6774</v>
      </c>
      <c r="R297" s="173">
        <v>0.15445</v>
      </c>
      <c r="T297" s="30">
        <v>28.7</v>
      </c>
      <c r="U297" s="172">
        <v>271.93000000000097</v>
      </c>
      <c r="V297" s="173">
        <v>6.4739999999999904</v>
      </c>
      <c r="X297" s="30">
        <v>28.7</v>
      </c>
      <c r="Y297" s="34">
        <v>3.2833999999999999</v>
      </c>
      <c r="Z297" s="35">
        <v>0.13789999999999999</v>
      </c>
      <c r="AA297" s="36"/>
      <c r="AB297" s="30">
        <v>28.7</v>
      </c>
      <c r="AC297" s="44">
        <v>304.56</v>
      </c>
      <c r="AD297" s="35">
        <v>7.2510000000000003</v>
      </c>
      <c r="AE297" s="36"/>
      <c r="AF297" s="30">
        <v>28.7</v>
      </c>
      <c r="AG297" s="34">
        <v>3.3361000000000001</v>
      </c>
      <c r="AH297" s="35">
        <v>0.14011999999999999</v>
      </c>
      <c r="AI297" s="35"/>
      <c r="AJ297" s="35">
        <v>0.1195</v>
      </c>
      <c r="AK297" s="998">
        <v>56.3</v>
      </c>
      <c r="AM297" s="30">
        <v>28.7</v>
      </c>
      <c r="AN297" s="34">
        <v>1.0288999999999999</v>
      </c>
      <c r="AO297" s="35">
        <v>1.1524000000000001</v>
      </c>
      <c r="AQ297" s="197">
        <v>0.93700000000000006</v>
      </c>
      <c r="AR297" s="200">
        <v>19.510000000000002</v>
      </c>
      <c r="AS297" s="199">
        <v>936.5</v>
      </c>
      <c r="AZ297" s="197">
        <v>0.93700000000000006</v>
      </c>
      <c r="BA297" s="198">
        <v>7.8029000000000002</v>
      </c>
      <c r="BB297" s="199">
        <v>0.12816</v>
      </c>
      <c r="BD297" s="197">
        <v>0.93700000000000006</v>
      </c>
      <c r="BE297" s="198">
        <v>3.9014000000000002</v>
      </c>
      <c r="BF297" s="199">
        <v>0.16386000000000001</v>
      </c>
      <c r="BH297" s="197">
        <v>0.93700000000000006</v>
      </c>
      <c r="BI297" s="198">
        <v>256.32</v>
      </c>
      <c r="BJ297" s="199">
        <v>6.1029999999999998</v>
      </c>
      <c r="BL297" s="197">
        <v>0.93700000000000006</v>
      </c>
      <c r="BM297" s="198">
        <v>3.4834000000000001</v>
      </c>
      <c r="BN297" s="199">
        <v>0.14630000000000001</v>
      </c>
      <c r="BP297" s="197">
        <v>0.93700000000000006</v>
      </c>
      <c r="BQ297" s="200">
        <v>287.07</v>
      </c>
      <c r="BR297" s="199">
        <v>6.835</v>
      </c>
      <c r="BT297" s="197">
        <v>0.93700000000000006</v>
      </c>
      <c r="BU297" s="201">
        <v>0.96989999999999998</v>
      </c>
      <c r="BV297" s="202">
        <v>1.0862000000000001</v>
      </c>
      <c r="BX297" s="37">
        <v>937</v>
      </c>
      <c r="BY297" s="38">
        <v>0.9375</v>
      </c>
      <c r="BZ297" s="39">
        <v>19.43</v>
      </c>
      <c r="CA297" s="33"/>
      <c r="CB297" s="37">
        <v>937</v>
      </c>
      <c r="CC297" s="38">
        <v>0.15892000000000001</v>
      </c>
      <c r="CD297" s="42">
        <v>6.2919999999999998</v>
      </c>
      <c r="CE297" s="33"/>
      <c r="CF297" s="33"/>
      <c r="CG297" s="33"/>
      <c r="CH297" s="33"/>
      <c r="CI297" s="33"/>
      <c r="CJ297" s="33"/>
      <c r="CK297" s="33"/>
      <c r="CL297" s="40">
        <v>937</v>
      </c>
      <c r="CM297" s="43">
        <v>935.9</v>
      </c>
      <c r="CN297" s="41">
        <v>1.0685</v>
      </c>
      <c r="CO297" s="33"/>
      <c r="CP297" s="40">
        <v>937</v>
      </c>
      <c r="CQ297" s="34">
        <v>1.0317000000000001</v>
      </c>
      <c r="CR297" s="41">
        <v>0.92110000000000003</v>
      </c>
      <c r="CS297" s="33"/>
      <c r="CT297" s="40">
        <v>937</v>
      </c>
      <c r="CU297" s="44">
        <v>282.37</v>
      </c>
      <c r="CV297" s="42">
        <v>6.7229999999999999</v>
      </c>
    </row>
    <row r="298" spans="4:100">
      <c r="D298" s="30">
        <v>28.8</v>
      </c>
      <c r="E298" s="31">
        <v>0.88270000000000004</v>
      </c>
      <c r="F298" s="32">
        <v>882.2</v>
      </c>
      <c r="G298" s="33"/>
      <c r="H298" s="30">
        <v>28.8</v>
      </c>
      <c r="I298" s="34">
        <v>3.7837000000000001</v>
      </c>
      <c r="J298" s="35">
        <v>0.15892000000000001</v>
      </c>
      <c r="L298" s="30">
        <v>28.8</v>
      </c>
      <c r="M298" s="172">
        <v>7.35</v>
      </c>
      <c r="N298" s="173">
        <v>0.13605</v>
      </c>
      <c r="P298" s="30">
        <v>28.8</v>
      </c>
      <c r="Q298" s="172">
        <v>3.6751</v>
      </c>
      <c r="R298" s="173">
        <v>0.15436</v>
      </c>
      <c r="T298" s="30">
        <v>28.8</v>
      </c>
      <c r="U298" s="172">
        <v>272.10000000000099</v>
      </c>
      <c r="V298" s="173">
        <v>6.4790000000000001</v>
      </c>
      <c r="X298" s="30">
        <v>28.8</v>
      </c>
      <c r="Y298" s="34">
        <v>3.2814000000000001</v>
      </c>
      <c r="Z298" s="35">
        <v>0.13782</v>
      </c>
      <c r="AA298" s="36"/>
      <c r="AB298" s="30">
        <v>28.8</v>
      </c>
      <c r="AC298" s="44">
        <v>304.75</v>
      </c>
      <c r="AD298" s="35">
        <v>7.2560000000000002</v>
      </c>
      <c r="AE298" s="36"/>
      <c r="AF298" s="30">
        <v>28.8</v>
      </c>
      <c r="AG298" s="34">
        <v>3.3340000000000001</v>
      </c>
      <c r="AH298" s="35">
        <v>0.14002999999999999</v>
      </c>
      <c r="AI298" s="35"/>
      <c r="AJ298" s="35">
        <v>0.11956</v>
      </c>
      <c r="AK298" s="998">
        <v>56.2</v>
      </c>
      <c r="AM298" s="30">
        <v>28.8</v>
      </c>
      <c r="AN298" s="34">
        <v>1.0296000000000001</v>
      </c>
      <c r="AO298" s="35">
        <v>1.1531</v>
      </c>
      <c r="AQ298" s="197">
        <v>0.93799999999999994</v>
      </c>
      <c r="AR298" s="200">
        <v>19.350000000000001</v>
      </c>
      <c r="AS298" s="199">
        <v>937.5</v>
      </c>
      <c r="AZ298" s="197">
        <v>0.93799999999999994</v>
      </c>
      <c r="BA298" s="198">
        <v>7.8112000000000004</v>
      </c>
      <c r="BB298" s="199">
        <v>0.12801999999999999</v>
      </c>
      <c r="BD298" s="197">
        <v>0.93799999999999994</v>
      </c>
      <c r="BE298" s="198">
        <v>3.9056000000000002</v>
      </c>
      <c r="BF298" s="199">
        <v>0.16403999999999999</v>
      </c>
      <c r="BH298" s="197">
        <v>0.93799999999999994</v>
      </c>
      <c r="BI298" s="198">
        <v>256.04000000000002</v>
      </c>
      <c r="BJ298" s="199">
        <v>6.0960000000000001</v>
      </c>
      <c r="BL298" s="197">
        <v>0.93799999999999994</v>
      </c>
      <c r="BM298" s="198">
        <v>3.4872000000000001</v>
      </c>
      <c r="BN298" s="199">
        <v>0.14646000000000001</v>
      </c>
      <c r="BP298" s="197">
        <v>0.93799999999999994</v>
      </c>
      <c r="BQ298" s="200">
        <v>286.77</v>
      </c>
      <c r="BR298" s="199">
        <v>6.8280000000000003</v>
      </c>
      <c r="BT298" s="197">
        <v>0.93799999999999994</v>
      </c>
      <c r="BU298" s="201">
        <v>0.96879999999999999</v>
      </c>
      <c r="BV298" s="202">
        <v>1.0851</v>
      </c>
      <c r="BX298" s="37">
        <v>938</v>
      </c>
      <c r="BY298" s="38">
        <v>0.9385</v>
      </c>
      <c r="BZ298" s="39">
        <v>19.27</v>
      </c>
      <c r="CA298" s="33"/>
      <c r="CB298" s="37">
        <v>938</v>
      </c>
      <c r="CC298" s="38">
        <v>0.15892000000000001</v>
      </c>
      <c r="CD298" s="42">
        <v>6.2919999999999998</v>
      </c>
      <c r="CE298" s="33"/>
      <c r="CF298" s="33"/>
      <c r="CG298" s="33"/>
      <c r="CH298" s="33"/>
      <c r="CI298" s="33"/>
      <c r="CJ298" s="33"/>
      <c r="CK298" s="33"/>
      <c r="CL298" s="40">
        <v>938</v>
      </c>
      <c r="CM298" s="43">
        <v>936.9</v>
      </c>
      <c r="CN298" s="41">
        <v>1.0672999999999999</v>
      </c>
      <c r="CO298" s="33"/>
      <c r="CP298" s="40">
        <v>938</v>
      </c>
      <c r="CQ298" s="34">
        <v>1.0327999999999999</v>
      </c>
      <c r="CR298" s="41">
        <v>0.92210000000000003</v>
      </c>
      <c r="CS298" s="33"/>
      <c r="CT298" s="40">
        <v>938</v>
      </c>
      <c r="CU298" s="44">
        <v>282.07</v>
      </c>
      <c r="CV298" s="42">
        <v>6.7160000000000002</v>
      </c>
    </row>
    <row r="299" spans="4:100">
      <c r="D299" s="30">
        <v>28.9</v>
      </c>
      <c r="E299" s="31">
        <v>0.88219999999999998</v>
      </c>
      <c r="F299" s="32">
        <v>881.7</v>
      </c>
      <c r="G299" s="33"/>
      <c r="H299" s="30">
        <v>28.9</v>
      </c>
      <c r="I299" s="34">
        <v>3.7837000000000001</v>
      </c>
      <c r="J299" s="35">
        <v>0.15892000000000001</v>
      </c>
      <c r="L299" s="30">
        <v>28.9</v>
      </c>
      <c r="M299" s="172">
        <v>7.3460000000000001</v>
      </c>
      <c r="N299" s="173">
        <v>0.13613</v>
      </c>
      <c r="P299" s="30">
        <v>28.9</v>
      </c>
      <c r="Q299" s="172">
        <v>3.6728000000000001</v>
      </c>
      <c r="R299" s="173">
        <v>0.15426000000000001</v>
      </c>
      <c r="T299" s="30">
        <v>28.9</v>
      </c>
      <c r="U299" s="172">
        <v>272.270000000001</v>
      </c>
      <c r="V299" s="173">
        <v>6.4829999999999997</v>
      </c>
      <c r="X299" s="30">
        <v>28.9</v>
      </c>
      <c r="Y299" s="34">
        <v>3.2793000000000001</v>
      </c>
      <c r="Z299" s="35">
        <v>0.13772999999999999</v>
      </c>
      <c r="AA299" s="36"/>
      <c r="AB299" s="30">
        <v>28.9</v>
      </c>
      <c r="AC299" s="44">
        <v>304.94</v>
      </c>
      <c r="AD299" s="35">
        <v>7.26</v>
      </c>
      <c r="AE299" s="36"/>
      <c r="AF299" s="30">
        <v>28.9</v>
      </c>
      <c r="AG299" s="34">
        <v>3.3319999999999999</v>
      </c>
      <c r="AH299" s="35">
        <v>0.13994000000000001</v>
      </c>
      <c r="AI299" s="35"/>
      <c r="AJ299" s="35">
        <v>0.11962</v>
      </c>
      <c r="AK299" s="998">
        <v>56.1</v>
      </c>
      <c r="AM299" s="30">
        <v>28.9</v>
      </c>
      <c r="AN299" s="34">
        <v>1.0302</v>
      </c>
      <c r="AO299" s="35">
        <v>1.1537999999999999</v>
      </c>
      <c r="AQ299" s="197">
        <v>0.93899999999999995</v>
      </c>
      <c r="AR299" s="200">
        <v>19.190000000000001</v>
      </c>
      <c r="AS299" s="199">
        <v>938.5</v>
      </c>
      <c r="AZ299" s="197">
        <v>0.93899999999999995</v>
      </c>
      <c r="BA299" s="198">
        <v>7.8196000000000003</v>
      </c>
      <c r="BB299" s="199">
        <v>0.12787999999999999</v>
      </c>
      <c r="BD299" s="197">
        <v>0.93899999999999995</v>
      </c>
      <c r="BE299" s="198">
        <v>3.9098000000000002</v>
      </c>
      <c r="BF299" s="199">
        <v>0.16420999999999999</v>
      </c>
      <c r="BH299" s="197">
        <v>0.93899999999999995</v>
      </c>
      <c r="BI299" s="198">
        <v>255.77</v>
      </c>
      <c r="BJ299" s="199">
        <v>6.09</v>
      </c>
      <c r="BL299" s="197">
        <v>0.93899999999999995</v>
      </c>
      <c r="BM299" s="198">
        <v>3.4908999999999999</v>
      </c>
      <c r="BN299" s="199">
        <v>0.14662</v>
      </c>
      <c r="BP299" s="197">
        <v>0.93899999999999995</v>
      </c>
      <c r="BQ299" s="200">
        <v>286.45999999999998</v>
      </c>
      <c r="BR299" s="199">
        <v>6.82</v>
      </c>
      <c r="BT299" s="197">
        <v>0.93899999999999995</v>
      </c>
      <c r="BU299" s="201">
        <v>0.96779999999999999</v>
      </c>
      <c r="BV299" s="202">
        <v>1.0839000000000001</v>
      </c>
      <c r="BX299" s="37">
        <v>939</v>
      </c>
      <c r="BY299" s="38">
        <v>0.9395</v>
      </c>
      <c r="BZ299" s="39">
        <v>19.100000000000001</v>
      </c>
      <c r="CA299" s="33"/>
      <c r="CB299" s="37">
        <v>939</v>
      </c>
      <c r="CC299" s="38">
        <v>0.15892000000000001</v>
      </c>
      <c r="CD299" s="42">
        <v>6.2919999999999998</v>
      </c>
      <c r="CE299" s="33"/>
      <c r="CF299" s="33"/>
      <c r="CG299" s="33"/>
      <c r="CH299" s="33"/>
      <c r="CI299" s="33"/>
      <c r="CJ299" s="33"/>
      <c r="CK299" s="33"/>
      <c r="CL299" s="40">
        <v>939</v>
      </c>
      <c r="CM299" s="43">
        <v>937.9</v>
      </c>
      <c r="CN299" s="41">
        <v>1.0662</v>
      </c>
      <c r="CO299" s="33"/>
      <c r="CP299" s="40">
        <v>939</v>
      </c>
      <c r="CQ299" s="34">
        <v>1.0339</v>
      </c>
      <c r="CR299" s="41">
        <v>0.92310000000000003</v>
      </c>
      <c r="CS299" s="33"/>
      <c r="CT299" s="40">
        <v>939</v>
      </c>
      <c r="CU299" s="44">
        <v>281.77</v>
      </c>
      <c r="CV299" s="42">
        <v>6.7089999999999996</v>
      </c>
    </row>
    <row r="300" spans="4:100">
      <c r="D300" s="30">
        <v>29</v>
      </c>
      <c r="E300" s="31">
        <v>0.88160000000000005</v>
      </c>
      <c r="F300" s="32">
        <v>881.1</v>
      </c>
      <c r="G300" s="33"/>
      <c r="H300" s="30">
        <v>29</v>
      </c>
      <c r="I300" s="34">
        <v>3.7837000000000001</v>
      </c>
      <c r="J300" s="35">
        <v>0.15892000000000001</v>
      </c>
      <c r="L300" s="30">
        <v>29</v>
      </c>
      <c r="M300" s="172">
        <v>7.3410000000000002</v>
      </c>
      <c r="N300" s="173">
        <v>0.13622000000000001</v>
      </c>
      <c r="P300" s="30">
        <v>29</v>
      </c>
      <c r="Q300" s="172">
        <v>3.6705999999999999</v>
      </c>
      <c r="R300" s="173">
        <v>0.15415999999999999</v>
      </c>
      <c r="T300" s="30">
        <v>29</v>
      </c>
      <c r="U300" s="172">
        <v>272.44000000000102</v>
      </c>
      <c r="V300" s="173">
        <v>6.4870000000000001</v>
      </c>
      <c r="X300" s="30">
        <v>29</v>
      </c>
      <c r="Y300" s="34">
        <v>3.2772999999999999</v>
      </c>
      <c r="Z300" s="35">
        <v>0.13764999999999999</v>
      </c>
      <c r="AA300" s="36"/>
      <c r="AB300" s="30">
        <v>29</v>
      </c>
      <c r="AC300" s="44">
        <v>305.13</v>
      </c>
      <c r="AD300" s="35">
        <v>7.2649999999999997</v>
      </c>
      <c r="AE300" s="36"/>
      <c r="AF300" s="30">
        <v>29</v>
      </c>
      <c r="AG300" s="34">
        <v>3.3298999999999999</v>
      </c>
      <c r="AH300" s="35">
        <v>0.13985</v>
      </c>
      <c r="AI300" s="35"/>
      <c r="AJ300" s="35">
        <v>0.11969</v>
      </c>
      <c r="AK300" s="998">
        <v>56</v>
      </c>
      <c r="AM300" s="30">
        <v>29</v>
      </c>
      <c r="AN300" s="34">
        <v>1.0307999999999999</v>
      </c>
      <c r="AO300" s="35">
        <v>1.1545000000000001</v>
      </c>
      <c r="AQ300" s="197">
        <v>0.94</v>
      </c>
      <c r="AR300" s="200">
        <v>19.03</v>
      </c>
      <c r="AS300" s="199">
        <v>939.5</v>
      </c>
      <c r="AZ300" s="197">
        <v>0.94</v>
      </c>
      <c r="BA300" s="198">
        <v>7.8278999999999996</v>
      </c>
      <c r="BB300" s="199">
        <v>0.12775</v>
      </c>
      <c r="BD300" s="197">
        <v>0.94</v>
      </c>
      <c r="BE300" s="198">
        <v>3.9140000000000001</v>
      </c>
      <c r="BF300" s="199">
        <v>0.16439000000000001</v>
      </c>
      <c r="BH300" s="197">
        <v>0.94</v>
      </c>
      <c r="BI300" s="198">
        <v>255.5</v>
      </c>
      <c r="BJ300" s="199">
        <v>6.0830000000000002</v>
      </c>
      <c r="BL300" s="197">
        <v>0.94</v>
      </c>
      <c r="BM300" s="198">
        <v>3.4946000000000002</v>
      </c>
      <c r="BN300" s="199">
        <v>0.14677000000000001</v>
      </c>
      <c r="BP300" s="197">
        <v>0.94</v>
      </c>
      <c r="BQ300" s="200">
        <v>286.16000000000003</v>
      </c>
      <c r="BR300" s="199">
        <v>6.8129999999999997</v>
      </c>
      <c r="BT300" s="197">
        <v>0.94</v>
      </c>
      <c r="BU300" s="201">
        <v>0.96679999999999999</v>
      </c>
      <c r="BV300" s="202">
        <v>1.0828</v>
      </c>
      <c r="BX300" s="37">
        <v>940</v>
      </c>
      <c r="BY300" s="38">
        <v>0.9405</v>
      </c>
      <c r="BZ300" s="39">
        <v>18.940000000000001</v>
      </c>
      <c r="CA300" s="33"/>
      <c r="CB300" s="37">
        <v>940</v>
      </c>
      <c r="CC300" s="38">
        <v>0.15892000000000001</v>
      </c>
      <c r="CD300" s="42">
        <v>6.2919999999999998</v>
      </c>
      <c r="CE300" s="33"/>
      <c r="CF300" s="33"/>
      <c r="CG300" s="33"/>
      <c r="CH300" s="33"/>
      <c r="CI300" s="33"/>
      <c r="CJ300" s="33"/>
      <c r="CK300" s="33"/>
      <c r="CL300" s="40">
        <v>940</v>
      </c>
      <c r="CM300" s="43">
        <v>938.9</v>
      </c>
      <c r="CN300" s="41">
        <v>1.0650999999999999</v>
      </c>
      <c r="CO300" s="33"/>
      <c r="CP300" s="40">
        <v>940</v>
      </c>
      <c r="CQ300" s="34">
        <v>1.0349999999999999</v>
      </c>
      <c r="CR300" s="41">
        <v>0.92410000000000003</v>
      </c>
      <c r="CS300" s="33"/>
      <c r="CT300" s="40">
        <v>940</v>
      </c>
      <c r="CU300" s="44">
        <v>281.47000000000003</v>
      </c>
      <c r="CV300" s="42">
        <v>6.702</v>
      </c>
    </row>
    <row r="301" spans="4:100">
      <c r="D301" s="30">
        <v>29.1</v>
      </c>
      <c r="E301" s="31">
        <v>0.88109999999999999</v>
      </c>
      <c r="F301" s="32">
        <v>880.6</v>
      </c>
      <c r="G301" s="33"/>
      <c r="H301" s="30">
        <v>29.1</v>
      </c>
      <c r="I301" s="34">
        <v>3.7837000000000001</v>
      </c>
      <c r="J301" s="35">
        <v>0.15892000000000001</v>
      </c>
      <c r="L301" s="30">
        <v>29.1</v>
      </c>
      <c r="M301" s="172">
        <v>7.3369999999999997</v>
      </c>
      <c r="N301" s="173">
        <v>0.1363</v>
      </c>
      <c r="P301" s="30">
        <v>29.1</v>
      </c>
      <c r="Q301" s="172">
        <v>3.6682999999999999</v>
      </c>
      <c r="R301" s="173">
        <v>0.15407000000000001</v>
      </c>
      <c r="T301" s="30">
        <v>29.1</v>
      </c>
      <c r="U301" s="172">
        <v>272.61000000000098</v>
      </c>
      <c r="V301" s="173">
        <v>6.4909999999999997</v>
      </c>
      <c r="X301" s="30">
        <v>29.1</v>
      </c>
      <c r="Y301" s="34">
        <v>3.2751999999999999</v>
      </c>
      <c r="Z301" s="35">
        <v>0.13755999999999999</v>
      </c>
      <c r="AA301" s="36"/>
      <c r="AB301" s="30">
        <v>29.1</v>
      </c>
      <c r="AC301" s="44">
        <v>305.32</v>
      </c>
      <c r="AD301" s="35">
        <v>7.27</v>
      </c>
      <c r="AE301" s="36"/>
      <c r="AF301" s="30">
        <v>29.1</v>
      </c>
      <c r="AG301" s="34">
        <v>3.3277999999999999</v>
      </c>
      <c r="AH301" s="35">
        <v>0.13977000000000001</v>
      </c>
      <c r="AI301" s="35"/>
      <c r="AJ301" s="35">
        <v>0.11975</v>
      </c>
      <c r="AK301" s="998">
        <v>55.9</v>
      </c>
      <c r="AM301" s="30">
        <v>29.1</v>
      </c>
      <c r="AN301" s="34">
        <v>1.0315000000000001</v>
      </c>
      <c r="AO301" s="35">
        <v>1.1553</v>
      </c>
      <c r="AQ301" s="197">
        <v>0.94099999999999995</v>
      </c>
      <c r="AR301" s="200">
        <v>18.87</v>
      </c>
      <c r="AS301" s="199">
        <v>940.5</v>
      </c>
      <c r="AZ301" s="197">
        <v>0.94099999999999995</v>
      </c>
      <c r="BA301" s="198">
        <v>7.8361999999999998</v>
      </c>
      <c r="BB301" s="199">
        <v>0.12761</v>
      </c>
      <c r="BD301" s="197">
        <v>0.94099999999999995</v>
      </c>
      <c r="BE301" s="198">
        <v>3.9180999999999999</v>
      </c>
      <c r="BF301" s="199">
        <v>0.16456000000000001</v>
      </c>
      <c r="BH301" s="197">
        <v>0.94099999999999995</v>
      </c>
      <c r="BI301" s="198">
        <v>255.22</v>
      </c>
      <c r="BJ301" s="199">
        <v>6.077</v>
      </c>
      <c r="BL301" s="197">
        <v>0.94099999999999995</v>
      </c>
      <c r="BM301" s="198">
        <v>3.4983</v>
      </c>
      <c r="BN301" s="199">
        <v>0.14693000000000001</v>
      </c>
      <c r="BP301" s="197">
        <v>0.94099999999999995</v>
      </c>
      <c r="BQ301" s="200">
        <v>285.85000000000002</v>
      </c>
      <c r="BR301" s="199">
        <v>6.806</v>
      </c>
      <c r="BT301" s="197">
        <v>0.94099999999999995</v>
      </c>
      <c r="BU301" s="201">
        <v>0.9657</v>
      </c>
      <c r="BV301" s="202">
        <v>1.0815999999999999</v>
      </c>
      <c r="BX301" s="37">
        <v>941</v>
      </c>
      <c r="BY301" s="38">
        <v>0.9415</v>
      </c>
      <c r="BZ301" s="39">
        <v>18.78</v>
      </c>
      <c r="CA301" s="33"/>
      <c r="CB301" s="37">
        <v>941</v>
      </c>
      <c r="CC301" s="38">
        <v>0.15892000000000001</v>
      </c>
      <c r="CD301" s="42">
        <v>6.2919999999999998</v>
      </c>
      <c r="CE301" s="33"/>
      <c r="CF301" s="33"/>
      <c r="CG301" s="33"/>
      <c r="CH301" s="33"/>
      <c r="CI301" s="33"/>
      <c r="CJ301" s="33"/>
      <c r="CK301" s="33"/>
      <c r="CL301" s="40">
        <v>941</v>
      </c>
      <c r="CM301" s="43">
        <v>939.9</v>
      </c>
      <c r="CN301" s="41">
        <v>1.0639000000000001</v>
      </c>
      <c r="CO301" s="33"/>
      <c r="CP301" s="40">
        <v>941</v>
      </c>
      <c r="CQ301" s="34">
        <v>1.0361</v>
      </c>
      <c r="CR301" s="41">
        <v>0.92510000000000003</v>
      </c>
      <c r="CS301" s="33"/>
      <c r="CT301" s="40">
        <v>941</v>
      </c>
      <c r="CU301" s="44">
        <v>281.17</v>
      </c>
      <c r="CV301" s="42">
        <v>6.6950000000000003</v>
      </c>
    </row>
    <row r="302" spans="4:100">
      <c r="D302" s="30">
        <v>29.2</v>
      </c>
      <c r="E302" s="31">
        <v>0.88049999999999995</v>
      </c>
      <c r="F302" s="32">
        <v>880</v>
      </c>
      <c r="G302" s="33"/>
      <c r="H302" s="30">
        <v>29.2</v>
      </c>
      <c r="I302" s="34">
        <v>3.7837000000000001</v>
      </c>
      <c r="J302" s="35">
        <v>0.15892000000000001</v>
      </c>
      <c r="L302" s="30">
        <v>29.2</v>
      </c>
      <c r="M302" s="172">
        <v>7.3319999999999999</v>
      </c>
      <c r="N302" s="173">
        <v>0.13639000000000001</v>
      </c>
      <c r="P302" s="30">
        <v>29.2</v>
      </c>
      <c r="Q302" s="172">
        <v>3.6659999999999999</v>
      </c>
      <c r="R302" s="173">
        <v>0.15397</v>
      </c>
      <c r="T302" s="30">
        <v>29.2</v>
      </c>
      <c r="U302" s="172">
        <v>272.780000000001</v>
      </c>
      <c r="V302" s="173">
        <v>6.4950000000000001</v>
      </c>
      <c r="X302" s="30">
        <v>29.2</v>
      </c>
      <c r="Y302" s="34">
        <v>3.2732000000000001</v>
      </c>
      <c r="Z302" s="35">
        <v>0.13747000000000001</v>
      </c>
      <c r="AA302" s="36"/>
      <c r="AB302" s="30">
        <v>29.2</v>
      </c>
      <c r="AC302" s="44">
        <v>305.51</v>
      </c>
      <c r="AD302" s="35">
        <v>7.274</v>
      </c>
      <c r="AE302" s="36"/>
      <c r="AF302" s="30">
        <v>29.2</v>
      </c>
      <c r="AG302" s="34">
        <v>3.3256999999999999</v>
      </c>
      <c r="AH302" s="35">
        <v>0.13968</v>
      </c>
      <c r="AI302" s="35"/>
      <c r="AJ302" s="35">
        <v>0.11982</v>
      </c>
      <c r="AK302" s="998">
        <v>55.8</v>
      </c>
      <c r="AM302" s="30">
        <v>29.2</v>
      </c>
      <c r="AN302" s="34">
        <v>1.0321</v>
      </c>
      <c r="AO302" s="35">
        <v>1.1559999999999999</v>
      </c>
      <c r="AQ302" s="197">
        <v>0.94199999999999995</v>
      </c>
      <c r="AR302" s="200">
        <v>18.71</v>
      </c>
      <c r="AS302" s="199">
        <v>941.4</v>
      </c>
      <c r="AZ302" s="197">
        <v>0.94199999999999995</v>
      </c>
      <c r="BA302" s="198">
        <v>7.8445999999999998</v>
      </c>
      <c r="BB302" s="199">
        <v>0.12748000000000001</v>
      </c>
      <c r="BD302" s="197">
        <v>0.94199999999999995</v>
      </c>
      <c r="BE302" s="198">
        <v>3.9222999999999999</v>
      </c>
      <c r="BF302" s="199">
        <v>0.16474</v>
      </c>
      <c r="BH302" s="197">
        <v>0.94199999999999995</v>
      </c>
      <c r="BI302" s="198">
        <v>254.95</v>
      </c>
      <c r="BJ302" s="199">
        <v>6.07</v>
      </c>
      <c r="BL302" s="197">
        <v>0.94199999999999995</v>
      </c>
      <c r="BM302" s="198">
        <v>3.5019999999999998</v>
      </c>
      <c r="BN302" s="199">
        <v>0.14709</v>
      </c>
      <c r="BP302" s="197">
        <v>0.94199999999999995</v>
      </c>
      <c r="BQ302" s="200">
        <v>285.55</v>
      </c>
      <c r="BR302" s="199">
        <v>6.7990000000000004</v>
      </c>
      <c r="BT302" s="197">
        <v>0.94199999999999995</v>
      </c>
      <c r="BU302" s="201">
        <v>0.9647</v>
      </c>
      <c r="BV302" s="202">
        <v>1.0805</v>
      </c>
      <c r="BX302" s="37">
        <v>942</v>
      </c>
      <c r="BY302" s="38">
        <v>0.94259999999999999</v>
      </c>
      <c r="BZ302" s="39">
        <v>18.62</v>
      </c>
      <c r="CA302" s="33"/>
      <c r="CB302" s="37">
        <v>942</v>
      </c>
      <c r="CC302" s="38">
        <v>0.15892000000000001</v>
      </c>
      <c r="CD302" s="42">
        <v>6.2919999999999998</v>
      </c>
      <c r="CE302" s="33"/>
      <c r="CF302" s="33"/>
      <c r="CG302" s="33"/>
      <c r="CH302" s="33"/>
      <c r="CI302" s="33"/>
      <c r="CJ302" s="33"/>
      <c r="CK302" s="33"/>
      <c r="CL302" s="40">
        <v>942</v>
      </c>
      <c r="CM302" s="43">
        <v>940.9</v>
      </c>
      <c r="CN302" s="41">
        <v>1.0628</v>
      </c>
      <c r="CO302" s="33"/>
      <c r="CP302" s="40">
        <v>942</v>
      </c>
      <c r="CQ302" s="34">
        <v>1.0371999999999999</v>
      </c>
      <c r="CR302" s="41">
        <v>0.92610000000000003</v>
      </c>
      <c r="CS302" s="33"/>
      <c r="CT302" s="40">
        <v>942</v>
      </c>
      <c r="CU302" s="44">
        <v>280.87</v>
      </c>
      <c r="CV302" s="42">
        <v>6.6870000000000003</v>
      </c>
    </row>
    <row r="303" spans="4:100">
      <c r="D303" s="30">
        <v>29.3</v>
      </c>
      <c r="E303" s="31">
        <v>0.88</v>
      </c>
      <c r="F303" s="32">
        <v>879.5</v>
      </c>
      <c r="G303" s="33"/>
      <c r="H303" s="30">
        <v>29.3</v>
      </c>
      <c r="I303" s="34">
        <v>3.7837000000000001</v>
      </c>
      <c r="J303" s="35">
        <v>0.15892000000000001</v>
      </c>
      <c r="L303" s="30">
        <v>29.3</v>
      </c>
      <c r="M303" s="172">
        <v>7.327</v>
      </c>
      <c r="N303" s="173">
        <v>0.13647000000000001</v>
      </c>
      <c r="P303" s="30">
        <v>29.3</v>
      </c>
      <c r="Q303" s="172">
        <v>3.6637</v>
      </c>
      <c r="R303" s="173">
        <v>0.15387999999999999</v>
      </c>
      <c r="T303" s="30">
        <v>29.3</v>
      </c>
      <c r="U303" s="172">
        <v>272.95000000000101</v>
      </c>
      <c r="V303" s="173">
        <v>6.4989999999999997</v>
      </c>
      <c r="X303" s="30">
        <v>29.3</v>
      </c>
      <c r="Y303" s="34">
        <v>3.2711999999999999</v>
      </c>
      <c r="Z303" s="35">
        <v>0.13739000000000001</v>
      </c>
      <c r="AA303" s="36"/>
      <c r="AB303" s="30">
        <v>29.3</v>
      </c>
      <c r="AC303" s="44">
        <v>305.7</v>
      </c>
      <c r="AD303" s="35">
        <v>7.2789999999999999</v>
      </c>
      <c r="AE303" s="36"/>
      <c r="AF303" s="30">
        <v>29.3</v>
      </c>
      <c r="AG303" s="34">
        <v>3.3237000000000001</v>
      </c>
      <c r="AH303" s="35">
        <v>0.13958999999999999</v>
      </c>
      <c r="AI303" s="35"/>
      <c r="AJ303" s="35">
        <v>0.11988</v>
      </c>
      <c r="AK303" s="998">
        <v>55.7</v>
      </c>
      <c r="AM303" s="30">
        <v>29.3</v>
      </c>
      <c r="AN303" s="34">
        <v>1.0327999999999999</v>
      </c>
      <c r="AO303" s="35">
        <v>1.1567000000000001</v>
      </c>
      <c r="AQ303" s="197">
        <v>0.94299999999999995</v>
      </c>
      <c r="AR303" s="200">
        <v>18.55</v>
      </c>
      <c r="AS303" s="199">
        <v>942.4</v>
      </c>
      <c r="AZ303" s="197">
        <v>0.94299999999999995</v>
      </c>
      <c r="BA303" s="198">
        <v>7.8529</v>
      </c>
      <c r="BB303" s="199">
        <v>0.12734000000000001</v>
      </c>
      <c r="BD303" s="197">
        <v>0.94299999999999995</v>
      </c>
      <c r="BE303" s="198">
        <v>3.9264999999999999</v>
      </c>
      <c r="BF303" s="199">
        <v>0.16491</v>
      </c>
      <c r="BH303" s="197">
        <v>0.94299999999999995</v>
      </c>
      <c r="BI303" s="198">
        <v>254.68</v>
      </c>
      <c r="BJ303" s="199">
        <v>6.0640000000000001</v>
      </c>
      <c r="BL303" s="197">
        <v>0.94299999999999995</v>
      </c>
      <c r="BM303" s="198">
        <v>3.5057999999999998</v>
      </c>
      <c r="BN303" s="199">
        <v>0.14724000000000001</v>
      </c>
      <c r="BP303" s="197">
        <v>0.94299999999999995</v>
      </c>
      <c r="BQ303" s="200">
        <v>285.24</v>
      </c>
      <c r="BR303" s="199">
        <v>6.7919999999999998</v>
      </c>
      <c r="BT303" s="197">
        <v>0.94299999999999995</v>
      </c>
      <c r="BU303" s="201">
        <v>0.9637</v>
      </c>
      <c r="BV303" s="202">
        <v>1.0792999999999999</v>
      </c>
      <c r="BX303" s="37">
        <v>943</v>
      </c>
      <c r="BY303" s="38">
        <v>0.94359999999999999</v>
      </c>
      <c r="BZ303" s="39">
        <v>18.47</v>
      </c>
      <c r="CA303" s="33"/>
      <c r="CB303" s="37">
        <v>943</v>
      </c>
      <c r="CC303" s="38">
        <v>0.15892000000000001</v>
      </c>
      <c r="CD303" s="42">
        <v>6.2919999999999998</v>
      </c>
      <c r="CE303" s="33"/>
      <c r="CF303" s="33"/>
      <c r="CG303" s="33"/>
      <c r="CH303" s="33"/>
      <c r="CI303" s="33"/>
      <c r="CJ303" s="33"/>
      <c r="CK303" s="33"/>
      <c r="CL303" s="40">
        <v>943</v>
      </c>
      <c r="CM303" s="43">
        <v>941.9</v>
      </c>
      <c r="CN303" s="41">
        <v>1.0617000000000001</v>
      </c>
      <c r="CO303" s="33"/>
      <c r="CP303" s="40">
        <v>943</v>
      </c>
      <c r="CQ303" s="34">
        <v>1.0383</v>
      </c>
      <c r="CR303" s="41">
        <v>0.92700000000000005</v>
      </c>
      <c r="CS303" s="33"/>
      <c r="CT303" s="40">
        <v>943</v>
      </c>
      <c r="CU303" s="44">
        <v>280.57</v>
      </c>
      <c r="CV303" s="42">
        <v>6.68</v>
      </c>
    </row>
    <row r="304" spans="4:100">
      <c r="D304" s="30">
        <v>29.4</v>
      </c>
      <c r="E304" s="31">
        <v>0.87939999999999996</v>
      </c>
      <c r="F304" s="32">
        <v>878.9</v>
      </c>
      <c r="G304" s="33"/>
      <c r="H304" s="30">
        <v>29.4</v>
      </c>
      <c r="I304" s="34">
        <v>3.7837000000000001</v>
      </c>
      <c r="J304" s="35">
        <v>0.15892000000000001</v>
      </c>
      <c r="L304" s="30">
        <v>29.4</v>
      </c>
      <c r="M304" s="172">
        <v>7.3230000000000004</v>
      </c>
      <c r="N304" s="173">
        <v>0.13655999999999999</v>
      </c>
      <c r="P304" s="30">
        <v>29.4</v>
      </c>
      <c r="Q304" s="172">
        <v>3.6614</v>
      </c>
      <c r="R304" s="173">
        <v>0.15378</v>
      </c>
      <c r="T304" s="30">
        <v>29.4</v>
      </c>
      <c r="U304" s="172">
        <v>273.12000000000103</v>
      </c>
      <c r="V304" s="173">
        <v>6.5030000000000001</v>
      </c>
      <c r="X304" s="30">
        <v>29.4</v>
      </c>
      <c r="Y304" s="34">
        <v>3.2690999999999999</v>
      </c>
      <c r="Z304" s="35">
        <v>0.13730000000000001</v>
      </c>
      <c r="AA304" s="36"/>
      <c r="AB304" s="30">
        <v>29.4</v>
      </c>
      <c r="AC304" s="44">
        <v>305.89</v>
      </c>
      <c r="AD304" s="35">
        <v>7.2830000000000004</v>
      </c>
      <c r="AE304" s="36"/>
      <c r="AF304" s="30">
        <v>29.4</v>
      </c>
      <c r="AG304" s="34">
        <v>3.3216000000000001</v>
      </c>
      <c r="AH304" s="35">
        <v>0.13951</v>
      </c>
      <c r="AI304" s="35"/>
      <c r="AJ304" s="35">
        <v>0.11994</v>
      </c>
      <c r="AK304" s="998">
        <v>55.6</v>
      </c>
      <c r="AM304" s="30">
        <v>29.4</v>
      </c>
      <c r="AN304" s="34">
        <v>1.0334000000000001</v>
      </c>
      <c r="AO304" s="35">
        <v>1.1574</v>
      </c>
      <c r="AQ304" s="197">
        <v>0.94399999999999995</v>
      </c>
      <c r="AR304" s="200">
        <v>18.39</v>
      </c>
      <c r="AS304" s="199">
        <v>943.4</v>
      </c>
      <c r="AZ304" s="197">
        <v>0.94399999999999995</v>
      </c>
      <c r="BA304" s="198">
        <v>7.8613</v>
      </c>
      <c r="BB304" s="199">
        <v>0.12720999999999999</v>
      </c>
      <c r="BD304" s="197">
        <v>0.94399999999999995</v>
      </c>
      <c r="BE304" s="198">
        <v>3.9306000000000001</v>
      </c>
      <c r="BF304" s="199">
        <v>0.16508999999999999</v>
      </c>
      <c r="BH304" s="197">
        <v>0.94399999999999995</v>
      </c>
      <c r="BI304" s="198">
        <v>254.41</v>
      </c>
      <c r="BJ304" s="199">
        <v>6.0570000000000004</v>
      </c>
      <c r="BL304" s="197">
        <v>0.94399999999999995</v>
      </c>
      <c r="BM304" s="198">
        <v>3.5095000000000001</v>
      </c>
      <c r="BN304" s="199">
        <v>0.1474</v>
      </c>
      <c r="BP304" s="197">
        <v>0.94399999999999995</v>
      </c>
      <c r="BQ304" s="200">
        <v>284.94</v>
      </c>
      <c r="BR304" s="199">
        <v>6.7839999999999998</v>
      </c>
      <c r="BT304" s="197">
        <v>0.94399999999999995</v>
      </c>
      <c r="BU304" s="201">
        <v>0.9627</v>
      </c>
      <c r="BV304" s="202">
        <v>1.0782</v>
      </c>
      <c r="BX304" s="37">
        <v>944</v>
      </c>
      <c r="BY304" s="38">
        <v>0.9446</v>
      </c>
      <c r="BZ304" s="39">
        <v>18.309999999999999</v>
      </c>
      <c r="CA304" s="33"/>
      <c r="CB304" s="37">
        <v>944</v>
      </c>
      <c r="CC304" s="38">
        <v>0.15892000000000001</v>
      </c>
      <c r="CD304" s="42">
        <v>6.2919999999999998</v>
      </c>
      <c r="CE304" s="33"/>
      <c r="CF304" s="33"/>
      <c r="CG304" s="33"/>
      <c r="CH304" s="33"/>
      <c r="CI304" s="33"/>
      <c r="CJ304" s="33"/>
      <c r="CK304" s="33"/>
      <c r="CL304" s="40">
        <v>944</v>
      </c>
      <c r="CM304" s="43">
        <v>942.9</v>
      </c>
      <c r="CN304" s="41">
        <v>1.0605</v>
      </c>
      <c r="CO304" s="33"/>
      <c r="CP304" s="40">
        <v>944</v>
      </c>
      <c r="CQ304" s="34">
        <v>1.0394000000000001</v>
      </c>
      <c r="CR304" s="41">
        <v>0.92800000000000005</v>
      </c>
      <c r="CS304" s="33"/>
      <c r="CT304" s="40">
        <v>944</v>
      </c>
      <c r="CU304" s="44">
        <v>280.27999999999997</v>
      </c>
      <c r="CV304" s="42">
        <v>6.673</v>
      </c>
    </row>
    <row r="305" spans="4:100">
      <c r="D305" s="30">
        <v>29.5</v>
      </c>
      <c r="E305" s="31">
        <v>0.87890000000000001</v>
      </c>
      <c r="F305" s="32">
        <v>878.4</v>
      </c>
      <c r="G305" s="33"/>
      <c r="H305" s="30">
        <v>29.5</v>
      </c>
      <c r="I305" s="34">
        <v>3.7837000000000001</v>
      </c>
      <c r="J305" s="35">
        <v>0.15892000000000001</v>
      </c>
      <c r="L305" s="30">
        <v>29.5</v>
      </c>
      <c r="M305" s="172">
        <v>7.3179999999999996</v>
      </c>
      <c r="N305" s="173">
        <v>0.13664000000000001</v>
      </c>
      <c r="P305" s="30">
        <v>29.5</v>
      </c>
      <c r="Q305" s="172">
        <v>3.6591</v>
      </c>
      <c r="R305" s="173">
        <v>0.15368000000000001</v>
      </c>
      <c r="T305" s="30">
        <v>29.5</v>
      </c>
      <c r="U305" s="172">
        <v>273.29000000000099</v>
      </c>
      <c r="V305" s="173">
        <v>6.5069999999999997</v>
      </c>
      <c r="X305" s="30">
        <v>29.5</v>
      </c>
      <c r="Y305" s="34">
        <v>3.2671000000000001</v>
      </c>
      <c r="Z305" s="35">
        <v>0.13722000000000001</v>
      </c>
      <c r="AA305" s="36"/>
      <c r="AB305" s="30">
        <v>29.5</v>
      </c>
      <c r="AC305" s="44">
        <v>306.08</v>
      </c>
      <c r="AD305" s="35">
        <v>7.2880000000000003</v>
      </c>
      <c r="AE305" s="36"/>
      <c r="AF305" s="30">
        <v>29.5</v>
      </c>
      <c r="AG305" s="34">
        <v>3.3195000000000001</v>
      </c>
      <c r="AH305" s="35">
        <v>0.13941999999999999</v>
      </c>
      <c r="AI305" s="35"/>
      <c r="AJ305" s="35">
        <v>0.12001000000000001</v>
      </c>
      <c r="AK305" s="998">
        <v>55.5</v>
      </c>
      <c r="AM305" s="30">
        <v>29.5</v>
      </c>
      <c r="AN305" s="34">
        <v>1.0341</v>
      </c>
      <c r="AO305" s="35">
        <v>1.1580999999999999</v>
      </c>
      <c r="AQ305" s="197">
        <v>0.94499999999999995</v>
      </c>
      <c r="AR305" s="200">
        <v>18.239999999999998</v>
      </c>
      <c r="AS305" s="199">
        <v>944.4</v>
      </c>
      <c r="AZ305" s="197">
        <v>0.94499999999999995</v>
      </c>
      <c r="BA305" s="198">
        <v>7.8696000000000002</v>
      </c>
      <c r="BB305" s="199">
        <v>0.12706999999999999</v>
      </c>
      <c r="BD305" s="197">
        <v>0.94499999999999995</v>
      </c>
      <c r="BE305" s="198">
        <v>3.9348000000000001</v>
      </c>
      <c r="BF305" s="199">
        <v>0.16525999999999999</v>
      </c>
      <c r="BH305" s="197">
        <v>0.94499999999999995</v>
      </c>
      <c r="BI305" s="198">
        <v>254.14</v>
      </c>
      <c r="BJ305" s="199">
        <v>6.0510000000000002</v>
      </c>
      <c r="BL305" s="197">
        <v>0.94499999999999995</v>
      </c>
      <c r="BM305" s="198">
        <v>3.5131999999999999</v>
      </c>
      <c r="BN305" s="199">
        <v>0.14754999999999999</v>
      </c>
      <c r="BP305" s="197">
        <v>0.94499999999999995</v>
      </c>
      <c r="BQ305" s="200">
        <v>284.64</v>
      </c>
      <c r="BR305" s="199">
        <v>6.7770000000000001</v>
      </c>
      <c r="BT305" s="197">
        <v>0.94499999999999995</v>
      </c>
      <c r="BU305" s="201">
        <v>0.96160000000000001</v>
      </c>
      <c r="BV305" s="202">
        <v>1.077</v>
      </c>
      <c r="BX305" s="37">
        <v>945</v>
      </c>
      <c r="BY305" s="38">
        <v>0.9456</v>
      </c>
      <c r="BZ305" s="39">
        <v>18.149999999999999</v>
      </c>
      <c r="CA305" s="33"/>
      <c r="CB305" s="37">
        <v>945</v>
      </c>
      <c r="CC305" s="38">
        <v>0.15892000000000001</v>
      </c>
      <c r="CD305" s="42">
        <v>6.2919999999999998</v>
      </c>
      <c r="CE305" s="33"/>
      <c r="CF305" s="33"/>
      <c r="CG305" s="33"/>
      <c r="CH305" s="33"/>
      <c r="CI305" s="33"/>
      <c r="CJ305" s="33"/>
      <c r="CK305" s="33"/>
      <c r="CL305" s="40">
        <v>945</v>
      </c>
      <c r="CM305" s="43">
        <v>943.9</v>
      </c>
      <c r="CN305" s="41">
        <v>1.0593999999999999</v>
      </c>
      <c r="CO305" s="33"/>
      <c r="CP305" s="40">
        <v>945</v>
      </c>
      <c r="CQ305" s="34">
        <v>1.0405</v>
      </c>
      <c r="CR305" s="41">
        <v>0.92900000000000005</v>
      </c>
      <c r="CS305" s="33"/>
      <c r="CT305" s="40">
        <v>945</v>
      </c>
      <c r="CU305" s="44">
        <v>279.98</v>
      </c>
      <c r="CV305" s="42">
        <v>6.6660000000000004</v>
      </c>
    </row>
    <row r="306" spans="4:100">
      <c r="D306" s="30">
        <v>29.6</v>
      </c>
      <c r="E306" s="31">
        <v>0.87829999999999997</v>
      </c>
      <c r="F306" s="32">
        <v>877.9</v>
      </c>
      <c r="G306" s="33"/>
      <c r="H306" s="30">
        <v>29.6</v>
      </c>
      <c r="I306" s="34">
        <v>3.7837000000000001</v>
      </c>
      <c r="J306" s="35">
        <v>0.15892000000000001</v>
      </c>
      <c r="L306" s="30">
        <v>29.6</v>
      </c>
      <c r="M306" s="172">
        <v>7.3140000000000001</v>
      </c>
      <c r="N306" s="173">
        <v>0.13672999999999999</v>
      </c>
      <c r="P306" s="30">
        <v>29.6</v>
      </c>
      <c r="Q306" s="172">
        <v>3.6568999999999998</v>
      </c>
      <c r="R306" s="173">
        <v>0.15359</v>
      </c>
      <c r="T306" s="30">
        <v>29.6</v>
      </c>
      <c r="U306" s="172">
        <v>273.460000000001</v>
      </c>
      <c r="V306" s="173">
        <v>6.5110000000000001</v>
      </c>
      <c r="X306" s="30">
        <v>29.6</v>
      </c>
      <c r="Y306" s="34">
        <v>3.2650999999999999</v>
      </c>
      <c r="Z306" s="35">
        <v>0.13713</v>
      </c>
      <c r="AA306" s="36"/>
      <c r="AB306" s="30">
        <v>29.6</v>
      </c>
      <c r="AC306" s="44">
        <v>306.27</v>
      </c>
      <c r="AD306" s="35">
        <v>7.2919999999999998</v>
      </c>
      <c r="AE306" s="36"/>
      <c r="AF306" s="30">
        <v>29.6</v>
      </c>
      <c r="AG306" s="34">
        <v>3.3174999999999999</v>
      </c>
      <c r="AH306" s="35">
        <v>0.13933000000000001</v>
      </c>
      <c r="AI306" s="35"/>
      <c r="AJ306" s="35">
        <v>0.12007</v>
      </c>
      <c r="AK306" s="998">
        <v>55.4</v>
      </c>
      <c r="AM306" s="30">
        <v>29.6</v>
      </c>
      <c r="AN306" s="34">
        <v>1.0347</v>
      </c>
      <c r="AO306" s="35">
        <v>1.1589</v>
      </c>
      <c r="AQ306" s="197">
        <v>0.94599999999999995</v>
      </c>
      <c r="AR306" s="200">
        <v>18.079999999999998</v>
      </c>
      <c r="AS306" s="199">
        <v>945.4</v>
      </c>
      <c r="AZ306" s="197">
        <v>0.94599999999999995</v>
      </c>
      <c r="BA306" s="198">
        <v>7.8779000000000003</v>
      </c>
      <c r="BB306" s="199">
        <v>0.12694</v>
      </c>
      <c r="BD306" s="197">
        <v>0.94599999999999995</v>
      </c>
      <c r="BE306" s="198">
        <v>3.9390000000000001</v>
      </c>
      <c r="BF306" s="199">
        <v>0.16544</v>
      </c>
      <c r="BH306" s="197">
        <v>0.94599999999999995</v>
      </c>
      <c r="BI306" s="198">
        <v>253.87</v>
      </c>
      <c r="BJ306" s="199">
        <v>6.0449999999999999</v>
      </c>
      <c r="BL306" s="197">
        <v>0.94599999999999995</v>
      </c>
      <c r="BM306" s="198">
        <v>3.5169000000000001</v>
      </c>
      <c r="BN306" s="199">
        <v>0.14771000000000001</v>
      </c>
      <c r="BP306" s="197">
        <v>0.94599999999999995</v>
      </c>
      <c r="BQ306" s="200">
        <v>284.33999999999997</v>
      </c>
      <c r="BR306" s="199">
        <v>6.77</v>
      </c>
      <c r="BT306" s="197">
        <v>0.94599999999999995</v>
      </c>
      <c r="BU306" s="201">
        <v>0.96060000000000001</v>
      </c>
      <c r="BV306" s="202">
        <v>1.0759000000000001</v>
      </c>
      <c r="BX306" s="37">
        <v>946</v>
      </c>
      <c r="BY306" s="38">
        <v>0.9466</v>
      </c>
      <c r="BZ306" s="39">
        <v>17.989999999999998</v>
      </c>
      <c r="CA306" s="33"/>
      <c r="CB306" s="37">
        <v>946</v>
      </c>
      <c r="CC306" s="38">
        <v>0.15892000000000001</v>
      </c>
      <c r="CD306" s="42">
        <v>6.2919999999999998</v>
      </c>
      <c r="CE306" s="33"/>
      <c r="CF306" s="33"/>
      <c r="CG306" s="33"/>
      <c r="CH306" s="33"/>
      <c r="CI306" s="33"/>
      <c r="CJ306" s="33"/>
      <c r="CK306" s="33"/>
      <c r="CL306" s="40">
        <v>946</v>
      </c>
      <c r="CM306" s="43">
        <v>944.9</v>
      </c>
      <c r="CN306" s="41">
        <v>1.0583</v>
      </c>
      <c r="CO306" s="33"/>
      <c r="CP306" s="40">
        <v>946</v>
      </c>
      <c r="CQ306" s="34">
        <v>1.0416000000000001</v>
      </c>
      <c r="CR306" s="41">
        <v>0.93</v>
      </c>
      <c r="CS306" s="33"/>
      <c r="CT306" s="40">
        <v>946</v>
      </c>
      <c r="CU306" s="44">
        <v>279.68</v>
      </c>
      <c r="CV306" s="42">
        <v>6.6589999999999998</v>
      </c>
    </row>
    <row r="307" spans="4:100">
      <c r="D307" s="30">
        <v>29.7</v>
      </c>
      <c r="E307" s="31">
        <v>0.87780000000000002</v>
      </c>
      <c r="F307" s="32">
        <v>877.3</v>
      </c>
      <c r="G307" s="33"/>
      <c r="H307" s="30">
        <v>29.7</v>
      </c>
      <c r="I307" s="34">
        <v>3.7837000000000001</v>
      </c>
      <c r="J307" s="35">
        <v>0.15892000000000001</v>
      </c>
      <c r="L307" s="30">
        <v>29.7</v>
      </c>
      <c r="M307" s="172">
        <v>7.3090000000000002</v>
      </c>
      <c r="N307" s="173">
        <v>0.13680999999999999</v>
      </c>
      <c r="P307" s="30">
        <v>29.7</v>
      </c>
      <c r="Q307" s="172">
        <v>3.6545999999999998</v>
      </c>
      <c r="R307" s="173">
        <v>0.15348999999999999</v>
      </c>
      <c r="T307" s="30">
        <v>29.7</v>
      </c>
      <c r="U307" s="172">
        <v>273.63000000000102</v>
      </c>
      <c r="V307" s="173">
        <v>6.5149999999999997</v>
      </c>
      <c r="X307" s="30">
        <v>29.7</v>
      </c>
      <c r="Y307" s="34">
        <v>3.2629999999999999</v>
      </c>
      <c r="Z307" s="35">
        <v>0.13705000000000001</v>
      </c>
      <c r="AA307" s="36"/>
      <c r="AB307" s="30">
        <v>29.7</v>
      </c>
      <c r="AC307" s="44">
        <v>306.45999999999998</v>
      </c>
      <c r="AD307" s="35">
        <v>7.2969999999999997</v>
      </c>
      <c r="AE307" s="36"/>
      <c r="AF307" s="30">
        <v>29.7</v>
      </c>
      <c r="AG307" s="34">
        <v>3.3153999999999999</v>
      </c>
      <c r="AH307" s="35">
        <v>0.13925000000000001</v>
      </c>
      <c r="AI307" s="35"/>
      <c r="AJ307" s="35">
        <v>0.12014</v>
      </c>
      <c r="AK307" s="998">
        <v>55.3</v>
      </c>
      <c r="AM307" s="30">
        <v>29.7</v>
      </c>
      <c r="AN307" s="34">
        <v>1.0353000000000001</v>
      </c>
      <c r="AO307" s="35">
        <v>1.1596</v>
      </c>
      <c r="AQ307" s="197">
        <v>0.94699999999999995</v>
      </c>
      <c r="AR307" s="200">
        <v>17.920000000000002</v>
      </c>
      <c r="AS307" s="199">
        <v>946.4</v>
      </c>
      <c r="AZ307" s="197">
        <v>0.94699999999999995</v>
      </c>
      <c r="BA307" s="198">
        <v>7.8863000000000003</v>
      </c>
      <c r="BB307" s="199">
        <v>0.1268</v>
      </c>
      <c r="BD307" s="197">
        <v>0.94699999999999995</v>
      </c>
      <c r="BE307" s="198">
        <v>3.9430999999999998</v>
      </c>
      <c r="BF307" s="199">
        <v>0.16561000000000001</v>
      </c>
      <c r="BH307" s="197">
        <v>0.94699999999999995</v>
      </c>
      <c r="BI307" s="198">
        <v>253.61</v>
      </c>
      <c r="BJ307" s="199">
        <v>6.0380000000000003</v>
      </c>
      <c r="BL307" s="197">
        <v>0.94699999999999995</v>
      </c>
      <c r="BM307" s="198">
        <v>3.5207000000000002</v>
      </c>
      <c r="BN307" s="199">
        <v>0.14787</v>
      </c>
      <c r="BP307" s="197">
        <v>0.94699999999999995</v>
      </c>
      <c r="BQ307" s="200">
        <v>284.04000000000002</v>
      </c>
      <c r="BR307" s="199">
        <v>6.7629999999999999</v>
      </c>
      <c r="BT307" s="197">
        <v>0.94699999999999995</v>
      </c>
      <c r="BU307" s="201">
        <v>0.95960000000000001</v>
      </c>
      <c r="BV307" s="202">
        <v>1.0748</v>
      </c>
      <c r="BX307" s="37">
        <v>947</v>
      </c>
      <c r="BY307" s="38">
        <v>0.9476</v>
      </c>
      <c r="BZ307" s="39">
        <v>17.829999999999998</v>
      </c>
      <c r="CA307" s="33"/>
      <c r="CB307" s="37">
        <v>947</v>
      </c>
      <c r="CC307" s="38">
        <v>0.15892000000000001</v>
      </c>
      <c r="CD307" s="42">
        <v>6.2919999999999998</v>
      </c>
      <c r="CE307" s="33"/>
      <c r="CF307" s="33"/>
      <c r="CG307" s="33"/>
      <c r="CH307" s="33"/>
      <c r="CI307" s="33"/>
      <c r="CJ307" s="33"/>
      <c r="CK307" s="33"/>
      <c r="CL307" s="40">
        <v>947</v>
      </c>
      <c r="CM307" s="43">
        <v>945.9</v>
      </c>
      <c r="CN307" s="41">
        <v>1.0571999999999999</v>
      </c>
      <c r="CO307" s="33"/>
      <c r="CP307" s="40">
        <v>947</v>
      </c>
      <c r="CQ307" s="34">
        <v>1.0427</v>
      </c>
      <c r="CR307" s="41">
        <v>0.93100000000000005</v>
      </c>
      <c r="CS307" s="33"/>
      <c r="CT307" s="40">
        <v>947</v>
      </c>
      <c r="CU307" s="44">
        <v>279.39</v>
      </c>
      <c r="CV307" s="42">
        <v>6.6520000000000001</v>
      </c>
    </row>
    <row r="308" spans="4:100">
      <c r="D308" s="30">
        <v>29.8</v>
      </c>
      <c r="E308" s="31">
        <v>0.87719999999999998</v>
      </c>
      <c r="F308" s="32">
        <v>876.8</v>
      </c>
      <c r="G308" s="33"/>
      <c r="H308" s="30">
        <v>29.8</v>
      </c>
      <c r="I308" s="34">
        <v>3.7837000000000001</v>
      </c>
      <c r="J308" s="35">
        <v>0.15892000000000001</v>
      </c>
      <c r="L308" s="30">
        <v>29.8</v>
      </c>
      <c r="M308" s="172">
        <v>7.3049999999999997</v>
      </c>
      <c r="N308" s="173">
        <v>0.13689999999999999</v>
      </c>
      <c r="P308" s="30">
        <v>29.8</v>
      </c>
      <c r="Q308" s="172">
        <v>3.6522999999999999</v>
      </c>
      <c r="R308" s="173">
        <v>0.15340000000000001</v>
      </c>
      <c r="T308" s="30">
        <v>29.8</v>
      </c>
      <c r="U308" s="172">
        <v>273.80000000000098</v>
      </c>
      <c r="V308" s="173">
        <v>6.5190000000000001</v>
      </c>
      <c r="X308" s="30">
        <v>29.8</v>
      </c>
      <c r="Y308" s="34">
        <v>3.2610000000000001</v>
      </c>
      <c r="Z308" s="35">
        <v>0.13696</v>
      </c>
      <c r="AA308" s="36"/>
      <c r="AB308" s="30">
        <v>29.8</v>
      </c>
      <c r="AC308" s="44">
        <v>306.64999999999998</v>
      </c>
      <c r="AD308" s="35">
        <v>7.3010000000000002</v>
      </c>
      <c r="AE308" s="36"/>
      <c r="AF308" s="30">
        <v>29.8</v>
      </c>
      <c r="AG308" s="34">
        <v>3.3132999999999999</v>
      </c>
      <c r="AH308" s="35">
        <v>0.13916000000000001</v>
      </c>
      <c r="AI308" s="35"/>
      <c r="AJ308" s="35">
        <v>0.1202</v>
      </c>
      <c r="AK308" s="998">
        <v>55.2</v>
      </c>
      <c r="AM308" s="30">
        <v>29.8</v>
      </c>
      <c r="AN308" s="34">
        <v>1.036</v>
      </c>
      <c r="AO308" s="35">
        <v>1.1603000000000001</v>
      </c>
      <c r="AQ308" s="197">
        <v>0.94799999999999995</v>
      </c>
      <c r="AR308" s="200">
        <v>17.760000000000002</v>
      </c>
      <c r="AS308" s="199">
        <v>947.4</v>
      </c>
      <c r="AZ308" s="197">
        <v>0.94799999999999995</v>
      </c>
      <c r="BA308" s="198">
        <v>7.8945999999999996</v>
      </c>
      <c r="BB308" s="199">
        <v>0.12667</v>
      </c>
      <c r="BD308" s="197">
        <v>0.94799999999999995</v>
      </c>
      <c r="BE308" s="198">
        <v>3.9472999999999998</v>
      </c>
      <c r="BF308" s="199">
        <v>0.16578999999999999</v>
      </c>
      <c r="BH308" s="197">
        <v>0.94799999999999995</v>
      </c>
      <c r="BI308" s="198">
        <v>253.34</v>
      </c>
      <c r="BJ308" s="199">
        <v>6.032</v>
      </c>
      <c r="BL308" s="197">
        <v>0.94799999999999995</v>
      </c>
      <c r="BM308" s="198">
        <v>3.5244</v>
      </c>
      <c r="BN308" s="199">
        <v>0.14802000000000001</v>
      </c>
      <c r="BP308" s="197">
        <v>0.94799999999999995</v>
      </c>
      <c r="BQ308" s="200">
        <v>283.74</v>
      </c>
      <c r="BR308" s="199">
        <v>6.7560000000000002</v>
      </c>
      <c r="BT308" s="197">
        <v>0.94799999999999995</v>
      </c>
      <c r="BU308" s="201">
        <v>0.95860000000000001</v>
      </c>
      <c r="BV308" s="202">
        <v>1.0736000000000001</v>
      </c>
      <c r="BX308" s="37">
        <v>948</v>
      </c>
      <c r="BY308" s="38">
        <v>0.9486</v>
      </c>
      <c r="BZ308" s="39">
        <v>17.670000000000002</v>
      </c>
      <c r="CA308" s="33"/>
      <c r="CB308" s="37">
        <v>948</v>
      </c>
      <c r="CC308" s="38">
        <v>0.15892000000000001</v>
      </c>
      <c r="CD308" s="42">
        <v>6.2919999999999998</v>
      </c>
      <c r="CE308" s="33"/>
      <c r="CF308" s="33"/>
      <c r="CG308" s="33"/>
      <c r="CH308" s="33"/>
      <c r="CI308" s="33"/>
      <c r="CJ308" s="33"/>
      <c r="CK308" s="33"/>
      <c r="CL308" s="40">
        <v>948</v>
      </c>
      <c r="CM308" s="43">
        <v>946.9</v>
      </c>
      <c r="CN308" s="41">
        <v>1.0561</v>
      </c>
      <c r="CO308" s="33"/>
      <c r="CP308" s="40">
        <v>948</v>
      </c>
      <c r="CQ308" s="34">
        <v>1.0438000000000001</v>
      </c>
      <c r="CR308" s="41">
        <v>0.93200000000000005</v>
      </c>
      <c r="CS308" s="33"/>
      <c r="CT308" s="40">
        <v>948</v>
      </c>
      <c r="CU308" s="44">
        <v>279.08999999999997</v>
      </c>
      <c r="CV308" s="42">
        <v>6.6449999999999996</v>
      </c>
    </row>
    <row r="309" spans="4:100">
      <c r="D309" s="30">
        <v>29.9</v>
      </c>
      <c r="E309" s="31">
        <v>0.87670000000000003</v>
      </c>
      <c r="F309" s="32">
        <v>876.2</v>
      </c>
      <c r="G309" s="33"/>
      <c r="H309" s="30">
        <v>29.9</v>
      </c>
      <c r="I309" s="34">
        <v>3.7837000000000001</v>
      </c>
      <c r="J309" s="35">
        <v>0.15892000000000001</v>
      </c>
      <c r="L309" s="30">
        <v>29.9</v>
      </c>
      <c r="M309" s="172">
        <v>7.3</v>
      </c>
      <c r="N309" s="173">
        <v>0.13697999999999999</v>
      </c>
      <c r="P309" s="30">
        <v>29.9</v>
      </c>
      <c r="Q309" s="172">
        <v>3.6501000000000001</v>
      </c>
      <c r="R309" s="173">
        <v>0.15329999999999999</v>
      </c>
      <c r="T309" s="30">
        <v>29.9</v>
      </c>
      <c r="U309" s="172">
        <v>273.97000000000099</v>
      </c>
      <c r="V309" s="173">
        <v>6.5229999999999997</v>
      </c>
      <c r="X309" s="30">
        <v>29.9</v>
      </c>
      <c r="Y309" s="34">
        <v>3.2589999999999999</v>
      </c>
      <c r="Z309" s="35">
        <v>0.13688</v>
      </c>
      <c r="AA309" s="36"/>
      <c r="AB309" s="30">
        <v>29.9</v>
      </c>
      <c r="AC309" s="44">
        <v>306.83999999999997</v>
      </c>
      <c r="AD309" s="35">
        <v>7.306</v>
      </c>
      <c r="AE309" s="36"/>
      <c r="AF309" s="30">
        <v>29.9</v>
      </c>
      <c r="AG309" s="34">
        <v>3.3113000000000001</v>
      </c>
      <c r="AH309" s="35">
        <v>0.13907</v>
      </c>
      <c r="AI309" s="35"/>
      <c r="AJ309" s="35">
        <v>0.12027</v>
      </c>
      <c r="AK309" s="998">
        <v>55.1</v>
      </c>
      <c r="AM309" s="30">
        <v>29.9</v>
      </c>
      <c r="AN309" s="34">
        <v>1.0366</v>
      </c>
      <c r="AO309" s="35">
        <v>1.161</v>
      </c>
      <c r="AQ309" s="197">
        <v>0.94899999999999995</v>
      </c>
      <c r="AR309" s="200">
        <v>17.600000000000001</v>
      </c>
      <c r="AS309" s="199">
        <v>948.4</v>
      </c>
      <c r="AZ309" s="197">
        <v>0.94899999999999995</v>
      </c>
      <c r="BA309" s="198">
        <v>7.9029999999999996</v>
      </c>
      <c r="BB309" s="199">
        <v>0.12653</v>
      </c>
      <c r="BD309" s="197">
        <v>0.94899999999999995</v>
      </c>
      <c r="BE309" s="198">
        <v>3.9514999999999998</v>
      </c>
      <c r="BF309" s="199">
        <v>0.16596</v>
      </c>
      <c r="BH309" s="197">
        <v>0.94899999999999995</v>
      </c>
      <c r="BI309" s="198">
        <v>253.07</v>
      </c>
      <c r="BJ309" s="199">
        <v>6.0250000000000004</v>
      </c>
      <c r="BL309" s="197">
        <v>0.94899999999999995</v>
      </c>
      <c r="BM309" s="198">
        <v>3.5280999999999998</v>
      </c>
      <c r="BN309" s="199">
        <v>0.14818000000000001</v>
      </c>
      <c r="BP309" s="197">
        <v>0.94899999999999995</v>
      </c>
      <c r="BQ309" s="200">
        <v>283.44</v>
      </c>
      <c r="BR309" s="199">
        <v>6.7489999999999997</v>
      </c>
      <c r="BT309" s="197">
        <v>0.94899999999999995</v>
      </c>
      <c r="BU309" s="201">
        <v>0.95760000000000001</v>
      </c>
      <c r="BV309" s="202">
        <v>1.0725</v>
      </c>
      <c r="BX309" s="37">
        <v>949</v>
      </c>
      <c r="BY309" s="38">
        <v>0.9496</v>
      </c>
      <c r="BZ309" s="39">
        <v>17.52</v>
      </c>
      <c r="CA309" s="33"/>
      <c r="CB309" s="37">
        <v>949</v>
      </c>
      <c r="CC309" s="38">
        <v>0.15892000000000001</v>
      </c>
      <c r="CD309" s="42">
        <v>6.2919999999999998</v>
      </c>
      <c r="CE309" s="33"/>
      <c r="CF309" s="33"/>
      <c r="CG309" s="33"/>
      <c r="CH309" s="33"/>
      <c r="CI309" s="33"/>
      <c r="CJ309" s="33"/>
      <c r="CK309" s="33"/>
      <c r="CL309" s="40">
        <v>949</v>
      </c>
      <c r="CM309" s="43">
        <v>947.9</v>
      </c>
      <c r="CN309" s="41">
        <v>1.0548999999999999</v>
      </c>
      <c r="CO309" s="33"/>
      <c r="CP309" s="40">
        <v>949</v>
      </c>
      <c r="CQ309" s="34">
        <v>1.0448999999999999</v>
      </c>
      <c r="CR309" s="41">
        <v>0.93300000000000005</v>
      </c>
      <c r="CS309" s="33"/>
      <c r="CT309" s="40">
        <v>949</v>
      </c>
      <c r="CU309" s="44">
        <v>278.8</v>
      </c>
      <c r="CV309" s="42">
        <v>6.6379999999999999</v>
      </c>
    </row>
    <row r="310" spans="4:100">
      <c r="D310" s="30">
        <v>30</v>
      </c>
      <c r="E310" s="31">
        <v>0.87619999999999998</v>
      </c>
      <c r="F310" s="32">
        <v>875.7</v>
      </c>
      <c r="G310" s="33"/>
      <c r="H310" s="30">
        <v>30</v>
      </c>
      <c r="I310" s="34">
        <v>3.7837000000000001</v>
      </c>
      <c r="J310" s="35">
        <v>0.15892000000000001</v>
      </c>
      <c r="L310" s="30">
        <v>30</v>
      </c>
      <c r="M310" s="172">
        <v>7.2960000000000003</v>
      </c>
      <c r="N310" s="173">
        <v>0.13707</v>
      </c>
      <c r="P310" s="30">
        <v>30</v>
      </c>
      <c r="Q310" s="172">
        <v>3.6478000000000002</v>
      </c>
      <c r="R310" s="173">
        <v>0.15321000000000001</v>
      </c>
      <c r="T310" s="30">
        <v>30</v>
      </c>
      <c r="U310" s="172">
        <v>274.14000000000101</v>
      </c>
      <c r="V310" s="173">
        <v>6.5269999999999904</v>
      </c>
      <c r="X310" s="30">
        <v>30</v>
      </c>
      <c r="Y310" s="34">
        <v>3.2570000000000001</v>
      </c>
      <c r="Z310" s="35">
        <v>0.13678999999999999</v>
      </c>
      <c r="AA310" s="36"/>
      <c r="AB310" s="30">
        <v>30</v>
      </c>
      <c r="AC310" s="44">
        <v>307.02999999999997</v>
      </c>
      <c r="AD310" s="35">
        <v>7.31</v>
      </c>
      <c r="AE310" s="36"/>
      <c r="AF310" s="30">
        <v>30</v>
      </c>
      <c r="AG310" s="34">
        <v>3.3092000000000001</v>
      </c>
      <c r="AH310" s="35">
        <v>0.13899</v>
      </c>
      <c r="AI310" s="35"/>
      <c r="AJ310" s="35">
        <v>0.12033000000000001</v>
      </c>
      <c r="AK310" s="998">
        <v>55</v>
      </c>
      <c r="AM310" s="30">
        <v>30</v>
      </c>
      <c r="AN310" s="34">
        <v>1.0373000000000001</v>
      </c>
      <c r="AO310" s="35">
        <v>1.1617</v>
      </c>
      <c r="AQ310" s="197">
        <v>0.95</v>
      </c>
      <c r="AR310" s="200">
        <v>17.45</v>
      </c>
      <c r="AS310" s="199">
        <v>949.4</v>
      </c>
      <c r="AZ310" s="197">
        <v>0.95</v>
      </c>
      <c r="BA310" s="198">
        <v>7.9112999999999998</v>
      </c>
      <c r="BB310" s="199">
        <v>0.12640000000000001</v>
      </c>
      <c r="BD310" s="197">
        <v>0.95</v>
      </c>
      <c r="BE310" s="198">
        <v>3.9556</v>
      </c>
      <c r="BF310" s="199">
        <v>0.16614000000000001</v>
      </c>
      <c r="BH310" s="197">
        <v>0.95</v>
      </c>
      <c r="BI310" s="198">
        <v>252.8</v>
      </c>
      <c r="BJ310" s="199">
        <v>6.0190000000000001</v>
      </c>
      <c r="BL310" s="197">
        <v>0.95</v>
      </c>
      <c r="BM310" s="198">
        <v>3.5318000000000001</v>
      </c>
      <c r="BN310" s="199">
        <v>0.14834</v>
      </c>
      <c r="BP310" s="197">
        <v>0.95</v>
      </c>
      <c r="BQ310" s="200">
        <v>283.14</v>
      </c>
      <c r="BR310" s="199">
        <v>6.7409999999999997</v>
      </c>
      <c r="BT310" s="197">
        <v>0.95</v>
      </c>
      <c r="BU310" s="201">
        <v>0.95660000000000001</v>
      </c>
      <c r="BV310" s="202">
        <v>1.0713999999999999</v>
      </c>
      <c r="BX310" s="37">
        <v>950</v>
      </c>
      <c r="BY310" s="38">
        <v>0.9506</v>
      </c>
      <c r="BZ310" s="39">
        <v>17.36</v>
      </c>
      <c r="CA310" s="33"/>
      <c r="CB310" s="37">
        <v>950</v>
      </c>
      <c r="CC310" s="38">
        <v>0.15892000000000001</v>
      </c>
      <c r="CD310" s="42">
        <v>6.2919999999999998</v>
      </c>
      <c r="CE310" s="33"/>
      <c r="CF310" s="33"/>
      <c r="CG310" s="33"/>
      <c r="CH310" s="33"/>
      <c r="CI310" s="33"/>
      <c r="CJ310" s="33"/>
      <c r="CK310" s="33"/>
      <c r="CL310" s="40">
        <v>950</v>
      </c>
      <c r="CM310" s="43">
        <v>948.9</v>
      </c>
      <c r="CN310" s="41">
        <v>1.0538000000000001</v>
      </c>
      <c r="CO310" s="33"/>
      <c r="CP310" s="40">
        <v>950</v>
      </c>
      <c r="CQ310" s="34">
        <v>1.046</v>
      </c>
      <c r="CR310" s="41">
        <v>0.93389999999999995</v>
      </c>
      <c r="CS310" s="33"/>
      <c r="CT310" s="40">
        <v>950</v>
      </c>
      <c r="CU310" s="44">
        <v>278.5</v>
      </c>
      <c r="CV310" s="42">
        <v>6.6310000000000002</v>
      </c>
    </row>
    <row r="311" spans="4:100">
      <c r="D311" s="30">
        <v>30.1</v>
      </c>
      <c r="E311" s="31">
        <v>0.87560000000000004</v>
      </c>
      <c r="F311" s="32">
        <v>875.1</v>
      </c>
      <c r="G311" s="33"/>
      <c r="H311" s="30">
        <v>30.1</v>
      </c>
      <c r="I311" s="34">
        <v>3.7837000000000001</v>
      </c>
      <c r="J311" s="35">
        <v>0.15892000000000001</v>
      </c>
      <c r="L311" s="30">
        <v>30.1</v>
      </c>
      <c r="M311" s="172">
        <v>7.2910000000000004</v>
      </c>
      <c r="N311" s="173">
        <v>0.13714999999999999</v>
      </c>
      <c r="P311" s="30">
        <v>30.1</v>
      </c>
      <c r="Q311" s="172">
        <v>3.6455000000000002</v>
      </c>
      <c r="R311" s="173">
        <v>0.15311</v>
      </c>
      <c r="T311" s="30">
        <v>30.1</v>
      </c>
      <c r="U311" s="172">
        <v>274.31000000000103</v>
      </c>
      <c r="V311" s="173">
        <v>6.5309999999999899</v>
      </c>
      <c r="X311" s="30">
        <v>30.1</v>
      </c>
      <c r="Y311" s="34">
        <v>3.2549000000000001</v>
      </c>
      <c r="Z311" s="35">
        <v>0.13671</v>
      </c>
      <c r="AA311" s="36"/>
      <c r="AB311" s="30">
        <v>30.1</v>
      </c>
      <c r="AC311" s="44">
        <v>307.22000000000003</v>
      </c>
      <c r="AD311" s="35">
        <v>7.3150000000000004</v>
      </c>
      <c r="AE311" s="36"/>
      <c r="AF311" s="30">
        <v>30.1</v>
      </c>
      <c r="AG311" s="34">
        <v>3.3071999999999999</v>
      </c>
      <c r="AH311" s="35">
        <v>0.1389</v>
      </c>
      <c r="AI311" s="35"/>
      <c r="AJ311" s="35">
        <v>0.12039999999999999</v>
      </c>
      <c r="AK311" s="998">
        <v>54.9</v>
      </c>
      <c r="AM311" s="30">
        <v>30.1</v>
      </c>
      <c r="AN311" s="34">
        <v>1.0379</v>
      </c>
      <c r="AO311" s="35">
        <v>1.1625000000000001</v>
      </c>
      <c r="AQ311" s="197">
        <v>0.95099999999999996</v>
      </c>
      <c r="AR311" s="200">
        <v>17.29</v>
      </c>
      <c r="AS311" s="199">
        <v>950.4</v>
      </c>
      <c r="AZ311" s="197">
        <v>0.95099999999999996</v>
      </c>
      <c r="BA311" s="198">
        <v>7.9196</v>
      </c>
      <c r="BB311" s="199">
        <v>0.12626999999999999</v>
      </c>
      <c r="BD311" s="197">
        <v>0.95099999999999996</v>
      </c>
      <c r="BE311" s="198">
        <v>3.9598</v>
      </c>
      <c r="BF311" s="199">
        <v>0.16631000000000001</v>
      </c>
      <c r="BH311" s="197">
        <v>0.95099999999999996</v>
      </c>
      <c r="BI311" s="198">
        <v>252.54</v>
      </c>
      <c r="BJ311" s="199">
        <v>6.0129999999999999</v>
      </c>
      <c r="BL311" s="197">
        <v>0.95099999999999996</v>
      </c>
      <c r="BM311" s="198">
        <v>3.5354999999999999</v>
      </c>
      <c r="BN311" s="199">
        <v>0.14849000000000001</v>
      </c>
      <c r="BP311" s="197">
        <v>0.95099999999999996</v>
      </c>
      <c r="BQ311" s="200">
        <v>282.83999999999997</v>
      </c>
      <c r="BR311" s="199">
        <v>6.734</v>
      </c>
      <c r="BT311" s="197">
        <v>0.95099999999999996</v>
      </c>
      <c r="BU311" s="201">
        <v>0.9556</v>
      </c>
      <c r="BV311" s="202">
        <v>1.0702</v>
      </c>
      <c r="BX311" s="37">
        <v>951</v>
      </c>
      <c r="BY311" s="38">
        <v>0.9516</v>
      </c>
      <c r="BZ311" s="39">
        <v>17.2</v>
      </c>
      <c r="CA311" s="33"/>
      <c r="CB311" s="37">
        <v>951</v>
      </c>
      <c r="CC311" s="38">
        <v>0.15892000000000001</v>
      </c>
      <c r="CD311" s="42">
        <v>6.2919999999999998</v>
      </c>
      <c r="CE311" s="33"/>
      <c r="CF311" s="33"/>
      <c r="CG311" s="33"/>
      <c r="CH311" s="33"/>
      <c r="CI311" s="33"/>
      <c r="CJ311" s="33"/>
      <c r="CK311" s="33"/>
      <c r="CL311" s="40">
        <v>951</v>
      </c>
      <c r="CM311" s="43">
        <v>949.9</v>
      </c>
      <c r="CN311" s="41">
        <v>1.0527</v>
      </c>
      <c r="CO311" s="33"/>
      <c r="CP311" s="40">
        <v>951</v>
      </c>
      <c r="CQ311" s="34">
        <v>1.0470999999999999</v>
      </c>
      <c r="CR311" s="41">
        <v>0.93489999999999995</v>
      </c>
      <c r="CS311" s="33"/>
      <c r="CT311" s="40">
        <v>951</v>
      </c>
      <c r="CU311" s="44">
        <v>278.20999999999998</v>
      </c>
      <c r="CV311" s="42">
        <v>6.6239999999999997</v>
      </c>
    </row>
    <row r="312" spans="4:100">
      <c r="D312" s="30">
        <v>30.2</v>
      </c>
      <c r="E312" s="31">
        <v>0.87509999999999999</v>
      </c>
      <c r="F312" s="32">
        <v>874.6</v>
      </c>
      <c r="G312" s="33"/>
      <c r="H312" s="30">
        <v>30.2</v>
      </c>
      <c r="I312" s="34">
        <v>3.7837000000000001</v>
      </c>
      <c r="J312" s="35">
        <v>0.15892000000000001</v>
      </c>
      <c r="L312" s="30">
        <v>30.2</v>
      </c>
      <c r="M312" s="172">
        <v>7.2869999999999999</v>
      </c>
      <c r="N312" s="173">
        <v>0.13724</v>
      </c>
      <c r="P312" s="30">
        <v>30.2</v>
      </c>
      <c r="Q312" s="172">
        <v>3.6433</v>
      </c>
      <c r="R312" s="173">
        <v>0.15301999999999999</v>
      </c>
      <c r="T312" s="30">
        <v>30.2</v>
      </c>
      <c r="U312" s="172">
        <v>274.48000000000098</v>
      </c>
      <c r="V312" s="173">
        <v>6.5349999999999904</v>
      </c>
      <c r="X312" s="30">
        <v>30.2</v>
      </c>
      <c r="Y312" s="34">
        <v>3.2528999999999999</v>
      </c>
      <c r="Z312" s="35">
        <v>0.13661999999999999</v>
      </c>
      <c r="AA312" s="36"/>
      <c r="AB312" s="30">
        <v>30.2</v>
      </c>
      <c r="AC312" s="44">
        <v>307.42</v>
      </c>
      <c r="AD312" s="35">
        <v>7.319</v>
      </c>
      <c r="AE312" s="36"/>
      <c r="AF312" s="30">
        <v>30.2</v>
      </c>
      <c r="AG312" s="34">
        <v>3.3050999999999999</v>
      </c>
      <c r="AH312" s="35">
        <v>0.13882</v>
      </c>
      <c r="AI312" s="35"/>
      <c r="AJ312" s="35">
        <v>0.12046</v>
      </c>
      <c r="AK312" s="998">
        <v>54.8</v>
      </c>
      <c r="AM312" s="30">
        <v>30.2</v>
      </c>
      <c r="AN312" s="34">
        <v>1.0386</v>
      </c>
      <c r="AO312" s="35">
        <v>1.1632</v>
      </c>
      <c r="AQ312" s="197">
        <v>0.95199999999999996</v>
      </c>
      <c r="AR312" s="200">
        <v>17.13</v>
      </c>
      <c r="AS312" s="199">
        <v>951.4</v>
      </c>
      <c r="AZ312" s="197">
        <v>0.95199999999999996</v>
      </c>
      <c r="BA312" s="198">
        <v>7.9279999999999999</v>
      </c>
      <c r="BB312" s="199">
        <v>0.12614</v>
      </c>
      <c r="BD312" s="197">
        <v>0.95199999999999996</v>
      </c>
      <c r="BE312" s="198">
        <v>3.964</v>
      </c>
      <c r="BF312" s="199">
        <v>0.16649</v>
      </c>
      <c r="BH312" s="197">
        <v>0.95199999999999996</v>
      </c>
      <c r="BI312" s="198">
        <v>252.27</v>
      </c>
      <c r="BJ312" s="199">
        <v>6.0060000000000002</v>
      </c>
      <c r="BL312" s="197">
        <v>0.95199999999999996</v>
      </c>
      <c r="BM312" s="198">
        <v>3.5392999999999999</v>
      </c>
      <c r="BN312" s="199">
        <v>0.14865</v>
      </c>
      <c r="BP312" s="197">
        <v>0.95199999999999996</v>
      </c>
      <c r="BQ312" s="200">
        <v>282.54000000000002</v>
      </c>
      <c r="BR312" s="199">
        <v>6.7270000000000003</v>
      </c>
      <c r="BT312" s="197">
        <v>0.95199999999999996</v>
      </c>
      <c r="BU312" s="201">
        <v>0.9546</v>
      </c>
      <c r="BV312" s="202">
        <v>1.0690999999999999</v>
      </c>
      <c r="BX312" s="37">
        <v>952</v>
      </c>
      <c r="BY312" s="38">
        <v>0.9526</v>
      </c>
      <c r="BZ312" s="39">
        <v>17.05</v>
      </c>
      <c r="CA312" s="33"/>
      <c r="CB312" s="37">
        <v>952</v>
      </c>
      <c r="CC312" s="38">
        <v>0.15892000000000001</v>
      </c>
      <c r="CD312" s="42">
        <v>6.2919999999999998</v>
      </c>
      <c r="CE312" s="33"/>
      <c r="CF312" s="33"/>
      <c r="CG312" s="33"/>
      <c r="CH312" s="33"/>
      <c r="CI312" s="33"/>
      <c r="CJ312" s="33"/>
      <c r="CK312" s="33"/>
      <c r="CL312" s="40">
        <v>952</v>
      </c>
      <c r="CM312" s="43">
        <v>950.9</v>
      </c>
      <c r="CN312" s="41">
        <v>1.0516000000000001</v>
      </c>
      <c r="CO312" s="33"/>
      <c r="CP312" s="40">
        <v>952</v>
      </c>
      <c r="CQ312" s="34">
        <v>1.0482</v>
      </c>
      <c r="CR312" s="41">
        <v>0.93589999999999995</v>
      </c>
      <c r="CS312" s="33"/>
      <c r="CT312" s="40">
        <v>952</v>
      </c>
      <c r="CU312" s="44">
        <v>277.92</v>
      </c>
      <c r="CV312" s="42">
        <v>6.617</v>
      </c>
    </row>
    <row r="313" spans="4:100">
      <c r="D313" s="30">
        <v>30.3</v>
      </c>
      <c r="E313" s="31">
        <v>0.87450000000000006</v>
      </c>
      <c r="F313" s="32">
        <v>874.1</v>
      </c>
      <c r="G313" s="33"/>
      <c r="H313" s="30">
        <v>30.3</v>
      </c>
      <c r="I313" s="34">
        <v>3.7837000000000001</v>
      </c>
      <c r="J313" s="35">
        <v>0.15892000000000001</v>
      </c>
      <c r="L313" s="30">
        <v>30.3</v>
      </c>
      <c r="M313" s="172">
        <v>7.282</v>
      </c>
      <c r="N313" s="173">
        <v>0.13732</v>
      </c>
      <c r="P313" s="30">
        <v>30.3</v>
      </c>
      <c r="Q313" s="172">
        <v>3.641</v>
      </c>
      <c r="R313" s="173">
        <v>0.15292</v>
      </c>
      <c r="T313" s="30">
        <v>30.3</v>
      </c>
      <c r="U313" s="172">
        <v>274.650000000001</v>
      </c>
      <c r="V313" s="173">
        <v>6.5389999999999899</v>
      </c>
      <c r="X313" s="30">
        <v>30.3</v>
      </c>
      <c r="Y313" s="34">
        <v>3.2509000000000001</v>
      </c>
      <c r="Z313" s="35">
        <v>0.13653999999999999</v>
      </c>
      <c r="AA313" s="36"/>
      <c r="AB313" s="30">
        <v>30.3</v>
      </c>
      <c r="AC313" s="44">
        <v>307.61</v>
      </c>
      <c r="AD313" s="35">
        <v>7.3239999999999998</v>
      </c>
      <c r="AE313" s="36"/>
      <c r="AF313" s="30">
        <v>30.3</v>
      </c>
      <c r="AG313" s="34">
        <v>3.3031000000000001</v>
      </c>
      <c r="AH313" s="35">
        <v>0.13872999999999999</v>
      </c>
      <c r="AI313" s="35"/>
      <c r="AJ313" s="35">
        <v>0.12052</v>
      </c>
      <c r="AK313" s="998">
        <v>54.7</v>
      </c>
      <c r="AM313" s="30">
        <v>30.3</v>
      </c>
      <c r="AN313" s="34">
        <v>1.0391999999999999</v>
      </c>
      <c r="AO313" s="35">
        <v>1.1638999999999999</v>
      </c>
      <c r="AQ313" s="197">
        <v>0.95299999999999996</v>
      </c>
      <c r="AR313" s="200">
        <v>16.98</v>
      </c>
      <c r="AS313" s="199">
        <v>952.4</v>
      </c>
      <c r="AZ313" s="197">
        <v>0.95299999999999996</v>
      </c>
      <c r="BA313" s="198">
        <v>7.9363000000000001</v>
      </c>
      <c r="BB313" s="199">
        <v>0.126</v>
      </c>
      <c r="BD313" s="197">
        <v>0.95299999999999996</v>
      </c>
      <c r="BE313" s="198">
        <v>3.9681999999999999</v>
      </c>
      <c r="BF313" s="199">
        <v>0.16666</v>
      </c>
      <c r="BH313" s="197">
        <v>0.95299999999999996</v>
      </c>
      <c r="BI313" s="198">
        <v>252.01</v>
      </c>
      <c r="BJ313" s="199">
        <v>6</v>
      </c>
      <c r="BL313" s="197">
        <v>0.95299999999999996</v>
      </c>
      <c r="BM313" s="198">
        <v>3.5430000000000001</v>
      </c>
      <c r="BN313" s="199">
        <v>0.14881</v>
      </c>
      <c r="BP313" s="197">
        <v>0.95299999999999996</v>
      </c>
      <c r="BQ313" s="200">
        <v>282.25</v>
      </c>
      <c r="BR313" s="199">
        <v>6.72</v>
      </c>
      <c r="BT313" s="197">
        <v>0.95299999999999996</v>
      </c>
      <c r="BU313" s="201">
        <v>0.9536</v>
      </c>
      <c r="BV313" s="202">
        <v>1.0680000000000001</v>
      </c>
      <c r="BX313" s="37">
        <v>953</v>
      </c>
      <c r="BY313" s="38">
        <v>0.9536</v>
      </c>
      <c r="BZ313" s="39">
        <v>16.89</v>
      </c>
      <c r="CA313" s="33"/>
      <c r="CB313" s="37">
        <v>953</v>
      </c>
      <c r="CC313" s="38">
        <v>0.15892000000000001</v>
      </c>
      <c r="CD313" s="42">
        <v>6.2919999999999998</v>
      </c>
      <c r="CE313" s="33"/>
      <c r="CF313" s="33"/>
      <c r="CG313" s="33"/>
      <c r="CH313" s="33"/>
      <c r="CI313" s="33"/>
      <c r="CJ313" s="33"/>
      <c r="CK313" s="33"/>
      <c r="CL313" s="40">
        <v>953</v>
      </c>
      <c r="CM313" s="43">
        <v>951.9</v>
      </c>
      <c r="CN313" s="41">
        <v>1.0505</v>
      </c>
      <c r="CO313" s="33"/>
      <c r="CP313" s="40">
        <v>953</v>
      </c>
      <c r="CQ313" s="34">
        <v>1.0492999999999999</v>
      </c>
      <c r="CR313" s="41">
        <v>0.93689999999999996</v>
      </c>
      <c r="CS313" s="33"/>
      <c r="CT313" s="40">
        <v>953</v>
      </c>
      <c r="CU313" s="44">
        <v>277.62</v>
      </c>
      <c r="CV313" s="42">
        <v>6.61</v>
      </c>
    </row>
    <row r="314" spans="4:100">
      <c r="D314" s="30">
        <v>30.4</v>
      </c>
      <c r="E314" s="31">
        <v>0.874</v>
      </c>
      <c r="F314" s="32">
        <v>873.5</v>
      </c>
      <c r="G314" s="33"/>
      <c r="H314" s="30">
        <v>30.4</v>
      </c>
      <c r="I314" s="34">
        <v>3.7837000000000001</v>
      </c>
      <c r="J314" s="35">
        <v>0.15892000000000001</v>
      </c>
      <c r="L314" s="30">
        <v>30.4</v>
      </c>
      <c r="M314" s="172">
        <v>7.2779999999999996</v>
      </c>
      <c r="N314" s="173">
        <v>0.13741</v>
      </c>
      <c r="P314" s="30">
        <v>30.4</v>
      </c>
      <c r="Q314" s="172">
        <v>3.6387999999999998</v>
      </c>
      <c r="R314" s="173">
        <v>0.15282999999999999</v>
      </c>
      <c r="T314" s="30">
        <v>30.4</v>
      </c>
      <c r="U314" s="172">
        <v>274.82000000000102</v>
      </c>
      <c r="V314" s="173">
        <v>6.5429999999999904</v>
      </c>
      <c r="X314" s="30">
        <v>30.4</v>
      </c>
      <c r="Y314" s="34">
        <v>3.2488999999999999</v>
      </c>
      <c r="Z314" s="35">
        <v>0.13644999999999999</v>
      </c>
      <c r="AA314" s="36"/>
      <c r="AB314" s="30">
        <v>30.4</v>
      </c>
      <c r="AC314" s="44">
        <v>307.8</v>
      </c>
      <c r="AD314" s="35">
        <v>7.3280000000000003</v>
      </c>
      <c r="AE314" s="36"/>
      <c r="AF314" s="30">
        <v>30.4</v>
      </c>
      <c r="AG314" s="34">
        <v>3.3010000000000002</v>
      </c>
      <c r="AH314" s="35">
        <v>0.13864000000000001</v>
      </c>
      <c r="AI314" s="35"/>
      <c r="AJ314" s="35">
        <v>0.12059</v>
      </c>
      <c r="AK314" s="998">
        <v>54.6</v>
      </c>
      <c r="AM314" s="30">
        <v>30.4</v>
      </c>
      <c r="AN314" s="34">
        <v>1.0398000000000001</v>
      </c>
      <c r="AO314" s="35">
        <v>1.1646000000000001</v>
      </c>
      <c r="AQ314" s="197">
        <v>0.95399999999999996</v>
      </c>
      <c r="AR314" s="200">
        <v>16.82</v>
      </c>
      <c r="AS314" s="199">
        <v>953.4</v>
      </c>
      <c r="AZ314" s="197">
        <v>0.95399999999999996</v>
      </c>
      <c r="BA314" s="198">
        <v>7.9446000000000003</v>
      </c>
      <c r="BB314" s="199">
        <v>0.12587000000000001</v>
      </c>
      <c r="BD314" s="197">
        <v>0.95399999999999996</v>
      </c>
      <c r="BE314" s="198">
        <v>3.9723000000000002</v>
      </c>
      <c r="BF314" s="199">
        <v>0.16683999999999999</v>
      </c>
      <c r="BH314" s="197">
        <v>0.95399999999999996</v>
      </c>
      <c r="BI314" s="198">
        <v>251.74</v>
      </c>
      <c r="BJ314" s="199">
        <v>5.9939999999999998</v>
      </c>
      <c r="BL314" s="197">
        <v>0.95399999999999996</v>
      </c>
      <c r="BM314" s="198">
        <v>3.5467</v>
      </c>
      <c r="BN314" s="199">
        <v>0.14896000000000001</v>
      </c>
      <c r="BP314" s="197">
        <v>0.95399999999999996</v>
      </c>
      <c r="BQ314" s="200">
        <v>281.95</v>
      </c>
      <c r="BR314" s="199">
        <v>6.7130000000000001</v>
      </c>
      <c r="BT314" s="197">
        <v>0.95399999999999996</v>
      </c>
      <c r="BU314" s="201">
        <v>0.9526</v>
      </c>
      <c r="BV314" s="202">
        <v>1.0669</v>
      </c>
      <c r="BX314" s="37">
        <v>954</v>
      </c>
      <c r="BY314" s="38">
        <v>0.9546</v>
      </c>
      <c r="BZ314" s="39">
        <v>16.739999999999998</v>
      </c>
      <c r="CA314" s="33"/>
      <c r="CB314" s="37">
        <v>954</v>
      </c>
      <c r="CC314" s="38">
        <v>0.15892000000000001</v>
      </c>
      <c r="CD314" s="42">
        <v>6.2919999999999998</v>
      </c>
      <c r="CE314" s="33"/>
      <c r="CF314" s="33"/>
      <c r="CG314" s="33"/>
      <c r="CH314" s="33"/>
      <c r="CI314" s="33"/>
      <c r="CJ314" s="33"/>
      <c r="CK314" s="33"/>
      <c r="CL314" s="40">
        <v>954</v>
      </c>
      <c r="CM314" s="43">
        <v>952.9</v>
      </c>
      <c r="CN314" s="41">
        <v>1.0494000000000001</v>
      </c>
      <c r="CO314" s="33"/>
      <c r="CP314" s="40">
        <v>954</v>
      </c>
      <c r="CQ314" s="34">
        <v>1.0504</v>
      </c>
      <c r="CR314" s="41">
        <v>0.93789999999999996</v>
      </c>
      <c r="CS314" s="33"/>
      <c r="CT314" s="40">
        <v>954</v>
      </c>
      <c r="CU314" s="44">
        <v>277.33</v>
      </c>
      <c r="CV314" s="42">
        <v>6.6029999999999998</v>
      </c>
    </row>
    <row r="315" spans="4:100">
      <c r="D315" s="30">
        <v>30.5</v>
      </c>
      <c r="E315" s="31">
        <v>0.87350000000000005</v>
      </c>
      <c r="F315" s="32">
        <v>873</v>
      </c>
      <c r="G315" s="33"/>
      <c r="H315" s="30">
        <v>30.5</v>
      </c>
      <c r="I315" s="34">
        <v>3.7837000000000001</v>
      </c>
      <c r="J315" s="35">
        <v>0.15892000000000001</v>
      </c>
      <c r="L315" s="30">
        <v>30.5</v>
      </c>
      <c r="M315" s="172">
        <v>7.2729999999999997</v>
      </c>
      <c r="N315" s="173">
        <v>0.13749</v>
      </c>
      <c r="P315" s="30">
        <v>30.5</v>
      </c>
      <c r="Q315" s="172">
        <v>3.6364999999999998</v>
      </c>
      <c r="R315" s="173">
        <v>0.15273</v>
      </c>
      <c r="T315" s="30">
        <v>30.5</v>
      </c>
      <c r="U315" s="172">
        <v>274.99000000000098</v>
      </c>
      <c r="V315" s="173">
        <v>6.5469999999999899</v>
      </c>
      <c r="X315" s="30">
        <v>30.5</v>
      </c>
      <c r="Y315" s="34">
        <v>3.2469000000000001</v>
      </c>
      <c r="Z315" s="35">
        <v>0.13636999999999999</v>
      </c>
      <c r="AA315" s="36"/>
      <c r="AB315" s="30">
        <v>30.5</v>
      </c>
      <c r="AC315" s="44">
        <v>307.99</v>
      </c>
      <c r="AD315" s="35">
        <v>7.3330000000000002</v>
      </c>
      <c r="AE315" s="36"/>
      <c r="AF315" s="30">
        <v>30.5</v>
      </c>
      <c r="AG315" s="34">
        <v>3.2989999999999999</v>
      </c>
      <c r="AH315" s="35">
        <v>0.13855999999999999</v>
      </c>
      <c r="AI315" s="35"/>
      <c r="AJ315" s="35">
        <v>0.12064999999999999</v>
      </c>
      <c r="AK315" s="998">
        <v>54.5</v>
      </c>
      <c r="AM315" s="30">
        <v>30.5</v>
      </c>
      <c r="AN315" s="34">
        <v>1.0405</v>
      </c>
      <c r="AO315" s="35">
        <v>1.1653</v>
      </c>
      <c r="AQ315" s="197">
        <v>0.95499999999999996</v>
      </c>
      <c r="AR315" s="200">
        <v>16.670000000000002</v>
      </c>
      <c r="AS315" s="199">
        <v>954.4</v>
      </c>
      <c r="AZ315" s="197">
        <v>0.95499999999999996</v>
      </c>
      <c r="BA315" s="198">
        <v>7.9530000000000003</v>
      </c>
      <c r="BB315" s="199">
        <v>0.12573999999999999</v>
      </c>
      <c r="BD315" s="197">
        <v>0.95499999999999996</v>
      </c>
      <c r="BE315" s="198">
        <v>3.9765000000000001</v>
      </c>
      <c r="BF315" s="199">
        <v>0.16700999999999999</v>
      </c>
      <c r="BH315" s="197">
        <v>0.95499999999999996</v>
      </c>
      <c r="BI315" s="198">
        <v>251.48</v>
      </c>
      <c r="BJ315" s="199">
        <v>5.9880000000000004</v>
      </c>
      <c r="BL315" s="197">
        <v>0.95499999999999996</v>
      </c>
      <c r="BM315" s="198">
        <v>3.5503999999999998</v>
      </c>
      <c r="BN315" s="199">
        <v>0.14912</v>
      </c>
      <c r="BP315" s="197">
        <v>0.95499999999999996</v>
      </c>
      <c r="BQ315" s="200">
        <v>281.66000000000003</v>
      </c>
      <c r="BR315" s="199">
        <v>6.7060000000000004</v>
      </c>
      <c r="BT315" s="197">
        <v>0.95499999999999996</v>
      </c>
      <c r="BU315" s="201">
        <v>0.9516</v>
      </c>
      <c r="BV315" s="202">
        <v>1.0658000000000001</v>
      </c>
      <c r="BX315" s="37">
        <v>955</v>
      </c>
      <c r="BY315" s="38">
        <v>0.9556</v>
      </c>
      <c r="BZ315" s="39">
        <v>16.579999999999998</v>
      </c>
      <c r="CA315" s="33"/>
      <c r="CB315" s="37">
        <v>955</v>
      </c>
      <c r="CC315" s="38">
        <v>0.15892000000000001</v>
      </c>
      <c r="CD315" s="42">
        <v>6.2919999999999998</v>
      </c>
      <c r="CE315" s="33"/>
      <c r="CF315" s="33"/>
      <c r="CG315" s="33"/>
      <c r="CH315" s="33"/>
      <c r="CI315" s="33"/>
      <c r="CJ315" s="33"/>
      <c r="CK315" s="33"/>
      <c r="CL315" s="40">
        <v>955</v>
      </c>
      <c r="CM315" s="43">
        <v>953.9</v>
      </c>
      <c r="CN315" s="41">
        <v>1.0483</v>
      </c>
      <c r="CO315" s="33"/>
      <c r="CP315" s="40">
        <v>955</v>
      </c>
      <c r="CQ315" s="34">
        <v>1.0515000000000001</v>
      </c>
      <c r="CR315" s="41">
        <v>0.93889999999999996</v>
      </c>
      <c r="CS315" s="33"/>
      <c r="CT315" s="40">
        <v>955</v>
      </c>
      <c r="CU315" s="44">
        <v>277.04000000000002</v>
      </c>
      <c r="CV315" s="42">
        <v>6.5960000000000001</v>
      </c>
    </row>
    <row r="316" spans="4:100">
      <c r="D316" s="30">
        <v>30.6</v>
      </c>
      <c r="E316" s="31">
        <v>0.87290000000000001</v>
      </c>
      <c r="F316" s="32">
        <v>872.4</v>
      </c>
      <c r="G316" s="33"/>
      <c r="H316" s="30">
        <v>30.6</v>
      </c>
      <c r="I316" s="34">
        <v>3.7837000000000001</v>
      </c>
      <c r="J316" s="35">
        <v>0.15892000000000001</v>
      </c>
      <c r="L316" s="30">
        <v>30.6</v>
      </c>
      <c r="M316" s="172">
        <v>7.2690000000000001</v>
      </c>
      <c r="N316" s="173">
        <v>0.13758000000000001</v>
      </c>
      <c r="P316" s="30">
        <v>30.6</v>
      </c>
      <c r="Q316" s="172">
        <v>3.6343000000000001</v>
      </c>
      <c r="R316" s="173">
        <v>0.15264</v>
      </c>
      <c r="T316" s="30">
        <v>30.6</v>
      </c>
      <c r="U316" s="172">
        <v>275.16000000000099</v>
      </c>
      <c r="V316" s="173">
        <v>6.5509999999999904</v>
      </c>
      <c r="X316" s="30">
        <v>30.6</v>
      </c>
      <c r="Y316" s="34">
        <v>3.2448999999999999</v>
      </c>
      <c r="Z316" s="35">
        <v>0.13628999999999999</v>
      </c>
      <c r="AA316" s="36"/>
      <c r="AB316" s="30">
        <v>30.6</v>
      </c>
      <c r="AC316" s="44">
        <v>308.18</v>
      </c>
      <c r="AD316" s="35">
        <v>7.3380000000000001</v>
      </c>
      <c r="AE316" s="36"/>
      <c r="AF316" s="30">
        <v>30.6</v>
      </c>
      <c r="AG316" s="34">
        <v>3.2970000000000002</v>
      </c>
      <c r="AH316" s="35">
        <v>0.13847000000000001</v>
      </c>
      <c r="AI316" s="35"/>
      <c r="AJ316" s="35">
        <v>0.12071999999999999</v>
      </c>
      <c r="AK316" s="998">
        <v>54.4</v>
      </c>
      <c r="AM316" s="30">
        <v>30.6</v>
      </c>
      <c r="AN316" s="34">
        <v>1.0410999999999999</v>
      </c>
      <c r="AO316" s="35">
        <v>1.1660999999999999</v>
      </c>
      <c r="AQ316" s="197">
        <v>0.95599999999999996</v>
      </c>
      <c r="AR316" s="200">
        <v>16.510000000000002</v>
      </c>
      <c r="AS316" s="199">
        <v>955.4</v>
      </c>
      <c r="AZ316" s="197">
        <v>0.95599999999999996</v>
      </c>
      <c r="BA316" s="198">
        <v>7.9612999999999996</v>
      </c>
      <c r="BB316" s="199">
        <v>0.12561</v>
      </c>
      <c r="BD316" s="197">
        <v>0.95599999999999996</v>
      </c>
      <c r="BE316" s="198">
        <v>3.9807000000000001</v>
      </c>
      <c r="BF316" s="199">
        <v>0.16719000000000001</v>
      </c>
      <c r="BH316" s="197">
        <v>0.95599999999999996</v>
      </c>
      <c r="BI316" s="198">
        <v>251.21</v>
      </c>
      <c r="BJ316" s="199">
        <v>5.9809999999999999</v>
      </c>
      <c r="BL316" s="197">
        <v>0.95599999999999996</v>
      </c>
      <c r="BM316" s="198">
        <v>3.5541999999999998</v>
      </c>
      <c r="BN316" s="199">
        <v>0.14927000000000001</v>
      </c>
      <c r="BP316" s="197">
        <v>0.95599999999999996</v>
      </c>
      <c r="BQ316" s="200">
        <v>281.36</v>
      </c>
      <c r="BR316" s="199">
        <v>6.6989999999999998</v>
      </c>
      <c r="BT316" s="197">
        <v>0.95599999999999996</v>
      </c>
      <c r="BU316" s="201">
        <v>0.9506</v>
      </c>
      <c r="BV316" s="202">
        <v>1.0646</v>
      </c>
      <c r="BX316" s="37">
        <v>956</v>
      </c>
      <c r="BY316" s="38">
        <v>0.95660000000000001</v>
      </c>
      <c r="BZ316" s="39">
        <v>16.420000000000002</v>
      </c>
      <c r="CA316" s="33"/>
      <c r="CB316" s="37">
        <v>956</v>
      </c>
      <c r="CC316" s="38">
        <v>0.15892000000000001</v>
      </c>
      <c r="CD316" s="42">
        <v>6.2919999999999998</v>
      </c>
      <c r="CE316" s="33"/>
      <c r="CF316" s="33"/>
      <c r="CG316" s="33"/>
      <c r="CH316" s="33"/>
      <c r="CI316" s="33"/>
      <c r="CJ316" s="33"/>
      <c r="CK316" s="33"/>
      <c r="CL316" s="40">
        <v>956</v>
      </c>
      <c r="CM316" s="43">
        <v>954.9</v>
      </c>
      <c r="CN316" s="41">
        <v>1.0471999999999999</v>
      </c>
      <c r="CO316" s="33"/>
      <c r="CP316" s="40">
        <v>956</v>
      </c>
      <c r="CQ316" s="34">
        <v>1.0526</v>
      </c>
      <c r="CR316" s="41">
        <v>0.93979999999999997</v>
      </c>
      <c r="CS316" s="33"/>
      <c r="CT316" s="40">
        <v>956</v>
      </c>
      <c r="CU316" s="44">
        <v>276.75</v>
      </c>
      <c r="CV316" s="42">
        <v>6.5890000000000004</v>
      </c>
    </row>
    <row r="317" spans="4:100">
      <c r="D317" s="30">
        <v>30.7</v>
      </c>
      <c r="E317" s="31">
        <v>0.87239999999999995</v>
      </c>
      <c r="F317" s="32">
        <v>871.9</v>
      </c>
      <c r="G317" s="33"/>
      <c r="H317" s="30">
        <v>30.7</v>
      </c>
      <c r="I317" s="34">
        <v>3.7837000000000001</v>
      </c>
      <c r="J317" s="35">
        <v>0.15892000000000001</v>
      </c>
      <c r="L317" s="30">
        <v>30.7</v>
      </c>
      <c r="M317" s="172">
        <v>7.2640000000000002</v>
      </c>
      <c r="N317" s="173">
        <v>0.13766</v>
      </c>
      <c r="P317" s="30">
        <v>30.7</v>
      </c>
      <c r="Q317" s="172">
        <v>3.6320000000000001</v>
      </c>
      <c r="R317" s="173">
        <v>0.15254999999999999</v>
      </c>
      <c r="T317" s="30">
        <v>30.7</v>
      </c>
      <c r="U317" s="172">
        <v>275.33000000000101</v>
      </c>
      <c r="V317" s="173">
        <v>6.5549999999999899</v>
      </c>
      <c r="X317" s="30">
        <v>30.7</v>
      </c>
      <c r="Y317" s="34">
        <v>3.2429000000000001</v>
      </c>
      <c r="Z317" s="35">
        <v>0.13619999999999999</v>
      </c>
      <c r="AA317" s="36"/>
      <c r="AB317" s="30">
        <v>30.7</v>
      </c>
      <c r="AC317" s="44">
        <v>308.37</v>
      </c>
      <c r="AD317" s="35">
        <v>7.3419999999999996</v>
      </c>
      <c r="AE317" s="36"/>
      <c r="AF317" s="30">
        <v>30.7</v>
      </c>
      <c r="AG317" s="34">
        <v>3.2949000000000002</v>
      </c>
      <c r="AH317" s="35">
        <v>0.13839000000000001</v>
      </c>
      <c r="AI317" s="35"/>
      <c r="AJ317" s="35">
        <v>0.12078</v>
      </c>
      <c r="AK317" s="998">
        <v>54.3</v>
      </c>
      <c r="AM317" s="30">
        <v>30.7</v>
      </c>
      <c r="AN317" s="34">
        <v>1.0418000000000001</v>
      </c>
      <c r="AO317" s="35">
        <v>1.1668000000000001</v>
      </c>
      <c r="AQ317" s="197">
        <v>0.95699999999999996</v>
      </c>
      <c r="AR317" s="200">
        <v>16.36</v>
      </c>
      <c r="AS317" s="199">
        <v>956.4</v>
      </c>
      <c r="AZ317" s="197">
        <v>0.95699999999999996</v>
      </c>
      <c r="BA317" s="198">
        <v>7.9696999999999996</v>
      </c>
      <c r="BB317" s="199">
        <v>0.12548000000000001</v>
      </c>
      <c r="BD317" s="197">
        <v>0.95699999999999996</v>
      </c>
      <c r="BE317" s="198">
        <v>3.9847999999999999</v>
      </c>
      <c r="BF317" s="199">
        <v>0.16736000000000001</v>
      </c>
      <c r="BH317" s="197">
        <v>0.95699999999999996</v>
      </c>
      <c r="BI317" s="198">
        <v>250.95</v>
      </c>
      <c r="BJ317" s="199">
        <v>5.9749999999999996</v>
      </c>
      <c r="BL317" s="197">
        <v>0.95699999999999996</v>
      </c>
      <c r="BM317" s="198">
        <v>3.5579000000000001</v>
      </c>
      <c r="BN317" s="199">
        <v>0.14943000000000001</v>
      </c>
      <c r="BP317" s="197">
        <v>0.95699999999999996</v>
      </c>
      <c r="BQ317" s="200">
        <v>281.07</v>
      </c>
      <c r="BR317" s="199">
        <v>6.6920000000000002</v>
      </c>
      <c r="BT317" s="197">
        <v>0.95699999999999996</v>
      </c>
      <c r="BU317" s="201">
        <v>0.9496</v>
      </c>
      <c r="BV317" s="202">
        <v>1.0634999999999999</v>
      </c>
      <c r="BX317" s="37">
        <v>957</v>
      </c>
      <c r="BY317" s="38">
        <v>0.95760000000000001</v>
      </c>
      <c r="BZ317" s="39">
        <v>16.27</v>
      </c>
      <c r="CA317" s="33"/>
      <c r="CB317" s="37">
        <v>957</v>
      </c>
      <c r="CC317" s="38">
        <v>0.15892000000000001</v>
      </c>
      <c r="CD317" s="42">
        <v>6.2919999999999998</v>
      </c>
      <c r="CE317" s="33"/>
      <c r="CF317" s="33"/>
      <c r="CG317" s="33"/>
      <c r="CH317" s="33"/>
      <c r="CI317" s="33"/>
      <c r="CJ317" s="33"/>
      <c r="CK317" s="33"/>
      <c r="CL317" s="40">
        <v>957</v>
      </c>
      <c r="CM317" s="43">
        <v>955.9</v>
      </c>
      <c r="CN317" s="41">
        <v>1.0461</v>
      </c>
      <c r="CO317" s="33"/>
      <c r="CP317" s="40">
        <v>957</v>
      </c>
      <c r="CQ317" s="34">
        <v>1.0537000000000001</v>
      </c>
      <c r="CR317" s="41">
        <v>0.94079999999999997</v>
      </c>
      <c r="CS317" s="33"/>
      <c r="CT317" s="40">
        <v>957</v>
      </c>
      <c r="CU317" s="44">
        <v>276.45999999999998</v>
      </c>
      <c r="CV317" s="42">
        <v>6.5819999999999999</v>
      </c>
    </row>
    <row r="318" spans="4:100">
      <c r="D318" s="30">
        <v>30.8</v>
      </c>
      <c r="E318" s="31">
        <v>0.87180000000000002</v>
      </c>
      <c r="F318" s="32">
        <v>871.4</v>
      </c>
      <c r="G318" s="33"/>
      <c r="H318" s="30">
        <v>30.8</v>
      </c>
      <c r="I318" s="34">
        <v>3.7837000000000001</v>
      </c>
      <c r="J318" s="35">
        <v>0.15892000000000001</v>
      </c>
      <c r="L318" s="30">
        <v>30.8</v>
      </c>
      <c r="M318" s="172">
        <v>7.26</v>
      </c>
      <c r="N318" s="173">
        <v>0.13775000000000001</v>
      </c>
      <c r="P318" s="30">
        <v>30.8</v>
      </c>
      <c r="Q318" s="172">
        <v>3.6297999999999999</v>
      </c>
      <c r="R318" s="173">
        <v>0.15245</v>
      </c>
      <c r="T318" s="30">
        <v>30.8</v>
      </c>
      <c r="U318" s="172">
        <v>275.50000000000102</v>
      </c>
      <c r="V318" s="173">
        <v>6.5589999999999904</v>
      </c>
      <c r="X318" s="30">
        <v>30.8</v>
      </c>
      <c r="Y318" s="34">
        <v>3.2408999999999999</v>
      </c>
      <c r="Z318" s="35">
        <v>0.13611999999999999</v>
      </c>
      <c r="AA318" s="36"/>
      <c r="AB318" s="30">
        <v>30.8</v>
      </c>
      <c r="AC318" s="44">
        <v>308.56</v>
      </c>
      <c r="AD318" s="35">
        <v>7.3470000000000004</v>
      </c>
      <c r="AE318" s="36"/>
      <c r="AF318" s="30">
        <v>30.8</v>
      </c>
      <c r="AG318" s="34">
        <v>3.2928999999999999</v>
      </c>
      <c r="AH318" s="35">
        <v>0.13830000000000001</v>
      </c>
      <c r="AI318" s="35"/>
      <c r="AJ318" s="35">
        <v>0.12085</v>
      </c>
      <c r="AK318" s="998">
        <v>54.2</v>
      </c>
      <c r="AM318" s="30">
        <v>30.8</v>
      </c>
      <c r="AN318" s="34">
        <v>1.0424</v>
      </c>
      <c r="AO318" s="35">
        <v>1.1675</v>
      </c>
      <c r="AQ318" s="197">
        <v>0.95799999999999996</v>
      </c>
      <c r="AR318" s="200">
        <v>16.2</v>
      </c>
      <c r="AS318" s="199">
        <v>957.4</v>
      </c>
      <c r="AZ318" s="197">
        <v>0.95799999999999996</v>
      </c>
      <c r="BA318" s="198">
        <v>7.9779999999999998</v>
      </c>
      <c r="BB318" s="199">
        <v>0.12534000000000001</v>
      </c>
      <c r="BD318" s="197">
        <v>0.95799999999999996</v>
      </c>
      <c r="BE318" s="198">
        <v>3.9889999999999999</v>
      </c>
      <c r="BF318" s="199">
        <v>0.16753999999999999</v>
      </c>
      <c r="BH318" s="197">
        <v>0.95799999999999996</v>
      </c>
      <c r="BI318" s="198">
        <v>250.69</v>
      </c>
      <c r="BJ318" s="199">
        <v>5.9690000000000003</v>
      </c>
      <c r="BL318" s="197">
        <v>0.95799999999999996</v>
      </c>
      <c r="BM318" s="198">
        <v>3.5615999999999999</v>
      </c>
      <c r="BN318" s="199">
        <v>0.14959</v>
      </c>
      <c r="BP318" s="197">
        <v>0.95799999999999996</v>
      </c>
      <c r="BQ318" s="200">
        <v>280.77</v>
      </c>
      <c r="BR318" s="199">
        <v>6.6849999999999996</v>
      </c>
      <c r="BT318" s="197">
        <v>0.95799999999999996</v>
      </c>
      <c r="BU318" s="201">
        <v>0.9486</v>
      </c>
      <c r="BV318" s="202">
        <v>1.0624</v>
      </c>
      <c r="BX318" s="37">
        <v>958</v>
      </c>
      <c r="BY318" s="38">
        <v>0.95860000000000001</v>
      </c>
      <c r="BZ318" s="39">
        <v>16.12</v>
      </c>
      <c r="CA318" s="33"/>
      <c r="CB318" s="37">
        <v>958</v>
      </c>
      <c r="CC318" s="38">
        <v>0.15892000000000001</v>
      </c>
      <c r="CD318" s="42">
        <v>6.2919999999999998</v>
      </c>
      <c r="CE318" s="33"/>
      <c r="CF318" s="33"/>
      <c r="CG318" s="33"/>
      <c r="CH318" s="33"/>
      <c r="CI318" s="33"/>
      <c r="CJ318" s="33"/>
      <c r="CK318" s="33"/>
      <c r="CL318" s="40">
        <v>958</v>
      </c>
      <c r="CM318" s="43">
        <v>956.9</v>
      </c>
      <c r="CN318" s="41">
        <v>1.0449999999999999</v>
      </c>
      <c r="CO318" s="33"/>
      <c r="CP318" s="40">
        <v>958</v>
      </c>
      <c r="CQ318" s="34">
        <v>1.0548</v>
      </c>
      <c r="CR318" s="41">
        <v>0.94179999999999997</v>
      </c>
      <c r="CS318" s="33"/>
      <c r="CT318" s="40">
        <v>958</v>
      </c>
      <c r="CU318" s="44">
        <v>276.17</v>
      </c>
      <c r="CV318" s="42">
        <v>6.5759999999999996</v>
      </c>
    </row>
    <row r="319" spans="4:100">
      <c r="D319" s="30">
        <v>30.9</v>
      </c>
      <c r="E319" s="31">
        <v>0.87129999999999996</v>
      </c>
      <c r="F319" s="32">
        <v>870.8</v>
      </c>
      <c r="G319" s="33"/>
      <c r="H319" s="30">
        <v>30.9</v>
      </c>
      <c r="I319" s="34">
        <v>3.7837000000000001</v>
      </c>
      <c r="J319" s="35">
        <v>0.15892000000000001</v>
      </c>
      <c r="L319" s="30">
        <v>30.9</v>
      </c>
      <c r="M319" s="172">
        <v>7.2549999999999999</v>
      </c>
      <c r="N319" s="173">
        <v>0.13783000000000001</v>
      </c>
      <c r="P319" s="30">
        <v>30.9</v>
      </c>
      <c r="Q319" s="172">
        <v>3.6276000000000002</v>
      </c>
      <c r="R319" s="173">
        <v>0.15236</v>
      </c>
      <c r="T319" s="30">
        <v>30.9</v>
      </c>
      <c r="U319" s="172">
        <v>275.67000000000098</v>
      </c>
      <c r="V319" s="173">
        <v>6.5640000000000001</v>
      </c>
      <c r="X319" s="30">
        <v>30.9</v>
      </c>
      <c r="Y319" s="34">
        <v>3.2389000000000001</v>
      </c>
      <c r="Z319" s="35">
        <v>0.13603000000000001</v>
      </c>
      <c r="AA319" s="36"/>
      <c r="AB319" s="30">
        <v>30.9</v>
      </c>
      <c r="AC319" s="44">
        <v>308.75</v>
      </c>
      <c r="AD319" s="35">
        <v>7.351</v>
      </c>
      <c r="AE319" s="36"/>
      <c r="AF319" s="30">
        <v>30.9</v>
      </c>
      <c r="AG319" s="34">
        <v>3.2909000000000002</v>
      </c>
      <c r="AH319" s="35">
        <v>0.13822000000000001</v>
      </c>
      <c r="AI319" s="35"/>
      <c r="AJ319" s="35">
        <v>0.12091</v>
      </c>
      <c r="AK319" s="998">
        <v>54.1</v>
      </c>
      <c r="AM319" s="30">
        <v>30.9</v>
      </c>
      <c r="AN319" s="34">
        <v>1.0429999999999999</v>
      </c>
      <c r="AO319" s="35">
        <v>1.1681999999999999</v>
      </c>
      <c r="AQ319" s="197">
        <v>0.95899999999999996</v>
      </c>
      <c r="AR319" s="200">
        <v>16.05</v>
      </c>
      <c r="AS319" s="199">
        <v>958.4</v>
      </c>
      <c r="AZ319" s="197">
        <v>0.95899999999999996</v>
      </c>
      <c r="BA319" s="198">
        <v>7.9863</v>
      </c>
      <c r="BB319" s="199">
        <v>0.12520999999999999</v>
      </c>
      <c r="BD319" s="197">
        <v>0.95899999999999996</v>
      </c>
      <c r="BE319" s="198">
        <v>3.9931999999999999</v>
      </c>
      <c r="BF319" s="199">
        <v>0.16771</v>
      </c>
      <c r="BH319" s="197">
        <v>0.95899999999999996</v>
      </c>
      <c r="BI319" s="198">
        <v>250.43</v>
      </c>
      <c r="BJ319" s="199">
        <v>5.9630000000000001</v>
      </c>
      <c r="BL319" s="197">
        <v>0.95899999999999996</v>
      </c>
      <c r="BM319" s="198">
        <v>3.5653000000000001</v>
      </c>
      <c r="BN319" s="199">
        <v>0.14974000000000001</v>
      </c>
      <c r="BP319" s="197">
        <v>0.95899999999999996</v>
      </c>
      <c r="BQ319" s="200">
        <v>280.48</v>
      </c>
      <c r="BR319" s="199">
        <v>6.6779999999999999</v>
      </c>
      <c r="BT319" s="197">
        <v>0.95899999999999996</v>
      </c>
      <c r="BU319" s="201">
        <v>0.9476</v>
      </c>
      <c r="BV319" s="202">
        <v>1.0612999999999999</v>
      </c>
      <c r="BX319" s="37">
        <v>959</v>
      </c>
      <c r="BY319" s="38">
        <v>0.95960000000000001</v>
      </c>
      <c r="BZ319" s="39">
        <v>15.96</v>
      </c>
      <c r="CA319" s="33"/>
      <c r="CB319" s="37">
        <v>959</v>
      </c>
      <c r="CC319" s="38">
        <v>0.15892000000000001</v>
      </c>
      <c r="CD319" s="42">
        <v>6.2919999999999998</v>
      </c>
      <c r="CE319" s="33"/>
      <c r="CF319" s="33"/>
      <c r="CG319" s="33"/>
      <c r="CH319" s="33"/>
      <c r="CI319" s="33"/>
      <c r="CJ319" s="33"/>
      <c r="CK319" s="33"/>
      <c r="CL319" s="40">
        <v>959</v>
      </c>
      <c r="CM319" s="43">
        <v>957.9</v>
      </c>
      <c r="CN319" s="41">
        <v>1.0439000000000001</v>
      </c>
      <c r="CO319" s="33"/>
      <c r="CP319" s="40">
        <v>959</v>
      </c>
      <c r="CQ319" s="34">
        <v>1.0559000000000001</v>
      </c>
      <c r="CR319" s="41">
        <v>0.94279999999999997</v>
      </c>
      <c r="CS319" s="33"/>
      <c r="CT319" s="40">
        <v>959</v>
      </c>
      <c r="CU319" s="44">
        <v>275.88</v>
      </c>
      <c r="CV319" s="42">
        <v>6.569</v>
      </c>
    </row>
    <row r="320" spans="4:100">
      <c r="D320" s="30">
        <v>31</v>
      </c>
      <c r="E320" s="31">
        <v>0.87080000000000002</v>
      </c>
      <c r="F320" s="32">
        <v>870.3</v>
      </c>
      <c r="G320" s="33"/>
      <c r="H320" s="30">
        <v>31</v>
      </c>
      <c r="I320" s="34">
        <v>3.7837000000000001</v>
      </c>
      <c r="J320" s="35">
        <v>0.15892000000000001</v>
      </c>
      <c r="L320" s="30">
        <v>31</v>
      </c>
      <c r="M320" s="172">
        <v>7.2510000000000003</v>
      </c>
      <c r="N320" s="173">
        <v>0.13791999999999999</v>
      </c>
      <c r="P320" s="30">
        <v>31</v>
      </c>
      <c r="Q320" s="172">
        <v>3.6253000000000002</v>
      </c>
      <c r="R320" s="173">
        <v>0.15226000000000001</v>
      </c>
      <c r="T320" s="30">
        <v>31</v>
      </c>
      <c r="U320" s="172">
        <v>275.840000000001</v>
      </c>
      <c r="V320" s="173">
        <v>6.5679999999999996</v>
      </c>
      <c r="X320" s="30">
        <v>31</v>
      </c>
      <c r="Y320" s="34">
        <v>3.2368999999999999</v>
      </c>
      <c r="Z320" s="35">
        <v>0.13594999999999999</v>
      </c>
      <c r="AA320" s="36"/>
      <c r="AB320" s="30">
        <v>31</v>
      </c>
      <c r="AC320" s="44">
        <v>308.94</v>
      </c>
      <c r="AD320" s="35">
        <v>7.3559999999999999</v>
      </c>
      <c r="AE320" s="36"/>
      <c r="AF320" s="30">
        <v>31</v>
      </c>
      <c r="AG320" s="34">
        <v>3.2888000000000002</v>
      </c>
      <c r="AH320" s="35">
        <v>0.13813</v>
      </c>
      <c r="AI320" s="35"/>
      <c r="AJ320" s="35">
        <v>0.12098</v>
      </c>
      <c r="AK320" s="998">
        <v>54</v>
      </c>
      <c r="AM320" s="30">
        <v>31</v>
      </c>
      <c r="AN320" s="34">
        <v>1.0437000000000001</v>
      </c>
      <c r="AO320" s="35">
        <v>1.1689000000000001</v>
      </c>
      <c r="AQ320" s="197">
        <v>0.96</v>
      </c>
      <c r="AR320" s="200">
        <v>15.9</v>
      </c>
      <c r="AS320" s="199">
        <v>959.4</v>
      </c>
      <c r="AZ320" s="197">
        <v>0.96</v>
      </c>
      <c r="BA320" s="198">
        <v>7.9946999999999999</v>
      </c>
      <c r="BB320" s="199">
        <v>0.12508</v>
      </c>
      <c r="BD320" s="197">
        <v>0.96</v>
      </c>
      <c r="BE320" s="198">
        <v>3.9973000000000001</v>
      </c>
      <c r="BF320" s="199">
        <v>0.16789000000000001</v>
      </c>
      <c r="BH320" s="197">
        <v>0.96</v>
      </c>
      <c r="BI320" s="198">
        <v>250.17</v>
      </c>
      <c r="BJ320" s="199">
        <v>5.9560000000000004</v>
      </c>
      <c r="BL320" s="197">
        <v>0.96</v>
      </c>
      <c r="BM320" s="198">
        <v>3.5691000000000002</v>
      </c>
      <c r="BN320" s="199">
        <v>0.14990000000000001</v>
      </c>
      <c r="BP320" s="197">
        <v>0.96</v>
      </c>
      <c r="BQ320" s="200">
        <v>280.19</v>
      </c>
      <c r="BR320" s="199">
        <v>6.6710000000000003</v>
      </c>
      <c r="BT320" s="197">
        <v>0.96</v>
      </c>
      <c r="BU320" s="201">
        <v>0.9466</v>
      </c>
      <c r="BV320" s="202">
        <v>1.0602</v>
      </c>
      <c r="BX320" s="37">
        <v>960</v>
      </c>
      <c r="BY320" s="38">
        <v>0.96060000000000001</v>
      </c>
      <c r="BZ320" s="39">
        <v>15.81</v>
      </c>
      <c r="CA320" s="33"/>
      <c r="CB320" s="37">
        <v>960</v>
      </c>
      <c r="CC320" s="38">
        <v>0.15892000000000001</v>
      </c>
      <c r="CD320" s="42">
        <v>6.2919999999999998</v>
      </c>
      <c r="CE320" s="33"/>
      <c r="CF320" s="33"/>
      <c r="CG320" s="33"/>
      <c r="CH320" s="33"/>
      <c r="CI320" s="33"/>
      <c r="CJ320" s="33"/>
      <c r="CK320" s="33"/>
      <c r="CL320" s="40">
        <v>960</v>
      </c>
      <c r="CM320" s="43">
        <v>958.9</v>
      </c>
      <c r="CN320" s="41">
        <v>1.0427999999999999</v>
      </c>
      <c r="CO320" s="33"/>
      <c r="CP320" s="40">
        <v>960</v>
      </c>
      <c r="CQ320" s="34">
        <v>1.0569999999999999</v>
      </c>
      <c r="CR320" s="41">
        <v>0.94379999999999997</v>
      </c>
      <c r="CS320" s="33"/>
      <c r="CT320" s="40">
        <v>960</v>
      </c>
      <c r="CU320" s="44">
        <v>275.60000000000002</v>
      </c>
      <c r="CV320" s="42">
        <v>6.5620000000000003</v>
      </c>
    </row>
    <row r="321" spans="4:100">
      <c r="D321" s="30">
        <v>31.1</v>
      </c>
      <c r="E321" s="31">
        <v>0.87019999999999997</v>
      </c>
      <c r="F321" s="32">
        <v>869.8</v>
      </c>
      <c r="G321" s="33"/>
      <c r="H321" s="30">
        <v>31.1</v>
      </c>
      <c r="I321" s="34">
        <v>3.7837000000000001</v>
      </c>
      <c r="J321" s="35">
        <v>0.15892000000000001</v>
      </c>
      <c r="L321" s="30">
        <v>31.1</v>
      </c>
      <c r="M321" s="172">
        <v>7.2460000000000004</v>
      </c>
      <c r="N321" s="173">
        <v>0.13800000000000001</v>
      </c>
      <c r="P321" s="30">
        <v>31.1</v>
      </c>
      <c r="Q321" s="172">
        <v>3.6231</v>
      </c>
      <c r="R321" s="173">
        <v>0.15217</v>
      </c>
      <c r="T321" s="30">
        <v>31.1</v>
      </c>
      <c r="U321" s="172">
        <v>276.01000000000101</v>
      </c>
      <c r="V321" s="173">
        <v>6.5720000000000001</v>
      </c>
      <c r="X321" s="30">
        <v>31.1</v>
      </c>
      <c r="Y321" s="34">
        <v>3.2349000000000001</v>
      </c>
      <c r="Z321" s="35">
        <v>0.13586999999999999</v>
      </c>
      <c r="AA321" s="36"/>
      <c r="AB321" s="30">
        <v>31.1</v>
      </c>
      <c r="AC321" s="44">
        <v>309.13</v>
      </c>
      <c r="AD321" s="35">
        <v>7.36</v>
      </c>
      <c r="AE321" s="36"/>
      <c r="AF321" s="30">
        <v>31.1</v>
      </c>
      <c r="AG321" s="34">
        <v>3.2867999999999999</v>
      </c>
      <c r="AH321" s="35">
        <v>0.13805000000000001</v>
      </c>
      <c r="AI321" s="35"/>
      <c r="AJ321" s="35">
        <v>0.12105</v>
      </c>
      <c r="AK321" s="998">
        <v>53.9</v>
      </c>
      <c r="AM321" s="30">
        <v>31.1</v>
      </c>
      <c r="AN321" s="34">
        <v>1.0443</v>
      </c>
      <c r="AO321" s="35">
        <v>1.1697</v>
      </c>
      <c r="AQ321" s="197">
        <v>0.96099999999999997</v>
      </c>
      <c r="AR321" s="200">
        <v>15.74</v>
      </c>
      <c r="AS321" s="199">
        <v>960.4</v>
      </c>
      <c r="AZ321" s="197">
        <v>0.96099999999999997</v>
      </c>
      <c r="BA321" s="198">
        <v>8.0030000000000001</v>
      </c>
      <c r="BB321" s="199">
        <v>0.12495000000000001</v>
      </c>
      <c r="BD321" s="197">
        <v>0.96099999999999997</v>
      </c>
      <c r="BE321" s="198">
        <v>4.0015000000000001</v>
      </c>
      <c r="BF321" s="199">
        <v>0.16805999999999999</v>
      </c>
      <c r="BH321" s="197">
        <v>0.96099999999999997</v>
      </c>
      <c r="BI321" s="198">
        <v>249.91</v>
      </c>
      <c r="BJ321" s="199">
        <v>5.95</v>
      </c>
      <c r="BL321" s="197">
        <v>0.96099999999999997</v>
      </c>
      <c r="BM321" s="198">
        <v>3.5728</v>
      </c>
      <c r="BN321" s="199">
        <v>0.15006</v>
      </c>
      <c r="BP321" s="197">
        <v>0.96099999999999997</v>
      </c>
      <c r="BQ321" s="200">
        <v>279.89</v>
      </c>
      <c r="BR321" s="199">
        <v>6.6639999999999997</v>
      </c>
      <c r="BT321" s="197">
        <v>0.96099999999999997</v>
      </c>
      <c r="BU321" s="201">
        <v>0.9456</v>
      </c>
      <c r="BV321" s="202">
        <v>1.0590999999999999</v>
      </c>
      <c r="BX321" s="37">
        <v>961</v>
      </c>
      <c r="BY321" s="38">
        <v>0.96160000000000001</v>
      </c>
      <c r="BZ321" s="39">
        <v>15.65</v>
      </c>
      <c r="CA321" s="33"/>
      <c r="CB321" s="37">
        <v>961</v>
      </c>
      <c r="CC321" s="38">
        <v>0.15892000000000001</v>
      </c>
      <c r="CD321" s="42">
        <v>6.2919999999999998</v>
      </c>
      <c r="CE321" s="33"/>
      <c r="CF321" s="33"/>
      <c r="CG321" s="33"/>
      <c r="CH321" s="33"/>
      <c r="CI321" s="33"/>
      <c r="CJ321" s="33"/>
      <c r="CK321" s="33"/>
      <c r="CL321" s="40">
        <v>961</v>
      </c>
      <c r="CM321" s="43">
        <v>959.9</v>
      </c>
      <c r="CN321" s="41">
        <v>1.0417000000000001</v>
      </c>
      <c r="CO321" s="33"/>
      <c r="CP321" s="40">
        <v>961</v>
      </c>
      <c r="CQ321" s="34">
        <v>1.0581</v>
      </c>
      <c r="CR321" s="41">
        <v>0.94479999999999997</v>
      </c>
      <c r="CS321" s="33"/>
      <c r="CT321" s="40">
        <v>961</v>
      </c>
      <c r="CU321" s="44">
        <v>275.31</v>
      </c>
      <c r="CV321" s="42">
        <v>6.5549999999999997</v>
      </c>
    </row>
    <row r="322" spans="4:100">
      <c r="D322" s="30">
        <v>31.2</v>
      </c>
      <c r="E322" s="31">
        <v>0.86970000000000003</v>
      </c>
      <c r="F322" s="32">
        <v>869.2</v>
      </c>
      <c r="G322" s="33"/>
      <c r="H322" s="30">
        <v>31.2</v>
      </c>
      <c r="I322" s="34">
        <v>3.7837000000000001</v>
      </c>
      <c r="J322" s="35">
        <v>0.15892000000000001</v>
      </c>
      <c r="L322" s="30">
        <v>31.2</v>
      </c>
      <c r="M322" s="172">
        <v>7.242</v>
      </c>
      <c r="N322" s="173">
        <v>0.13808999999999999</v>
      </c>
      <c r="P322" s="30">
        <v>31.2</v>
      </c>
      <c r="Q322" s="172">
        <v>3.6208999999999998</v>
      </c>
      <c r="R322" s="173">
        <v>0.15207999999999999</v>
      </c>
      <c r="T322" s="30">
        <v>31.2</v>
      </c>
      <c r="U322" s="172">
        <v>276.18000000000097</v>
      </c>
      <c r="V322" s="173">
        <v>6.5759999999999996</v>
      </c>
      <c r="X322" s="30">
        <v>31.2</v>
      </c>
      <c r="Y322" s="34">
        <v>3.2328999999999999</v>
      </c>
      <c r="Z322" s="35">
        <v>0.13578000000000001</v>
      </c>
      <c r="AA322" s="36"/>
      <c r="AB322" s="30">
        <v>31.2</v>
      </c>
      <c r="AC322" s="44">
        <v>309.32</v>
      </c>
      <c r="AD322" s="35">
        <v>7.3650000000000002</v>
      </c>
      <c r="AE322" s="36"/>
      <c r="AF322" s="30">
        <v>31.2</v>
      </c>
      <c r="AG322" s="34">
        <v>3.2848000000000002</v>
      </c>
      <c r="AH322" s="35">
        <v>0.13796</v>
      </c>
      <c r="AI322" s="35"/>
      <c r="AJ322" s="35">
        <v>0.12111</v>
      </c>
      <c r="AK322" s="998">
        <v>53.8</v>
      </c>
      <c r="AM322" s="30">
        <v>31.2</v>
      </c>
      <c r="AN322" s="34">
        <v>1.0449999999999999</v>
      </c>
      <c r="AO322" s="35">
        <v>1.1704000000000001</v>
      </c>
      <c r="AQ322" s="197">
        <v>0.96199999999999997</v>
      </c>
      <c r="AR322" s="200">
        <v>15.59</v>
      </c>
      <c r="AS322" s="199">
        <v>961.4</v>
      </c>
      <c r="AZ322" s="197">
        <v>0.96199999999999997</v>
      </c>
      <c r="BA322" s="198">
        <v>8.0114000000000001</v>
      </c>
      <c r="BB322" s="199">
        <v>0.12482</v>
      </c>
      <c r="BD322" s="197">
        <v>0.96199999999999997</v>
      </c>
      <c r="BE322" s="198">
        <v>4.0057</v>
      </c>
      <c r="BF322" s="199">
        <v>0.16824</v>
      </c>
      <c r="BH322" s="197">
        <v>0.96199999999999997</v>
      </c>
      <c r="BI322" s="198">
        <v>249.65</v>
      </c>
      <c r="BJ322" s="199">
        <v>5.944</v>
      </c>
      <c r="BL322" s="197">
        <v>0.96199999999999997</v>
      </c>
      <c r="BM322" s="198">
        <v>3.5764999999999998</v>
      </c>
      <c r="BN322" s="199">
        <v>0.15021000000000001</v>
      </c>
      <c r="BP322" s="197">
        <v>0.96199999999999997</v>
      </c>
      <c r="BQ322" s="200">
        <v>279.60000000000002</v>
      </c>
      <c r="BR322" s="199">
        <v>6.657</v>
      </c>
      <c r="BT322" s="197">
        <v>0.96199999999999997</v>
      </c>
      <c r="BU322" s="201">
        <v>0.9446</v>
      </c>
      <c r="BV322" s="202">
        <v>1.0580000000000001</v>
      </c>
      <c r="BX322" s="37">
        <v>962</v>
      </c>
      <c r="BY322" s="38">
        <v>0.96260000000000001</v>
      </c>
      <c r="BZ322" s="39">
        <v>15.5</v>
      </c>
      <c r="CA322" s="33"/>
      <c r="CB322" s="37">
        <v>962</v>
      </c>
      <c r="CC322" s="38">
        <v>0.15892000000000001</v>
      </c>
      <c r="CD322" s="42">
        <v>6.2919999999999998</v>
      </c>
      <c r="CE322" s="33"/>
      <c r="CF322" s="33"/>
      <c r="CG322" s="33"/>
      <c r="CH322" s="33"/>
      <c r="CI322" s="33"/>
      <c r="CJ322" s="33"/>
      <c r="CK322" s="33"/>
      <c r="CL322" s="40">
        <v>962</v>
      </c>
      <c r="CM322" s="43">
        <v>960.9</v>
      </c>
      <c r="CN322" s="41">
        <v>1.0407</v>
      </c>
      <c r="CO322" s="33"/>
      <c r="CP322" s="40">
        <v>962</v>
      </c>
      <c r="CQ322" s="34">
        <v>1.0591999999999999</v>
      </c>
      <c r="CR322" s="41">
        <v>0.94569999999999999</v>
      </c>
      <c r="CS322" s="33"/>
      <c r="CT322" s="40">
        <v>962</v>
      </c>
      <c r="CU322" s="44">
        <v>275.02</v>
      </c>
      <c r="CV322" s="42">
        <v>6.548</v>
      </c>
    </row>
    <row r="323" spans="4:100">
      <c r="D323" s="30">
        <v>31.3</v>
      </c>
      <c r="E323" s="31">
        <v>0.86919999999999997</v>
      </c>
      <c r="F323" s="32">
        <v>868.7</v>
      </c>
      <c r="G323" s="33"/>
      <c r="H323" s="30">
        <v>31.3</v>
      </c>
      <c r="I323" s="34">
        <v>3.7837000000000001</v>
      </c>
      <c r="J323" s="35">
        <v>0.15892000000000001</v>
      </c>
      <c r="L323" s="30">
        <v>31.3</v>
      </c>
      <c r="M323" s="172">
        <v>7.2370000000000001</v>
      </c>
      <c r="N323" s="173">
        <v>0.13816999999999999</v>
      </c>
      <c r="P323" s="30">
        <v>31.3</v>
      </c>
      <c r="Q323" s="172">
        <v>3.6185999999999998</v>
      </c>
      <c r="R323" s="173">
        <v>0.15198</v>
      </c>
      <c r="T323" s="30">
        <v>31.3</v>
      </c>
      <c r="U323" s="172">
        <v>276.35000000000099</v>
      </c>
      <c r="V323" s="173">
        <v>6.58</v>
      </c>
      <c r="X323" s="30">
        <v>31.3</v>
      </c>
      <c r="Y323" s="34">
        <v>3.2309000000000001</v>
      </c>
      <c r="Z323" s="35">
        <v>0.13569999999999999</v>
      </c>
      <c r="AA323" s="36"/>
      <c r="AB323" s="30">
        <v>31.3</v>
      </c>
      <c r="AC323" s="44">
        <v>309.51</v>
      </c>
      <c r="AD323" s="35">
        <v>7.3689999999999998</v>
      </c>
      <c r="AE323" s="36"/>
      <c r="AF323" s="30">
        <v>31.3</v>
      </c>
      <c r="AG323" s="34">
        <v>3.2827999999999999</v>
      </c>
      <c r="AH323" s="35">
        <v>0.13788</v>
      </c>
      <c r="AI323" s="35"/>
      <c r="AJ323" s="35">
        <v>0.12118</v>
      </c>
      <c r="AK323" s="998">
        <v>53.7</v>
      </c>
      <c r="AM323" s="30">
        <v>31.3</v>
      </c>
      <c r="AN323" s="34">
        <v>1.0456000000000001</v>
      </c>
      <c r="AO323" s="35">
        <v>1.1711</v>
      </c>
      <c r="AQ323" s="197">
        <v>0.96299999999999997</v>
      </c>
      <c r="AR323" s="200">
        <v>15.44</v>
      </c>
      <c r="AS323" s="199">
        <v>962.4</v>
      </c>
      <c r="AZ323" s="197">
        <v>0.96299999999999997</v>
      </c>
      <c r="BA323" s="198">
        <v>8.0197000000000003</v>
      </c>
      <c r="BB323" s="199">
        <v>0.12469</v>
      </c>
      <c r="BD323" s="197">
        <v>0.96299999999999997</v>
      </c>
      <c r="BE323" s="198">
        <v>4.0098000000000003</v>
      </c>
      <c r="BF323" s="199">
        <v>0.16841</v>
      </c>
      <c r="BH323" s="197">
        <v>0.96299999999999997</v>
      </c>
      <c r="BI323" s="198">
        <v>249.39</v>
      </c>
      <c r="BJ323" s="199">
        <v>5.9379999999999997</v>
      </c>
      <c r="BL323" s="197">
        <v>0.96299999999999997</v>
      </c>
      <c r="BM323" s="198">
        <v>3.5802</v>
      </c>
      <c r="BN323" s="199">
        <v>0.15037</v>
      </c>
      <c r="BP323" s="197">
        <v>0.96299999999999997</v>
      </c>
      <c r="BQ323" s="200">
        <v>279.31</v>
      </c>
      <c r="BR323" s="199">
        <v>6.65</v>
      </c>
      <c r="BT323" s="197">
        <v>0.96299999999999997</v>
      </c>
      <c r="BU323" s="201">
        <v>0.94369999999999998</v>
      </c>
      <c r="BV323" s="202">
        <v>1.0569</v>
      </c>
      <c r="BX323" s="37">
        <v>963</v>
      </c>
      <c r="BY323" s="38">
        <v>0.96360000000000001</v>
      </c>
      <c r="BZ323" s="39">
        <v>15.35</v>
      </c>
      <c r="CA323" s="33"/>
      <c r="CB323" s="37">
        <v>963</v>
      </c>
      <c r="CC323" s="38">
        <v>0.15892000000000001</v>
      </c>
      <c r="CD323" s="42">
        <v>6.2919999999999998</v>
      </c>
      <c r="CE323" s="33"/>
      <c r="CF323" s="33"/>
      <c r="CG323" s="33"/>
      <c r="CH323" s="33"/>
      <c r="CI323" s="33"/>
      <c r="CJ323" s="33"/>
      <c r="CK323" s="33"/>
      <c r="CL323" s="40">
        <v>963</v>
      </c>
      <c r="CM323" s="43">
        <v>961.9</v>
      </c>
      <c r="CN323" s="41">
        <v>1.0396000000000001</v>
      </c>
      <c r="CO323" s="33"/>
      <c r="CP323" s="40">
        <v>963</v>
      </c>
      <c r="CQ323" s="34">
        <v>1.0603</v>
      </c>
      <c r="CR323" s="41">
        <v>0.94669999999999999</v>
      </c>
      <c r="CS323" s="33"/>
      <c r="CT323" s="40">
        <v>963</v>
      </c>
      <c r="CU323" s="44">
        <v>274.74</v>
      </c>
      <c r="CV323" s="42">
        <v>6.5410000000000004</v>
      </c>
    </row>
    <row r="324" spans="4:100">
      <c r="D324" s="30">
        <v>31.4</v>
      </c>
      <c r="E324" s="31">
        <v>0.86860000000000004</v>
      </c>
      <c r="F324" s="32">
        <v>868.2</v>
      </c>
      <c r="G324" s="33"/>
      <c r="H324" s="30">
        <v>31.4</v>
      </c>
      <c r="I324" s="34">
        <v>3.7837000000000001</v>
      </c>
      <c r="J324" s="35">
        <v>0.15892000000000001</v>
      </c>
      <c r="L324" s="30">
        <v>31.4</v>
      </c>
      <c r="M324" s="172">
        <v>7.2329999999999997</v>
      </c>
      <c r="N324" s="173">
        <v>0.13825999999999999</v>
      </c>
      <c r="P324" s="30">
        <v>31.4</v>
      </c>
      <c r="Q324" s="172">
        <v>3.6164000000000001</v>
      </c>
      <c r="R324" s="173">
        <v>0.15189</v>
      </c>
      <c r="T324" s="30">
        <v>31.4</v>
      </c>
      <c r="U324" s="172">
        <v>276.520000000001</v>
      </c>
      <c r="V324" s="173">
        <v>6.5839999999999996</v>
      </c>
      <c r="X324" s="30">
        <v>31.4</v>
      </c>
      <c r="Y324" s="34">
        <v>3.2288999999999999</v>
      </c>
      <c r="Z324" s="35">
        <v>0.13561999999999999</v>
      </c>
      <c r="AA324" s="36"/>
      <c r="AB324" s="30">
        <v>31.4</v>
      </c>
      <c r="AC324" s="44">
        <v>309.7</v>
      </c>
      <c r="AD324" s="35">
        <v>7.3739999999999997</v>
      </c>
      <c r="AE324" s="36"/>
      <c r="AF324" s="30">
        <v>31.4</v>
      </c>
      <c r="AG324" s="34">
        <v>3.2806999999999999</v>
      </c>
      <c r="AH324" s="35">
        <v>0.13779</v>
      </c>
      <c r="AI324" s="35"/>
      <c r="AJ324" s="35">
        <v>0.12124</v>
      </c>
      <c r="AK324" s="998">
        <v>53.6</v>
      </c>
      <c r="AM324" s="30">
        <v>31.4</v>
      </c>
      <c r="AN324" s="34">
        <v>1.0463</v>
      </c>
      <c r="AO324" s="35">
        <v>1.1718</v>
      </c>
      <c r="AQ324" s="197">
        <v>0.96399999999999997</v>
      </c>
      <c r="AR324" s="200">
        <v>15.28</v>
      </c>
      <c r="AS324" s="199">
        <v>963.4</v>
      </c>
      <c r="AZ324" s="197">
        <v>0.96399999999999997</v>
      </c>
      <c r="BA324" s="198">
        <v>8.0280000000000005</v>
      </c>
      <c r="BB324" s="199">
        <v>0.12456</v>
      </c>
      <c r="BD324" s="197">
        <v>0.96399999999999997</v>
      </c>
      <c r="BE324" s="198">
        <v>4.0140000000000002</v>
      </c>
      <c r="BF324" s="199">
        <v>0.16858999999999999</v>
      </c>
      <c r="BH324" s="197">
        <v>0.96399999999999997</v>
      </c>
      <c r="BI324" s="198">
        <v>249.13</v>
      </c>
      <c r="BJ324" s="199">
        <v>5.9320000000000004</v>
      </c>
      <c r="BL324" s="197">
        <v>0.96399999999999997</v>
      </c>
      <c r="BM324" s="198">
        <v>3.5838999999999999</v>
      </c>
      <c r="BN324" s="199">
        <v>0.15053</v>
      </c>
      <c r="BP324" s="197">
        <v>0.96399999999999997</v>
      </c>
      <c r="BQ324" s="200">
        <v>279.02</v>
      </c>
      <c r="BR324" s="199">
        <v>6.6429999999999998</v>
      </c>
      <c r="BT324" s="197">
        <v>0.96399999999999997</v>
      </c>
      <c r="BU324" s="201">
        <v>0.94269999999999998</v>
      </c>
      <c r="BV324" s="202">
        <v>1.0558000000000001</v>
      </c>
      <c r="BX324" s="37">
        <v>964</v>
      </c>
      <c r="BY324" s="38">
        <v>0.96460000000000001</v>
      </c>
      <c r="BZ324" s="39">
        <v>15.2</v>
      </c>
      <c r="CA324" s="33"/>
      <c r="CB324" s="37">
        <v>964</v>
      </c>
      <c r="CC324" s="38">
        <v>0.15892000000000001</v>
      </c>
      <c r="CD324" s="42">
        <v>6.2919999999999998</v>
      </c>
      <c r="CE324" s="33"/>
      <c r="CF324" s="33"/>
      <c r="CG324" s="33"/>
      <c r="CH324" s="33"/>
      <c r="CI324" s="33"/>
      <c r="CJ324" s="33"/>
      <c r="CK324" s="33"/>
      <c r="CL324" s="40">
        <v>964</v>
      </c>
      <c r="CM324" s="43">
        <v>962.9</v>
      </c>
      <c r="CN324" s="41">
        <v>1.0385</v>
      </c>
      <c r="CO324" s="33"/>
      <c r="CP324" s="40">
        <v>964</v>
      </c>
      <c r="CQ324" s="34">
        <v>1.0613999999999999</v>
      </c>
      <c r="CR324" s="41">
        <v>0.94769999999999999</v>
      </c>
      <c r="CS324" s="33"/>
      <c r="CT324" s="40">
        <v>964</v>
      </c>
      <c r="CU324" s="44">
        <v>274.45</v>
      </c>
      <c r="CV324" s="42">
        <v>6.5350000000000001</v>
      </c>
    </row>
    <row r="325" spans="4:100">
      <c r="D325" s="30">
        <v>31.5</v>
      </c>
      <c r="E325" s="31">
        <v>0.86809999999999998</v>
      </c>
      <c r="F325" s="32">
        <v>867.6</v>
      </c>
      <c r="G325" s="33"/>
      <c r="H325" s="30">
        <v>31.5</v>
      </c>
      <c r="I325" s="34">
        <v>3.7837000000000001</v>
      </c>
      <c r="J325" s="35">
        <v>0.15892000000000001</v>
      </c>
      <c r="L325" s="30">
        <v>31.5</v>
      </c>
      <c r="M325" s="172">
        <v>7.2279999999999998</v>
      </c>
      <c r="N325" s="173">
        <v>0.13833999999999999</v>
      </c>
      <c r="P325" s="30">
        <v>31.5</v>
      </c>
      <c r="Q325" s="172">
        <v>3.6141999999999999</v>
      </c>
      <c r="R325" s="173">
        <v>0.15179999999999999</v>
      </c>
      <c r="T325" s="30">
        <v>31.5</v>
      </c>
      <c r="U325" s="172">
        <v>276.69000000000102</v>
      </c>
      <c r="V325" s="173">
        <v>6.5880000000000001</v>
      </c>
      <c r="X325" s="30">
        <v>31.5</v>
      </c>
      <c r="Y325" s="34">
        <v>3.2269000000000001</v>
      </c>
      <c r="Z325" s="35">
        <v>0.13553000000000001</v>
      </c>
      <c r="AA325" s="36"/>
      <c r="AB325" s="30">
        <v>31.5</v>
      </c>
      <c r="AC325" s="44">
        <v>309.89</v>
      </c>
      <c r="AD325" s="35">
        <v>7.3780000000000001</v>
      </c>
      <c r="AE325" s="36"/>
      <c r="AF325" s="30">
        <v>31.5</v>
      </c>
      <c r="AG325" s="34">
        <v>3.2787000000000002</v>
      </c>
      <c r="AH325" s="35">
        <v>0.13771</v>
      </c>
      <c r="AI325" s="35"/>
      <c r="AJ325" s="35">
        <v>0.12131</v>
      </c>
      <c r="AK325" s="998">
        <v>53.5</v>
      </c>
      <c r="AM325" s="30">
        <v>31.5</v>
      </c>
      <c r="AN325" s="34">
        <v>1.0468999999999999</v>
      </c>
      <c r="AO325" s="35">
        <v>1.1725000000000001</v>
      </c>
      <c r="AQ325" s="197">
        <v>0.96499999999999997</v>
      </c>
      <c r="AR325" s="200">
        <v>15.13</v>
      </c>
      <c r="AS325" s="199">
        <v>964.4</v>
      </c>
      <c r="AZ325" s="197">
        <v>0.96499999999999997</v>
      </c>
      <c r="BA325" s="198">
        <v>8.0364000000000004</v>
      </c>
      <c r="BB325" s="199">
        <v>0.12443</v>
      </c>
      <c r="BD325" s="197">
        <v>0.96499999999999997</v>
      </c>
      <c r="BE325" s="198">
        <v>4.0182000000000002</v>
      </c>
      <c r="BF325" s="199">
        <v>0.16875999999999999</v>
      </c>
      <c r="BH325" s="197">
        <v>0.96499999999999997</v>
      </c>
      <c r="BI325" s="198">
        <v>248.87</v>
      </c>
      <c r="BJ325" s="199">
        <v>5.9249999999999998</v>
      </c>
      <c r="BL325" s="197">
        <v>0.96499999999999997</v>
      </c>
      <c r="BM325" s="198">
        <v>3.5876999999999999</v>
      </c>
      <c r="BN325" s="199">
        <v>0.15068000000000001</v>
      </c>
      <c r="BP325" s="197">
        <v>0.96499999999999997</v>
      </c>
      <c r="BQ325" s="200">
        <v>278.73</v>
      </c>
      <c r="BR325" s="199">
        <v>6.6360000000000001</v>
      </c>
      <c r="BT325" s="197">
        <v>0.96499999999999997</v>
      </c>
      <c r="BU325" s="201">
        <v>0.94169999999999998</v>
      </c>
      <c r="BV325" s="202">
        <v>1.0547</v>
      </c>
      <c r="BX325" s="37">
        <v>965</v>
      </c>
      <c r="BY325" s="38">
        <v>0.96560000000000001</v>
      </c>
      <c r="BZ325" s="39">
        <v>15.04</v>
      </c>
      <c r="CA325" s="33"/>
      <c r="CB325" s="37">
        <v>965</v>
      </c>
      <c r="CC325" s="38">
        <v>0.15892999999999999</v>
      </c>
      <c r="CD325" s="42">
        <v>6.2919999999999998</v>
      </c>
      <c r="CE325" s="33"/>
      <c r="CF325" s="33"/>
      <c r="CG325" s="33"/>
      <c r="CH325" s="33"/>
      <c r="CI325" s="33"/>
      <c r="CJ325" s="33"/>
      <c r="CK325" s="33"/>
      <c r="CL325" s="40">
        <v>965</v>
      </c>
      <c r="CM325" s="43">
        <v>963.9</v>
      </c>
      <c r="CN325" s="41">
        <v>1.0374000000000001</v>
      </c>
      <c r="CO325" s="33"/>
      <c r="CP325" s="40">
        <v>965</v>
      </c>
      <c r="CQ325" s="34">
        <v>1.0625</v>
      </c>
      <c r="CR325" s="41">
        <v>0.94869999999999999</v>
      </c>
      <c r="CS325" s="33"/>
      <c r="CT325" s="40">
        <v>965</v>
      </c>
      <c r="CU325" s="44">
        <v>274.17</v>
      </c>
      <c r="CV325" s="42">
        <v>6.5279999999999996</v>
      </c>
    </row>
    <row r="326" spans="4:100">
      <c r="D326" s="30">
        <v>31.6</v>
      </c>
      <c r="E326" s="31">
        <v>0.86760000000000004</v>
      </c>
      <c r="F326" s="32">
        <v>867.1</v>
      </c>
      <c r="G326" s="33"/>
      <c r="H326" s="30">
        <v>31.6</v>
      </c>
      <c r="I326" s="34">
        <v>3.7837000000000001</v>
      </c>
      <c r="J326" s="35">
        <v>0.15892000000000001</v>
      </c>
      <c r="L326" s="30">
        <v>31.6</v>
      </c>
      <c r="M326" s="172">
        <v>7.2240000000000002</v>
      </c>
      <c r="N326" s="173">
        <v>0.13843</v>
      </c>
      <c r="P326" s="30">
        <v>31.6</v>
      </c>
      <c r="Q326" s="172">
        <v>3.6120000000000001</v>
      </c>
      <c r="R326" s="173">
        <v>0.1517</v>
      </c>
      <c r="T326" s="30">
        <v>31.6</v>
      </c>
      <c r="U326" s="172">
        <v>276.86000000000098</v>
      </c>
      <c r="V326" s="173">
        <v>6.5919999999999996</v>
      </c>
      <c r="X326" s="30">
        <v>31.6</v>
      </c>
      <c r="Y326" s="34">
        <v>3.2250000000000001</v>
      </c>
      <c r="Z326" s="35">
        <v>0.13544999999999999</v>
      </c>
      <c r="AA326" s="36"/>
      <c r="AB326" s="30">
        <v>31.6</v>
      </c>
      <c r="AC326" s="44">
        <v>310.08</v>
      </c>
      <c r="AD326" s="35">
        <v>7.383</v>
      </c>
      <c r="AE326" s="36"/>
      <c r="AF326" s="30">
        <v>31.6</v>
      </c>
      <c r="AG326" s="34">
        <v>3.2766999999999999</v>
      </c>
      <c r="AH326" s="35">
        <v>0.13761999999999999</v>
      </c>
      <c r="AI326" s="35"/>
      <c r="AJ326" s="35">
        <v>0.12137000000000001</v>
      </c>
      <c r="AK326" s="998">
        <v>53.4</v>
      </c>
      <c r="AM326" s="30">
        <v>31.6</v>
      </c>
      <c r="AN326" s="34">
        <v>1.0475000000000001</v>
      </c>
      <c r="AO326" s="35">
        <v>1.1733</v>
      </c>
      <c r="AQ326" s="197">
        <v>0.96599999999999997</v>
      </c>
      <c r="AR326" s="200">
        <v>14.98</v>
      </c>
      <c r="AS326" s="199">
        <v>965.4</v>
      </c>
      <c r="AZ326" s="197">
        <v>0.96599999999999997</v>
      </c>
      <c r="BA326" s="198">
        <v>8.0447000000000006</v>
      </c>
      <c r="BB326" s="199">
        <v>0.12431</v>
      </c>
      <c r="BD326" s="197">
        <v>0.96599999999999997</v>
      </c>
      <c r="BE326" s="198">
        <v>4.0224000000000002</v>
      </c>
      <c r="BF326" s="199">
        <v>0.16894000000000001</v>
      </c>
      <c r="BH326" s="197">
        <v>0.96599999999999997</v>
      </c>
      <c r="BI326" s="198">
        <v>248.61</v>
      </c>
      <c r="BJ326" s="199">
        <v>5.9189999999999996</v>
      </c>
      <c r="BL326" s="197">
        <v>0.96599999999999997</v>
      </c>
      <c r="BM326" s="198">
        <v>3.5914000000000001</v>
      </c>
      <c r="BN326" s="199">
        <v>0.15084</v>
      </c>
      <c r="BP326" s="197">
        <v>0.96599999999999997</v>
      </c>
      <c r="BQ326" s="200">
        <v>278.44</v>
      </c>
      <c r="BR326" s="199">
        <v>6.63</v>
      </c>
      <c r="BT326" s="197">
        <v>0.96599999999999997</v>
      </c>
      <c r="BU326" s="201">
        <v>0.94069999999999998</v>
      </c>
      <c r="BV326" s="202">
        <v>1.0536000000000001</v>
      </c>
      <c r="BX326" s="37">
        <v>966</v>
      </c>
      <c r="BY326" s="38">
        <v>0.96660000000000001</v>
      </c>
      <c r="BZ326" s="39">
        <v>14.89</v>
      </c>
      <c r="CA326" s="33"/>
      <c r="CB326" s="37">
        <v>966</v>
      </c>
      <c r="CC326" s="38">
        <v>0.15892999999999999</v>
      </c>
      <c r="CD326" s="42">
        <v>6.2919999999999998</v>
      </c>
      <c r="CE326" s="33"/>
      <c r="CF326" s="33"/>
      <c r="CG326" s="33"/>
      <c r="CH326" s="33"/>
      <c r="CI326" s="33"/>
      <c r="CJ326" s="33"/>
      <c r="CK326" s="33"/>
      <c r="CL326" s="40">
        <v>966</v>
      </c>
      <c r="CM326" s="43">
        <v>964.9</v>
      </c>
      <c r="CN326" s="41">
        <v>1.0363</v>
      </c>
      <c r="CO326" s="33"/>
      <c r="CP326" s="40">
        <v>966</v>
      </c>
      <c r="CQ326" s="34">
        <v>1.0636000000000001</v>
      </c>
      <c r="CR326" s="41">
        <v>0.94969999999999999</v>
      </c>
      <c r="CS326" s="33"/>
      <c r="CT326" s="40">
        <v>966</v>
      </c>
      <c r="CU326" s="44">
        <v>273.88</v>
      </c>
      <c r="CV326" s="42">
        <v>6.5209999999999999</v>
      </c>
    </row>
    <row r="327" spans="4:100">
      <c r="D327" s="30">
        <v>31.7</v>
      </c>
      <c r="E327" s="31">
        <v>0.86699999999999999</v>
      </c>
      <c r="F327" s="32">
        <v>866.6</v>
      </c>
      <c r="G327" s="33"/>
      <c r="H327" s="30">
        <v>31.7</v>
      </c>
      <c r="I327" s="34">
        <v>3.7837000000000001</v>
      </c>
      <c r="J327" s="35">
        <v>0.15892000000000001</v>
      </c>
      <c r="L327" s="30">
        <v>31.7</v>
      </c>
      <c r="M327" s="172">
        <v>7.2190000000000003</v>
      </c>
      <c r="N327" s="173">
        <v>0.13850999999999999</v>
      </c>
      <c r="P327" s="30">
        <v>31.7</v>
      </c>
      <c r="Q327" s="172">
        <v>3.6097000000000001</v>
      </c>
      <c r="R327" s="173">
        <v>0.15160999999999999</v>
      </c>
      <c r="T327" s="30">
        <v>31.7</v>
      </c>
      <c r="U327" s="172">
        <v>277.030000000001</v>
      </c>
      <c r="V327" s="173">
        <v>6.5960000000000001</v>
      </c>
      <c r="X327" s="30">
        <v>31.7</v>
      </c>
      <c r="Y327" s="34">
        <v>3.2229999999999999</v>
      </c>
      <c r="Z327" s="35">
        <v>0.13536999999999999</v>
      </c>
      <c r="AA327" s="36"/>
      <c r="AB327" s="30">
        <v>31.7</v>
      </c>
      <c r="AC327" s="44">
        <v>310.27</v>
      </c>
      <c r="AD327" s="35">
        <v>7.3869999999999996</v>
      </c>
      <c r="AE327" s="36"/>
      <c r="AF327" s="30">
        <v>31.7</v>
      </c>
      <c r="AG327" s="34">
        <v>3.2747000000000002</v>
      </c>
      <c r="AH327" s="35">
        <v>0.13754</v>
      </c>
      <c r="AI327" s="35"/>
      <c r="AJ327" s="35">
        <v>0.12144000000000001</v>
      </c>
      <c r="AK327" s="998">
        <v>53.3</v>
      </c>
      <c r="AM327" s="30">
        <v>31.7</v>
      </c>
      <c r="AN327" s="34">
        <v>1.0482</v>
      </c>
      <c r="AO327" s="35">
        <v>1.1739999999999999</v>
      </c>
      <c r="AQ327" s="197">
        <v>0.96699999999999997</v>
      </c>
      <c r="AR327" s="200">
        <v>14.83</v>
      </c>
      <c r="AS327" s="199">
        <v>966.4</v>
      </c>
      <c r="AZ327" s="197">
        <v>0.96699999999999997</v>
      </c>
      <c r="BA327" s="198">
        <v>8.0530000000000008</v>
      </c>
      <c r="BB327" s="199">
        <v>0.12418</v>
      </c>
      <c r="BD327" s="197">
        <v>0.96699999999999997</v>
      </c>
      <c r="BE327" s="198">
        <v>4.0265000000000004</v>
      </c>
      <c r="BF327" s="199">
        <v>0.16911000000000001</v>
      </c>
      <c r="BH327" s="197">
        <v>0.96699999999999997</v>
      </c>
      <c r="BI327" s="198">
        <v>248.35</v>
      </c>
      <c r="BJ327" s="199">
        <v>5.9130000000000003</v>
      </c>
      <c r="BL327" s="197">
        <v>0.96699999999999997</v>
      </c>
      <c r="BM327" s="198">
        <v>3.5951</v>
      </c>
      <c r="BN327" s="199">
        <v>0.15099000000000001</v>
      </c>
      <c r="BP327" s="197">
        <v>0.96699999999999997</v>
      </c>
      <c r="BQ327" s="200">
        <v>278.16000000000003</v>
      </c>
      <c r="BR327" s="199">
        <v>6.6230000000000002</v>
      </c>
      <c r="BT327" s="197">
        <v>0.96699999999999997</v>
      </c>
      <c r="BU327" s="201">
        <v>0.93979999999999997</v>
      </c>
      <c r="BV327" s="202">
        <v>1.0525</v>
      </c>
      <c r="BX327" s="37">
        <v>967</v>
      </c>
      <c r="BY327" s="38">
        <v>0.96760000000000002</v>
      </c>
      <c r="BZ327" s="39">
        <v>14.74</v>
      </c>
      <c r="CA327" s="33"/>
      <c r="CB327" s="37">
        <v>967</v>
      </c>
      <c r="CC327" s="38">
        <v>0.15892999999999999</v>
      </c>
      <c r="CD327" s="42">
        <v>6.2919999999999998</v>
      </c>
      <c r="CE327" s="33"/>
      <c r="CF327" s="33"/>
      <c r="CG327" s="33"/>
      <c r="CH327" s="33"/>
      <c r="CI327" s="33"/>
      <c r="CJ327" s="33"/>
      <c r="CK327" s="33"/>
      <c r="CL327" s="40">
        <v>967</v>
      </c>
      <c r="CM327" s="43">
        <v>965.9</v>
      </c>
      <c r="CN327" s="41">
        <v>1.0353000000000001</v>
      </c>
      <c r="CO327" s="33"/>
      <c r="CP327" s="40">
        <v>967</v>
      </c>
      <c r="CQ327" s="34">
        <v>1.0648</v>
      </c>
      <c r="CR327" s="41">
        <v>0.95069999999999999</v>
      </c>
      <c r="CS327" s="33"/>
      <c r="CT327" s="40">
        <v>967</v>
      </c>
      <c r="CU327" s="44">
        <v>273.60000000000002</v>
      </c>
      <c r="CV327" s="42">
        <v>6.5140000000000002</v>
      </c>
    </row>
    <row r="328" spans="4:100">
      <c r="D328" s="30">
        <v>31.8</v>
      </c>
      <c r="E328" s="31">
        <v>0.86650000000000005</v>
      </c>
      <c r="F328" s="32">
        <v>866</v>
      </c>
      <c r="G328" s="33"/>
      <c r="H328" s="30">
        <v>31.8</v>
      </c>
      <c r="I328" s="34">
        <v>3.7837000000000001</v>
      </c>
      <c r="J328" s="35">
        <v>0.15892000000000001</v>
      </c>
      <c r="L328" s="30">
        <v>31.8</v>
      </c>
      <c r="M328" s="172">
        <v>7.2149999999999999</v>
      </c>
      <c r="N328" s="173">
        <v>0.1386</v>
      </c>
      <c r="P328" s="30">
        <v>31.8</v>
      </c>
      <c r="Q328" s="172">
        <v>3.6074999999999999</v>
      </c>
      <c r="R328" s="173">
        <v>0.15151999999999999</v>
      </c>
      <c r="T328" s="30">
        <v>31.8</v>
      </c>
      <c r="U328" s="172">
        <v>277.20000000000101</v>
      </c>
      <c r="V328" s="173">
        <v>6.6</v>
      </c>
      <c r="X328" s="30">
        <v>31.8</v>
      </c>
      <c r="Y328" s="34">
        <v>3.2210000000000001</v>
      </c>
      <c r="Z328" s="35">
        <v>0.13528000000000001</v>
      </c>
      <c r="AA328" s="36"/>
      <c r="AB328" s="30">
        <v>31.8</v>
      </c>
      <c r="AC328" s="44">
        <v>310.45999999999998</v>
      </c>
      <c r="AD328" s="35">
        <v>7.3920000000000003</v>
      </c>
      <c r="AE328" s="36"/>
      <c r="AF328" s="30">
        <v>31.8</v>
      </c>
      <c r="AG328" s="34">
        <v>3.2726999999999999</v>
      </c>
      <c r="AH328" s="35">
        <v>0.13744999999999999</v>
      </c>
      <c r="AI328" s="35"/>
      <c r="AJ328" s="35">
        <v>0.12151000000000001</v>
      </c>
      <c r="AK328" s="998">
        <v>53.2</v>
      </c>
      <c r="AM328" s="30">
        <v>31.8</v>
      </c>
      <c r="AN328" s="34">
        <v>1.0488</v>
      </c>
      <c r="AO328" s="35">
        <v>1.1747000000000001</v>
      </c>
      <c r="AQ328" s="197">
        <v>0.96799999999999997</v>
      </c>
      <c r="AR328" s="200">
        <v>14.68</v>
      </c>
      <c r="AS328" s="199">
        <v>967.4</v>
      </c>
      <c r="AZ328" s="197">
        <v>0.96799999999999997</v>
      </c>
      <c r="BA328" s="198">
        <v>8.0614000000000008</v>
      </c>
      <c r="BB328" s="199">
        <v>0.12404999999999999</v>
      </c>
      <c r="BD328" s="197">
        <v>0.96799999999999997</v>
      </c>
      <c r="BE328" s="198">
        <v>4.0307000000000004</v>
      </c>
      <c r="BF328" s="199">
        <v>0.16929</v>
      </c>
      <c r="BH328" s="197">
        <v>0.96799999999999997</v>
      </c>
      <c r="BI328" s="198">
        <v>248.1</v>
      </c>
      <c r="BJ328" s="199">
        <v>5.907</v>
      </c>
      <c r="BL328" s="197">
        <v>0.96799999999999997</v>
      </c>
      <c r="BM328" s="198">
        <v>3.5988000000000002</v>
      </c>
      <c r="BN328" s="199">
        <v>0.15115000000000001</v>
      </c>
      <c r="BP328" s="197">
        <v>0.96799999999999997</v>
      </c>
      <c r="BQ328" s="200">
        <v>277.87</v>
      </c>
      <c r="BR328" s="199">
        <v>6.6159999999999997</v>
      </c>
      <c r="BT328" s="197">
        <v>0.96799999999999997</v>
      </c>
      <c r="BU328" s="201">
        <v>0.93879999999999997</v>
      </c>
      <c r="BV328" s="202">
        <v>1.0513999999999999</v>
      </c>
      <c r="BX328" s="37">
        <v>968</v>
      </c>
      <c r="BY328" s="38">
        <v>0.96860000000000002</v>
      </c>
      <c r="BZ328" s="39">
        <v>14.59</v>
      </c>
      <c r="CA328" s="33"/>
      <c r="CB328" s="37">
        <v>968</v>
      </c>
      <c r="CC328" s="38">
        <v>0.15892999999999999</v>
      </c>
      <c r="CD328" s="42">
        <v>6.2919999999999998</v>
      </c>
      <c r="CE328" s="33"/>
      <c r="CF328" s="33"/>
      <c r="CG328" s="33"/>
      <c r="CH328" s="33"/>
      <c r="CI328" s="33"/>
      <c r="CJ328" s="33"/>
      <c r="CK328" s="33"/>
      <c r="CL328" s="40">
        <v>968</v>
      </c>
      <c r="CM328" s="43">
        <v>966.9</v>
      </c>
      <c r="CN328" s="41">
        <v>1.0342</v>
      </c>
      <c r="CO328" s="33"/>
      <c r="CP328" s="40">
        <v>968</v>
      </c>
      <c r="CQ328" s="34">
        <v>1.0659000000000001</v>
      </c>
      <c r="CR328" s="41">
        <v>0.95169999999999999</v>
      </c>
      <c r="CS328" s="33"/>
      <c r="CT328" s="40">
        <v>968</v>
      </c>
      <c r="CU328" s="44">
        <v>273.31</v>
      </c>
      <c r="CV328" s="42">
        <v>6.5069999999999997</v>
      </c>
    </row>
    <row r="329" spans="4:100">
      <c r="D329" s="30">
        <v>31.9</v>
      </c>
      <c r="E329" s="31">
        <v>0.86599999999999999</v>
      </c>
      <c r="F329" s="32">
        <v>865.5</v>
      </c>
      <c r="G329" s="33"/>
      <c r="H329" s="30">
        <v>31.9</v>
      </c>
      <c r="I329" s="34">
        <v>3.7837000000000001</v>
      </c>
      <c r="J329" s="35">
        <v>0.15892000000000001</v>
      </c>
      <c r="L329" s="30">
        <v>31.9</v>
      </c>
      <c r="M329" s="172">
        <v>7.2110000000000003</v>
      </c>
      <c r="N329" s="173">
        <v>0.13868</v>
      </c>
      <c r="P329" s="30">
        <v>31.9</v>
      </c>
      <c r="Q329" s="172">
        <v>3.6053000000000002</v>
      </c>
      <c r="R329" s="173">
        <v>0.15142</v>
      </c>
      <c r="T329" s="30">
        <v>31.9</v>
      </c>
      <c r="U329" s="172">
        <v>277.37000000000103</v>
      </c>
      <c r="V329" s="173">
        <v>6.6040000000000001</v>
      </c>
      <c r="X329" s="30">
        <v>31.9</v>
      </c>
      <c r="Y329" s="34">
        <v>3.2189999999999999</v>
      </c>
      <c r="Z329" s="35">
        <v>0.13519999999999999</v>
      </c>
      <c r="AA329" s="36"/>
      <c r="AB329" s="30">
        <v>31.9</v>
      </c>
      <c r="AC329" s="44">
        <v>310.64999999999998</v>
      </c>
      <c r="AD329" s="35">
        <v>7.3959999999999999</v>
      </c>
      <c r="AE329" s="36"/>
      <c r="AF329" s="30">
        <v>31.9</v>
      </c>
      <c r="AG329" s="34">
        <v>3.2707000000000002</v>
      </c>
      <c r="AH329" s="35">
        <v>0.13736999999999999</v>
      </c>
      <c r="AI329" s="35"/>
      <c r="AJ329" s="35">
        <v>0.12157</v>
      </c>
      <c r="AK329" s="998">
        <v>53.1</v>
      </c>
      <c r="AM329" s="30">
        <v>31.9</v>
      </c>
      <c r="AN329" s="34">
        <v>1.0495000000000001</v>
      </c>
      <c r="AO329" s="35">
        <v>1.1754</v>
      </c>
      <c r="AQ329" s="197">
        <v>0.96899999999999997</v>
      </c>
      <c r="AR329" s="200">
        <v>14.53</v>
      </c>
      <c r="AS329" s="199">
        <v>968.4</v>
      </c>
      <c r="AZ329" s="197">
        <v>0.96899999999999997</v>
      </c>
      <c r="BA329" s="198">
        <v>8.0696999999999992</v>
      </c>
      <c r="BB329" s="199">
        <v>0.12392</v>
      </c>
      <c r="BD329" s="197">
        <v>0.96899999999999997</v>
      </c>
      <c r="BE329" s="198">
        <v>4.0349000000000004</v>
      </c>
      <c r="BF329" s="199">
        <v>0.16946</v>
      </c>
      <c r="BH329" s="197">
        <v>0.96899999999999997</v>
      </c>
      <c r="BI329" s="198">
        <v>247.84</v>
      </c>
      <c r="BJ329" s="199">
        <v>5.9009999999999998</v>
      </c>
      <c r="BL329" s="197">
        <v>0.96899999999999997</v>
      </c>
      <c r="BM329" s="198">
        <v>3.6025999999999998</v>
      </c>
      <c r="BN329" s="199">
        <v>0.15131</v>
      </c>
      <c r="BP329" s="197">
        <v>0.96899999999999997</v>
      </c>
      <c r="BQ329" s="200">
        <v>277.58</v>
      </c>
      <c r="BR329" s="199">
        <v>6.609</v>
      </c>
      <c r="BT329" s="197">
        <v>0.96899999999999997</v>
      </c>
      <c r="BU329" s="201">
        <v>0.93779999999999997</v>
      </c>
      <c r="BV329" s="202">
        <v>1.0503</v>
      </c>
      <c r="BX329" s="37">
        <v>969</v>
      </c>
      <c r="BY329" s="38">
        <v>0.96960000000000002</v>
      </c>
      <c r="BZ329" s="39">
        <v>14.44</v>
      </c>
      <c r="CA329" s="33"/>
      <c r="CB329" s="37">
        <v>969</v>
      </c>
      <c r="CC329" s="38">
        <v>0.15892999999999999</v>
      </c>
      <c r="CD329" s="42">
        <v>6.2919999999999998</v>
      </c>
      <c r="CE329" s="33"/>
      <c r="CF329" s="33"/>
      <c r="CG329" s="33"/>
      <c r="CH329" s="33"/>
      <c r="CI329" s="33"/>
      <c r="CJ329" s="33"/>
      <c r="CK329" s="33"/>
      <c r="CL329" s="40">
        <v>969</v>
      </c>
      <c r="CM329" s="43">
        <v>967.9</v>
      </c>
      <c r="CN329" s="41">
        <v>1.0330999999999999</v>
      </c>
      <c r="CO329" s="33"/>
      <c r="CP329" s="40">
        <v>969</v>
      </c>
      <c r="CQ329" s="34">
        <v>1.0669999999999999</v>
      </c>
      <c r="CR329" s="41">
        <v>0.9526</v>
      </c>
      <c r="CS329" s="33"/>
      <c r="CT329" s="40">
        <v>969</v>
      </c>
      <c r="CU329" s="44">
        <v>273.02999999999997</v>
      </c>
      <c r="CV329" s="42">
        <v>6.5010000000000003</v>
      </c>
    </row>
    <row r="330" spans="4:100">
      <c r="D330" s="30">
        <v>32</v>
      </c>
      <c r="E330" s="31">
        <v>0.86539999999999995</v>
      </c>
      <c r="F330" s="32">
        <v>865</v>
      </c>
      <c r="G330" s="33"/>
      <c r="H330" s="30">
        <v>32</v>
      </c>
      <c r="I330" s="34">
        <v>3.7837000000000001</v>
      </c>
      <c r="J330" s="35">
        <v>0.15892000000000001</v>
      </c>
      <c r="L330" s="30">
        <v>32</v>
      </c>
      <c r="M330" s="172">
        <v>7.2060000000000004</v>
      </c>
      <c r="N330" s="173">
        <v>0.13877</v>
      </c>
      <c r="P330" s="30">
        <v>32</v>
      </c>
      <c r="Q330" s="172">
        <v>3.6031</v>
      </c>
      <c r="R330" s="173">
        <v>0.15132999999999999</v>
      </c>
      <c r="T330" s="30">
        <v>32</v>
      </c>
      <c r="U330" s="172">
        <v>277.54000000000099</v>
      </c>
      <c r="V330" s="173">
        <v>6.6079999999999997</v>
      </c>
      <c r="X330" s="30">
        <v>32</v>
      </c>
      <c r="Y330" s="34">
        <v>3.2170999999999998</v>
      </c>
      <c r="Z330" s="35">
        <v>0.13511999999999999</v>
      </c>
      <c r="AA330" s="36"/>
      <c r="AB330" s="30">
        <v>32</v>
      </c>
      <c r="AC330" s="44">
        <v>310.83999999999997</v>
      </c>
      <c r="AD330" s="35">
        <v>7.4009999999999998</v>
      </c>
      <c r="AE330" s="36"/>
      <c r="AF330" s="30">
        <v>32</v>
      </c>
      <c r="AG330" s="34">
        <v>3.2686999999999999</v>
      </c>
      <c r="AH330" s="35">
        <v>0.13728000000000001</v>
      </c>
      <c r="AI330" s="35"/>
      <c r="AJ330" s="35">
        <v>0.12164</v>
      </c>
      <c r="AK330" s="998">
        <v>53</v>
      </c>
      <c r="AM330" s="30">
        <v>32</v>
      </c>
      <c r="AN330" s="34">
        <v>1.0501</v>
      </c>
      <c r="AO330" s="35">
        <v>1.1760999999999999</v>
      </c>
      <c r="AQ330" s="197">
        <v>0.97</v>
      </c>
      <c r="AR330" s="200">
        <v>14.38</v>
      </c>
      <c r="AS330" s="199">
        <v>969.4</v>
      </c>
      <c r="AZ330" s="197">
        <v>0.97</v>
      </c>
      <c r="BA330" s="198">
        <v>8.0780999999999992</v>
      </c>
      <c r="BB330" s="199">
        <v>0.12379</v>
      </c>
      <c r="BD330" s="197">
        <v>0.97</v>
      </c>
      <c r="BE330" s="198">
        <v>4.0389999999999997</v>
      </c>
      <c r="BF330" s="199">
        <v>0.16964000000000001</v>
      </c>
      <c r="BH330" s="197">
        <v>0.97</v>
      </c>
      <c r="BI330" s="198">
        <v>247.58</v>
      </c>
      <c r="BJ330" s="199">
        <v>5.8949999999999996</v>
      </c>
      <c r="BL330" s="197">
        <v>0.97</v>
      </c>
      <c r="BM330" s="198">
        <v>3.6063000000000001</v>
      </c>
      <c r="BN330" s="199">
        <v>0.15146000000000001</v>
      </c>
      <c r="BP330" s="197">
        <v>0.97</v>
      </c>
      <c r="BQ330" s="200">
        <v>277.29000000000002</v>
      </c>
      <c r="BR330" s="199">
        <v>6.6020000000000003</v>
      </c>
      <c r="BT330" s="197">
        <v>0.97</v>
      </c>
      <c r="BU330" s="201">
        <v>0.93679999999999997</v>
      </c>
      <c r="BV330" s="202">
        <v>1.0492999999999999</v>
      </c>
      <c r="BX330" s="37">
        <v>970</v>
      </c>
      <c r="BY330" s="38">
        <v>0.97060000000000002</v>
      </c>
      <c r="BZ330" s="39">
        <v>14.29</v>
      </c>
      <c r="CA330" s="33"/>
      <c r="CB330" s="37">
        <v>970</v>
      </c>
      <c r="CC330" s="38">
        <v>0.15892999999999999</v>
      </c>
      <c r="CD330" s="42">
        <v>6.2919999999999998</v>
      </c>
      <c r="CE330" s="33"/>
      <c r="CF330" s="33"/>
      <c r="CG330" s="33"/>
      <c r="CH330" s="33"/>
      <c r="CI330" s="33"/>
      <c r="CJ330" s="33"/>
      <c r="CK330" s="33"/>
      <c r="CL330" s="40">
        <v>970</v>
      </c>
      <c r="CM330" s="43">
        <v>968.9</v>
      </c>
      <c r="CN330" s="41">
        <v>1.0321</v>
      </c>
      <c r="CO330" s="33"/>
      <c r="CP330" s="40">
        <v>970</v>
      </c>
      <c r="CQ330" s="34">
        <v>1.0681</v>
      </c>
      <c r="CR330" s="41">
        <v>0.9536</v>
      </c>
      <c r="CS330" s="33"/>
      <c r="CT330" s="40">
        <v>970</v>
      </c>
      <c r="CU330" s="44">
        <v>272.75</v>
      </c>
      <c r="CV330" s="42">
        <v>6.4939999999999998</v>
      </c>
    </row>
    <row r="331" spans="4:100">
      <c r="D331" s="30">
        <v>32.1</v>
      </c>
      <c r="E331" s="31">
        <v>0.8649</v>
      </c>
      <c r="F331" s="32">
        <v>864.5</v>
      </c>
      <c r="G331" s="33"/>
      <c r="H331" s="30">
        <v>32.1</v>
      </c>
      <c r="I331" s="34">
        <v>3.7837000000000001</v>
      </c>
      <c r="J331" s="35">
        <v>0.15892000000000001</v>
      </c>
      <c r="L331" s="30">
        <v>32.1</v>
      </c>
      <c r="M331" s="172">
        <v>7.202</v>
      </c>
      <c r="N331" s="173">
        <v>0.13885</v>
      </c>
      <c r="P331" s="30">
        <v>32.1</v>
      </c>
      <c r="Q331" s="172">
        <v>3.6009000000000002</v>
      </c>
      <c r="R331" s="173">
        <v>0.15124000000000001</v>
      </c>
      <c r="T331" s="30">
        <v>32.1</v>
      </c>
      <c r="U331" s="172">
        <v>277.710000000001</v>
      </c>
      <c r="V331" s="173">
        <v>6.6120000000000001</v>
      </c>
      <c r="X331" s="30">
        <v>32.1</v>
      </c>
      <c r="Y331" s="34">
        <v>3.2151000000000001</v>
      </c>
      <c r="Z331" s="35">
        <v>0.13503000000000001</v>
      </c>
      <c r="AA331" s="36"/>
      <c r="AB331" s="30">
        <v>32.1</v>
      </c>
      <c r="AC331" s="44">
        <v>311.02999999999997</v>
      </c>
      <c r="AD331" s="35">
        <v>7.4059999999999997</v>
      </c>
      <c r="AE331" s="36"/>
      <c r="AF331" s="30">
        <v>32.1</v>
      </c>
      <c r="AG331" s="34">
        <v>3.2667000000000002</v>
      </c>
      <c r="AH331" s="35">
        <v>0.13719999999999999</v>
      </c>
      <c r="AI331" s="35"/>
      <c r="AJ331" s="35">
        <v>0.1217</v>
      </c>
      <c r="AK331" s="998">
        <v>52.9</v>
      </c>
      <c r="AM331" s="30">
        <v>32.1</v>
      </c>
      <c r="AN331" s="34">
        <v>1.0508</v>
      </c>
      <c r="AO331" s="35">
        <v>1.1769000000000001</v>
      </c>
      <c r="AQ331" s="197">
        <v>0.97099999999999997</v>
      </c>
      <c r="AR331" s="200">
        <v>14.23</v>
      </c>
      <c r="AS331" s="199">
        <v>970.4</v>
      </c>
      <c r="AZ331" s="197">
        <v>0.97099999999999997</v>
      </c>
      <c r="BA331" s="198">
        <v>8.0863999999999994</v>
      </c>
      <c r="BB331" s="199">
        <v>0.12366000000000001</v>
      </c>
      <c r="BD331" s="197">
        <v>0.97099999999999997</v>
      </c>
      <c r="BE331" s="198">
        <v>4.0431999999999997</v>
      </c>
      <c r="BF331" s="199">
        <v>0.16980999999999999</v>
      </c>
      <c r="BH331" s="197">
        <v>0.97099999999999997</v>
      </c>
      <c r="BI331" s="198">
        <v>247.33</v>
      </c>
      <c r="BJ331" s="199">
        <v>5.8890000000000002</v>
      </c>
      <c r="BL331" s="197">
        <v>0.97099999999999997</v>
      </c>
      <c r="BM331" s="198">
        <v>3.61</v>
      </c>
      <c r="BN331" s="199">
        <v>0.15162</v>
      </c>
      <c r="BP331" s="197">
        <v>0.97099999999999997</v>
      </c>
      <c r="BQ331" s="200">
        <v>277.01</v>
      </c>
      <c r="BR331" s="199">
        <v>6.5949999999999998</v>
      </c>
      <c r="BT331" s="197">
        <v>0.97099999999999997</v>
      </c>
      <c r="BU331" s="201">
        <v>0.93589999999999995</v>
      </c>
      <c r="BV331" s="202">
        <v>1.0482</v>
      </c>
      <c r="BX331" s="37">
        <v>971</v>
      </c>
      <c r="BY331" s="38">
        <v>0.97160000000000002</v>
      </c>
      <c r="BZ331" s="39">
        <v>14.14</v>
      </c>
      <c r="CA331" s="33"/>
      <c r="CB331" s="37">
        <v>971</v>
      </c>
      <c r="CC331" s="38">
        <v>0.15892999999999999</v>
      </c>
      <c r="CD331" s="42">
        <v>6.2919999999999998</v>
      </c>
      <c r="CE331" s="33"/>
      <c r="CF331" s="33"/>
      <c r="CG331" s="33"/>
      <c r="CH331" s="33"/>
      <c r="CI331" s="33"/>
      <c r="CJ331" s="33"/>
      <c r="CK331" s="33"/>
      <c r="CL331" s="40">
        <v>971</v>
      </c>
      <c r="CM331" s="43">
        <v>969.9</v>
      </c>
      <c r="CN331" s="41">
        <v>1.0309999999999999</v>
      </c>
      <c r="CO331" s="33"/>
      <c r="CP331" s="40">
        <v>971</v>
      </c>
      <c r="CQ331" s="34">
        <v>1.0691999999999999</v>
      </c>
      <c r="CR331" s="41">
        <v>0.9546</v>
      </c>
      <c r="CS331" s="33"/>
      <c r="CT331" s="40">
        <v>971</v>
      </c>
      <c r="CU331" s="44">
        <v>272.47000000000003</v>
      </c>
      <c r="CV331" s="42">
        <v>6.4870000000000001</v>
      </c>
    </row>
    <row r="332" spans="4:100">
      <c r="D332" s="30">
        <v>32.200000000000003</v>
      </c>
      <c r="E332" s="31">
        <v>0.86439999999999995</v>
      </c>
      <c r="F332" s="32">
        <v>863.9</v>
      </c>
      <c r="G332" s="33"/>
      <c r="H332" s="30">
        <v>32.200000000000003</v>
      </c>
      <c r="I332" s="34">
        <v>3.7837000000000001</v>
      </c>
      <c r="J332" s="35">
        <v>0.15892000000000001</v>
      </c>
      <c r="L332" s="30">
        <v>32.200000000000003</v>
      </c>
      <c r="M332" s="172">
        <v>7.1970000000000001</v>
      </c>
      <c r="N332" s="173">
        <v>0.13894000000000001</v>
      </c>
      <c r="P332" s="30">
        <v>32.200000000000003</v>
      </c>
      <c r="Q332" s="172">
        <v>3.5987</v>
      </c>
      <c r="R332" s="173">
        <v>0.15115000000000001</v>
      </c>
      <c r="T332" s="30">
        <v>32.200000000000003</v>
      </c>
      <c r="U332" s="172">
        <v>277.88000000000198</v>
      </c>
      <c r="V332" s="173">
        <v>6.6159999999999997</v>
      </c>
      <c r="X332" s="30">
        <v>32.200000000000003</v>
      </c>
      <c r="Y332" s="34">
        <v>3.2130999999999998</v>
      </c>
      <c r="Z332" s="35">
        <v>0.13494999999999999</v>
      </c>
      <c r="AA332" s="36"/>
      <c r="AB332" s="30">
        <v>32.200000000000003</v>
      </c>
      <c r="AC332" s="44">
        <v>311.22000000000003</v>
      </c>
      <c r="AD332" s="35">
        <v>7.41</v>
      </c>
      <c r="AE332" s="36"/>
      <c r="AF332" s="30">
        <v>32.200000000000003</v>
      </c>
      <c r="AG332" s="34">
        <v>3.2646999999999999</v>
      </c>
      <c r="AH332" s="35">
        <v>0.13711999999999999</v>
      </c>
      <c r="AI332" s="35"/>
      <c r="AJ332" s="35">
        <v>0.12177</v>
      </c>
      <c r="AK332" s="998">
        <v>52.8</v>
      </c>
      <c r="AM332" s="30">
        <v>32.200000000000003</v>
      </c>
      <c r="AN332" s="34">
        <v>1.0513999999999999</v>
      </c>
      <c r="AO332" s="35">
        <v>1.1776</v>
      </c>
      <c r="AQ332" s="197">
        <v>0.97199999999999998</v>
      </c>
      <c r="AR332" s="200">
        <v>14.08</v>
      </c>
      <c r="AS332" s="199">
        <v>971.4</v>
      </c>
      <c r="AZ332" s="197">
        <v>0.97199999999999998</v>
      </c>
      <c r="BA332" s="198">
        <v>8.0946999999999996</v>
      </c>
      <c r="BB332" s="199">
        <v>0.12354</v>
      </c>
      <c r="BD332" s="197">
        <v>0.97199999999999998</v>
      </c>
      <c r="BE332" s="198">
        <v>4.0473999999999997</v>
      </c>
      <c r="BF332" s="199">
        <v>0.16999</v>
      </c>
      <c r="BH332" s="197">
        <v>0.97199999999999998</v>
      </c>
      <c r="BI332" s="198">
        <v>247.07</v>
      </c>
      <c r="BJ332" s="199">
        <v>5.883</v>
      </c>
      <c r="BL332" s="197">
        <v>0.97199999999999998</v>
      </c>
      <c r="BM332" s="198">
        <v>3.6137000000000001</v>
      </c>
      <c r="BN332" s="199">
        <v>0.15178</v>
      </c>
      <c r="BP332" s="197">
        <v>0.97199999999999998</v>
      </c>
      <c r="BQ332" s="200">
        <v>276.72000000000003</v>
      </c>
      <c r="BR332" s="199">
        <v>6.5890000000000004</v>
      </c>
      <c r="BT332" s="197">
        <v>0.97199999999999998</v>
      </c>
      <c r="BU332" s="201">
        <v>0.93489999999999995</v>
      </c>
      <c r="BV332" s="202">
        <v>1.0470999999999999</v>
      </c>
      <c r="BX332" s="37">
        <v>972</v>
      </c>
      <c r="BY332" s="38">
        <v>0.97260000000000002</v>
      </c>
      <c r="BZ332" s="39">
        <v>13.99</v>
      </c>
      <c r="CA332" s="33"/>
      <c r="CB332" s="37">
        <v>972</v>
      </c>
      <c r="CC332" s="38">
        <v>0.15892999999999999</v>
      </c>
      <c r="CD332" s="42">
        <v>6.2919999999999998</v>
      </c>
      <c r="CE332" s="33"/>
      <c r="CF332" s="33"/>
      <c r="CG332" s="33"/>
      <c r="CH332" s="33"/>
      <c r="CI332" s="33"/>
      <c r="CJ332" s="33"/>
      <c r="CK332" s="33"/>
      <c r="CL332" s="40">
        <v>972</v>
      </c>
      <c r="CM332" s="43">
        <v>970.9</v>
      </c>
      <c r="CN332" s="41">
        <v>1.0299</v>
      </c>
      <c r="CO332" s="33"/>
      <c r="CP332" s="40">
        <v>972</v>
      </c>
      <c r="CQ332" s="34">
        <v>1.0703</v>
      </c>
      <c r="CR332" s="41">
        <v>0.9556</v>
      </c>
      <c r="CS332" s="33"/>
      <c r="CT332" s="40">
        <v>972</v>
      </c>
      <c r="CU332" s="44">
        <v>272.19</v>
      </c>
      <c r="CV332" s="42">
        <v>6.4809999999999999</v>
      </c>
    </row>
    <row r="333" spans="4:100">
      <c r="D333" s="30">
        <v>32.299999999999997</v>
      </c>
      <c r="E333" s="31">
        <v>0.8639</v>
      </c>
      <c r="F333" s="32">
        <v>863.4</v>
      </c>
      <c r="G333" s="33"/>
      <c r="H333" s="30">
        <v>32.299999999999997</v>
      </c>
      <c r="I333" s="34">
        <v>3.7837000000000001</v>
      </c>
      <c r="J333" s="35">
        <v>0.15892000000000001</v>
      </c>
      <c r="L333" s="30">
        <v>32.299999999999997</v>
      </c>
      <c r="M333" s="172">
        <v>7.1929999999999996</v>
      </c>
      <c r="N333" s="173">
        <v>0.13902</v>
      </c>
      <c r="P333" s="30">
        <v>32.299999999999997</v>
      </c>
      <c r="Q333" s="172">
        <v>3.5964999999999998</v>
      </c>
      <c r="R333" s="173">
        <v>0.15104999999999999</v>
      </c>
      <c r="T333" s="30">
        <v>32.299999999999997</v>
      </c>
      <c r="U333" s="172">
        <v>278.05000000000098</v>
      </c>
      <c r="V333" s="173">
        <v>6.62</v>
      </c>
      <c r="X333" s="30">
        <v>32.299999999999997</v>
      </c>
      <c r="Y333" s="34">
        <v>3.2111999999999998</v>
      </c>
      <c r="Z333" s="35">
        <v>0.13486999999999999</v>
      </c>
      <c r="AA333" s="36"/>
      <c r="AB333" s="30">
        <v>32.299999999999997</v>
      </c>
      <c r="AC333" s="44">
        <v>311.41000000000003</v>
      </c>
      <c r="AD333" s="35">
        <v>7.415</v>
      </c>
      <c r="AE333" s="36"/>
      <c r="AF333" s="30">
        <v>32.299999999999997</v>
      </c>
      <c r="AG333" s="34">
        <v>3.2627000000000002</v>
      </c>
      <c r="AH333" s="35">
        <v>0.13703000000000001</v>
      </c>
      <c r="AI333" s="35"/>
      <c r="AJ333" s="35">
        <v>0.12184</v>
      </c>
      <c r="AK333" s="998">
        <v>52.7</v>
      </c>
      <c r="AM333" s="30">
        <v>32.299999999999997</v>
      </c>
      <c r="AN333" s="34">
        <v>1.052</v>
      </c>
      <c r="AO333" s="35">
        <v>1.1782999999999999</v>
      </c>
      <c r="AQ333" s="197">
        <v>0.97299999999999998</v>
      </c>
      <c r="AR333" s="200">
        <v>13.93</v>
      </c>
      <c r="AS333" s="199">
        <v>972.4</v>
      </c>
      <c r="AZ333" s="197">
        <v>0.97299999999999998</v>
      </c>
      <c r="BA333" s="198">
        <v>8.1030999999999995</v>
      </c>
      <c r="BB333" s="199">
        <v>0.12341000000000001</v>
      </c>
      <c r="BD333" s="197">
        <v>0.97299999999999998</v>
      </c>
      <c r="BE333" s="198">
        <v>4.0514999999999999</v>
      </c>
      <c r="BF333" s="199">
        <v>0.17016000000000001</v>
      </c>
      <c r="BH333" s="197">
        <v>0.97299999999999998</v>
      </c>
      <c r="BI333" s="198">
        <v>246.82</v>
      </c>
      <c r="BJ333" s="199">
        <v>5.8769999999999998</v>
      </c>
      <c r="BL333" s="197">
        <v>0.97299999999999998</v>
      </c>
      <c r="BM333" s="198">
        <v>3.6173999999999999</v>
      </c>
      <c r="BN333" s="199">
        <v>0.15193000000000001</v>
      </c>
      <c r="BP333" s="197">
        <v>0.97299999999999998</v>
      </c>
      <c r="BQ333" s="200">
        <v>276.44</v>
      </c>
      <c r="BR333" s="199">
        <v>6.5819999999999999</v>
      </c>
      <c r="BT333" s="197">
        <v>0.97299999999999998</v>
      </c>
      <c r="BU333" s="201">
        <v>0.93400000000000005</v>
      </c>
      <c r="BV333" s="202">
        <v>1.046</v>
      </c>
      <c r="BX333" s="37">
        <v>973</v>
      </c>
      <c r="BY333" s="38">
        <v>0.97360000000000002</v>
      </c>
      <c r="BZ333" s="39">
        <v>13.84</v>
      </c>
      <c r="CA333" s="33"/>
      <c r="CB333" s="37">
        <v>973</v>
      </c>
      <c r="CC333" s="38">
        <v>0.15892999999999999</v>
      </c>
      <c r="CD333" s="42">
        <v>6.2919999999999998</v>
      </c>
      <c r="CE333" s="33"/>
      <c r="CF333" s="33"/>
      <c r="CG333" s="33"/>
      <c r="CH333" s="33"/>
      <c r="CI333" s="33"/>
      <c r="CJ333" s="33"/>
      <c r="CK333" s="33"/>
      <c r="CL333" s="40">
        <v>973</v>
      </c>
      <c r="CM333" s="43">
        <v>971.9</v>
      </c>
      <c r="CN333" s="41">
        <v>1.0288999999999999</v>
      </c>
      <c r="CO333" s="33"/>
      <c r="CP333" s="40">
        <v>973</v>
      </c>
      <c r="CQ333" s="34">
        <v>1.0713999999999999</v>
      </c>
      <c r="CR333" s="41">
        <v>0.95660000000000001</v>
      </c>
      <c r="CS333" s="33"/>
      <c r="CT333" s="40">
        <v>973</v>
      </c>
      <c r="CU333" s="44">
        <v>271.91000000000003</v>
      </c>
      <c r="CV333" s="42">
        <v>6.4740000000000002</v>
      </c>
    </row>
    <row r="334" spans="4:100">
      <c r="D334" s="30">
        <v>32.4</v>
      </c>
      <c r="E334" s="31">
        <v>0.86329999999999996</v>
      </c>
      <c r="F334" s="32">
        <v>862.9</v>
      </c>
      <c r="G334" s="33"/>
      <c r="H334" s="30">
        <v>32.4</v>
      </c>
      <c r="I334" s="34">
        <v>3.7837000000000001</v>
      </c>
      <c r="J334" s="35">
        <v>0.15892000000000001</v>
      </c>
      <c r="L334" s="30">
        <v>32.4</v>
      </c>
      <c r="M334" s="172">
        <v>7.1890000000000001</v>
      </c>
      <c r="N334" s="173">
        <v>0.13911000000000001</v>
      </c>
      <c r="P334" s="30">
        <v>32.4</v>
      </c>
      <c r="Q334" s="172">
        <v>3.5943000000000001</v>
      </c>
      <c r="R334" s="173">
        <v>0.15096000000000001</v>
      </c>
      <c r="T334" s="30">
        <v>32.4</v>
      </c>
      <c r="U334" s="172">
        <v>278.22000000000202</v>
      </c>
      <c r="V334" s="173">
        <v>6.6239999999999997</v>
      </c>
      <c r="X334" s="30">
        <v>32.4</v>
      </c>
      <c r="Y334" s="34">
        <v>3.2092000000000001</v>
      </c>
      <c r="Z334" s="35">
        <v>0.13478999999999999</v>
      </c>
      <c r="AA334" s="36"/>
      <c r="AB334" s="30">
        <v>32.4</v>
      </c>
      <c r="AC334" s="44">
        <v>311.60000000000002</v>
      </c>
      <c r="AD334" s="35">
        <v>7.4189999999999996</v>
      </c>
      <c r="AE334" s="36"/>
      <c r="AF334" s="30">
        <v>32.4</v>
      </c>
      <c r="AG334" s="34">
        <v>3.2606999999999999</v>
      </c>
      <c r="AH334" s="35">
        <v>0.13694999999999999</v>
      </c>
      <c r="AI334" s="35"/>
      <c r="AJ334" s="35">
        <v>0.12189999999999999</v>
      </c>
      <c r="AK334" s="998">
        <v>52.6</v>
      </c>
      <c r="AM334" s="30">
        <v>32.4</v>
      </c>
      <c r="AN334" s="34">
        <v>1.0527</v>
      </c>
      <c r="AO334" s="35">
        <v>1.179</v>
      </c>
      <c r="AQ334" s="197">
        <v>0.97399999999999998</v>
      </c>
      <c r="AR334" s="200">
        <v>13.78</v>
      </c>
      <c r="AS334" s="199">
        <v>973.4</v>
      </c>
      <c r="AZ334" s="197">
        <v>0.97399999999999998</v>
      </c>
      <c r="BA334" s="198">
        <v>8.1113999999999997</v>
      </c>
      <c r="BB334" s="199">
        <v>0.12328</v>
      </c>
      <c r="BD334" s="197">
        <v>0.97399999999999998</v>
      </c>
      <c r="BE334" s="198">
        <v>4.0556999999999999</v>
      </c>
      <c r="BF334" s="199">
        <v>0.17033999999999999</v>
      </c>
      <c r="BH334" s="197">
        <v>0.97399999999999998</v>
      </c>
      <c r="BI334" s="198">
        <v>246.57</v>
      </c>
      <c r="BJ334" s="199">
        <v>5.8710000000000004</v>
      </c>
      <c r="BL334" s="197">
        <v>0.97399999999999998</v>
      </c>
      <c r="BM334" s="198">
        <v>3.6212</v>
      </c>
      <c r="BN334" s="199">
        <v>0.15209</v>
      </c>
      <c r="BP334" s="197">
        <v>0.97399999999999998</v>
      </c>
      <c r="BQ334" s="200">
        <v>276.14999999999998</v>
      </c>
      <c r="BR334" s="199">
        <v>6.5750000000000002</v>
      </c>
      <c r="BT334" s="197">
        <v>0.97399999999999998</v>
      </c>
      <c r="BU334" s="201">
        <v>0.93300000000000005</v>
      </c>
      <c r="BV334" s="202">
        <v>1.0449999999999999</v>
      </c>
      <c r="BX334" s="37">
        <v>974</v>
      </c>
      <c r="BY334" s="38">
        <v>0.97460000000000002</v>
      </c>
      <c r="BZ334" s="39">
        <v>13.69</v>
      </c>
      <c r="CA334" s="33"/>
      <c r="CB334" s="37">
        <v>974</v>
      </c>
      <c r="CC334" s="38">
        <v>0.15892999999999999</v>
      </c>
      <c r="CD334" s="42">
        <v>6.2919999999999998</v>
      </c>
      <c r="CE334" s="33"/>
      <c r="CF334" s="33"/>
      <c r="CG334" s="33"/>
      <c r="CH334" s="33"/>
      <c r="CI334" s="33"/>
      <c r="CJ334" s="33"/>
      <c r="CK334" s="33"/>
      <c r="CL334" s="40">
        <v>974</v>
      </c>
      <c r="CM334" s="43">
        <v>972.9</v>
      </c>
      <c r="CN334" s="41">
        <v>1.0278</v>
      </c>
      <c r="CO334" s="33"/>
      <c r="CP334" s="40">
        <v>974</v>
      </c>
      <c r="CQ334" s="34">
        <v>1.0725</v>
      </c>
      <c r="CR334" s="41">
        <v>0.95760000000000001</v>
      </c>
      <c r="CS334" s="33"/>
      <c r="CT334" s="40">
        <v>974</v>
      </c>
      <c r="CU334" s="44">
        <v>271.63</v>
      </c>
      <c r="CV334" s="42">
        <v>6.4669999999999996</v>
      </c>
    </row>
    <row r="335" spans="4:100">
      <c r="D335" s="30">
        <v>32.5</v>
      </c>
      <c r="E335" s="31">
        <v>0.86280000000000001</v>
      </c>
      <c r="F335" s="32">
        <v>862.3</v>
      </c>
      <c r="G335" s="33"/>
      <c r="H335" s="30">
        <v>32.5</v>
      </c>
      <c r="I335" s="34">
        <v>3.7837000000000001</v>
      </c>
      <c r="J335" s="35">
        <v>0.15892000000000001</v>
      </c>
      <c r="L335" s="30">
        <v>32.5</v>
      </c>
      <c r="M335" s="172">
        <v>7.1840000000000002</v>
      </c>
      <c r="N335" s="173">
        <v>0.13919000000000001</v>
      </c>
      <c r="P335" s="30">
        <v>32.5</v>
      </c>
      <c r="Q335" s="172">
        <v>3.5920999999999998</v>
      </c>
      <c r="R335" s="173">
        <v>0.15087</v>
      </c>
      <c r="T335" s="30">
        <v>32.5</v>
      </c>
      <c r="U335" s="172">
        <v>278.39000000000198</v>
      </c>
      <c r="V335" s="173">
        <v>6.6280000000000099</v>
      </c>
      <c r="X335" s="30">
        <v>32.5</v>
      </c>
      <c r="Y335" s="34">
        <v>3.2071999999999998</v>
      </c>
      <c r="Z335" s="35">
        <v>0.13469999999999999</v>
      </c>
      <c r="AA335" s="36"/>
      <c r="AB335" s="30">
        <v>32.5</v>
      </c>
      <c r="AC335" s="44">
        <v>311.79000000000002</v>
      </c>
      <c r="AD335" s="35">
        <v>7.4240000000000004</v>
      </c>
      <c r="AE335" s="36"/>
      <c r="AF335" s="30">
        <v>32.5</v>
      </c>
      <c r="AG335" s="34">
        <v>3.2587000000000002</v>
      </c>
      <c r="AH335" s="35">
        <v>0.13686999999999999</v>
      </c>
      <c r="AI335" s="35"/>
      <c r="AJ335" s="35">
        <v>0.12197</v>
      </c>
      <c r="AK335" s="998">
        <v>52.5</v>
      </c>
      <c r="AM335" s="30">
        <v>32.5</v>
      </c>
      <c r="AN335" s="34">
        <v>1.0532999999999999</v>
      </c>
      <c r="AO335" s="35">
        <v>1.1797</v>
      </c>
      <c r="AQ335" s="197">
        <v>0.97499999999999998</v>
      </c>
      <c r="AR335" s="200">
        <v>13.63</v>
      </c>
      <c r="AS335" s="199">
        <v>974.4</v>
      </c>
      <c r="AZ335" s="197">
        <v>0.97499999999999998</v>
      </c>
      <c r="BA335" s="198">
        <v>8.1197999999999997</v>
      </c>
      <c r="BB335" s="199">
        <v>0.12316000000000001</v>
      </c>
      <c r="BD335" s="197">
        <v>0.97499999999999998</v>
      </c>
      <c r="BE335" s="198">
        <v>4.0598999999999998</v>
      </c>
      <c r="BF335" s="199">
        <v>0.17050999999999999</v>
      </c>
      <c r="BH335" s="197">
        <v>0.97499999999999998</v>
      </c>
      <c r="BI335" s="198">
        <v>246.31</v>
      </c>
      <c r="BJ335" s="199">
        <v>5.8650000000000002</v>
      </c>
      <c r="BL335" s="197">
        <v>0.97499999999999998</v>
      </c>
      <c r="BM335" s="198">
        <v>3.6248999999999998</v>
      </c>
      <c r="BN335" s="199">
        <v>0.15225</v>
      </c>
      <c r="BP335" s="197">
        <v>0.97499999999999998</v>
      </c>
      <c r="BQ335" s="200">
        <v>275.87</v>
      </c>
      <c r="BR335" s="199">
        <v>6.5679999999999996</v>
      </c>
      <c r="BT335" s="197">
        <v>0.97499999999999998</v>
      </c>
      <c r="BU335" s="201">
        <v>0.93200000000000005</v>
      </c>
      <c r="BV335" s="202">
        <v>1.0439000000000001</v>
      </c>
      <c r="BX335" s="37">
        <v>975</v>
      </c>
      <c r="BY335" s="38">
        <v>0.97560000000000002</v>
      </c>
      <c r="BZ335" s="39">
        <v>13.54</v>
      </c>
      <c r="CA335" s="33"/>
      <c r="CB335" s="37">
        <v>975</v>
      </c>
      <c r="CC335" s="38">
        <v>0.15892999999999999</v>
      </c>
      <c r="CD335" s="42">
        <v>6.2919999999999998</v>
      </c>
      <c r="CE335" s="33"/>
      <c r="CF335" s="33"/>
      <c r="CG335" s="33"/>
      <c r="CH335" s="33"/>
      <c r="CI335" s="33"/>
      <c r="CJ335" s="33"/>
      <c r="CK335" s="33"/>
      <c r="CL335" s="40">
        <v>975</v>
      </c>
      <c r="CM335" s="43">
        <v>973.9</v>
      </c>
      <c r="CN335" s="41">
        <v>1.0267999999999999</v>
      </c>
      <c r="CO335" s="33"/>
      <c r="CP335" s="40">
        <v>975</v>
      </c>
      <c r="CQ335" s="34">
        <v>1.0736000000000001</v>
      </c>
      <c r="CR335" s="41">
        <v>0.95850000000000002</v>
      </c>
      <c r="CS335" s="33"/>
      <c r="CT335" s="40">
        <v>975</v>
      </c>
      <c r="CU335" s="44">
        <v>271.35000000000002</v>
      </c>
      <c r="CV335" s="42">
        <v>6.4610000000000003</v>
      </c>
    </row>
    <row r="336" spans="4:100">
      <c r="D336" s="30">
        <v>32.6</v>
      </c>
      <c r="E336" s="31">
        <v>0.86229999999999996</v>
      </c>
      <c r="F336" s="32">
        <v>861.8</v>
      </c>
      <c r="G336" s="33"/>
      <c r="H336" s="30">
        <v>32.6</v>
      </c>
      <c r="I336" s="34">
        <v>3.7837000000000001</v>
      </c>
      <c r="J336" s="35">
        <v>0.15892000000000001</v>
      </c>
      <c r="L336" s="30">
        <v>32.6</v>
      </c>
      <c r="M336" s="172">
        <v>7.18</v>
      </c>
      <c r="N336" s="173">
        <v>0.13927999999999999</v>
      </c>
      <c r="P336" s="30">
        <v>32.6</v>
      </c>
      <c r="Q336" s="172">
        <v>3.5899000000000001</v>
      </c>
      <c r="R336" s="173">
        <v>0.15078</v>
      </c>
      <c r="T336" s="30">
        <v>32.6</v>
      </c>
      <c r="U336" s="172">
        <v>278.56000000000199</v>
      </c>
      <c r="V336" s="173">
        <v>6.6320000000000103</v>
      </c>
      <c r="X336" s="30">
        <v>32.6</v>
      </c>
      <c r="Y336" s="34">
        <v>3.2052999999999998</v>
      </c>
      <c r="Z336" s="35">
        <v>0.13461999999999999</v>
      </c>
      <c r="AA336" s="36"/>
      <c r="AB336" s="30">
        <v>32.6</v>
      </c>
      <c r="AC336" s="44">
        <v>311.98</v>
      </c>
      <c r="AD336" s="35">
        <v>7.4279999999999999</v>
      </c>
      <c r="AE336" s="36"/>
      <c r="AF336" s="30">
        <v>32.6</v>
      </c>
      <c r="AG336" s="34">
        <v>3.2566999999999999</v>
      </c>
      <c r="AH336" s="35">
        <v>0.13678000000000001</v>
      </c>
      <c r="AI336" s="35"/>
      <c r="AJ336" s="35">
        <v>0.12203</v>
      </c>
      <c r="AK336" s="998">
        <v>52.4</v>
      </c>
      <c r="AM336" s="30">
        <v>32.6</v>
      </c>
      <c r="AN336" s="34">
        <v>1.054</v>
      </c>
      <c r="AO336" s="35">
        <v>1.1805000000000001</v>
      </c>
      <c r="AQ336" s="197">
        <v>0.97599999999999998</v>
      </c>
      <c r="AR336" s="200">
        <v>13.48</v>
      </c>
      <c r="AS336" s="199">
        <v>975.4</v>
      </c>
      <c r="AZ336" s="197">
        <v>0.97599999999999998</v>
      </c>
      <c r="BA336" s="198">
        <v>8.1280999999999999</v>
      </c>
      <c r="BB336" s="199">
        <v>0.12303</v>
      </c>
      <c r="BD336" s="197">
        <v>0.97599999999999998</v>
      </c>
      <c r="BE336" s="198">
        <v>4.0640000000000001</v>
      </c>
      <c r="BF336" s="199">
        <v>0.17069000000000001</v>
      </c>
      <c r="BH336" s="197">
        <v>0.97599999999999998</v>
      </c>
      <c r="BI336" s="198">
        <v>246.06</v>
      </c>
      <c r="BJ336" s="199">
        <v>5.859</v>
      </c>
      <c r="BL336" s="197">
        <v>0.97599999999999998</v>
      </c>
      <c r="BM336" s="198">
        <v>3.6286</v>
      </c>
      <c r="BN336" s="199">
        <v>0.15240000000000001</v>
      </c>
      <c r="BP336" s="197">
        <v>0.97599999999999998</v>
      </c>
      <c r="BQ336" s="200">
        <v>275.58999999999997</v>
      </c>
      <c r="BR336" s="199">
        <v>6.5620000000000003</v>
      </c>
      <c r="BT336" s="197">
        <v>0.97599999999999998</v>
      </c>
      <c r="BU336" s="201">
        <v>0.93110000000000004</v>
      </c>
      <c r="BV336" s="202">
        <v>1.0427999999999999</v>
      </c>
      <c r="BX336" s="37">
        <v>976</v>
      </c>
      <c r="BY336" s="38">
        <v>0.97660000000000002</v>
      </c>
      <c r="BZ336" s="39">
        <v>13.39</v>
      </c>
      <c r="CA336" s="33"/>
      <c r="CB336" s="37">
        <v>976</v>
      </c>
      <c r="CC336" s="38">
        <v>0.15892999999999999</v>
      </c>
      <c r="CD336" s="42">
        <v>6.2919999999999998</v>
      </c>
      <c r="CE336" s="33"/>
      <c r="CF336" s="33"/>
      <c r="CG336" s="33"/>
      <c r="CH336" s="33"/>
      <c r="CI336" s="33"/>
      <c r="CJ336" s="33"/>
      <c r="CK336" s="33"/>
      <c r="CL336" s="40">
        <v>976</v>
      </c>
      <c r="CM336" s="43">
        <v>974.9</v>
      </c>
      <c r="CN336" s="41">
        <v>1.0257000000000001</v>
      </c>
      <c r="CO336" s="33"/>
      <c r="CP336" s="40">
        <v>976</v>
      </c>
      <c r="CQ336" s="34">
        <v>1.0747</v>
      </c>
      <c r="CR336" s="41" t="s">
        <v>37</v>
      </c>
      <c r="CS336" s="33"/>
      <c r="CT336" s="40">
        <v>976</v>
      </c>
      <c r="CU336" s="44">
        <v>271.07</v>
      </c>
      <c r="CV336" s="42">
        <v>6.4539999999999997</v>
      </c>
    </row>
    <row r="337" spans="4:100">
      <c r="D337" s="30">
        <v>32.700000000000003</v>
      </c>
      <c r="E337" s="31">
        <v>0.86180000000000001</v>
      </c>
      <c r="F337" s="32">
        <v>861.3</v>
      </c>
      <c r="G337" s="33"/>
      <c r="H337" s="30">
        <v>32.700000000000003</v>
      </c>
      <c r="I337" s="34">
        <v>3.7837000000000001</v>
      </c>
      <c r="J337" s="35">
        <v>0.15892000000000001</v>
      </c>
      <c r="L337" s="30">
        <v>32.700000000000003</v>
      </c>
      <c r="M337" s="172">
        <v>7.1749999999999998</v>
      </c>
      <c r="N337" s="173">
        <v>0.13936000000000001</v>
      </c>
      <c r="P337" s="30">
        <v>32.700000000000003</v>
      </c>
      <c r="Q337" s="172">
        <v>3.5876999999999999</v>
      </c>
      <c r="R337" s="173">
        <v>0.15068000000000001</v>
      </c>
      <c r="T337" s="30">
        <v>32.700000000000003</v>
      </c>
      <c r="U337" s="172">
        <v>278.73000000000098</v>
      </c>
      <c r="V337" s="173">
        <v>6.6360000000000303</v>
      </c>
      <c r="X337" s="30">
        <v>32.700000000000003</v>
      </c>
      <c r="Y337" s="34">
        <v>3.2033</v>
      </c>
      <c r="Z337" s="35">
        <v>0.13453999999999999</v>
      </c>
      <c r="AA337" s="36"/>
      <c r="AB337" s="30">
        <v>32.700000000000003</v>
      </c>
      <c r="AC337" s="44">
        <v>312.17</v>
      </c>
      <c r="AD337" s="35">
        <v>7.4329999999999998</v>
      </c>
      <c r="AE337" s="36"/>
      <c r="AF337" s="30">
        <v>32.700000000000003</v>
      </c>
      <c r="AG337" s="34">
        <v>3.2547000000000001</v>
      </c>
      <c r="AH337" s="35">
        <v>0.13669999999999999</v>
      </c>
      <c r="AI337" s="35"/>
      <c r="AJ337" s="35">
        <v>0.1221</v>
      </c>
      <c r="AK337" s="998">
        <v>52.3</v>
      </c>
      <c r="AM337" s="30">
        <v>32.700000000000003</v>
      </c>
      <c r="AN337" s="34">
        <v>1.0546</v>
      </c>
      <c r="AO337" s="35">
        <v>1.1812</v>
      </c>
      <c r="AQ337" s="197">
        <v>0.97699999999999998</v>
      </c>
      <c r="AR337" s="200">
        <v>13.33</v>
      </c>
      <c r="AS337" s="199">
        <v>976.4</v>
      </c>
      <c r="AZ337" s="197">
        <v>0.97699999999999998</v>
      </c>
      <c r="BA337" s="198">
        <v>8.1364000000000001</v>
      </c>
      <c r="BB337" s="199">
        <v>0.1229</v>
      </c>
      <c r="BD337" s="197">
        <v>0.97699999999999998</v>
      </c>
      <c r="BE337" s="198">
        <v>4.0682</v>
      </c>
      <c r="BF337" s="199">
        <v>0.17086000000000001</v>
      </c>
      <c r="BH337" s="197">
        <v>0.97699999999999998</v>
      </c>
      <c r="BI337" s="198">
        <v>245.81</v>
      </c>
      <c r="BJ337" s="199">
        <v>5.8529999999999998</v>
      </c>
      <c r="BL337" s="197">
        <v>0.97699999999999998</v>
      </c>
      <c r="BM337" s="198">
        <v>3.6322999999999999</v>
      </c>
      <c r="BN337" s="199">
        <v>0.15256</v>
      </c>
      <c r="BP337" s="197">
        <v>0.97699999999999998</v>
      </c>
      <c r="BQ337" s="200">
        <v>275.31</v>
      </c>
      <c r="BR337" s="199">
        <v>6.5549999999999997</v>
      </c>
      <c r="BT337" s="197">
        <v>0.97699999999999998</v>
      </c>
      <c r="BU337" s="201">
        <v>0.93010000000000004</v>
      </c>
      <c r="BV337" s="202">
        <v>1.0417000000000001</v>
      </c>
      <c r="BX337" s="37">
        <v>977</v>
      </c>
      <c r="BY337" s="38">
        <v>0.97760000000000002</v>
      </c>
      <c r="BZ337" s="39">
        <v>13.24</v>
      </c>
      <c r="CA337" s="33"/>
      <c r="CB337" s="37">
        <v>977</v>
      </c>
      <c r="CC337" s="38">
        <v>0.15892999999999999</v>
      </c>
      <c r="CD337" s="42">
        <v>6.2919999999999998</v>
      </c>
      <c r="CE337" s="33"/>
      <c r="CF337" s="33"/>
      <c r="CG337" s="33"/>
      <c r="CH337" s="33"/>
      <c r="CI337" s="33"/>
      <c r="CJ337" s="33"/>
      <c r="CK337" s="33"/>
      <c r="CL337" s="40">
        <v>977</v>
      </c>
      <c r="CM337" s="43">
        <v>975.9</v>
      </c>
      <c r="CN337" s="41">
        <v>1.0246999999999999</v>
      </c>
      <c r="CO337" s="33"/>
      <c r="CP337" s="40">
        <v>977</v>
      </c>
      <c r="CQ337" s="34">
        <v>1.0758000000000001</v>
      </c>
      <c r="CR337" s="41">
        <v>0.96050000000000002</v>
      </c>
      <c r="CS337" s="33"/>
      <c r="CT337" s="40">
        <v>977</v>
      </c>
      <c r="CU337" s="44">
        <v>270.79000000000002</v>
      </c>
      <c r="CV337" s="42">
        <v>6.4470000000000001</v>
      </c>
    </row>
    <row r="338" spans="4:100">
      <c r="D338" s="30">
        <v>32.799999999999997</v>
      </c>
      <c r="E338" s="31">
        <v>0.86119999999999997</v>
      </c>
      <c r="F338" s="32">
        <v>860.8</v>
      </c>
      <c r="G338" s="33"/>
      <c r="H338" s="30">
        <v>32.799999999999997</v>
      </c>
      <c r="I338" s="34">
        <v>3.7837000000000001</v>
      </c>
      <c r="J338" s="35">
        <v>0.15892000000000001</v>
      </c>
      <c r="L338" s="30">
        <v>32.799999999999997</v>
      </c>
      <c r="M338" s="172">
        <v>7.1710000000000003</v>
      </c>
      <c r="N338" s="173">
        <v>0.13944999999999999</v>
      </c>
      <c r="P338" s="30">
        <v>32.799999999999997</v>
      </c>
      <c r="Q338" s="172">
        <v>3.5855000000000001</v>
      </c>
      <c r="R338" s="173">
        <v>0.15059</v>
      </c>
      <c r="T338" s="30">
        <v>32.799999999999997</v>
      </c>
      <c r="U338" s="172">
        <v>278.90000000000202</v>
      </c>
      <c r="V338" s="173">
        <v>6.6400000000000396</v>
      </c>
      <c r="X338" s="30">
        <v>32.799999999999997</v>
      </c>
      <c r="Y338" s="34">
        <v>3.2014</v>
      </c>
      <c r="Z338" s="35">
        <v>0.13446</v>
      </c>
      <c r="AA338" s="36"/>
      <c r="AB338" s="30">
        <v>32.799999999999997</v>
      </c>
      <c r="AC338" s="44">
        <v>312.37</v>
      </c>
      <c r="AD338" s="35">
        <v>7.4370000000000003</v>
      </c>
      <c r="AE338" s="36"/>
      <c r="AF338" s="30">
        <v>32.799999999999997</v>
      </c>
      <c r="AG338" s="34">
        <v>3.2528000000000001</v>
      </c>
      <c r="AH338" s="35">
        <v>0.13661999999999999</v>
      </c>
      <c r="AI338" s="35"/>
      <c r="AJ338" s="35">
        <v>0.12217</v>
      </c>
      <c r="AK338" s="998">
        <v>52.2</v>
      </c>
      <c r="AM338" s="30">
        <v>32.799999999999997</v>
      </c>
      <c r="AN338" s="34">
        <v>1.0552999999999999</v>
      </c>
      <c r="AO338" s="35">
        <v>1.1819</v>
      </c>
      <c r="AQ338" s="197">
        <v>0.97799999999999998</v>
      </c>
      <c r="AR338" s="200">
        <v>13.18</v>
      </c>
      <c r="AS338" s="199">
        <v>977.4</v>
      </c>
      <c r="AZ338" s="197">
        <v>0.97799999999999998</v>
      </c>
      <c r="BA338" s="198">
        <v>8.1448</v>
      </c>
      <c r="BB338" s="199">
        <v>0.12278</v>
      </c>
      <c r="BD338" s="197">
        <v>0.97799999999999998</v>
      </c>
      <c r="BE338" s="198">
        <v>4.0724</v>
      </c>
      <c r="BF338" s="199">
        <v>0.17104</v>
      </c>
      <c r="BH338" s="197">
        <v>0.97799999999999998</v>
      </c>
      <c r="BI338" s="198">
        <v>245.56</v>
      </c>
      <c r="BJ338" s="199">
        <v>5.8470000000000004</v>
      </c>
      <c r="BL338" s="197">
        <v>0.97799999999999998</v>
      </c>
      <c r="BM338" s="198">
        <v>3.6360999999999999</v>
      </c>
      <c r="BN338" s="199">
        <v>0.15271000000000001</v>
      </c>
      <c r="BP338" s="197">
        <v>0.97799999999999998</v>
      </c>
      <c r="BQ338" s="200">
        <v>275.02</v>
      </c>
      <c r="BR338" s="199">
        <v>6.548</v>
      </c>
      <c r="BT338" s="197">
        <v>0.97799999999999998</v>
      </c>
      <c r="BU338" s="201">
        <v>0.92920000000000003</v>
      </c>
      <c r="BV338" s="202">
        <v>1.0407</v>
      </c>
      <c r="BX338" s="37">
        <v>978</v>
      </c>
      <c r="BY338" s="38">
        <v>0.97860000000000003</v>
      </c>
      <c r="BZ338" s="39">
        <v>13.1</v>
      </c>
      <c r="CA338" s="33"/>
      <c r="CB338" s="37">
        <v>978</v>
      </c>
      <c r="CC338" s="38">
        <v>0.15892999999999999</v>
      </c>
      <c r="CD338" s="42">
        <v>6.2919999999999998</v>
      </c>
      <c r="CE338" s="33"/>
      <c r="CF338" s="33"/>
      <c r="CG338" s="33"/>
      <c r="CH338" s="33"/>
      <c r="CI338" s="33"/>
      <c r="CJ338" s="33"/>
      <c r="CK338" s="33"/>
      <c r="CL338" s="40">
        <v>978</v>
      </c>
      <c r="CM338" s="43">
        <v>976.9</v>
      </c>
      <c r="CN338" s="41">
        <v>1.0236000000000001</v>
      </c>
      <c r="CO338" s="33"/>
      <c r="CP338" s="40">
        <v>978</v>
      </c>
      <c r="CQ338" s="34">
        <v>1.0769</v>
      </c>
      <c r="CR338" s="41">
        <v>0.96150000000000002</v>
      </c>
      <c r="CS338" s="33"/>
      <c r="CT338" s="40">
        <v>978</v>
      </c>
      <c r="CU338" s="44">
        <v>270.51</v>
      </c>
      <c r="CV338" s="42">
        <v>6.4409999999999998</v>
      </c>
    </row>
    <row r="339" spans="4:100">
      <c r="D339" s="30">
        <v>32.9</v>
      </c>
      <c r="E339" s="31">
        <v>0.86070000000000002</v>
      </c>
      <c r="F339" s="32">
        <v>860.2</v>
      </c>
      <c r="G339" s="33"/>
      <c r="H339" s="30">
        <v>32.9</v>
      </c>
      <c r="I339" s="34">
        <v>3.7837000000000001</v>
      </c>
      <c r="J339" s="35">
        <v>0.15892000000000001</v>
      </c>
      <c r="L339" s="30">
        <v>32.9</v>
      </c>
      <c r="M339" s="172">
        <v>7.1669999999999998</v>
      </c>
      <c r="N339" s="173">
        <v>0.13952999999999999</v>
      </c>
      <c r="P339" s="30">
        <v>32.9</v>
      </c>
      <c r="Q339" s="172">
        <v>3.5834000000000001</v>
      </c>
      <c r="R339" s="173">
        <v>0.15049999999999999</v>
      </c>
      <c r="T339" s="30">
        <v>32.9</v>
      </c>
      <c r="U339" s="172">
        <v>279.07000000000198</v>
      </c>
      <c r="V339" s="173">
        <v>6.6440000000000499</v>
      </c>
      <c r="X339" s="30">
        <v>32.9</v>
      </c>
      <c r="Y339" s="34">
        <v>3.1993999999999998</v>
      </c>
      <c r="Z339" s="35">
        <v>0.13438</v>
      </c>
      <c r="AA339" s="36"/>
      <c r="AB339" s="30">
        <v>32.9</v>
      </c>
      <c r="AC339" s="44">
        <v>312.56</v>
      </c>
      <c r="AD339" s="35">
        <v>7.4420000000000002</v>
      </c>
      <c r="AE339" s="36"/>
      <c r="AF339" s="30">
        <v>32.9</v>
      </c>
      <c r="AG339" s="34">
        <v>3.2507999999999999</v>
      </c>
      <c r="AH339" s="35">
        <v>0.13653000000000001</v>
      </c>
      <c r="AI339" s="35"/>
      <c r="AJ339" s="35">
        <v>0.12223000000000001</v>
      </c>
      <c r="AK339" s="998">
        <v>52.1</v>
      </c>
      <c r="AM339" s="30">
        <v>32.9</v>
      </c>
      <c r="AN339" s="34">
        <v>1.0559000000000001</v>
      </c>
      <c r="AO339" s="35">
        <v>1.1826000000000001</v>
      </c>
      <c r="AQ339" s="197">
        <v>0.97899999999999998</v>
      </c>
      <c r="AR339" s="200">
        <v>13.04</v>
      </c>
      <c r="AS339" s="199">
        <v>978.4</v>
      </c>
      <c r="AZ339" s="197">
        <v>0.97899999999999998</v>
      </c>
      <c r="BA339" s="198">
        <v>8.1531000000000002</v>
      </c>
      <c r="BB339" s="199">
        <v>0.12265</v>
      </c>
      <c r="BD339" s="197">
        <v>0.97899999999999998</v>
      </c>
      <c r="BE339" s="198">
        <v>4.0766</v>
      </c>
      <c r="BF339" s="199">
        <v>0.17122000000000001</v>
      </c>
      <c r="BH339" s="197">
        <v>0.97899999999999998</v>
      </c>
      <c r="BI339" s="198">
        <v>245.31</v>
      </c>
      <c r="BJ339" s="199">
        <v>5.8410000000000002</v>
      </c>
      <c r="BL339" s="197">
        <v>0.97899999999999998</v>
      </c>
      <c r="BM339" s="198">
        <v>3.6398000000000001</v>
      </c>
      <c r="BN339" s="199">
        <v>0.15287000000000001</v>
      </c>
      <c r="BP339" s="197">
        <v>0.97899999999999998</v>
      </c>
      <c r="BQ339" s="200">
        <v>274.74</v>
      </c>
      <c r="BR339" s="199">
        <v>6.5410000000000004</v>
      </c>
      <c r="BT339" s="197">
        <v>0.97899999999999998</v>
      </c>
      <c r="BU339" s="201">
        <v>0.92820000000000003</v>
      </c>
      <c r="BV339" s="202">
        <v>1.0396000000000001</v>
      </c>
      <c r="BX339" s="37">
        <v>979</v>
      </c>
      <c r="BY339" s="38">
        <v>0.97960000000000003</v>
      </c>
      <c r="BZ339" s="39">
        <v>12.95</v>
      </c>
      <c r="CA339" s="33"/>
      <c r="CB339" s="37">
        <v>979</v>
      </c>
      <c r="CC339" s="38">
        <v>0.15892999999999999</v>
      </c>
      <c r="CD339" s="42">
        <v>6.2919999999999998</v>
      </c>
      <c r="CE339" s="33"/>
      <c r="CF339" s="33"/>
      <c r="CG339" s="33"/>
      <c r="CH339" s="33"/>
      <c r="CI339" s="33"/>
      <c r="CJ339" s="33"/>
      <c r="CK339" s="33"/>
      <c r="CL339" s="40">
        <v>979</v>
      </c>
      <c r="CM339" s="43">
        <v>977.9</v>
      </c>
      <c r="CN339" s="41">
        <v>1.0226</v>
      </c>
      <c r="CO339" s="33"/>
      <c r="CP339" s="40">
        <v>979</v>
      </c>
      <c r="CQ339" s="34">
        <v>1.0780000000000001</v>
      </c>
      <c r="CR339" s="41">
        <v>0.96250000000000002</v>
      </c>
      <c r="CS339" s="33"/>
      <c r="CT339" s="40">
        <v>979</v>
      </c>
      <c r="CU339" s="44">
        <v>270.24</v>
      </c>
      <c r="CV339" s="42">
        <v>6.4340000000000002</v>
      </c>
    </row>
    <row r="340" spans="4:100">
      <c r="D340" s="30">
        <v>33</v>
      </c>
      <c r="E340" s="31">
        <v>0.86019999999999996</v>
      </c>
      <c r="F340" s="32">
        <v>859.7</v>
      </c>
      <c r="G340" s="33"/>
      <c r="H340" s="30">
        <v>33</v>
      </c>
      <c r="I340" s="34">
        <v>3.7837000000000001</v>
      </c>
      <c r="J340" s="35">
        <v>0.15892000000000001</v>
      </c>
      <c r="L340" s="30">
        <v>33</v>
      </c>
      <c r="M340" s="172">
        <v>7.1619999999999999</v>
      </c>
      <c r="N340" s="173">
        <v>0.13961999999999999</v>
      </c>
      <c r="P340" s="30">
        <v>33</v>
      </c>
      <c r="Q340" s="172">
        <v>3.5811999999999999</v>
      </c>
      <c r="R340" s="173">
        <v>0.15040999999999999</v>
      </c>
      <c r="T340" s="30">
        <v>33</v>
      </c>
      <c r="U340" s="172">
        <v>279.240000000002</v>
      </c>
      <c r="V340" s="173">
        <v>6.649</v>
      </c>
      <c r="X340" s="30">
        <v>33</v>
      </c>
      <c r="Y340" s="34">
        <v>3.1974999999999998</v>
      </c>
      <c r="Z340" s="35">
        <v>0.13428999999999999</v>
      </c>
      <c r="AA340" s="36"/>
      <c r="AB340" s="30">
        <v>33</v>
      </c>
      <c r="AC340" s="44">
        <v>312.75</v>
      </c>
      <c r="AD340" s="35">
        <v>7.4459999999999997</v>
      </c>
      <c r="AE340" s="36"/>
      <c r="AF340" s="30">
        <v>33</v>
      </c>
      <c r="AG340" s="34">
        <v>3.2488000000000001</v>
      </c>
      <c r="AH340" s="35">
        <v>0.13644999999999999</v>
      </c>
      <c r="AI340" s="35"/>
      <c r="AJ340" s="35">
        <v>0.12230000000000001</v>
      </c>
      <c r="AK340" s="998">
        <v>52</v>
      </c>
      <c r="AM340" s="30">
        <v>33</v>
      </c>
      <c r="AN340" s="34">
        <v>1.0565</v>
      </c>
      <c r="AO340" s="35">
        <v>1.1833</v>
      </c>
      <c r="AQ340" s="197">
        <v>0.98</v>
      </c>
      <c r="AR340" s="200">
        <v>12.89</v>
      </c>
      <c r="AS340" s="199">
        <v>979.4</v>
      </c>
      <c r="AZ340" s="197">
        <v>0.98</v>
      </c>
      <c r="BA340" s="198">
        <v>8.1614000000000004</v>
      </c>
      <c r="BB340" s="199">
        <v>0.12253</v>
      </c>
      <c r="BD340" s="197">
        <v>0.98</v>
      </c>
      <c r="BE340" s="198">
        <v>4.0807000000000002</v>
      </c>
      <c r="BF340" s="199">
        <v>0.17138999999999999</v>
      </c>
      <c r="BH340" s="197">
        <v>0.98</v>
      </c>
      <c r="BI340" s="198">
        <v>245.05</v>
      </c>
      <c r="BJ340" s="199">
        <v>5.835</v>
      </c>
      <c r="BL340" s="197">
        <v>0.98</v>
      </c>
      <c r="BM340" s="198">
        <v>3.6435</v>
      </c>
      <c r="BN340" s="199">
        <v>0.15303</v>
      </c>
      <c r="BP340" s="197">
        <v>0.98</v>
      </c>
      <c r="BQ340" s="200">
        <v>274.45999999999998</v>
      </c>
      <c r="BR340" s="199">
        <v>6.5350000000000001</v>
      </c>
      <c r="BT340" s="197">
        <v>0.98</v>
      </c>
      <c r="BU340" s="201">
        <v>0.92730000000000001</v>
      </c>
      <c r="BV340" s="202">
        <v>1.0385</v>
      </c>
      <c r="BX340" s="37">
        <v>980</v>
      </c>
      <c r="BY340" s="38">
        <v>0.98060000000000003</v>
      </c>
      <c r="BZ340" s="39">
        <v>12.8</v>
      </c>
      <c r="CA340" s="33"/>
      <c r="CB340" s="37">
        <v>980</v>
      </c>
      <c r="CC340" s="38">
        <v>0.15892999999999999</v>
      </c>
      <c r="CD340" s="42">
        <v>6.2919999999999998</v>
      </c>
      <c r="CE340" s="33"/>
      <c r="CF340" s="33"/>
      <c r="CG340" s="33"/>
      <c r="CH340" s="33"/>
      <c r="CI340" s="33"/>
      <c r="CJ340" s="33"/>
      <c r="CK340" s="33"/>
      <c r="CL340" s="40">
        <v>980</v>
      </c>
      <c r="CM340" s="43">
        <v>978.9</v>
      </c>
      <c r="CN340" s="41">
        <v>1.0215000000000001</v>
      </c>
      <c r="CO340" s="33"/>
      <c r="CP340" s="40">
        <v>980</v>
      </c>
      <c r="CQ340" s="34">
        <v>1.0790999999999999</v>
      </c>
      <c r="CR340" s="41">
        <v>0.96350000000000002</v>
      </c>
      <c r="CS340" s="33"/>
      <c r="CT340" s="40">
        <v>980</v>
      </c>
      <c r="CU340" s="44">
        <v>269.95999999999998</v>
      </c>
      <c r="CV340" s="42">
        <v>6.4279999999999999</v>
      </c>
    </row>
    <row r="341" spans="4:100">
      <c r="D341" s="30">
        <v>33.1</v>
      </c>
      <c r="E341" s="31">
        <v>0.85970000000000002</v>
      </c>
      <c r="F341" s="32">
        <v>859.2</v>
      </c>
      <c r="G341" s="33"/>
      <c r="H341" s="30">
        <v>33.1</v>
      </c>
      <c r="I341" s="34">
        <v>3.7837000000000001</v>
      </c>
      <c r="J341" s="35">
        <v>0.15892000000000001</v>
      </c>
      <c r="L341" s="30">
        <v>33.1</v>
      </c>
      <c r="M341" s="172">
        <v>7.1580000000000004</v>
      </c>
      <c r="N341" s="173">
        <v>0.13969999999999999</v>
      </c>
      <c r="P341" s="30">
        <v>33.1</v>
      </c>
      <c r="Q341" s="172">
        <v>3.5790000000000002</v>
      </c>
      <c r="R341" s="173">
        <v>0.15032000000000001</v>
      </c>
      <c r="T341" s="30">
        <v>33.1</v>
      </c>
      <c r="U341" s="172">
        <v>279.41000000000201</v>
      </c>
      <c r="V341" s="173">
        <v>6.6529999999999996</v>
      </c>
      <c r="X341" s="30">
        <v>33.1</v>
      </c>
      <c r="Y341" s="34">
        <v>3.1955</v>
      </c>
      <c r="Z341" s="35">
        <v>0.13421</v>
      </c>
      <c r="AA341" s="36"/>
      <c r="AB341" s="30">
        <v>33.1</v>
      </c>
      <c r="AC341" s="44">
        <v>312.94</v>
      </c>
      <c r="AD341" s="35">
        <v>7.4509999999999996</v>
      </c>
      <c r="AE341" s="36"/>
      <c r="AF341" s="30">
        <v>33.1</v>
      </c>
      <c r="AG341" s="34">
        <v>3.2467999999999999</v>
      </c>
      <c r="AH341" s="35">
        <v>0.13636999999999999</v>
      </c>
      <c r="AI341" s="35"/>
      <c r="AJ341" s="35">
        <v>0.12237000000000001</v>
      </c>
      <c r="AK341" s="998">
        <v>51.9</v>
      </c>
      <c r="AM341" s="30">
        <v>33.1</v>
      </c>
      <c r="AN341" s="34">
        <v>1.0571999999999999</v>
      </c>
      <c r="AO341" s="35">
        <v>1.1840999999999999</v>
      </c>
      <c r="AQ341" s="197">
        <v>0.98099999999999998</v>
      </c>
      <c r="AR341" s="200">
        <v>12.74</v>
      </c>
      <c r="AS341" s="199">
        <v>980.4</v>
      </c>
      <c r="AZ341" s="197">
        <v>0.98099999999999998</v>
      </c>
      <c r="BA341" s="198">
        <v>8.1698000000000004</v>
      </c>
      <c r="BB341" s="199">
        <v>0.12239999999999999</v>
      </c>
      <c r="BD341" s="197">
        <v>0.98099999999999998</v>
      </c>
      <c r="BE341" s="198">
        <v>4.0849000000000002</v>
      </c>
      <c r="BF341" s="199">
        <v>0.17157</v>
      </c>
      <c r="BH341" s="197">
        <v>0.98099999999999998</v>
      </c>
      <c r="BI341" s="198">
        <v>244.8</v>
      </c>
      <c r="BJ341" s="199">
        <v>5.8289999999999997</v>
      </c>
      <c r="BL341" s="197">
        <v>0.98099999999999998</v>
      </c>
      <c r="BM341" s="198">
        <v>3.6472000000000002</v>
      </c>
      <c r="BN341" s="199">
        <v>0.15318000000000001</v>
      </c>
      <c r="BP341" s="197">
        <v>0.98099999999999998</v>
      </c>
      <c r="BQ341" s="200">
        <v>274.18</v>
      </c>
      <c r="BR341" s="199">
        <v>6.5279999999999996</v>
      </c>
      <c r="BT341" s="197">
        <v>0.98099999999999998</v>
      </c>
      <c r="BU341" s="201">
        <v>0.92630000000000001</v>
      </c>
      <c r="BV341" s="202">
        <v>1.0375000000000001</v>
      </c>
      <c r="BX341" s="37">
        <v>981</v>
      </c>
      <c r="BY341" s="38">
        <v>0.98160000000000003</v>
      </c>
      <c r="BZ341" s="39">
        <v>12.65</v>
      </c>
      <c r="CA341" s="33"/>
      <c r="CB341" s="37">
        <v>981</v>
      </c>
      <c r="CC341" s="38">
        <v>0.15892999999999999</v>
      </c>
      <c r="CD341" s="42">
        <v>6.2919999999999998</v>
      </c>
      <c r="CE341" s="33"/>
      <c r="CF341" s="33"/>
      <c r="CG341" s="33"/>
      <c r="CH341" s="33"/>
      <c r="CI341" s="33"/>
      <c r="CJ341" s="33"/>
      <c r="CK341" s="33"/>
      <c r="CL341" s="40">
        <v>981</v>
      </c>
      <c r="CM341" s="43">
        <v>979.9</v>
      </c>
      <c r="CN341" s="41">
        <v>1.0205</v>
      </c>
      <c r="CO341" s="33"/>
      <c r="CP341" s="40">
        <v>981</v>
      </c>
      <c r="CQ341" s="34">
        <v>1.0802</v>
      </c>
      <c r="CR341" s="41">
        <v>0.96450000000000002</v>
      </c>
      <c r="CS341" s="33"/>
      <c r="CT341" s="40">
        <v>981</v>
      </c>
      <c r="CU341" s="44">
        <v>269.69</v>
      </c>
      <c r="CV341" s="42">
        <v>6.4210000000000003</v>
      </c>
    </row>
    <row r="342" spans="4:100">
      <c r="D342" s="30">
        <v>33.200000000000003</v>
      </c>
      <c r="E342" s="31">
        <v>0.85909999999999997</v>
      </c>
      <c r="F342" s="32">
        <v>858.7</v>
      </c>
      <c r="G342" s="33"/>
      <c r="H342" s="30">
        <v>33.200000000000003</v>
      </c>
      <c r="I342" s="34">
        <v>3.7837000000000001</v>
      </c>
      <c r="J342" s="35">
        <v>0.15891</v>
      </c>
      <c r="L342" s="30">
        <v>33.200000000000003</v>
      </c>
      <c r="M342" s="172">
        <v>7.1539999999999999</v>
      </c>
      <c r="N342" s="173">
        <v>0.13979</v>
      </c>
      <c r="P342" s="30">
        <v>33.200000000000003</v>
      </c>
      <c r="Q342" s="172">
        <v>3.5768</v>
      </c>
      <c r="R342" s="173">
        <v>0.15023</v>
      </c>
      <c r="T342" s="30">
        <v>33.200000000000003</v>
      </c>
      <c r="U342" s="172">
        <v>279.58000000000197</v>
      </c>
      <c r="V342" s="173">
        <v>6.657</v>
      </c>
      <c r="X342" s="30">
        <v>33.200000000000003</v>
      </c>
      <c r="Y342" s="34">
        <v>3.1936</v>
      </c>
      <c r="Z342" s="35">
        <v>0.13413</v>
      </c>
      <c r="AA342" s="36"/>
      <c r="AB342" s="30">
        <v>33.200000000000003</v>
      </c>
      <c r="AC342" s="44">
        <v>313.13</v>
      </c>
      <c r="AD342" s="35">
        <v>7.4550000000000001</v>
      </c>
      <c r="AE342" s="36"/>
      <c r="AF342" s="30">
        <v>33.200000000000003</v>
      </c>
      <c r="AG342" s="34">
        <v>3.2448000000000001</v>
      </c>
      <c r="AH342" s="35">
        <v>0.13628000000000001</v>
      </c>
      <c r="AI342" s="35"/>
      <c r="AJ342" s="35">
        <v>0.12243</v>
      </c>
      <c r="AK342" s="998">
        <v>51.8</v>
      </c>
      <c r="AM342" s="30">
        <v>33.200000000000003</v>
      </c>
      <c r="AN342" s="34">
        <v>1.0578000000000001</v>
      </c>
      <c r="AO342" s="35">
        <v>1.1848000000000001</v>
      </c>
      <c r="AQ342" s="197">
        <v>0.98199999999999998</v>
      </c>
      <c r="AR342" s="200">
        <v>12.59</v>
      </c>
      <c r="AS342" s="199">
        <v>981.4</v>
      </c>
      <c r="AZ342" s="197">
        <v>0.98199999999999998</v>
      </c>
      <c r="BA342" s="198">
        <v>8.1781000000000006</v>
      </c>
      <c r="BB342" s="199">
        <v>0.12228</v>
      </c>
      <c r="BD342" s="197">
        <v>0.98199999999999998</v>
      </c>
      <c r="BE342" s="198">
        <v>4.0891000000000002</v>
      </c>
      <c r="BF342" s="199">
        <v>0.17174</v>
      </c>
      <c r="BH342" s="197">
        <v>0.98199999999999998</v>
      </c>
      <c r="BI342" s="198">
        <v>244.56</v>
      </c>
      <c r="BJ342" s="199">
        <v>5.8230000000000004</v>
      </c>
      <c r="BL342" s="197">
        <v>0.98199999999999998</v>
      </c>
      <c r="BM342" s="198">
        <v>3.6509</v>
      </c>
      <c r="BN342" s="199">
        <v>0.15334</v>
      </c>
      <c r="BP342" s="197">
        <v>0.98199999999999998</v>
      </c>
      <c r="BQ342" s="200">
        <v>273.89999999999998</v>
      </c>
      <c r="BR342" s="199">
        <v>6.5209999999999999</v>
      </c>
      <c r="BT342" s="197">
        <v>0.98199999999999998</v>
      </c>
      <c r="BU342" s="201">
        <v>0.9254</v>
      </c>
      <c r="BV342" s="202">
        <v>1.0364</v>
      </c>
      <c r="BX342" s="37">
        <v>982</v>
      </c>
      <c r="BY342" s="38">
        <v>0.98260000000000003</v>
      </c>
      <c r="BZ342" s="39">
        <v>12.51</v>
      </c>
      <c r="CA342" s="33"/>
      <c r="CB342" s="37">
        <v>982</v>
      </c>
      <c r="CC342" s="38">
        <v>0.15892999999999999</v>
      </c>
      <c r="CD342" s="42">
        <v>6.2919999999999998</v>
      </c>
      <c r="CE342" s="33"/>
      <c r="CF342" s="33"/>
      <c r="CG342" s="33"/>
      <c r="CH342" s="33"/>
      <c r="CI342" s="33"/>
      <c r="CJ342" s="33"/>
      <c r="CK342" s="33"/>
      <c r="CL342" s="40">
        <v>982</v>
      </c>
      <c r="CM342" s="43">
        <v>980.9</v>
      </c>
      <c r="CN342" s="41">
        <v>1.0194000000000001</v>
      </c>
      <c r="CO342" s="33"/>
      <c r="CP342" s="40">
        <v>982</v>
      </c>
      <c r="CQ342" s="34">
        <v>1.0812999999999999</v>
      </c>
      <c r="CR342" s="41">
        <v>0.96540000000000004</v>
      </c>
      <c r="CS342" s="33"/>
      <c r="CT342" s="40">
        <v>982</v>
      </c>
      <c r="CU342" s="44">
        <v>269.41000000000003</v>
      </c>
      <c r="CV342" s="42">
        <v>6.415</v>
      </c>
    </row>
    <row r="343" spans="4:100">
      <c r="D343" s="30">
        <v>33.299999999999997</v>
      </c>
      <c r="E343" s="31">
        <v>0.85860000000000003</v>
      </c>
      <c r="F343" s="32">
        <v>858.2</v>
      </c>
      <c r="G343" s="33"/>
      <c r="H343" s="30">
        <v>33.299999999999997</v>
      </c>
      <c r="I343" s="34">
        <v>3.7837000000000001</v>
      </c>
      <c r="J343" s="35">
        <v>0.15891</v>
      </c>
      <c r="L343" s="30">
        <v>33.299999999999997</v>
      </c>
      <c r="M343" s="172">
        <v>7.149</v>
      </c>
      <c r="N343" s="173">
        <v>0.13986999999999999</v>
      </c>
      <c r="P343" s="30">
        <v>33.299999999999997</v>
      </c>
      <c r="Q343" s="172">
        <v>3.5747</v>
      </c>
      <c r="R343" s="173">
        <v>0.15014</v>
      </c>
      <c r="T343" s="30">
        <v>33.299999999999997</v>
      </c>
      <c r="U343" s="172">
        <v>279.75000000000199</v>
      </c>
      <c r="V343" s="173">
        <v>6.6609999999999996</v>
      </c>
      <c r="X343" s="30">
        <v>33.299999999999997</v>
      </c>
      <c r="Y343" s="34">
        <v>3.1917</v>
      </c>
      <c r="Z343" s="35">
        <v>0.13405</v>
      </c>
      <c r="AA343" s="36"/>
      <c r="AB343" s="30">
        <v>33.299999999999997</v>
      </c>
      <c r="AC343" s="44">
        <v>313.32</v>
      </c>
      <c r="AD343" s="35">
        <v>7.46</v>
      </c>
      <c r="AE343" s="36"/>
      <c r="AF343" s="30">
        <v>33.299999999999997</v>
      </c>
      <c r="AG343" s="34">
        <v>3.2429000000000001</v>
      </c>
      <c r="AH343" s="35">
        <v>0.13619999999999999</v>
      </c>
      <c r="AI343" s="35"/>
      <c r="AJ343" s="35">
        <v>0.1225</v>
      </c>
      <c r="AK343" s="998">
        <v>51.7</v>
      </c>
      <c r="AM343" s="30">
        <v>33.299999999999997</v>
      </c>
      <c r="AN343" s="34">
        <v>1.0585</v>
      </c>
      <c r="AO343" s="35">
        <v>1.1855</v>
      </c>
      <c r="AQ343" s="197">
        <v>0.98299999999999998</v>
      </c>
      <c r="AR343" s="200">
        <v>12.45</v>
      </c>
      <c r="AS343" s="199">
        <v>982.4</v>
      </c>
      <c r="AZ343" s="197">
        <v>0.98299999999999998</v>
      </c>
      <c r="BA343" s="198">
        <v>8.1865000000000006</v>
      </c>
      <c r="BB343" s="199">
        <v>0.12214999999999999</v>
      </c>
      <c r="BD343" s="197">
        <v>0.98299999999999998</v>
      </c>
      <c r="BE343" s="198">
        <v>4.0932000000000004</v>
      </c>
      <c r="BF343" s="199">
        <v>0.17191999999999999</v>
      </c>
      <c r="BH343" s="197">
        <v>0.98299999999999998</v>
      </c>
      <c r="BI343" s="198">
        <v>244.31</v>
      </c>
      <c r="BJ343" s="199">
        <v>5.8170000000000002</v>
      </c>
      <c r="BL343" s="197">
        <v>0.98299999999999998</v>
      </c>
      <c r="BM343" s="198">
        <v>3.6547000000000001</v>
      </c>
      <c r="BN343" s="199">
        <v>0.1535</v>
      </c>
      <c r="BP343" s="197">
        <v>0.98299999999999998</v>
      </c>
      <c r="BQ343" s="200">
        <v>273.62</v>
      </c>
      <c r="BR343" s="199">
        <v>6.5149999999999997</v>
      </c>
      <c r="BT343" s="197">
        <v>0.98299999999999998</v>
      </c>
      <c r="BU343" s="201">
        <v>0.9244</v>
      </c>
      <c r="BV343" s="202">
        <v>1.0354000000000001</v>
      </c>
      <c r="BX343" s="37">
        <v>983</v>
      </c>
      <c r="BY343" s="38">
        <v>0.98360000000000003</v>
      </c>
      <c r="BZ343" s="39">
        <v>12.36</v>
      </c>
      <c r="CA343" s="33"/>
      <c r="CB343" s="37">
        <v>983</v>
      </c>
      <c r="CC343" s="38">
        <v>0.15892999999999999</v>
      </c>
      <c r="CD343" s="42">
        <v>6.2919999999999998</v>
      </c>
      <c r="CE343" s="33"/>
      <c r="CF343" s="33"/>
      <c r="CG343" s="33"/>
      <c r="CH343" s="33"/>
      <c r="CI343" s="33"/>
      <c r="CJ343" s="33"/>
      <c r="CK343" s="33"/>
      <c r="CL343" s="40">
        <v>983</v>
      </c>
      <c r="CM343" s="43">
        <v>981.9</v>
      </c>
      <c r="CN343" s="41">
        <v>1.0184</v>
      </c>
      <c r="CO343" s="33"/>
      <c r="CP343" s="40">
        <v>983</v>
      </c>
      <c r="CQ343" s="34">
        <v>1.0824</v>
      </c>
      <c r="CR343" s="41">
        <v>0.96640000000000004</v>
      </c>
      <c r="CS343" s="33"/>
      <c r="CT343" s="40">
        <v>983</v>
      </c>
      <c r="CU343" s="44">
        <v>269.14</v>
      </c>
      <c r="CV343" s="42">
        <v>6.4080000000000004</v>
      </c>
    </row>
    <row r="344" spans="4:100">
      <c r="D344" s="30">
        <v>33.4</v>
      </c>
      <c r="E344" s="31">
        <v>0.85809999999999997</v>
      </c>
      <c r="F344" s="32">
        <v>857.6</v>
      </c>
      <c r="G344" s="33"/>
      <c r="H344" s="30">
        <v>33.4</v>
      </c>
      <c r="I344" s="34">
        <v>3.7837000000000001</v>
      </c>
      <c r="J344" s="35">
        <v>0.15891</v>
      </c>
      <c r="L344" s="30">
        <v>33.4</v>
      </c>
      <c r="M344" s="172">
        <v>7.1449999999999996</v>
      </c>
      <c r="N344" s="173">
        <v>0.13996</v>
      </c>
      <c r="P344" s="30">
        <v>33.4</v>
      </c>
      <c r="Q344" s="172">
        <v>3.5724999999999998</v>
      </c>
      <c r="R344" s="173">
        <v>0.15004000000000001</v>
      </c>
      <c r="T344" s="30">
        <v>33.4</v>
      </c>
      <c r="U344" s="172">
        <v>279.92000000000201</v>
      </c>
      <c r="V344" s="173">
        <v>6.665</v>
      </c>
      <c r="X344" s="30">
        <v>33.4</v>
      </c>
      <c r="Y344" s="34">
        <v>3.1897000000000002</v>
      </c>
      <c r="Z344" s="35">
        <v>0.13397000000000001</v>
      </c>
      <c r="AA344" s="36"/>
      <c r="AB344" s="30">
        <v>33.4</v>
      </c>
      <c r="AC344" s="44">
        <v>313.51</v>
      </c>
      <c r="AD344" s="35">
        <v>7.4640000000000004</v>
      </c>
      <c r="AE344" s="36"/>
      <c r="AF344" s="30">
        <v>33.4</v>
      </c>
      <c r="AG344" s="34">
        <v>3.2408999999999999</v>
      </c>
      <c r="AH344" s="35">
        <v>0.13611999999999999</v>
      </c>
      <c r="AI344" s="35"/>
      <c r="AJ344" s="35">
        <v>0.12257</v>
      </c>
      <c r="AK344" s="998">
        <v>51.6</v>
      </c>
      <c r="AM344" s="30">
        <v>33.4</v>
      </c>
      <c r="AN344" s="34">
        <v>1.0590999999999999</v>
      </c>
      <c r="AO344" s="35">
        <v>1.1861999999999999</v>
      </c>
      <c r="AQ344" s="197">
        <v>0.98399999999999999</v>
      </c>
      <c r="AR344" s="200">
        <v>12.3</v>
      </c>
      <c r="AS344" s="199">
        <v>983.4</v>
      </c>
      <c r="AZ344" s="197">
        <v>0.98399999999999999</v>
      </c>
      <c r="BA344" s="198">
        <v>8.1948000000000008</v>
      </c>
      <c r="BB344" s="199">
        <v>0.12203</v>
      </c>
      <c r="BD344" s="197">
        <v>0.98399999999999999</v>
      </c>
      <c r="BE344" s="198">
        <v>4.0974000000000004</v>
      </c>
      <c r="BF344" s="199">
        <v>0.17208999999999999</v>
      </c>
      <c r="BH344" s="197">
        <v>0.98399999999999999</v>
      </c>
      <c r="BI344" s="198">
        <v>244.06</v>
      </c>
      <c r="BJ344" s="199">
        <v>5.8109999999999999</v>
      </c>
      <c r="BL344" s="197">
        <v>0.98399999999999999</v>
      </c>
      <c r="BM344" s="198">
        <v>3.6583999999999999</v>
      </c>
      <c r="BN344" s="199">
        <v>0.15365000000000001</v>
      </c>
      <c r="BP344" s="197">
        <v>0.98399999999999999</v>
      </c>
      <c r="BQ344" s="200">
        <v>273.33999999999997</v>
      </c>
      <c r="BR344" s="199">
        <v>6.508</v>
      </c>
      <c r="BT344" s="197">
        <v>0.98399999999999999</v>
      </c>
      <c r="BU344" s="201">
        <v>0.92349999999999999</v>
      </c>
      <c r="BV344" s="202">
        <v>1.0343</v>
      </c>
      <c r="BX344" s="37">
        <v>984</v>
      </c>
      <c r="BY344" s="38">
        <v>0.98460000000000003</v>
      </c>
      <c r="BZ344" s="39">
        <v>12.21</v>
      </c>
      <c r="CA344" s="33"/>
      <c r="CB344" s="37">
        <v>984</v>
      </c>
      <c r="CC344" s="38">
        <v>0.15892999999999999</v>
      </c>
      <c r="CD344" s="42">
        <v>6.2919999999999998</v>
      </c>
      <c r="CE344" s="33"/>
      <c r="CF344" s="33"/>
      <c r="CG344" s="33"/>
      <c r="CH344" s="33"/>
      <c r="CI344" s="33"/>
      <c r="CJ344" s="33"/>
      <c r="CK344" s="33"/>
      <c r="CL344" s="40">
        <v>984</v>
      </c>
      <c r="CM344" s="43">
        <v>982.9</v>
      </c>
      <c r="CN344" s="41">
        <v>1.0174000000000001</v>
      </c>
      <c r="CO344" s="33"/>
      <c r="CP344" s="40">
        <v>984</v>
      </c>
      <c r="CQ344" s="34">
        <v>1.0834999999999999</v>
      </c>
      <c r="CR344" s="41">
        <v>0.96740000000000004</v>
      </c>
      <c r="CS344" s="33"/>
      <c r="CT344" s="40">
        <v>984</v>
      </c>
      <c r="CU344" s="44">
        <v>268.86</v>
      </c>
      <c r="CV344" s="42">
        <v>6.4009999999999998</v>
      </c>
    </row>
    <row r="345" spans="4:100">
      <c r="D345" s="30">
        <v>33.5</v>
      </c>
      <c r="E345" s="31">
        <v>0.85760000000000003</v>
      </c>
      <c r="F345" s="32">
        <v>857.1</v>
      </c>
      <c r="G345" s="33"/>
      <c r="H345" s="30">
        <v>33.5</v>
      </c>
      <c r="I345" s="34">
        <v>3.7837000000000001</v>
      </c>
      <c r="J345" s="35">
        <v>0.15891</v>
      </c>
      <c r="L345" s="30">
        <v>33.5</v>
      </c>
      <c r="M345" s="172">
        <v>7.141</v>
      </c>
      <c r="N345" s="173">
        <v>0.14004</v>
      </c>
      <c r="P345" s="30">
        <v>33.5</v>
      </c>
      <c r="Q345" s="172">
        <v>3.5703</v>
      </c>
      <c r="R345" s="173">
        <v>0.14995</v>
      </c>
      <c r="T345" s="30">
        <v>33.5</v>
      </c>
      <c r="U345" s="172">
        <v>280.09000000000202</v>
      </c>
      <c r="V345" s="173">
        <v>6.6689999999999996</v>
      </c>
      <c r="X345" s="30">
        <v>33.5</v>
      </c>
      <c r="Y345" s="34">
        <v>3.1878000000000002</v>
      </c>
      <c r="Z345" s="35">
        <v>0.13389000000000001</v>
      </c>
      <c r="AA345" s="36"/>
      <c r="AB345" s="30">
        <v>33.5</v>
      </c>
      <c r="AC345" s="44">
        <v>313.7</v>
      </c>
      <c r="AD345" s="35">
        <v>7.4690000000000003</v>
      </c>
      <c r="AE345" s="36"/>
      <c r="AF345" s="30">
        <v>33.5</v>
      </c>
      <c r="AG345" s="34">
        <v>3.2389000000000001</v>
      </c>
      <c r="AH345" s="35">
        <v>0.13603999999999999</v>
      </c>
      <c r="AI345" s="35"/>
      <c r="AJ345" s="35">
        <v>0.12264</v>
      </c>
      <c r="AK345" s="998">
        <v>51.5</v>
      </c>
      <c r="AM345" s="30">
        <v>33.5</v>
      </c>
      <c r="AN345" s="34">
        <v>1.0598000000000001</v>
      </c>
      <c r="AO345" s="35">
        <v>1.1869000000000001</v>
      </c>
      <c r="AQ345" s="197">
        <v>0.98499999999999999</v>
      </c>
      <c r="AR345" s="200">
        <v>12.15</v>
      </c>
      <c r="AS345" s="199">
        <v>984.4</v>
      </c>
      <c r="AZ345" s="197">
        <v>0.98499999999999999</v>
      </c>
      <c r="BA345" s="198">
        <v>8.2030999999999992</v>
      </c>
      <c r="BB345" s="199">
        <v>0.12189999999999999</v>
      </c>
      <c r="BD345" s="197">
        <v>0.98499999999999999</v>
      </c>
      <c r="BE345" s="198">
        <v>4.1016000000000004</v>
      </c>
      <c r="BF345" s="199">
        <v>0.17227000000000001</v>
      </c>
      <c r="BH345" s="197">
        <v>0.98499999999999999</v>
      </c>
      <c r="BI345" s="198">
        <v>243.81</v>
      </c>
      <c r="BJ345" s="199">
        <v>5.8049999999999997</v>
      </c>
      <c r="BL345" s="197">
        <v>0.98499999999999999</v>
      </c>
      <c r="BM345" s="198">
        <v>3.6621000000000001</v>
      </c>
      <c r="BN345" s="199">
        <v>0.15381</v>
      </c>
      <c r="BP345" s="197">
        <v>0.98499999999999999</v>
      </c>
      <c r="BQ345" s="200">
        <v>273.07</v>
      </c>
      <c r="BR345" s="199">
        <v>6.5019999999999998</v>
      </c>
      <c r="BT345" s="197">
        <v>0.98499999999999999</v>
      </c>
      <c r="BU345" s="201">
        <v>0.92259999999999998</v>
      </c>
      <c r="BV345" s="202">
        <v>1.0333000000000001</v>
      </c>
      <c r="BX345" s="37">
        <v>985</v>
      </c>
      <c r="BY345" s="38">
        <v>0.98560000000000003</v>
      </c>
      <c r="BZ345" s="39">
        <v>12.07</v>
      </c>
      <c r="CA345" s="33"/>
      <c r="CB345" s="37">
        <v>985</v>
      </c>
      <c r="CC345" s="38">
        <v>0.15892999999999999</v>
      </c>
      <c r="CD345" s="42">
        <v>6.2919999999999998</v>
      </c>
      <c r="CE345" s="33"/>
      <c r="CF345" s="33"/>
      <c r="CG345" s="33"/>
      <c r="CH345" s="33"/>
      <c r="CI345" s="33"/>
      <c r="CJ345" s="33"/>
      <c r="CK345" s="33"/>
      <c r="CL345" s="40">
        <v>985</v>
      </c>
      <c r="CM345" s="43">
        <v>983.9</v>
      </c>
      <c r="CN345" s="41">
        <v>1.0163</v>
      </c>
      <c r="CO345" s="33"/>
      <c r="CP345" s="40">
        <v>985</v>
      </c>
      <c r="CQ345" s="34">
        <v>1.0846</v>
      </c>
      <c r="CR345" s="41">
        <v>0.96840000000000004</v>
      </c>
      <c r="CS345" s="33"/>
      <c r="CT345" s="40">
        <v>985</v>
      </c>
      <c r="CU345" s="44">
        <v>268.58999999999997</v>
      </c>
      <c r="CV345" s="42">
        <v>6.3949999999999996</v>
      </c>
    </row>
    <row r="346" spans="4:100">
      <c r="D346" s="30">
        <v>33.6</v>
      </c>
      <c r="E346" s="31">
        <v>0.85709999999999997</v>
      </c>
      <c r="F346" s="32">
        <v>856.6</v>
      </c>
      <c r="G346" s="33"/>
      <c r="H346" s="30">
        <v>33.6</v>
      </c>
      <c r="I346" s="34">
        <v>3.7837000000000001</v>
      </c>
      <c r="J346" s="35">
        <v>0.15891</v>
      </c>
      <c r="L346" s="30">
        <v>33.6</v>
      </c>
      <c r="M346" s="172">
        <v>7.1360000000000001</v>
      </c>
      <c r="N346" s="173">
        <v>0.14013</v>
      </c>
      <c r="P346" s="30">
        <v>33.6</v>
      </c>
      <c r="Q346" s="172">
        <v>3.5680999999999998</v>
      </c>
      <c r="R346" s="173">
        <v>0.14985999999999999</v>
      </c>
      <c r="T346" s="30">
        <v>33.6</v>
      </c>
      <c r="U346" s="172">
        <v>280.26000000000198</v>
      </c>
      <c r="V346" s="173">
        <v>6.673</v>
      </c>
      <c r="X346" s="30">
        <v>33.6</v>
      </c>
      <c r="Y346" s="34">
        <v>3.1858</v>
      </c>
      <c r="Z346" s="35">
        <v>0.13381000000000001</v>
      </c>
      <c r="AA346" s="36"/>
      <c r="AB346" s="30">
        <v>33.6</v>
      </c>
      <c r="AC346" s="44">
        <v>313.89</v>
      </c>
      <c r="AD346" s="35">
        <v>7.4740000000000002</v>
      </c>
      <c r="AE346" s="36"/>
      <c r="AF346" s="30">
        <v>33.6</v>
      </c>
      <c r="AG346" s="34">
        <v>3.2370000000000001</v>
      </c>
      <c r="AH346" s="35">
        <v>0.13594999999999999</v>
      </c>
      <c r="AI346" s="35"/>
      <c r="AJ346" s="35">
        <v>0.1227</v>
      </c>
      <c r="AK346" s="998">
        <v>51.4</v>
      </c>
      <c r="AM346" s="30">
        <v>33.6</v>
      </c>
      <c r="AN346" s="34">
        <v>1.0604</v>
      </c>
      <c r="AO346" s="35">
        <v>1.1877</v>
      </c>
      <c r="AQ346" s="197">
        <v>0.98599999999999999</v>
      </c>
      <c r="AR346" s="200">
        <v>12.01</v>
      </c>
      <c r="AS346" s="199">
        <v>985.4</v>
      </c>
      <c r="AZ346" s="197">
        <v>0.98599999999999999</v>
      </c>
      <c r="BA346" s="198">
        <v>8.2114999999999991</v>
      </c>
      <c r="BB346" s="199">
        <v>0.12178</v>
      </c>
      <c r="BD346" s="197">
        <v>0.98599999999999999</v>
      </c>
      <c r="BE346" s="198">
        <v>4.1056999999999997</v>
      </c>
      <c r="BF346" s="199">
        <v>0.17244000000000001</v>
      </c>
      <c r="BH346" s="197">
        <v>0.98599999999999999</v>
      </c>
      <c r="BI346" s="198">
        <v>243.56</v>
      </c>
      <c r="BJ346" s="199">
        <v>5.7990000000000004</v>
      </c>
      <c r="BL346" s="197">
        <v>0.98599999999999999</v>
      </c>
      <c r="BM346" s="198">
        <v>3.6657999999999999</v>
      </c>
      <c r="BN346" s="199">
        <v>0.15397</v>
      </c>
      <c r="BP346" s="197">
        <v>0.98599999999999999</v>
      </c>
      <c r="BQ346" s="200">
        <v>272.79000000000002</v>
      </c>
      <c r="BR346" s="199">
        <v>6.4950000000000001</v>
      </c>
      <c r="BT346" s="197">
        <v>0.98599999999999999</v>
      </c>
      <c r="BU346" s="201">
        <v>0.92159999999999997</v>
      </c>
      <c r="BV346" s="202">
        <v>1.0322</v>
      </c>
      <c r="BX346" s="37">
        <v>986</v>
      </c>
      <c r="BY346" s="38">
        <v>0.98660000000000003</v>
      </c>
      <c r="BZ346" s="39">
        <v>11.92</v>
      </c>
      <c r="CA346" s="33"/>
      <c r="CB346" s="37">
        <v>986</v>
      </c>
      <c r="CC346" s="38">
        <v>0.15892999999999999</v>
      </c>
      <c r="CD346" s="42">
        <v>6.2919999999999998</v>
      </c>
      <c r="CE346" s="33"/>
      <c r="CF346" s="33"/>
      <c r="CG346" s="33"/>
      <c r="CH346" s="33"/>
      <c r="CI346" s="33"/>
      <c r="CJ346" s="33"/>
      <c r="CK346" s="33"/>
      <c r="CL346" s="40">
        <v>986</v>
      </c>
      <c r="CM346" s="43">
        <v>984.9</v>
      </c>
      <c r="CN346" s="41">
        <v>1.0153000000000001</v>
      </c>
      <c r="CO346" s="33"/>
      <c r="CP346" s="40">
        <v>986</v>
      </c>
      <c r="CQ346" s="34">
        <v>1.0857000000000001</v>
      </c>
      <c r="CR346" s="41">
        <v>0.96940000000000004</v>
      </c>
      <c r="CS346" s="33"/>
      <c r="CT346" s="40">
        <v>986</v>
      </c>
      <c r="CU346" s="44">
        <v>268.32</v>
      </c>
      <c r="CV346" s="42">
        <v>6.3879999999999999</v>
      </c>
    </row>
    <row r="347" spans="4:100">
      <c r="D347" s="30">
        <v>33.700000000000003</v>
      </c>
      <c r="E347" s="31">
        <v>0.85650000000000004</v>
      </c>
      <c r="F347" s="32">
        <v>856.1</v>
      </c>
      <c r="G347" s="33"/>
      <c r="H347" s="30">
        <v>33.700000000000003</v>
      </c>
      <c r="I347" s="34">
        <v>3.7837000000000001</v>
      </c>
      <c r="J347" s="35">
        <v>0.15891</v>
      </c>
      <c r="L347" s="30">
        <v>33.700000000000003</v>
      </c>
      <c r="M347" s="172">
        <v>7.1319999999999997</v>
      </c>
      <c r="N347" s="173">
        <v>0.14021</v>
      </c>
      <c r="P347" s="30">
        <v>33.700000000000003</v>
      </c>
      <c r="Q347" s="172">
        <v>3.5659999999999998</v>
      </c>
      <c r="R347" s="173">
        <v>0.14976999999999999</v>
      </c>
      <c r="T347" s="30">
        <v>33.700000000000003</v>
      </c>
      <c r="U347" s="172">
        <v>280.430000000002</v>
      </c>
      <c r="V347" s="173">
        <v>6.6769999999999996</v>
      </c>
      <c r="X347" s="30">
        <v>33.700000000000003</v>
      </c>
      <c r="Y347" s="34">
        <v>3.1839</v>
      </c>
      <c r="Z347" s="35">
        <v>0.13372000000000001</v>
      </c>
      <c r="AA347" s="36"/>
      <c r="AB347" s="30">
        <v>33.700000000000003</v>
      </c>
      <c r="AC347" s="44">
        <v>314.08</v>
      </c>
      <c r="AD347" s="35">
        <v>7.4779999999999998</v>
      </c>
      <c r="AE347" s="36"/>
      <c r="AF347" s="30">
        <v>33.700000000000003</v>
      </c>
      <c r="AG347" s="34">
        <v>3.2349999999999999</v>
      </c>
      <c r="AH347" s="35">
        <v>0.13586999999999999</v>
      </c>
      <c r="AI347" s="35"/>
      <c r="AJ347" s="35">
        <v>0.12277</v>
      </c>
      <c r="AK347" s="998">
        <v>51.3</v>
      </c>
      <c r="AM347" s="30">
        <v>33.700000000000003</v>
      </c>
      <c r="AN347" s="34">
        <v>1.0609999999999999</v>
      </c>
      <c r="AO347" s="35">
        <v>1.1883999999999999</v>
      </c>
      <c r="AQ347" s="197">
        <v>0.98699999999999999</v>
      </c>
      <c r="AR347" s="200">
        <v>11.86</v>
      </c>
      <c r="AS347" s="199">
        <v>986.4</v>
      </c>
      <c r="AZ347" s="197">
        <v>0.98699999999999999</v>
      </c>
      <c r="BA347" s="198">
        <v>8.2197999999999993</v>
      </c>
      <c r="BB347" s="199">
        <v>0.12166</v>
      </c>
      <c r="BD347" s="197">
        <v>0.98699999999999999</v>
      </c>
      <c r="BE347" s="198">
        <v>4.1098999999999997</v>
      </c>
      <c r="BF347" s="199">
        <v>0.17262</v>
      </c>
      <c r="BH347" s="197">
        <v>0.98699999999999999</v>
      </c>
      <c r="BI347" s="198">
        <v>243.31</v>
      </c>
      <c r="BJ347" s="199">
        <v>5.7930000000000001</v>
      </c>
      <c r="BL347" s="197">
        <v>0.98699999999999999</v>
      </c>
      <c r="BM347" s="198">
        <v>3.6696</v>
      </c>
      <c r="BN347" s="199">
        <v>0.15412000000000001</v>
      </c>
      <c r="BP347" s="197">
        <v>0.98699999999999999</v>
      </c>
      <c r="BQ347" s="200">
        <v>272.51</v>
      </c>
      <c r="BR347" s="199">
        <v>6.4880000000000004</v>
      </c>
      <c r="BT347" s="197">
        <v>0.98699999999999999</v>
      </c>
      <c r="BU347" s="201">
        <v>0.92069999999999996</v>
      </c>
      <c r="BV347" s="202">
        <v>1.0311999999999999</v>
      </c>
      <c r="BX347" s="37">
        <v>987</v>
      </c>
      <c r="BY347" s="38">
        <v>0.98760000000000003</v>
      </c>
      <c r="BZ347" s="39">
        <v>11.78</v>
      </c>
      <c r="CA347" s="33"/>
      <c r="CB347" s="37">
        <v>987</v>
      </c>
      <c r="CC347" s="38">
        <v>0.15892999999999999</v>
      </c>
      <c r="CD347" s="42">
        <v>6.2919999999999998</v>
      </c>
      <c r="CE347" s="33"/>
      <c r="CF347" s="33"/>
      <c r="CG347" s="33"/>
      <c r="CH347" s="33"/>
      <c r="CI347" s="33"/>
      <c r="CJ347" s="33"/>
      <c r="CK347" s="33"/>
      <c r="CL347" s="40">
        <v>987</v>
      </c>
      <c r="CM347" s="43">
        <v>985.9</v>
      </c>
      <c r="CN347" s="41">
        <v>1.0143</v>
      </c>
      <c r="CO347" s="33"/>
      <c r="CP347" s="40">
        <v>987</v>
      </c>
      <c r="CQ347" s="34">
        <v>1.0868</v>
      </c>
      <c r="CR347" s="41">
        <v>0.97040000000000004</v>
      </c>
      <c r="CS347" s="33"/>
      <c r="CT347" s="40">
        <v>987</v>
      </c>
      <c r="CU347" s="44">
        <v>268.04000000000002</v>
      </c>
      <c r="CV347" s="42">
        <v>6.3819999999999997</v>
      </c>
    </row>
    <row r="348" spans="4:100">
      <c r="D348" s="30">
        <v>33.799999999999997</v>
      </c>
      <c r="E348" s="31">
        <v>0.85599999999999998</v>
      </c>
      <c r="F348" s="32">
        <v>855.6</v>
      </c>
      <c r="G348" s="33"/>
      <c r="H348" s="30">
        <v>33.799999999999997</v>
      </c>
      <c r="I348" s="34">
        <v>3.7837000000000001</v>
      </c>
      <c r="J348" s="35">
        <v>0.15891</v>
      </c>
      <c r="L348" s="30">
        <v>33.799999999999997</v>
      </c>
      <c r="M348" s="172">
        <v>7.1280000000000001</v>
      </c>
      <c r="N348" s="173">
        <v>0.14030000000000001</v>
      </c>
      <c r="P348" s="30">
        <v>33.799999999999997</v>
      </c>
      <c r="Q348" s="172">
        <v>3.5638000000000001</v>
      </c>
      <c r="R348" s="173">
        <v>0.14968000000000001</v>
      </c>
      <c r="T348" s="30">
        <v>33.799999999999997</v>
      </c>
      <c r="U348" s="172">
        <v>280.60000000000201</v>
      </c>
      <c r="V348" s="173">
        <v>6.681</v>
      </c>
      <c r="X348" s="30">
        <v>33.799999999999997</v>
      </c>
      <c r="Y348" s="34">
        <v>3.1819999999999999</v>
      </c>
      <c r="Z348" s="35">
        <v>0.13364000000000001</v>
      </c>
      <c r="AA348" s="36"/>
      <c r="AB348" s="30">
        <v>33.799999999999997</v>
      </c>
      <c r="AC348" s="44">
        <v>314.27</v>
      </c>
      <c r="AD348" s="35">
        <v>7.4829999999999997</v>
      </c>
      <c r="AE348" s="36"/>
      <c r="AF348" s="30">
        <v>33.799999999999997</v>
      </c>
      <c r="AG348" s="34">
        <v>3.2330000000000001</v>
      </c>
      <c r="AH348" s="35">
        <v>0.13578999999999999</v>
      </c>
      <c r="AI348" s="35"/>
      <c r="AJ348" s="35">
        <v>0.12284</v>
      </c>
      <c r="AK348" s="998">
        <v>51.2</v>
      </c>
      <c r="AM348" s="30">
        <v>33.799999999999997</v>
      </c>
      <c r="AN348" s="34">
        <v>1.0617000000000001</v>
      </c>
      <c r="AO348" s="35">
        <v>1.1891</v>
      </c>
      <c r="AQ348" s="197">
        <v>0.98799999999999999</v>
      </c>
      <c r="AR348" s="200">
        <v>11.72</v>
      </c>
      <c r="AS348" s="199">
        <v>987.4</v>
      </c>
      <c r="AZ348" s="197">
        <v>0.98799999999999999</v>
      </c>
      <c r="BA348" s="198">
        <v>8.2280999999999995</v>
      </c>
      <c r="BB348" s="199">
        <v>0.12153</v>
      </c>
      <c r="BD348" s="197">
        <v>0.98799999999999999</v>
      </c>
      <c r="BE348" s="198">
        <v>4.1140999999999996</v>
      </c>
      <c r="BF348" s="199">
        <v>0.17279</v>
      </c>
      <c r="BH348" s="197">
        <v>0.98799999999999999</v>
      </c>
      <c r="BI348" s="198">
        <v>243.07</v>
      </c>
      <c r="BJ348" s="199">
        <v>5.7869999999999999</v>
      </c>
      <c r="BL348" s="197">
        <v>0.98799999999999999</v>
      </c>
      <c r="BM348" s="198">
        <v>3.6732999999999998</v>
      </c>
      <c r="BN348" s="199">
        <v>0.15428</v>
      </c>
      <c r="BP348" s="197">
        <v>0.98799999999999999</v>
      </c>
      <c r="BQ348" s="200">
        <v>272.24</v>
      </c>
      <c r="BR348" s="199">
        <v>6.4820000000000002</v>
      </c>
      <c r="BT348" s="197">
        <v>0.98799999999999999</v>
      </c>
      <c r="BU348" s="201">
        <v>0.91979999999999995</v>
      </c>
      <c r="BV348" s="202">
        <v>1.0301</v>
      </c>
      <c r="BX348" s="37">
        <v>988</v>
      </c>
      <c r="BY348" s="38">
        <v>0.98860000000000003</v>
      </c>
      <c r="BZ348" s="39">
        <v>11.63</v>
      </c>
      <c r="CA348" s="33"/>
      <c r="CB348" s="37">
        <v>988</v>
      </c>
      <c r="CC348" s="38">
        <v>0.15892999999999999</v>
      </c>
      <c r="CD348" s="42">
        <v>6.2919999999999998</v>
      </c>
      <c r="CE348" s="33"/>
      <c r="CF348" s="33"/>
      <c r="CG348" s="33"/>
      <c r="CH348" s="33"/>
      <c r="CI348" s="33"/>
      <c r="CJ348" s="33"/>
      <c r="CK348" s="33"/>
      <c r="CL348" s="40">
        <v>988</v>
      </c>
      <c r="CM348" s="43">
        <v>986.9</v>
      </c>
      <c r="CN348" s="41">
        <v>1.0132000000000001</v>
      </c>
      <c r="CO348" s="33"/>
      <c r="CP348" s="40">
        <v>988</v>
      </c>
      <c r="CQ348" s="34">
        <v>1.0879000000000001</v>
      </c>
      <c r="CR348" s="41">
        <v>0.97130000000000005</v>
      </c>
      <c r="CS348" s="33"/>
      <c r="CT348" s="40">
        <v>988</v>
      </c>
      <c r="CU348" s="44">
        <v>267.77</v>
      </c>
      <c r="CV348" s="42">
        <v>6.3760000000000003</v>
      </c>
    </row>
    <row r="349" spans="4:100">
      <c r="D349" s="30">
        <v>33.9</v>
      </c>
      <c r="E349" s="31">
        <v>0.85550000000000004</v>
      </c>
      <c r="F349" s="32">
        <v>855</v>
      </c>
      <c r="G349" s="33"/>
      <c r="H349" s="30">
        <v>33.9</v>
      </c>
      <c r="I349" s="34">
        <v>3.7837000000000001</v>
      </c>
      <c r="J349" s="35">
        <v>0.15891</v>
      </c>
      <c r="L349" s="30">
        <v>33.9</v>
      </c>
      <c r="M349" s="172">
        <v>7.1230000000000002</v>
      </c>
      <c r="N349" s="173">
        <v>0.14038</v>
      </c>
      <c r="P349" s="30">
        <v>33.9</v>
      </c>
      <c r="Q349" s="172">
        <v>3.5617000000000001</v>
      </c>
      <c r="R349" s="173">
        <v>0.14959</v>
      </c>
      <c r="T349" s="30">
        <v>33.9</v>
      </c>
      <c r="U349" s="172">
        <v>280.77000000000203</v>
      </c>
      <c r="V349" s="173">
        <v>6.6849999999999996</v>
      </c>
      <c r="X349" s="30">
        <v>33.9</v>
      </c>
      <c r="Y349" s="34">
        <v>3.1800999999999999</v>
      </c>
      <c r="Z349" s="35">
        <v>0.13356000000000001</v>
      </c>
      <c r="AA349" s="36"/>
      <c r="AB349" s="30">
        <v>33.9</v>
      </c>
      <c r="AC349" s="44">
        <v>314.45999999999998</v>
      </c>
      <c r="AD349" s="35">
        <v>7.4870000000000001</v>
      </c>
      <c r="AE349" s="36"/>
      <c r="AF349" s="30">
        <v>33.9</v>
      </c>
      <c r="AG349" s="34">
        <v>3.2311000000000001</v>
      </c>
      <c r="AH349" s="35">
        <v>0.13571</v>
      </c>
      <c r="AI349" s="35"/>
      <c r="AJ349" s="35">
        <v>0.1229</v>
      </c>
      <c r="AK349" s="998">
        <v>51.1</v>
      </c>
      <c r="AM349" s="30">
        <v>33.9</v>
      </c>
      <c r="AN349" s="34">
        <v>1.0623</v>
      </c>
      <c r="AO349" s="35">
        <v>1.1898</v>
      </c>
      <c r="AQ349" s="197">
        <v>0.98899999999999999</v>
      </c>
      <c r="AR349" s="200">
        <v>11.57</v>
      </c>
      <c r="AS349" s="199">
        <v>988.4</v>
      </c>
      <c r="AZ349" s="197">
        <v>0.98899999999999999</v>
      </c>
      <c r="BA349" s="198">
        <v>8.2364999999999995</v>
      </c>
      <c r="BB349" s="199">
        <v>0.12141</v>
      </c>
      <c r="BD349" s="197">
        <v>0.98899999999999999</v>
      </c>
      <c r="BE349" s="198">
        <v>4.1181999999999999</v>
      </c>
      <c r="BF349" s="199">
        <v>0.17297000000000001</v>
      </c>
      <c r="BH349" s="197">
        <v>0.98899999999999999</v>
      </c>
      <c r="BI349" s="198">
        <v>242.82</v>
      </c>
      <c r="BJ349" s="199">
        <v>5.7809999999999997</v>
      </c>
      <c r="BL349" s="197">
        <v>0.98899999999999999</v>
      </c>
      <c r="BM349" s="198">
        <v>3.677</v>
      </c>
      <c r="BN349" s="199">
        <v>0.15443000000000001</v>
      </c>
      <c r="BP349" s="197">
        <v>0.98899999999999999</v>
      </c>
      <c r="BQ349" s="200">
        <v>271.95999999999998</v>
      </c>
      <c r="BR349" s="199">
        <v>6.4749999999999996</v>
      </c>
      <c r="BT349" s="197">
        <v>0.98899999999999999</v>
      </c>
      <c r="BU349" s="201">
        <v>0.91879999999999995</v>
      </c>
      <c r="BV349" s="202">
        <v>1.0290999999999999</v>
      </c>
      <c r="BX349" s="37">
        <v>989</v>
      </c>
      <c r="BY349" s="38">
        <v>0.98960000000000004</v>
      </c>
      <c r="BZ349" s="39">
        <v>11.49</v>
      </c>
      <c r="CA349" s="33"/>
      <c r="CB349" s="37">
        <v>989</v>
      </c>
      <c r="CC349" s="38">
        <v>0.15892999999999999</v>
      </c>
      <c r="CD349" s="42">
        <v>6.2919999999999998</v>
      </c>
      <c r="CE349" s="33"/>
      <c r="CF349" s="33"/>
      <c r="CG349" s="33"/>
      <c r="CH349" s="33"/>
      <c r="CI349" s="33"/>
      <c r="CJ349" s="33"/>
      <c r="CK349" s="33"/>
      <c r="CL349" s="40">
        <v>989</v>
      </c>
      <c r="CM349" s="43">
        <v>987.9</v>
      </c>
      <c r="CN349" s="41">
        <v>1.0122</v>
      </c>
      <c r="CO349" s="33"/>
      <c r="CP349" s="40">
        <v>989</v>
      </c>
      <c r="CQ349" s="34">
        <v>1.089</v>
      </c>
      <c r="CR349" s="41">
        <v>0.97230000000000005</v>
      </c>
      <c r="CS349" s="33"/>
      <c r="CT349" s="40">
        <v>989</v>
      </c>
      <c r="CU349" s="44">
        <v>267.5</v>
      </c>
      <c r="CV349" s="42">
        <v>6.3689999999999998</v>
      </c>
    </row>
    <row r="350" spans="4:100">
      <c r="D350" s="30">
        <v>34</v>
      </c>
      <c r="E350" s="31">
        <v>0.85499999999999998</v>
      </c>
      <c r="F350" s="32">
        <v>854.5</v>
      </c>
      <c r="G350" s="33"/>
      <c r="H350" s="30">
        <v>34</v>
      </c>
      <c r="I350" s="34">
        <v>3.7837000000000001</v>
      </c>
      <c r="J350" s="35">
        <v>0.15891</v>
      </c>
      <c r="L350" s="30">
        <v>34</v>
      </c>
      <c r="M350" s="172">
        <v>7.1189999999999998</v>
      </c>
      <c r="N350" s="173">
        <v>0.14047000000000001</v>
      </c>
      <c r="P350" s="30">
        <v>34</v>
      </c>
      <c r="Q350" s="172">
        <v>3.5594999999999999</v>
      </c>
      <c r="R350" s="173">
        <v>0.14949999999999999</v>
      </c>
      <c r="T350" s="30">
        <v>34</v>
      </c>
      <c r="U350" s="172">
        <v>280.94000000000199</v>
      </c>
      <c r="V350" s="173">
        <v>6.6890000000000001</v>
      </c>
      <c r="X350" s="30">
        <v>34</v>
      </c>
      <c r="Y350" s="34">
        <v>3.1781000000000001</v>
      </c>
      <c r="Z350" s="35">
        <v>0.13347999999999999</v>
      </c>
      <c r="AA350" s="36"/>
      <c r="AB350" s="30">
        <v>34</v>
      </c>
      <c r="AC350" s="44">
        <v>314.64999999999998</v>
      </c>
      <c r="AD350" s="35">
        <v>7.492</v>
      </c>
      <c r="AE350" s="36"/>
      <c r="AF350" s="30">
        <v>34</v>
      </c>
      <c r="AG350" s="34">
        <v>3.2290999999999999</v>
      </c>
      <c r="AH350" s="35">
        <v>0.13561999999999999</v>
      </c>
      <c r="AI350" s="35"/>
      <c r="AJ350" s="35">
        <v>0.12297</v>
      </c>
      <c r="AK350" s="998">
        <v>51</v>
      </c>
      <c r="AM350" s="30">
        <v>34</v>
      </c>
      <c r="AN350" s="34">
        <v>1.0629999999999999</v>
      </c>
      <c r="AO350" s="35">
        <v>1.1904999999999999</v>
      </c>
      <c r="AQ350" s="197">
        <v>0.99</v>
      </c>
      <c r="AR350" s="200">
        <v>11.43</v>
      </c>
      <c r="AS350" s="199">
        <v>989.4</v>
      </c>
      <c r="AZ350" s="197">
        <v>0.99</v>
      </c>
      <c r="BA350" s="198">
        <v>8.2447999999999997</v>
      </c>
      <c r="BB350" s="199">
        <v>0.12129</v>
      </c>
      <c r="BD350" s="197">
        <v>0.99</v>
      </c>
      <c r="BE350" s="198">
        <v>4.1223999999999998</v>
      </c>
      <c r="BF350" s="199">
        <v>0.17313999999999999</v>
      </c>
      <c r="BH350" s="197">
        <v>0.99</v>
      </c>
      <c r="BI350" s="198">
        <v>242.58</v>
      </c>
      <c r="BJ350" s="199">
        <v>5.7759999999999998</v>
      </c>
      <c r="BL350" s="197">
        <v>0.99</v>
      </c>
      <c r="BM350" s="198">
        <v>3.6806999999999999</v>
      </c>
      <c r="BN350" s="199">
        <v>0.15459000000000001</v>
      </c>
      <c r="BP350" s="197">
        <v>0.99</v>
      </c>
      <c r="BQ350" s="200">
        <v>271.69</v>
      </c>
      <c r="BR350" s="199">
        <v>6.4690000000000003</v>
      </c>
      <c r="BT350" s="197">
        <v>0.99</v>
      </c>
      <c r="BU350" s="201">
        <v>0.91790000000000005</v>
      </c>
      <c r="BV350" s="202">
        <v>1.0281</v>
      </c>
      <c r="BX350" s="37">
        <v>990</v>
      </c>
      <c r="BY350" s="38">
        <v>0.99060000000000004</v>
      </c>
      <c r="BZ350" s="39">
        <v>11.34</v>
      </c>
      <c r="CA350" s="33"/>
      <c r="CB350" s="37">
        <v>990</v>
      </c>
      <c r="CC350" s="38">
        <v>0.15892999999999999</v>
      </c>
      <c r="CD350" s="42">
        <v>6.2919999999999998</v>
      </c>
      <c r="CE350" s="33"/>
      <c r="CF350" s="33"/>
      <c r="CG350" s="33"/>
      <c r="CH350" s="33"/>
      <c r="CI350" s="33"/>
      <c r="CJ350" s="33"/>
      <c r="CK350" s="33"/>
      <c r="CL350" s="40">
        <v>990</v>
      </c>
      <c r="CM350" s="43">
        <v>988.9</v>
      </c>
      <c r="CN350" s="41">
        <v>1.0112000000000001</v>
      </c>
      <c r="CO350" s="33"/>
      <c r="CP350" s="40">
        <v>990</v>
      </c>
      <c r="CQ350" s="34">
        <v>1.0901000000000001</v>
      </c>
      <c r="CR350" s="41">
        <v>0.97330000000000005</v>
      </c>
      <c r="CS350" s="33"/>
      <c r="CT350" s="40">
        <v>990</v>
      </c>
      <c r="CU350" s="44">
        <v>267.23</v>
      </c>
      <c r="CV350" s="42">
        <v>6.3630000000000004</v>
      </c>
    </row>
    <row r="351" spans="4:100">
      <c r="D351" s="30">
        <v>34.1</v>
      </c>
      <c r="E351" s="31">
        <v>0.85450000000000004</v>
      </c>
      <c r="F351" s="32">
        <v>854</v>
      </c>
      <c r="G351" s="33"/>
      <c r="H351" s="30">
        <v>34.1</v>
      </c>
      <c r="I351" s="34">
        <v>3.7837000000000001</v>
      </c>
      <c r="J351" s="35">
        <v>0.15891</v>
      </c>
      <c r="L351" s="30">
        <v>34.1</v>
      </c>
      <c r="M351" s="172">
        <v>7.1150000000000002</v>
      </c>
      <c r="N351" s="173">
        <v>0.14055000000000001</v>
      </c>
      <c r="P351" s="30">
        <v>34.1</v>
      </c>
      <c r="Q351" s="172">
        <v>3.5573999999999999</v>
      </c>
      <c r="R351" s="173">
        <v>0.14940999999999999</v>
      </c>
      <c r="T351" s="30">
        <v>34.1</v>
      </c>
      <c r="U351" s="172">
        <v>281.110000000002</v>
      </c>
      <c r="V351" s="173">
        <v>6.6929999999999996</v>
      </c>
      <c r="X351" s="30">
        <v>34.1</v>
      </c>
      <c r="Y351" s="34">
        <v>3.1762000000000001</v>
      </c>
      <c r="Z351" s="35">
        <v>0.13339999999999999</v>
      </c>
      <c r="AA351" s="36"/>
      <c r="AB351" s="30">
        <v>34.1</v>
      </c>
      <c r="AC351" s="44">
        <v>314.83999999999997</v>
      </c>
      <c r="AD351" s="35">
        <v>7.4960000000000004</v>
      </c>
      <c r="AE351" s="36"/>
      <c r="AF351" s="30">
        <v>34.1</v>
      </c>
      <c r="AG351" s="34">
        <v>3.2271999999999998</v>
      </c>
      <c r="AH351" s="35">
        <v>0.13553999999999999</v>
      </c>
      <c r="AI351" s="35"/>
      <c r="AJ351" s="35">
        <v>0.12304</v>
      </c>
      <c r="AK351" s="998">
        <v>50.9</v>
      </c>
      <c r="AM351" s="30">
        <v>34.1</v>
      </c>
      <c r="AN351" s="34">
        <v>1.0636000000000001</v>
      </c>
      <c r="AO351" s="35">
        <v>1.1913</v>
      </c>
      <c r="AQ351" s="197">
        <v>0.99099999999999999</v>
      </c>
      <c r="AR351" s="200">
        <v>11.29</v>
      </c>
      <c r="AS351" s="199">
        <v>990.4</v>
      </c>
      <c r="AZ351" s="197">
        <v>0.99099999999999999</v>
      </c>
      <c r="BA351" s="198">
        <v>8.2531999999999996</v>
      </c>
      <c r="BB351" s="199">
        <v>0.12117</v>
      </c>
      <c r="BD351" s="197">
        <v>0.99099999999999999</v>
      </c>
      <c r="BE351" s="198">
        <v>4.1265999999999998</v>
      </c>
      <c r="BF351" s="199">
        <v>0.17332</v>
      </c>
      <c r="BH351" s="197">
        <v>0.99099999999999999</v>
      </c>
      <c r="BI351" s="198">
        <v>242.33</v>
      </c>
      <c r="BJ351" s="199">
        <v>5.77</v>
      </c>
      <c r="BL351" s="197">
        <v>0.99099999999999999</v>
      </c>
      <c r="BM351" s="198">
        <v>3.6844000000000001</v>
      </c>
      <c r="BN351" s="199">
        <v>0.15475</v>
      </c>
      <c r="BP351" s="197">
        <v>0.99099999999999999</v>
      </c>
      <c r="BQ351" s="200">
        <v>271.41000000000003</v>
      </c>
      <c r="BR351" s="199">
        <v>6.4619999999999997</v>
      </c>
      <c r="BT351" s="197">
        <v>0.99099999999999999</v>
      </c>
      <c r="BU351" s="201">
        <v>0.91700000000000004</v>
      </c>
      <c r="BV351" s="202">
        <v>1.0269999999999999</v>
      </c>
      <c r="BX351" s="37">
        <v>991</v>
      </c>
      <c r="BY351" s="38">
        <v>0.99160000000000004</v>
      </c>
      <c r="BZ351" s="39">
        <v>11.2</v>
      </c>
      <c r="CA351" s="33"/>
      <c r="CB351" s="37">
        <v>991</v>
      </c>
      <c r="CC351" s="38">
        <v>0.15892999999999999</v>
      </c>
      <c r="CD351" s="42">
        <v>6.2919999999999998</v>
      </c>
      <c r="CE351" s="33"/>
      <c r="CF351" s="33"/>
      <c r="CG351" s="33"/>
      <c r="CH351" s="33"/>
      <c r="CI351" s="33"/>
      <c r="CJ351" s="33"/>
      <c r="CK351" s="33"/>
      <c r="CL351" s="40">
        <v>991</v>
      </c>
      <c r="CM351" s="43">
        <v>989.9</v>
      </c>
      <c r="CN351" s="41">
        <v>1.0102</v>
      </c>
      <c r="CO351" s="33"/>
      <c r="CP351" s="40">
        <v>991</v>
      </c>
      <c r="CQ351" s="34">
        <v>1.0911999999999999</v>
      </c>
      <c r="CR351" s="41">
        <v>0.97430000000000005</v>
      </c>
      <c r="CS351" s="33"/>
      <c r="CT351" s="40">
        <v>991</v>
      </c>
      <c r="CU351" s="44">
        <v>266.95999999999998</v>
      </c>
      <c r="CV351" s="42">
        <v>6.3559999999999999</v>
      </c>
    </row>
    <row r="352" spans="4:100">
      <c r="D352" s="30">
        <v>34.200000000000003</v>
      </c>
      <c r="E352" s="31">
        <v>0.85399999999999998</v>
      </c>
      <c r="F352" s="32">
        <v>853.5</v>
      </c>
      <c r="G352" s="33"/>
      <c r="H352" s="30">
        <v>34.200000000000003</v>
      </c>
      <c r="I352" s="34">
        <v>3.7837000000000001</v>
      </c>
      <c r="J352" s="35">
        <v>0.15891</v>
      </c>
      <c r="L352" s="30">
        <v>34.200000000000003</v>
      </c>
      <c r="M352" s="172">
        <v>7.11</v>
      </c>
      <c r="N352" s="173">
        <v>0.14063999999999999</v>
      </c>
      <c r="P352" s="30">
        <v>34.200000000000003</v>
      </c>
      <c r="Q352" s="172">
        <v>3.5552000000000001</v>
      </c>
      <c r="R352" s="173">
        <v>0.14932000000000001</v>
      </c>
      <c r="T352" s="30">
        <v>34.200000000000003</v>
      </c>
      <c r="U352" s="172">
        <v>281.28000000000202</v>
      </c>
      <c r="V352" s="173">
        <v>6.6970000000000001</v>
      </c>
      <c r="X352" s="30">
        <v>34.200000000000003</v>
      </c>
      <c r="Y352" s="34">
        <v>3.1743000000000001</v>
      </c>
      <c r="Z352" s="35">
        <v>0.13331999999999999</v>
      </c>
      <c r="AA352" s="36"/>
      <c r="AB352" s="30">
        <v>34.200000000000003</v>
      </c>
      <c r="AC352" s="44">
        <v>315.02999999999997</v>
      </c>
      <c r="AD352" s="35">
        <v>7.5010000000000003</v>
      </c>
      <c r="AE352" s="36"/>
      <c r="AF352" s="30">
        <v>34.200000000000003</v>
      </c>
      <c r="AG352" s="34">
        <v>3.2252000000000001</v>
      </c>
      <c r="AH352" s="35">
        <v>0.13546</v>
      </c>
      <c r="AI352" s="35"/>
      <c r="AJ352" s="35">
        <v>0.12311</v>
      </c>
      <c r="AK352" s="998">
        <v>50.8</v>
      </c>
      <c r="AM352" s="30">
        <v>34.200000000000003</v>
      </c>
      <c r="AN352" s="34">
        <v>1.0643</v>
      </c>
      <c r="AO352" s="35">
        <v>1.1919999999999999</v>
      </c>
      <c r="AQ352" s="197">
        <v>0.99199999999999999</v>
      </c>
      <c r="AR352" s="200">
        <v>11.14</v>
      </c>
      <c r="AS352" s="199">
        <v>991.4</v>
      </c>
      <c r="AZ352" s="197">
        <v>0.99199999999999999</v>
      </c>
      <c r="BA352" s="198">
        <v>8.2614999999999998</v>
      </c>
      <c r="BB352" s="199">
        <v>0.12103999999999999</v>
      </c>
      <c r="BD352" s="197">
        <v>0.99199999999999999</v>
      </c>
      <c r="BE352" s="198">
        <v>4.1307999999999998</v>
      </c>
      <c r="BF352" s="199">
        <v>0.17349000000000001</v>
      </c>
      <c r="BH352" s="197">
        <v>0.99199999999999999</v>
      </c>
      <c r="BI352" s="198">
        <v>242.09</v>
      </c>
      <c r="BJ352" s="199">
        <v>5.7640000000000002</v>
      </c>
      <c r="BL352" s="197">
        <v>0.99199999999999999</v>
      </c>
      <c r="BM352" s="198">
        <v>3.6882000000000001</v>
      </c>
      <c r="BN352" s="199">
        <v>0.15490000000000001</v>
      </c>
      <c r="BP352" s="197">
        <v>0.99199999999999999</v>
      </c>
      <c r="BQ352" s="200">
        <v>271.14</v>
      </c>
      <c r="BR352" s="199">
        <v>6.4560000000000004</v>
      </c>
      <c r="BT352" s="197">
        <v>0.99199999999999999</v>
      </c>
      <c r="BU352" s="201">
        <v>0.91610000000000003</v>
      </c>
      <c r="BV352" s="202">
        <v>1.026</v>
      </c>
      <c r="BX352" s="37">
        <v>992</v>
      </c>
      <c r="BY352" s="38">
        <v>0.99260000000000004</v>
      </c>
      <c r="BZ352" s="39">
        <v>11.05</v>
      </c>
      <c r="CA352" s="33"/>
      <c r="CB352" s="37">
        <v>992</v>
      </c>
      <c r="CC352" s="38">
        <v>0.15892999999999999</v>
      </c>
      <c r="CD352" s="42">
        <v>6.2919999999999998</v>
      </c>
      <c r="CE352" s="33"/>
      <c r="CF352" s="33"/>
      <c r="CG352" s="33"/>
      <c r="CH352" s="33"/>
      <c r="CI352" s="33"/>
      <c r="CJ352" s="33"/>
      <c r="CK352" s="33"/>
      <c r="CL352" s="40">
        <v>992</v>
      </c>
      <c r="CM352" s="43">
        <v>990.9</v>
      </c>
      <c r="CN352" s="41">
        <v>1.0092000000000001</v>
      </c>
      <c r="CO352" s="33"/>
      <c r="CP352" s="40">
        <v>992</v>
      </c>
      <c r="CQ352" s="34">
        <v>1.0923</v>
      </c>
      <c r="CR352" s="41">
        <v>0.97529999999999994</v>
      </c>
      <c r="CS352" s="33"/>
      <c r="CT352" s="40">
        <v>992</v>
      </c>
      <c r="CU352" s="44">
        <v>266.69</v>
      </c>
      <c r="CV352" s="42">
        <v>6.35</v>
      </c>
    </row>
    <row r="353" spans="4:100">
      <c r="D353" s="30">
        <v>34.299999999999997</v>
      </c>
      <c r="E353" s="31">
        <v>0.85340000000000005</v>
      </c>
      <c r="F353" s="32">
        <v>853</v>
      </c>
      <c r="G353" s="33"/>
      <c r="H353" s="30">
        <v>34.299999999999997</v>
      </c>
      <c r="I353" s="34">
        <v>3.7837000000000001</v>
      </c>
      <c r="J353" s="35">
        <v>0.15891</v>
      </c>
      <c r="L353" s="30">
        <v>34.299999999999997</v>
      </c>
      <c r="M353" s="172">
        <v>7.1059999999999999</v>
      </c>
      <c r="N353" s="173">
        <v>0.14072000000000001</v>
      </c>
      <c r="P353" s="30">
        <v>34.299999999999997</v>
      </c>
      <c r="Q353" s="172">
        <v>3.5531000000000001</v>
      </c>
      <c r="R353" s="173">
        <v>0.14923</v>
      </c>
      <c r="T353" s="30">
        <v>34.299999999999997</v>
      </c>
      <c r="U353" s="172">
        <v>281.45000000000198</v>
      </c>
      <c r="V353" s="173">
        <v>6.7009999999999996</v>
      </c>
      <c r="X353" s="30">
        <v>34.299999999999997</v>
      </c>
      <c r="Y353" s="34">
        <v>3.1724000000000001</v>
      </c>
      <c r="Z353" s="35">
        <v>0.13324</v>
      </c>
      <c r="AA353" s="36"/>
      <c r="AB353" s="30">
        <v>34.299999999999997</v>
      </c>
      <c r="AC353" s="44">
        <v>315.22000000000003</v>
      </c>
      <c r="AD353" s="35">
        <v>7.5049999999999999</v>
      </c>
      <c r="AE353" s="36"/>
      <c r="AF353" s="30">
        <v>34.299999999999997</v>
      </c>
      <c r="AG353" s="34">
        <v>3.2233000000000001</v>
      </c>
      <c r="AH353" s="35">
        <v>0.13538</v>
      </c>
      <c r="AI353" s="35"/>
      <c r="AJ353" s="35">
        <v>0.12317</v>
      </c>
      <c r="AK353" s="998">
        <v>50.7</v>
      </c>
      <c r="AM353" s="30">
        <v>34.299999999999997</v>
      </c>
      <c r="AN353" s="34">
        <v>1.0649</v>
      </c>
      <c r="AO353" s="35">
        <v>1.1927000000000001</v>
      </c>
      <c r="AQ353" s="197">
        <v>0.99299999999999999</v>
      </c>
      <c r="AR353" s="200">
        <v>11</v>
      </c>
      <c r="AS353" s="199">
        <v>992.4</v>
      </c>
      <c r="AZ353" s="197">
        <v>0.99299999999999999</v>
      </c>
      <c r="BA353" s="198">
        <v>8.2698</v>
      </c>
      <c r="BB353" s="199">
        <v>0.12092</v>
      </c>
      <c r="BD353" s="197">
        <v>0.99299999999999999</v>
      </c>
      <c r="BE353" s="198">
        <v>4.1349</v>
      </c>
      <c r="BF353" s="199">
        <v>0.17366999999999999</v>
      </c>
      <c r="BH353" s="197">
        <v>0.99299999999999999</v>
      </c>
      <c r="BI353" s="198">
        <v>241.84</v>
      </c>
      <c r="BJ353" s="199">
        <v>5.758</v>
      </c>
      <c r="BL353" s="197">
        <v>0.99299999999999999</v>
      </c>
      <c r="BM353" s="198">
        <v>3.6919</v>
      </c>
      <c r="BN353" s="199">
        <v>0.15506</v>
      </c>
      <c r="BP353" s="197">
        <v>0.99299999999999999</v>
      </c>
      <c r="BQ353" s="200">
        <v>270.86</v>
      </c>
      <c r="BR353" s="199">
        <v>6.4489999999999998</v>
      </c>
      <c r="BT353" s="197">
        <v>0.99299999999999999</v>
      </c>
      <c r="BU353" s="201">
        <v>0.91510000000000002</v>
      </c>
      <c r="BV353" s="202">
        <v>1.0248999999999999</v>
      </c>
      <c r="BX353" s="37">
        <v>993</v>
      </c>
      <c r="BY353" s="38">
        <v>0.99360000000000004</v>
      </c>
      <c r="BZ353" s="39">
        <v>10.91</v>
      </c>
      <c r="CA353" s="33"/>
      <c r="CB353" s="37">
        <v>993</v>
      </c>
      <c r="CC353" s="38">
        <v>0.15892999999999999</v>
      </c>
      <c r="CD353" s="42">
        <v>6.2919999999999998</v>
      </c>
      <c r="CE353" s="33"/>
      <c r="CF353" s="33"/>
      <c r="CG353" s="33"/>
      <c r="CH353" s="33"/>
      <c r="CI353" s="33"/>
      <c r="CJ353" s="33"/>
      <c r="CK353" s="33"/>
      <c r="CL353" s="40">
        <v>993</v>
      </c>
      <c r="CM353" s="43">
        <v>991.9</v>
      </c>
      <c r="CN353" s="41">
        <v>1.0081</v>
      </c>
      <c r="CO353" s="33"/>
      <c r="CP353" s="40">
        <v>993</v>
      </c>
      <c r="CQ353" s="34">
        <v>1.0933999999999999</v>
      </c>
      <c r="CR353" s="41">
        <v>0.97629999999999995</v>
      </c>
      <c r="CS353" s="33"/>
      <c r="CT353" s="40">
        <v>993</v>
      </c>
      <c r="CU353" s="44">
        <v>266.42</v>
      </c>
      <c r="CV353" s="42">
        <v>6.343</v>
      </c>
    </row>
    <row r="354" spans="4:100">
      <c r="D354" s="30">
        <v>34.4</v>
      </c>
      <c r="E354" s="31">
        <v>0.85289999999999999</v>
      </c>
      <c r="F354" s="32">
        <v>852.5</v>
      </c>
      <c r="G354" s="33"/>
      <c r="H354" s="30">
        <v>34.4</v>
      </c>
      <c r="I354" s="34">
        <v>3.7837000000000001</v>
      </c>
      <c r="J354" s="35">
        <v>0.15891</v>
      </c>
      <c r="L354" s="30">
        <v>34.4</v>
      </c>
      <c r="M354" s="172">
        <v>7.1020000000000003</v>
      </c>
      <c r="N354" s="173">
        <v>0.14080999999999999</v>
      </c>
      <c r="P354" s="30">
        <v>34.4</v>
      </c>
      <c r="Q354" s="172">
        <v>3.5508999999999999</v>
      </c>
      <c r="R354" s="173">
        <v>0.14913999999999999</v>
      </c>
      <c r="T354" s="30">
        <v>34.4</v>
      </c>
      <c r="U354" s="172">
        <v>281.62000000000199</v>
      </c>
      <c r="V354" s="173">
        <v>6.7049999999999903</v>
      </c>
      <c r="X354" s="30">
        <v>34.4</v>
      </c>
      <c r="Y354" s="34">
        <v>3.1705000000000001</v>
      </c>
      <c r="Z354" s="35">
        <v>0.13316</v>
      </c>
      <c r="AA354" s="36"/>
      <c r="AB354" s="30">
        <v>34.4</v>
      </c>
      <c r="AC354" s="44">
        <v>315.41000000000003</v>
      </c>
      <c r="AD354" s="35">
        <v>7.51</v>
      </c>
      <c r="AE354" s="36"/>
      <c r="AF354" s="30">
        <v>34.4</v>
      </c>
      <c r="AG354" s="34">
        <v>3.2212999999999998</v>
      </c>
      <c r="AH354" s="35">
        <v>0.1353</v>
      </c>
      <c r="AI354" s="35"/>
      <c r="AJ354" s="35">
        <v>0.12324</v>
      </c>
      <c r="AK354" s="998">
        <v>50.6</v>
      </c>
      <c r="AM354" s="30">
        <v>34.4</v>
      </c>
      <c r="AN354" s="34">
        <v>1.0654999999999999</v>
      </c>
      <c r="AO354" s="35">
        <v>1.1934</v>
      </c>
      <c r="AQ354" s="197">
        <v>0.99399999999999999</v>
      </c>
      <c r="AR354" s="200">
        <v>10.85</v>
      </c>
      <c r="AS354" s="199">
        <v>993.4</v>
      </c>
      <c r="AZ354" s="197">
        <v>0.99399999999999999</v>
      </c>
      <c r="BA354" s="198">
        <v>8.2782</v>
      </c>
      <c r="BB354" s="199">
        <v>0.1208</v>
      </c>
      <c r="BD354" s="197">
        <v>0.99399999999999999</v>
      </c>
      <c r="BE354" s="198">
        <v>4.1391</v>
      </c>
      <c r="BF354" s="199">
        <v>0.17383999999999999</v>
      </c>
      <c r="BH354" s="197">
        <v>0.99399999999999999</v>
      </c>
      <c r="BI354" s="198">
        <v>241.6</v>
      </c>
      <c r="BJ354" s="199">
        <v>5.7519999999999998</v>
      </c>
      <c r="BL354" s="197">
        <v>0.99399999999999999</v>
      </c>
      <c r="BM354" s="198">
        <v>3.6956000000000002</v>
      </c>
      <c r="BN354" s="199">
        <v>0.15522</v>
      </c>
      <c r="BP354" s="197">
        <v>0.99399999999999999</v>
      </c>
      <c r="BQ354" s="200">
        <v>270.58999999999997</v>
      </c>
      <c r="BR354" s="199">
        <v>6.4429999999999996</v>
      </c>
      <c r="BT354" s="197">
        <v>0.99399999999999999</v>
      </c>
      <c r="BU354" s="201">
        <v>0.91420000000000001</v>
      </c>
      <c r="BV354" s="202">
        <v>1.0239</v>
      </c>
      <c r="BX354" s="37">
        <v>994</v>
      </c>
      <c r="BY354" s="38">
        <v>0.99460000000000004</v>
      </c>
      <c r="BZ354" s="39">
        <v>10.77</v>
      </c>
      <c r="CA354" s="33"/>
      <c r="CB354" s="37">
        <v>994</v>
      </c>
      <c r="CC354" s="38">
        <v>0.15892999999999999</v>
      </c>
      <c r="CD354" s="42">
        <v>6.2919999999999998</v>
      </c>
      <c r="CE354" s="33"/>
      <c r="CF354" s="33"/>
      <c r="CG354" s="33"/>
      <c r="CH354" s="33"/>
      <c r="CI354" s="33"/>
      <c r="CJ354" s="33"/>
      <c r="CK354" s="33"/>
      <c r="CL354" s="40">
        <v>994</v>
      </c>
      <c r="CM354" s="43">
        <v>992.9</v>
      </c>
      <c r="CN354" s="41">
        <v>1.0071000000000001</v>
      </c>
      <c r="CO354" s="33"/>
      <c r="CP354" s="40">
        <v>994</v>
      </c>
      <c r="CQ354" s="34">
        <v>1.0945</v>
      </c>
      <c r="CR354" s="41">
        <v>0.97719999999999996</v>
      </c>
      <c r="CS354" s="33"/>
      <c r="CT354" s="40">
        <v>994</v>
      </c>
      <c r="CU354" s="44">
        <v>266.14999999999998</v>
      </c>
      <c r="CV354" s="42">
        <v>6.3369999999999997</v>
      </c>
    </row>
    <row r="355" spans="4:100">
      <c r="D355" s="30">
        <v>34.5</v>
      </c>
      <c r="E355" s="31">
        <v>0.85240000000000005</v>
      </c>
      <c r="F355" s="32">
        <v>852</v>
      </c>
      <c r="G355" s="33"/>
      <c r="H355" s="30">
        <v>34.5</v>
      </c>
      <c r="I355" s="34">
        <v>3.7837000000000001</v>
      </c>
      <c r="J355" s="35">
        <v>0.15891</v>
      </c>
      <c r="L355" s="30">
        <v>34.5</v>
      </c>
      <c r="M355" s="172">
        <v>7.0979999999999999</v>
      </c>
      <c r="N355" s="173">
        <v>0.14088999999999999</v>
      </c>
      <c r="P355" s="30">
        <v>34.5</v>
      </c>
      <c r="Q355" s="172">
        <v>3.5488</v>
      </c>
      <c r="R355" s="173">
        <v>0.14904999999999999</v>
      </c>
      <c r="T355" s="30">
        <v>34.5</v>
      </c>
      <c r="U355" s="172">
        <v>281.79000000000201</v>
      </c>
      <c r="V355" s="173">
        <v>6.7089999999999899</v>
      </c>
      <c r="X355" s="30">
        <v>34.5</v>
      </c>
      <c r="Y355" s="34">
        <v>3.1684999999999999</v>
      </c>
      <c r="Z355" s="35">
        <v>0.13308</v>
      </c>
      <c r="AA355" s="36"/>
      <c r="AB355" s="30">
        <v>34.5</v>
      </c>
      <c r="AC355" s="44">
        <v>315.60000000000002</v>
      </c>
      <c r="AD355" s="35">
        <v>7.5140000000000002</v>
      </c>
      <c r="AE355" s="36"/>
      <c r="AF355" s="30">
        <v>34.5</v>
      </c>
      <c r="AG355" s="34">
        <v>3.2193999999999998</v>
      </c>
      <c r="AH355" s="35">
        <v>0.13521</v>
      </c>
      <c r="AI355" s="35"/>
      <c r="AJ355" s="35">
        <v>0.12331</v>
      </c>
      <c r="AK355" s="998">
        <v>50.5</v>
      </c>
      <c r="AM355" s="30">
        <v>34.5</v>
      </c>
      <c r="AN355" s="34">
        <v>1.0662</v>
      </c>
      <c r="AO355" s="35">
        <v>1.1940999999999999</v>
      </c>
      <c r="AQ355" s="197">
        <v>0.995</v>
      </c>
      <c r="AR355" s="200">
        <v>10.71</v>
      </c>
      <c r="AS355" s="199">
        <v>994.4</v>
      </c>
      <c r="AZ355" s="197">
        <v>0.995</v>
      </c>
      <c r="BA355" s="198">
        <v>8.2865000000000002</v>
      </c>
      <c r="BB355" s="199">
        <v>0.12068</v>
      </c>
      <c r="BD355" s="197">
        <v>0.995</v>
      </c>
      <c r="BE355" s="198">
        <v>4.1433</v>
      </c>
      <c r="BF355" s="199">
        <v>0.17402000000000001</v>
      </c>
      <c r="BH355" s="197">
        <v>0.995</v>
      </c>
      <c r="BI355" s="198">
        <v>241.36</v>
      </c>
      <c r="BJ355" s="199">
        <v>5.7469999999999999</v>
      </c>
      <c r="BL355" s="197">
        <v>0.995</v>
      </c>
      <c r="BM355" s="198">
        <v>3.6993</v>
      </c>
      <c r="BN355" s="199">
        <v>0.15537000000000001</v>
      </c>
      <c r="BP355" s="197">
        <v>0.995</v>
      </c>
      <c r="BQ355" s="200">
        <v>270.32</v>
      </c>
      <c r="BR355" s="199">
        <v>6.4359999999999999</v>
      </c>
      <c r="BT355" s="197">
        <v>0.995</v>
      </c>
      <c r="BU355" s="201">
        <v>0.9133</v>
      </c>
      <c r="BV355" s="202">
        <v>1.0228999999999999</v>
      </c>
      <c r="BX355" s="37">
        <v>995</v>
      </c>
      <c r="BY355" s="38">
        <v>0.99560000000000004</v>
      </c>
      <c r="BZ355" s="39">
        <v>10.62</v>
      </c>
      <c r="CA355" s="33"/>
      <c r="CB355" s="37">
        <v>995</v>
      </c>
      <c r="CC355" s="38">
        <v>0.15892999999999999</v>
      </c>
      <c r="CD355" s="42">
        <v>6.2919999999999998</v>
      </c>
      <c r="CE355" s="33"/>
      <c r="CF355" s="33"/>
      <c r="CG355" s="33"/>
      <c r="CH355" s="33"/>
      <c r="CI355" s="33"/>
      <c r="CJ355" s="33"/>
      <c r="CK355" s="33"/>
      <c r="CL355" s="40">
        <v>995</v>
      </c>
      <c r="CM355" s="43">
        <v>993.9</v>
      </c>
      <c r="CN355" s="41">
        <v>1.0061</v>
      </c>
      <c r="CO355" s="33"/>
      <c r="CP355" s="40">
        <v>995</v>
      </c>
      <c r="CQ355" s="34">
        <v>1.0955999999999999</v>
      </c>
      <c r="CR355" s="41">
        <v>0.97819999999999996</v>
      </c>
      <c r="CS355" s="33"/>
      <c r="CT355" s="40">
        <v>995</v>
      </c>
      <c r="CU355" s="44">
        <v>265.88</v>
      </c>
      <c r="CV355" s="42">
        <v>6.3310000000000004</v>
      </c>
    </row>
    <row r="356" spans="4:100">
      <c r="D356" s="30">
        <v>34.6</v>
      </c>
      <c r="E356" s="31">
        <v>0.85189999999999999</v>
      </c>
      <c r="F356" s="32">
        <v>851.4</v>
      </c>
      <c r="G356" s="33"/>
      <c r="H356" s="30">
        <v>34.6</v>
      </c>
      <c r="I356" s="34">
        <v>3.7837000000000001</v>
      </c>
      <c r="J356" s="35">
        <v>0.15891</v>
      </c>
      <c r="L356" s="30">
        <v>34.6</v>
      </c>
      <c r="M356" s="172">
        <v>7.093</v>
      </c>
      <c r="N356" s="173">
        <v>0.14097999999999999</v>
      </c>
      <c r="P356" s="30">
        <v>34.6</v>
      </c>
      <c r="Q356" s="172">
        <v>3.5466000000000002</v>
      </c>
      <c r="R356" s="173">
        <v>0.14896000000000001</v>
      </c>
      <c r="T356" s="30">
        <v>34.6</v>
      </c>
      <c r="U356" s="172">
        <v>281.96000000000203</v>
      </c>
      <c r="V356" s="173">
        <v>6.7129999999999903</v>
      </c>
      <c r="X356" s="30">
        <v>34.6</v>
      </c>
      <c r="Y356" s="34">
        <v>3.1665999999999999</v>
      </c>
      <c r="Z356" s="35">
        <v>0.13300000000000001</v>
      </c>
      <c r="AA356" s="36"/>
      <c r="AB356" s="30">
        <v>34.6</v>
      </c>
      <c r="AC356" s="44">
        <v>315.79000000000002</v>
      </c>
      <c r="AD356" s="35">
        <v>7.5190000000000001</v>
      </c>
      <c r="AE356" s="36"/>
      <c r="AF356" s="30">
        <v>34.6</v>
      </c>
      <c r="AG356" s="34">
        <v>3.2174999999999998</v>
      </c>
      <c r="AH356" s="35">
        <v>0.13513</v>
      </c>
      <c r="AI356" s="35"/>
      <c r="AJ356" s="35">
        <v>0.12338</v>
      </c>
      <c r="AK356" s="998">
        <v>50.4</v>
      </c>
      <c r="AM356" s="30">
        <v>34.6</v>
      </c>
      <c r="AN356" s="34">
        <v>1.0668</v>
      </c>
      <c r="AO356" s="35">
        <v>1.1949000000000001</v>
      </c>
      <c r="AQ356" s="197">
        <v>0.996</v>
      </c>
      <c r="AR356" s="200">
        <v>10.57</v>
      </c>
      <c r="AS356" s="199">
        <v>995.4</v>
      </c>
      <c r="AZ356" s="197">
        <v>0.996</v>
      </c>
      <c r="BA356" s="198">
        <v>8.2949000000000002</v>
      </c>
      <c r="BB356" s="199">
        <v>0.12056</v>
      </c>
      <c r="BD356" s="197">
        <v>0.996</v>
      </c>
      <c r="BE356" s="198">
        <v>4.1474000000000002</v>
      </c>
      <c r="BF356" s="199">
        <v>0.17419000000000001</v>
      </c>
      <c r="BH356" s="197">
        <v>0.996</v>
      </c>
      <c r="BI356" s="198">
        <v>241.11</v>
      </c>
      <c r="BJ356" s="199">
        <v>5.7409999999999997</v>
      </c>
      <c r="BL356" s="197">
        <v>0.996</v>
      </c>
      <c r="BM356" s="198">
        <v>3.7031000000000001</v>
      </c>
      <c r="BN356" s="199">
        <v>0.15553</v>
      </c>
      <c r="BP356" s="197">
        <v>0.996</v>
      </c>
      <c r="BQ356" s="200">
        <v>270.05</v>
      </c>
      <c r="BR356" s="199">
        <v>6.43</v>
      </c>
      <c r="BT356" s="197">
        <v>0.996</v>
      </c>
      <c r="BU356" s="201">
        <v>0.91239999999999999</v>
      </c>
      <c r="BV356" s="202">
        <v>1.0219</v>
      </c>
      <c r="BX356" s="37">
        <v>996</v>
      </c>
      <c r="BY356" s="38">
        <v>0.99660000000000004</v>
      </c>
      <c r="BZ356" s="39">
        <v>10.48</v>
      </c>
      <c r="CA356" s="33"/>
      <c r="CB356" s="37">
        <v>996</v>
      </c>
      <c r="CC356" s="38">
        <v>0.15892999999999999</v>
      </c>
      <c r="CD356" s="42">
        <v>6.2919999999999998</v>
      </c>
      <c r="CE356" s="33"/>
      <c r="CF356" s="33"/>
      <c r="CG356" s="33"/>
      <c r="CH356" s="33"/>
      <c r="CI356" s="33"/>
      <c r="CJ356" s="33"/>
      <c r="CK356" s="33"/>
      <c r="CL356" s="40">
        <v>996</v>
      </c>
      <c r="CM356" s="43">
        <v>994.9</v>
      </c>
      <c r="CN356" s="41">
        <v>1.0051000000000001</v>
      </c>
      <c r="CO356" s="33"/>
      <c r="CP356" s="40">
        <v>996</v>
      </c>
      <c r="CQ356" s="34">
        <v>1.0967</v>
      </c>
      <c r="CR356" s="41">
        <v>0.97919999999999996</v>
      </c>
      <c r="CS356" s="33"/>
      <c r="CT356" s="40">
        <v>996</v>
      </c>
      <c r="CU356" s="44">
        <v>265.62</v>
      </c>
      <c r="CV356" s="42">
        <v>6.3239999999999998</v>
      </c>
    </row>
    <row r="357" spans="4:100">
      <c r="D357" s="30">
        <v>34.700000000000003</v>
      </c>
      <c r="E357" s="31">
        <v>0.85140000000000005</v>
      </c>
      <c r="F357" s="32">
        <v>850.9</v>
      </c>
      <c r="G357" s="33"/>
      <c r="H357" s="30">
        <v>34.700000000000003</v>
      </c>
      <c r="I357" s="34">
        <v>3.7837000000000001</v>
      </c>
      <c r="J357" s="35">
        <v>0.15891</v>
      </c>
      <c r="L357" s="30">
        <v>34.700000000000003</v>
      </c>
      <c r="M357" s="172">
        <v>7.0890000000000004</v>
      </c>
      <c r="N357" s="173">
        <v>0.14105999999999999</v>
      </c>
      <c r="P357" s="30">
        <v>34.700000000000003</v>
      </c>
      <c r="Q357" s="172">
        <v>3.5445000000000002</v>
      </c>
      <c r="R357" s="173">
        <v>0.14887</v>
      </c>
      <c r="T357" s="30">
        <v>34.700000000000003</v>
      </c>
      <c r="U357" s="172">
        <v>282.13000000000198</v>
      </c>
      <c r="V357" s="173">
        <v>6.7169999999999899</v>
      </c>
      <c r="X357" s="30">
        <v>34.700000000000003</v>
      </c>
      <c r="Y357" s="34">
        <v>3.1646999999999998</v>
      </c>
      <c r="Z357" s="35">
        <v>0.13292000000000001</v>
      </c>
      <c r="AA357" s="36"/>
      <c r="AB357" s="30">
        <v>34.700000000000003</v>
      </c>
      <c r="AC357" s="44">
        <v>315.98</v>
      </c>
      <c r="AD357" s="35">
        <v>7.5229999999999997</v>
      </c>
      <c r="AE357" s="36"/>
      <c r="AF357" s="30">
        <v>34.700000000000003</v>
      </c>
      <c r="AG357" s="34">
        <v>3.2155</v>
      </c>
      <c r="AH357" s="35">
        <v>0.13505</v>
      </c>
      <c r="AI357" s="35"/>
      <c r="AJ357" s="35">
        <v>0.12345</v>
      </c>
      <c r="AK357" s="998">
        <v>50.3</v>
      </c>
      <c r="AM357" s="30">
        <v>34.700000000000003</v>
      </c>
      <c r="AN357" s="34">
        <v>1.0674999999999999</v>
      </c>
      <c r="AO357" s="35">
        <v>1.1956</v>
      </c>
      <c r="AQ357" s="197">
        <v>0.997</v>
      </c>
      <c r="AR357" s="200">
        <v>10.43</v>
      </c>
      <c r="AS357" s="199">
        <v>996.4</v>
      </c>
      <c r="AZ357" s="197">
        <v>0.997</v>
      </c>
      <c r="BA357" s="198">
        <v>8.3032000000000004</v>
      </c>
      <c r="BB357" s="199">
        <v>0.12044000000000001</v>
      </c>
      <c r="BD357" s="197">
        <v>0.997</v>
      </c>
      <c r="BE357" s="198">
        <v>4.1516000000000002</v>
      </c>
      <c r="BF357" s="199">
        <v>0.17437</v>
      </c>
      <c r="BH357" s="197">
        <v>0.997</v>
      </c>
      <c r="BI357" s="198">
        <v>240.87</v>
      </c>
      <c r="BJ357" s="199">
        <v>5.7350000000000003</v>
      </c>
      <c r="BL357" s="197">
        <v>0.997</v>
      </c>
      <c r="BM357" s="198">
        <v>3.7067999999999999</v>
      </c>
      <c r="BN357" s="199">
        <v>0.15568000000000001</v>
      </c>
      <c r="BP357" s="197">
        <v>0.997</v>
      </c>
      <c r="BQ357" s="200">
        <v>269.77999999999997</v>
      </c>
      <c r="BR357" s="199">
        <v>6.423</v>
      </c>
      <c r="BT357" s="197">
        <v>0.997</v>
      </c>
      <c r="BU357" s="201">
        <v>0.91149999999999998</v>
      </c>
      <c r="BV357" s="202">
        <v>1.0207999999999999</v>
      </c>
      <c r="BX357" s="37">
        <v>997</v>
      </c>
      <c r="BY357" s="38">
        <v>0.99760000000000004</v>
      </c>
      <c r="BZ357" s="39">
        <v>10.34</v>
      </c>
      <c r="CA357" s="33"/>
      <c r="CB357" s="37">
        <v>997</v>
      </c>
      <c r="CC357" s="38">
        <v>0.15892999999999999</v>
      </c>
      <c r="CD357" s="42">
        <v>6.2919999999999998</v>
      </c>
      <c r="CE357" s="33"/>
      <c r="CF357" s="33"/>
      <c r="CG357" s="33"/>
      <c r="CH357" s="33"/>
      <c r="CI357" s="33"/>
      <c r="CJ357" s="33"/>
      <c r="CK357" s="33"/>
      <c r="CL357" s="40">
        <v>997</v>
      </c>
      <c r="CM357" s="43">
        <v>995.9</v>
      </c>
      <c r="CN357" s="41">
        <v>1.0041</v>
      </c>
      <c r="CO357" s="33"/>
      <c r="CP357" s="40">
        <v>997</v>
      </c>
      <c r="CQ357" s="34">
        <v>1.0978000000000001</v>
      </c>
      <c r="CR357" s="41">
        <v>0.98019999999999996</v>
      </c>
      <c r="CS357" s="33"/>
      <c r="CT357" s="40">
        <v>997</v>
      </c>
      <c r="CU357" s="44">
        <v>265.35000000000002</v>
      </c>
      <c r="CV357" s="42">
        <v>6.3179999999999996</v>
      </c>
    </row>
    <row r="358" spans="4:100">
      <c r="D358" s="30">
        <v>34.799999999999997</v>
      </c>
      <c r="E358" s="31">
        <v>0.85089999999999999</v>
      </c>
      <c r="F358" s="32">
        <v>850.4</v>
      </c>
      <c r="G358" s="33"/>
      <c r="H358" s="30">
        <v>34.799999999999997</v>
      </c>
      <c r="I358" s="34">
        <v>3.7837000000000001</v>
      </c>
      <c r="J358" s="35">
        <v>0.15891</v>
      </c>
      <c r="L358" s="30">
        <v>34.799999999999997</v>
      </c>
      <c r="M358" s="172">
        <v>7.085</v>
      </c>
      <c r="N358" s="173">
        <v>0.14115</v>
      </c>
      <c r="P358" s="30">
        <v>34.799999999999997</v>
      </c>
      <c r="Q358" s="172">
        <v>3.5424000000000002</v>
      </c>
      <c r="R358" s="173">
        <v>0.14878</v>
      </c>
      <c r="T358" s="30">
        <v>34.799999999999997</v>
      </c>
      <c r="U358" s="172">
        <v>282.300000000002</v>
      </c>
      <c r="V358" s="173">
        <v>6.7209999999999903</v>
      </c>
      <c r="X358" s="30">
        <v>34.799999999999997</v>
      </c>
      <c r="Y358" s="34">
        <v>3.1627999999999998</v>
      </c>
      <c r="Z358" s="35">
        <v>0.13284000000000001</v>
      </c>
      <c r="AA358" s="36"/>
      <c r="AB358" s="30">
        <v>34.799999999999997</v>
      </c>
      <c r="AC358" s="44">
        <v>316.17</v>
      </c>
      <c r="AD358" s="35">
        <v>7.5279999999999996</v>
      </c>
      <c r="AE358" s="36"/>
      <c r="AF358" s="30">
        <v>34.799999999999997</v>
      </c>
      <c r="AG358" s="34">
        <v>3.2136</v>
      </c>
      <c r="AH358" s="35">
        <v>0.13497000000000001</v>
      </c>
      <c r="AI358" s="35"/>
      <c r="AJ358" s="35">
        <v>0.12350999999999999</v>
      </c>
      <c r="AK358" s="998">
        <v>50.2</v>
      </c>
      <c r="AM358" s="30">
        <v>34.799999999999997</v>
      </c>
      <c r="AN358" s="34">
        <v>1.0681</v>
      </c>
      <c r="AO358" s="35">
        <v>1.1962999999999999</v>
      </c>
      <c r="AQ358" s="197">
        <v>0.998</v>
      </c>
      <c r="AR358" s="200">
        <v>10.28</v>
      </c>
      <c r="AS358" s="199">
        <v>997.4</v>
      </c>
      <c r="AZ358" s="197">
        <v>0.998</v>
      </c>
      <c r="BA358" s="198">
        <v>8.3115000000000006</v>
      </c>
      <c r="BB358" s="199">
        <v>0.12031</v>
      </c>
      <c r="BD358" s="197">
        <v>0.998</v>
      </c>
      <c r="BE358" s="198">
        <v>4.1558000000000002</v>
      </c>
      <c r="BF358" s="199">
        <v>0.17454</v>
      </c>
      <c r="BH358" s="197">
        <v>0.998</v>
      </c>
      <c r="BI358" s="198">
        <v>240.63</v>
      </c>
      <c r="BJ358" s="199">
        <v>5.7290000000000001</v>
      </c>
      <c r="BL358" s="197">
        <v>0.998</v>
      </c>
      <c r="BM358" s="198">
        <v>3.7105000000000001</v>
      </c>
      <c r="BN358" s="199">
        <v>0.15584000000000001</v>
      </c>
      <c r="BP358" s="197">
        <v>0.998</v>
      </c>
      <c r="BQ358" s="200">
        <v>269.51</v>
      </c>
      <c r="BR358" s="199">
        <v>6.4169999999999998</v>
      </c>
      <c r="BT358" s="197">
        <v>0.998</v>
      </c>
      <c r="BU358" s="201">
        <v>0.91049999999999998</v>
      </c>
      <c r="BV358" s="202">
        <v>1.0198</v>
      </c>
      <c r="BX358" s="37">
        <v>998</v>
      </c>
      <c r="BY358" s="38">
        <v>0.99860000000000004</v>
      </c>
      <c r="BZ358" s="39">
        <v>10.199999999999999</v>
      </c>
      <c r="CA358" s="33"/>
      <c r="CB358" s="37">
        <v>998</v>
      </c>
      <c r="CC358" s="38">
        <v>0.15892999999999999</v>
      </c>
      <c r="CD358" s="42">
        <v>6.2919999999999998</v>
      </c>
      <c r="CE358" s="33"/>
      <c r="CF358" s="33"/>
      <c r="CG358" s="33"/>
      <c r="CH358" s="33"/>
      <c r="CI358" s="33"/>
      <c r="CJ358" s="33"/>
      <c r="CK358" s="33"/>
      <c r="CL358" s="40">
        <v>998</v>
      </c>
      <c r="CM358" s="43">
        <v>996.9</v>
      </c>
      <c r="CN358" s="41">
        <v>1.0031000000000001</v>
      </c>
      <c r="CO358" s="33"/>
      <c r="CP358" s="40">
        <v>998</v>
      </c>
      <c r="CQ358" s="34">
        <v>1.0989</v>
      </c>
      <c r="CR358" s="41">
        <v>0.98119999999999996</v>
      </c>
      <c r="CS358" s="33"/>
      <c r="CT358" s="40">
        <v>998</v>
      </c>
      <c r="CU358" s="44">
        <v>265.08</v>
      </c>
      <c r="CV358" s="42">
        <v>6.3120000000000003</v>
      </c>
    </row>
    <row r="359" spans="4:100">
      <c r="D359" s="30">
        <v>34.9</v>
      </c>
      <c r="E359" s="31">
        <v>0.85040000000000004</v>
      </c>
      <c r="F359" s="32">
        <v>849.9</v>
      </c>
      <c r="G359" s="33"/>
      <c r="H359" s="30">
        <v>34.9</v>
      </c>
      <c r="I359" s="34">
        <v>3.7837000000000001</v>
      </c>
      <c r="J359" s="35">
        <v>0.15891</v>
      </c>
      <c r="L359" s="30">
        <v>34.9</v>
      </c>
      <c r="M359" s="172">
        <v>7.08</v>
      </c>
      <c r="N359" s="173">
        <v>0.14122999999999999</v>
      </c>
      <c r="P359" s="30">
        <v>34.9</v>
      </c>
      <c r="Q359" s="172">
        <v>3.5402</v>
      </c>
      <c r="R359" s="173">
        <v>0.14868999999999999</v>
      </c>
      <c r="T359" s="30">
        <v>34.9</v>
      </c>
      <c r="U359" s="172">
        <v>282.47000000000202</v>
      </c>
      <c r="V359" s="173">
        <v>6.7249999999999899</v>
      </c>
      <c r="X359" s="30">
        <v>34.9</v>
      </c>
      <c r="Y359" s="34">
        <v>3.1608999999999998</v>
      </c>
      <c r="Z359" s="35">
        <v>0.13275999999999999</v>
      </c>
      <c r="AA359" s="36"/>
      <c r="AB359" s="30">
        <v>34.9</v>
      </c>
      <c r="AC359" s="44">
        <v>316.36</v>
      </c>
      <c r="AD359" s="35">
        <v>7.532</v>
      </c>
      <c r="AE359" s="36"/>
      <c r="AF359" s="30">
        <v>34.9</v>
      </c>
      <c r="AG359" s="34">
        <v>3.2115999999999998</v>
      </c>
      <c r="AH359" s="35">
        <v>0.13489000000000001</v>
      </c>
      <c r="AI359" s="35"/>
      <c r="AJ359" s="35">
        <v>0.12358</v>
      </c>
      <c r="AK359" s="998">
        <v>50.1</v>
      </c>
      <c r="AM359" s="30">
        <v>34.9</v>
      </c>
      <c r="AN359" s="34">
        <v>1.0688</v>
      </c>
      <c r="AO359" s="35">
        <v>1.1970000000000001</v>
      </c>
      <c r="AQ359" s="197">
        <v>0.999</v>
      </c>
      <c r="AR359" s="200">
        <v>10.14</v>
      </c>
      <c r="AS359" s="199">
        <v>998.4</v>
      </c>
      <c r="AZ359" s="197">
        <v>0.999</v>
      </c>
      <c r="BA359" s="198">
        <v>8.3199000000000005</v>
      </c>
      <c r="BB359" s="199">
        <v>0.12019000000000001</v>
      </c>
      <c r="BD359" s="197">
        <v>0.999</v>
      </c>
      <c r="BE359" s="198">
        <v>4.1599000000000004</v>
      </c>
      <c r="BF359" s="199">
        <v>0.17471999999999999</v>
      </c>
      <c r="BH359" s="197">
        <v>0.999</v>
      </c>
      <c r="BI359" s="198">
        <v>240.39</v>
      </c>
      <c r="BJ359" s="199">
        <v>5.7240000000000002</v>
      </c>
      <c r="BL359" s="197">
        <v>0.999</v>
      </c>
      <c r="BM359" s="198">
        <v>3.7141999999999999</v>
      </c>
      <c r="BN359" s="199">
        <v>0.156</v>
      </c>
      <c r="BP359" s="197">
        <v>0.999</v>
      </c>
      <c r="BQ359" s="200">
        <v>269.23</v>
      </c>
      <c r="BR359" s="199">
        <v>6.41</v>
      </c>
      <c r="BT359" s="197">
        <v>0.999</v>
      </c>
      <c r="BU359" s="201">
        <v>0.90959999999999996</v>
      </c>
      <c r="BV359" s="202">
        <v>1.0187999999999999</v>
      </c>
      <c r="BX359" s="37">
        <v>999</v>
      </c>
      <c r="BY359" s="38">
        <v>0.99960000000000004</v>
      </c>
      <c r="BZ359" s="39">
        <v>10.050000000000001</v>
      </c>
      <c r="CA359" s="33"/>
      <c r="CB359" s="37">
        <v>999</v>
      </c>
      <c r="CC359" s="38">
        <v>0.15892999999999999</v>
      </c>
      <c r="CD359" s="42">
        <v>6.2919999999999998</v>
      </c>
      <c r="CE359" s="33"/>
      <c r="CF359" s="33"/>
      <c r="CG359" s="33"/>
      <c r="CH359" s="33"/>
      <c r="CI359" s="33"/>
      <c r="CJ359" s="33"/>
      <c r="CK359" s="33"/>
      <c r="CL359" s="40">
        <v>999</v>
      </c>
      <c r="CM359" s="43">
        <v>997.9</v>
      </c>
      <c r="CN359" s="41">
        <v>1.0021</v>
      </c>
      <c r="CO359" s="33"/>
      <c r="CP359" s="40">
        <v>999</v>
      </c>
      <c r="CQ359" s="34">
        <v>1.1000000000000001</v>
      </c>
      <c r="CR359" s="41">
        <v>0.98219999999999996</v>
      </c>
      <c r="CS359" s="33"/>
      <c r="CT359" s="40">
        <v>999</v>
      </c>
      <c r="CU359" s="44">
        <v>264.82</v>
      </c>
      <c r="CV359" s="42">
        <v>6.3049999999999997</v>
      </c>
    </row>
    <row r="360" spans="4:100">
      <c r="D360" s="30">
        <v>35</v>
      </c>
      <c r="E360" s="31">
        <v>0.8498</v>
      </c>
      <c r="F360" s="32">
        <v>849.4</v>
      </c>
      <c r="G360" s="33"/>
      <c r="H360" s="30">
        <v>35</v>
      </c>
      <c r="I360" s="34">
        <v>3.7837000000000001</v>
      </c>
      <c r="J360" s="35">
        <v>0.15891</v>
      </c>
      <c r="L360" s="30">
        <v>35</v>
      </c>
      <c r="M360" s="172">
        <v>7.0759999999999996</v>
      </c>
      <c r="N360" s="173">
        <v>0.14132</v>
      </c>
      <c r="P360" s="30">
        <v>35</v>
      </c>
      <c r="Q360" s="172">
        <v>3.5381</v>
      </c>
      <c r="R360" s="173">
        <v>0.14860000000000001</v>
      </c>
      <c r="T360" s="30">
        <v>35</v>
      </c>
      <c r="U360" s="172">
        <v>282.64000000000198</v>
      </c>
      <c r="V360" s="173">
        <v>6.7289999999999903</v>
      </c>
      <c r="X360" s="30">
        <v>35</v>
      </c>
      <c r="Y360" s="34">
        <v>3.1589999999999998</v>
      </c>
      <c r="Z360" s="35">
        <v>0.13267999999999999</v>
      </c>
      <c r="AA360" s="36"/>
      <c r="AB360" s="30">
        <v>35</v>
      </c>
      <c r="AC360" s="44">
        <v>316.55</v>
      </c>
      <c r="AD360" s="35">
        <v>7.5369999999999999</v>
      </c>
      <c r="AE360" s="36"/>
      <c r="AF360" s="30">
        <v>35</v>
      </c>
      <c r="AG360" s="34">
        <v>3.2097000000000002</v>
      </c>
      <c r="AH360" s="35">
        <v>0.13481000000000001</v>
      </c>
      <c r="AI360" s="35"/>
      <c r="AJ360" s="35">
        <v>0.12365</v>
      </c>
      <c r="AK360" s="998">
        <v>50</v>
      </c>
      <c r="AM360" s="30">
        <v>35</v>
      </c>
      <c r="AN360" s="34">
        <v>1.0693999999999999</v>
      </c>
      <c r="AO360" s="35">
        <v>1.1977</v>
      </c>
      <c r="AQ360" s="197">
        <v>1</v>
      </c>
      <c r="AR360" s="200">
        <v>10</v>
      </c>
      <c r="AS360" s="199">
        <v>999.4</v>
      </c>
      <c r="AZ360" s="197">
        <v>1</v>
      </c>
      <c r="BA360" s="198">
        <v>8.3282000000000007</v>
      </c>
      <c r="BB360" s="199">
        <v>0.12007</v>
      </c>
      <c r="BD360" s="197">
        <v>1</v>
      </c>
      <c r="BE360" s="198">
        <v>4.1641000000000004</v>
      </c>
      <c r="BF360" s="199">
        <v>0.17488999999999999</v>
      </c>
      <c r="BH360" s="197">
        <v>1</v>
      </c>
      <c r="BI360" s="198">
        <v>240.15</v>
      </c>
      <c r="BJ360" s="199">
        <v>5.718</v>
      </c>
      <c r="BL360" s="197">
        <v>1</v>
      </c>
      <c r="BM360" s="198">
        <v>3.718</v>
      </c>
      <c r="BN360" s="199">
        <v>0.15615000000000001</v>
      </c>
      <c r="BP360" s="197">
        <v>1</v>
      </c>
      <c r="BQ360" s="200">
        <v>268.97000000000003</v>
      </c>
      <c r="BR360" s="199">
        <v>6.4039999999999999</v>
      </c>
      <c r="BT360" s="197">
        <v>1</v>
      </c>
      <c r="BU360" s="201">
        <v>0.90869999999999995</v>
      </c>
      <c r="BV360" s="202">
        <v>1.0178</v>
      </c>
      <c r="BX360" s="37">
        <v>1000</v>
      </c>
      <c r="BY360" s="38">
        <v>1.0005999999999999</v>
      </c>
      <c r="BZ360" s="39">
        <v>9.91</v>
      </c>
      <c r="CA360" s="33"/>
      <c r="CB360" s="37">
        <v>1000</v>
      </c>
      <c r="CC360" s="38">
        <v>0.15892999999999999</v>
      </c>
      <c r="CD360" s="42">
        <v>6.2919999999999998</v>
      </c>
      <c r="CE360" s="33"/>
      <c r="CF360" s="33"/>
      <c r="CG360" s="33"/>
      <c r="CH360" s="33"/>
      <c r="CI360" s="33"/>
      <c r="CJ360" s="33"/>
      <c r="CK360" s="33"/>
      <c r="CL360" s="40">
        <v>1000</v>
      </c>
      <c r="CM360" s="43">
        <v>998.9</v>
      </c>
      <c r="CN360" s="41">
        <v>1.0011000000000001</v>
      </c>
      <c r="CO360" s="33"/>
      <c r="CP360" s="40">
        <v>1000</v>
      </c>
      <c r="CQ360" s="34">
        <v>1.1011</v>
      </c>
      <c r="CR360" s="41">
        <v>0.98319999999999996</v>
      </c>
      <c r="CS360" s="33"/>
      <c r="CT360" s="40">
        <v>1000</v>
      </c>
      <c r="CU360" s="44">
        <v>264.55</v>
      </c>
      <c r="CV360" s="42">
        <v>6.2990000000000004</v>
      </c>
    </row>
    <row r="361" spans="4:100">
      <c r="D361" s="30">
        <v>35.1</v>
      </c>
      <c r="E361" s="31">
        <v>0.84930000000000005</v>
      </c>
      <c r="F361" s="32">
        <v>848.9</v>
      </c>
      <c r="G361" s="33"/>
      <c r="H361" s="30">
        <v>35.1</v>
      </c>
      <c r="I361" s="34">
        <v>3.7837000000000001</v>
      </c>
      <c r="J361" s="35">
        <v>0.15891</v>
      </c>
      <c r="L361" s="30">
        <v>35.1</v>
      </c>
      <c r="M361" s="172">
        <v>7.0720000000000001</v>
      </c>
      <c r="N361" s="173">
        <v>0.1414</v>
      </c>
      <c r="P361" s="30">
        <v>35.1</v>
      </c>
      <c r="Q361" s="172">
        <v>3.536</v>
      </c>
      <c r="R361" s="173">
        <v>0.14851</v>
      </c>
      <c r="T361" s="30">
        <v>35.1</v>
      </c>
      <c r="U361" s="172">
        <v>282.81000000000199</v>
      </c>
      <c r="V361" s="173">
        <v>6.734</v>
      </c>
      <c r="X361" s="30">
        <v>35.1</v>
      </c>
      <c r="Y361" s="34">
        <v>3.1570999999999998</v>
      </c>
      <c r="Z361" s="35">
        <v>0.1326</v>
      </c>
      <c r="AA361" s="36"/>
      <c r="AB361" s="30">
        <v>35.1</v>
      </c>
      <c r="AC361" s="44">
        <v>316.74</v>
      </c>
      <c r="AD361" s="35">
        <v>7.5419999999999998</v>
      </c>
      <c r="AE361" s="36"/>
      <c r="AF361" s="30">
        <v>35.1</v>
      </c>
      <c r="AG361" s="34">
        <v>3.2078000000000002</v>
      </c>
      <c r="AH361" s="35">
        <v>0.13472999999999999</v>
      </c>
      <c r="AI361" s="35"/>
      <c r="AJ361" s="35">
        <v>0.12372</v>
      </c>
      <c r="AK361" s="998">
        <v>49.9</v>
      </c>
      <c r="AM361" s="30">
        <v>35.1</v>
      </c>
      <c r="AN361" s="34">
        <v>1.07</v>
      </c>
      <c r="AO361" s="35">
        <v>1.1984999999999999</v>
      </c>
      <c r="AQ361" s="197">
        <v>1.0009999999999999</v>
      </c>
      <c r="AR361" s="200">
        <v>9.86</v>
      </c>
      <c r="AS361" s="199">
        <v>1000.4</v>
      </c>
      <c r="AZ361" s="197">
        <v>1.0009999999999999</v>
      </c>
      <c r="BA361" s="198">
        <v>8.3364999999999991</v>
      </c>
      <c r="BB361" s="199">
        <v>0.11995</v>
      </c>
      <c r="BD361" s="197">
        <v>1.0009999999999999</v>
      </c>
      <c r="BE361" s="198">
        <v>4.1683000000000003</v>
      </c>
      <c r="BF361" s="199">
        <v>0.17507</v>
      </c>
      <c r="BH361" s="197">
        <v>1.0009999999999999</v>
      </c>
      <c r="BI361" s="198">
        <v>239.91</v>
      </c>
      <c r="BJ361" s="199">
        <v>5.7119999999999997</v>
      </c>
      <c r="BL361" s="197">
        <v>1.0009999999999999</v>
      </c>
      <c r="BM361" s="198">
        <v>3.7216999999999998</v>
      </c>
      <c r="BN361" s="199">
        <v>0.15631</v>
      </c>
      <c r="BP361" s="197">
        <v>1.0009999999999999</v>
      </c>
      <c r="BQ361" s="200">
        <v>268.7</v>
      </c>
      <c r="BR361" s="199">
        <v>6.3979999999999997</v>
      </c>
      <c r="BT361" s="197">
        <v>1.0009999999999999</v>
      </c>
      <c r="BU361" s="201">
        <v>0.90780000000000005</v>
      </c>
      <c r="BV361" s="202">
        <v>1.0166999999999999</v>
      </c>
      <c r="BX361" s="37">
        <v>1001</v>
      </c>
      <c r="BY361" s="38">
        <v>1.0016</v>
      </c>
      <c r="BZ361" s="39">
        <v>9.77</v>
      </c>
      <c r="CA361" s="33"/>
      <c r="CB361" s="37">
        <v>1001</v>
      </c>
      <c r="CC361" s="38">
        <v>0.15892999999999999</v>
      </c>
      <c r="CD361" s="42">
        <v>6.2919999999999998</v>
      </c>
      <c r="CE361" s="33"/>
      <c r="CF361" s="33"/>
      <c r="CG361" s="33"/>
      <c r="CH361" s="33"/>
      <c r="CI361" s="33"/>
      <c r="CJ361" s="33"/>
      <c r="CK361" s="33"/>
      <c r="CL361" s="40">
        <v>1001</v>
      </c>
      <c r="CM361" s="43">
        <v>999.9</v>
      </c>
      <c r="CN361" s="41">
        <v>1.0001</v>
      </c>
      <c r="CO361" s="33"/>
      <c r="CP361" s="40">
        <v>1001</v>
      </c>
      <c r="CQ361" s="34">
        <v>1.1022000000000001</v>
      </c>
      <c r="CR361" s="41">
        <v>0.98409999999999997</v>
      </c>
      <c r="CS361" s="33"/>
      <c r="CT361" s="40">
        <v>1001</v>
      </c>
      <c r="CU361" s="44">
        <v>264.29000000000002</v>
      </c>
      <c r="CV361" s="42">
        <v>6.2930000000000001</v>
      </c>
    </row>
    <row r="362" spans="4:100">
      <c r="D362" s="30">
        <v>35.200000000000003</v>
      </c>
      <c r="E362" s="31">
        <v>0.8488</v>
      </c>
      <c r="F362" s="32">
        <v>848.4</v>
      </c>
      <c r="G362" s="33"/>
      <c r="H362" s="30">
        <v>35.200000000000003</v>
      </c>
      <c r="I362" s="34">
        <v>3.7837000000000001</v>
      </c>
      <c r="J362" s="35">
        <v>0.15891</v>
      </c>
      <c r="L362" s="30">
        <v>35.200000000000003</v>
      </c>
      <c r="M362" s="172">
        <v>7.0679999999999996</v>
      </c>
      <c r="N362" s="173">
        <v>0.14149</v>
      </c>
      <c r="P362" s="30">
        <v>35.200000000000003</v>
      </c>
      <c r="Q362" s="172">
        <v>3.5339</v>
      </c>
      <c r="R362" s="173">
        <v>0.14842</v>
      </c>
      <c r="T362" s="30">
        <v>35.200000000000003</v>
      </c>
      <c r="U362" s="172">
        <v>282.98000000000201</v>
      </c>
      <c r="V362" s="173">
        <v>6.7380000000000004</v>
      </c>
      <c r="X362" s="30">
        <v>35.200000000000003</v>
      </c>
      <c r="Y362" s="34">
        <v>3.1551999999999998</v>
      </c>
      <c r="Z362" s="35">
        <v>0.13252</v>
      </c>
      <c r="AA362" s="36"/>
      <c r="AB362" s="30">
        <v>35.200000000000003</v>
      </c>
      <c r="AC362" s="44">
        <v>316.93</v>
      </c>
      <c r="AD362" s="35">
        <v>7.5460000000000003</v>
      </c>
      <c r="AE362" s="36"/>
      <c r="AF362" s="30">
        <v>35.200000000000003</v>
      </c>
      <c r="AG362" s="34">
        <v>3.2059000000000002</v>
      </c>
      <c r="AH362" s="35">
        <v>0.13464999999999999</v>
      </c>
      <c r="AI362" s="35"/>
      <c r="AJ362" s="35">
        <v>0.12379</v>
      </c>
      <c r="AK362" s="998">
        <v>49.8</v>
      </c>
      <c r="AM362" s="30">
        <v>35.200000000000003</v>
      </c>
      <c r="AN362" s="34">
        <v>1.0707</v>
      </c>
      <c r="AO362" s="35">
        <v>1.1992</v>
      </c>
      <c r="AQ362" s="197">
        <v>1.002</v>
      </c>
      <c r="AR362" s="200">
        <v>9.7200000000000006</v>
      </c>
      <c r="AS362" s="199">
        <v>1001.4</v>
      </c>
      <c r="AZ362" s="197">
        <v>1.002</v>
      </c>
      <c r="BA362" s="198">
        <v>8.3449000000000009</v>
      </c>
      <c r="BB362" s="199">
        <v>0.11983000000000001</v>
      </c>
      <c r="BD362" s="197">
        <v>1.002</v>
      </c>
      <c r="BE362" s="198">
        <v>4.1723999999999997</v>
      </c>
      <c r="BF362" s="199">
        <v>0.17524000000000001</v>
      </c>
      <c r="BH362" s="197">
        <v>1.002</v>
      </c>
      <c r="BI362" s="198">
        <v>239.67</v>
      </c>
      <c r="BJ362" s="199">
        <v>5.7060000000000004</v>
      </c>
      <c r="BL362" s="197">
        <v>1.002</v>
      </c>
      <c r="BM362" s="198">
        <v>3.7254</v>
      </c>
      <c r="BN362" s="199">
        <v>0.15647</v>
      </c>
      <c r="BP362" s="197">
        <v>1.002</v>
      </c>
      <c r="BQ362" s="200">
        <v>268.43</v>
      </c>
      <c r="BR362" s="199">
        <v>6.391</v>
      </c>
      <c r="BT362" s="197">
        <v>1.002</v>
      </c>
      <c r="BU362" s="201">
        <v>0.90690000000000004</v>
      </c>
      <c r="BV362" s="202">
        <v>1.0157</v>
      </c>
      <c r="BX362" s="37">
        <v>1002</v>
      </c>
      <c r="BY362" s="38">
        <v>1.0025999999999999</v>
      </c>
      <c r="BZ362" s="39">
        <v>9.6300000000000008</v>
      </c>
      <c r="CA362" s="33"/>
      <c r="CB362" s="37">
        <v>1002</v>
      </c>
      <c r="CC362" s="38">
        <v>0.15892999999999999</v>
      </c>
      <c r="CD362" s="42">
        <v>6.2919999999999998</v>
      </c>
      <c r="CE362" s="33"/>
      <c r="CF362" s="33"/>
      <c r="CG362" s="33"/>
      <c r="CH362" s="33"/>
      <c r="CI362" s="33"/>
      <c r="CJ362" s="33"/>
      <c r="CK362" s="33"/>
      <c r="CL362" s="40">
        <v>1002</v>
      </c>
      <c r="CM362" s="43">
        <v>1000.9</v>
      </c>
      <c r="CN362" s="41">
        <v>0.99909999999999999</v>
      </c>
      <c r="CO362" s="33"/>
      <c r="CP362" s="40">
        <v>1002</v>
      </c>
      <c r="CQ362" s="34">
        <v>1.1032999999999999</v>
      </c>
      <c r="CR362" s="41">
        <v>0.98509999999999998</v>
      </c>
      <c r="CS362" s="33"/>
      <c r="CT362" s="40">
        <v>1002</v>
      </c>
      <c r="CU362" s="44">
        <v>264.02</v>
      </c>
      <c r="CV362" s="42">
        <v>6.2859999999999996</v>
      </c>
    </row>
    <row r="363" spans="4:100">
      <c r="D363" s="30">
        <v>35.299999999999997</v>
      </c>
      <c r="E363" s="31">
        <v>0.84830000000000005</v>
      </c>
      <c r="F363" s="32">
        <v>847.9</v>
      </c>
      <c r="G363" s="33"/>
      <c r="H363" s="30">
        <v>35.299999999999997</v>
      </c>
      <c r="I363" s="34">
        <v>3.7837000000000001</v>
      </c>
      <c r="J363" s="35">
        <v>0.15891</v>
      </c>
      <c r="L363" s="30">
        <v>35.299999999999997</v>
      </c>
      <c r="M363" s="172">
        <v>7.0629999999999997</v>
      </c>
      <c r="N363" s="173">
        <v>0.14157</v>
      </c>
      <c r="P363" s="30">
        <v>35.299999999999997</v>
      </c>
      <c r="Q363" s="172">
        <v>3.5316999999999998</v>
      </c>
      <c r="R363" s="173">
        <v>0.14832999999999999</v>
      </c>
      <c r="T363" s="30">
        <v>35.299999999999997</v>
      </c>
      <c r="U363" s="172">
        <v>283.15000000000202</v>
      </c>
      <c r="V363" s="173">
        <v>6.742</v>
      </c>
      <c r="X363" s="30">
        <v>35.299999999999997</v>
      </c>
      <c r="Y363" s="34">
        <v>3.1533000000000002</v>
      </c>
      <c r="Z363" s="35">
        <v>0.13244</v>
      </c>
      <c r="AA363" s="36"/>
      <c r="AB363" s="30">
        <v>35.299999999999997</v>
      </c>
      <c r="AC363" s="44">
        <v>317.13</v>
      </c>
      <c r="AD363" s="35">
        <v>7.5510000000000002</v>
      </c>
      <c r="AE363" s="36"/>
      <c r="AF363" s="30">
        <v>35.299999999999997</v>
      </c>
      <c r="AG363" s="34">
        <v>3.2039</v>
      </c>
      <c r="AH363" s="35">
        <v>0.13457</v>
      </c>
      <c r="AI363" s="35"/>
      <c r="AJ363" s="35">
        <v>0.12386</v>
      </c>
      <c r="AK363" s="998">
        <v>49.7</v>
      </c>
      <c r="AM363" s="30">
        <v>35.299999999999997</v>
      </c>
      <c r="AN363" s="34">
        <v>1.0712999999999999</v>
      </c>
      <c r="AO363" s="35">
        <v>1.1999</v>
      </c>
      <c r="AQ363" s="197">
        <v>1.0029999999999999</v>
      </c>
      <c r="AR363" s="200">
        <v>9.58</v>
      </c>
      <c r="AS363" s="199">
        <v>1002.4</v>
      </c>
      <c r="AZ363" s="197">
        <v>1.0029999999999999</v>
      </c>
      <c r="BA363" s="198">
        <v>8.3531999999999993</v>
      </c>
      <c r="BB363" s="199">
        <v>0.11971</v>
      </c>
      <c r="BD363" s="197">
        <v>1.0029999999999999</v>
      </c>
      <c r="BE363" s="198">
        <v>4.1765999999999996</v>
      </c>
      <c r="BF363" s="199">
        <v>0.17541999999999999</v>
      </c>
      <c r="BH363" s="197">
        <v>1.0029999999999999</v>
      </c>
      <c r="BI363" s="198">
        <v>239.43</v>
      </c>
      <c r="BJ363" s="199">
        <v>5.7009999999999996</v>
      </c>
      <c r="BL363" s="197">
        <v>1.0029999999999999</v>
      </c>
      <c r="BM363" s="198">
        <v>3.7290999999999999</v>
      </c>
      <c r="BN363" s="199">
        <v>0.15662000000000001</v>
      </c>
      <c r="BP363" s="197">
        <v>1.0029999999999999</v>
      </c>
      <c r="BQ363" s="200">
        <v>268.16000000000003</v>
      </c>
      <c r="BR363" s="199">
        <v>6.3849999999999998</v>
      </c>
      <c r="BT363" s="197">
        <v>1.0029999999999999</v>
      </c>
      <c r="BU363" s="201">
        <v>0.90600000000000003</v>
      </c>
      <c r="BV363" s="202">
        <v>1.0146999999999999</v>
      </c>
      <c r="BX363" s="37">
        <v>1003</v>
      </c>
      <c r="BY363" s="38">
        <v>1.0036</v>
      </c>
      <c r="BZ363" s="39">
        <v>9.49</v>
      </c>
      <c r="CA363" s="33"/>
      <c r="CB363" s="37">
        <v>1003</v>
      </c>
      <c r="CC363" s="38">
        <v>0.15892999999999999</v>
      </c>
      <c r="CD363" s="42">
        <v>6.2919999999999998</v>
      </c>
      <c r="CE363" s="33"/>
      <c r="CF363" s="33"/>
      <c r="CG363" s="33"/>
      <c r="CH363" s="33"/>
      <c r="CI363" s="33"/>
      <c r="CJ363" s="33"/>
      <c r="CK363" s="33"/>
      <c r="CL363" s="40">
        <v>1003</v>
      </c>
      <c r="CM363" s="43">
        <v>1001.9</v>
      </c>
      <c r="CN363" s="41">
        <v>0.99809999999999999</v>
      </c>
      <c r="CO363" s="33"/>
      <c r="CP363" s="40">
        <v>1003</v>
      </c>
      <c r="CQ363" s="34">
        <v>1.1044</v>
      </c>
      <c r="CR363" s="41">
        <v>0.98609999999999998</v>
      </c>
      <c r="CS363" s="33"/>
      <c r="CT363" s="40">
        <v>1003</v>
      </c>
      <c r="CU363" s="44">
        <v>263.76</v>
      </c>
      <c r="CV363" s="42">
        <v>6.28</v>
      </c>
    </row>
    <row r="364" spans="4:100">
      <c r="D364" s="30">
        <v>35.4</v>
      </c>
      <c r="E364" s="31">
        <v>0.8478</v>
      </c>
      <c r="F364" s="32">
        <v>847.4</v>
      </c>
      <c r="G364" s="33"/>
      <c r="H364" s="30">
        <v>35.4</v>
      </c>
      <c r="I364" s="34">
        <v>3.7837000000000001</v>
      </c>
      <c r="J364" s="35">
        <v>0.15891</v>
      </c>
      <c r="L364" s="30">
        <v>35.4</v>
      </c>
      <c r="M364" s="172">
        <v>7.0590000000000002</v>
      </c>
      <c r="N364" s="173">
        <v>0.14166000000000001</v>
      </c>
      <c r="P364" s="30">
        <v>35.4</v>
      </c>
      <c r="Q364" s="172">
        <v>3.5295999999999998</v>
      </c>
      <c r="R364" s="173">
        <v>0.14824000000000001</v>
      </c>
      <c r="T364" s="30">
        <v>35.4</v>
      </c>
      <c r="U364" s="172">
        <v>283.32000000000198</v>
      </c>
      <c r="V364" s="173">
        <v>6.7460000000000004</v>
      </c>
      <c r="X364" s="30">
        <v>35.4</v>
      </c>
      <c r="Y364" s="34">
        <v>3.1514000000000002</v>
      </c>
      <c r="Z364" s="35">
        <v>0.13236000000000001</v>
      </c>
      <c r="AA364" s="36"/>
      <c r="AB364" s="30">
        <v>35.4</v>
      </c>
      <c r="AC364" s="44">
        <v>317.32</v>
      </c>
      <c r="AD364" s="35">
        <v>7.5549999999999997</v>
      </c>
      <c r="AE364" s="36"/>
      <c r="AF364" s="30">
        <v>35.4</v>
      </c>
      <c r="AG364" s="34">
        <v>3.202</v>
      </c>
      <c r="AH364" s="35">
        <v>0.13447999999999999</v>
      </c>
      <c r="AI364" s="35"/>
      <c r="AJ364" s="35">
        <v>0.12392</v>
      </c>
      <c r="AK364" s="998">
        <v>49.6</v>
      </c>
      <c r="AM364" s="30">
        <v>35.4</v>
      </c>
      <c r="AN364" s="34">
        <v>1.0720000000000001</v>
      </c>
      <c r="AO364" s="35">
        <v>1.2005999999999999</v>
      </c>
      <c r="AQ364" s="197">
        <v>1.004</v>
      </c>
      <c r="AR364" s="200">
        <v>9.44</v>
      </c>
      <c r="AS364" s="199">
        <v>1003.4</v>
      </c>
      <c r="AZ364" s="197">
        <v>1.004</v>
      </c>
      <c r="BA364" s="198">
        <v>8.3615999999999993</v>
      </c>
      <c r="BB364" s="199">
        <v>0.11959</v>
      </c>
      <c r="BD364" s="197">
        <v>1.004</v>
      </c>
      <c r="BE364" s="198">
        <v>4.1807999999999996</v>
      </c>
      <c r="BF364" s="199">
        <v>0.17559</v>
      </c>
      <c r="BH364" s="197">
        <v>1.004</v>
      </c>
      <c r="BI364" s="198">
        <v>239.19</v>
      </c>
      <c r="BJ364" s="199">
        <v>5.6950000000000003</v>
      </c>
      <c r="BL364" s="197">
        <v>1.004</v>
      </c>
      <c r="BM364" s="198">
        <v>3.7328000000000001</v>
      </c>
      <c r="BN364" s="199">
        <v>0.15678</v>
      </c>
      <c r="BP364" s="197">
        <v>1.004</v>
      </c>
      <c r="BQ364" s="200">
        <v>267.89</v>
      </c>
      <c r="BR364" s="199">
        <v>6.3780000000000001</v>
      </c>
      <c r="BT364" s="197">
        <v>1.004</v>
      </c>
      <c r="BU364" s="201">
        <v>0.90510000000000002</v>
      </c>
      <c r="BV364" s="202">
        <v>1.0137</v>
      </c>
      <c r="BX364" s="37">
        <v>1004</v>
      </c>
      <c r="BY364" s="38">
        <v>1.0045999999999999</v>
      </c>
      <c r="BZ364" s="39">
        <v>9.35</v>
      </c>
      <c r="CA364" s="33"/>
      <c r="CB364" s="37">
        <v>1004</v>
      </c>
      <c r="CC364" s="38">
        <v>0.15892999999999999</v>
      </c>
      <c r="CD364" s="42">
        <v>6.2919999999999998</v>
      </c>
      <c r="CE364" s="33"/>
      <c r="CF364" s="33"/>
      <c r="CG364" s="33"/>
      <c r="CH364" s="33"/>
      <c r="CI364" s="33"/>
      <c r="CJ364" s="33"/>
      <c r="CK364" s="33"/>
      <c r="CL364" s="40">
        <v>1004</v>
      </c>
      <c r="CM364" s="43">
        <v>1002.9</v>
      </c>
      <c r="CN364" s="41">
        <v>0.99709999999999999</v>
      </c>
      <c r="CO364" s="33"/>
      <c r="CP364" s="40">
        <v>1004</v>
      </c>
      <c r="CQ364" s="34">
        <v>1.1054999999999999</v>
      </c>
      <c r="CR364" s="41">
        <v>0.98709999999999998</v>
      </c>
      <c r="CS364" s="33"/>
      <c r="CT364" s="40">
        <v>1004</v>
      </c>
      <c r="CU364" s="44">
        <v>263.5</v>
      </c>
      <c r="CV364" s="42">
        <v>6.274</v>
      </c>
    </row>
    <row r="365" spans="4:100">
      <c r="D365" s="30">
        <v>35.5</v>
      </c>
      <c r="E365" s="31">
        <v>0.84730000000000005</v>
      </c>
      <c r="F365" s="32">
        <v>846.9</v>
      </c>
      <c r="G365" s="33"/>
      <c r="H365" s="30">
        <v>35.5</v>
      </c>
      <c r="I365" s="34">
        <v>3.7837000000000001</v>
      </c>
      <c r="J365" s="35">
        <v>0.15891</v>
      </c>
      <c r="L365" s="30">
        <v>35.5</v>
      </c>
      <c r="M365" s="172">
        <v>7.0549999999999997</v>
      </c>
      <c r="N365" s="173">
        <v>0.14174</v>
      </c>
      <c r="P365" s="30">
        <v>35.5</v>
      </c>
      <c r="Q365" s="172">
        <v>3.5274999999999999</v>
      </c>
      <c r="R365" s="173">
        <v>0.14815</v>
      </c>
      <c r="T365" s="30">
        <v>35.5</v>
      </c>
      <c r="U365" s="172">
        <v>283.490000000002</v>
      </c>
      <c r="V365" s="173">
        <v>6.75</v>
      </c>
      <c r="X365" s="30">
        <v>35.5</v>
      </c>
      <c r="Y365" s="34">
        <v>3.1495000000000002</v>
      </c>
      <c r="Z365" s="35">
        <v>0.13228000000000001</v>
      </c>
      <c r="AA365" s="36"/>
      <c r="AB365" s="30">
        <v>35.5</v>
      </c>
      <c r="AC365" s="44">
        <v>317.51</v>
      </c>
      <c r="AD365" s="35">
        <v>7.56</v>
      </c>
      <c r="AE365" s="36"/>
      <c r="AF365" s="30">
        <v>35.5</v>
      </c>
      <c r="AG365" s="34">
        <v>3.2000999999999999</v>
      </c>
      <c r="AH365" s="35">
        <v>0.13439999999999999</v>
      </c>
      <c r="AI365" s="35"/>
      <c r="AJ365" s="35">
        <v>0.12399</v>
      </c>
      <c r="AK365" s="998">
        <v>49.5</v>
      </c>
      <c r="AM365" s="30">
        <v>35.5</v>
      </c>
      <c r="AN365" s="34">
        <v>1.0726</v>
      </c>
      <c r="AO365" s="35">
        <v>1.2013</v>
      </c>
      <c r="AQ365" s="197">
        <v>1.0049999999999999</v>
      </c>
      <c r="AR365" s="200">
        <v>9.3000000000000007</v>
      </c>
      <c r="AS365" s="199">
        <v>1004.4</v>
      </c>
      <c r="AZ365" s="197">
        <v>1.0049999999999999</v>
      </c>
      <c r="BA365" s="198">
        <v>8.3698999999999995</v>
      </c>
      <c r="BB365" s="199">
        <v>0.11948</v>
      </c>
      <c r="BD365" s="197">
        <v>1.0049999999999999</v>
      </c>
      <c r="BE365" s="198">
        <v>4.1849999999999996</v>
      </c>
      <c r="BF365" s="199">
        <v>0.17577000000000001</v>
      </c>
      <c r="BH365" s="197">
        <v>1.0049999999999999</v>
      </c>
      <c r="BI365" s="198">
        <v>238.95</v>
      </c>
      <c r="BJ365" s="199">
        <v>5.6890000000000001</v>
      </c>
      <c r="BL365" s="197">
        <v>1.0049999999999999</v>
      </c>
      <c r="BM365" s="198">
        <v>3.7366000000000001</v>
      </c>
      <c r="BN365" s="199">
        <v>0.15694</v>
      </c>
      <c r="BP365" s="197">
        <v>1.0049999999999999</v>
      </c>
      <c r="BQ365" s="200">
        <v>267.63</v>
      </c>
      <c r="BR365" s="199">
        <v>6.3719999999999999</v>
      </c>
      <c r="BT365" s="197">
        <v>1.0049999999999999</v>
      </c>
      <c r="BU365" s="201">
        <v>0.9042</v>
      </c>
      <c r="BV365" s="202">
        <v>1.0126999999999999</v>
      </c>
      <c r="BX365" s="37">
        <v>1005</v>
      </c>
      <c r="BY365" s="38">
        <v>1.0056</v>
      </c>
      <c r="BZ365" s="39">
        <v>9.2100000000000009</v>
      </c>
      <c r="CA365" s="33"/>
      <c r="CB365" s="37">
        <v>1005</v>
      </c>
      <c r="CC365" s="38">
        <v>0.15892999999999999</v>
      </c>
      <c r="CD365" s="42">
        <v>6.2919999999999998</v>
      </c>
      <c r="CE365" s="33"/>
      <c r="CF365" s="33"/>
      <c r="CG365" s="33"/>
      <c r="CH365" s="33"/>
      <c r="CI365" s="33"/>
      <c r="CJ365" s="33"/>
      <c r="CK365" s="33"/>
      <c r="CL365" s="40">
        <v>1005</v>
      </c>
      <c r="CM365" s="43">
        <v>1003.9</v>
      </c>
      <c r="CN365" s="41">
        <v>0.99609999999999999</v>
      </c>
      <c r="CO365" s="33"/>
      <c r="CP365" s="40">
        <v>1005</v>
      </c>
      <c r="CQ365" s="34">
        <v>1.1066</v>
      </c>
      <c r="CR365" s="41">
        <v>0.98809999999999998</v>
      </c>
      <c r="CS365" s="33"/>
      <c r="CT365" s="40">
        <v>1005</v>
      </c>
      <c r="CU365" s="44">
        <v>263.23</v>
      </c>
      <c r="CV365" s="42">
        <v>6.2670000000000003</v>
      </c>
    </row>
    <row r="366" spans="4:100">
      <c r="D366" s="30">
        <v>35.6</v>
      </c>
      <c r="E366" s="31">
        <v>0.8468</v>
      </c>
      <c r="F366" s="32">
        <v>846.4</v>
      </c>
      <c r="G366" s="33"/>
      <c r="H366" s="30">
        <v>35.6</v>
      </c>
      <c r="I366" s="34">
        <v>3.7837000000000001</v>
      </c>
      <c r="J366" s="35">
        <v>0.15891</v>
      </c>
      <c r="L366" s="30">
        <v>35.6</v>
      </c>
      <c r="M366" s="172">
        <v>7.0510000000000002</v>
      </c>
      <c r="N366" s="173">
        <v>0.14183000000000001</v>
      </c>
      <c r="P366" s="30">
        <v>35.6</v>
      </c>
      <c r="Q366" s="172">
        <v>3.5253999999999999</v>
      </c>
      <c r="R366" s="173">
        <v>0.14807000000000001</v>
      </c>
      <c r="T366" s="30">
        <v>35.6</v>
      </c>
      <c r="U366" s="172">
        <v>283.66000000000201</v>
      </c>
      <c r="V366" s="173">
        <v>6.7539999999999996</v>
      </c>
      <c r="X366" s="30">
        <v>35.6</v>
      </c>
      <c r="Y366" s="34">
        <v>3.1476999999999999</v>
      </c>
      <c r="Z366" s="35">
        <v>0.13220000000000001</v>
      </c>
      <c r="AA366" s="36"/>
      <c r="AB366" s="30">
        <v>35.6</v>
      </c>
      <c r="AC366" s="44">
        <v>317.7</v>
      </c>
      <c r="AD366" s="35">
        <v>7.5640000000000001</v>
      </c>
      <c r="AE366" s="36"/>
      <c r="AF366" s="30">
        <v>35.6</v>
      </c>
      <c r="AG366" s="34">
        <v>3.1981999999999999</v>
      </c>
      <c r="AH366" s="35">
        <v>0.13431999999999999</v>
      </c>
      <c r="AI366" s="35"/>
      <c r="AJ366" s="35">
        <v>0.12406</v>
      </c>
      <c r="AK366" s="998">
        <v>49.4</v>
      </c>
      <c r="AM366" s="30">
        <v>35.6</v>
      </c>
      <c r="AN366" s="34">
        <v>1.0732999999999999</v>
      </c>
      <c r="AO366" s="35">
        <v>1.2020999999999999</v>
      </c>
      <c r="AQ366" s="197">
        <v>1.006</v>
      </c>
      <c r="AR366" s="200">
        <v>9.16</v>
      </c>
      <c r="AS366" s="199">
        <v>1005.4</v>
      </c>
      <c r="AZ366" s="197">
        <v>1.006</v>
      </c>
      <c r="BA366" s="198">
        <v>8.3781999999999996</v>
      </c>
      <c r="BB366" s="199">
        <v>0.11935999999999999</v>
      </c>
      <c r="BD366" s="197">
        <v>1.006</v>
      </c>
      <c r="BE366" s="198">
        <v>4.1890999999999998</v>
      </c>
      <c r="BF366" s="199">
        <v>0.17594000000000001</v>
      </c>
      <c r="BH366" s="197">
        <v>1.006</v>
      </c>
      <c r="BI366" s="198">
        <v>238.71</v>
      </c>
      <c r="BJ366" s="199">
        <v>5.6840000000000002</v>
      </c>
      <c r="BL366" s="197">
        <v>1.006</v>
      </c>
      <c r="BM366" s="198">
        <v>3.7403</v>
      </c>
      <c r="BN366" s="199">
        <v>0.15709000000000001</v>
      </c>
      <c r="BP366" s="197">
        <v>1.006</v>
      </c>
      <c r="BQ366" s="200">
        <v>267.36</v>
      </c>
      <c r="BR366" s="199">
        <v>6.3659999999999997</v>
      </c>
      <c r="BT366" s="197">
        <v>1.006</v>
      </c>
      <c r="BU366" s="201">
        <v>0.90329999999999999</v>
      </c>
      <c r="BV366" s="202">
        <v>1.0117</v>
      </c>
      <c r="BX366" s="37">
        <v>1006</v>
      </c>
      <c r="BY366" s="38">
        <v>1.0065999999999999</v>
      </c>
      <c r="BZ366" s="39">
        <v>9.07</v>
      </c>
      <c r="CA366" s="33"/>
      <c r="CB366" s="37">
        <v>1006</v>
      </c>
      <c r="CC366" s="38">
        <v>0.15892999999999999</v>
      </c>
      <c r="CD366" s="42">
        <v>6.2919999999999998</v>
      </c>
      <c r="CE366" s="33"/>
      <c r="CF366" s="33"/>
      <c r="CG366" s="33"/>
      <c r="CH366" s="33"/>
      <c r="CI366" s="33"/>
      <c r="CJ366" s="33"/>
      <c r="CK366" s="33"/>
      <c r="CL366" s="40">
        <v>1006</v>
      </c>
      <c r="CM366" s="43">
        <v>1004.9</v>
      </c>
      <c r="CN366" s="41">
        <v>0.99509999999999998</v>
      </c>
      <c r="CO366" s="33"/>
      <c r="CP366" s="40">
        <v>1006</v>
      </c>
      <c r="CQ366" s="34">
        <v>1.1076999999999999</v>
      </c>
      <c r="CR366" s="41">
        <v>0.98909999999999998</v>
      </c>
      <c r="CS366" s="33"/>
      <c r="CT366" s="40">
        <v>1006</v>
      </c>
      <c r="CU366" s="44">
        <v>262.97000000000003</v>
      </c>
      <c r="CV366" s="42">
        <v>6.2610000000000001</v>
      </c>
    </row>
    <row r="367" spans="4:100">
      <c r="D367" s="30">
        <v>35.700000000000003</v>
      </c>
      <c r="E367" s="31">
        <v>0.84630000000000005</v>
      </c>
      <c r="F367" s="32">
        <v>845.8</v>
      </c>
      <c r="G367" s="33"/>
      <c r="H367" s="30">
        <v>35.700000000000003</v>
      </c>
      <c r="I367" s="34">
        <v>3.7837000000000001</v>
      </c>
      <c r="J367" s="35">
        <v>0.15891</v>
      </c>
      <c r="L367" s="30">
        <v>35.700000000000003</v>
      </c>
      <c r="M367" s="172">
        <v>7.0469999999999997</v>
      </c>
      <c r="N367" s="173">
        <v>0.14191000000000001</v>
      </c>
      <c r="P367" s="30">
        <v>35.700000000000003</v>
      </c>
      <c r="Q367" s="172">
        <v>3.5232999999999999</v>
      </c>
      <c r="R367" s="173">
        <v>0.14798</v>
      </c>
      <c r="T367" s="30">
        <v>35.700000000000003</v>
      </c>
      <c r="U367" s="172">
        <v>283.83000000000197</v>
      </c>
      <c r="V367" s="173">
        <v>6.758</v>
      </c>
      <c r="X367" s="30">
        <v>35.700000000000003</v>
      </c>
      <c r="Y367" s="34">
        <v>3.1457999999999999</v>
      </c>
      <c r="Z367" s="35">
        <v>0.13211999999999999</v>
      </c>
      <c r="AA367" s="36"/>
      <c r="AB367" s="30">
        <v>35.700000000000003</v>
      </c>
      <c r="AC367" s="44">
        <v>317.89</v>
      </c>
      <c r="AD367" s="35">
        <v>7.569</v>
      </c>
      <c r="AE367" s="36"/>
      <c r="AF367" s="30">
        <v>35.700000000000003</v>
      </c>
      <c r="AG367" s="34">
        <v>3.1962999999999999</v>
      </c>
      <c r="AH367" s="35">
        <v>0.13424</v>
      </c>
      <c r="AI367" s="35"/>
      <c r="AJ367" s="35">
        <v>0.12413</v>
      </c>
      <c r="AK367" s="998">
        <v>49.3</v>
      </c>
      <c r="AM367" s="30">
        <v>35.700000000000003</v>
      </c>
      <c r="AN367" s="34">
        <v>1.0739000000000001</v>
      </c>
      <c r="AO367" s="35">
        <v>1.2028000000000001</v>
      </c>
      <c r="AQ367" s="197">
        <v>1.0069999999999999</v>
      </c>
      <c r="AR367" s="200">
        <v>9.02</v>
      </c>
      <c r="AS367" s="199">
        <v>1006.4</v>
      </c>
      <c r="AZ367" s="197">
        <v>1.0069999999999999</v>
      </c>
      <c r="BA367" s="198">
        <v>8.3865999999999996</v>
      </c>
      <c r="BB367" s="199">
        <v>0.11924</v>
      </c>
      <c r="BD367" s="197">
        <v>1.0069999999999999</v>
      </c>
      <c r="BE367" s="198">
        <v>4.1932999999999998</v>
      </c>
      <c r="BF367" s="199">
        <v>0.17612</v>
      </c>
      <c r="BH367" s="197">
        <v>1.0069999999999999</v>
      </c>
      <c r="BI367" s="198">
        <v>238.48</v>
      </c>
      <c r="BJ367" s="199">
        <v>5.6779999999999999</v>
      </c>
      <c r="BL367" s="197">
        <v>1.0069999999999999</v>
      </c>
      <c r="BM367" s="198">
        <v>3.7440000000000002</v>
      </c>
      <c r="BN367" s="199">
        <v>0.15725</v>
      </c>
      <c r="BP367" s="197">
        <v>1.0069999999999999</v>
      </c>
      <c r="BQ367" s="200">
        <v>267.08999999999997</v>
      </c>
      <c r="BR367" s="199">
        <v>6.359</v>
      </c>
      <c r="BT367" s="197">
        <v>1.0069999999999999</v>
      </c>
      <c r="BU367" s="201">
        <v>0.90239999999999998</v>
      </c>
      <c r="BV367" s="202">
        <v>1.0106999999999999</v>
      </c>
      <c r="BX367" s="37">
        <v>1007</v>
      </c>
      <c r="BY367" s="38">
        <v>1.0076000000000001</v>
      </c>
      <c r="BZ367" s="39">
        <v>8.93</v>
      </c>
      <c r="CA367" s="33"/>
      <c r="CB367" s="37">
        <v>1007</v>
      </c>
      <c r="CC367" s="38">
        <v>0.15892999999999999</v>
      </c>
      <c r="CD367" s="42">
        <v>6.2919999999999998</v>
      </c>
      <c r="CE367" s="33"/>
      <c r="CF367" s="33"/>
      <c r="CG367" s="33"/>
      <c r="CH367" s="33"/>
      <c r="CI367" s="33"/>
      <c r="CJ367" s="33"/>
      <c r="CK367" s="33"/>
      <c r="CL367" s="40">
        <v>1007</v>
      </c>
      <c r="CM367" s="43">
        <v>1005.9</v>
      </c>
      <c r="CN367" s="41">
        <v>0.99409999999999998</v>
      </c>
      <c r="CO367" s="33"/>
      <c r="CP367" s="40">
        <v>1007</v>
      </c>
      <c r="CQ367" s="34">
        <v>1.1088</v>
      </c>
      <c r="CR367" s="41">
        <v>0.99</v>
      </c>
      <c r="CS367" s="33"/>
      <c r="CT367" s="40">
        <v>1007</v>
      </c>
      <c r="CU367" s="44">
        <v>262.70999999999998</v>
      </c>
      <c r="CV367" s="42">
        <v>6.2549999999999999</v>
      </c>
    </row>
    <row r="368" spans="4:100">
      <c r="D368" s="30">
        <v>35.799999999999997</v>
      </c>
      <c r="E368" s="31">
        <v>0.8458</v>
      </c>
      <c r="F368" s="32">
        <v>845.3</v>
      </c>
      <c r="G368" s="33"/>
      <c r="H368" s="30">
        <v>35.799999999999997</v>
      </c>
      <c r="I368" s="34">
        <v>3.7837000000000001</v>
      </c>
      <c r="J368" s="35">
        <v>0.15891</v>
      </c>
      <c r="L368" s="30">
        <v>35.799999999999997</v>
      </c>
      <c r="M368" s="172">
        <v>7.0419999999999998</v>
      </c>
      <c r="N368" s="173">
        <v>0.14199999999999999</v>
      </c>
      <c r="P368" s="30">
        <v>35.799999999999997</v>
      </c>
      <c r="Q368" s="172">
        <v>3.5211999999999999</v>
      </c>
      <c r="R368" s="173">
        <v>0.14788999999999999</v>
      </c>
      <c r="T368" s="30">
        <v>35.799999999999997</v>
      </c>
      <c r="U368" s="172">
        <v>284.00000000000199</v>
      </c>
      <c r="V368" s="173">
        <v>6.7619999999999996</v>
      </c>
      <c r="X368" s="30">
        <v>35.799999999999997</v>
      </c>
      <c r="Y368" s="34">
        <v>3.1438999999999999</v>
      </c>
      <c r="Z368" s="35">
        <v>0.13203999999999999</v>
      </c>
      <c r="AA368" s="36"/>
      <c r="AB368" s="30">
        <v>35.799999999999997</v>
      </c>
      <c r="AC368" s="44">
        <v>318.08</v>
      </c>
      <c r="AD368" s="35">
        <v>7.5730000000000004</v>
      </c>
      <c r="AE368" s="36"/>
      <c r="AF368" s="30">
        <v>35.799999999999997</v>
      </c>
      <c r="AG368" s="34">
        <v>3.1943000000000001</v>
      </c>
      <c r="AH368" s="35">
        <v>0.13416</v>
      </c>
      <c r="AI368" s="35"/>
      <c r="AJ368" s="35">
        <v>0.1242</v>
      </c>
      <c r="AK368" s="998">
        <v>49.2</v>
      </c>
      <c r="AM368" s="30">
        <v>35.799999999999997</v>
      </c>
      <c r="AN368" s="34">
        <v>1.0745</v>
      </c>
      <c r="AO368" s="35">
        <v>1.2035</v>
      </c>
      <c r="AQ368" s="197">
        <v>1.008</v>
      </c>
      <c r="AR368" s="200">
        <v>8.8800000000000008</v>
      </c>
      <c r="AS368" s="199">
        <v>1007.4</v>
      </c>
      <c r="AZ368" s="197">
        <v>1.008</v>
      </c>
      <c r="BA368" s="198">
        <v>8.3948999999999998</v>
      </c>
      <c r="BB368" s="199">
        <v>0.11912</v>
      </c>
      <c r="BD368" s="197">
        <v>1.008</v>
      </c>
      <c r="BE368" s="198">
        <v>4.1974999999999998</v>
      </c>
      <c r="BF368" s="199">
        <v>0.17629</v>
      </c>
      <c r="BH368" s="197">
        <v>1.008</v>
      </c>
      <c r="BI368" s="198">
        <v>238.24</v>
      </c>
      <c r="BJ368" s="199">
        <v>5.6719999999999997</v>
      </c>
      <c r="BL368" s="197">
        <v>1.008</v>
      </c>
      <c r="BM368" s="198">
        <v>3.7477</v>
      </c>
      <c r="BN368" s="199">
        <v>0.15740000000000001</v>
      </c>
      <c r="BP368" s="197">
        <v>1.008</v>
      </c>
      <c r="BQ368" s="200">
        <v>266.83</v>
      </c>
      <c r="BR368" s="199">
        <v>6.3529999999999998</v>
      </c>
      <c r="BT368" s="197">
        <v>1.008</v>
      </c>
      <c r="BU368" s="201">
        <v>0.90149999999999997</v>
      </c>
      <c r="BV368" s="202">
        <v>1.0097</v>
      </c>
      <c r="BX368" s="37">
        <v>1008</v>
      </c>
      <c r="BY368" s="38">
        <v>1.0085999999999999</v>
      </c>
      <c r="BZ368" s="39">
        <v>8.7899999999999991</v>
      </c>
      <c r="CA368" s="33"/>
      <c r="CB368" s="37">
        <v>1008</v>
      </c>
      <c r="CC368" s="38">
        <v>0.15892999999999999</v>
      </c>
      <c r="CD368" s="42">
        <v>6.2919999999999998</v>
      </c>
      <c r="CE368" s="33"/>
      <c r="CF368" s="33"/>
      <c r="CG368" s="33"/>
      <c r="CH368" s="33"/>
      <c r="CI368" s="33"/>
      <c r="CJ368" s="33"/>
      <c r="CK368" s="33"/>
      <c r="CL368" s="40">
        <v>1008</v>
      </c>
      <c r="CM368" s="43">
        <v>1006.9</v>
      </c>
      <c r="CN368" s="41">
        <v>0.99309999999999998</v>
      </c>
      <c r="CO368" s="33"/>
      <c r="CP368" s="40">
        <v>1008</v>
      </c>
      <c r="CQ368" s="34">
        <v>1.1100000000000001</v>
      </c>
      <c r="CR368" s="41">
        <v>0.99099999999999999</v>
      </c>
      <c r="CS368" s="33"/>
      <c r="CT368" s="40">
        <v>1008</v>
      </c>
      <c r="CU368" s="44">
        <v>262.45</v>
      </c>
      <c r="CV368" s="42">
        <v>6.2489999999999997</v>
      </c>
    </row>
    <row r="369" spans="4:100">
      <c r="D369" s="30">
        <v>35.9</v>
      </c>
      <c r="E369" s="31">
        <v>0.84530000000000005</v>
      </c>
      <c r="F369" s="32">
        <v>844.8</v>
      </c>
      <c r="G369" s="33"/>
      <c r="H369" s="30">
        <v>35.9</v>
      </c>
      <c r="I369" s="34">
        <v>3.7837000000000001</v>
      </c>
      <c r="J369" s="35">
        <v>0.15891</v>
      </c>
      <c r="L369" s="30">
        <v>35.9</v>
      </c>
      <c r="M369" s="172">
        <v>7.0380000000000003</v>
      </c>
      <c r="N369" s="173">
        <v>0.14208000000000001</v>
      </c>
      <c r="P369" s="30">
        <v>35.9</v>
      </c>
      <c r="Q369" s="172">
        <v>3.5190999999999999</v>
      </c>
      <c r="R369" s="173">
        <v>0.14779999999999999</v>
      </c>
      <c r="T369" s="30">
        <v>35.9</v>
      </c>
      <c r="U369" s="172">
        <v>284.17000000000201</v>
      </c>
      <c r="V369" s="173">
        <v>6.766</v>
      </c>
      <c r="X369" s="30">
        <v>35.9</v>
      </c>
      <c r="Y369" s="34">
        <v>3.1419999999999999</v>
      </c>
      <c r="Z369" s="35">
        <v>0.13195999999999999</v>
      </c>
      <c r="AA369" s="36"/>
      <c r="AB369" s="30">
        <v>35.9</v>
      </c>
      <c r="AC369" s="44">
        <v>318.27</v>
      </c>
      <c r="AD369" s="35">
        <v>7.5780000000000003</v>
      </c>
      <c r="AE369" s="36"/>
      <c r="AF369" s="30">
        <v>35.9</v>
      </c>
      <c r="AG369" s="34">
        <v>3.1924000000000001</v>
      </c>
      <c r="AH369" s="35">
        <v>0.13408</v>
      </c>
      <c r="AI369" s="35"/>
      <c r="AJ369" s="35">
        <v>0.12427000000000001</v>
      </c>
      <c r="AK369" s="998">
        <v>49.1</v>
      </c>
      <c r="AM369" s="30">
        <v>35.9</v>
      </c>
      <c r="AN369" s="34">
        <v>1.0751999999999999</v>
      </c>
      <c r="AO369" s="35">
        <v>1.2041999999999999</v>
      </c>
      <c r="AQ369" s="197">
        <v>1.0089999999999999</v>
      </c>
      <c r="AR369" s="200">
        <v>8.74</v>
      </c>
      <c r="AS369" s="199">
        <v>1008.4</v>
      </c>
      <c r="AZ369" s="197">
        <v>1.0089999999999999</v>
      </c>
      <c r="BA369" s="198">
        <v>8.4032999999999998</v>
      </c>
      <c r="BB369" s="199">
        <v>0.11899999999999999</v>
      </c>
      <c r="BD369" s="197">
        <v>1.0089999999999999</v>
      </c>
      <c r="BE369" s="198">
        <v>4.2016</v>
      </c>
      <c r="BF369" s="199">
        <v>0.17646999999999999</v>
      </c>
      <c r="BH369" s="197">
        <v>1.0089999999999999</v>
      </c>
      <c r="BI369" s="198">
        <v>238</v>
      </c>
      <c r="BJ369" s="199">
        <v>5.6669999999999998</v>
      </c>
      <c r="BL369" s="197">
        <v>1.0089999999999999</v>
      </c>
      <c r="BM369" s="198">
        <v>3.7515000000000001</v>
      </c>
      <c r="BN369" s="199">
        <v>0.15756000000000001</v>
      </c>
      <c r="BP369" s="197">
        <v>1.0089999999999999</v>
      </c>
      <c r="BQ369" s="200">
        <v>266.56</v>
      </c>
      <c r="BR369" s="199">
        <v>6.3470000000000004</v>
      </c>
      <c r="BT369" s="197">
        <v>1.0089999999999999</v>
      </c>
      <c r="BU369" s="201">
        <v>0.90059999999999996</v>
      </c>
      <c r="BV369" s="202">
        <v>1.0086999999999999</v>
      </c>
      <c r="BX369" s="37">
        <v>1009</v>
      </c>
      <c r="BY369" s="38">
        <v>1.0096000000000001</v>
      </c>
      <c r="BZ369" s="39">
        <v>8.65</v>
      </c>
      <c r="CA369" s="33"/>
      <c r="CB369" s="37">
        <v>1009</v>
      </c>
      <c r="CC369" s="38">
        <v>0.15892999999999999</v>
      </c>
      <c r="CD369" s="42">
        <v>6.2919999999999998</v>
      </c>
      <c r="CE369" s="33"/>
      <c r="CF369" s="33"/>
      <c r="CG369" s="33"/>
      <c r="CH369" s="33"/>
      <c r="CI369" s="33"/>
      <c r="CJ369" s="33"/>
      <c r="CK369" s="33"/>
      <c r="CL369" s="40">
        <v>1009</v>
      </c>
      <c r="CM369" s="43">
        <v>1007.9</v>
      </c>
      <c r="CN369" s="41">
        <v>0.99209999999999998</v>
      </c>
      <c r="CO369" s="33"/>
      <c r="CP369" s="40">
        <v>1009</v>
      </c>
      <c r="CQ369" s="34">
        <v>1.1111</v>
      </c>
      <c r="CR369" s="41">
        <v>0.99199999999999999</v>
      </c>
      <c r="CS369" s="33"/>
      <c r="CT369" s="40">
        <v>1009</v>
      </c>
      <c r="CU369" s="44">
        <v>262.19</v>
      </c>
      <c r="CV369" s="42">
        <v>6.2430000000000003</v>
      </c>
    </row>
    <row r="370" spans="4:100">
      <c r="D370" s="30">
        <v>36</v>
      </c>
      <c r="E370" s="31">
        <v>0.8448</v>
      </c>
      <c r="F370" s="32">
        <v>844.3</v>
      </c>
      <c r="G370" s="33"/>
      <c r="H370" s="30">
        <v>36</v>
      </c>
      <c r="I370" s="34">
        <v>3.7835999999999999</v>
      </c>
      <c r="J370" s="35">
        <v>0.15891</v>
      </c>
      <c r="L370" s="30">
        <v>36</v>
      </c>
      <c r="M370" s="172">
        <v>7.0339999999999998</v>
      </c>
      <c r="N370" s="173">
        <v>0.14216999999999999</v>
      </c>
      <c r="P370" s="30">
        <v>36</v>
      </c>
      <c r="Q370" s="172">
        <v>3.5169000000000001</v>
      </c>
      <c r="R370" s="173">
        <v>0.14771000000000001</v>
      </c>
      <c r="T370" s="30">
        <v>36</v>
      </c>
      <c r="U370" s="172">
        <v>284.34000000000202</v>
      </c>
      <c r="V370" s="173">
        <v>6.77</v>
      </c>
      <c r="X370" s="30">
        <v>36</v>
      </c>
      <c r="Y370" s="34">
        <v>3.1400999999999999</v>
      </c>
      <c r="Z370" s="35">
        <v>0.13189000000000001</v>
      </c>
      <c r="AA370" s="36"/>
      <c r="AB370" s="30">
        <v>36</v>
      </c>
      <c r="AC370" s="44">
        <v>318.45999999999998</v>
      </c>
      <c r="AD370" s="35">
        <v>7.5819999999999999</v>
      </c>
      <c r="AE370" s="36"/>
      <c r="AF370" s="30">
        <v>36</v>
      </c>
      <c r="AG370" s="34">
        <v>3.1905000000000001</v>
      </c>
      <c r="AH370" s="35">
        <v>0.13400000000000001</v>
      </c>
      <c r="AI370" s="35"/>
      <c r="AJ370" s="35">
        <v>0.12434000000000001</v>
      </c>
      <c r="AK370" s="998">
        <v>49</v>
      </c>
      <c r="AM370" s="30">
        <v>36</v>
      </c>
      <c r="AN370" s="34">
        <v>1.0758000000000001</v>
      </c>
      <c r="AO370" s="35">
        <v>1.2049000000000001</v>
      </c>
      <c r="AQ370" s="197">
        <v>1.01</v>
      </c>
      <c r="AR370" s="200">
        <v>8.6</v>
      </c>
      <c r="AS370" s="199">
        <v>1009.4</v>
      </c>
      <c r="AZ370" s="197">
        <v>1.01</v>
      </c>
      <c r="BA370" s="198">
        <v>8.4116</v>
      </c>
      <c r="BB370" s="199">
        <v>0.11888</v>
      </c>
      <c r="BD370" s="197">
        <v>1.01</v>
      </c>
      <c r="BE370" s="198">
        <v>4.2058</v>
      </c>
      <c r="BF370" s="199">
        <v>0.17663999999999999</v>
      </c>
      <c r="BH370" s="197">
        <v>1.01</v>
      </c>
      <c r="BI370" s="198">
        <v>237.77</v>
      </c>
      <c r="BJ370" s="199">
        <v>5.6609999999999996</v>
      </c>
      <c r="BL370" s="197">
        <v>1.01</v>
      </c>
      <c r="BM370" s="198">
        <v>3.7551999999999999</v>
      </c>
      <c r="BN370" s="199">
        <v>0.15772</v>
      </c>
      <c r="BP370" s="197">
        <v>1.01</v>
      </c>
      <c r="BQ370" s="200">
        <v>266.3</v>
      </c>
      <c r="BR370" s="199">
        <v>6.34</v>
      </c>
      <c r="BT370" s="197">
        <v>1.01</v>
      </c>
      <c r="BU370" s="201">
        <v>0.89970000000000006</v>
      </c>
      <c r="BV370" s="202">
        <v>1.0077</v>
      </c>
      <c r="BX370" s="37">
        <v>1010</v>
      </c>
      <c r="BY370" s="38">
        <v>1.0105999999999999</v>
      </c>
      <c r="BZ370" s="39">
        <v>8.51</v>
      </c>
      <c r="CA370" s="33"/>
      <c r="CB370" s="37">
        <v>1010</v>
      </c>
      <c r="CC370" s="38">
        <v>0.15892999999999999</v>
      </c>
      <c r="CD370" s="42">
        <v>6.2919999999999998</v>
      </c>
      <c r="CE370" s="33"/>
      <c r="CF370" s="33"/>
      <c r="CG370" s="33"/>
      <c r="CH370" s="33"/>
      <c r="CI370" s="33"/>
      <c r="CJ370" s="33"/>
      <c r="CK370" s="33"/>
      <c r="CL370" s="40">
        <v>1010</v>
      </c>
      <c r="CM370" s="43">
        <v>1008.9</v>
      </c>
      <c r="CN370" s="41">
        <v>0.99109999999999998</v>
      </c>
      <c r="CO370" s="33"/>
      <c r="CP370" s="40">
        <v>1010</v>
      </c>
      <c r="CQ370" s="34">
        <v>1.1122000000000001</v>
      </c>
      <c r="CR370" s="41">
        <v>0.99299999999999999</v>
      </c>
      <c r="CS370" s="33"/>
      <c r="CT370" s="40">
        <v>1010</v>
      </c>
      <c r="CU370" s="44">
        <v>261.93</v>
      </c>
      <c r="CV370" s="42">
        <v>6.2359999999999998</v>
      </c>
    </row>
    <row r="371" spans="4:100">
      <c r="D371" s="30">
        <v>36.1</v>
      </c>
      <c r="E371" s="31">
        <v>0.84430000000000005</v>
      </c>
      <c r="F371" s="32">
        <v>843.8</v>
      </c>
      <c r="G371" s="33"/>
      <c r="H371" s="30">
        <v>36.1</v>
      </c>
      <c r="I371" s="34">
        <v>3.7835999999999999</v>
      </c>
      <c r="J371" s="35">
        <v>0.15891</v>
      </c>
      <c r="L371" s="30">
        <v>36.1</v>
      </c>
      <c r="M371" s="172">
        <v>7.03</v>
      </c>
      <c r="N371" s="173">
        <v>0.14224999999999999</v>
      </c>
      <c r="P371" s="30">
        <v>36.1</v>
      </c>
      <c r="Q371" s="172">
        <v>3.5148000000000001</v>
      </c>
      <c r="R371" s="173">
        <v>0.14762</v>
      </c>
      <c r="T371" s="30">
        <v>36.1</v>
      </c>
      <c r="U371" s="172">
        <v>284.51000000000198</v>
      </c>
      <c r="V371" s="173">
        <v>6.774</v>
      </c>
      <c r="X371" s="30">
        <v>36.1</v>
      </c>
      <c r="Y371" s="34">
        <v>3.1383000000000001</v>
      </c>
      <c r="Z371" s="35">
        <v>0.13181000000000001</v>
      </c>
      <c r="AA371" s="36"/>
      <c r="AB371" s="30">
        <v>36.1</v>
      </c>
      <c r="AC371" s="44">
        <v>318.64999999999998</v>
      </c>
      <c r="AD371" s="35">
        <v>7.5869999999999997</v>
      </c>
      <c r="AE371" s="36"/>
      <c r="AF371" s="30">
        <v>36.1</v>
      </c>
      <c r="AG371" s="34">
        <v>3.1886000000000001</v>
      </c>
      <c r="AH371" s="35">
        <v>0.13392000000000001</v>
      </c>
      <c r="AI371" s="35"/>
      <c r="AJ371" s="35">
        <v>0.12441000000000001</v>
      </c>
      <c r="AK371" s="998">
        <v>48.9</v>
      </c>
      <c r="AM371" s="30">
        <v>36.1</v>
      </c>
      <c r="AN371" s="34">
        <v>1.0765</v>
      </c>
      <c r="AO371" s="35">
        <v>1.2057</v>
      </c>
      <c r="AQ371" s="197">
        <v>1.0109999999999999</v>
      </c>
      <c r="AR371" s="200">
        <v>8.4600000000000009</v>
      </c>
      <c r="AS371" s="199">
        <v>1010.4</v>
      </c>
      <c r="AZ371" s="197">
        <v>1.0109999999999999</v>
      </c>
      <c r="BA371" s="198">
        <v>8.4199000000000002</v>
      </c>
      <c r="BB371" s="199">
        <v>0.11877</v>
      </c>
      <c r="BD371" s="197">
        <v>1.0109999999999999</v>
      </c>
      <c r="BE371" s="198">
        <v>4.21</v>
      </c>
      <c r="BF371" s="199">
        <v>0.17682</v>
      </c>
      <c r="BH371" s="197">
        <v>1.0109999999999999</v>
      </c>
      <c r="BI371" s="198">
        <v>237.53</v>
      </c>
      <c r="BJ371" s="199">
        <v>5.6559999999999997</v>
      </c>
      <c r="BL371" s="197">
        <v>1.0109999999999999</v>
      </c>
      <c r="BM371" s="198">
        <v>3.7589000000000001</v>
      </c>
      <c r="BN371" s="199">
        <v>0.15787000000000001</v>
      </c>
      <c r="BP371" s="197">
        <v>1.0109999999999999</v>
      </c>
      <c r="BQ371" s="200">
        <v>266.04000000000002</v>
      </c>
      <c r="BR371" s="199">
        <v>6.3339999999999996</v>
      </c>
      <c r="BT371" s="197">
        <v>1.0109999999999999</v>
      </c>
      <c r="BU371" s="201">
        <v>0.89880000000000004</v>
      </c>
      <c r="BV371" s="202">
        <v>1.0066999999999999</v>
      </c>
      <c r="BX371" s="37">
        <v>1011</v>
      </c>
      <c r="BY371" s="38">
        <v>1.0116000000000001</v>
      </c>
      <c r="BZ371" s="39">
        <v>8.3699999999999992</v>
      </c>
      <c r="CA371" s="33"/>
      <c r="CB371" s="37">
        <v>1011</v>
      </c>
      <c r="CC371" s="38">
        <v>0.15892999999999999</v>
      </c>
      <c r="CD371" s="42">
        <v>6.2919999999999998</v>
      </c>
      <c r="CE371" s="33"/>
      <c r="CF371" s="33"/>
      <c r="CG371" s="33"/>
      <c r="CH371" s="33"/>
      <c r="CI371" s="33"/>
      <c r="CJ371" s="33"/>
      <c r="CK371" s="33"/>
      <c r="CL371" s="40">
        <v>1011</v>
      </c>
      <c r="CM371" s="43">
        <v>1009.9</v>
      </c>
      <c r="CN371" s="41">
        <v>0.99019999999999997</v>
      </c>
      <c r="CO371" s="33"/>
      <c r="CP371" s="40">
        <v>1011</v>
      </c>
      <c r="CQ371" s="34">
        <v>1.1133</v>
      </c>
      <c r="CR371" s="41">
        <v>0.99399999999999999</v>
      </c>
      <c r="CS371" s="33"/>
      <c r="CT371" s="40">
        <v>1011</v>
      </c>
      <c r="CU371" s="44">
        <v>261.67</v>
      </c>
      <c r="CV371" s="42">
        <v>6.23</v>
      </c>
    </row>
    <row r="372" spans="4:100">
      <c r="D372" s="30">
        <v>36.200000000000003</v>
      </c>
      <c r="E372" s="31">
        <v>0.84379999999999999</v>
      </c>
      <c r="F372" s="32">
        <v>843.3</v>
      </c>
      <c r="G372" s="33"/>
      <c r="H372" s="30">
        <v>36.200000000000003</v>
      </c>
      <c r="I372" s="34">
        <v>3.7835999999999999</v>
      </c>
      <c r="J372" s="35">
        <v>0.15891</v>
      </c>
      <c r="L372" s="30">
        <v>36.200000000000003</v>
      </c>
      <c r="M372" s="172">
        <v>7.0250000000000004</v>
      </c>
      <c r="N372" s="173">
        <v>0.14233999999999999</v>
      </c>
      <c r="P372" s="30">
        <v>36.200000000000003</v>
      </c>
      <c r="Q372" s="172">
        <v>3.5127000000000002</v>
      </c>
      <c r="R372" s="173">
        <v>0.14754</v>
      </c>
      <c r="T372" s="30">
        <v>36.200000000000003</v>
      </c>
      <c r="U372" s="172">
        <v>284.680000000002</v>
      </c>
      <c r="V372" s="173">
        <v>6.7779999999999996</v>
      </c>
      <c r="X372" s="30">
        <v>36.200000000000003</v>
      </c>
      <c r="Y372" s="34">
        <v>3.1364000000000001</v>
      </c>
      <c r="Z372" s="35">
        <v>0.13173000000000001</v>
      </c>
      <c r="AA372" s="36"/>
      <c r="AB372" s="30">
        <v>36.200000000000003</v>
      </c>
      <c r="AC372" s="44">
        <v>318.83999999999997</v>
      </c>
      <c r="AD372" s="35">
        <v>7.5910000000000002</v>
      </c>
      <c r="AE372" s="36"/>
      <c r="AF372" s="30">
        <v>36.200000000000003</v>
      </c>
      <c r="AG372" s="34">
        <v>3.1867000000000001</v>
      </c>
      <c r="AH372" s="35">
        <v>0.13383999999999999</v>
      </c>
      <c r="AI372" s="35"/>
      <c r="AJ372" s="35">
        <v>0.12447999999999999</v>
      </c>
      <c r="AK372" s="998">
        <v>48.8</v>
      </c>
      <c r="AM372" s="30">
        <v>36.200000000000003</v>
      </c>
      <c r="AN372" s="34">
        <v>1.0770999999999999</v>
      </c>
      <c r="AO372" s="35">
        <v>1.2063999999999999</v>
      </c>
      <c r="AQ372" s="197">
        <v>1.012</v>
      </c>
      <c r="AR372" s="200">
        <v>8.32</v>
      </c>
      <c r="AS372" s="199">
        <v>1011.4</v>
      </c>
      <c r="AZ372" s="197">
        <v>1.012</v>
      </c>
      <c r="BA372" s="198">
        <v>8.4283000000000001</v>
      </c>
      <c r="BB372" s="199">
        <v>0.11865000000000001</v>
      </c>
      <c r="BD372" s="197">
        <v>1.012</v>
      </c>
      <c r="BE372" s="198">
        <v>4.2141000000000002</v>
      </c>
      <c r="BF372" s="199">
        <v>0.17699000000000001</v>
      </c>
      <c r="BH372" s="197">
        <v>1.012</v>
      </c>
      <c r="BI372" s="198">
        <v>237.3</v>
      </c>
      <c r="BJ372" s="199">
        <v>5.65</v>
      </c>
      <c r="BL372" s="197">
        <v>1.012</v>
      </c>
      <c r="BM372" s="198">
        <v>3.7625999999999999</v>
      </c>
      <c r="BN372" s="199">
        <v>0.15803</v>
      </c>
      <c r="BP372" s="197">
        <v>1.012</v>
      </c>
      <c r="BQ372" s="200">
        <v>265.77</v>
      </c>
      <c r="BR372" s="199">
        <v>6.3280000000000003</v>
      </c>
      <c r="BT372" s="197">
        <v>1.012</v>
      </c>
      <c r="BU372" s="201">
        <v>0.89790000000000003</v>
      </c>
      <c r="BV372" s="202">
        <v>1.0057</v>
      </c>
      <c r="BX372" s="37">
        <v>1012</v>
      </c>
      <c r="BY372" s="38">
        <v>1.0125999999999999</v>
      </c>
      <c r="BZ372" s="39">
        <v>8.24</v>
      </c>
      <c r="CA372" s="33"/>
      <c r="CB372" s="37">
        <v>1012</v>
      </c>
      <c r="CC372" s="38">
        <v>0.15892999999999999</v>
      </c>
      <c r="CD372" s="42">
        <v>6.2919999999999998</v>
      </c>
      <c r="CE372" s="33"/>
      <c r="CF372" s="33"/>
      <c r="CG372" s="33"/>
      <c r="CH372" s="33"/>
      <c r="CI372" s="33"/>
      <c r="CJ372" s="33"/>
      <c r="CK372" s="33"/>
      <c r="CL372" s="40">
        <v>1012</v>
      </c>
      <c r="CM372" s="43">
        <v>1010.9</v>
      </c>
      <c r="CN372" s="41">
        <v>0.98919999999999997</v>
      </c>
      <c r="CO372" s="33"/>
      <c r="CP372" s="40">
        <v>1012</v>
      </c>
      <c r="CQ372" s="34">
        <v>1.1144000000000001</v>
      </c>
      <c r="CR372" s="41">
        <v>0.995</v>
      </c>
      <c r="CS372" s="33"/>
      <c r="CT372" s="40">
        <v>1012</v>
      </c>
      <c r="CU372" s="44">
        <v>261.41000000000003</v>
      </c>
      <c r="CV372" s="42">
        <v>6.2240000000000002</v>
      </c>
    </row>
    <row r="373" spans="4:100">
      <c r="D373" s="30">
        <v>36.299999999999997</v>
      </c>
      <c r="E373" s="31">
        <v>0.84330000000000005</v>
      </c>
      <c r="F373" s="32">
        <v>842.8</v>
      </c>
      <c r="G373" s="33"/>
      <c r="H373" s="30">
        <v>36.299999999999997</v>
      </c>
      <c r="I373" s="34">
        <v>3.7835999999999999</v>
      </c>
      <c r="J373" s="35">
        <v>0.15891</v>
      </c>
      <c r="L373" s="30">
        <v>36.299999999999997</v>
      </c>
      <c r="M373" s="172">
        <v>7.0209999999999999</v>
      </c>
      <c r="N373" s="173">
        <v>0.14241999999999999</v>
      </c>
      <c r="P373" s="30">
        <v>36.299999999999997</v>
      </c>
      <c r="Q373" s="172">
        <v>3.5106999999999999</v>
      </c>
      <c r="R373" s="173">
        <v>0.14745</v>
      </c>
      <c r="T373" s="30">
        <v>36.299999999999997</v>
      </c>
      <c r="U373" s="172">
        <v>284.85000000000201</v>
      </c>
      <c r="V373" s="173">
        <v>6.782</v>
      </c>
      <c r="X373" s="30">
        <v>36.299999999999997</v>
      </c>
      <c r="Y373" s="34">
        <v>3.1345000000000001</v>
      </c>
      <c r="Z373" s="35">
        <v>0.13164999999999999</v>
      </c>
      <c r="AA373" s="36"/>
      <c r="AB373" s="30">
        <v>36.299999999999997</v>
      </c>
      <c r="AC373" s="44">
        <v>319.02999999999997</v>
      </c>
      <c r="AD373" s="35">
        <v>7.5960000000000001</v>
      </c>
      <c r="AE373" s="36"/>
      <c r="AF373" s="30">
        <v>36.299999999999997</v>
      </c>
      <c r="AG373" s="34">
        <v>3.1848000000000001</v>
      </c>
      <c r="AH373" s="35">
        <v>0.13375999999999999</v>
      </c>
      <c r="AI373" s="35"/>
      <c r="AJ373" s="35">
        <v>0.12454</v>
      </c>
      <c r="AK373" s="998">
        <v>48.7</v>
      </c>
      <c r="AM373" s="30">
        <v>36.299999999999997</v>
      </c>
      <c r="AN373" s="34">
        <v>1.0778000000000001</v>
      </c>
      <c r="AO373" s="35">
        <v>1.2071000000000001</v>
      </c>
      <c r="AQ373" s="197">
        <v>1.0129999999999999</v>
      </c>
      <c r="AR373" s="200">
        <v>8.18</v>
      </c>
      <c r="AS373" s="199">
        <v>1012.4</v>
      </c>
      <c r="AZ373" s="197">
        <v>1.0129999999999999</v>
      </c>
      <c r="BA373" s="198">
        <v>8.4366000000000003</v>
      </c>
      <c r="BB373" s="199">
        <v>0.11853</v>
      </c>
      <c r="BD373" s="197">
        <v>1.0129999999999999</v>
      </c>
      <c r="BE373" s="198">
        <v>4.2183000000000002</v>
      </c>
      <c r="BF373" s="199">
        <v>0.17716999999999999</v>
      </c>
      <c r="BH373" s="197">
        <v>1.0129999999999999</v>
      </c>
      <c r="BI373" s="198">
        <v>237.06</v>
      </c>
      <c r="BJ373" s="199">
        <v>5.6440000000000001</v>
      </c>
      <c r="BL373" s="197">
        <v>1.0129999999999999</v>
      </c>
      <c r="BM373" s="198">
        <v>3.7663000000000002</v>
      </c>
      <c r="BN373" s="199">
        <v>0.15819</v>
      </c>
      <c r="BP373" s="197">
        <v>1.0129999999999999</v>
      </c>
      <c r="BQ373" s="200">
        <v>265.51</v>
      </c>
      <c r="BR373" s="199">
        <v>6.3220000000000001</v>
      </c>
      <c r="BT373" s="197">
        <v>1.0129999999999999</v>
      </c>
      <c r="BU373" s="201">
        <v>0.89700000000000002</v>
      </c>
      <c r="BV373" s="202">
        <v>1.0046999999999999</v>
      </c>
      <c r="BX373" s="37">
        <v>1013</v>
      </c>
      <c r="BY373" s="38">
        <v>1.0136000000000001</v>
      </c>
      <c r="BZ373" s="39">
        <v>8.1</v>
      </c>
      <c r="CA373" s="33"/>
      <c r="CB373" s="37">
        <v>1013</v>
      </c>
      <c r="CC373" s="38">
        <v>0.15892999999999999</v>
      </c>
      <c r="CD373" s="42">
        <v>6.2919999999999998</v>
      </c>
      <c r="CE373" s="33"/>
      <c r="CF373" s="33"/>
      <c r="CG373" s="33"/>
      <c r="CH373" s="33"/>
      <c r="CI373" s="33"/>
      <c r="CJ373" s="33"/>
      <c r="CK373" s="33"/>
      <c r="CL373" s="40">
        <v>1013</v>
      </c>
      <c r="CM373" s="43">
        <v>1011.9</v>
      </c>
      <c r="CN373" s="41">
        <v>0.98819999999999997</v>
      </c>
      <c r="CO373" s="33"/>
      <c r="CP373" s="40">
        <v>1013</v>
      </c>
      <c r="CQ373" s="34">
        <v>1.1154999999999999</v>
      </c>
      <c r="CR373" s="41">
        <v>0.996</v>
      </c>
      <c r="CS373" s="33"/>
      <c r="CT373" s="40">
        <v>1013</v>
      </c>
      <c r="CU373" s="44">
        <v>261.14999999999998</v>
      </c>
      <c r="CV373" s="42">
        <v>6.218</v>
      </c>
    </row>
    <row r="374" spans="4:100">
      <c r="D374" s="30">
        <v>36.4</v>
      </c>
      <c r="E374" s="31">
        <v>0.84279999999999999</v>
      </c>
      <c r="F374" s="32">
        <v>842.3</v>
      </c>
      <c r="G374" s="33"/>
      <c r="H374" s="30">
        <v>36.4</v>
      </c>
      <c r="I374" s="34">
        <v>3.7835999999999999</v>
      </c>
      <c r="J374" s="35">
        <v>0.15891</v>
      </c>
      <c r="L374" s="30">
        <v>36.4</v>
      </c>
      <c r="M374" s="172">
        <v>7.0170000000000003</v>
      </c>
      <c r="N374" s="173">
        <v>0.14251</v>
      </c>
      <c r="P374" s="30">
        <v>36.4</v>
      </c>
      <c r="Q374" s="172">
        <v>3.5085999999999999</v>
      </c>
      <c r="R374" s="173">
        <v>0.14735999999999999</v>
      </c>
      <c r="T374" s="30">
        <v>36.4</v>
      </c>
      <c r="U374" s="172">
        <v>285.02000000000203</v>
      </c>
      <c r="V374" s="173">
        <v>6.7859999999999996</v>
      </c>
      <c r="X374" s="30">
        <v>36.4</v>
      </c>
      <c r="Y374" s="34">
        <v>3.1326000000000001</v>
      </c>
      <c r="Z374" s="35">
        <v>0.13156999999999999</v>
      </c>
      <c r="AA374" s="36"/>
      <c r="AB374" s="30">
        <v>36.4</v>
      </c>
      <c r="AC374" s="44">
        <v>319.22000000000003</v>
      </c>
      <c r="AD374" s="35">
        <v>7.6</v>
      </c>
      <c r="AE374" s="36"/>
      <c r="AF374" s="30">
        <v>36.4</v>
      </c>
      <c r="AG374" s="34">
        <v>3.1829000000000001</v>
      </c>
      <c r="AH374" s="35">
        <v>0.13367999999999999</v>
      </c>
      <c r="AI374" s="35"/>
      <c r="AJ374" s="35">
        <v>0.12461</v>
      </c>
      <c r="AK374" s="998">
        <v>48.6</v>
      </c>
      <c r="AM374" s="30">
        <v>36.4</v>
      </c>
      <c r="AN374" s="34">
        <v>1.0784</v>
      </c>
      <c r="AO374" s="35">
        <v>1.2078</v>
      </c>
      <c r="AQ374" s="197">
        <v>1.014</v>
      </c>
      <c r="AR374" s="200">
        <v>8.0500000000000007</v>
      </c>
      <c r="AS374" s="199">
        <v>1013.4</v>
      </c>
      <c r="AZ374" s="197">
        <v>1.014</v>
      </c>
      <c r="BA374" s="198">
        <v>8.4449000000000005</v>
      </c>
      <c r="BB374" s="199">
        <v>0.11841</v>
      </c>
      <c r="BD374" s="197">
        <v>1.014</v>
      </c>
      <c r="BE374" s="198">
        <v>4.2225000000000001</v>
      </c>
      <c r="BF374" s="199">
        <v>0.17734</v>
      </c>
      <c r="BH374" s="197">
        <v>1.014</v>
      </c>
      <c r="BI374" s="198">
        <v>236.83</v>
      </c>
      <c r="BJ374" s="199">
        <v>5.6390000000000002</v>
      </c>
      <c r="BL374" s="197">
        <v>1.014</v>
      </c>
      <c r="BM374" s="198">
        <v>3.7700999999999998</v>
      </c>
      <c r="BN374" s="199">
        <v>0.15834000000000001</v>
      </c>
      <c r="BP374" s="197">
        <v>1.014</v>
      </c>
      <c r="BQ374" s="200">
        <v>265.25</v>
      </c>
      <c r="BR374" s="199">
        <v>6.3150000000000004</v>
      </c>
      <c r="BT374" s="197">
        <v>1.014</v>
      </c>
      <c r="BU374" s="201">
        <v>0.8962</v>
      </c>
      <c r="BV374" s="202">
        <v>1.0037</v>
      </c>
      <c r="BX374" s="37">
        <v>1014</v>
      </c>
      <c r="BY374" s="38">
        <v>1.0145999999999999</v>
      </c>
      <c r="BZ374" s="39">
        <v>7.96</v>
      </c>
      <c r="CA374" s="33"/>
      <c r="CB374" s="37">
        <v>1014</v>
      </c>
      <c r="CC374" s="38">
        <v>0.15892999999999999</v>
      </c>
      <c r="CD374" s="42">
        <v>6.2919999999999998</v>
      </c>
      <c r="CE374" s="33"/>
      <c r="CF374" s="33"/>
      <c r="CG374" s="33"/>
      <c r="CH374" s="33"/>
      <c r="CI374" s="33"/>
      <c r="CJ374" s="33"/>
      <c r="CK374" s="33"/>
      <c r="CL374" s="40">
        <v>1014</v>
      </c>
      <c r="CM374" s="43">
        <v>1012.9</v>
      </c>
      <c r="CN374" s="41">
        <v>0.98719999999999997</v>
      </c>
      <c r="CO374" s="33"/>
      <c r="CP374" s="40">
        <v>1014</v>
      </c>
      <c r="CQ374" s="34">
        <v>1.1166</v>
      </c>
      <c r="CR374" s="41">
        <v>0.99690000000000001</v>
      </c>
      <c r="CS374" s="33"/>
      <c r="CT374" s="40">
        <v>1014</v>
      </c>
      <c r="CU374" s="44">
        <v>260.89</v>
      </c>
      <c r="CV374" s="42">
        <v>6.2119999999999997</v>
      </c>
    </row>
    <row r="375" spans="4:100">
      <c r="D375" s="30">
        <v>36.5</v>
      </c>
      <c r="E375" s="31">
        <v>0.84230000000000005</v>
      </c>
      <c r="F375" s="32">
        <v>841.8</v>
      </c>
      <c r="G375" s="33"/>
      <c r="H375" s="30">
        <v>36.5</v>
      </c>
      <c r="I375" s="34">
        <v>3.7835999999999999</v>
      </c>
      <c r="J375" s="35">
        <v>0.15891</v>
      </c>
      <c r="L375" s="30">
        <v>36.5</v>
      </c>
      <c r="M375" s="172">
        <v>7.0129999999999999</v>
      </c>
      <c r="N375" s="173">
        <v>0.14258999999999999</v>
      </c>
      <c r="P375" s="30">
        <v>36.5</v>
      </c>
      <c r="Q375" s="172">
        <v>3.5065</v>
      </c>
      <c r="R375" s="173">
        <v>0.14727000000000001</v>
      </c>
      <c r="T375" s="30">
        <v>36.5</v>
      </c>
      <c r="U375" s="172">
        <v>285.19000000000199</v>
      </c>
      <c r="V375" s="173">
        <v>6.79</v>
      </c>
      <c r="X375" s="30">
        <v>36.5</v>
      </c>
      <c r="Y375" s="34">
        <v>3.1307999999999998</v>
      </c>
      <c r="Z375" s="35">
        <v>0.13149</v>
      </c>
      <c r="AA375" s="36"/>
      <c r="AB375" s="30">
        <v>36.5</v>
      </c>
      <c r="AC375" s="44">
        <v>319.41000000000003</v>
      </c>
      <c r="AD375" s="35">
        <v>7.6050000000000004</v>
      </c>
      <c r="AE375" s="36"/>
      <c r="AF375" s="30">
        <v>36.5</v>
      </c>
      <c r="AG375" s="34">
        <v>3.181</v>
      </c>
      <c r="AH375" s="35">
        <v>0.1336</v>
      </c>
      <c r="AI375" s="35"/>
      <c r="AJ375" s="35">
        <v>0.12468</v>
      </c>
      <c r="AK375" s="998">
        <v>48.5</v>
      </c>
      <c r="AM375" s="30">
        <v>36.5</v>
      </c>
      <c r="AN375" s="34">
        <v>1.079</v>
      </c>
      <c r="AO375" s="35">
        <v>1.2084999999999999</v>
      </c>
      <c r="AQ375" s="197">
        <v>1.0149999999999999</v>
      </c>
      <c r="AR375" s="200">
        <v>7.91</v>
      </c>
      <c r="AS375" s="199">
        <v>1014.4</v>
      </c>
      <c r="AZ375" s="197">
        <v>1.0149999999999999</v>
      </c>
      <c r="BA375" s="198">
        <v>8.4533000000000005</v>
      </c>
      <c r="BB375" s="199">
        <v>0.1183</v>
      </c>
      <c r="BD375" s="197">
        <v>1.0149999999999999</v>
      </c>
      <c r="BE375" s="198">
        <v>4.2266000000000004</v>
      </c>
      <c r="BF375" s="199">
        <v>0.17752000000000001</v>
      </c>
      <c r="BH375" s="197">
        <v>1.0149999999999999</v>
      </c>
      <c r="BI375" s="198">
        <v>236.59</v>
      </c>
      <c r="BJ375" s="199">
        <v>5.633</v>
      </c>
      <c r="BL375" s="197">
        <v>1.0149999999999999</v>
      </c>
      <c r="BM375" s="198">
        <v>3.7738</v>
      </c>
      <c r="BN375" s="199">
        <v>0.1585</v>
      </c>
      <c r="BP375" s="197">
        <v>1.0149999999999999</v>
      </c>
      <c r="BQ375" s="200">
        <v>264.99</v>
      </c>
      <c r="BR375" s="199">
        <v>6.3090000000000002</v>
      </c>
      <c r="BT375" s="197">
        <v>1.0149999999999999</v>
      </c>
      <c r="BU375" s="201">
        <v>0.89529999999999998</v>
      </c>
      <c r="BV375" s="202">
        <v>1.0026999999999999</v>
      </c>
      <c r="BX375" s="37">
        <v>1015</v>
      </c>
      <c r="BY375" s="38">
        <v>1.0156000000000001</v>
      </c>
      <c r="BZ375" s="39">
        <v>7.82</v>
      </c>
      <c r="CA375" s="33"/>
      <c r="CB375" s="37">
        <v>1015</v>
      </c>
      <c r="CC375" s="38">
        <v>0.15892999999999999</v>
      </c>
      <c r="CD375" s="42">
        <v>6.2919999999999998</v>
      </c>
      <c r="CE375" s="33"/>
      <c r="CF375" s="33"/>
      <c r="CG375" s="33"/>
      <c r="CH375" s="33"/>
      <c r="CI375" s="33"/>
      <c r="CJ375" s="33"/>
      <c r="CK375" s="33"/>
      <c r="CL375" s="40">
        <v>1015</v>
      </c>
      <c r="CM375" s="43">
        <v>1013.9</v>
      </c>
      <c r="CN375" s="41">
        <v>0.98629999999999995</v>
      </c>
      <c r="CO375" s="33"/>
      <c r="CP375" s="40">
        <v>1015</v>
      </c>
      <c r="CQ375" s="34">
        <v>1.1176999999999999</v>
      </c>
      <c r="CR375" s="41">
        <v>0.99790000000000001</v>
      </c>
      <c r="CS375" s="33"/>
      <c r="CT375" s="40">
        <v>1015</v>
      </c>
      <c r="CU375" s="44">
        <v>260.64</v>
      </c>
      <c r="CV375" s="42">
        <v>6.2060000000000004</v>
      </c>
    </row>
    <row r="376" spans="4:100">
      <c r="D376" s="30">
        <v>36.6</v>
      </c>
      <c r="E376" s="31">
        <v>0.84179999999999999</v>
      </c>
      <c r="F376" s="32">
        <v>841.3</v>
      </c>
      <c r="G376" s="33"/>
      <c r="H376" s="30">
        <v>36.6</v>
      </c>
      <c r="I376" s="34">
        <v>3.7835999999999999</v>
      </c>
      <c r="J376" s="35">
        <v>0.15891</v>
      </c>
      <c r="L376" s="30">
        <v>36.6</v>
      </c>
      <c r="M376" s="172">
        <v>7.0090000000000003</v>
      </c>
      <c r="N376" s="173">
        <v>0.14268</v>
      </c>
      <c r="P376" s="30">
        <v>36.6</v>
      </c>
      <c r="Q376" s="172">
        <v>3.5044</v>
      </c>
      <c r="R376" s="173">
        <v>0.14718000000000001</v>
      </c>
      <c r="T376" s="30">
        <v>36.6</v>
      </c>
      <c r="U376" s="172">
        <v>285.360000000002</v>
      </c>
      <c r="V376" s="173">
        <v>6.7939999999999996</v>
      </c>
      <c r="X376" s="30">
        <v>36.6</v>
      </c>
      <c r="Y376" s="34">
        <v>3.1288999999999998</v>
      </c>
      <c r="Z376" s="35">
        <v>0.13141</v>
      </c>
      <c r="AA376" s="36"/>
      <c r="AB376" s="30">
        <v>36.6</v>
      </c>
      <c r="AC376" s="44">
        <v>319.60000000000002</v>
      </c>
      <c r="AD376" s="35">
        <v>7.61</v>
      </c>
      <c r="AE376" s="36"/>
      <c r="AF376" s="30">
        <v>36.6</v>
      </c>
      <c r="AG376" s="34">
        <v>3.1791</v>
      </c>
      <c r="AH376" s="35">
        <v>0.13352</v>
      </c>
      <c r="AI376" s="35"/>
      <c r="AJ376" s="35">
        <v>0.12475</v>
      </c>
      <c r="AK376" s="998">
        <v>48.4</v>
      </c>
      <c r="AM376" s="30">
        <v>36.6</v>
      </c>
      <c r="AN376" s="34">
        <v>1.0797000000000001</v>
      </c>
      <c r="AO376" s="35">
        <v>1.2093</v>
      </c>
      <c r="AQ376" s="197">
        <v>1.016</v>
      </c>
      <c r="AR376" s="200">
        <v>7.77</v>
      </c>
      <c r="AS376" s="199">
        <v>1015.4</v>
      </c>
      <c r="AZ376" s="197">
        <v>1.016</v>
      </c>
      <c r="BA376" s="198">
        <v>8.4616000000000007</v>
      </c>
      <c r="BB376" s="199">
        <v>0.11817999999999999</v>
      </c>
      <c r="BD376" s="197">
        <v>1.016</v>
      </c>
      <c r="BE376" s="198">
        <v>4.2308000000000003</v>
      </c>
      <c r="BF376" s="199">
        <v>0.17768999999999999</v>
      </c>
      <c r="BH376" s="197">
        <v>1.016</v>
      </c>
      <c r="BI376" s="198">
        <v>236.36</v>
      </c>
      <c r="BJ376" s="199">
        <v>5.6280000000000001</v>
      </c>
      <c r="BL376" s="197">
        <v>1.016</v>
      </c>
      <c r="BM376" s="198">
        <v>3.7774999999999999</v>
      </c>
      <c r="BN376" s="199">
        <v>0.15866</v>
      </c>
      <c r="BP376" s="197">
        <v>1.016</v>
      </c>
      <c r="BQ376" s="200">
        <v>264.72000000000003</v>
      </c>
      <c r="BR376" s="199">
        <v>6.3029999999999999</v>
      </c>
      <c r="BT376" s="197">
        <v>1.016</v>
      </c>
      <c r="BU376" s="201">
        <v>0.89439999999999997</v>
      </c>
      <c r="BV376" s="202">
        <v>1.0017</v>
      </c>
      <c r="BX376" s="37">
        <v>1016</v>
      </c>
      <c r="BY376" s="38">
        <v>1.0165999999999999</v>
      </c>
      <c r="BZ376" s="39">
        <v>7.69</v>
      </c>
      <c r="CA376" s="33"/>
      <c r="CB376" s="37">
        <v>1016</v>
      </c>
      <c r="CC376" s="38">
        <v>0.15892999999999999</v>
      </c>
      <c r="CD376" s="42">
        <v>6.2919999999999998</v>
      </c>
      <c r="CE376" s="33"/>
      <c r="CF376" s="33"/>
      <c r="CG376" s="33"/>
      <c r="CH376" s="33"/>
      <c r="CI376" s="33"/>
      <c r="CJ376" s="33"/>
      <c r="CK376" s="33"/>
      <c r="CL376" s="40">
        <v>1016</v>
      </c>
      <c r="CM376" s="43">
        <v>1014.9</v>
      </c>
      <c r="CN376" s="41">
        <v>0.98529999999999995</v>
      </c>
      <c r="CO376" s="33"/>
      <c r="CP376" s="40">
        <v>1016</v>
      </c>
      <c r="CQ376" s="34">
        <v>1.1188</v>
      </c>
      <c r="CR376" s="41">
        <v>0.99890000000000001</v>
      </c>
      <c r="CS376" s="33"/>
      <c r="CT376" s="40">
        <v>1016</v>
      </c>
      <c r="CU376" s="44">
        <v>260.38</v>
      </c>
      <c r="CV376" s="42">
        <v>6.2</v>
      </c>
    </row>
    <row r="377" spans="4:100">
      <c r="D377" s="30">
        <v>36.700000000000003</v>
      </c>
      <c r="E377" s="31">
        <v>0.84130000000000005</v>
      </c>
      <c r="F377" s="32">
        <v>840.8</v>
      </c>
      <c r="G377" s="33"/>
      <c r="H377" s="30">
        <v>36.700000000000003</v>
      </c>
      <c r="I377" s="34">
        <v>3.7835999999999999</v>
      </c>
      <c r="J377" s="35">
        <v>0.15891</v>
      </c>
      <c r="L377" s="30">
        <v>36.700000000000003</v>
      </c>
      <c r="M377" s="172">
        <v>7.0049999999999999</v>
      </c>
      <c r="N377" s="173">
        <v>0.14276</v>
      </c>
      <c r="P377" s="30">
        <v>36.700000000000003</v>
      </c>
      <c r="Q377" s="172">
        <v>3.5023</v>
      </c>
      <c r="R377" s="173">
        <v>0.14710000000000001</v>
      </c>
      <c r="T377" s="30">
        <v>36.700000000000003</v>
      </c>
      <c r="U377" s="172">
        <v>285.53000000000202</v>
      </c>
      <c r="V377" s="173">
        <v>6.798</v>
      </c>
      <c r="X377" s="30">
        <v>36.700000000000003</v>
      </c>
      <c r="Y377" s="34">
        <v>3.1269999999999998</v>
      </c>
      <c r="Z377" s="35">
        <v>0.13134000000000001</v>
      </c>
      <c r="AA377" s="36"/>
      <c r="AB377" s="30">
        <v>36.700000000000003</v>
      </c>
      <c r="AC377" s="44">
        <v>319.79000000000002</v>
      </c>
      <c r="AD377" s="35">
        <v>7.6139999999999999</v>
      </c>
      <c r="AE377" s="36"/>
      <c r="AF377" s="30">
        <v>36.700000000000003</v>
      </c>
      <c r="AG377" s="34">
        <v>3.1772</v>
      </c>
      <c r="AH377" s="35">
        <v>0.13344</v>
      </c>
      <c r="AI377" s="35"/>
      <c r="AJ377" s="35">
        <v>0.12482</v>
      </c>
      <c r="AK377" s="998">
        <v>48.3</v>
      </c>
      <c r="AM377" s="30">
        <v>36.700000000000003</v>
      </c>
      <c r="AN377" s="34">
        <v>1.0803</v>
      </c>
      <c r="AO377" s="35">
        <v>1.21</v>
      </c>
      <c r="AQ377" s="197">
        <v>1.0169999999999999</v>
      </c>
      <c r="AR377" s="200">
        <v>7.63</v>
      </c>
      <c r="AS377" s="199">
        <v>1016.4</v>
      </c>
      <c r="AZ377" s="197">
        <v>1.0169999999999999</v>
      </c>
      <c r="BA377" s="198">
        <v>8.4700000000000006</v>
      </c>
      <c r="BB377" s="199">
        <v>0.11806</v>
      </c>
      <c r="BD377" s="197">
        <v>1.0169999999999999</v>
      </c>
      <c r="BE377" s="198">
        <v>4.2350000000000003</v>
      </c>
      <c r="BF377" s="199">
        <v>0.17787</v>
      </c>
      <c r="BH377" s="197">
        <v>1.0169999999999999</v>
      </c>
      <c r="BI377" s="198">
        <v>236.13</v>
      </c>
      <c r="BJ377" s="199">
        <v>5.6219999999999999</v>
      </c>
      <c r="BL377" s="197">
        <v>1.0169999999999999</v>
      </c>
      <c r="BM377" s="198">
        <v>3.7812000000000001</v>
      </c>
      <c r="BN377" s="199">
        <v>0.15881000000000001</v>
      </c>
      <c r="BP377" s="197">
        <v>1.0169999999999999</v>
      </c>
      <c r="BQ377" s="200">
        <v>264.45999999999998</v>
      </c>
      <c r="BR377" s="199">
        <v>6.2969999999999997</v>
      </c>
      <c r="BT377" s="197">
        <v>1.0169999999999999</v>
      </c>
      <c r="BU377" s="201">
        <v>0.89349999999999996</v>
      </c>
      <c r="BV377" s="202">
        <v>1.0006999999999999</v>
      </c>
      <c r="BX377" s="37">
        <v>1017</v>
      </c>
      <c r="BY377" s="38">
        <v>1.0176000000000001</v>
      </c>
      <c r="BZ377" s="39">
        <v>7.55</v>
      </c>
      <c r="CA377" s="33"/>
      <c r="CB377" s="37">
        <v>1017</v>
      </c>
      <c r="CC377" s="38">
        <v>0.15892999999999999</v>
      </c>
      <c r="CD377" s="42">
        <v>6.2919999999999998</v>
      </c>
      <c r="CE377" s="33"/>
      <c r="CF377" s="33"/>
      <c r="CG377" s="33"/>
      <c r="CH377" s="33"/>
      <c r="CI377" s="33"/>
      <c r="CJ377" s="33"/>
      <c r="CK377" s="33"/>
      <c r="CL377" s="40">
        <v>1017</v>
      </c>
      <c r="CM377" s="43">
        <v>1015.9</v>
      </c>
      <c r="CN377" s="41">
        <v>0.98429999999999995</v>
      </c>
      <c r="CO377" s="33"/>
      <c r="CP377" s="40">
        <v>1017</v>
      </c>
      <c r="CQ377" s="34">
        <v>1.1198999999999999</v>
      </c>
      <c r="CR377" s="41">
        <v>0.99990000000000001</v>
      </c>
      <c r="CS377" s="33"/>
      <c r="CT377" s="40">
        <v>1017</v>
      </c>
      <c r="CU377" s="44">
        <v>260.12</v>
      </c>
      <c r="CV377" s="42">
        <v>6.1929999999999996</v>
      </c>
    </row>
    <row r="378" spans="4:100">
      <c r="D378" s="30">
        <v>36.799999999999997</v>
      </c>
      <c r="E378" s="31">
        <v>0.84079999999999999</v>
      </c>
      <c r="F378" s="32">
        <v>840.3</v>
      </c>
      <c r="G378" s="33"/>
      <c r="H378" s="30">
        <v>36.799999999999997</v>
      </c>
      <c r="I378" s="34">
        <v>3.7835999999999999</v>
      </c>
      <c r="J378" s="35">
        <v>0.15891</v>
      </c>
      <c r="L378" s="30">
        <v>36.799999999999997</v>
      </c>
      <c r="M378" s="172">
        <v>7</v>
      </c>
      <c r="N378" s="173">
        <v>0.14285</v>
      </c>
      <c r="P378" s="30">
        <v>36.799999999999997</v>
      </c>
      <c r="Q378" s="172">
        <v>3.5002</v>
      </c>
      <c r="R378" s="173">
        <v>0.14701</v>
      </c>
      <c r="T378" s="30">
        <v>36.799999999999997</v>
      </c>
      <c r="U378" s="172">
        <v>285.70000000000198</v>
      </c>
      <c r="V378" s="173">
        <v>6.8019999999999996</v>
      </c>
      <c r="X378" s="30">
        <v>36.799999999999997</v>
      </c>
      <c r="Y378" s="34">
        <v>3.1252</v>
      </c>
      <c r="Z378" s="35">
        <v>0.13125999999999999</v>
      </c>
      <c r="AA378" s="36"/>
      <c r="AB378" s="30">
        <v>36.799999999999997</v>
      </c>
      <c r="AC378" s="44">
        <v>319.98</v>
      </c>
      <c r="AD378" s="35">
        <v>7.6189999999999998</v>
      </c>
      <c r="AE378" s="36"/>
      <c r="AF378" s="30">
        <v>36.799999999999997</v>
      </c>
      <c r="AG378" s="34">
        <v>3.1753</v>
      </c>
      <c r="AH378" s="35">
        <v>0.13336000000000001</v>
      </c>
      <c r="AI378" s="35"/>
      <c r="AJ378" s="35">
        <v>0.12489</v>
      </c>
      <c r="AK378" s="998">
        <v>48.2</v>
      </c>
      <c r="AM378" s="30">
        <v>36.799999999999997</v>
      </c>
      <c r="AN378" s="34">
        <v>1.081</v>
      </c>
      <c r="AO378" s="35">
        <v>1.2107000000000001</v>
      </c>
      <c r="AQ378" s="197">
        <v>1.018</v>
      </c>
      <c r="AR378" s="200">
        <v>7.5</v>
      </c>
      <c r="AS378" s="199">
        <v>1017.4</v>
      </c>
      <c r="AZ378" s="197">
        <v>1.018</v>
      </c>
      <c r="BA378" s="198">
        <v>8.4783000000000008</v>
      </c>
      <c r="BB378" s="199">
        <v>0.11795</v>
      </c>
      <c r="BD378" s="197">
        <v>1.018</v>
      </c>
      <c r="BE378" s="198">
        <v>4.2390999999999996</v>
      </c>
      <c r="BF378" s="199">
        <v>0.17804</v>
      </c>
      <c r="BH378" s="197">
        <v>1.018</v>
      </c>
      <c r="BI378" s="198">
        <v>235.9</v>
      </c>
      <c r="BJ378" s="199">
        <v>5.617</v>
      </c>
      <c r="BL378" s="197">
        <v>1.018</v>
      </c>
      <c r="BM378" s="198">
        <v>3.7850000000000001</v>
      </c>
      <c r="BN378" s="199">
        <v>0.15897</v>
      </c>
      <c r="BP378" s="197">
        <v>1.018</v>
      </c>
      <c r="BQ378" s="200">
        <v>264.2</v>
      </c>
      <c r="BR378" s="199">
        <v>6.2910000000000004</v>
      </c>
      <c r="BT378" s="197">
        <v>1.018</v>
      </c>
      <c r="BU378" s="201">
        <v>0.89259999999999995</v>
      </c>
      <c r="BV378" s="202">
        <v>0.99980000000000002</v>
      </c>
      <c r="BX378" s="37">
        <v>1018</v>
      </c>
      <c r="BY378" s="38">
        <v>1.0185999999999999</v>
      </c>
      <c r="BZ378" s="39">
        <v>7.41</v>
      </c>
      <c r="CA378" s="33"/>
      <c r="CB378" s="37">
        <v>1018</v>
      </c>
      <c r="CC378" s="38">
        <v>0.15892999999999999</v>
      </c>
      <c r="CD378" s="42">
        <v>6.2919999999999998</v>
      </c>
      <c r="CE378" s="33"/>
      <c r="CF378" s="33"/>
      <c r="CG378" s="33"/>
      <c r="CH378" s="33"/>
      <c r="CI378" s="33"/>
      <c r="CJ378" s="33"/>
      <c r="CK378" s="33"/>
      <c r="CL378" s="40">
        <v>1018</v>
      </c>
      <c r="CM378" s="43">
        <v>1016.9</v>
      </c>
      <c r="CN378" s="41">
        <v>0.98329999999999995</v>
      </c>
      <c r="CO378" s="33"/>
      <c r="CP378" s="40">
        <v>1018</v>
      </c>
      <c r="CQ378" s="34">
        <v>1.121</v>
      </c>
      <c r="CR378" s="41">
        <v>1.0008999999999999</v>
      </c>
      <c r="CS378" s="33"/>
      <c r="CT378" s="40">
        <v>1018</v>
      </c>
      <c r="CU378" s="44">
        <v>259.87</v>
      </c>
      <c r="CV378" s="42">
        <v>6.1870000000000003</v>
      </c>
    </row>
    <row r="379" spans="4:100">
      <c r="D379" s="30">
        <v>36.9</v>
      </c>
      <c r="E379" s="31">
        <v>0.84030000000000005</v>
      </c>
      <c r="F379" s="32">
        <v>839.8</v>
      </c>
      <c r="G379" s="33"/>
      <c r="H379" s="30">
        <v>36.9</v>
      </c>
      <c r="I379" s="34">
        <v>3.7835999999999999</v>
      </c>
      <c r="J379" s="35">
        <v>0.15891</v>
      </c>
      <c r="L379" s="30">
        <v>36.9</v>
      </c>
      <c r="M379" s="172">
        <v>6.9960000000000004</v>
      </c>
      <c r="N379" s="173">
        <v>0.14293</v>
      </c>
      <c r="P379" s="30">
        <v>36.9</v>
      </c>
      <c r="Q379" s="172">
        <v>3.4981</v>
      </c>
      <c r="R379" s="173">
        <v>0.14692</v>
      </c>
      <c r="T379" s="30">
        <v>36.9</v>
      </c>
      <c r="U379" s="172">
        <v>285.87000000000199</v>
      </c>
      <c r="V379" s="173">
        <v>6.806</v>
      </c>
      <c r="X379" s="30">
        <v>36.9</v>
      </c>
      <c r="Y379" s="34">
        <v>3.1233</v>
      </c>
      <c r="Z379" s="35">
        <v>0.13117999999999999</v>
      </c>
      <c r="AA379" s="36"/>
      <c r="AB379" s="30">
        <v>36.9</v>
      </c>
      <c r="AC379" s="44">
        <v>320.17</v>
      </c>
      <c r="AD379" s="35">
        <v>7.6230000000000002</v>
      </c>
      <c r="AE379" s="36"/>
      <c r="AF379" s="30">
        <v>36.9</v>
      </c>
      <c r="AG379" s="34">
        <v>3.1734</v>
      </c>
      <c r="AH379" s="35">
        <v>0.13328000000000001</v>
      </c>
      <c r="AI379" s="35"/>
      <c r="AJ379" s="35">
        <v>0.12496</v>
      </c>
      <c r="AK379" s="998">
        <v>48.1</v>
      </c>
      <c r="AM379" s="30">
        <v>36.9</v>
      </c>
      <c r="AN379" s="34">
        <v>1.0815999999999999</v>
      </c>
      <c r="AO379" s="35">
        <v>1.2114</v>
      </c>
      <c r="AQ379" s="197">
        <v>1.0189999999999999</v>
      </c>
      <c r="AR379" s="200">
        <v>7.36</v>
      </c>
      <c r="AS379" s="199">
        <v>1018.4</v>
      </c>
      <c r="AZ379" s="197">
        <v>1.0189999999999999</v>
      </c>
      <c r="BA379" s="198">
        <v>8.4865999999999993</v>
      </c>
      <c r="BB379" s="199">
        <v>0.11783</v>
      </c>
      <c r="BD379" s="197">
        <v>1.0189999999999999</v>
      </c>
      <c r="BE379" s="198">
        <v>4.2432999999999996</v>
      </c>
      <c r="BF379" s="199">
        <v>0.17821999999999999</v>
      </c>
      <c r="BH379" s="197">
        <v>1.0189999999999999</v>
      </c>
      <c r="BI379" s="198">
        <v>235.66</v>
      </c>
      <c r="BJ379" s="199">
        <v>5.6109999999999998</v>
      </c>
      <c r="BL379" s="197">
        <v>1.0189999999999999</v>
      </c>
      <c r="BM379" s="198">
        <v>3.7887</v>
      </c>
      <c r="BN379" s="199">
        <v>0.15912000000000001</v>
      </c>
      <c r="BP379" s="197">
        <v>1.0189999999999999</v>
      </c>
      <c r="BQ379" s="200">
        <v>263.94</v>
      </c>
      <c r="BR379" s="199">
        <v>6.2839999999999998</v>
      </c>
      <c r="BT379" s="197">
        <v>1.0189999999999999</v>
      </c>
      <c r="BU379" s="201">
        <v>0.89180000000000004</v>
      </c>
      <c r="BV379" s="202">
        <v>0.99880000000000002</v>
      </c>
      <c r="BX379" s="37">
        <v>1019</v>
      </c>
      <c r="BY379" s="38">
        <v>1.0196000000000001</v>
      </c>
      <c r="BZ379" s="39">
        <v>7.28</v>
      </c>
      <c r="CA379" s="33"/>
      <c r="CB379" s="37">
        <v>1019</v>
      </c>
      <c r="CC379" s="38">
        <v>0.15892999999999999</v>
      </c>
      <c r="CD379" s="42">
        <v>6.2919999999999998</v>
      </c>
      <c r="CE379" s="33"/>
      <c r="CF379" s="33"/>
      <c r="CG379" s="33"/>
      <c r="CH379" s="33"/>
      <c r="CI379" s="33"/>
      <c r="CJ379" s="33"/>
      <c r="CK379" s="33"/>
      <c r="CL379" s="40">
        <v>1019</v>
      </c>
      <c r="CM379" s="43">
        <v>1017.9</v>
      </c>
      <c r="CN379" s="41">
        <v>0.98240000000000005</v>
      </c>
      <c r="CO379" s="33"/>
      <c r="CP379" s="40">
        <v>1019</v>
      </c>
      <c r="CQ379" s="34">
        <v>1.1221000000000001</v>
      </c>
      <c r="CR379" s="41">
        <v>1.0019</v>
      </c>
      <c r="CS379" s="33"/>
      <c r="CT379" s="40">
        <v>1019</v>
      </c>
      <c r="CU379" s="44">
        <v>259.61</v>
      </c>
      <c r="CV379" s="42">
        <v>6.181</v>
      </c>
    </row>
    <row r="380" spans="4:100">
      <c r="D380" s="30">
        <v>37</v>
      </c>
      <c r="E380" s="31">
        <v>0.83979999999999999</v>
      </c>
      <c r="F380" s="32">
        <v>839.3</v>
      </c>
      <c r="G380" s="33"/>
      <c r="H380" s="30">
        <v>37</v>
      </c>
      <c r="I380" s="34">
        <v>3.7835999999999999</v>
      </c>
      <c r="J380" s="35">
        <v>0.15891</v>
      </c>
      <c r="L380" s="30">
        <v>37</v>
      </c>
      <c r="M380" s="172">
        <v>6.992</v>
      </c>
      <c r="N380" s="173">
        <v>0.14302000000000001</v>
      </c>
      <c r="P380" s="30">
        <v>37</v>
      </c>
      <c r="Q380" s="172">
        <v>3.496</v>
      </c>
      <c r="R380" s="173">
        <v>0.14682999999999999</v>
      </c>
      <c r="T380" s="30">
        <v>37</v>
      </c>
      <c r="U380" s="172">
        <v>286.04000000000201</v>
      </c>
      <c r="V380" s="173">
        <v>6.81</v>
      </c>
      <c r="X380" s="30">
        <v>37</v>
      </c>
      <c r="Y380" s="34">
        <v>3.1215000000000002</v>
      </c>
      <c r="Z380" s="35">
        <v>0.13109999999999999</v>
      </c>
      <c r="AA380" s="36"/>
      <c r="AB380" s="30">
        <v>37</v>
      </c>
      <c r="AC380" s="44">
        <v>320.36</v>
      </c>
      <c r="AD380" s="35">
        <v>7.6280000000000001</v>
      </c>
      <c r="AE380" s="36"/>
      <c r="AF380" s="30">
        <v>37</v>
      </c>
      <c r="AG380" s="34">
        <v>3.1716000000000002</v>
      </c>
      <c r="AH380" s="35">
        <v>0.13321</v>
      </c>
      <c r="AI380" s="35"/>
      <c r="AJ380" s="35">
        <v>0.12503</v>
      </c>
      <c r="AK380" s="998">
        <v>48</v>
      </c>
      <c r="AM380" s="30">
        <v>37</v>
      </c>
      <c r="AN380" s="34">
        <v>1.0823</v>
      </c>
      <c r="AO380" s="35">
        <v>1.2121</v>
      </c>
      <c r="AQ380" s="197">
        <v>1.02</v>
      </c>
      <c r="AR380" s="200">
        <v>7.23</v>
      </c>
      <c r="AS380" s="199">
        <v>1019.4</v>
      </c>
      <c r="AZ380" s="197">
        <v>1.02</v>
      </c>
      <c r="BA380" s="198">
        <v>8.4949999999999992</v>
      </c>
      <c r="BB380" s="199">
        <v>0.11772000000000001</v>
      </c>
      <c r="BD380" s="197">
        <v>1.02</v>
      </c>
      <c r="BE380" s="198">
        <v>4.2474999999999996</v>
      </c>
      <c r="BF380" s="199">
        <v>0.17838999999999999</v>
      </c>
      <c r="BH380" s="197">
        <v>1.02</v>
      </c>
      <c r="BI380" s="198">
        <v>235.43</v>
      </c>
      <c r="BJ380" s="199">
        <v>5.6059999999999999</v>
      </c>
      <c r="BL380" s="197">
        <v>1.02</v>
      </c>
      <c r="BM380" s="198">
        <v>3.7924000000000002</v>
      </c>
      <c r="BN380" s="199">
        <v>0.15928</v>
      </c>
      <c r="BP380" s="197">
        <v>1.02</v>
      </c>
      <c r="BQ380" s="200">
        <v>263.69</v>
      </c>
      <c r="BR380" s="199">
        <v>6.2779999999999996</v>
      </c>
      <c r="BT380" s="197">
        <v>1.02</v>
      </c>
      <c r="BU380" s="201">
        <v>0.89090000000000003</v>
      </c>
      <c r="BV380" s="202">
        <v>0.99780000000000002</v>
      </c>
      <c r="BX380" s="37">
        <v>1020</v>
      </c>
      <c r="BY380" s="38">
        <v>1.0206</v>
      </c>
      <c r="BZ380" s="39">
        <v>7.14</v>
      </c>
      <c r="CA380" s="33"/>
      <c r="CB380" s="37">
        <v>1020</v>
      </c>
      <c r="CC380" s="38">
        <v>0.15892999999999999</v>
      </c>
      <c r="CD380" s="42">
        <v>6.2919999999999998</v>
      </c>
      <c r="CE380" s="33"/>
      <c r="CF380" s="33"/>
      <c r="CG380" s="33"/>
      <c r="CH380" s="33"/>
      <c r="CI380" s="33"/>
      <c r="CJ380" s="33"/>
      <c r="CK380" s="33"/>
      <c r="CL380" s="40">
        <v>1020</v>
      </c>
      <c r="CM380" s="43">
        <v>1018.9</v>
      </c>
      <c r="CN380" s="41">
        <v>0.98140000000000005</v>
      </c>
      <c r="CO380" s="33"/>
      <c r="CP380" s="40">
        <v>1020</v>
      </c>
      <c r="CQ380" s="34">
        <v>1.1232</v>
      </c>
      <c r="CR380" s="41">
        <v>1.0027999999999999</v>
      </c>
      <c r="CS380" s="33"/>
      <c r="CT380" s="40">
        <v>1020</v>
      </c>
      <c r="CU380" s="44">
        <v>259.36</v>
      </c>
      <c r="CV380" s="42">
        <v>6.1749999999999998</v>
      </c>
    </row>
    <row r="381" spans="4:100">
      <c r="D381" s="30">
        <v>37.1</v>
      </c>
      <c r="E381" s="31">
        <v>0.83930000000000005</v>
      </c>
      <c r="F381" s="32">
        <v>838.8</v>
      </c>
      <c r="G381" s="33"/>
      <c r="H381" s="30">
        <v>37.1</v>
      </c>
      <c r="I381" s="34">
        <v>3.7835999999999999</v>
      </c>
      <c r="J381" s="35">
        <v>0.15891</v>
      </c>
      <c r="L381" s="30">
        <v>37.1</v>
      </c>
      <c r="M381" s="172">
        <v>6.9880000000000004</v>
      </c>
      <c r="N381" s="173">
        <v>0.1431</v>
      </c>
      <c r="P381" s="30">
        <v>37.1</v>
      </c>
      <c r="Q381" s="172">
        <v>3.4940000000000002</v>
      </c>
      <c r="R381" s="173">
        <v>0.14674999999999999</v>
      </c>
      <c r="T381" s="30">
        <v>37.1</v>
      </c>
      <c r="U381" s="172">
        <v>286.21000000000203</v>
      </c>
      <c r="V381" s="173">
        <v>6.8140000000000098</v>
      </c>
      <c r="X381" s="30">
        <v>37.1</v>
      </c>
      <c r="Y381" s="34">
        <v>3.1196000000000002</v>
      </c>
      <c r="Z381" s="35">
        <v>0.13102</v>
      </c>
      <c r="AA381" s="36"/>
      <c r="AB381" s="30">
        <v>37.1</v>
      </c>
      <c r="AC381" s="44">
        <v>320.55</v>
      </c>
      <c r="AD381" s="35">
        <v>7.6319999999999997</v>
      </c>
      <c r="AE381" s="36"/>
      <c r="AF381" s="30">
        <v>37.1</v>
      </c>
      <c r="AG381" s="34">
        <v>3.1697000000000002</v>
      </c>
      <c r="AH381" s="35">
        <v>0.13313</v>
      </c>
      <c r="AI381" s="35"/>
      <c r="AJ381" s="35">
        <v>0.12509999999999999</v>
      </c>
      <c r="AK381" s="998">
        <v>47.9</v>
      </c>
      <c r="AM381" s="30">
        <v>37.1</v>
      </c>
      <c r="AN381" s="34">
        <v>1.0829</v>
      </c>
      <c r="AO381" s="35">
        <v>1.2129000000000001</v>
      </c>
      <c r="AQ381" s="197">
        <v>1.0209999999999999</v>
      </c>
      <c r="AR381" s="200">
        <v>7.09</v>
      </c>
      <c r="AS381" s="199">
        <v>1020.4</v>
      </c>
      <c r="AZ381" s="197">
        <v>1.0209999999999999</v>
      </c>
      <c r="BA381" s="198">
        <v>8.5032999999999994</v>
      </c>
      <c r="BB381" s="199">
        <v>0.1176</v>
      </c>
      <c r="BD381" s="197">
        <v>1.0209999999999999</v>
      </c>
      <c r="BE381" s="198">
        <v>4.2516999999999996</v>
      </c>
      <c r="BF381" s="199">
        <v>0.17857000000000001</v>
      </c>
      <c r="BH381" s="197">
        <v>1.0209999999999999</v>
      </c>
      <c r="BI381" s="198">
        <v>235.2</v>
      </c>
      <c r="BJ381" s="199">
        <v>5.6</v>
      </c>
      <c r="BL381" s="197">
        <v>1.0209999999999999</v>
      </c>
      <c r="BM381" s="198">
        <v>3.7961</v>
      </c>
      <c r="BN381" s="199">
        <v>0.15944</v>
      </c>
      <c r="BP381" s="197">
        <v>1.0209999999999999</v>
      </c>
      <c r="BQ381" s="200">
        <v>263.43</v>
      </c>
      <c r="BR381" s="199">
        <v>6.2720000000000002</v>
      </c>
      <c r="BT381" s="197">
        <v>1.0209999999999999</v>
      </c>
      <c r="BU381" s="201">
        <v>0.89</v>
      </c>
      <c r="BV381" s="202">
        <v>0.99680000000000002</v>
      </c>
      <c r="BX381" s="37">
        <v>1021</v>
      </c>
      <c r="BY381" s="38">
        <v>1.0216000000000001</v>
      </c>
      <c r="BZ381" s="39">
        <v>7</v>
      </c>
      <c r="CA381" s="33"/>
      <c r="CB381" s="37">
        <v>1021</v>
      </c>
      <c r="CC381" s="38">
        <v>0.15892999999999999</v>
      </c>
      <c r="CD381" s="42">
        <v>6.2919999999999998</v>
      </c>
      <c r="CE381" s="33"/>
      <c r="CF381" s="33"/>
      <c r="CG381" s="33"/>
      <c r="CH381" s="33"/>
      <c r="CI381" s="33"/>
      <c r="CJ381" s="33"/>
      <c r="CK381" s="33"/>
      <c r="CL381" s="40">
        <v>1021</v>
      </c>
      <c r="CM381" s="43">
        <v>1019.9</v>
      </c>
      <c r="CN381" s="41">
        <v>0.98050000000000004</v>
      </c>
      <c r="CO381" s="33"/>
      <c r="CP381" s="40">
        <v>1021</v>
      </c>
      <c r="CQ381" s="34">
        <v>1.1243000000000001</v>
      </c>
      <c r="CR381" s="41">
        <v>1.0038</v>
      </c>
      <c r="CS381" s="33"/>
      <c r="CT381" s="40">
        <v>1021</v>
      </c>
      <c r="CU381" s="44">
        <v>259.10000000000002</v>
      </c>
      <c r="CV381" s="42">
        <v>6.1689999999999996</v>
      </c>
    </row>
    <row r="382" spans="4:100">
      <c r="D382" s="30">
        <v>37.200000000000003</v>
      </c>
      <c r="E382" s="31">
        <v>0.83879999999999999</v>
      </c>
      <c r="F382" s="32">
        <v>838.3</v>
      </c>
      <c r="G382" s="33"/>
      <c r="H382" s="30">
        <v>37.200000000000003</v>
      </c>
      <c r="I382" s="34">
        <v>3.7835999999999999</v>
      </c>
      <c r="J382" s="35">
        <v>0.15891</v>
      </c>
      <c r="L382" s="30">
        <v>37.200000000000003</v>
      </c>
      <c r="M382" s="172">
        <v>6.984</v>
      </c>
      <c r="N382" s="173">
        <v>0.14319000000000001</v>
      </c>
      <c r="P382" s="30">
        <v>37.200000000000003</v>
      </c>
      <c r="Q382" s="172">
        <v>3.4918999999999998</v>
      </c>
      <c r="R382" s="173">
        <v>0.14666000000000001</v>
      </c>
      <c r="T382" s="30">
        <v>37.200000000000003</v>
      </c>
      <c r="U382" s="172">
        <v>286.38000000000198</v>
      </c>
      <c r="V382" s="173">
        <v>6.819</v>
      </c>
      <c r="X382" s="30">
        <v>37.200000000000003</v>
      </c>
      <c r="Y382" s="34">
        <v>3.1177999999999999</v>
      </c>
      <c r="Z382" s="35">
        <v>0.13095000000000001</v>
      </c>
      <c r="AA382" s="36"/>
      <c r="AB382" s="30">
        <v>37.200000000000003</v>
      </c>
      <c r="AC382" s="44">
        <v>320.74</v>
      </c>
      <c r="AD382" s="35">
        <v>7.6369999999999996</v>
      </c>
      <c r="AE382" s="36"/>
      <c r="AF382" s="30">
        <v>37.200000000000003</v>
      </c>
      <c r="AG382" s="34">
        <v>3.1678000000000002</v>
      </c>
      <c r="AH382" s="35">
        <v>0.13305</v>
      </c>
      <c r="AI382" s="35"/>
      <c r="AJ382" s="35">
        <v>0.12517</v>
      </c>
      <c r="AK382" s="998">
        <v>47.8</v>
      </c>
      <c r="AM382" s="30">
        <v>37.200000000000003</v>
      </c>
      <c r="AN382" s="34">
        <v>1.0834999999999999</v>
      </c>
      <c r="AO382" s="35">
        <v>1.2136</v>
      </c>
      <c r="AQ382" s="197">
        <v>1.022</v>
      </c>
      <c r="AR382" s="200">
        <v>6.95</v>
      </c>
      <c r="AS382" s="199">
        <v>1021.4</v>
      </c>
      <c r="AZ382" s="197">
        <v>1.022</v>
      </c>
      <c r="BA382" s="198">
        <v>8.5116999999999994</v>
      </c>
      <c r="BB382" s="199">
        <v>0.11749</v>
      </c>
      <c r="BD382" s="197">
        <v>1.022</v>
      </c>
      <c r="BE382" s="198">
        <v>4.2557999999999998</v>
      </c>
      <c r="BF382" s="199">
        <v>0.17874000000000001</v>
      </c>
      <c r="BH382" s="197">
        <v>1.022</v>
      </c>
      <c r="BI382" s="198">
        <v>234.97</v>
      </c>
      <c r="BJ382" s="199">
        <v>5.5949999999999998</v>
      </c>
      <c r="BL382" s="197">
        <v>1.022</v>
      </c>
      <c r="BM382" s="198">
        <v>3.7997999999999998</v>
      </c>
      <c r="BN382" s="199">
        <v>0.15959000000000001</v>
      </c>
      <c r="BP382" s="197">
        <v>1.022</v>
      </c>
      <c r="BQ382" s="200">
        <v>263.17</v>
      </c>
      <c r="BR382" s="199">
        <v>6.266</v>
      </c>
      <c r="BT382" s="197">
        <v>1.022</v>
      </c>
      <c r="BU382" s="201">
        <v>0.8891</v>
      </c>
      <c r="BV382" s="202">
        <v>0.99580000000000002</v>
      </c>
      <c r="BX382" s="37">
        <v>1022</v>
      </c>
      <c r="BY382" s="38">
        <v>1.0226</v>
      </c>
      <c r="BZ382" s="39">
        <v>6.87</v>
      </c>
      <c r="CA382" s="33"/>
      <c r="CB382" s="37">
        <v>1022</v>
      </c>
      <c r="CC382" s="38">
        <v>0.15892999999999999</v>
      </c>
      <c r="CD382" s="42">
        <v>6.2919999999999998</v>
      </c>
      <c r="CE382" s="33"/>
      <c r="CF382" s="33"/>
      <c r="CG382" s="33"/>
      <c r="CH382" s="33"/>
      <c r="CI382" s="33"/>
      <c r="CJ382" s="33"/>
      <c r="CK382" s="33"/>
      <c r="CL382" s="40">
        <v>1022</v>
      </c>
      <c r="CM382" s="43">
        <v>1020.9</v>
      </c>
      <c r="CN382" s="41">
        <v>0.97950000000000004</v>
      </c>
      <c r="CO382" s="33"/>
      <c r="CP382" s="40">
        <v>1022</v>
      </c>
      <c r="CQ382" s="34">
        <v>1.1254</v>
      </c>
      <c r="CR382" s="41">
        <v>1.0047999999999999</v>
      </c>
      <c r="CS382" s="33"/>
      <c r="CT382" s="40">
        <v>1022</v>
      </c>
      <c r="CU382" s="44">
        <v>258.85000000000002</v>
      </c>
      <c r="CV382" s="42">
        <v>6.1630000000000003</v>
      </c>
    </row>
    <row r="383" spans="4:100">
      <c r="D383" s="30">
        <v>37.299999999999997</v>
      </c>
      <c r="E383" s="31">
        <v>0.83830000000000005</v>
      </c>
      <c r="F383" s="32">
        <v>837.8</v>
      </c>
      <c r="G383" s="33"/>
      <c r="H383" s="30">
        <v>37.299999999999997</v>
      </c>
      <c r="I383" s="34">
        <v>3.7835999999999999</v>
      </c>
      <c r="J383" s="35">
        <v>0.15891</v>
      </c>
      <c r="L383" s="30">
        <v>37.299999999999997</v>
      </c>
      <c r="M383" s="172">
        <v>6.98</v>
      </c>
      <c r="N383" s="173">
        <v>0.14327000000000001</v>
      </c>
      <c r="P383" s="30">
        <v>37.299999999999997</v>
      </c>
      <c r="Q383" s="172">
        <v>3.4897999999999998</v>
      </c>
      <c r="R383" s="173">
        <v>0.14657000000000001</v>
      </c>
      <c r="T383" s="30">
        <v>37.299999999999997</v>
      </c>
      <c r="U383" s="172">
        <v>286.550000000002</v>
      </c>
      <c r="V383" s="173">
        <v>6.8230000000000004</v>
      </c>
      <c r="X383" s="30">
        <v>37.299999999999997</v>
      </c>
      <c r="Y383" s="34">
        <v>3.1158999999999999</v>
      </c>
      <c r="Z383" s="35">
        <v>0.13086999999999999</v>
      </c>
      <c r="AA383" s="36"/>
      <c r="AB383" s="30">
        <v>37.299999999999997</v>
      </c>
      <c r="AC383" s="44">
        <v>320.93</v>
      </c>
      <c r="AD383" s="35">
        <v>7.641</v>
      </c>
      <c r="AE383" s="36"/>
      <c r="AF383" s="30">
        <v>37.299999999999997</v>
      </c>
      <c r="AG383" s="34">
        <v>3.1659000000000002</v>
      </c>
      <c r="AH383" s="35">
        <v>0.13297</v>
      </c>
      <c r="AI383" s="35"/>
      <c r="AJ383" s="35">
        <v>0.12523999999999999</v>
      </c>
      <c r="AK383" s="998">
        <v>47.7</v>
      </c>
      <c r="AM383" s="30">
        <v>37.299999999999997</v>
      </c>
      <c r="AN383" s="34">
        <v>1.0842000000000001</v>
      </c>
      <c r="AO383" s="35">
        <v>1.2142999999999999</v>
      </c>
      <c r="AQ383" s="197">
        <v>1.0229999999999999</v>
      </c>
      <c r="AR383" s="200">
        <v>6.82</v>
      </c>
      <c r="AS383" s="199">
        <v>1022.4</v>
      </c>
      <c r="AZ383" s="197">
        <v>1.0229999999999999</v>
      </c>
      <c r="BA383" s="198">
        <v>8.52</v>
      </c>
      <c r="BB383" s="199">
        <v>0.11737</v>
      </c>
      <c r="BD383" s="197">
        <v>1.0229999999999999</v>
      </c>
      <c r="BE383" s="198">
        <v>4.26</v>
      </c>
      <c r="BF383" s="199">
        <v>0.17892</v>
      </c>
      <c r="BH383" s="197">
        <v>1.0229999999999999</v>
      </c>
      <c r="BI383" s="198">
        <v>234.74</v>
      </c>
      <c r="BJ383" s="199">
        <v>5.5890000000000004</v>
      </c>
      <c r="BL383" s="197">
        <v>1.0229999999999999</v>
      </c>
      <c r="BM383" s="198">
        <v>3.8035999999999999</v>
      </c>
      <c r="BN383" s="199">
        <v>0.15975</v>
      </c>
      <c r="BP383" s="197">
        <v>1.0229999999999999</v>
      </c>
      <c r="BQ383" s="200">
        <v>262.91000000000003</v>
      </c>
      <c r="BR383" s="199">
        <v>6.26</v>
      </c>
      <c r="BT383" s="197">
        <v>1.0229999999999999</v>
      </c>
      <c r="BU383" s="201">
        <v>0.88829999999999998</v>
      </c>
      <c r="BV383" s="202">
        <v>0.99490000000000001</v>
      </c>
      <c r="BX383" s="37">
        <v>1023</v>
      </c>
      <c r="BY383" s="38">
        <v>1.0236000000000001</v>
      </c>
      <c r="BZ383" s="39">
        <v>6.73</v>
      </c>
      <c r="CA383" s="33"/>
      <c r="CB383" s="37">
        <v>1023</v>
      </c>
      <c r="CC383" s="38">
        <v>0.15892999999999999</v>
      </c>
      <c r="CD383" s="42">
        <v>6.2919999999999998</v>
      </c>
      <c r="CE383" s="33"/>
      <c r="CF383" s="33"/>
      <c r="CG383" s="33"/>
      <c r="CH383" s="33"/>
      <c r="CI383" s="33"/>
      <c r="CJ383" s="33"/>
      <c r="CK383" s="33"/>
      <c r="CL383" s="40">
        <v>1023</v>
      </c>
      <c r="CM383" s="43">
        <v>1021.9</v>
      </c>
      <c r="CN383" s="41">
        <v>0.97850000000000004</v>
      </c>
      <c r="CO383" s="33"/>
      <c r="CP383" s="40">
        <v>1023</v>
      </c>
      <c r="CQ383" s="34">
        <v>1.1265000000000001</v>
      </c>
      <c r="CR383" s="41">
        <v>1.0058</v>
      </c>
      <c r="CS383" s="33"/>
      <c r="CT383" s="40">
        <v>1023</v>
      </c>
      <c r="CU383" s="44">
        <v>258.60000000000002</v>
      </c>
      <c r="CV383" s="42">
        <v>6.157</v>
      </c>
    </row>
    <row r="384" spans="4:100">
      <c r="D384" s="30">
        <v>37.4</v>
      </c>
      <c r="E384" s="31">
        <v>0.83779999999999999</v>
      </c>
      <c r="F384" s="32">
        <v>837.3</v>
      </c>
      <c r="G384" s="33"/>
      <c r="H384" s="30">
        <v>37.4</v>
      </c>
      <c r="I384" s="34">
        <v>3.7835999999999999</v>
      </c>
      <c r="J384" s="35">
        <v>0.15891</v>
      </c>
      <c r="L384" s="30">
        <v>37.4</v>
      </c>
      <c r="M384" s="172">
        <v>6.976</v>
      </c>
      <c r="N384" s="173">
        <v>0.14335999999999999</v>
      </c>
      <c r="P384" s="30">
        <v>37.4</v>
      </c>
      <c r="Q384" s="172">
        <v>3.4878</v>
      </c>
      <c r="R384" s="173">
        <v>0.14649000000000001</v>
      </c>
      <c r="T384" s="30">
        <v>37.4</v>
      </c>
      <c r="U384" s="172">
        <v>286.72000000000202</v>
      </c>
      <c r="V384" s="173">
        <v>6.827</v>
      </c>
      <c r="X384" s="30">
        <v>37.4</v>
      </c>
      <c r="Y384" s="34">
        <v>3.1141000000000001</v>
      </c>
      <c r="Z384" s="35">
        <v>0.13078999999999999</v>
      </c>
      <c r="AA384" s="36"/>
      <c r="AB384" s="30">
        <v>37.4</v>
      </c>
      <c r="AC384" s="44">
        <v>321.12</v>
      </c>
      <c r="AD384" s="35">
        <v>7.6459999999999999</v>
      </c>
      <c r="AE384" s="36"/>
      <c r="AF384" s="30">
        <v>37.4</v>
      </c>
      <c r="AG384" s="34">
        <v>3.1640000000000001</v>
      </c>
      <c r="AH384" s="35">
        <v>0.13289000000000001</v>
      </c>
      <c r="AI384" s="35"/>
      <c r="AJ384" s="35">
        <v>0.12531</v>
      </c>
      <c r="AK384" s="998">
        <v>47.6</v>
      </c>
      <c r="AM384" s="30">
        <v>37.4</v>
      </c>
      <c r="AN384" s="34">
        <v>1.0848</v>
      </c>
      <c r="AO384" s="35">
        <v>1.2150000000000001</v>
      </c>
      <c r="AQ384" s="197">
        <v>1.024</v>
      </c>
      <c r="AR384" s="200">
        <v>6.68</v>
      </c>
      <c r="AS384" s="199">
        <v>1023.4</v>
      </c>
      <c r="AZ384" s="197">
        <v>1.024</v>
      </c>
      <c r="BA384" s="198">
        <v>8.5282999999999998</v>
      </c>
      <c r="BB384" s="199">
        <v>0.11726</v>
      </c>
      <c r="BD384" s="197">
        <v>1.024</v>
      </c>
      <c r="BE384" s="198">
        <v>4.2641999999999998</v>
      </c>
      <c r="BF384" s="199">
        <v>0.17909</v>
      </c>
      <c r="BH384" s="197">
        <v>1.024</v>
      </c>
      <c r="BI384" s="198">
        <v>234.51</v>
      </c>
      <c r="BJ384" s="199">
        <v>5.5839999999999996</v>
      </c>
      <c r="BL384" s="197">
        <v>1.024</v>
      </c>
      <c r="BM384" s="198">
        <v>3.8073000000000001</v>
      </c>
      <c r="BN384" s="199">
        <v>0.15991</v>
      </c>
      <c r="BP384" s="197">
        <v>1.024</v>
      </c>
      <c r="BQ384" s="200">
        <v>262.64999999999998</v>
      </c>
      <c r="BR384" s="199">
        <v>6.2539999999999996</v>
      </c>
      <c r="BT384" s="197">
        <v>1.024</v>
      </c>
      <c r="BU384" s="201">
        <v>0.88739999999999997</v>
      </c>
      <c r="BV384" s="202">
        <v>0.99390000000000001</v>
      </c>
      <c r="BX384" s="37">
        <v>1024</v>
      </c>
      <c r="BY384" s="38">
        <v>1.0246</v>
      </c>
      <c r="BZ384" s="39">
        <v>6.6</v>
      </c>
      <c r="CA384" s="33"/>
      <c r="CB384" s="37">
        <v>1024</v>
      </c>
      <c r="CC384" s="38">
        <v>0.15892999999999999</v>
      </c>
      <c r="CD384" s="42">
        <v>6.2919999999999998</v>
      </c>
      <c r="CE384" s="33"/>
      <c r="CF384" s="33"/>
      <c r="CG384" s="33"/>
      <c r="CH384" s="33"/>
      <c r="CI384" s="33"/>
      <c r="CJ384" s="33"/>
      <c r="CK384" s="33"/>
      <c r="CL384" s="40">
        <v>1024</v>
      </c>
      <c r="CM384" s="43">
        <v>1022.9</v>
      </c>
      <c r="CN384" s="41">
        <v>0.97760000000000002</v>
      </c>
      <c r="CO384" s="33"/>
      <c r="CP384" s="40">
        <v>1024</v>
      </c>
      <c r="CQ384" s="34">
        <v>1.1275999999999999</v>
      </c>
      <c r="CR384" s="41">
        <v>1.0067999999999999</v>
      </c>
      <c r="CS384" s="33"/>
      <c r="CT384" s="40">
        <v>1024</v>
      </c>
      <c r="CU384" s="44">
        <v>258.33999999999997</v>
      </c>
      <c r="CV384" s="42">
        <v>6.1509999999999998</v>
      </c>
    </row>
    <row r="385" spans="4:100">
      <c r="D385" s="30">
        <v>37.5</v>
      </c>
      <c r="E385" s="31">
        <v>0.83730000000000004</v>
      </c>
      <c r="F385" s="32">
        <v>836.8</v>
      </c>
      <c r="G385" s="33"/>
      <c r="H385" s="30">
        <v>37.5</v>
      </c>
      <c r="I385" s="34">
        <v>3.7835999999999999</v>
      </c>
      <c r="J385" s="35">
        <v>0.15891</v>
      </c>
      <c r="L385" s="30">
        <v>37.5</v>
      </c>
      <c r="M385" s="172">
        <v>6.9710000000000001</v>
      </c>
      <c r="N385" s="173">
        <v>0.14344000000000001</v>
      </c>
      <c r="P385" s="30">
        <v>37.5</v>
      </c>
      <c r="Q385" s="172">
        <v>3.4857</v>
      </c>
      <c r="R385" s="173">
        <v>0.1464</v>
      </c>
      <c r="T385" s="30">
        <v>37.5</v>
      </c>
      <c r="U385" s="172">
        <v>286.89000000000198</v>
      </c>
      <c r="V385" s="173">
        <v>6.8310000000000004</v>
      </c>
      <c r="X385" s="30">
        <v>37.5</v>
      </c>
      <c r="Y385" s="34">
        <v>3.1122000000000001</v>
      </c>
      <c r="Z385" s="35">
        <v>0.13070999999999999</v>
      </c>
      <c r="AA385" s="36"/>
      <c r="AB385" s="30">
        <v>37.5</v>
      </c>
      <c r="AC385" s="44">
        <v>321.31</v>
      </c>
      <c r="AD385" s="35">
        <v>7.65</v>
      </c>
      <c r="AE385" s="36"/>
      <c r="AF385" s="30">
        <v>37.5</v>
      </c>
      <c r="AG385" s="34">
        <v>3.1621999999999999</v>
      </c>
      <c r="AH385" s="35">
        <v>0.13281000000000001</v>
      </c>
      <c r="AI385" s="35"/>
      <c r="AJ385" s="35">
        <v>0.12537999999999999</v>
      </c>
      <c r="AK385" s="998">
        <v>47.5</v>
      </c>
      <c r="AM385" s="30">
        <v>37.5</v>
      </c>
      <c r="AN385" s="34">
        <v>1.0854999999999999</v>
      </c>
      <c r="AO385" s="35">
        <v>1.2157</v>
      </c>
      <c r="AQ385" s="197">
        <v>1.0249999999999999</v>
      </c>
      <c r="AR385" s="200">
        <v>6.55</v>
      </c>
      <c r="AS385" s="199">
        <v>1024.4000000000001</v>
      </c>
      <c r="AZ385" s="197">
        <v>1.0249999999999999</v>
      </c>
      <c r="BA385" s="198">
        <v>8.5366999999999997</v>
      </c>
      <c r="BB385" s="199">
        <v>0.11713999999999999</v>
      </c>
      <c r="BD385" s="197">
        <v>1.0249999999999999</v>
      </c>
      <c r="BE385" s="198">
        <v>4.2683</v>
      </c>
      <c r="BF385" s="199">
        <v>0.17927000000000001</v>
      </c>
      <c r="BH385" s="197">
        <v>1.0249999999999999</v>
      </c>
      <c r="BI385" s="198">
        <v>234.28</v>
      </c>
      <c r="BJ385" s="199">
        <v>5.5780000000000003</v>
      </c>
      <c r="BL385" s="197">
        <v>1.0249999999999999</v>
      </c>
      <c r="BM385" s="198">
        <v>3.8109999999999999</v>
      </c>
      <c r="BN385" s="199">
        <v>0.16006000000000001</v>
      </c>
      <c r="BP385" s="197">
        <v>1.0249999999999999</v>
      </c>
      <c r="BQ385" s="200">
        <v>262.39999999999998</v>
      </c>
      <c r="BR385" s="199">
        <v>6.2480000000000002</v>
      </c>
      <c r="BT385" s="197">
        <v>1.0249999999999999</v>
      </c>
      <c r="BU385" s="201">
        <v>0.88649999999999995</v>
      </c>
      <c r="BV385" s="202">
        <v>0.9929</v>
      </c>
      <c r="BX385" s="37">
        <v>1025</v>
      </c>
      <c r="BY385" s="38">
        <v>1.0256000000000001</v>
      </c>
      <c r="BZ385" s="39">
        <v>6.46</v>
      </c>
      <c r="CA385" s="33"/>
      <c r="CB385" s="37">
        <v>1025</v>
      </c>
      <c r="CC385" s="38">
        <v>0.15892999999999999</v>
      </c>
      <c r="CD385" s="42">
        <v>6.2919999999999998</v>
      </c>
      <c r="CE385" s="33"/>
      <c r="CF385" s="33"/>
      <c r="CG385" s="33"/>
      <c r="CH385" s="33"/>
      <c r="CI385" s="33"/>
      <c r="CJ385" s="33"/>
      <c r="CK385" s="33"/>
      <c r="CL385" s="40">
        <v>1025</v>
      </c>
      <c r="CM385" s="43">
        <v>1023.9</v>
      </c>
      <c r="CN385" s="41">
        <v>0.97660000000000002</v>
      </c>
      <c r="CO385" s="33"/>
      <c r="CP385" s="40">
        <v>1025</v>
      </c>
      <c r="CQ385" s="34">
        <v>1.1287</v>
      </c>
      <c r="CR385" s="41">
        <v>1.0078</v>
      </c>
      <c r="CS385" s="33"/>
      <c r="CT385" s="40">
        <v>1025</v>
      </c>
      <c r="CU385" s="44">
        <v>258.08999999999997</v>
      </c>
      <c r="CV385" s="42">
        <v>6.1449999999999996</v>
      </c>
    </row>
    <row r="386" spans="4:100">
      <c r="D386" s="30">
        <v>37.6</v>
      </c>
      <c r="E386" s="31">
        <v>0.83679999999999999</v>
      </c>
      <c r="F386" s="32">
        <v>836.4</v>
      </c>
      <c r="G386" s="33"/>
      <c r="H386" s="30">
        <v>37.6</v>
      </c>
      <c r="I386" s="34">
        <v>3.7835999999999999</v>
      </c>
      <c r="J386" s="35">
        <v>0.15891</v>
      </c>
      <c r="L386" s="30">
        <v>37.6</v>
      </c>
      <c r="M386" s="172">
        <v>6.9669999999999996</v>
      </c>
      <c r="N386" s="173">
        <v>0.14352999999999999</v>
      </c>
      <c r="P386" s="30">
        <v>37.6</v>
      </c>
      <c r="Q386" s="172">
        <v>3.4836</v>
      </c>
      <c r="R386" s="173">
        <v>0.14631</v>
      </c>
      <c r="T386" s="30">
        <v>37.6</v>
      </c>
      <c r="U386" s="172">
        <v>287.06000000000199</v>
      </c>
      <c r="V386" s="173">
        <v>6.835</v>
      </c>
      <c r="X386" s="30">
        <v>37.6</v>
      </c>
      <c r="Y386" s="34">
        <v>3.1103999999999998</v>
      </c>
      <c r="Z386" s="35">
        <v>0.13064000000000001</v>
      </c>
      <c r="AA386" s="36"/>
      <c r="AB386" s="30">
        <v>37.6</v>
      </c>
      <c r="AC386" s="44">
        <v>321.5</v>
      </c>
      <c r="AD386" s="35">
        <v>7.6550000000000002</v>
      </c>
      <c r="AE386" s="36"/>
      <c r="AF386" s="30">
        <v>37.6</v>
      </c>
      <c r="AG386" s="34">
        <v>3.1602999999999999</v>
      </c>
      <c r="AH386" s="35">
        <v>0.13272999999999999</v>
      </c>
      <c r="AI386" s="35"/>
      <c r="AJ386" s="35">
        <v>0.12545000000000001</v>
      </c>
      <c r="AK386" s="998">
        <v>47.4</v>
      </c>
      <c r="AM386" s="30">
        <v>37.6</v>
      </c>
      <c r="AN386" s="34">
        <v>1.0861000000000001</v>
      </c>
      <c r="AO386" s="35">
        <v>1.2164999999999999</v>
      </c>
      <c r="AQ386" s="197">
        <v>1.026</v>
      </c>
      <c r="AR386" s="200">
        <v>6.41</v>
      </c>
      <c r="AS386" s="199">
        <v>1025.4000000000001</v>
      </c>
      <c r="AZ386" s="197">
        <v>1.026</v>
      </c>
      <c r="BA386" s="198">
        <v>8.5449999999999999</v>
      </c>
      <c r="BB386" s="199">
        <v>0.11703</v>
      </c>
      <c r="BD386" s="197">
        <v>1.026</v>
      </c>
      <c r="BE386" s="198">
        <v>4.2725</v>
      </c>
      <c r="BF386" s="199">
        <v>0.17945</v>
      </c>
      <c r="BH386" s="197">
        <v>1.026</v>
      </c>
      <c r="BI386" s="198">
        <v>234.05</v>
      </c>
      <c r="BJ386" s="199">
        <v>5.5730000000000004</v>
      </c>
      <c r="BL386" s="197">
        <v>1.026</v>
      </c>
      <c r="BM386" s="198">
        <v>3.8147000000000002</v>
      </c>
      <c r="BN386" s="199">
        <v>0.16022</v>
      </c>
      <c r="BP386" s="197">
        <v>1.026</v>
      </c>
      <c r="BQ386" s="200">
        <v>262.14</v>
      </c>
      <c r="BR386" s="199">
        <v>6.2409999999999997</v>
      </c>
      <c r="BT386" s="197">
        <v>1.026</v>
      </c>
      <c r="BU386" s="201">
        <v>0.88570000000000004</v>
      </c>
      <c r="BV386" s="202">
        <v>0.99199999999999999</v>
      </c>
      <c r="BX386" s="37">
        <v>1026</v>
      </c>
      <c r="BY386" s="38">
        <v>1.0266</v>
      </c>
      <c r="BZ386" s="39">
        <v>6.33</v>
      </c>
      <c r="CA386" s="33"/>
      <c r="CB386" s="37">
        <v>1026</v>
      </c>
      <c r="CC386" s="38">
        <v>0.15892999999999999</v>
      </c>
      <c r="CD386" s="42">
        <v>6.2919999999999998</v>
      </c>
      <c r="CE386" s="33"/>
      <c r="CF386" s="33"/>
      <c r="CG386" s="33"/>
      <c r="CH386" s="33"/>
      <c r="CI386" s="33"/>
      <c r="CJ386" s="33"/>
      <c r="CK386" s="33"/>
      <c r="CL386" s="40">
        <v>1026</v>
      </c>
      <c r="CM386" s="43">
        <v>1024.9000000000001</v>
      </c>
      <c r="CN386" s="41">
        <v>0.97570000000000001</v>
      </c>
      <c r="CO386" s="33"/>
      <c r="CP386" s="40">
        <v>1026</v>
      </c>
      <c r="CQ386" s="34">
        <v>1.1297999999999999</v>
      </c>
      <c r="CR386" s="41">
        <v>1.0086999999999999</v>
      </c>
      <c r="CS386" s="33"/>
      <c r="CT386" s="40">
        <v>1026</v>
      </c>
      <c r="CU386" s="44">
        <v>257.83999999999997</v>
      </c>
      <c r="CV386" s="42">
        <v>6.1390000000000002</v>
      </c>
    </row>
    <row r="387" spans="4:100">
      <c r="D387" s="30">
        <v>37.700000000000003</v>
      </c>
      <c r="E387" s="31">
        <v>0.83630000000000004</v>
      </c>
      <c r="F387" s="32">
        <v>835.9</v>
      </c>
      <c r="G387" s="33"/>
      <c r="H387" s="30">
        <v>37.700000000000003</v>
      </c>
      <c r="I387" s="34">
        <v>3.7835999999999999</v>
      </c>
      <c r="J387" s="35">
        <v>0.15891</v>
      </c>
      <c r="L387" s="30">
        <v>37.700000000000003</v>
      </c>
      <c r="M387" s="172">
        <v>6.9630000000000001</v>
      </c>
      <c r="N387" s="173">
        <v>0.14360999999999999</v>
      </c>
      <c r="P387" s="30">
        <v>37.700000000000003</v>
      </c>
      <c r="Q387" s="172">
        <v>3.4815999999999998</v>
      </c>
      <c r="R387" s="173">
        <v>0.14623</v>
      </c>
      <c r="T387" s="30">
        <v>37.700000000000003</v>
      </c>
      <c r="U387" s="172">
        <v>287.23000000000201</v>
      </c>
      <c r="V387" s="173">
        <v>6.8390000000000004</v>
      </c>
      <c r="X387" s="30">
        <v>37.700000000000003</v>
      </c>
      <c r="Y387" s="34">
        <v>3.1084999999999998</v>
      </c>
      <c r="Z387" s="35">
        <v>0.13056000000000001</v>
      </c>
      <c r="AA387" s="36"/>
      <c r="AB387" s="30">
        <v>37.700000000000003</v>
      </c>
      <c r="AC387" s="44">
        <v>321.69</v>
      </c>
      <c r="AD387" s="35">
        <v>7.6589999999999998</v>
      </c>
      <c r="AE387" s="36"/>
      <c r="AF387" s="30">
        <v>37.700000000000003</v>
      </c>
      <c r="AG387" s="34">
        <v>3.1583999999999999</v>
      </c>
      <c r="AH387" s="35">
        <v>0.13264999999999999</v>
      </c>
      <c r="AI387" s="35"/>
      <c r="AJ387" s="35">
        <v>0.12551999999999999</v>
      </c>
      <c r="AK387" s="998">
        <v>47.3</v>
      </c>
      <c r="AM387" s="30">
        <v>37.700000000000003</v>
      </c>
      <c r="AN387" s="34">
        <v>1.0868</v>
      </c>
      <c r="AO387" s="35">
        <v>1.2172000000000001</v>
      </c>
      <c r="AQ387" s="197">
        <v>1.0269999999999999</v>
      </c>
      <c r="AR387" s="200">
        <v>6.28</v>
      </c>
      <c r="AS387" s="199">
        <v>1026.4000000000001</v>
      </c>
      <c r="AZ387" s="197">
        <v>1.0269999999999999</v>
      </c>
      <c r="BA387" s="198">
        <v>8.5533000000000001</v>
      </c>
      <c r="BB387" s="199">
        <v>0.11691</v>
      </c>
      <c r="BD387" s="197">
        <v>1.0269999999999999</v>
      </c>
      <c r="BE387" s="198">
        <v>4.2766999999999999</v>
      </c>
      <c r="BF387" s="199">
        <v>0.17962</v>
      </c>
      <c r="BH387" s="197">
        <v>1.0269999999999999</v>
      </c>
      <c r="BI387" s="198">
        <v>233.83</v>
      </c>
      <c r="BJ387" s="199">
        <v>5.5670000000000002</v>
      </c>
      <c r="BL387" s="197">
        <v>1.0269999999999999</v>
      </c>
      <c r="BM387" s="198">
        <v>3.8184999999999998</v>
      </c>
      <c r="BN387" s="199">
        <v>0.16037999999999999</v>
      </c>
      <c r="BP387" s="197">
        <v>1.0269999999999999</v>
      </c>
      <c r="BQ387" s="200">
        <v>261.89</v>
      </c>
      <c r="BR387" s="199">
        <v>6.2350000000000003</v>
      </c>
      <c r="BT387" s="197">
        <v>1.0269999999999999</v>
      </c>
      <c r="BU387" s="201">
        <v>0.88480000000000003</v>
      </c>
      <c r="BV387" s="202">
        <v>0.99099999999999999</v>
      </c>
      <c r="BX387" s="37">
        <v>1027</v>
      </c>
      <c r="BY387" s="38">
        <v>1.0276000000000001</v>
      </c>
      <c r="BZ387" s="39">
        <v>6.19</v>
      </c>
      <c r="CA387" s="33"/>
      <c r="CB387" s="37">
        <v>1027</v>
      </c>
      <c r="CC387" s="38">
        <v>0.15892999999999999</v>
      </c>
      <c r="CD387" s="42">
        <v>6.2919999999999998</v>
      </c>
      <c r="CE387" s="33"/>
      <c r="CF387" s="33"/>
      <c r="CG387" s="33"/>
      <c r="CH387" s="33"/>
      <c r="CI387" s="33"/>
      <c r="CJ387" s="33"/>
      <c r="CK387" s="33"/>
      <c r="CL387" s="40">
        <v>1027</v>
      </c>
      <c r="CM387" s="43">
        <v>1025.9000000000001</v>
      </c>
      <c r="CN387" s="41">
        <v>0.97470000000000001</v>
      </c>
      <c r="CO387" s="33"/>
      <c r="CP387" s="40">
        <v>1027</v>
      </c>
      <c r="CQ387" s="34">
        <v>1.1309</v>
      </c>
      <c r="CR387" s="41">
        <v>1.0097</v>
      </c>
      <c r="CS387" s="33"/>
      <c r="CT387" s="40">
        <v>1027</v>
      </c>
      <c r="CU387" s="44">
        <v>257.58999999999997</v>
      </c>
      <c r="CV387" s="42">
        <v>6.133</v>
      </c>
    </row>
    <row r="388" spans="4:100">
      <c r="D388" s="30">
        <v>37.799999999999997</v>
      </c>
      <c r="E388" s="31">
        <v>0.83579999999999999</v>
      </c>
      <c r="F388" s="32">
        <v>835.4</v>
      </c>
      <c r="G388" s="33"/>
      <c r="H388" s="30">
        <v>37.799999999999997</v>
      </c>
      <c r="I388" s="34">
        <v>3.7835999999999999</v>
      </c>
      <c r="J388" s="35">
        <v>0.15891</v>
      </c>
      <c r="L388" s="30">
        <v>37.799999999999997</v>
      </c>
      <c r="M388" s="172">
        <v>6.9589999999999996</v>
      </c>
      <c r="N388" s="173">
        <v>0.14369999999999999</v>
      </c>
      <c r="P388" s="30">
        <v>37.799999999999997</v>
      </c>
      <c r="Q388" s="172">
        <v>3.4794999999999998</v>
      </c>
      <c r="R388" s="173">
        <v>0.14613999999999999</v>
      </c>
      <c r="T388" s="30">
        <v>37.799999999999997</v>
      </c>
      <c r="U388" s="172">
        <v>287.40000000000202</v>
      </c>
      <c r="V388" s="173">
        <v>6.843</v>
      </c>
      <c r="X388" s="30">
        <v>37.799999999999997</v>
      </c>
      <c r="Y388" s="34">
        <v>3.1067</v>
      </c>
      <c r="Z388" s="35">
        <v>0.13048000000000001</v>
      </c>
      <c r="AA388" s="36"/>
      <c r="AB388" s="30">
        <v>37.799999999999997</v>
      </c>
      <c r="AC388" s="44">
        <v>321.89</v>
      </c>
      <c r="AD388" s="35">
        <v>7.6639999999999997</v>
      </c>
      <c r="AE388" s="36"/>
      <c r="AF388" s="30">
        <v>37.799999999999997</v>
      </c>
      <c r="AG388" s="34">
        <v>3.1566000000000001</v>
      </c>
      <c r="AH388" s="35">
        <v>0.13258</v>
      </c>
      <c r="AI388" s="35"/>
      <c r="AJ388" s="35">
        <v>0.12559000000000001</v>
      </c>
      <c r="AK388" s="998">
        <v>47.2</v>
      </c>
      <c r="AM388" s="30">
        <v>37.799999999999997</v>
      </c>
      <c r="AN388" s="34">
        <v>1.0873999999999999</v>
      </c>
      <c r="AO388" s="35">
        <v>1.2179</v>
      </c>
      <c r="AQ388" s="197">
        <v>1.028</v>
      </c>
      <c r="AR388" s="200">
        <v>6.15</v>
      </c>
      <c r="AS388" s="199">
        <v>1027.4000000000001</v>
      </c>
      <c r="AZ388" s="197">
        <v>1.028</v>
      </c>
      <c r="BA388" s="198">
        <v>8.5617000000000001</v>
      </c>
      <c r="BB388" s="199">
        <v>0.1168</v>
      </c>
      <c r="BD388" s="197">
        <v>1.028</v>
      </c>
      <c r="BE388" s="198">
        <v>4.2808000000000002</v>
      </c>
      <c r="BF388" s="199">
        <v>0.17979999999999999</v>
      </c>
      <c r="BH388" s="197">
        <v>1.028</v>
      </c>
      <c r="BI388" s="198">
        <v>233.6</v>
      </c>
      <c r="BJ388" s="199">
        <v>5.5620000000000003</v>
      </c>
      <c r="BL388" s="197">
        <v>1.028</v>
      </c>
      <c r="BM388" s="198">
        <v>3.8222</v>
      </c>
      <c r="BN388" s="199">
        <v>0.16053000000000001</v>
      </c>
      <c r="BP388" s="197">
        <v>1.028</v>
      </c>
      <c r="BQ388" s="200">
        <v>261.63</v>
      </c>
      <c r="BR388" s="199">
        <v>6.2290000000000001</v>
      </c>
      <c r="BT388" s="197">
        <v>1.028</v>
      </c>
      <c r="BU388" s="201">
        <v>0.88390000000000002</v>
      </c>
      <c r="BV388" s="202">
        <v>0.99</v>
      </c>
      <c r="BX388" s="37">
        <v>1028</v>
      </c>
      <c r="BY388" s="38">
        <v>1.0286</v>
      </c>
      <c r="BZ388" s="39">
        <v>6.06</v>
      </c>
      <c r="CA388" s="33"/>
      <c r="CB388" s="37">
        <v>1028</v>
      </c>
      <c r="CC388" s="38">
        <v>0.15892999999999999</v>
      </c>
      <c r="CD388" s="42">
        <v>6.2919999999999998</v>
      </c>
      <c r="CE388" s="33"/>
      <c r="CF388" s="33"/>
      <c r="CG388" s="33"/>
      <c r="CH388" s="33"/>
      <c r="CI388" s="33"/>
      <c r="CJ388" s="33"/>
      <c r="CK388" s="33"/>
      <c r="CL388" s="40">
        <v>1028</v>
      </c>
      <c r="CM388" s="43">
        <v>1026.9000000000001</v>
      </c>
      <c r="CN388" s="41">
        <v>0.9738</v>
      </c>
      <c r="CO388" s="33"/>
      <c r="CP388" s="40">
        <v>1028</v>
      </c>
      <c r="CQ388" s="34">
        <v>1.1319999999999999</v>
      </c>
      <c r="CR388" s="41">
        <v>1.0106999999999999</v>
      </c>
      <c r="CS388" s="33"/>
      <c r="CT388" s="40">
        <v>1028</v>
      </c>
      <c r="CU388" s="44">
        <v>257.33999999999997</v>
      </c>
      <c r="CV388" s="42">
        <v>6.1269999999999998</v>
      </c>
    </row>
    <row r="389" spans="4:100">
      <c r="D389" s="30">
        <v>37.9</v>
      </c>
      <c r="E389" s="31">
        <v>0.83530000000000004</v>
      </c>
      <c r="F389" s="32">
        <v>834.9</v>
      </c>
      <c r="G389" s="33"/>
      <c r="H389" s="30">
        <v>37.9</v>
      </c>
      <c r="I389" s="34">
        <v>3.7835999999999999</v>
      </c>
      <c r="J389" s="35">
        <v>0.15891</v>
      </c>
      <c r="L389" s="30">
        <v>37.9</v>
      </c>
      <c r="M389" s="172">
        <v>6.9550000000000001</v>
      </c>
      <c r="N389" s="173">
        <v>0.14377999999999999</v>
      </c>
      <c r="P389" s="30">
        <v>37.9</v>
      </c>
      <c r="Q389" s="172">
        <v>3.4773999999999998</v>
      </c>
      <c r="R389" s="173">
        <v>0.14605000000000001</v>
      </c>
      <c r="T389" s="30">
        <v>37.9</v>
      </c>
      <c r="U389" s="172">
        <v>287.57000000000198</v>
      </c>
      <c r="V389" s="173">
        <v>6.8470000000000004</v>
      </c>
      <c r="X389" s="30">
        <v>37.9</v>
      </c>
      <c r="Y389" s="34">
        <v>3.1049000000000002</v>
      </c>
      <c r="Z389" s="35">
        <v>0.13039999999999999</v>
      </c>
      <c r="AA389" s="36"/>
      <c r="AB389" s="30">
        <v>37.9</v>
      </c>
      <c r="AC389" s="44">
        <v>322.08</v>
      </c>
      <c r="AD389" s="35">
        <v>7.6680000000000001</v>
      </c>
      <c r="AE389" s="36"/>
      <c r="AF389" s="30">
        <v>37.9</v>
      </c>
      <c r="AG389" s="34">
        <v>3.1547000000000001</v>
      </c>
      <c r="AH389" s="35">
        <v>0.13250000000000001</v>
      </c>
      <c r="AI389" s="35"/>
      <c r="AJ389" s="35">
        <v>0.12565999999999999</v>
      </c>
      <c r="AK389" s="998">
        <v>47.1</v>
      </c>
      <c r="AM389" s="30">
        <v>37.9</v>
      </c>
      <c r="AN389" s="34">
        <v>1.0880000000000001</v>
      </c>
      <c r="AO389" s="35">
        <v>1.2185999999999999</v>
      </c>
      <c r="AQ389" s="197">
        <v>1.0289999999999999</v>
      </c>
      <c r="AR389" s="200">
        <v>6.01</v>
      </c>
      <c r="AS389" s="199">
        <v>1028.4000000000001</v>
      </c>
      <c r="AZ389" s="197">
        <v>1.0289999999999999</v>
      </c>
      <c r="BA389" s="198">
        <v>8.57</v>
      </c>
      <c r="BB389" s="199">
        <v>0.11669</v>
      </c>
      <c r="BD389" s="197">
        <v>1.0289999999999999</v>
      </c>
      <c r="BE389" s="198">
        <v>4.2850000000000001</v>
      </c>
      <c r="BF389" s="199">
        <v>0.17996999999999999</v>
      </c>
      <c r="BH389" s="197">
        <v>1.0289999999999999</v>
      </c>
      <c r="BI389" s="198">
        <v>233.37</v>
      </c>
      <c r="BJ389" s="199">
        <v>5.556</v>
      </c>
      <c r="BL389" s="197">
        <v>1.0289999999999999</v>
      </c>
      <c r="BM389" s="198">
        <v>3.8258999999999999</v>
      </c>
      <c r="BN389" s="199">
        <v>0.16069</v>
      </c>
      <c r="BP389" s="197">
        <v>1.0289999999999999</v>
      </c>
      <c r="BQ389" s="200">
        <v>261.38</v>
      </c>
      <c r="BR389" s="199">
        <v>6.2229999999999999</v>
      </c>
      <c r="BT389" s="197">
        <v>1.0289999999999999</v>
      </c>
      <c r="BU389" s="201">
        <v>0.8831</v>
      </c>
      <c r="BV389" s="202">
        <v>0.98909999999999998</v>
      </c>
      <c r="BX389" s="37">
        <v>1029</v>
      </c>
      <c r="BY389" s="38">
        <v>1.0296000000000001</v>
      </c>
      <c r="BZ389" s="39">
        <v>5.93</v>
      </c>
      <c r="CA389" s="33"/>
      <c r="CB389" s="37">
        <v>1029</v>
      </c>
      <c r="CC389" s="38">
        <v>0.15892999999999999</v>
      </c>
      <c r="CD389" s="42">
        <v>6.2919999999999998</v>
      </c>
      <c r="CE389" s="33"/>
      <c r="CF389" s="33"/>
      <c r="CG389" s="33"/>
      <c r="CH389" s="33"/>
      <c r="CI389" s="33"/>
      <c r="CJ389" s="33"/>
      <c r="CK389" s="33"/>
      <c r="CL389" s="40">
        <v>1029</v>
      </c>
      <c r="CM389" s="43">
        <v>1027.9000000000001</v>
      </c>
      <c r="CN389" s="41">
        <v>0.9728</v>
      </c>
      <c r="CO389" s="33"/>
      <c r="CP389" s="40">
        <v>1029</v>
      </c>
      <c r="CQ389" s="34">
        <v>1.1331</v>
      </c>
      <c r="CR389" s="41">
        <v>1.0117</v>
      </c>
      <c r="CS389" s="33"/>
      <c r="CT389" s="40">
        <v>1029</v>
      </c>
      <c r="CU389" s="44">
        <v>257.08</v>
      </c>
      <c r="CV389" s="42">
        <v>6.1210000000000004</v>
      </c>
    </row>
    <row r="390" spans="4:100">
      <c r="D390" s="30">
        <v>38</v>
      </c>
      <c r="E390" s="31">
        <v>0.83479999999999999</v>
      </c>
      <c r="F390" s="32">
        <v>834.4</v>
      </c>
      <c r="G390" s="33"/>
      <c r="H390" s="30">
        <v>38</v>
      </c>
      <c r="I390" s="34">
        <v>3.7835999999999999</v>
      </c>
      <c r="J390" s="35">
        <v>0.15891</v>
      </c>
      <c r="L390" s="30">
        <v>38</v>
      </c>
      <c r="M390" s="172">
        <v>6.9509999999999996</v>
      </c>
      <c r="N390" s="173">
        <v>0.14387</v>
      </c>
      <c r="P390" s="30">
        <v>38</v>
      </c>
      <c r="Q390" s="172">
        <v>3.4754</v>
      </c>
      <c r="R390" s="173">
        <v>0.14596999999999999</v>
      </c>
      <c r="T390" s="30">
        <v>38</v>
      </c>
      <c r="U390" s="172">
        <v>287.740000000002</v>
      </c>
      <c r="V390" s="173">
        <v>6.851</v>
      </c>
      <c r="X390" s="30">
        <v>38</v>
      </c>
      <c r="Y390" s="34">
        <v>3.1030000000000002</v>
      </c>
      <c r="Z390" s="35">
        <v>0.13033</v>
      </c>
      <c r="AA390" s="36"/>
      <c r="AB390" s="30">
        <v>38</v>
      </c>
      <c r="AC390" s="44">
        <v>322.27</v>
      </c>
      <c r="AD390" s="35">
        <v>7.673</v>
      </c>
      <c r="AE390" s="36"/>
      <c r="AF390" s="30">
        <v>38</v>
      </c>
      <c r="AG390" s="34">
        <v>3.1528</v>
      </c>
      <c r="AH390" s="35">
        <v>0.13242000000000001</v>
      </c>
      <c r="AI390" s="35"/>
      <c r="AJ390" s="35">
        <v>0.12573000000000001</v>
      </c>
      <c r="AK390" s="998">
        <v>47</v>
      </c>
      <c r="AM390" s="30">
        <v>38</v>
      </c>
      <c r="AN390" s="34">
        <v>1.0887</v>
      </c>
      <c r="AO390" s="35">
        <v>1.2193000000000001</v>
      </c>
      <c r="AQ390" s="197">
        <v>1.03</v>
      </c>
      <c r="AR390" s="200">
        <v>5.88</v>
      </c>
      <c r="AS390" s="199">
        <v>1029.4000000000001</v>
      </c>
      <c r="AZ390" s="197">
        <v>1.03</v>
      </c>
      <c r="BA390" s="198">
        <v>8.5784000000000002</v>
      </c>
      <c r="BB390" s="199">
        <v>0.11656999999999999</v>
      </c>
      <c r="BD390" s="197">
        <v>1.03</v>
      </c>
      <c r="BE390" s="198">
        <v>4.2892000000000001</v>
      </c>
      <c r="BF390" s="199">
        <v>0.18015</v>
      </c>
      <c r="BH390" s="197">
        <v>1.03</v>
      </c>
      <c r="BI390" s="198">
        <v>233.14</v>
      </c>
      <c r="BJ390" s="199">
        <v>5.5510000000000002</v>
      </c>
      <c r="BL390" s="197">
        <v>1.03</v>
      </c>
      <c r="BM390" s="198">
        <v>3.8296000000000001</v>
      </c>
      <c r="BN390" s="199">
        <v>0.16084000000000001</v>
      </c>
      <c r="BP390" s="197">
        <v>1.03</v>
      </c>
      <c r="BQ390" s="200">
        <v>261.12</v>
      </c>
      <c r="BR390" s="199">
        <v>6.2169999999999996</v>
      </c>
      <c r="BT390" s="197">
        <v>1.03</v>
      </c>
      <c r="BU390" s="201">
        <v>0.88219999999999998</v>
      </c>
      <c r="BV390" s="202">
        <v>0.98809999999999998</v>
      </c>
      <c r="BX390" s="37">
        <v>1030</v>
      </c>
      <c r="BY390" s="38">
        <v>1.0306</v>
      </c>
      <c r="BZ390" s="39">
        <v>5.79</v>
      </c>
      <c r="CA390" s="33"/>
      <c r="CB390" s="37">
        <v>1030</v>
      </c>
      <c r="CC390" s="38">
        <v>0.15892999999999999</v>
      </c>
      <c r="CD390" s="42">
        <v>6.2919999999999998</v>
      </c>
      <c r="CE390" s="33"/>
      <c r="CF390" s="33"/>
      <c r="CG390" s="33"/>
      <c r="CH390" s="33"/>
      <c r="CI390" s="33"/>
      <c r="CJ390" s="33"/>
      <c r="CK390" s="33"/>
      <c r="CL390" s="40">
        <v>1030</v>
      </c>
      <c r="CM390" s="43">
        <v>1028.9000000000001</v>
      </c>
      <c r="CN390" s="41">
        <v>0.97189999999999999</v>
      </c>
      <c r="CO390" s="33"/>
      <c r="CP390" s="40">
        <v>1030</v>
      </c>
      <c r="CQ390" s="34">
        <v>1.1342000000000001</v>
      </c>
      <c r="CR390" s="41">
        <v>1.0126999999999999</v>
      </c>
      <c r="CS390" s="33"/>
      <c r="CT390" s="40">
        <v>1030</v>
      </c>
      <c r="CU390" s="44">
        <v>256.83</v>
      </c>
      <c r="CV390" s="42">
        <v>6.1150000000000002</v>
      </c>
    </row>
    <row r="391" spans="4:100">
      <c r="D391" s="30">
        <v>38.1</v>
      </c>
      <c r="E391" s="31">
        <v>0.83430000000000004</v>
      </c>
      <c r="F391" s="32">
        <v>833.9</v>
      </c>
      <c r="G391" s="33"/>
      <c r="H391" s="30">
        <v>38.1</v>
      </c>
      <c r="I391" s="34">
        <v>3.7835999999999999</v>
      </c>
      <c r="J391" s="35">
        <v>0.15891</v>
      </c>
      <c r="L391" s="30">
        <v>38.1</v>
      </c>
      <c r="M391" s="172">
        <v>6.9470000000000001</v>
      </c>
      <c r="N391" s="173">
        <v>0.14394999999999999</v>
      </c>
      <c r="P391" s="30">
        <v>38.1</v>
      </c>
      <c r="Q391" s="172">
        <v>3.4733000000000001</v>
      </c>
      <c r="R391" s="173">
        <v>0.14588000000000001</v>
      </c>
      <c r="T391" s="30">
        <v>38.1</v>
      </c>
      <c r="U391" s="172">
        <v>287.91000000000201</v>
      </c>
      <c r="V391" s="173">
        <v>6.8550000000000004</v>
      </c>
      <c r="X391" s="30">
        <v>38.1</v>
      </c>
      <c r="Y391" s="34">
        <v>3.1012</v>
      </c>
      <c r="Z391" s="35">
        <v>0.13025</v>
      </c>
      <c r="AA391" s="36"/>
      <c r="AB391" s="30">
        <v>38.1</v>
      </c>
      <c r="AC391" s="44">
        <v>322.45999999999998</v>
      </c>
      <c r="AD391" s="35">
        <v>7.6779999999999999</v>
      </c>
      <c r="AE391" s="36"/>
      <c r="AF391" s="30">
        <v>38.1</v>
      </c>
      <c r="AG391" s="34">
        <v>3.1509999999999998</v>
      </c>
      <c r="AH391" s="35">
        <v>0.13234000000000001</v>
      </c>
      <c r="AI391" s="35"/>
      <c r="AJ391" s="35">
        <v>0.1258</v>
      </c>
      <c r="AK391" s="998">
        <v>46.9</v>
      </c>
      <c r="AM391" s="30">
        <v>38.1</v>
      </c>
      <c r="AN391" s="34">
        <v>1.0892999999999999</v>
      </c>
      <c r="AO391" s="35">
        <v>1.2201</v>
      </c>
      <c r="AQ391" s="197">
        <v>1.0309999999999999</v>
      </c>
      <c r="AR391" s="200">
        <v>5.75</v>
      </c>
      <c r="AS391" s="199">
        <v>1030.4000000000001</v>
      </c>
      <c r="AZ391" s="197">
        <v>1.0309999999999999</v>
      </c>
      <c r="BA391" s="198">
        <v>8.5867000000000004</v>
      </c>
      <c r="BB391" s="199">
        <v>0.11645999999999999</v>
      </c>
      <c r="BD391" s="197">
        <v>1.0309999999999999</v>
      </c>
      <c r="BE391" s="198">
        <v>4.2933000000000003</v>
      </c>
      <c r="BF391" s="199">
        <v>0.18032000000000001</v>
      </c>
      <c r="BH391" s="197">
        <v>1.0309999999999999</v>
      </c>
      <c r="BI391" s="198">
        <v>232.92</v>
      </c>
      <c r="BJ391" s="199">
        <v>5.5460000000000003</v>
      </c>
      <c r="BL391" s="197">
        <v>1.0309999999999999</v>
      </c>
      <c r="BM391" s="198">
        <v>3.8332999999999999</v>
      </c>
      <c r="BN391" s="199">
        <v>0.161</v>
      </c>
      <c r="BP391" s="197">
        <v>1.0309999999999999</v>
      </c>
      <c r="BQ391" s="200">
        <v>260.87</v>
      </c>
      <c r="BR391" s="199">
        <v>6.2110000000000003</v>
      </c>
      <c r="BT391" s="197">
        <v>1.0309999999999999</v>
      </c>
      <c r="BU391" s="201">
        <v>0.88139999999999996</v>
      </c>
      <c r="BV391" s="202">
        <v>0.98709999999999998</v>
      </c>
      <c r="BX391" s="37">
        <v>1031</v>
      </c>
      <c r="BY391" s="38">
        <v>1.0316000000000001</v>
      </c>
      <c r="BZ391" s="39">
        <v>5.66</v>
      </c>
      <c r="CA391" s="33"/>
      <c r="CB391" s="37">
        <v>1031</v>
      </c>
      <c r="CC391" s="38">
        <v>0.15892999999999999</v>
      </c>
      <c r="CD391" s="42">
        <v>6.2919999999999998</v>
      </c>
      <c r="CE391" s="33"/>
      <c r="CF391" s="33"/>
      <c r="CG391" s="33"/>
      <c r="CH391" s="33"/>
      <c r="CI391" s="33"/>
      <c r="CJ391" s="33"/>
      <c r="CK391" s="33"/>
      <c r="CL391" s="40">
        <v>1031</v>
      </c>
      <c r="CM391" s="43">
        <v>1029.9000000000001</v>
      </c>
      <c r="CN391" s="41">
        <v>0.97089999999999999</v>
      </c>
      <c r="CO391" s="33"/>
      <c r="CP391" s="40">
        <v>1031</v>
      </c>
      <c r="CQ391" s="34">
        <v>1.1353</v>
      </c>
      <c r="CR391" s="41">
        <v>1.0137</v>
      </c>
      <c r="CS391" s="33"/>
      <c r="CT391" s="40">
        <v>1031</v>
      </c>
      <c r="CU391" s="44">
        <v>256.58999999999997</v>
      </c>
      <c r="CV391" s="42">
        <v>6.109</v>
      </c>
    </row>
    <row r="392" spans="4:100">
      <c r="D392" s="30">
        <v>38.200000000000003</v>
      </c>
      <c r="E392" s="31">
        <v>0.83379999999999999</v>
      </c>
      <c r="F392" s="32">
        <v>833.4</v>
      </c>
      <c r="G392" s="33"/>
      <c r="H392" s="30">
        <v>38.200000000000003</v>
      </c>
      <c r="I392" s="34">
        <v>3.7835999999999999</v>
      </c>
      <c r="J392" s="35">
        <v>0.15891</v>
      </c>
      <c r="L392" s="30">
        <v>38.200000000000003</v>
      </c>
      <c r="M392" s="172">
        <v>6.9429999999999996</v>
      </c>
      <c r="N392" s="173">
        <v>0.14404</v>
      </c>
      <c r="P392" s="30">
        <v>38.200000000000003</v>
      </c>
      <c r="Q392" s="172">
        <v>3.4712999999999998</v>
      </c>
      <c r="R392" s="173">
        <v>0.14579</v>
      </c>
      <c r="T392" s="30">
        <v>38.200000000000003</v>
      </c>
      <c r="U392" s="172">
        <v>288.08000000000197</v>
      </c>
      <c r="V392" s="173">
        <v>6.859</v>
      </c>
      <c r="X392" s="30">
        <v>38.200000000000003</v>
      </c>
      <c r="Y392" s="34">
        <v>3.0994000000000002</v>
      </c>
      <c r="Z392" s="35">
        <v>0.13017000000000001</v>
      </c>
      <c r="AA392" s="36"/>
      <c r="AB392" s="30">
        <v>38.200000000000003</v>
      </c>
      <c r="AC392" s="44">
        <v>322.64999999999998</v>
      </c>
      <c r="AD392" s="35">
        <v>7.6820000000000004</v>
      </c>
      <c r="AE392" s="36"/>
      <c r="AF392" s="30">
        <v>38.200000000000003</v>
      </c>
      <c r="AG392" s="34">
        <v>3.1490999999999998</v>
      </c>
      <c r="AH392" s="35">
        <v>0.13225999999999999</v>
      </c>
      <c r="AI392" s="35"/>
      <c r="AJ392" s="35">
        <v>0.12587000000000001</v>
      </c>
      <c r="AK392" s="998">
        <v>46.8</v>
      </c>
      <c r="AM392" s="30">
        <v>38.200000000000003</v>
      </c>
      <c r="AN392" s="34">
        <v>1.0900000000000001</v>
      </c>
      <c r="AO392" s="35">
        <v>1.2208000000000001</v>
      </c>
      <c r="AQ392" s="197">
        <v>1.032</v>
      </c>
      <c r="AR392" s="200">
        <v>5.61</v>
      </c>
      <c r="AS392" s="199">
        <v>1031.4000000000001</v>
      </c>
      <c r="AZ392" s="197">
        <v>1.032</v>
      </c>
      <c r="BA392" s="198">
        <v>8.5950000000000006</v>
      </c>
      <c r="BB392" s="199">
        <v>0.11635</v>
      </c>
      <c r="BD392" s="197">
        <v>1.032</v>
      </c>
      <c r="BE392" s="198">
        <v>4.2975000000000003</v>
      </c>
      <c r="BF392" s="199">
        <v>0.18049999999999999</v>
      </c>
      <c r="BH392" s="197">
        <v>1.032</v>
      </c>
      <c r="BI392" s="198">
        <v>232.69</v>
      </c>
      <c r="BJ392" s="199">
        <v>5.54</v>
      </c>
      <c r="BL392" s="197">
        <v>1.032</v>
      </c>
      <c r="BM392" s="198">
        <v>3.8371</v>
      </c>
      <c r="BN392" s="199">
        <v>0.16116</v>
      </c>
      <c r="BP392" s="197">
        <v>1.032</v>
      </c>
      <c r="BQ392" s="200">
        <v>260.62</v>
      </c>
      <c r="BR392" s="199">
        <v>6.2050000000000001</v>
      </c>
      <c r="BT392" s="197">
        <v>1.032</v>
      </c>
      <c r="BU392" s="201">
        <v>0.88049999999999995</v>
      </c>
      <c r="BV392" s="202">
        <v>0.98619999999999997</v>
      </c>
      <c r="BX392" s="37">
        <v>1032</v>
      </c>
      <c r="BY392" s="38">
        <v>1.0326</v>
      </c>
      <c r="BZ392" s="39">
        <v>5.53</v>
      </c>
      <c r="CA392" s="33"/>
      <c r="CB392" s="37">
        <v>1032</v>
      </c>
      <c r="CC392" s="38">
        <v>0.15892999999999999</v>
      </c>
      <c r="CD392" s="42">
        <v>6.2919999999999998</v>
      </c>
      <c r="CE392" s="33"/>
      <c r="CF392" s="33"/>
      <c r="CG392" s="33"/>
      <c r="CH392" s="33"/>
      <c r="CI392" s="33"/>
      <c r="CJ392" s="33"/>
      <c r="CK392" s="33"/>
      <c r="CL392" s="40">
        <v>1032</v>
      </c>
      <c r="CM392" s="43">
        <v>1030.9000000000001</v>
      </c>
      <c r="CN392" s="41">
        <v>0.97</v>
      </c>
      <c r="CO392" s="33"/>
      <c r="CP392" s="40">
        <v>1032</v>
      </c>
      <c r="CQ392" s="34">
        <v>1.1364000000000001</v>
      </c>
      <c r="CR392" s="41">
        <v>1.0146999999999999</v>
      </c>
      <c r="CS392" s="33"/>
      <c r="CT392" s="40">
        <v>1032</v>
      </c>
      <c r="CU392" s="44">
        <v>256.33999999999997</v>
      </c>
      <c r="CV392" s="42">
        <v>6.1029999999999998</v>
      </c>
    </row>
    <row r="393" spans="4:100">
      <c r="D393" s="30">
        <v>38.299999999999997</v>
      </c>
      <c r="E393" s="31">
        <v>0.83330000000000004</v>
      </c>
      <c r="F393" s="32">
        <v>832.9</v>
      </c>
      <c r="G393" s="33"/>
      <c r="H393" s="30">
        <v>38.299999999999997</v>
      </c>
      <c r="I393" s="34">
        <v>3.7835999999999999</v>
      </c>
      <c r="J393" s="35">
        <v>0.15891</v>
      </c>
      <c r="L393" s="30">
        <v>38.299999999999997</v>
      </c>
      <c r="M393" s="172">
        <v>6.9379999999999997</v>
      </c>
      <c r="N393" s="173">
        <v>0.14412</v>
      </c>
      <c r="P393" s="30">
        <v>38.299999999999997</v>
      </c>
      <c r="Q393" s="172">
        <v>3.4691999999999998</v>
      </c>
      <c r="R393" s="173">
        <v>0.14571000000000001</v>
      </c>
      <c r="T393" s="30">
        <v>38.299999999999997</v>
      </c>
      <c r="U393" s="172">
        <v>288.25000000000199</v>
      </c>
      <c r="V393" s="173">
        <v>6.8630000000000004</v>
      </c>
      <c r="X393" s="30">
        <v>38.299999999999997</v>
      </c>
      <c r="Y393" s="34">
        <v>3.0975000000000001</v>
      </c>
      <c r="Z393" s="35">
        <v>0.13009999999999999</v>
      </c>
      <c r="AA393" s="36"/>
      <c r="AB393" s="30">
        <v>38.299999999999997</v>
      </c>
      <c r="AC393" s="44">
        <v>322.83999999999997</v>
      </c>
      <c r="AD393" s="35">
        <v>7.6870000000000003</v>
      </c>
      <c r="AE393" s="36"/>
      <c r="AF393" s="30">
        <v>38.299999999999997</v>
      </c>
      <c r="AG393" s="34">
        <v>3.1472000000000002</v>
      </c>
      <c r="AH393" s="35">
        <v>0.13217999999999999</v>
      </c>
      <c r="AI393" s="35"/>
      <c r="AJ393" s="35">
        <v>0.12594</v>
      </c>
      <c r="AK393" s="998">
        <v>46.7</v>
      </c>
      <c r="AM393" s="30">
        <v>38.299999999999997</v>
      </c>
      <c r="AN393" s="34">
        <v>1.0906</v>
      </c>
      <c r="AO393" s="35">
        <v>1.2215</v>
      </c>
      <c r="AQ393" s="197">
        <v>1.0329999999999999</v>
      </c>
      <c r="AR393" s="200">
        <v>5.48</v>
      </c>
      <c r="AS393" s="199">
        <v>1032.4000000000001</v>
      </c>
      <c r="AZ393" s="197">
        <v>1.0329999999999999</v>
      </c>
      <c r="BA393" s="198">
        <v>8.6034000000000006</v>
      </c>
      <c r="BB393" s="199">
        <v>0.11623</v>
      </c>
      <c r="BD393" s="197">
        <v>1.0329999999999999</v>
      </c>
      <c r="BE393" s="198">
        <v>4.3017000000000003</v>
      </c>
      <c r="BF393" s="199">
        <v>0.18067</v>
      </c>
      <c r="BH393" s="197">
        <v>1.0329999999999999</v>
      </c>
      <c r="BI393" s="198">
        <v>232.47</v>
      </c>
      <c r="BJ393" s="199">
        <v>5.5350000000000001</v>
      </c>
      <c r="BL393" s="197">
        <v>1.0329999999999999</v>
      </c>
      <c r="BM393" s="198">
        <v>3.8408000000000002</v>
      </c>
      <c r="BN393" s="199">
        <v>0.16131000000000001</v>
      </c>
      <c r="BP393" s="197">
        <v>1.0329999999999999</v>
      </c>
      <c r="BQ393" s="200">
        <v>260.36</v>
      </c>
      <c r="BR393" s="199">
        <v>6.1989999999999998</v>
      </c>
      <c r="BT393" s="197">
        <v>1.0329999999999999</v>
      </c>
      <c r="BU393" s="201">
        <v>0.87970000000000004</v>
      </c>
      <c r="BV393" s="202">
        <v>0.98519999999999996</v>
      </c>
      <c r="BX393" s="37">
        <v>1033</v>
      </c>
      <c r="BY393" s="38">
        <v>1.0337000000000001</v>
      </c>
      <c r="BZ393" s="39">
        <v>5.39</v>
      </c>
      <c r="CA393" s="33"/>
      <c r="CB393" s="37">
        <v>1033</v>
      </c>
      <c r="CC393" s="38">
        <v>0.15892999999999999</v>
      </c>
      <c r="CD393" s="42">
        <v>6.2919999999999998</v>
      </c>
      <c r="CE393" s="33"/>
      <c r="CF393" s="33"/>
      <c r="CG393" s="33"/>
      <c r="CH393" s="33"/>
      <c r="CI393" s="33"/>
      <c r="CJ393" s="33"/>
      <c r="CK393" s="33"/>
      <c r="CL393" s="40">
        <v>1033</v>
      </c>
      <c r="CM393" s="43">
        <v>1031.9000000000001</v>
      </c>
      <c r="CN393" s="41">
        <v>0.96909999999999996</v>
      </c>
      <c r="CO393" s="33"/>
      <c r="CP393" s="40">
        <v>1033</v>
      </c>
      <c r="CQ393" s="34">
        <v>1.1375</v>
      </c>
      <c r="CR393" s="41">
        <v>1.0156000000000001</v>
      </c>
      <c r="CS393" s="33"/>
      <c r="CT393" s="40">
        <v>1033</v>
      </c>
      <c r="CU393" s="44">
        <v>256.08999999999997</v>
      </c>
      <c r="CV393" s="42">
        <v>6.0970000000000004</v>
      </c>
    </row>
    <row r="394" spans="4:100">
      <c r="D394" s="30">
        <v>38.4</v>
      </c>
      <c r="E394" s="31">
        <v>0.83279999999999998</v>
      </c>
      <c r="F394" s="32">
        <v>832.4</v>
      </c>
      <c r="G394" s="33"/>
      <c r="H394" s="30">
        <v>38.4</v>
      </c>
      <c r="I394" s="34">
        <v>3.7835999999999999</v>
      </c>
      <c r="J394" s="35">
        <v>0.15891</v>
      </c>
      <c r="L394" s="30">
        <v>38.4</v>
      </c>
      <c r="M394" s="172">
        <v>6.9340000000000002</v>
      </c>
      <c r="N394" s="173">
        <v>0.14421</v>
      </c>
      <c r="P394" s="30">
        <v>38.4</v>
      </c>
      <c r="Q394" s="172">
        <v>3.4672000000000001</v>
      </c>
      <c r="R394" s="173">
        <v>0.14562</v>
      </c>
      <c r="T394" s="30">
        <v>38.4</v>
      </c>
      <c r="U394" s="172">
        <v>288.42000000000297</v>
      </c>
      <c r="V394" s="173">
        <v>6.867</v>
      </c>
      <c r="X394" s="30">
        <v>38.4</v>
      </c>
      <c r="Y394" s="34">
        <v>3.0956999999999999</v>
      </c>
      <c r="Z394" s="35">
        <v>0.13002</v>
      </c>
      <c r="AA394" s="36"/>
      <c r="AB394" s="30">
        <v>38.4</v>
      </c>
      <c r="AC394" s="44">
        <v>323.02999999999997</v>
      </c>
      <c r="AD394" s="35">
        <v>7.6909999999999998</v>
      </c>
      <c r="AE394" s="36"/>
      <c r="AF394" s="30">
        <v>38.4</v>
      </c>
      <c r="AG394" s="34">
        <v>3.1454</v>
      </c>
      <c r="AH394" s="35">
        <v>0.13211000000000001</v>
      </c>
      <c r="AI394" s="35"/>
      <c r="AJ394" s="35">
        <v>0.12601000000000001</v>
      </c>
      <c r="AK394" s="998">
        <v>46.6</v>
      </c>
      <c r="AM394" s="30">
        <v>38.4</v>
      </c>
      <c r="AN394" s="34">
        <v>1.0912999999999999</v>
      </c>
      <c r="AO394" s="35">
        <v>1.2222</v>
      </c>
      <c r="AQ394" s="197">
        <v>1.034</v>
      </c>
      <c r="AR394" s="200">
        <v>5.35</v>
      </c>
      <c r="AS394" s="199">
        <v>1033.3</v>
      </c>
      <c r="AZ394" s="197">
        <v>1.034</v>
      </c>
      <c r="BA394" s="198">
        <v>8.6117000000000008</v>
      </c>
      <c r="BB394" s="199">
        <v>0.11612</v>
      </c>
      <c r="BD394" s="197">
        <v>1.034</v>
      </c>
      <c r="BE394" s="198">
        <v>4.3059000000000003</v>
      </c>
      <c r="BF394" s="199">
        <v>0.18085000000000001</v>
      </c>
      <c r="BH394" s="197">
        <v>1.034</v>
      </c>
      <c r="BI394" s="198">
        <v>232.24</v>
      </c>
      <c r="BJ394" s="199">
        <v>5.53</v>
      </c>
      <c r="BL394" s="197">
        <v>1.034</v>
      </c>
      <c r="BM394" s="198">
        <v>3.8445</v>
      </c>
      <c r="BN394" s="199">
        <v>0.16147</v>
      </c>
      <c r="BP394" s="197">
        <v>1.034</v>
      </c>
      <c r="BQ394" s="200">
        <v>260.11</v>
      </c>
      <c r="BR394" s="199">
        <v>6.1929999999999996</v>
      </c>
      <c r="BT394" s="197">
        <v>1.034</v>
      </c>
      <c r="BU394" s="201">
        <v>0.87880000000000003</v>
      </c>
      <c r="BV394" s="202">
        <v>0.98429999999999995</v>
      </c>
      <c r="BX394" s="37">
        <v>1034</v>
      </c>
      <c r="BY394" s="38">
        <v>1.0347</v>
      </c>
      <c r="BZ394" s="39">
        <v>5.26</v>
      </c>
      <c r="CA394" s="33"/>
      <c r="CB394" s="37">
        <v>1034</v>
      </c>
      <c r="CC394" s="38">
        <v>0.15892999999999999</v>
      </c>
      <c r="CD394" s="42">
        <v>6.2919999999999998</v>
      </c>
      <c r="CE394" s="33"/>
      <c r="CF394" s="33"/>
      <c r="CG394" s="33"/>
      <c r="CH394" s="33"/>
      <c r="CI394" s="33"/>
      <c r="CJ394" s="33"/>
      <c r="CK394" s="33"/>
      <c r="CL394" s="40">
        <v>1034</v>
      </c>
      <c r="CM394" s="43">
        <v>1032.9000000000001</v>
      </c>
      <c r="CN394" s="41">
        <v>0.96809999999999996</v>
      </c>
      <c r="CO394" s="33"/>
      <c r="CP394" s="40">
        <v>1034</v>
      </c>
      <c r="CQ394" s="34">
        <v>1.1386000000000001</v>
      </c>
      <c r="CR394" s="41">
        <v>1.0165999999999999</v>
      </c>
      <c r="CS394" s="33"/>
      <c r="CT394" s="40">
        <v>1034</v>
      </c>
      <c r="CU394" s="44">
        <v>255.84</v>
      </c>
      <c r="CV394" s="42">
        <v>6.0910000000000002</v>
      </c>
    </row>
    <row r="395" spans="4:100">
      <c r="D395" s="30">
        <v>38.5</v>
      </c>
      <c r="E395" s="31">
        <v>0.83240000000000003</v>
      </c>
      <c r="F395" s="32">
        <v>831.9</v>
      </c>
      <c r="G395" s="33"/>
      <c r="H395" s="30">
        <v>38.5</v>
      </c>
      <c r="I395" s="34">
        <v>3.7835999999999999</v>
      </c>
      <c r="J395" s="35">
        <v>0.15891</v>
      </c>
      <c r="L395" s="30">
        <v>38.5</v>
      </c>
      <c r="M395" s="172">
        <v>6.93</v>
      </c>
      <c r="N395" s="173">
        <v>0.14429</v>
      </c>
      <c r="P395" s="30">
        <v>38.5</v>
      </c>
      <c r="Q395" s="172">
        <v>3.4651999999999998</v>
      </c>
      <c r="R395" s="173">
        <v>0.14554</v>
      </c>
      <c r="T395" s="30">
        <v>38.5</v>
      </c>
      <c r="U395" s="172">
        <v>288.59000000000299</v>
      </c>
      <c r="V395" s="173">
        <v>6.8710000000000004</v>
      </c>
      <c r="X395" s="30">
        <v>38.5</v>
      </c>
      <c r="Y395" s="34">
        <v>3.0939000000000001</v>
      </c>
      <c r="Z395" s="35">
        <v>0.12994</v>
      </c>
      <c r="AA395" s="36"/>
      <c r="AB395" s="30">
        <v>38.5</v>
      </c>
      <c r="AC395" s="44">
        <v>323.22000000000003</v>
      </c>
      <c r="AD395" s="35">
        <v>7.6959999999999997</v>
      </c>
      <c r="AE395" s="36"/>
      <c r="AF395" s="30">
        <v>38.5</v>
      </c>
      <c r="AG395" s="34">
        <v>3.1435</v>
      </c>
      <c r="AH395" s="35">
        <v>0.13203000000000001</v>
      </c>
      <c r="AI395" s="35"/>
      <c r="AJ395" s="35">
        <v>0.12609000000000001</v>
      </c>
      <c r="AK395" s="998">
        <v>46.5</v>
      </c>
      <c r="AM395" s="30">
        <v>38.5</v>
      </c>
      <c r="AN395" s="34">
        <v>1.0919000000000001</v>
      </c>
      <c r="AO395" s="35">
        <v>1.2229000000000001</v>
      </c>
      <c r="AQ395" s="197">
        <v>1.0349999999999999</v>
      </c>
      <c r="AR395" s="200">
        <v>5.21</v>
      </c>
      <c r="AS395" s="199">
        <v>1034.3</v>
      </c>
      <c r="AZ395" s="197">
        <v>1.0349999999999999</v>
      </c>
      <c r="BA395" s="198">
        <v>8.6201000000000008</v>
      </c>
      <c r="BB395" s="199">
        <v>0.11601</v>
      </c>
      <c r="BD395" s="197">
        <v>1.0349999999999999</v>
      </c>
      <c r="BE395" s="198">
        <v>4.3099999999999996</v>
      </c>
      <c r="BF395" s="199">
        <v>0.18101999999999999</v>
      </c>
      <c r="BH395" s="197">
        <v>1.0349999999999999</v>
      </c>
      <c r="BI395" s="198">
        <v>232.02</v>
      </c>
      <c r="BJ395" s="199">
        <v>5.524</v>
      </c>
      <c r="BL395" s="197">
        <v>1.0349999999999999</v>
      </c>
      <c r="BM395" s="198">
        <v>3.8481999999999998</v>
      </c>
      <c r="BN395" s="199">
        <v>0.16163</v>
      </c>
      <c r="BP395" s="197">
        <v>1.0349999999999999</v>
      </c>
      <c r="BQ395" s="200">
        <v>259.86</v>
      </c>
      <c r="BR395" s="199">
        <v>6.1870000000000003</v>
      </c>
      <c r="BT395" s="197">
        <v>1.0349999999999999</v>
      </c>
      <c r="BU395" s="201">
        <v>0.878</v>
      </c>
      <c r="BV395" s="202">
        <v>0.98329999999999995</v>
      </c>
      <c r="BX395" s="37">
        <v>1035</v>
      </c>
      <c r="BY395" s="38">
        <v>1.0357000000000001</v>
      </c>
      <c r="BZ395" s="39">
        <v>5.13</v>
      </c>
      <c r="CA395" s="33"/>
      <c r="CB395" s="37">
        <v>1035</v>
      </c>
      <c r="CC395" s="38">
        <v>0.15892999999999999</v>
      </c>
      <c r="CD395" s="42">
        <v>6.2919999999999998</v>
      </c>
      <c r="CE395" s="33"/>
      <c r="CF395" s="33"/>
      <c r="CG395" s="33"/>
      <c r="CH395" s="33"/>
      <c r="CI395" s="33"/>
      <c r="CJ395" s="33"/>
      <c r="CK395" s="33"/>
      <c r="CL395" s="40">
        <v>1035</v>
      </c>
      <c r="CM395" s="43">
        <v>1033.9000000000001</v>
      </c>
      <c r="CN395" s="41">
        <v>0.96719999999999995</v>
      </c>
      <c r="CO395" s="33"/>
      <c r="CP395" s="40">
        <v>1035</v>
      </c>
      <c r="CQ395" s="34">
        <v>1.1396999999999999</v>
      </c>
      <c r="CR395" s="41">
        <v>1.0176000000000001</v>
      </c>
      <c r="CS395" s="33"/>
      <c r="CT395" s="40">
        <v>1035</v>
      </c>
      <c r="CU395" s="44">
        <v>255.59</v>
      </c>
      <c r="CV395" s="42">
        <v>6.0860000000000003</v>
      </c>
    </row>
    <row r="396" spans="4:100">
      <c r="D396" s="30">
        <v>38.6</v>
      </c>
      <c r="E396" s="31">
        <v>0.83189999999999997</v>
      </c>
      <c r="F396" s="32">
        <v>831.4</v>
      </c>
      <c r="G396" s="33"/>
      <c r="H396" s="30">
        <v>38.6</v>
      </c>
      <c r="I396" s="34">
        <v>3.7835999999999999</v>
      </c>
      <c r="J396" s="35">
        <v>0.15891</v>
      </c>
      <c r="L396" s="30">
        <v>38.6</v>
      </c>
      <c r="M396" s="172">
        <v>6.9260000000000002</v>
      </c>
      <c r="N396" s="173">
        <v>0.14438000000000001</v>
      </c>
      <c r="P396" s="30">
        <v>38.6</v>
      </c>
      <c r="Q396" s="172">
        <v>3.4630999999999998</v>
      </c>
      <c r="R396" s="173">
        <v>0.14545</v>
      </c>
      <c r="T396" s="30">
        <v>38.6</v>
      </c>
      <c r="U396" s="172">
        <v>288.76000000000198</v>
      </c>
      <c r="V396" s="173">
        <v>6.8750000000000098</v>
      </c>
      <c r="X396" s="30">
        <v>38.6</v>
      </c>
      <c r="Y396" s="34">
        <v>3.0920999999999998</v>
      </c>
      <c r="Z396" s="35">
        <v>0.12987000000000001</v>
      </c>
      <c r="AA396" s="36"/>
      <c r="AB396" s="30">
        <v>38.6</v>
      </c>
      <c r="AC396" s="44">
        <v>323.41000000000003</v>
      </c>
      <c r="AD396" s="35">
        <v>7.7</v>
      </c>
      <c r="AE396" s="36"/>
      <c r="AF396" s="30">
        <v>38.6</v>
      </c>
      <c r="AG396" s="34">
        <v>3.1417000000000002</v>
      </c>
      <c r="AH396" s="35">
        <v>0.13195000000000001</v>
      </c>
      <c r="AI396" s="35"/>
      <c r="AJ396" s="35">
        <v>0.12615999999999999</v>
      </c>
      <c r="AK396" s="998">
        <v>46.4</v>
      </c>
      <c r="AM396" s="30">
        <v>38.6</v>
      </c>
      <c r="AN396" s="34">
        <v>1.0925</v>
      </c>
      <c r="AO396" s="35">
        <v>1.2236</v>
      </c>
      <c r="AQ396" s="197">
        <v>1.036</v>
      </c>
      <c r="AR396" s="200">
        <v>5.08</v>
      </c>
      <c r="AS396" s="199">
        <v>1035.3</v>
      </c>
      <c r="AZ396" s="197">
        <v>1.036</v>
      </c>
      <c r="BA396" s="198">
        <v>8.6283999999999992</v>
      </c>
      <c r="BB396" s="199">
        <v>0.1159</v>
      </c>
      <c r="BD396" s="197">
        <v>1.036</v>
      </c>
      <c r="BE396" s="198">
        <v>4.3141999999999996</v>
      </c>
      <c r="BF396" s="199">
        <v>0.1812</v>
      </c>
      <c r="BH396" s="197">
        <v>1.036</v>
      </c>
      <c r="BI396" s="198">
        <v>231.79</v>
      </c>
      <c r="BJ396" s="199">
        <v>5.5190000000000001</v>
      </c>
      <c r="BL396" s="197">
        <v>1.036</v>
      </c>
      <c r="BM396" s="198">
        <v>3.8519999999999999</v>
      </c>
      <c r="BN396" s="199">
        <v>0.16178000000000001</v>
      </c>
      <c r="BP396" s="197">
        <v>1.036</v>
      </c>
      <c r="BQ396" s="200">
        <v>259.61</v>
      </c>
      <c r="BR396" s="199">
        <v>6.181</v>
      </c>
      <c r="BT396" s="197">
        <v>1.036</v>
      </c>
      <c r="BU396" s="201">
        <v>0.87709999999999999</v>
      </c>
      <c r="BV396" s="202">
        <v>0.98240000000000005</v>
      </c>
      <c r="BX396" s="37">
        <v>1036</v>
      </c>
      <c r="BY396" s="38">
        <v>1.0367</v>
      </c>
      <c r="BZ396" s="39">
        <v>5</v>
      </c>
      <c r="CA396" s="33"/>
      <c r="CB396" s="37">
        <v>1036</v>
      </c>
      <c r="CC396" s="38">
        <v>0.15892999999999999</v>
      </c>
      <c r="CD396" s="42">
        <v>6.2919999999999998</v>
      </c>
      <c r="CE396" s="33"/>
      <c r="CF396" s="33"/>
      <c r="CG396" s="33"/>
      <c r="CH396" s="33"/>
      <c r="CI396" s="33"/>
      <c r="CJ396" s="33"/>
      <c r="CK396" s="33"/>
      <c r="CL396" s="40">
        <v>1036</v>
      </c>
      <c r="CM396" s="43">
        <v>1034.9000000000001</v>
      </c>
      <c r="CN396" s="41">
        <v>0.96619999999999995</v>
      </c>
      <c r="CO396" s="33"/>
      <c r="CP396" s="40">
        <v>1036</v>
      </c>
      <c r="CQ396" s="34">
        <v>1.1408</v>
      </c>
      <c r="CR396" s="41">
        <v>1.0185999999999999</v>
      </c>
      <c r="CS396" s="33"/>
      <c r="CT396" s="40">
        <v>1036</v>
      </c>
      <c r="CU396" s="44">
        <v>255.35</v>
      </c>
      <c r="CV396" s="42">
        <v>6.08</v>
      </c>
    </row>
    <row r="397" spans="4:100">
      <c r="D397" s="30">
        <v>38.700000000000003</v>
      </c>
      <c r="E397" s="31">
        <v>0.83140000000000003</v>
      </c>
      <c r="F397" s="32">
        <v>831</v>
      </c>
      <c r="G397" s="33"/>
      <c r="H397" s="30">
        <v>38.700000000000003</v>
      </c>
      <c r="I397" s="34">
        <v>3.7835999999999999</v>
      </c>
      <c r="J397" s="35">
        <v>0.15891</v>
      </c>
      <c r="L397" s="30">
        <v>38.700000000000003</v>
      </c>
      <c r="M397" s="172">
        <v>6.9219999999999997</v>
      </c>
      <c r="N397" s="173">
        <v>0.14446000000000001</v>
      </c>
      <c r="P397" s="30">
        <v>38.700000000000003</v>
      </c>
      <c r="Q397" s="172">
        <v>3.4611000000000001</v>
      </c>
      <c r="R397" s="173">
        <v>0.14537</v>
      </c>
      <c r="T397" s="30">
        <v>38.700000000000003</v>
      </c>
      <c r="U397" s="172">
        <v>288.93000000000302</v>
      </c>
      <c r="V397" s="173">
        <v>6.8790000000000102</v>
      </c>
      <c r="X397" s="30">
        <v>38.700000000000003</v>
      </c>
      <c r="Y397" s="34">
        <v>3.0901999999999998</v>
      </c>
      <c r="Z397" s="35">
        <v>0.12978999999999999</v>
      </c>
      <c r="AA397" s="36"/>
      <c r="AB397" s="30">
        <v>38.700000000000003</v>
      </c>
      <c r="AC397" s="44">
        <v>323.60000000000002</v>
      </c>
      <c r="AD397" s="35">
        <v>7.7050000000000001</v>
      </c>
      <c r="AE397" s="36"/>
      <c r="AF397" s="30">
        <v>38.700000000000003</v>
      </c>
      <c r="AG397" s="34">
        <v>3.1398000000000001</v>
      </c>
      <c r="AH397" s="35">
        <v>0.13186999999999999</v>
      </c>
      <c r="AI397" s="35"/>
      <c r="AJ397" s="35">
        <v>0.12623000000000001</v>
      </c>
      <c r="AK397" s="998">
        <v>46.3</v>
      </c>
      <c r="AM397" s="30">
        <v>38.700000000000003</v>
      </c>
      <c r="AN397" s="34">
        <v>1.0931999999999999</v>
      </c>
      <c r="AO397" s="35">
        <v>1.2243999999999999</v>
      </c>
      <c r="AQ397" s="197">
        <v>1.0369999999999999</v>
      </c>
      <c r="AR397" s="200">
        <v>4.95</v>
      </c>
      <c r="AS397" s="199">
        <v>1036.3</v>
      </c>
      <c r="AZ397" s="197">
        <v>1.0369999999999999</v>
      </c>
      <c r="BA397" s="198">
        <v>8.6366999999999994</v>
      </c>
      <c r="BB397" s="199">
        <v>0.11577999999999999</v>
      </c>
      <c r="BD397" s="197">
        <v>1.0369999999999999</v>
      </c>
      <c r="BE397" s="198">
        <v>4.3183999999999996</v>
      </c>
      <c r="BF397" s="199">
        <v>0.18137</v>
      </c>
      <c r="BH397" s="197">
        <v>1.0369999999999999</v>
      </c>
      <c r="BI397" s="198">
        <v>231.57</v>
      </c>
      <c r="BJ397" s="199">
        <v>5.5140000000000002</v>
      </c>
      <c r="BL397" s="197">
        <v>1.0369999999999999</v>
      </c>
      <c r="BM397" s="198">
        <v>3.8557000000000001</v>
      </c>
      <c r="BN397" s="199">
        <v>0.16194</v>
      </c>
      <c r="BP397" s="197">
        <v>1.0369999999999999</v>
      </c>
      <c r="BQ397" s="200">
        <v>259.36</v>
      </c>
      <c r="BR397" s="199">
        <v>6.1749999999999998</v>
      </c>
      <c r="BT397" s="197">
        <v>1.0369999999999999</v>
      </c>
      <c r="BU397" s="201">
        <v>0.87629999999999997</v>
      </c>
      <c r="BV397" s="202">
        <v>0.98140000000000005</v>
      </c>
      <c r="BX397" s="37">
        <v>1037</v>
      </c>
      <c r="BY397" s="38">
        <v>1.0377000000000001</v>
      </c>
      <c r="BZ397" s="39">
        <v>4.87</v>
      </c>
      <c r="CA397" s="33"/>
      <c r="CB397" s="37">
        <v>1037</v>
      </c>
      <c r="CC397" s="38">
        <v>0.15892999999999999</v>
      </c>
      <c r="CD397" s="42">
        <v>6.2919999999999998</v>
      </c>
      <c r="CE397" s="33"/>
      <c r="CF397" s="33"/>
      <c r="CG397" s="33"/>
      <c r="CH397" s="33"/>
      <c r="CI397" s="33"/>
      <c r="CJ397" s="33"/>
      <c r="CK397" s="33"/>
      <c r="CL397" s="40">
        <v>1037</v>
      </c>
      <c r="CM397" s="43">
        <v>1035.9000000000001</v>
      </c>
      <c r="CN397" s="41">
        <v>0.96530000000000005</v>
      </c>
      <c r="CO397" s="33"/>
      <c r="CP397" s="40">
        <v>1037</v>
      </c>
      <c r="CQ397" s="34">
        <v>1.1418999999999999</v>
      </c>
      <c r="CR397" s="41">
        <v>1.0196000000000001</v>
      </c>
      <c r="CS397" s="33"/>
      <c r="CT397" s="40">
        <v>1037</v>
      </c>
      <c r="CU397" s="44">
        <v>255.1</v>
      </c>
      <c r="CV397" s="42">
        <v>6.0739999999999998</v>
      </c>
    </row>
    <row r="398" spans="4:100">
      <c r="D398" s="30">
        <v>38.799999999999997</v>
      </c>
      <c r="E398" s="31">
        <v>0.83089999999999997</v>
      </c>
      <c r="F398" s="32">
        <v>830.5</v>
      </c>
      <c r="G398" s="33"/>
      <c r="H398" s="30">
        <v>38.799999999999997</v>
      </c>
      <c r="I398" s="34">
        <v>3.7835999999999999</v>
      </c>
      <c r="J398" s="35">
        <v>0.15891</v>
      </c>
      <c r="L398" s="30">
        <v>38.799999999999997</v>
      </c>
      <c r="M398" s="172">
        <v>6.9180000000000001</v>
      </c>
      <c r="N398" s="173">
        <v>0.14455000000000001</v>
      </c>
      <c r="P398" s="30">
        <v>38.799999999999997</v>
      </c>
      <c r="Q398" s="172">
        <v>3.4590000000000001</v>
      </c>
      <c r="R398" s="173">
        <v>0.14527999999999999</v>
      </c>
      <c r="T398" s="30">
        <v>38.799999999999997</v>
      </c>
      <c r="U398" s="172">
        <v>289.10000000000298</v>
      </c>
      <c r="V398" s="173">
        <v>6.8830000000000098</v>
      </c>
      <c r="X398" s="30">
        <v>38.799999999999997</v>
      </c>
      <c r="Y398" s="34">
        <v>3.0884</v>
      </c>
      <c r="Z398" s="35">
        <v>0.12970999999999999</v>
      </c>
      <c r="AA398" s="36"/>
      <c r="AB398" s="30">
        <v>38.799999999999997</v>
      </c>
      <c r="AC398" s="44">
        <v>323.79000000000002</v>
      </c>
      <c r="AD398" s="35">
        <v>7.7089999999999996</v>
      </c>
      <c r="AE398" s="36"/>
      <c r="AF398" s="30">
        <v>38.799999999999997</v>
      </c>
      <c r="AG398" s="34">
        <v>3.1379999999999999</v>
      </c>
      <c r="AH398" s="35">
        <v>0.1318</v>
      </c>
      <c r="AI398" s="35"/>
      <c r="AJ398" s="35">
        <v>0.1263</v>
      </c>
      <c r="AK398" s="998">
        <v>46.2</v>
      </c>
      <c r="AM398" s="30">
        <v>38.799999999999997</v>
      </c>
      <c r="AN398" s="34">
        <v>1.0938000000000001</v>
      </c>
      <c r="AO398" s="35">
        <v>1.2251000000000001</v>
      </c>
      <c r="AQ398" s="197">
        <v>1.038</v>
      </c>
      <c r="AR398" s="200">
        <v>4.82</v>
      </c>
      <c r="AS398" s="199">
        <v>1037.3</v>
      </c>
      <c r="AZ398" s="197">
        <v>1.038</v>
      </c>
      <c r="BA398" s="198">
        <v>8.6450999999999993</v>
      </c>
      <c r="BB398" s="199">
        <v>0.11567</v>
      </c>
      <c r="BD398" s="197">
        <v>1.038</v>
      </c>
      <c r="BE398" s="198">
        <v>4.3224999999999998</v>
      </c>
      <c r="BF398" s="199">
        <v>0.18154999999999999</v>
      </c>
      <c r="BH398" s="197">
        <v>1.038</v>
      </c>
      <c r="BI398" s="198">
        <v>231.35</v>
      </c>
      <c r="BJ398" s="199">
        <v>5.508</v>
      </c>
      <c r="BL398" s="197">
        <v>1.038</v>
      </c>
      <c r="BM398" s="198">
        <v>3.8593999999999999</v>
      </c>
      <c r="BN398" s="199">
        <v>0.16209999999999999</v>
      </c>
      <c r="BP398" s="197">
        <v>1.038</v>
      </c>
      <c r="BQ398" s="200">
        <v>259.11</v>
      </c>
      <c r="BR398" s="199">
        <v>6.1689999999999996</v>
      </c>
      <c r="BT398" s="197">
        <v>1.038</v>
      </c>
      <c r="BU398" s="201">
        <v>0.87539999999999996</v>
      </c>
      <c r="BV398" s="202">
        <v>0.98050000000000004</v>
      </c>
      <c r="BX398" s="37">
        <v>1038</v>
      </c>
      <c r="BY398" s="38">
        <v>1.0387</v>
      </c>
      <c r="BZ398" s="39">
        <v>4.7300000000000004</v>
      </c>
      <c r="CA398" s="33"/>
      <c r="CB398" s="37">
        <v>1038</v>
      </c>
      <c r="CC398" s="38">
        <v>0.15892999999999999</v>
      </c>
      <c r="CD398" s="42">
        <v>6.2919999999999998</v>
      </c>
      <c r="CE398" s="33"/>
      <c r="CF398" s="33"/>
      <c r="CG398" s="33"/>
      <c r="CH398" s="33"/>
      <c r="CI398" s="33"/>
      <c r="CJ398" s="33"/>
      <c r="CK398" s="33"/>
      <c r="CL398" s="40">
        <v>1038</v>
      </c>
      <c r="CM398" s="43">
        <v>1036.9000000000001</v>
      </c>
      <c r="CN398" s="41">
        <v>0.96440000000000003</v>
      </c>
      <c r="CO398" s="33"/>
      <c r="CP398" s="40">
        <v>1038</v>
      </c>
      <c r="CQ398" s="34">
        <v>1.143</v>
      </c>
      <c r="CR398" s="41">
        <v>1.0206</v>
      </c>
      <c r="CS398" s="33"/>
      <c r="CT398" s="40">
        <v>1038</v>
      </c>
      <c r="CU398" s="44">
        <v>254.85</v>
      </c>
      <c r="CV398" s="42">
        <v>6.0679999999999996</v>
      </c>
    </row>
    <row r="399" spans="4:100">
      <c r="D399" s="30">
        <v>38.9</v>
      </c>
      <c r="E399" s="31">
        <v>0.83040000000000003</v>
      </c>
      <c r="F399" s="32">
        <v>830</v>
      </c>
      <c r="G399" s="33"/>
      <c r="H399" s="30">
        <v>38.9</v>
      </c>
      <c r="I399" s="34">
        <v>3.7835999999999999</v>
      </c>
      <c r="J399" s="35">
        <v>0.15891</v>
      </c>
      <c r="L399" s="30">
        <v>38.9</v>
      </c>
      <c r="M399" s="172">
        <v>6.9139999999999997</v>
      </c>
      <c r="N399" s="173">
        <v>0.14463000000000001</v>
      </c>
      <c r="P399" s="30">
        <v>38.9</v>
      </c>
      <c r="Q399" s="172">
        <v>3.4569999999999999</v>
      </c>
      <c r="R399" s="173">
        <v>0.14519000000000001</v>
      </c>
      <c r="T399" s="30">
        <v>38.9</v>
      </c>
      <c r="U399" s="172">
        <v>289.27000000000203</v>
      </c>
      <c r="V399" s="173">
        <v>6.8870000000000102</v>
      </c>
      <c r="X399" s="30">
        <v>38.9</v>
      </c>
      <c r="Y399" s="34">
        <v>3.0865999999999998</v>
      </c>
      <c r="Z399" s="35">
        <v>0.12964000000000001</v>
      </c>
      <c r="AA399" s="36"/>
      <c r="AB399" s="30">
        <v>38.9</v>
      </c>
      <c r="AC399" s="44">
        <v>323.98</v>
      </c>
      <c r="AD399" s="35">
        <v>7.7140000000000004</v>
      </c>
      <c r="AE399" s="36"/>
      <c r="AF399" s="30">
        <v>38.9</v>
      </c>
      <c r="AG399" s="34">
        <v>3.1360999999999999</v>
      </c>
      <c r="AH399" s="35">
        <v>0.13172</v>
      </c>
      <c r="AI399" s="35"/>
      <c r="AJ399" s="35">
        <v>0.12637000000000001</v>
      </c>
      <c r="AK399" s="998">
        <v>46.1</v>
      </c>
      <c r="AM399" s="30">
        <v>38.9</v>
      </c>
      <c r="AN399" s="34">
        <v>1.0945</v>
      </c>
      <c r="AO399" s="35">
        <v>1.2258</v>
      </c>
      <c r="AQ399" s="197">
        <v>1.0389999999999999</v>
      </c>
      <c r="AR399" s="200">
        <v>4.6900000000000004</v>
      </c>
      <c r="AS399" s="199">
        <v>1038.3</v>
      </c>
      <c r="AZ399" s="197">
        <v>1.0389999999999999</v>
      </c>
      <c r="BA399" s="198">
        <v>8.6533999999999995</v>
      </c>
      <c r="BB399" s="199">
        <v>0.11556</v>
      </c>
      <c r="BD399" s="197">
        <v>1.0389999999999999</v>
      </c>
      <c r="BE399" s="198">
        <v>4.3266999999999998</v>
      </c>
      <c r="BF399" s="199">
        <v>0.18171999999999999</v>
      </c>
      <c r="BH399" s="197">
        <v>1.0389999999999999</v>
      </c>
      <c r="BI399" s="198">
        <v>231.12</v>
      </c>
      <c r="BJ399" s="199">
        <v>5.5030000000000001</v>
      </c>
      <c r="BL399" s="197">
        <v>1.0389999999999999</v>
      </c>
      <c r="BM399" s="198">
        <v>3.8631000000000002</v>
      </c>
      <c r="BN399" s="199">
        <v>0.16225000000000001</v>
      </c>
      <c r="BP399" s="197">
        <v>1.0389999999999999</v>
      </c>
      <c r="BQ399" s="200">
        <v>258.86</v>
      </c>
      <c r="BR399" s="199">
        <v>6.1630000000000003</v>
      </c>
      <c r="BT399" s="197">
        <v>1.0389999999999999</v>
      </c>
      <c r="BU399" s="201">
        <v>0.87460000000000004</v>
      </c>
      <c r="BV399" s="202">
        <v>0.97950000000000004</v>
      </c>
      <c r="BX399" s="37">
        <v>1039</v>
      </c>
      <c r="BY399" s="38">
        <v>1.0397000000000001</v>
      </c>
      <c r="BZ399" s="39">
        <v>4.5999999999999996</v>
      </c>
      <c r="CA399" s="33"/>
      <c r="CB399" s="37">
        <v>1039</v>
      </c>
      <c r="CC399" s="38">
        <v>0.15892999999999999</v>
      </c>
      <c r="CD399" s="42">
        <v>6.2919999999999998</v>
      </c>
      <c r="CE399" s="33"/>
      <c r="CF399" s="33"/>
      <c r="CG399" s="33"/>
      <c r="CH399" s="33"/>
      <c r="CI399" s="33"/>
      <c r="CJ399" s="33"/>
      <c r="CK399" s="33"/>
      <c r="CL399" s="40">
        <v>1039</v>
      </c>
      <c r="CM399" s="43">
        <v>1037.9000000000001</v>
      </c>
      <c r="CN399" s="41">
        <v>0.96350000000000002</v>
      </c>
      <c r="CO399" s="33"/>
      <c r="CP399" s="40">
        <v>1039</v>
      </c>
      <c r="CQ399" s="34">
        <v>1.1440999999999999</v>
      </c>
      <c r="CR399" s="41">
        <v>1.0215000000000001</v>
      </c>
      <c r="CS399" s="33"/>
      <c r="CT399" s="40">
        <v>1039</v>
      </c>
      <c r="CU399" s="44">
        <v>254.61</v>
      </c>
      <c r="CV399" s="42">
        <v>6.0620000000000003</v>
      </c>
    </row>
    <row r="400" spans="4:100">
      <c r="D400" s="30">
        <v>39</v>
      </c>
      <c r="E400" s="31">
        <v>0.82989999999999997</v>
      </c>
      <c r="F400" s="32">
        <v>829.5</v>
      </c>
      <c r="G400" s="33"/>
      <c r="H400" s="30">
        <v>39</v>
      </c>
      <c r="I400" s="34">
        <v>3.7835999999999999</v>
      </c>
      <c r="J400" s="35">
        <v>0.15891</v>
      </c>
      <c r="L400" s="30">
        <v>39</v>
      </c>
      <c r="M400" s="172">
        <v>6.91</v>
      </c>
      <c r="N400" s="173">
        <v>0.14471999999999999</v>
      </c>
      <c r="P400" s="30">
        <v>39</v>
      </c>
      <c r="Q400" s="172">
        <v>3.4550000000000001</v>
      </c>
      <c r="R400" s="173">
        <v>0.14510999999999999</v>
      </c>
      <c r="T400" s="30">
        <v>39</v>
      </c>
      <c r="U400" s="172">
        <v>289.44000000000199</v>
      </c>
      <c r="V400" s="173">
        <v>6.8910000000000098</v>
      </c>
      <c r="X400" s="30">
        <v>39</v>
      </c>
      <c r="Y400" s="34">
        <v>3.0848</v>
      </c>
      <c r="Z400" s="35">
        <v>0.12956000000000001</v>
      </c>
      <c r="AA400" s="36"/>
      <c r="AB400" s="30">
        <v>39</v>
      </c>
      <c r="AC400" s="44">
        <v>324.17</v>
      </c>
      <c r="AD400" s="35">
        <v>7.718</v>
      </c>
      <c r="AE400" s="36"/>
      <c r="AF400" s="30">
        <v>39</v>
      </c>
      <c r="AG400" s="34">
        <v>3.1343000000000001</v>
      </c>
      <c r="AH400" s="35">
        <v>0.13164000000000001</v>
      </c>
      <c r="AI400" s="35"/>
      <c r="AJ400" s="35">
        <v>0.12644</v>
      </c>
      <c r="AK400" s="998">
        <v>46</v>
      </c>
      <c r="AM400" s="30">
        <v>39</v>
      </c>
      <c r="AN400" s="34">
        <v>1.0951</v>
      </c>
      <c r="AO400" s="35">
        <v>1.2264999999999999</v>
      </c>
      <c r="AQ400" s="197">
        <v>1.04</v>
      </c>
      <c r="AR400" s="200">
        <v>4.5599999999999996</v>
      </c>
      <c r="AS400" s="199">
        <v>1039.3</v>
      </c>
      <c r="AZ400" s="197">
        <v>1.04</v>
      </c>
      <c r="BA400" s="198">
        <v>8.6616999999999997</v>
      </c>
      <c r="BB400" s="199">
        <v>0.11545</v>
      </c>
      <c r="BD400" s="197">
        <v>1.04</v>
      </c>
      <c r="BE400" s="198">
        <v>4.3308999999999997</v>
      </c>
      <c r="BF400" s="199">
        <v>0.18190000000000001</v>
      </c>
      <c r="BH400" s="197">
        <v>1.04</v>
      </c>
      <c r="BI400" s="198">
        <v>230.9</v>
      </c>
      <c r="BJ400" s="199">
        <v>5.4980000000000002</v>
      </c>
      <c r="BL400" s="197">
        <v>1.04</v>
      </c>
      <c r="BM400" s="198">
        <v>3.8668</v>
      </c>
      <c r="BN400" s="199">
        <v>0.16241</v>
      </c>
      <c r="BP400" s="197">
        <v>1.04</v>
      </c>
      <c r="BQ400" s="200">
        <v>258.61</v>
      </c>
      <c r="BR400" s="199">
        <v>6.157</v>
      </c>
      <c r="BT400" s="197">
        <v>1.04</v>
      </c>
      <c r="BU400" s="201">
        <v>0.87370000000000003</v>
      </c>
      <c r="BV400" s="202">
        <v>0.97860000000000003</v>
      </c>
      <c r="BX400" s="37">
        <v>1040</v>
      </c>
      <c r="BY400" s="38">
        <v>1.0407</v>
      </c>
      <c r="BZ400" s="39">
        <v>4.47</v>
      </c>
      <c r="CA400" s="33"/>
      <c r="CB400" s="37">
        <v>1040</v>
      </c>
      <c r="CC400" s="38">
        <v>0.15892999999999999</v>
      </c>
      <c r="CD400" s="42">
        <v>6.2919999999999998</v>
      </c>
      <c r="CE400" s="33"/>
      <c r="CF400" s="33"/>
      <c r="CG400" s="33"/>
      <c r="CH400" s="33"/>
      <c r="CI400" s="33"/>
      <c r="CJ400" s="33"/>
      <c r="CK400" s="33"/>
      <c r="CL400" s="40">
        <v>1040</v>
      </c>
      <c r="CM400" s="43">
        <v>1038.9000000000001</v>
      </c>
      <c r="CN400" s="41">
        <v>0.96250000000000002</v>
      </c>
      <c r="CO400" s="33"/>
      <c r="CP400" s="40">
        <v>1040</v>
      </c>
      <c r="CQ400" s="34">
        <v>1.1452</v>
      </c>
      <c r="CR400" s="41">
        <v>1.0225</v>
      </c>
      <c r="CS400" s="33"/>
      <c r="CT400" s="40">
        <v>1040</v>
      </c>
      <c r="CU400" s="44">
        <v>254.36</v>
      </c>
      <c r="CV400" s="42">
        <v>6.056</v>
      </c>
    </row>
    <row r="401" spans="4:100">
      <c r="D401" s="30">
        <v>39.1</v>
      </c>
      <c r="E401" s="31">
        <v>0.82940000000000003</v>
      </c>
      <c r="F401" s="32">
        <v>829</v>
      </c>
      <c r="G401" s="33"/>
      <c r="H401" s="30">
        <v>39.1</v>
      </c>
      <c r="I401" s="34">
        <v>3.7835999999999999</v>
      </c>
      <c r="J401" s="35">
        <v>0.15891</v>
      </c>
      <c r="L401" s="30">
        <v>39.1</v>
      </c>
      <c r="M401" s="172">
        <v>6.9059999999999997</v>
      </c>
      <c r="N401" s="173">
        <v>0.14480000000000001</v>
      </c>
      <c r="P401" s="30">
        <v>39.1</v>
      </c>
      <c r="Q401" s="172">
        <v>3.4529000000000001</v>
      </c>
      <c r="R401" s="173">
        <v>0.14502000000000001</v>
      </c>
      <c r="T401" s="30">
        <v>39.1</v>
      </c>
      <c r="U401" s="172">
        <v>289.61000000000303</v>
      </c>
      <c r="V401" s="173">
        <v>6.8950000000000102</v>
      </c>
      <c r="X401" s="30">
        <v>39.1</v>
      </c>
      <c r="Y401" s="34">
        <v>3.0830000000000002</v>
      </c>
      <c r="Z401" s="35">
        <v>0.12948999999999999</v>
      </c>
      <c r="AA401" s="36"/>
      <c r="AB401" s="30">
        <v>39.1</v>
      </c>
      <c r="AC401" s="44">
        <v>324.36</v>
      </c>
      <c r="AD401" s="35">
        <v>7.7229999999999999</v>
      </c>
      <c r="AE401" s="36"/>
      <c r="AF401" s="30">
        <v>39.1</v>
      </c>
      <c r="AG401" s="34">
        <v>3.1324999999999998</v>
      </c>
      <c r="AH401" s="35">
        <v>0.13156000000000001</v>
      </c>
      <c r="AI401" s="35"/>
      <c r="AJ401" s="35">
        <v>0.12651000000000001</v>
      </c>
      <c r="AK401" s="998">
        <v>45.9</v>
      </c>
      <c r="AM401" s="30">
        <v>39.1</v>
      </c>
      <c r="AN401" s="34">
        <v>1.0958000000000001</v>
      </c>
      <c r="AO401" s="35">
        <v>1.2272000000000001</v>
      </c>
      <c r="AQ401" s="197">
        <v>1.0409999999999999</v>
      </c>
      <c r="AR401" s="200">
        <v>4.43</v>
      </c>
      <c r="AS401" s="199">
        <v>1040.3</v>
      </c>
      <c r="AZ401" s="197">
        <v>1.0409999999999999</v>
      </c>
      <c r="BA401" s="198">
        <v>8.6700999999999997</v>
      </c>
      <c r="BB401" s="199">
        <v>0.11534</v>
      </c>
      <c r="BD401" s="197">
        <v>1.0409999999999999</v>
      </c>
      <c r="BE401" s="198">
        <v>4.335</v>
      </c>
      <c r="BF401" s="199">
        <v>0.18207000000000001</v>
      </c>
      <c r="BH401" s="197">
        <v>1.0409999999999999</v>
      </c>
      <c r="BI401" s="198">
        <v>230.68</v>
      </c>
      <c r="BJ401" s="199">
        <v>5.492</v>
      </c>
      <c r="BL401" s="197">
        <v>1.0409999999999999</v>
      </c>
      <c r="BM401" s="198">
        <v>3.8706</v>
      </c>
      <c r="BN401" s="199">
        <v>0.16256000000000001</v>
      </c>
      <c r="BP401" s="197">
        <v>1.0409999999999999</v>
      </c>
      <c r="BQ401" s="200">
        <v>258.36</v>
      </c>
      <c r="BR401" s="199">
        <v>6.1509999999999998</v>
      </c>
      <c r="BT401" s="197">
        <v>1.0409999999999999</v>
      </c>
      <c r="BU401" s="201">
        <v>0.87290000000000001</v>
      </c>
      <c r="BV401" s="202">
        <v>0.97770000000000001</v>
      </c>
      <c r="BX401" s="37">
        <v>1041</v>
      </c>
      <c r="BY401" s="38">
        <v>1.0417000000000001</v>
      </c>
      <c r="BZ401" s="39">
        <v>4.34</v>
      </c>
      <c r="CA401" s="33"/>
      <c r="CB401" s="37">
        <v>1041</v>
      </c>
      <c r="CC401" s="38">
        <v>0.15892999999999999</v>
      </c>
      <c r="CD401" s="42">
        <v>6.2919999999999998</v>
      </c>
      <c r="CE401" s="33"/>
      <c r="CF401" s="33"/>
      <c r="CG401" s="33"/>
      <c r="CH401" s="33"/>
      <c r="CI401" s="33"/>
      <c r="CJ401" s="33"/>
      <c r="CK401" s="33"/>
      <c r="CL401" s="40">
        <v>1041</v>
      </c>
      <c r="CM401" s="43">
        <v>1039.9000000000001</v>
      </c>
      <c r="CN401" s="41">
        <v>0.96160000000000001</v>
      </c>
      <c r="CO401" s="33"/>
      <c r="CP401" s="40">
        <v>1041</v>
      </c>
      <c r="CQ401" s="34">
        <v>1.1463000000000001</v>
      </c>
      <c r="CR401" s="41">
        <v>1.0235000000000001</v>
      </c>
      <c r="CS401" s="33"/>
      <c r="CT401" s="40">
        <v>1041</v>
      </c>
      <c r="CU401" s="44">
        <v>254.12</v>
      </c>
      <c r="CV401" s="42">
        <v>6.05</v>
      </c>
    </row>
    <row r="402" spans="4:100">
      <c r="D402" s="30">
        <v>39.200000000000003</v>
      </c>
      <c r="E402" s="31">
        <v>0.82889999999999997</v>
      </c>
      <c r="F402" s="32">
        <v>828.5</v>
      </c>
      <c r="G402" s="33"/>
      <c r="H402" s="30">
        <v>39.200000000000003</v>
      </c>
      <c r="I402" s="34">
        <v>3.7835999999999999</v>
      </c>
      <c r="J402" s="35">
        <v>0.15891</v>
      </c>
      <c r="L402" s="30">
        <v>39.200000000000003</v>
      </c>
      <c r="M402" s="172">
        <v>6.9020000000000001</v>
      </c>
      <c r="N402" s="173">
        <v>0.14488999999999999</v>
      </c>
      <c r="P402" s="30">
        <v>39.200000000000003</v>
      </c>
      <c r="Q402" s="172">
        <v>3.4508999999999999</v>
      </c>
      <c r="R402" s="173">
        <v>0.14494000000000001</v>
      </c>
      <c r="T402" s="30">
        <v>39.200000000000003</v>
      </c>
      <c r="U402" s="172">
        <v>289.78000000000299</v>
      </c>
      <c r="V402" s="173">
        <v>6.8990000000000098</v>
      </c>
      <c r="X402" s="30">
        <v>39.200000000000003</v>
      </c>
      <c r="Y402" s="34">
        <v>3.0811999999999999</v>
      </c>
      <c r="Z402" s="35">
        <v>0.12941</v>
      </c>
      <c r="AA402" s="36"/>
      <c r="AB402" s="30">
        <v>39.200000000000003</v>
      </c>
      <c r="AC402" s="44">
        <v>324.55</v>
      </c>
      <c r="AD402" s="35">
        <v>7.7270000000000003</v>
      </c>
      <c r="AE402" s="36"/>
      <c r="AF402" s="30">
        <v>39.200000000000003</v>
      </c>
      <c r="AG402" s="34">
        <v>3.1305999999999998</v>
      </c>
      <c r="AH402" s="35">
        <v>0.13149</v>
      </c>
      <c r="AI402" s="35"/>
      <c r="AJ402" s="35">
        <v>0.12658</v>
      </c>
      <c r="AK402" s="998">
        <v>45.8</v>
      </c>
      <c r="AM402" s="30">
        <v>39.200000000000003</v>
      </c>
      <c r="AN402" s="34">
        <v>1.0964</v>
      </c>
      <c r="AO402" s="35">
        <v>1.228</v>
      </c>
      <c r="AQ402" s="197">
        <v>1.042</v>
      </c>
      <c r="AR402" s="200">
        <v>4.3</v>
      </c>
      <c r="AS402" s="199">
        <v>1041.3</v>
      </c>
      <c r="AZ402" s="197">
        <v>1.042</v>
      </c>
      <c r="BA402" s="198">
        <v>8.6783999999999999</v>
      </c>
      <c r="BB402" s="199">
        <v>0.11523</v>
      </c>
      <c r="BD402" s="197">
        <v>1.042</v>
      </c>
      <c r="BE402" s="198">
        <v>4.3391999999999999</v>
      </c>
      <c r="BF402" s="199">
        <v>0.18225</v>
      </c>
      <c r="BH402" s="197">
        <v>1.042</v>
      </c>
      <c r="BI402" s="198">
        <v>230.46</v>
      </c>
      <c r="BJ402" s="199">
        <v>5.4870000000000001</v>
      </c>
      <c r="BL402" s="197">
        <v>1.042</v>
      </c>
      <c r="BM402" s="198">
        <v>3.8742999999999999</v>
      </c>
      <c r="BN402" s="199">
        <v>0.16272</v>
      </c>
      <c r="BP402" s="197">
        <v>1.042</v>
      </c>
      <c r="BQ402" s="200">
        <v>258.11</v>
      </c>
      <c r="BR402" s="199">
        <v>6.1459999999999999</v>
      </c>
      <c r="BT402" s="197">
        <v>1.042</v>
      </c>
      <c r="BU402" s="201">
        <v>0.87209999999999999</v>
      </c>
      <c r="BV402" s="202">
        <v>0.97670000000000001</v>
      </c>
      <c r="BX402" s="37">
        <v>1042</v>
      </c>
      <c r="BY402" s="38">
        <v>1.0427</v>
      </c>
      <c r="BZ402" s="39">
        <v>4.21</v>
      </c>
      <c r="CA402" s="33"/>
      <c r="CB402" s="37">
        <v>1042</v>
      </c>
      <c r="CC402" s="38">
        <v>0.15892999999999999</v>
      </c>
      <c r="CD402" s="42">
        <v>6.2919999999999998</v>
      </c>
      <c r="CE402" s="33"/>
      <c r="CF402" s="33"/>
      <c r="CG402" s="33"/>
      <c r="CH402" s="33"/>
      <c r="CI402" s="33"/>
      <c r="CJ402" s="33"/>
      <c r="CK402" s="33"/>
      <c r="CL402" s="40">
        <v>1042</v>
      </c>
      <c r="CM402" s="43">
        <v>1040.9000000000001</v>
      </c>
      <c r="CN402" s="41">
        <v>0.9607</v>
      </c>
      <c r="CO402" s="33"/>
      <c r="CP402" s="40">
        <v>1042</v>
      </c>
      <c r="CQ402" s="34">
        <v>1.1474</v>
      </c>
      <c r="CR402" s="41">
        <v>1.0245</v>
      </c>
      <c r="CS402" s="33"/>
      <c r="CT402" s="40">
        <v>1042</v>
      </c>
      <c r="CU402" s="44">
        <v>253.87</v>
      </c>
      <c r="CV402" s="42">
        <v>6.0449999999999999</v>
      </c>
    </row>
    <row r="403" spans="4:100">
      <c r="D403" s="30">
        <v>39.299999999999997</v>
      </c>
      <c r="E403" s="31">
        <v>0.82850000000000001</v>
      </c>
      <c r="F403" s="32">
        <v>828</v>
      </c>
      <c r="G403" s="33"/>
      <c r="H403" s="30">
        <v>39.299999999999997</v>
      </c>
      <c r="I403" s="34">
        <v>3.7835999999999999</v>
      </c>
      <c r="J403" s="35">
        <v>0.15891</v>
      </c>
      <c r="L403" s="30">
        <v>39.299999999999997</v>
      </c>
      <c r="M403" s="172">
        <v>6.8979999999999997</v>
      </c>
      <c r="N403" s="173">
        <v>0.14496999999999999</v>
      </c>
      <c r="P403" s="30">
        <v>39.299999999999997</v>
      </c>
      <c r="Q403" s="172">
        <v>3.4489000000000001</v>
      </c>
      <c r="R403" s="173">
        <v>0.14485000000000001</v>
      </c>
      <c r="T403" s="30">
        <v>39.299999999999997</v>
      </c>
      <c r="U403" s="172">
        <v>289.950000000003</v>
      </c>
      <c r="V403" s="173">
        <v>6.9039999999999999</v>
      </c>
      <c r="X403" s="30">
        <v>39.299999999999997</v>
      </c>
      <c r="Y403" s="34">
        <v>3.0794000000000001</v>
      </c>
      <c r="Z403" s="35">
        <v>0.12933</v>
      </c>
      <c r="AA403" s="36"/>
      <c r="AB403" s="30">
        <v>39.299999999999997</v>
      </c>
      <c r="AC403" s="44">
        <v>324.74</v>
      </c>
      <c r="AD403" s="35">
        <v>7.7320000000000002</v>
      </c>
      <c r="AE403" s="36"/>
      <c r="AF403" s="30">
        <v>39.299999999999997</v>
      </c>
      <c r="AG403" s="34">
        <v>3.1288</v>
      </c>
      <c r="AH403" s="35">
        <v>0.13141</v>
      </c>
      <c r="AI403" s="35"/>
      <c r="AJ403" s="35">
        <v>0.12665999999999999</v>
      </c>
      <c r="AK403" s="998">
        <v>45.7</v>
      </c>
      <c r="AM403" s="30">
        <v>39.299999999999997</v>
      </c>
      <c r="AN403" s="34">
        <v>1.097</v>
      </c>
      <c r="AO403" s="35">
        <v>1.2286999999999999</v>
      </c>
      <c r="AQ403" s="197">
        <v>1.0429999999999999</v>
      </c>
      <c r="AR403" s="200">
        <v>4.17</v>
      </c>
      <c r="AS403" s="199">
        <v>1042.3</v>
      </c>
      <c r="AZ403" s="197">
        <v>1.0429999999999999</v>
      </c>
      <c r="BA403" s="198">
        <v>8.6867999999999999</v>
      </c>
      <c r="BB403" s="199">
        <v>0.11512</v>
      </c>
      <c r="BD403" s="197">
        <v>1.0429999999999999</v>
      </c>
      <c r="BE403" s="198">
        <v>4.3433999999999999</v>
      </c>
      <c r="BF403" s="199">
        <v>0.18242</v>
      </c>
      <c r="BH403" s="197">
        <v>1.0429999999999999</v>
      </c>
      <c r="BI403" s="198">
        <v>230.24</v>
      </c>
      <c r="BJ403" s="199">
        <v>5.4820000000000002</v>
      </c>
      <c r="BL403" s="197">
        <v>1.0429999999999999</v>
      </c>
      <c r="BM403" s="198">
        <v>3.8780000000000001</v>
      </c>
      <c r="BN403" s="199">
        <v>0.16288</v>
      </c>
      <c r="BP403" s="197">
        <v>1.0429999999999999</v>
      </c>
      <c r="BQ403" s="200">
        <v>257.86</v>
      </c>
      <c r="BR403" s="199">
        <v>6.14</v>
      </c>
      <c r="BT403" s="197">
        <v>1.0429999999999999</v>
      </c>
      <c r="BU403" s="201">
        <v>0.87119999999999997</v>
      </c>
      <c r="BV403" s="202">
        <v>0.9758</v>
      </c>
      <c r="BX403" s="37">
        <v>1043</v>
      </c>
      <c r="BY403" s="38">
        <v>1.0437000000000001</v>
      </c>
      <c r="BZ403" s="39">
        <v>4.08</v>
      </c>
      <c r="CA403" s="33"/>
      <c r="CB403" s="37">
        <v>1043</v>
      </c>
      <c r="CC403" s="38">
        <v>0.15892999999999999</v>
      </c>
      <c r="CD403" s="42">
        <v>6.2919999999999998</v>
      </c>
      <c r="CE403" s="33"/>
      <c r="CF403" s="33"/>
      <c r="CG403" s="33"/>
      <c r="CH403" s="33"/>
      <c r="CI403" s="33"/>
      <c r="CJ403" s="33"/>
      <c r="CK403" s="33"/>
      <c r="CL403" s="40">
        <v>1043</v>
      </c>
      <c r="CM403" s="43">
        <v>1041.9000000000001</v>
      </c>
      <c r="CN403" s="41">
        <v>0.95979999999999999</v>
      </c>
      <c r="CO403" s="33"/>
      <c r="CP403" s="40">
        <v>1043</v>
      </c>
      <c r="CQ403" s="34">
        <v>1.1485000000000001</v>
      </c>
      <c r="CR403" s="41">
        <v>1.0255000000000001</v>
      </c>
      <c r="CS403" s="33"/>
      <c r="CT403" s="40">
        <v>1043</v>
      </c>
      <c r="CU403" s="44">
        <v>253.63</v>
      </c>
      <c r="CV403" s="42">
        <v>6.0389999999999997</v>
      </c>
    </row>
    <row r="404" spans="4:100">
      <c r="D404" s="30">
        <v>39.4</v>
      </c>
      <c r="E404" s="31">
        <v>0.82799999999999996</v>
      </c>
      <c r="F404" s="32">
        <v>827.6</v>
      </c>
      <c r="G404" s="33"/>
      <c r="H404" s="30">
        <v>39.4</v>
      </c>
      <c r="I404" s="34">
        <v>3.7835999999999999</v>
      </c>
      <c r="J404" s="35">
        <v>0.15891</v>
      </c>
      <c r="L404" s="30">
        <v>39.4</v>
      </c>
      <c r="M404" s="172">
        <v>6.8940000000000001</v>
      </c>
      <c r="N404" s="173">
        <v>0.14505999999999999</v>
      </c>
      <c r="P404" s="30">
        <v>39.4</v>
      </c>
      <c r="Q404" s="172">
        <v>3.4468999999999999</v>
      </c>
      <c r="R404" s="173">
        <v>0.14477000000000001</v>
      </c>
      <c r="T404" s="30">
        <v>39.4</v>
      </c>
      <c r="U404" s="172">
        <v>290.12000000000302</v>
      </c>
      <c r="V404" s="173">
        <v>6.9080000000000004</v>
      </c>
      <c r="X404" s="30">
        <v>39.4</v>
      </c>
      <c r="Y404" s="34">
        <v>3.0775999999999999</v>
      </c>
      <c r="Z404" s="35">
        <v>0.12926000000000001</v>
      </c>
      <c r="AA404" s="36"/>
      <c r="AB404" s="30">
        <v>39.4</v>
      </c>
      <c r="AC404" s="44">
        <v>324.93</v>
      </c>
      <c r="AD404" s="35">
        <v>7.7359999999999998</v>
      </c>
      <c r="AE404" s="36"/>
      <c r="AF404" s="30">
        <v>39.4</v>
      </c>
      <c r="AG404" s="34">
        <v>3.1269999999999998</v>
      </c>
      <c r="AH404" s="35">
        <v>0.13133</v>
      </c>
      <c r="AI404" s="35"/>
      <c r="AJ404" s="35">
        <v>0.12673000000000001</v>
      </c>
      <c r="AK404" s="998">
        <v>45.6</v>
      </c>
      <c r="AM404" s="30">
        <v>39.4</v>
      </c>
      <c r="AN404" s="34">
        <v>1.0976999999999999</v>
      </c>
      <c r="AO404" s="35">
        <v>1.2294</v>
      </c>
      <c r="AQ404" s="197">
        <v>1.044</v>
      </c>
      <c r="AR404" s="200">
        <v>4.04</v>
      </c>
      <c r="AS404" s="199">
        <v>1043.3</v>
      </c>
      <c r="AZ404" s="197">
        <v>1.044</v>
      </c>
      <c r="BA404" s="198">
        <v>8.6951000000000001</v>
      </c>
      <c r="BB404" s="199">
        <v>0.11501</v>
      </c>
      <c r="BD404" s="197">
        <v>1.044</v>
      </c>
      <c r="BE404" s="198">
        <v>4.3475000000000001</v>
      </c>
      <c r="BF404" s="199">
        <v>0.18260000000000001</v>
      </c>
      <c r="BH404" s="197">
        <v>1.044</v>
      </c>
      <c r="BI404" s="198">
        <v>230.01</v>
      </c>
      <c r="BJ404" s="199">
        <v>5.4770000000000003</v>
      </c>
      <c r="BL404" s="197">
        <v>1.044</v>
      </c>
      <c r="BM404" s="198">
        <v>3.8816999999999999</v>
      </c>
      <c r="BN404" s="199">
        <v>0.16303000000000001</v>
      </c>
      <c r="BP404" s="197">
        <v>1.044</v>
      </c>
      <c r="BQ404" s="200">
        <v>257.62</v>
      </c>
      <c r="BR404" s="199">
        <v>6.1340000000000003</v>
      </c>
      <c r="BT404" s="197">
        <v>1.044</v>
      </c>
      <c r="BU404" s="201">
        <v>0.87039999999999995</v>
      </c>
      <c r="BV404" s="202">
        <v>0.9748</v>
      </c>
      <c r="BX404" s="37">
        <v>1044</v>
      </c>
      <c r="BY404" s="38">
        <v>1.0447</v>
      </c>
      <c r="BZ404" s="39">
        <v>3.95</v>
      </c>
      <c r="CA404" s="33"/>
      <c r="CB404" s="37">
        <v>1044</v>
      </c>
      <c r="CC404" s="38">
        <v>0.15892999999999999</v>
      </c>
      <c r="CD404" s="42">
        <v>6.2919999999999998</v>
      </c>
      <c r="CE404" s="33"/>
      <c r="CF404" s="33"/>
      <c r="CG404" s="33"/>
      <c r="CH404" s="33"/>
      <c r="CI404" s="33"/>
      <c r="CJ404" s="33"/>
      <c r="CK404" s="33"/>
      <c r="CL404" s="40">
        <v>1044</v>
      </c>
      <c r="CM404" s="43">
        <v>1042.9000000000001</v>
      </c>
      <c r="CN404" s="41">
        <v>0.95879999999999999</v>
      </c>
      <c r="CO404" s="33"/>
      <c r="CP404" s="40">
        <v>1044</v>
      </c>
      <c r="CQ404" s="34">
        <v>1.1496</v>
      </c>
      <c r="CR404" s="41">
        <v>1.0265</v>
      </c>
      <c r="CS404" s="33"/>
      <c r="CT404" s="40">
        <v>1044</v>
      </c>
      <c r="CU404" s="44">
        <v>253.39</v>
      </c>
      <c r="CV404" s="42">
        <v>6.0330000000000004</v>
      </c>
    </row>
    <row r="405" spans="4:100">
      <c r="D405" s="30">
        <v>39.5</v>
      </c>
      <c r="E405" s="31">
        <v>0.82750000000000001</v>
      </c>
      <c r="F405" s="32">
        <v>827.13</v>
      </c>
      <c r="G405" s="33"/>
      <c r="H405" s="30">
        <v>39.5</v>
      </c>
      <c r="I405" s="34">
        <v>3.7835999999999999</v>
      </c>
      <c r="J405" s="35">
        <v>0.15891</v>
      </c>
      <c r="L405" s="30">
        <v>39.5</v>
      </c>
      <c r="M405" s="172">
        <v>6.89</v>
      </c>
      <c r="N405" s="173">
        <v>0.14513999999999999</v>
      </c>
      <c r="P405" s="30">
        <v>39.5</v>
      </c>
      <c r="Q405" s="172">
        <v>3.4449000000000001</v>
      </c>
      <c r="R405" s="173">
        <v>0.14468</v>
      </c>
      <c r="T405" s="30">
        <v>39.5</v>
      </c>
      <c r="U405" s="172">
        <v>290.29000000000298</v>
      </c>
      <c r="V405" s="173">
        <v>6.9119999999999999</v>
      </c>
      <c r="X405" s="30">
        <v>39.5</v>
      </c>
      <c r="Y405" s="34">
        <v>3.0758000000000001</v>
      </c>
      <c r="Z405" s="35">
        <v>0.12917999999999999</v>
      </c>
      <c r="AA405" s="36"/>
      <c r="AB405" s="30">
        <v>39.5</v>
      </c>
      <c r="AC405" s="44">
        <v>325.12</v>
      </c>
      <c r="AD405" s="35">
        <v>7.7409999999999997</v>
      </c>
      <c r="AE405" s="36"/>
      <c r="AF405" s="30">
        <v>39.5</v>
      </c>
      <c r="AG405" s="34">
        <v>3.1251000000000002</v>
      </c>
      <c r="AH405" s="35">
        <v>0.13125999999999999</v>
      </c>
      <c r="AI405" s="35"/>
      <c r="AJ405" s="35">
        <v>0.1268</v>
      </c>
      <c r="AK405" s="998">
        <v>45.5</v>
      </c>
      <c r="AM405" s="30">
        <v>39.5</v>
      </c>
      <c r="AN405" s="34">
        <v>1.0983000000000001</v>
      </c>
      <c r="AO405" s="35">
        <v>1.2301</v>
      </c>
      <c r="AQ405" s="197">
        <v>1.0449999999999999</v>
      </c>
      <c r="AR405" s="200">
        <v>3.91</v>
      </c>
      <c r="AS405" s="199">
        <v>1044.3</v>
      </c>
      <c r="AZ405" s="197">
        <v>1.0449999999999999</v>
      </c>
      <c r="BA405" s="198">
        <v>8.7034000000000002</v>
      </c>
      <c r="BB405" s="199">
        <v>0.1149</v>
      </c>
      <c r="BD405" s="197">
        <v>1.0449999999999999</v>
      </c>
      <c r="BE405" s="198">
        <v>4.3517000000000001</v>
      </c>
      <c r="BF405" s="199">
        <v>0.18276999999999999</v>
      </c>
      <c r="BH405" s="197">
        <v>1.0449999999999999</v>
      </c>
      <c r="BI405" s="198">
        <v>229.79</v>
      </c>
      <c r="BJ405" s="199">
        <v>5.4710000000000001</v>
      </c>
      <c r="BL405" s="197">
        <v>1.0449999999999999</v>
      </c>
      <c r="BM405" s="198">
        <v>3.8855</v>
      </c>
      <c r="BN405" s="199">
        <v>0.16319</v>
      </c>
      <c r="BP405" s="197">
        <v>1.0449999999999999</v>
      </c>
      <c r="BQ405" s="200">
        <v>257.37</v>
      </c>
      <c r="BR405" s="199">
        <v>6.1280000000000001</v>
      </c>
      <c r="BT405" s="197">
        <v>1.0449999999999999</v>
      </c>
      <c r="BU405" s="201">
        <v>0.86960000000000004</v>
      </c>
      <c r="BV405" s="202">
        <v>0.97389999999999999</v>
      </c>
      <c r="BX405" s="37">
        <v>1045</v>
      </c>
      <c r="BY405" s="38">
        <v>1.0457000000000001</v>
      </c>
      <c r="BZ405" s="39">
        <v>3.82</v>
      </c>
      <c r="CA405" s="33"/>
      <c r="CB405" s="37">
        <v>1045</v>
      </c>
      <c r="CC405" s="38">
        <v>0.15892999999999999</v>
      </c>
      <c r="CD405" s="42">
        <v>6.2919999999999998</v>
      </c>
      <c r="CE405" s="33"/>
      <c r="CF405" s="33"/>
      <c r="CG405" s="33"/>
      <c r="CH405" s="33"/>
      <c r="CI405" s="33"/>
      <c r="CJ405" s="33"/>
      <c r="CK405" s="33"/>
      <c r="CL405" s="40">
        <v>1045</v>
      </c>
      <c r="CM405" s="43">
        <v>1043.9000000000001</v>
      </c>
      <c r="CN405" s="41">
        <v>0.95789999999999997</v>
      </c>
      <c r="CO405" s="33"/>
      <c r="CP405" s="40">
        <v>1045</v>
      </c>
      <c r="CQ405" s="34">
        <v>1.1507000000000001</v>
      </c>
      <c r="CR405" s="41">
        <v>1.0274000000000001</v>
      </c>
      <c r="CS405" s="33"/>
      <c r="CT405" s="40">
        <v>1045</v>
      </c>
      <c r="CU405" s="44">
        <v>253.14</v>
      </c>
      <c r="CV405" s="42">
        <v>6.0270000000000001</v>
      </c>
    </row>
    <row r="406" spans="4:100">
      <c r="D406" s="30">
        <v>39.6</v>
      </c>
      <c r="E406" s="31">
        <v>0.82699999999999996</v>
      </c>
      <c r="F406" s="32">
        <v>826.6</v>
      </c>
      <c r="G406" s="33"/>
      <c r="H406" s="30">
        <v>39.6</v>
      </c>
      <c r="I406" s="34">
        <v>3.7835999999999999</v>
      </c>
      <c r="J406" s="35">
        <v>0.15891</v>
      </c>
      <c r="L406" s="30">
        <v>39.6</v>
      </c>
      <c r="M406" s="172">
        <v>6.8860000000000001</v>
      </c>
      <c r="N406" s="173">
        <v>0.14523</v>
      </c>
      <c r="P406" s="30">
        <v>39.6</v>
      </c>
      <c r="Q406" s="172">
        <v>3.4428000000000001</v>
      </c>
      <c r="R406" s="173">
        <v>0.14460000000000001</v>
      </c>
      <c r="T406" s="30">
        <v>39.6</v>
      </c>
      <c r="U406" s="172">
        <v>290.46000000000299</v>
      </c>
      <c r="V406" s="173">
        <v>6.9160000000000004</v>
      </c>
      <c r="X406" s="30">
        <v>39.6</v>
      </c>
      <c r="Y406" s="34">
        <v>3.0739999999999998</v>
      </c>
      <c r="Z406" s="35">
        <v>0.12911</v>
      </c>
      <c r="AA406" s="36"/>
      <c r="AB406" s="30">
        <v>39.6</v>
      </c>
      <c r="AC406" s="44">
        <v>325.31</v>
      </c>
      <c r="AD406" s="35">
        <v>7.7460000000000004</v>
      </c>
      <c r="AE406" s="36"/>
      <c r="AF406" s="30">
        <v>39.6</v>
      </c>
      <c r="AG406" s="34">
        <v>3.1233</v>
      </c>
      <c r="AH406" s="35">
        <v>0.13117999999999999</v>
      </c>
      <c r="AI406" s="35"/>
      <c r="AJ406" s="35">
        <v>0.12687000000000001</v>
      </c>
      <c r="AK406" s="998">
        <v>45.4</v>
      </c>
      <c r="AM406" s="30">
        <v>39.6</v>
      </c>
      <c r="AN406" s="34">
        <v>1.099</v>
      </c>
      <c r="AO406" s="35">
        <v>1.2307999999999999</v>
      </c>
      <c r="AQ406" s="197">
        <v>1.046</v>
      </c>
      <c r="AR406" s="200">
        <v>3.78</v>
      </c>
      <c r="AS406" s="199">
        <v>1045.3</v>
      </c>
      <c r="AZ406" s="197">
        <v>1.046</v>
      </c>
      <c r="BA406" s="198">
        <v>8.7118000000000002</v>
      </c>
      <c r="BB406" s="199">
        <v>0.11479</v>
      </c>
      <c r="BD406" s="197">
        <v>1.046</v>
      </c>
      <c r="BE406" s="198">
        <v>4.3559000000000001</v>
      </c>
      <c r="BF406" s="199">
        <v>0.18295</v>
      </c>
      <c r="BH406" s="197">
        <v>1.046</v>
      </c>
      <c r="BI406" s="198">
        <v>229.57</v>
      </c>
      <c r="BJ406" s="199">
        <v>5.4660000000000002</v>
      </c>
      <c r="BL406" s="197">
        <v>1.046</v>
      </c>
      <c r="BM406" s="198">
        <v>3.8892000000000002</v>
      </c>
      <c r="BN406" s="199">
        <v>0.16335</v>
      </c>
      <c r="BP406" s="197">
        <v>1.046</v>
      </c>
      <c r="BQ406" s="200">
        <v>257.12</v>
      </c>
      <c r="BR406" s="199">
        <v>6.1219999999999999</v>
      </c>
      <c r="BT406" s="197">
        <v>1.046</v>
      </c>
      <c r="BU406" s="201">
        <v>0.86870000000000003</v>
      </c>
      <c r="BV406" s="202">
        <v>0.97299999999999998</v>
      </c>
      <c r="BX406" s="37">
        <v>1046</v>
      </c>
      <c r="BY406" s="38">
        <v>1.0467</v>
      </c>
      <c r="BZ406" s="39">
        <v>3.69</v>
      </c>
      <c r="CA406" s="33"/>
      <c r="CB406" s="37">
        <v>1046</v>
      </c>
      <c r="CC406" s="38">
        <v>0.15892999999999999</v>
      </c>
      <c r="CD406" s="42">
        <v>6.2919999999999998</v>
      </c>
      <c r="CE406" s="33"/>
      <c r="CF406" s="33"/>
      <c r="CG406" s="33"/>
      <c r="CH406" s="33"/>
      <c r="CI406" s="33"/>
      <c r="CJ406" s="33"/>
      <c r="CK406" s="33"/>
      <c r="CL406" s="40">
        <v>1046</v>
      </c>
      <c r="CM406" s="43">
        <v>1044.9000000000001</v>
      </c>
      <c r="CN406" s="41">
        <v>0.95699999999999996</v>
      </c>
      <c r="CO406" s="33"/>
      <c r="CP406" s="40">
        <v>1046</v>
      </c>
      <c r="CQ406" s="34">
        <v>1.1517999999999999</v>
      </c>
      <c r="CR406" s="41">
        <v>1.0284</v>
      </c>
      <c r="CS406" s="33"/>
      <c r="CT406" s="40">
        <v>1046</v>
      </c>
      <c r="CU406" s="44">
        <v>252.9</v>
      </c>
      <c r="CV406" s="42">
        <v>6.0209999999999999</v>
      </c>
    </row>
    <row r="407" spans="4:100">
      <c r="D407" s="30">
        <v>39.700000000000003</v>
      </c>
      <c r="E407" s="31">
        <v>0.82650000000000001</v>
      </c>
      <c r="F407" s="32">
        <v>826.1</v>
      </c>
      <c r="G407" s="33"/>
      <c r="H407" s="30">
        <v>39.700000000000003</v>
      </c>
      <c r="I407" s="34">
        <v>3.7835999999999999</v>
      </c>
      <c r="J407" s="35">
        <v>0.15891</v>
      </c>
      <c r="L407" s="30">
        <v>39.700000000000003</v>
      </c>
      <c r="M407" s="172">
        <v>6.8819999999999997</v>
      </c>
      <c r="N407" s="173">
        <v>0.14530999999999999</v>
      </c>
      <c r="P407" s="30">
        <v>39.700000000000003</v>
      </c>
      <c r="Q407" s="172">
        <v>3.4407999999999999</v>
      </c>
      <c r="R407" s="173">
        <v>0.14451</v>
      </c>
      <c r="T407" s="30">
        <v>39.700000000000003</v>
      </c>
      <c r="U407" s="172">
        <v>290.63000000000301</v>
      </c>
      <c r="V407" s="173">
        <v>6.92</v>
      </c>
      <c r="X407" s="30">
        <v>39.700000000000003</v>
      </c>
      <c r="Y407" s="34">
        <v>3.0722</v>
      </c>
      <c r="Z407" s="35">
        <v>0.12903000000000001</v>
      </c>
      <c r="AA407" s="36"/>
      <c r="AB407" s="30">
        <v>39.700000000000003</v>
      </c>
      <c r="AC407" s="44">
        <v>325.5</v>
      </c>
      <c r="AD407" s="35">
        <v>7.75</v>
      </c>
      <c r="AE407" s="36"/>
      <c r="AF407" s="30">
        <v>39.700000000000003</v>
      </c>
      <c r="AG407" s="34">
        <v>3.1215000000000002</v>
      </c>
      <c r="AH407" s="35">
        <v>0.13109999999999999</v>
      </c>
      <c r="AI407" s="35"/>
      <c r="AJ407" s="35">
        <v>0.12694</v>
      </c>
      <c r="AK407" s="998">
        <v>45.3</v>
      </c>
      <c r="AM407" s="30">
        <v>39.700000000000003</v>
      </c>
      <c r="AN407" s="34">
        <v>1.0995999999999999</v>
      </c>
      <c r="AO407" s="35">
        <v>1.2316</v>
      </c>
      <c r="AQ407" s="197">
        <v>1.0469999999999999</v>
      </c>
      <c r="AR407" s="200">
        <v>3.65</v>
      </c>
      <c r="AS407" s="199">
        <v>1046.3</v>
      </c>
      <c r="AZ407" s="197">
        <v>1.0469999999999999</v>
      </c>
      <c r="BA407" s="198">
        <v>8.7201000000000004</v>
      </c>
      <c r="BB407" s="199">
        <v>0.11468</v>
      </c>
      <c r="BD407" s="197">
        <v>1.0469999999999999</v>
      </c>
      <c r="BE407" s="198">
        <v>4.3601000000000001</v>
      </c>
      <c r="BF407" s="199">
        <v>0.18312</v>
      </c>
      <c r="BH407" s="197">
        <v>1.0469999999999999</v>
      </c>
      <c r="BI407" s="198">
        <v>229.35</v>
      </c>
      <c r="BJ407" s="199">
        <v>5.4610000000000003</v>
      </c>
      <c r="BL407" s="197">
        <v>1.0469999999999999</v>
      </c>
      <c r="BM407" s="198">
        <v>3.8929</v>
      </c>
      <c r="BN407" s="199">
        <v>0.16350000000000001</v>
      </c>
      <c r="BP407" s="197">
        <v>1.0469999999999999</v>
      </c>
      <c r="BQ407" s="200">
        <v>256.88</v>
      </c>
      <c r="BR407" s="199">
        <v>6.1159999999999997</v>
      </c>
      <c r="BT407" s="197">
        <v>1.0469999999999999</v>
      </c>
      <c r="BU407" s="201">
        <v>0.8679</v>
      </c>
      <c r="BV407" s="202">
        <v>0.97199999999999998</v>
      </c>
      <c r="BX407" s="37">
        <v>1047</v>
      </c>
      <c r="BY407" s="38">
        <v>1.0477000000000001</v>
      </c>
      <c r="BZ407" s="39">
        <v>3.56</v>
      </c>
      <c r="CA407" s="33"/>
      <c r="CB407" s="37">
        <v>1047</v>
      </c>
      <c r="CC407" s="38">
        <v>0.15892999999999999</v>
      </c>
      <c r="CD407" s="42">
        <v>6.2919999999999998</v>
      </c>
      <c r="CE407" s="33"/>
      <c r="CF407" s="33"/>
      <c r="CG407" s="33"/>
      <c r="CH407" s="33"/>
      <c r="CI407" s="33"/>
      <c r="CJ407" s="33"/>
      <c r="CK407" s="33"/>
      <c r="CL407" s="40">
        <v>1047</v>
      </c>
      <c r="CM407" s="43">
        <v>1045.9000000000001</v>
      </c>
      <c r="CN407" s="41">
        <v>0.95609999999999995</v>
      </c>
      <c r="CO407" s="33"/>
      <c r="CP407" s="40">
        <v>1047</v>
      </c>
      <c r="CQ407" s="34">
        <v>1.1529</v>
      </c>
      <c r="CR407" s="41">
        <v>1.0294000000000001</v>
      </c>
      <c r="CS407" s="33"/>
      <c r="CT407" s="40">
        <v>1047</v>
      </c>
      <c r="CU407" s="44">
        <v>252.66</v>
      </c>
      <c r="CV407" s="42">
        <v>6.016</v>
      </c>
    </row>
    <row r="408" spans="4:100">
      <c r="D408" s="30">
        <v>39.799999999999997</v>
      </c>
      <c r="E408" s="31">
        <v>0.82599999999999996</v>
      </c>
      <c r="F408" s="32">
        <v>825.6</v>
      </c>
      <c r="G408" s="33"/>
      <c r="H408" s="30">
        <v>39.799999999999997</v>
      </c>
      <c r="I408" s="34">
        <v>3.7835999999999999</v>
      </c>
      <c r="J408" s="35">
        <v>0.15891</v>
      </c>
      <c r="L408" s="30">
        <v>39.799999999999997</v>
      </c>
      <c r="M408" s="172">
        <v>6.8780000000000001</v>
      </c>
      <c r="N408" s="173">
        <v>0.1454</v>
      </c>
      <c r="P408" s="30">
        <v>39.799999999999997</v>
      </c>
      <c r="Q408" s="172">
        <v>3.4388000000000001</v>
      </c>
      <c r="R408" s="173">
        <v>0.14443</v>
      </c>
      <c r="T408" s="30">
        <v>39.799999999999997</v>
      </c>
      <c r="U408" s="172">
        <v>290.80000000000302</v>
      </c>
      <c r="V408" s="173">
        <v>6.9240000000000004</v>
      </c>
      <c r="X408" s="30">
        <v>39.799999999999997</v>
      </c>
      <c r="Y408" s="34">
        <v>3.0703999999999998</v>
      </c>
      <c r="Z408" s="35">
        <v>0.12895999999999999</v>
      </c>
      <c r="AA408" s="36"/>
      <c r="AB408" s="30">
        <v>39.799999999999997</v>
      </c>
      <c r="AC408" s="44">
        <v>325.69</v>
      </c>
      <c r="AD408" s="35">
        <v>7.7549999999999999</v>
      </c>
      <c r="AE408" s="36"/>
      <c r="AF408" s="30">
        <v>39.799999999999997</v>
      </c>
      <c r="AG408" s="34">
        <v>3.1196000000000002</v>
      </c>
      <c r="AH408" s="35">
        <v>0.13103000000000001</v>
      </c>
      <c r="AI408" s="35"/>
      <c r="AJ408" s="35">
        <v>0.12701000000000001</v>
      </c>
      <c r="AK408" s="998">
        <v>45.2</v>
      </c>
      <c r="AM408" s="30">
        <v>39.799999999999997</v>
      </c>
      <c r="AN408" s="34">
        <v>1.1003000000000001</v>
      </c>
      <c r="AO408" s="35">
        <v>1.2323</v>
      </c>
      <c r="AQ408" s="197">
        <v>1.048</v>
      </c>
      <c r="AR408" s="200">
        <v>3.52</v>
      </c>
      <c r="AS408" s="199">
        <v>1047.3</v>
      </c>
      <c r="AZ408" s="197">
        <v>1.048</v>
      </c>
      <c r="BA408" s="198">
        <v>8.7285000000000004</v>
      </c>
      <c r="BB408" s="199">
        <v>0.11457000000000001</v>
      </c>
      <c r="BD408" s="197">
        <v>1.048</v>
      </c>
      <c r="BE408" s="198">
        <v>4.3642000000000003</v>
      </c>
      <c r="BF408" s="199">
        <v>0.18329999999999999</v>
      </c>
      <c r="BH408" s="197">
        <v>1.048</v>
      </c>
      <c r="BI408" s="198">
        <v>229.14</v>
      </c>
      <c r="BJ408" s="199">
        <v>5.4560000000000004</v>
      </c>
      <c r="BL408" s="197">
        <v>1.048</v>
      </c>
      <c r="BM408" s="198">
        <v>3.8965999999999998</v>
      </c>
      <c r="BN408" s="199">
        <v>0.16366</v>
      </c>
      <c r="BP408" s="197">
        <v>1.048</v>
      </c>
      <c r="BQ408" s="200">
        <v>256.63</v>
      </c>
      <c r="BR408" s="199">
        <v>6.11</v>
      </c>
      <c r="BT408" s="197">
        <v>1.048</v>
      </c>
      <c r="BU408" s="201">
        <v>0.86709999999999998</v>
      </c>
      <c r="BV408" s="202">
        <v>0.97109999999999996</v>
      </c>
      <c r="BX408" s="37">
        <v>1048</v>
      </c>
      <c r="BY408" s="38">
        <v>1.0487</v>
      </c>
      <c r="BZ408" s="39">
        <v>3.43</v>
      </c>
      <c r="CA408" s="33"/>
      <c r="CB408" s="37">
        <v>1048</v>
      </c>
      <c r="CC408" s="38">
        <v>0.15892999999999999</v>
      </c>
      <c r="CD408" s="42">
        <v>6.2919999999999998</v>
      </c>
      <c r="CE408" s="33"/>
      <c r="CF408" s="33"/>
      <c r="CG408" s="33"/>
      <c r="CH408" s="33"/>
      <c r="CI408" s="33"/>
      <c r="CJ408" s="33"/>
      <c r="CK408" s="33"/>
      <c r="CL408" s="40">
        <v>1048</v>
      </c>
      <c r="CM408" s="43">
        <v>1046.9000000000001</v>
      </c>
      <c r="CN408" s="41">
        <v>0.95520000000000005</v>
      </c>
      <c r="CO408" s="33"/>
      <c r="CP408" s="40">
        <v>1048</v>
      </c>
      <c r="CQ408" s="34">
        <v>1.1540999999999999</v>
      </c>
      <c r="CR408" s="41">
        <v>1.0304</v>
      </c>
      <c r="CS408" s="33"/>
      <c r="CT408" s="40">
        <v>1048</v>
      </c>
      <c r="CU408" s="44">
        <v>252.42</v>
      </c>
      <c r="CV408" s="42">
        <v>6.01</v>
      </c>
    </row>
    <row r="409" spans="4:100">
      <c r="D409" s="30">
        <v>39.9</v>
      </c>
      <c r="E409" s="31">
        <v>0.8256</v>
      </c>
      <c r="F409" s="32">
        <v>825.1</v>
      </c>
      <c r="G409" s="33"/>
      <c r="H409" s="30">
        <v>39.9</v>
      </c>
      <c r="I409" s="34">
        <v>3.7835999999999999</v>
      </c>
      <c r="J409" s="35">
        <v>0.15891</v>
      </c>
      <c r="L409" s="30">
        <v>39.9</v>
      </c>
      <c r="M409" s="172">
        <v>6.8739999999999997</v>
      </c>
      <c r="N409" s="173">
        <v>0.14548</v>
      </c>
      <c r="P409" s="30">
        <v>39.9</v>
      </c>
      <c r="Q409" s="172">
        <v>3.4367999999999999</v>
      </c>
      <c r="R409" s="173">
        <v>0.14435000000000001</v>
      </c>
      <c r="T409" s="30">
        <v>39.9</v>
      </c>
      <c r="U409" s="172">
        <v>290.97000000000298</v>
      </c>
      <c r="V409" s="173">
        <v>6.9279999999999999</v>
      </c>
      <c r="X409" s="30">
        <v>39.9</v>
      </c>
      <c r="Y409" s="34">
        <v>3.0686</v>
      </c>
      <c r="Z409" s="35">
        <v>0.12887999999999999</v>
      </c>
      <c r="AA409" s="36"/>
      <c r="AB409" s="30">
        <v>39.9</v>
      </c>
      <c r="AC409" s="44">
        <v>325.88</v>
      </c>
      <c r="AD409" s="35">
        <v>7.7590000000000003</v>
      </c>
      <c r="AE409" s="36"/>
      <c r="AF409" s="30">
        <v>39.9</v>
      </c>
      <c r="AG409" s="34">
        <v>3.1177999999999999</v>
      </c>
      <c r="AH409" s="35">
        <v>0.13095000000000001</v>
      </c>
      <c r="AI409" s="35"/>
      <c r="AJ409" s="35">
        <v>0.12709000000000001</v>
      </c>
      <c r="AK409" s="998">
        <v>45.1</v>
      </c>
      <c r="AM409" s="30">
        <v>39.9</v>
      </c>
      <c r="AN409" s="34">
        <v>1.1009</v>
      </c>
      <c r="AO409" s="35">
        <v>1.2330000000000001</v>
      </c>
      <c r="AQ409" s="197">
        <v>1.0489999999999999</v>
      </c>
      <c r="AR409" s="200">
        <v>3.39</v>
      </c>
      <c r="AS409" s="199">
        <v>1048.3</v>
      </c>
      <c r="AZ409" s="197">
        <v>1.0489999999999999</v>
      </c>
      <c r="BA409" s="198">
        <v>8.7368000000000006</v>
      </c>
      <c r="BB409" s="199">
        <v>0.11446000000000001</v>
      </c>
      <c r="BD409" s="197">
        <v>1.0489999999999999</v>
      </c>
      <c r="BE409" s="198">
        <v>4.3684000000000003</v>
      </c>
      <c r="BF409" s="199">
        <v>0.18346999999999999</v>
      </c>
      <c r="BH409" s="197">
        <v>1.0489999999999999</v>
      </c>
      <c r="BI409" s="198">
        <v>228.92</v>
      </c>
      <c r="BJ409" s="199">
        <v>5.45</v>
      </c>
      <c r="BL409" s="197">
        <v>1.0489999999999999</v>
      </c>
      <c r="BM409" s="198">
        <v>3.9003999999999999</v>
      </c>
      <c r="BN409" s="199">
        <v>0.16381000000000001</v>
      </c>
      <c r="BP409" s="197">
        <v>1.0489999999999999</v>
      </c>
      <c r="BQ409" s="200">
        <v>256.39</v>
      </c>
      <c r="BR409" s="199">
        <v>6.1040000000000001</v>
      </c>
      <c r="BT409" s="197">
        <v>1.0489999999999999</v>
      </c>
      <c r="BU409" s="201">
        <v>0.86619999999999997</v>
      </c>
      <c r="BV409" s="202">
        <v>0.97019999999999995</v>
      </c>
      <c r="BX409" s="37">
        <v>1049</v>
      </c>
      <c r="BY409" s="38">
        <v>1.0497000000000001</v>
      </c>
      <c r="BZ409" s="39">
        <v>3.3</v>
      </c>
      <c r="CA409" s="33"/>
      <c r="CB409" s="37">
        <v>1049</v>
      </c>
      <c r="CC409" s="38">
        <v>0.15892999999999999</v>
      </c>
      <c r="CD409" s="42">
        <v>6.2919999999999998</v>
      </c>
      <c r="CE409" s="33"/>
      <c r="CF409" s="33"/>
      <c r="CG409" s="33"/>
      <c r="CH409" s="33"/>
      <c r="CI409" s="33"/>
      <c r="CJ409" s="33"/>
      <c r="CK409" s="33"/>
      <c r="CL409" s="40">
        <v>1049</v>
      </c>
      <c r="CM409" s="43">
        <v>1047.9000000000001</v>
      </c>
      <c r="CN409" s="41">
        <v>0.95430000000000004</v>
      </c>
      <c r="CO409" s="33"/>
      <c r="CP409" s="40">
        <v>1049</v>
      </c>
      <c r="CQ409" s="34">
        <v>1.1552</v>
      </c>
      <c r="CR409" s="41">
        <v>1.0314000000000001</v>
      </c>
      <c r="CS409" s="33"/>
      <c r="CT409" s="40">
        <v>1049</v>
      </c>
      <c r="CU409" s="44">
        <v>252.18</v>
      </c>
      <c r="CV409" s="42">
        <v>6.0039999999999996</v>
      </c>
    </row>
    <row r="410" spans="4:100">
      <c r="D410" s="30">
        <v>40</v>
      </c>
      <c r="E410" s="31">
        <v>0.82509999999999994</v>
      </c>
      <c r="F410" s="32">
        <v>824.7</v>
      </c>
      <c r="G410" s="33"/>
      <c r="H410" s="30">
        <v>40</v>
      </c>
      <c r="I410" s="34">
        <v>3.7835999999999999</v>
      </c>
      <c r="J410" s="35">
        <v>0.15891</v>
      </c>
      <c r="L410" s="30">
        <v>40</v>
      </c>
      <c r="M410" s="172">
        <v>6.87</v>
      </c>
      <c r="N410" s="173">
        <v>0.14557</v>
      </c>
      <c r="P410" s="30">
        <v>40</v>
      </c>
      <c r="Q410" s="172">
        <v>3.4348000000000001</v>
      </c>
      <c r="R410" s="173">
        <v>0.14426</v>
      </c>
      <c r="T410" s="30">
        <v>40</v>
      </c>
      <c r="U410" s="172">
        <v>291.140000000003</v>
      </c>
      <c r="V410" s="173">
        <v>6.9320000000000004</v>
      </c>
      <c r="X410" s="30">
        <v>40</v>
      </c>
      <c r="Y410" s="34">
        <v>3.0668000000000002</v>
      </c>
      <c r="Z410" s="35">
        <v>0.12881000000000001</v>
      </c>
      <c r="AA410" s="36"/>
      <c r="AB410" s="30">
        <v>40</v>
      </c>
      <c r="AC410" s="44">
        <v>326.07</v>
      </c>
      <c r="AD410" s="35">
        <v>7.7640000000000002</v>
      </c>
      <c r="AE410" s="36"/>
      <c r="AF410" s="30">
        <v>40</v>
      </c>
      <c r="AG410" s="34">
        <v>3.1160000000000001</v>
      </c>
      <c r="AH410" s="35">
        <v>0.13086999999999999</v>
      </c>
      <c r="AI410" s="35"/>
      <c r="AJ410" s="35">
        <v>0.12716</v>
      </c>
      <c r="AK410" s="998">
        <v>45</v>
      </c>
      <c r="AM410" s="30">
        <v>40</v>
      </c>
      <c r="AN410" s="34">
        <v>1.1014999999999999</v>
      </c>
      <c r="AO410" s="35">
        <v>1.2337</v>
      </c>
      <c r="AQ410" s="197">
        <v>1.05</v>
      </c>
      <c r="AR410" s="200">
        <v>3.26</v>
      </c>
      <c r="AS410" s="199">
        <v>1049.3</v>
      </c>
      <c r="AZ410" s="197">
        <v>1.05</v>
      </c>
      <c r="BA410" s="198">
        <v>8.7451000000000008</v>
      </c>
      <c r="BB410" s="199">
        <v>0.11434999999999999</v>
      </c>
      <c r="BD410" s="197">
        <v>1.05</v>
      </c>
      <c r="BE410" s="198">
        <v>4.3726000000000003</v>
      </c>
      <c r="BF410" s="199">
        <v>0.18365000000000001</v>
      </c>
      <c r="BH410" s="197">
        <v>1.05</v>
      </c>
      <c r="BI410" s="198">
        <v>228.7</v>
      </c>
      <c r="BJ410" s="199">
        <v>5.4450000000000003</v>
      </c>
      <c r="BL410" s="197">
        <v>1.05</v>
      </c>
      <c r="BM410" s="198">
        <v>3.9041000000000001</v>
      </c>
      <c r="BN410" s="199">
        <v>0.16397</v>
      </c>
      <c r="BP410" s="197">
        <v>1.05</v>
      </c>
      <c r="BQ410" s="200">
        <v>256.14</v>
      </c>
      <c r="BR410" s="199">
        <v>6.0990000000000002</v>
      </c>
      <c r="BT410" s="197">
        <v>1.05</v>
      </c>
      <c r="BU410" s="201">
        <v>0.86539999999999995</v>
      </c>
      <c r="BV410" s="202">
        <v>0.96930000000000005</v>
      </c>
      <c r="BX410" s="37">
        <v>1050</v>
      </c>
      <c r="BY410" s="38">
        <v>1.0507</v>
      </c>
      <c r="BZ410" s="39">
        <v>3.18</v>
      </c>
      <c r="CA410" s="33"/>
      <c r="CB410" s="37">
        <v>1050</v>
      </c>
      <c r="CC410" s="38">
        <v>0.15892999999999999</v>
      </c>
      <c r="CD410" s="42">
        <v>6.2919999999999998</v>
      </c>
      <c r="CE410" s="33"/>
      <c r="CF410" s="33"/>
      <c r="CG410" s="33"/>
      <c r="CH410" s="33"/>
      <c r="CI410" s="33"/>
      <c r="CJ410" s="33"/>
      <c r="CK410" s="33"/>
      <c r="CL410" s="40">
        <v>1050</v>
      </c>
      <c r="CM410" s="43">
        <v>1048.9000000000001</v>
      </c>
      <c r="CN410" s="41">
        <v>0.95330000000000004</v>
      </c>
      <c r="CO410" s="33"/>
      <c r="CP410" s="40">
        <v>1050</v>
      </c>
      <c r="CQ410" s="34">
        <v>1.1563000000000001</v>
      </c>
      <c r="CR410" s="41">
        <v>1.0324</v>
      </c>
      <c r="CS410" s="33"/>
      <c r="CT410" s="40">
        <v>1050</v>
      </c>
      <c r="CU410" s="44">
        <v>251.93</v>
      </c>
      <c r="CV410" s="42">
        <v>5.9980000000000002</v>
      </c>
    </row>
    <row r="411" spans="4:100">
      <c r="D411" s="30">
        <v>40.1</v>
      </c>
      <c r="E411" s="31">
        <v>0.8246</v>
      </c>
      <c r="F411" s="32">
        <v>824.2</v>
      </c>
      <c r="G411" s="33"/>
      <c r="H411" s="30">
        <v>40.1</v>
      </c>
      <c r="I411" s="34">
        <v>3.7835999999999999</v>
      </c>
      <c r="J411" s="35">
        <v>0.15891</v>
      </c>
      <c r="L411" s="30">
        <v>40.1</v>
      </c>
      <c r="M411" s="172">
        <v>6.8659999999999997</v>
      </c>
      <c r="N411" s="173">
        <v>0.14565</v>
      </c>
      <c r="P411" s="30">
        <v>40.1</v>
      </c>
      <c r="Q411" s="172">
        <v>3.4327999999999999</v>
      </c>
      <c r="R411" s="173">
        <v>0.14418</v>
      </c>
      <c r="T411" s="30">
        <v>40.1</v>
      </c>
      <c r="U411" s="172">
        <v>291.31000000000301</v>
      </c>
      <c r="V411" s="173">
        <v>6.9359999999999999</v>
      </c>
      <c r="X411" s="30">
        <v>40.1</v>
      </c>
      <c r="Y411" s="34">
        <v>3.0649999999999999</v>
      </c>
      <c r="Z411" s="35">
        <v>0.12873000000000001</v>
      </c>
      <c r="AA411" s="36"/>
      <c r="AB411" s="30">
        <v>40.1</v>
      </c>
      <c r="AC411" s="44">
        <v>326.26</v>
      </c>
      <c r="AD411" s="35">
        <v>7.7679999999999998</v>
      </c>
      <c r="AE411" s="36"/>
      <c r="AF411" s="30">
        <v>40.1</v>
      </c>
      <c r="AG411" s="34">
        <v>3.1141999999999999</v>
      </c>
      <c r="AH411" s="35">
        <v>0.1308</v>
      </c>
      <c r="AI411" s="35"/>
      <c r="AJ411" s="35">
        <v>0.12723000000000001</v>
      </c>
      <c r="AK411" s="998">
        <v>44.9</v>
      </c>
      <c r="AM411" s="30">
        <v>40.1</v>
      </c>
      <c r="AN411" s="34">
        <v>1.1022000000000001</v>
      </c>
      <c r="AO411" s="35">
        <v>1.2343999999999999</v>
      </c>
      <c r="AQ411" s="197">
        <v>1.0509999999999999</v>
      </c>
      <c r="AR411" s="200">
        <v>3.13</v>
      </c>
      <c r="AS411" s="199">
        <v>1050.3</v>
      </c>
      <c r="AZ411" s="197">
        <v>1.0509999999999999</v>
      </c>
      <c r="BA411" s="198">
        <v>8.7535000000000007</v>
      </c>
      <c r="BB411" s="199">
        <v>0.11423999999999999</v>
      </c>
      <c r="BD411" s="197">
        <v>1.0509999999999999</v>
      </c>
      <c r="BE411" s="198">
        <v>4.3766999999999996</v>
      </c>
      <c r="BF411" s="199">
        <v>0.18382000000000001</v>
      </c>
      <c r="BH411" s="197">
        <v>1.0509999999999999</v>
      </c>
      <c r="BI411" s="198">
        <v>228.48</v>
      </c>
      <c r="BJ411" s="199">
        <v>5.44</v>
      </c>
      <c r="BL411" s="197">
        <v>1.0509999999999999</v>
      </c>
      <c r="BM411" s="198">
        <v>3.9077999999999999</v>
      </c>
      <c r="BN411" s="199">
        <v>0.16413</v>
      </c>
      <c r="BP411" s="197">
        <v>1.0509999999999999</v>
      </c>
      <c r="BQ411" s="200">
        <v>255.9</v>
      </c>
      <c r="BR411" s="199">
        <v>6.093</v>
      </c>
      <c r="BT411" s="197">
        <v>1.0509999999999999</v>
      </c>
      <c r="BU411" s="201">
        <v>0.86460000000000004</v>
      </c>
      <c r="BV411" s="202">
        <v>0.96830000000000005</v>
      </c>
      <c r="BX411" s="37">
        <v>1051</v>
      </c>
      <c r="BY411" s="38">
        <v>1.0517000000000001</v>
      </c>
      <c r="BZ411" s="39">
        <v>3.05</v>
      </c>
      <c r="CA411" s="33"/>
      <c r="CB411" s="37">
        <v>1051</v>
      </c>
      <c r="CC411" s="38">
        <v>0.15892999999999999</v>
      </c>
      <c r="CD411" s="42">
        <v>6.2919999999999998</v>
      </c>
      <c r="CE411" s="33"/>
      <c r="CF411" s="33"/>
      <c r="CG411" s="33"/>
      <c r="CH411" s="33"/>
      <c r="CI411" s="33"/>
      <c r="CJ411" s="33"/>
      <c r="CK411" s="33"/>
      <c r="CL411" s="40">
        <v>1051</v>
      </c>
      <c r="CM411" s="43">
        <v>1049.9000000000001</v>
      </c>
      <c r="CN411" s="41">
        <v>0.95240000000000002</v>
      </c>
      <c r="CO411" s="33"/>
      <c r="CP411" s="40">
        <v>1051</v>
      </c>
      <c r="CQ411" s="34">
        <v>1.1574</v>
      </c>
      <c r="CR411" s="41">
        <v>1.0334000000000001</v>
      </c>
      <c r="CS411" s="33"/>
      <c r="CT411" s="40">
        <v>1051</v>
      </c>
      <c r="CU411" s="44">
        <v>251.69</v>
      </c>
      <c r="CV411" s="42">
        <v>5.9930000000000003</v>
      </c>
    </row>
    <row r="412" spans="4:100">
      <c r="D412" s="30">
        <v>40.200000000000003</v>
      </c>
      <c r="E412" s="31">
        <v>0.82410000000000005</v>
      </c>
      <c r="F412" s="32">
        <v>823.7</v>
      </c>
      <c r="G412" s="33"/>
      <c r="H412" s="30">
        <v>40.200000000000003</v>
      </c>
      <c r="I412" s="34">
        <v>3.7835999999999999</v>
      </c>
      <c r="J412" s="35">
        <v>0.15891</v>
      </c>
      <c r="L412" s="30">
        <v>40.200000000000003</v>
      </c>
      <c r="M412" s="172">
        <v>6.8620000000000001</v>
      </c>
      <c r="N412" s="173">
        <v>0.14574000000000001</v>
      </c>
      <c r="P412" s="30">
        <v>40.200000000000003</v>
      </c>
      <c r="Q412" s="172">
        <v>3.4308000000000001</v>
      </c>
      <c r="R412" s="173">
        <v>0.14409</v>
      </c>
      <c r="T412" s="30">
        <v>40.200000000000003</v>
      </c>
      <c r="U412" s="172">
        <v>291.48000000000297</v>
      </c>
      <c r="V412" s="173">
        <v>6.94</v>
      </c>
      <c r="X412" s="30">
        <v>40.200000000000003</v>
      </c>
      <c r="Y412" s="34">
        <v>3.0632000000000001</v>
      </c>
      <c r="Z412" s="35">
        <v>0.12864999999999999</v>
      </c>
      <c r="AA412" s="36"/>
      <c r="AB412" s="30">
        <v>40.200000000000003</v>
      </c>
      <c r="AC412" s="44">
        <v>326.45</v>
      </c>
      <c r="AD412" s="35">
        <v>7.7729999999999997</v>
      </c>
      <c r="AE412" s="36"/>
      <c r="AF412" s="30">
        <v>40.200000000000003</v>
      </c>
      <c r="AG412" s="34">
        <v>3.1124000000000001</v>
      </c>
      <c r="AH412" s="35">
        <v>0.13072</v>
      </c>
      <c r="AI412" s="35"/>
      <c r="AJ412" s="35">
        <v>0.1273</v>
      </c>
      <c r="AK412" s="998">
        <v>44.8</v>
      </c>
      <c r="AM412" s="30">
        <v>40.200000000000003</v>
      </c>
      <c r="AN412" s="34">
        <v>1.1028</v>
      </c>
      <c r="AO412" s="35">
        <v>1.2352000000000001</v>
      </c>
      <c r="AQ412" s="197">
        <v>1.052</v>
      </c>
      <c r="AR412" s="200">
        <v>3.01</v>
      </c>
      <c r="AS412" s="199">
        <v>1051.3</v>
      </c>
      <c r="AZ412" s="197">
        <v>1.052</v>
      </c>
      <c r="BA412" s="198">
        <v>8.7617999999999991</v>
      </c>
      <c r="BB412" s="199">
        <v>0.11413</v>
      </c>
      <c r="BD412" s="197">
        <v>1.052</v>
      </c>
      <c r="BE412" s="198">
        <v>4.3808999999999996</v>
      </c>
      <c r="BF412" s="199">
        <v>0.184</v>
      </c>
      <c r="BH412" s="197">
        <v>1.052</v>
      </c>
      <c r="BI412" s="198">
        <v>228.26</v>
      </c>
      <c r="BJ412" s="199">
        <v>5.4349999999999996</v>
      </c>
      <c r="BL412" s="197">
        <v>1.052</v>
      </c>
      <c r="BM412" s="198">
        <v>3.9115000000000002</v>
      </c>
      <c r="BN412" s="199">
        <v>0.16428000000000001</v>
      </c>
      <c r="BP412" s="197">
        <v>1.052</v>
      </c>
      <c r="BQ412" s="200">
        <v>255.66</v>
      </c>
      <c r="BR412" s="199">
        <v>6.0869999999999997</v>
      </c>
      <c r="BT412" s="197">
        <v>1.052</v>
      </c>
      <c r="BU412" s="201">
        <v>0.86380000000000001</v>
      </c>
      <c r="BV412" s="202">
        <v>0.96740000000000004</v>
      </c>
      <c r="BX412" s="37">
        <v>1052</v>
      </c>
      <c r="BY412" s="38">
        <v>1.0527</v>
      </c>
      <c r="BZ412" s="39">
        <v>2.92</v>
      </c>
      <c r="CA412" s="33"/>
      <c r="CB412" s="37">
        <v>1052</v>
      </c>
      <c r="CC412" s="38">
        <v>0.15892999999999999</v>
      </c>
      <c r="CD412" s="42">
        <v>6.2919999999999998</v>
      </c>
      <c r="CE412" s="33"/>
      <c r="CF412" s="33"/>
      <c r="CG412" s="33"/>
      <c r="CH412" s="33"/>
      <c r="CI412" s="33"/>
      <c r="CJ412" s="33"/>
      <c r="CK412" s="33"/>
      <c r="CL412" s="40">
        <v>1052</v>
      </c>
      <c r="CM412" s="43">
        <v>1050.9000000000001</v>
      </c>
      <c r="CN412" s="41">
        <v>0.95150000000000001</v>
      </c>
      <c r="CO412" s="33"/>
      <c r="CP412" s="40">
        <v>1052</v>
      </c>
      <c r="CQ412" s="34">
        <v>1.1585000000000001</v>
      </c>
      <c r="CR412" s="41">
        <v>1.0343</v>
      </c>
      <c r="CS412" s="33"/>
      <c r="CT412" s="40">
        <v>1052</v>
      </c>
      <c r="CU412" s="44">
        <v>251.46</v>
      </c>
      <c r="CV412" s="42">
        <v>5.9870000000000001</v>
      </c>
    </row>
    <row r="413" spans="4:100">
      <c r="D413" s="30">
        <v>40.299999999999997</v>
      </c>
      <c r="E413" s="31">
        <v>0.8236</v>
      </c>
      <c r="F413" s="32">
        <v>823.2</v>
      </c>
      <c r="G413" s="33"/>
      <c r="H413" s="30">
        <v>40.299999999999997</v>
      </c>
      <c r="I413" s="34">
        <v>3.7835999999999999</v>
      </c>
      <c r="J413" s="35">
        <v>0.15891</v>
      </c>
      <c r="L413" s="30">
        <v>40.299999999999997</v>
      </c>
      <c r="M413" s="172">
        <v>6.8579999999999997</v>
      </c>
      <c r="N413" s="173">
        <v>0.14582000000000001</v>
      </c>
      <c r="P413" s="30">
        <v>40.299999999999997</v>
      </c>
      <c r="Q413" s="172">
        <v>3.4287999999999998</v>
      </c>
      <c r="R413" s="173">
        <v>0.14401</v>
      </c>
      <c r="T413" s="30">
        <v>40.299999999999997</v>
      </c>
      <c r="U413" s="172">
        <v>291.65000000000299</v>
      </c>
      <c r="V413" s="173">
        <v>6.944</v>
      </c>
      <c r="X413" s="30">
        <v>40.299999999999997</v>
      </c>
      <c r="Y413" s="34">
        <v>3.0613999999999999</v>
      </c>
      <c r="Z413" s="35">
        <v>0.12858</v>
      </c>
      <c r="AA413" s="36"/>
      <c r="AB413" s="30">
        <v>40.299999999999997</v>
      </c>
      <c r="AC413" s="44">
        <v>326.64999999999998</v>
      </c>
      <c r="AD413" s="35">
        <v>7.7770000000000001</v>
      </c>
      <c r="AE413" s="36"/>
      <c r="AF413" s="30">
        <v>40.299999999999997</v>
      </c>
      <c r="AG413" s="34">
        <v>3.1105999999999998</v>
      </c>
      <c r="AH413" s="35">
        <v>0.13064000000000001</v>
      </c>
      <c r="AI413" s="35"/>
      <c r="AJ413" s="35">
        <v>0.12737999999999999</v>
      </c>
      <c r="AK413" s="998">
        <v>44.7</v>
      </c>
      <c r="AM413" s="30">
        <v>40.299999999999997</v>
      </c>
      <c r="AN413" s="34">
        <v>1.1034999999999999</v>
      </c>
      <c r="AO413" s="35">
        <v>1.2359</v>
      </c>
      <c r="AQ413" s="197">
        <v>1.0529999999999999</v>
      </c>
      <c r="AR413" s="200">
        <v>2.88</v>
      </c>
      <c r="AS413" s="199">
        <v>1052.3</v>
      </c>
      <c r="AZ413" s="197">
        <v>1.0529999999999999</v>
      </c>
      <c r="BA413" s="198">
        <v>8.7700999999999993</v>
      </c>
      <c r="BB413" s="199">
        <v>0.11402</v>
      </c>
      <c r="BD413" s="197">
        <v>1.0529999999999999</v>
      </c>
      <c r="BE413" s="198">
        <v>4.3851000000000004</v>
      </c>
      <c r="BF413" s="199">
        <v>0.18417</v>
      </c>
      <c r="BH413" s="197">
        <v>1.0529999999999999</v>
      </c>
      <c r="BI413" s="198">
        <v>228.05</v>
      </c>
      <c r="BJ413" s="199">
        <v>5.43</v>
      </c>
      <c r="BL413" s="197">
        <v>1.0529999999999999</v>
      </c>
      <c r="BM413" s="198">
        <v>3.9152</v>
      </c>
      <c r="BN413" s="199">
        <v>0.16444</v>
      </c>
      <c r="BP413" s="197">
        <v>1.0529999999999999</v>
      </c>
      <c r="BQ413" s="200">
        <v>255.41</v>
      </c>
      <c r="BR413" s="199">
        <v>6.0810000000000004</v>
      </c>
      <c r="BT413" s="197">
        <v>1.0529999999999999</v>
      </c>
      <c r="BU413" s="201">
        <v>0.8629</v>
      </c>
      <c r="BV413" s="202">
        <v>0.96650000000000003</v>
      </c>
      <c r="BX413" s="37">
        <v>1053</v>
      </c>
      <c r="BY413" s="38">
        <v>1.0537000000000001</v>
      </c>
      <c r="BZ413" s="39">
        <v>2.79</v>
      </c>
      <c r="CA413" s="33"/>
      <c r="CB413" s="37">
        <v>1053</v>
      </c>
      <c r="CC413" s="38">
        <v>0.15892999999999999</v>
      </c>
      <c r="CD413" s="42">
        <v>6.2919999999999998</v>
      </c>
      <c r="CE413" s="33"/>
      <c r="CF413" s="33"/>
      <c r="CG413" s="33"/>
      <c r="CH413" s="33"/>
      <c r="CI413" s="33"/>
      <c r="CJ413" s="33"/>
      <c r="CK413" s="33"/>
      <c r="CL413" s="40">
        <v>1053</v>
      </c>
      <c r="CM413" s="43">
        <v>1051.9000000000001</v>
      </c>
      <c r="CN413" s="41">
        <v>0.9506</v>
      </c>
      <c r="CO413" s="33"/>
      <c r="CP413" s="40">
        <v>1053</v>
      </c>
      <c r="CQ413" s="34">
        <v>1.1596</v>
      </c>
      <c r="CR413" s="41">
        <v>1.0353000000000001</v>
      </c>
      <c r="CS413" s="33"/>
      <c r="CT413" s="40">
        <v>1053</v>
      </c>
      <c r="CU413" s="44">
        <v>251.22</v>
      </c>
      <c r="CV413" s="42">
        <v>5.9809999999999999</v>
      </c>
    </row>
    <row r="414" spans="4:100">
      <c r="D414" s="30">
        <v>40.4</v>
      </c>
      <c r="E414" s="31">
        <v>0.82320000000000004</v>
      </c>
      <c r="F414" s="32">
        <v>822.7</v>
      </c>
      <c r="G414" s="33"/>
      <c r="H414" s="30">
        <v>40.4</v>
      </c>
      <c r="I414" s="34">
        <v>3.7835999999999999</v>
      </c>
      <c r="J414" s="35">
        <v>0.15891</v>
      </c>
      <c r="L414" s="30">
        <v>40.4</v>
      </c>
      <c r="M414" s="172">
        <v>6.8540000000000001</v>
      </c>
      <c r="N414" s="173">
        <v>0.14591000000000001</v>
      </c>
      <c r="P414" s="30">
        <v>40.4</v>
      </c>
      <c r="Q414" s="172">
        <v>3.4268000000000001</v>
      </c>
      <c r="R414" s="173">
        <v>0.14393</v>
      </c>
      <c r="T414" s="30">
        <v>40.4</v>
      </c>
      <c r="U414" s="172">
        <v>291.82000000000301</v>
      </c>
      <c r="V414" s="173">
        <v>6.9480000000000004</v>
      </c>
      <c r="X414" s="30">
        <v>40.4</v>
      </c>
      <c r="Y414" s="34">
        <v>3.0596000000000001</v>
      </c>
      <c r="Z414" s="35">
        <v>0.1285</v>
      </c>
      <c r="AA414" s="36"/>
      <c r="AB414" s="30">
        <v>40.4</v>
      </c>
      <c r="AC414" s="44">
        <v>326.83999999999997</v>
      </c>
      <c r="AD414" s="35">
        <v>7.782</v>
      </c>
      <c r="AE414" s="36"/>
      <c r="AF414" s="30">
        <v>40.4</v>
      </c>
      <c r="AG414" s="34">
        <v>3.1086999999999998</v>
      </c>
      <c r="AH414" s="35">
        <v>0.13056999999999999</v>
      </c>
      <c r="AI414" s="35"/>
      <c r="AJ414" s="35">
        <v>0.12745000000000001</v>
      </c>
      <c r="AK414" s="998">
        <v>44.6</v>
      </c>
      <c r="AM414" s="30">
        <v>40.4</v>
      </c>
      <c r="AN414" s="34">
        <v>1.1041000000000001</v>
      </c>
      <c r="AO414" s="35">
        <v>1.2365999999999999</v>
      </c>
      <c r="AQ414" s="197">
        <v>1.054</v>
      </c>
      <c r="AR414" s="200">
        <v>2.75</v>
      </c>
      <c r="AS414" s="199">
        <v>1053.3</v>
      </c>
      <c r="AZ414" s="197">
        <v>1.054</v>
      </c>
      <c r="BA414" s="198">
        <v>8.7784999999999993</v>
      </c>
      <c r="BB414" s="199">
        <v>0.11391</v>
      </c>
      <c r="BD414" s="197">
        <v>1.054</v>
      </c>
      <c r="BE414" s="198">
        <v>4.3891999999999998</v>
      </c>
      <c r="BF414" s="199">
        <v>0.18435000000000001</v>
      </c>
      <c r="BH414" s="197">
        <v>1.054</v>
      </c>
      <c r="BI414" s="198">
        <v>227.83</v>
      </c>
      <c r="BJ414" s="199">
        <v>5.4249999999999998</v>
      </c>
      <c r="BL414" s="197">
        <v>1.054</v>
      </c>
      <c r="BM414" s="198">
        <v>3.919</v>
      </c>
      <c r="BN414" s="199">
        <v>0.1646</v>
      </c>
      <c r="BP414" s="197">
        <v>1.054</v>
      </c>
      <c r="BQ414" s="200">
        <v>255.17</v>
      </c>
      <c r="BR414" s="199">
        <v>6.0750000000000002</v>
      </c>
      <c r="BT414" s="197">
        <v>1.054</v>
      </c>
      <c r="BU414" s="201">
        <v>0.86209999999999998</v>
      </c>
      <c r="BV414" s="202">
        <v>0.96560000000000001</v>
      </c>
      <c r="BX414" s="37">
        <v>1054</v>
      </c>
      <c r="BY414" s="38">
        <v>1.0547</v>
      </c>
      <c r="BZ414" s="39">
        <v>2.66</v>
      </c>
      <c r="CA414" s="33"/>
      <c r="CB414" s="37">
        <v>1054</v>
      </c>
      <c r="CC414" s="38">
        <v>0.15892999999999999</v>
      </c>
      <c r="CD414" s="42">
        <v>6.2919999999999998</v>
      </c>
      <c r="CE414" s="33"/>
      <c r="CF414" s="33"/>
      <c r="CG414" s="33"/>
      <c r="CH414" s="33"/>
      <c r="CI414" s="33"/>
      <c r="CJ414" s="33"/>
      <c r="CK414" s="33"/>
      <c r="CL414" s="40">
        <v>1054</v>
      </c>
      <c r="CM414" s="43">
        <v>1052.9000000000001</v>
      </c>
      <c r="CN414" s="41">
        <v>0.94969999999999999</v>
      </c>
      <c r="CO414" s="33"/>
      <c r="CP414" s="40">
        <v>1054</v>
      </c>
      <c r="CQ414" s="34">
        <v>1.1607000000000001</v>
      </c>
      <c r="CR414" s="41">
        <v>1.0363</v>
      </c>
      <c r="CS414" s="33"/>
      <c r="CT414" s="40">
        <v>1054</v>
      </c>
      <c r="CU414" s="44">
        <v>250.98</v>
      </c>
      <c r="CV414" s="42">
        <v>5.976</v>
      </c>
    </row>
    <row r="415" spans="4:100">
      <c r="D415" s="30">
        <v>40.5</v>
      </c>
      <c r="E415" s="31">
        <v>0.82269999999999999</v>
      </c>
      <c r="F415" s="32">
        <v>822.3</v>
      </c>
      <c r="G415" s="33"/>
      <c r="H415" s="30">
        <v>40.5</v>
      </c>
      <c r="I415" s="34">
        <v>3.7835999999999999</v>
      </c>
      <c r="J415" s="35">
        <v>0.15891</v>
      </c>
      <c r="L415" s="30">
        <v>40.5</v>
      </c>
      <c r="M415" s="172">
        <v>6.85</v>
      </c>
      <c r="N415" s="173">
        <v>0.14599000000000001</v>
      </c>
      <c r="P415" s="30">
        <v>40.5</v>
      </c>
      <c r="Q415" s="172">
        <v>3.4247999999999998</v>
      </c>
      <c r="R415" s="173">
        <v>0.14384</v>
      </c>
      <c r="T415" s="30">
        <v>40.5</v>
      </c>
      <c r="U415" s="172">
        <v>291.99000000000302</v>
      </c>
      <c r="V415" s="173">
        <v>6.952</v>
      </c>
      <c r="X415" s="30">
        <v>40.5</v>
      </c>
      <c r="Y415" s="34">
        <v>3.0579000000000001</v>
      </c>
      <c r="Z415" s="35">
        <v>0.12842999999999999</v>
      </c>
      <c r="AA415" s="36"/>
      <c r="AB415" s="30">
        <v>40.5</v>
      </c>
      <c r="AC415" s="44">
        <v>327.02999999999997</v>
      </c>
      <c r="AD415" s="35">
        <v>7.7859999999999996</v>
      </c>
      <c r="AE415" s="36"/>
      <c r="AF415" s="30">
        <v>40.5</v>
      </c>
      <c r="AG415" s="34">
        <v>3.1069</v>
      </c>
      <c r="AH415" s="35">
        <v>0.13048999999999999</v>
      </c>
      <c r="AI415" s="35"/>
      <c r="AJ415" s="35">
        <v>0.12751999999999999</v>
      </c>
      <c r="AK415" s="998">
        <v>44.5</v>
      </c>
      <c r="AM415" s="30">
        <v>40.5</v>
      </c>
      <c r="AN415" s="34">
        <v>1.1048</v>
      </c>
      <c r="AO415" s="35">
        <v>1.2373000000000001</v>
      </c>
      <c r="AQ415" s="197">
        <v>1.0549999999999999</v>
      </c>
      <c r="AR415" s="200">
        <v>2.62</v>
      </c>
      <c r="AS415" s="199">
        <v>1054.3</v>
      </c>
      <c r="AZ415" s="197">
        <v>1.0549999999999999</v>
      </c>
      <c r="BA415" s="198">
        <v>8.7867999999999995</v>
      </c>
      <c r="BB415" s="199">
        <v>0.11380999999999999</v>
      </c>
      <c r="BD415" s="197">
        <v>1.0549999999999999</v>
      </c>
      <c r="BE415" s="198">
        <v>4.3933999999999997</v>
      </c>
      <c r="BF415" s="199">
        <v>0.18451999999999999</v>
      </c>
      <c r="BH415" s="197">
        <v>1.0549999999999999</v>
      </c>
      <c r="BI415" s="198">
        <v>227.61</v>
      </c>
      <c r="BJ415" s="199">
        <v>5.4189999999999996</v>
      </c>
      <c r="BL415" s="197">
        <v>1.0549999999999999</v>
      </c>
      <c r="BM415" s="198">
        <v>3.9226999999999999</v>
      </c>
      <c r="BN415" s="199">
        <v>0.16475000000000001</v>
      </c>
      <c r="BP415" s="197">
        <v>1.0549999999999999</v>
      </c>
      <c r="BQ415" s="200">
        <v>254.93</v>
      </c>
      <c r="BR415" s="199">
        <v>6.07</v>
      </c>
      <c r="BT415" s="197">
        <v>1.0549999999999999</v>
      </c>
      <c r="BU415" s="201">
        <v>0.86129999999999995</v>
      </c>
      <c r="BV415" s="202">
        <v>0.9647</v>
      </c>
      <c r="BX415" s="37">
        <v>1055</v>
      </c>
      <c r="BY415" s="38">
        <v>1.0557000000000001</v>
      </c>
      <c r="BZ415" s="39">
        <v>2.54</v>
      </c>
      <c r="CA415" s="33"/>
      <c r="CB415" s="37">
        <v>1055</v>
      </c>
      <c r="CC415" s="38">
        <v>0.15892999999999999</v>
      </c>
      <c r="CD415" s="42">
        <v>6.2919999999999998</v>
      </c>
      <c r="CE415" s="33"/>
      <c r="CF415" s="33"/>
      <c r="CG415" s="33"/>
      <c r="CH415" s="33"/>
      <c r="CI415" s="33"/>
      <c r="CJ415" s="33"/>
      <c r="CK415" s="33"/>
      <c r="CL415" s="40">
        <v>1055</v>
      </c>
      <c r="CM415" s="43">
        <v>1053.9000000000001</v>
      </c>
      <c r="CN415" s="41">
        <v>0.94879999999999998</v>
      </c>
      <c r="CO415" s="33"/>
      <c r="CP415" s="40">
        <v>1055</v>
      </c>
      <c r="CQ415" s="34">
        <v>1.1617999999999999</v>
      </c>
      <c r="CR415" s="41">
        <v>1.0373000000000001</v>
      </c>
      <c r="CS415" s="33"/>
      <c r="CT415" s="40">
        <v>1055</v>
      </c>
      <c r="CU415" s="44">
        <v>250.74</v>
      </c>
      <c r="CV415" s="42">
        <v>5.97</v>
      </c>
    </row>
    <row r="416" spans="4:100">
      <c r="D416" s="30">
        <v>40.6</v>
      </c>
      <c r="E416" s="31">
        <v>0.82220000000000004</v>
      </c>
      <c r="F416" s="32">
        <v>821.8</v>
      </c>
      <c r="G416" s="33"/>
      <c r="H416" s="30">
        <v>40.6</v>
      </c>
      <c r="I416" s="34">
        <v>3.7835999999999999</v>
      </c>
      <c r="J416" s="35">
        <v>0.15891</v>
      </c>
      <c r="L416" s="30">
        <v>40.6</v>
      </c>
      <c r="M416" s="172">
        <v>6.8460000000000001</v>
      </c>
      <c r="N416" s="173">
        <v>0.14607999999999999</v>
      </c>
      <c r="P416" s="30">
        <v>40.6</v>
      </c>
      <c r="Q416" s="172">
        <v>3.4228000000000001</v>
      </c>
      <c r="R416" s="173">
        <v>0.14376</v>
      </c>
      <c r="T416" s="30">
        <v>40.6</v>
      </c>
      <c r="U416" s="172">
        <v>292.16000000000298</v>
      </c>
      <c r="V416" s="173">
        <v>6.9560000000000004</v>
      </c>
      <c r="X416" s="30">
        <v>40.6</v>
      </c>
      <c r="Y416" s="34">
        <v>3.0560999999999998</v>
      </c>
      <c r="Z416" s="35">
        <v>0.12836</v>
      </c>
      <c r="AA416" s="36"/>
      <c r="AB416" s="30">
        <v>40.6</v>
      </c>
      <c r="AC416" s="44">
        <v>327.22000000000003</v>
      </c>
      <c r="AD416" s="35">
        <v>7.7910000000000004</v>
      </c>
      <c r="AE416" s="36"/>
      <c r="AF416" s="30">
        <v>40.6</v>
      </c>
      <c r="AG416" s="34">
        <v>3.1051000000000002</v>
      </c>
      <c r="AH416" s="35">
        <v>0.13042000000000001</v>
      </c>
      <c r="AI416" s="35"/>
      <c r="AJ416" s="35">
        <v>0.12759000000000001</v>
      </c>
      <c r="AK416" s="998">
        <v>44.4</v>
      </c>
      <c r="AM416" s="30">
        <v>40.6</v>
      </c>
      <c r="AN416" s="34">
        <v>1.1053999999999999</v>
      </c>
      <c r="AO416" s="35">
        <v>1.238</v>
      </c>
      <c r="AQ416" s="197">
        <v>1.056</v>
      </c>
      <c r="AR416" s="200">
        <v>2.5</v>
      </c>
      <c r="AS416" s="199">
        <v>1055.3</v>
      </c>
      <c r="AZ416" s="197">
        <v>1.056</v>
      </c>
      <c r="BA416" s="198">
        <v>8.7951999999999995</v>
      </c>
      <c r="BB416" s="199">
        <v>0.1137</v>
      </c>
      <c r="BD416" s="197">
        <v>1.056</v>
      </c>
      <c r="BE416" s="198">
        <v>4.3975999999999997</v>
      </c>
      <c r="BF416" s="199">
        <v>0.1847</v>
      </c>
      <c r="BH416" s="197">
        <v>1.056</v>
      </c>
      <c r="BI416" s="198">
        <v>227.4</v>
      </c>
      <c r="BJ416" s="199">
        <v>5.4139999999999997</v>
      </c>
      <c r="BL416" s="197">
        <v>1.056</v>
      </c>
      <c r="BM416" s="198">
        <v>3.9264000000000001</v>
      </c>
      <c r="BN416" s="199">
        <v>0.16491</v>
      </c>
      <c r="BP416" s="197">
        <v>1.056</v>
      </c>
      <c r="BQ416" s="200">
        <v>254.69</v>
      </c>
      <c r="BR416" s="199">
        <v>6.0640000000000001</v>
      </c>
      <c r="BT416" s="197">
        <v>1.056</v>
      </c>
      <c r="BU416" s="201">
        <v>0.86050000000000004</v>
      </c>
      <c r="BV416" s="202">
        <v>0.96379999999999999</v>
      </c>
      <c r="BX416" s="37">
        <v>1056</v>
      </c>
      <c r="BY416" s="38">
        <v>1.0567</v>
      </c>
      <c r="BZ416" s="39">
        <v>2.41</v>
      </c>
      <c r="CA416" s="33"/>
      <c r="CB416" s="37">
        <v>1056</v>
      </c>
      <c r="CC416" s="38">
        <v>0.15892999999999999</v>
      </c>
      <c r="CD416" s="42">
        <v>6.2919999999999998</v>
      </c>
      <c r="CE416" s="33"/>
      <c r="CF416" s="33"/>
      <c r="CG416" s="33"/>
      <c r="CH416" s="33"/>
      <c r="CI416" s="33"/>
      <c r="CJ416" s="33"/>
      <c r="CK416" s="33"/>
      <c r="CL416" s="40">
        <v>1056</v>
      </c>
      <c r="CM416" s="43">
        <v>1054.9000000000001</v>
      </c>
      <c r="CN416" s="41">
        <v>0.94789999999999996</v>
      </c>
      <c r="CO416" s="33"/>
      <c r="CP416" s="40">
        <v>1056</v>
      </c>
      <c r="CQ416" s="34">
        <v>1.1629</v>
      </c>
      <c r="CR416" s="41">
        <v>1.0383</v>
      </c>
      <c r="CS416" s="33"/>
      <c r="CT416" s="40">
        <v>1056</v>
      </c>
      <c r="CU416" s="44">
        <v>250.5</v>
      </c>
      <c r="CV416" s="42">
        <v>5.9640000000000004</v>
      </c>
    </row>
    <row r="417" spans="4:100">
      <c r="D417" s="30">
        <v>40.700000000000003</v>
      </c>
      <c r="E417" s="31">
        <v>0.82169999999999999</v>
      </c>
      <c r="F417" s="32">
        <v>821.3</v>
      </c>
      <c r="G417" s="33"/>
      <c r="H417" s="30">
        <v>40.700000000000003</v>
      </c>
      <c r="I417" s="34">
        <v>3.7835999999999999</v>
      </c>
      <c r="J417" s="35">
        <v>0.15891</v>
      </c>
      <c r="L417" s="30">
        <v>40.700000000000003</v>
      </c>
      <c r="M417" s="172">
        <v>6.8419999999999996</v>
      </c>
      <c r="N417" s="173">
        <v>0.14616000000000001</v>
      </c>
      <c r="P417" s="30">
        <v>40.700000000000003</v>
      </c>
      <c r="Q417" s="172">
        <v>3.4207999999999998</v>
      </c>
      <c r="R417" s="173">
        <v>0.14366999999999999</v>
      </c>
      <c r="T417" s="30">
        <v>40.700000000000003</v>
      </c>
      <c r="U417" s="172">
        <v>292.330000000003</v>
      </c>
      <c r="V417" s="173">
        <v>6.9600000000000097</v>
      </c>
      <c r="X417" s="30">
        <v>40.700000000000003</v>
      </c>
      <c r="Y417" s="34">
        <v>3.0543</v>
      </c>
      <c r="Z417" s="35">
        <v>0.12828000000000001</v>
      </c>
      <c r="AA417" s="36"/>
      <c r="AB417" s="30">
        <v>40.700000000000003</v>
      </c>
      <c r="AC417" s="44">
        <v>327.41000000000003</v>
      </c>
      <c r="AD417" s="35">
        <v>7.7949999999999999</v>
      </c>
      <c r="AE417" s="36"/>
      <c r="AF417" s="30">
        <v>40.700000000000003</v>
      </c>
      <c r="AG417" s="34">
        <v>3.1032999999999999</v>
      </c>
      <c r="AH417" s="35">
        <v>0.13034000000000001</v>
      </c>
      <c r="AI417" s="35"/>
      <c r="AJ417" s="35">
        <v>0.12767000000000001</v>
      </c>
      <c r="AK417" s="998">
        <v>44.3</v>
      </c>
      <c r="AM417" s="30">
        <v>40.700000000000003</v>
      </c>
      <c r="AN417" s="34">
        <v>1.1060000000000001</v>
      </c>
      <c r="AO417" s="35">
        <v>1.2387999999999999</v>
      </c>
      <c r="AQ417" s="197">
        <v>1.0569999999999999</v>
      </c>
      <c r="AR417" s="200">
        <v>2.37</v>
      </c>
      <c r="AS417" s="199">
        <v>1056.3</v>
      </c>
      <c r="AZ417" s="197">
        <v>1.0569999999999999</v>
      </c>
      <c r="BA417" s="198">
        <v>8.8034999999999997</v>
      </c>
      <c r="BB417" s="199">
        <v>0.11359</v>
      </c>
      <c r="BD417" s="197">
        <v>1.0569999999999999</v>
      </c>
      <c r="BE417" s="198">
        <v>4.4016999999999999</v>
      </c>
      <c r="BF417" s="199">
        <v>0.18487000000000001</v>
      </c>
      <c r="BH417" s="197">
        <v>1.0569999999999999</v>
      </c>
      <c r="BI417" s="198">
        <v>227.18</v>
      </c>
      <c r="BJ417" s="199">
        <v>5.4089999999999998</v>
      </c>
      <c r="BL417" s="197">
        <v>1.0569999999999999</v>
      </c>
      <c r="BM417" s="198">
        <v>3.9300999999999999</v>
      </c>
      <c r="BN417" s="199">
        <v>0.16506999999999999</v>
      </c>
      <c r="BP417" s="197">
        <v>1.0569999999999999</v>
      </c>
      <c r="BQ417" s="200">
        <v>254.44</v>
      </c>
      <c r="BR417" s="199">
        <v>6.0579999999999998</v>
      </c>
      <c r="BT417" s="197">
        <v>1.0569999999999999</v>
      </c>
      <c r="BU417" s="201">
        <v>0.85970000000000002</v>
      </c>
      <c r="BV417" s="202">
        <v>0.96279999999999999</v>
      </c>
      <c r="BX417" s="37">
        <v>1057</v>
      </c>
      <c r="BY417" s="38">
        <v>1.0577000000000001</v>
      </c>
      <c r="BZ417" s="39">
        <v>2.2799999999999998</v>
      </c>
      <c r="CA417" s="33"/>
      <c r="CB417" s="37">
        <v>1057</v>
      </c>
      <c r="CC417" s="38">
        <v>0.15892999999999999</v>
      </c>
      <c r="CD417" s="42">
        <v>6.2919999999999998</v>
      </c>
      <c r="CE417" s="33"/>
      <c r="CF417" s="33"/>
      <c r="CG417" s="33"/>
      <c r="CH417" s="33"/>
      <c r="CI417" s="33"/>
      <c r="CJ417" s="33"/>
      <c r="CK417" s="33"/>
      <c r="CL417" s="40">
        <v>1057</v>
      </c>
      <c r="CM417" s="43">
        <v>1055.9000000000001</v>
      </c>
      <c r="CN417" s="41">
        <v>0.94699999999999995</v>
      </c>
      <c r="CO417" s="33"/>
      <c r="CP417" s="40">
        <v>1057</v>
      </c>
      <c r="CQ417" s="34">
        <v>1.1639999999999999</v>
      </c>
      <c r="CR417" s="41">
        <v>1.0392999999999999</v>
      </c>
      <c r="CS417" s="33"/>
      <c r="CT417" s="40">
        <v>1057</v>
      </c>
      <c r="CU417" s="44">
        <v>250.26</v>
      </c>
      <c r="CV417" s="42">
        <v>5.9589999999999996</v>
      </c>
    </row>
    <row r="418" spans="4:100">
      <c r="D418" s="30">
        <v>40.799999999999997</v>
      </c>
      <c r="E418" s="31">
        <v>0.82120000000000004</v>
      </c>
      <c r="F418" s="32">
        <v>820.8</v>
      </c>
      <c r="G418" s="33"/>
      <c r="H418" s="30">
        <v>40.799999999999997</v>
      </c>
      <c r="I418" s="34">
        <v>3.7835999999999999</v>
      </c>
      <c r="J418" s="35">
        <v>0.15891</v>
      </c>
      <c r="L418" s="30">
        <v>40.799999999999997</v>
      </c>
      <c r="M418" s="172">
        <v>6.8380000000000001</v>
      </c>
      <c r="N418" s="173">
        <v>0.14624999999999999</v>
      </c>
      <c r="P418" s="30">
        <v>40.799999999999997</v>
      </c>
      <c r="Q418" s="172">
        <v>3.4188000000000001</v>
      </c>
      <c r="R418" s="173">
        <v>0.14359</v>
      </c>
      <c r="T418" s="30">
        <v>40.799999999999997</v>
      </c>
      <c r="U418" s="172">
        <v>292.50000000000301</v>
      </c>
      <c r="V418" s="173">
        <v>6.9640000000000102</v>
      </c>
      <c r="X418" s="30">
        <v>40.799999999999997</v>
      </c>
      <c r="Y418" s="34">
        <v>3.0525000000000002</v>
      </c>
      <c r="Z418" s="35">
        <v>0.12820999999999999</v>
      </c>
      <c r="AA418" s="36"/>
      <c r="AB418" s="30">
        <v>40.799999999999997</v>
      </c>
      <c r="AC418" s="44">
        <v>327.60000000000002</v>
      </c>
      <c r="AD418" s="35">
        <v>7.8</v>
      </c>
      <c r="AE418" s="36"/>
      <c r="AF418" s="30">
        <v>40.799999999999997</v>
      </c>
      <c r="AG418" s="34">
        <v>3.1015000000000001</v>
      </c>
      <c r="AH418" s="35">
        <v>0.13025999999999999</v>
      </c>
      <c r="AI418" s="35"/>
      <c r="AJ418" s="35">
        <v>0.12773999999999999</v>
      </c>
      <c r="AK418" s="998">
        <v>44.2</v>
      </c>
      <c r="AM418" s="30">
        <v>40.799999999999997</v>
      </c>
      <c r="AN418" s="34">
        <v>1.1067</v>
      </c>
      <c r="AO418" s="35">
        <v>1.2395</v>
      </c>
      <c r="AQ418" s="197">
        <v>1.0580000000000001</v>
      </c>
      <c r="AR418" s="200">
        <v>2.2400000000000002</v>
      </c>
      <c r="AS418" s="199">
        <v>1057.3</v>
      </c>
      <c r="AZ418" s="197">
        <v>1.0580000000000001</v>
      </c>
      <c r="BA418" s="198">
        <v>8.8117999999999999</v>
      </c>
      <c r="BB418" s="199">
        <v>0.11348</v>
      </c>
      <c r="BD418" s="197">
        <v>1.0580000000000001</v>
      </c>
      <c r="BE418" s="198">
        <v>4.4058999999999999</v>
      </c>
      <c r="BF418" s="199">
        <v>0.18504999999999999</v>
      </c>
      <c r="BH418" s="197">
        <v>1.0580000000000001</v>
      </c>
      <c r="BI418" s="198">
        <v>226.97</v>
      </c>
      <c r="BJ418" s="199">
        <v>5.4039999999999999</v>
      </c>
      <c r="BL418" s="197">
        <v>1.0580000000000001</v>
      </c>
      <c r="BM418" s="198">
        <v>3.9339</v>
      </c>
      <c r="BN418" s="199">
        <v>0.16522000000000001</v>
      </c>
      <c r="BP418" s="197">
        <v>1.0580000000000001</v>
      </c>
      <c r="BQ418" s="200">
        <v>254.2</v>
      </c>
      <c r="BR418" s="199">
        <v>6.0519999999999996</v>
      </c>
      <c r="BT418" s="197">
        <v>1.0580000000000001</v>
      </c>
      <c r="BU418" s="201">
        <v>0.8589</v>
      </c>
      <c r="BV418" s="202">
        <v>0.96189999999999998</v>
      </c>
      <c r="BX418" s="37">
        <v>1058</v>
      </c>
      <c r="BY418" s="38">
        <v>1.0587</v>
      </c>
      <c r="BZ418" s="39">
        <v>2.16</v>
      </c>
      <c r="CA418" s="33"/>
      <c r="CB418" s="37">
        <v>1058</v>
      </c>
      <c r="CC418" s="38">
        <v>0.15892999999999999</v>
      </c>
      <c r="CD418" s="42">
        <v>6.2919999999999998</v>
      </c>
      <c r="CE418" s="33"/>
      <c r="CF418" s="33"/>
      <c r="CG418" s="33"/>
      <c r="CH418" s="33"/>
      <c r="CI418" s="33"/>
      <c r="CJ418" s="33"/>
      <c r="CK418" s="33"/>
      <c r="CL418" s="40">
        <v>1058</v>
      </c>
      <c r="CM418" s="43">
        <v>1056.9000000000001</v>
      </c>
      <c r="CN418" s="41">
        <v>0.94610000000000005</v>
      </c>
      <c r="CO418" s="33"/>
      <c r="CP418" s="40">
        <v>1058</v>
      </c>
      <c r="CQ418" s="34">
        <v>1.1651</v>
      </c>
      <c r="CR418" s="41">
        <v>1.0402</v>
      </c>
      <c r="CS418" s="33"/>
      <c r="CT418" s="40">
        <v>1058</v>
      </c>
      <c r="CU418" s="44">
        <v>250.03</v>
      </c>
      <c r="CV418" s="42">
        <v>5.9530000000000003</v>
      </c>
    </row>
    <row r="419" spans="4:100">
      <c r="D419" s="30">
        <v>40.9</v>
      </c>
      <c r="E419" s="31">
        <v>0.82079999999999997</v>
      </c>
      <c r="F419" s="32">
        <v>820.4</v>
      </c>
      <c r="G419" s="33"/>
      <c r="H419" s="30">
        <v>40.9</v>
      </c>
      <c r="I419" s="34">
        <v>3.7835999999999999</v>
      </c>
      <c r="J419" s="35">
        <v>0.15891</v>
      </c>
      <c r="L419" s="30">
        <v>40.9</v>
      </c>
      <c r="M419" s="172">
        <v>6.8339999999999996</v>
      </c>
      <c r="N419" s="173">
        <v>0.14632999999999999</v>
      </c>
      <c r="P419" s="30">
        <v>40.9</v>
      </c>
      <c r="Q419" s="172">
        <v>3.4167999999999998</v>
      </c>
      <c r="R419" s="173">
        <v>0.14351</v>
      </c>
      <c r="T419" s="30">
        <v>40.9</v>
      </c>
      <c r="U419" s="172">
        <v>292.67000000000297</v>
      </c>
      <c r="V419" s="173">
        <v>6.9680000000000097</v>
      </c>
      <c r="X419" s="30">
        <v>40.9</v>
      </c>
      <c r="Y419" s="34">
        <v>3.0508000000000002</v>
      </c>
      <c r="Z419" s="35">
        <v>0.12812999999999999</v>
      </c>
      <c r="AA419" s="36"/>
      <c r="AB419" s="30">
        <v>40.9</v>
      </c>
      <c r="AC419" s="44">
        <v>327.79</v>
      </c>
      <c r="AD419" s="35">
        <v>7.8040000000000003</v>
      </c>
      <c r="AE419" s="36"/>
      <c r="AF419" s="30">
        <v>40.9</v>
      </c>
      <c r="AG419" s="34">
        <v>3.0996999999999999</v>
      </c>
      <c r="AH419" s="35">
        <v>0.13019</v>
      </c>
      <c r="AI419" s="35"/>
      <c r="AJ419" s="35">
        <v>0.12781000000000001</v>
      </c>
      <c r="AK419" s="998">
        <v>44.1</v>
      </c>
      <c r="AM419" s="30">
        <v>40.9</v>
      </c>
      <c r="AN419" s="34">
        <v>1.1073</v>
      </c>
      <c r="AO419" s="35">
        <v>1.2402</v>
      </c>
      <c r="AQ419" s="197">
        <v>1.0589999999999999</v>
      </c>
      <c r="AR419" s="200">
        <v>2.12</v>
      </c>
      <c r="AS419" s="199">
        <v>1058.3</v>
      </c>
      <c r="AZ419" s="197">
        <v>1.0589999999999999</v>
      </c>
      <c r="BA419" s="198">
        <v>8.8201999999999998</v>
      </c>
      <c r="BB419" s="199">
        <v>0.11337999999999999</v>
      </c>
      <c r="BD419" s="197">
        <v>1.0589999999999999</v>
      </c>
      <c r="BE419" s="198">
        <v>4.4100999999999999</v>
      </c>
      <c r="BF419" s="199">
        <v>0.18522</v>
      </c>
      <c r="BH419" s="197">
        <v>1.0589999999999999</v>
      </c>
      <c r="BI419" s="198">
        <v>226.75</v>
      </c>
      <c r="BJ419" s="199">
        <v>5.399</v>
      </c>
      <c r="BL419" s="197">
        <v>1.0589999999999999</v>
      </c>
      <c r="BM419" s="198">
        <v>3.9376000000000002</v>
      </c>
      <c r="BN419" s="199">
        <v>0.16538</v>
      </c>
      <c r="BP419" s="197">
        <v>1.0589999999999999</v>
      </c>
      <c r="BQ419" s="200">
        <v>253.96</v>
      </c>
      <c r="BR419" s="199">
        <v>6.0469999999999997</v>
      </c>
      <c r="BT419" s="197">
        <v>1.0589999999999999</v>
      </c>
      <c r="BU419" s="201">
        <v>0.85809999999999997</v>
      </c>
      <c r="BV419" s="202">
        <v>0.96099999999999997</v>
      </c>
      <c r="BX419" s="37">
        <v>1059</v>
      </c>
      <c r="BY419" s="38">
        <v>1.0597000000000001</v>
      </c>
      <c r="BZ419" s="39">
        <v>2.0299999999999998</v>
      </c>
      <c r="CA419" s="33"/>
      <c r="CB419" s="37">
        <v>1059</v>
      </c>
      <c r="CC419" s="38">
        <v>0.15892999999999999</v>
      </c>
      <c r="CD419" s="42">
        <v>6.2919999999999998</v>
      </c>
      <c r="CE419" s="33"/>
      <c r="CF419" s="33"/>
      <c r="CG419" s="33"/>
      <c r="CH419" s="33"/>
      <c r="CI419" s="33"/>
      <c r="CJ419" s="33"/>
      <c r="CK419" s="33"/>
      <c r="CL419" s="40">
        <v>1059</v>
      </c>
      <c r="CM419" s="43">
        <v>1057.9000000000001</v>
      </c>
      <c r="CN419" s="41">
        <v>0.94520000000000004</v>
      </c>
      <c r="CO419" s="33"/>
      <c r="CP419" s="40">
        <v>1059</v>
      </c>
      <c r="CQ419" s="34">
        <v>1.1661999999999999</v>
      </c>
      <c r="CR419" s="41">
        <v>1.0411999999999999</v>
      </c>
      <c r="CS419" s="33"/>
      <c r="CT419" s="40">
        <v>1059</v>
      </c>
      <c r="CU419" s="44">
        <v>249.79</v>
      </c>
      <c r="CV419" s="42">
        <v>5.9470000000000001</v>
      </c>
    </row>
    <row r="420" spans="4:100">
      <c r="D420" s="30">
        <v>41</v>
      </c>
      <c r="E420" s="31">
        <v>0.82030000000000003</v>
      </c>
      <c r="F420" s="32">
        <v>819.9</v>
      </c>
      <c r="G420" s="33"/>
      <c r="H420" s="30">
        <v>41</v>
      </c>
      <c r="I420" s="34">
        <v>3.7835999999999999</v>
      </c>
      <c r="J420" s="35">
        <v>0.15891</v>
      </c>
      <c r="L420" s="30">
        <v>41</v>
      </c>
      <c r="M420" s="172">
        <v>6.83</v>
      </c>
      <c r="N420" s="173">
        <v>0.14641999999999999</v>
      </c>
      <c r="P420" s="30">
        <v>41</v>
      </c>
      <c r="Q420" s="172">
        <v>3.4148999999999998</v>
      </c>
      <c r="R420" s="173">
        <v>0.14341999999999999</v>
      </c>
      <c r="T420" s="30">
        <v>41</v>
      </c>
      <c r="U420" s="172">
        <v>292.84000000000299</v>
      </c>
      <c r="V420" s="173">
        <v>6.9720000000000102</v>
      </c>
      <c r="X420" s="30">
        <v>41</v>
      </c>
      <c r="Y420" s="34">
        <v>3.0489999999999999</v>
      </c>
      <c r="Z420" s="35">
        <v>0.12806000000000001</v>
      </c>
      <c r="AA420" s="36"/>
      <c r="AB420" s="30">
        <v>41</v>
      </c>
      <c r="AC420" s="44">
        <v>327.98</v>
      </c>
      <c r="AD420" s="35">
        <v>7.8090000000000002</v>
      </c>
      <c r="AE420" s="36"/>
      <c r="AF420" s="30">
        <v>41</v>
      </c>
      <c r="AG420" s="34">
        <v>3.0979000000000001</v>
      </c>
      <c r="AH420" s="35">
        <v>0.13011</v>
      </c>
      <c r="AI420" s="35"/>
      <c r="AJ420" s="35">
        <v>0.12787999999999999</v>
      </c>
      <c r="AK420" s="998">
        <v>44</v>
      </c>
      <c r="AM420" s="30">
        <v>41</v>
      </c>
      <c r="AN420" s="34">
        <v>1.1080000000000001</v>
      </c>
      <c r="AO420" s="35">
        <v>1.2408999999999999</v>
      </c>
      <c r="AQ420" s="197">
        <v>1.06</v>
      </c>
      <c r="AR420" s="200">
        <v>1.99</v>
      </c>
      <c r="AS420" s="199">
        <v>1059.3</v>
      </c>
      <c r="AZ420" s="197">
        <v>1.06</v>
      </c>
      <c r="BA420" s="198">
        <v>8.8285</v>
      </c>
      <c r="BB420" s="199">
        <v>0.11327</v>
      </c>
      <c r="BD420" s="197">
        <v>1.06</v>
      </c>
      <c r="BE420" s="198">
        <v>4.4142999999999999</v>
      </c>
      <c r="BF420" s="199">
        <v>0.18540000000000001</v>
      </c>
      <c r="BH420" s="197">
        <v>1.06</v>
      </c>
      <c r="BI420" s="198">
        <v>226.54</v>
      </c>
      <c r="BJ420" s="199">
        <v>5.3940000000000001</v>
      </c>
      <c r="BL420" s="197">
        <v>1.06</v>
      </c>
      <c r="BM420" s="198">
        <v>3.9413</v>
      </c>
      <c r="BN420" s="199">
        <v>0.16553000000000001</v>
      </c>
      <c r="BP420" s="197">
        <v>1.06</v>
      </c>
      <c r="BQ420" s="200">
        <v>253.72</v>
      </c>
      <c r="BR420" s="199">
        <v>6.0410000000000004</v>
      </c>
      <c r="BT420" s="197">
        <v>1.06</v>
      </c>
      <c r="BU420" s="201">
        <v>0.85719999999999996</v>
      </c>
      <c r="BV420" s="202">
        <v>0.96009999999999995</v>
      </c>
      <c r="BX420" s="37">
        <v>1060</v>
      </c>
      <c r="BY420" s="38">
        <v>1.0607</v>
      </c>
      <c r="BZ420" s="39">
        <v>1.91</v>
      </c>
      <c r="CA420" s="33"/>
      <c r="CB420" s="37">
        <v>1060</v>
      </c>
      <c r="CC420" s="38">
        <v>0.15892999999999999</v>
      </c>
      <c r="CD420" s="42">
        <v>6.2919999999999998</v>
      </c>
      <c r="CE420" s="33"/>
      <c r="CF420" s="33"/>
      <c r="CG420" s="33"/>
      <c r="CH420" s="33"/>
      <c r="CI420" s="33"/>
      <c r="CJ420" s="33"/>
      <c r="CK420" s="33"/>
      <c r="CL420" s="40">
        <v>1060</v>
      </c>
      <c r="CM420" s="43">
        <v>1058.9000000000001</v>
      </c>
      <c r="CN420" s="41">
        <v>0.94430000000000003</v>
      </c>
      <c r="CO420" s="33"/>
      <c r="CP420" s="40">
        <v>1060</v>
      </c>
      <c r="CQ420" s="34">
        <v>1.1673</v>
      </c>
      <c r="CR420" s="41">
        <v>1.0422</v>
      </c>
      <c r="CS420" s="33"/>
      <c r="CT420" s="40">
        <v>1060</v>
      </c>
      <c r="CU420" s="44">
        <v>249.55</v>
      </c>
      <c r="CV420" s="42">
        <v>5.9420000000000002</v>
      </c>
    </row>
    <row r="421" spans="4:100">
      <c r="D421" s="30">
        <v>41.1</v>
      </c>
      <c r="E421" s="31">
        <v>0.81979999999999997</v>
      </c>
      <c r="F421" s="32">
        <v>819.4</v>
      </c>
      <c r="G421" s="33"/>
      <c r="H421" s="30">
        <v>41.1</v>
      </c>
      <c r="I421" s="34">
        <v>3.7835000000000001</v>
      </c>
      <c r="J421" s="35">
        <v>0.15891</v>
      </c>
      <c r="L421" s="30">
        <v>41.1</v>
      </c>
      <c r="M421" s="172">
        <v>6.8259999999999996</v>
      </c>
      <c r="N421" s="173">
        <v>0.14649999999999999</v>
      </c>
      <c r="P421" s="30">
        <v>41.1</v>
      </c>
      <c r="Q421" s="172">
        <v>3.4129</v>
      </c>
      <c r="R421" s="173">
        <v>0.14334</v>
      </c>
      <c r="T421" s="30">
        <v>41.1</v>
      </c>
      <c r="U421" s="172">
        <v>293.010000000003</v>
      </c>
      <c r="V421" s="173">
        <v>6.9760000000000097</v>
      </c>
      <c r="X421" s="30">
        <v>41.1</v>
      </c>
      <c r="Y421" s="34">
        <v>3.0472000000000001</v>
      </c>
      <c r="Z421" s="35">
        <v>0.12798000000000001</v>
      </c>
      <c r="AA421" s="36"/>
      <c r="AB421" s="30">
        <v>41.1</v>
      </c>
      <c r="AC421" s="44">
        <v>328.17</v>
      </c>
      <c r="AD421" s="35">
        <v>7.8140000000000001</v>
      </c>
      <c r="AE421" s="36"/>
      <c r="AF421" s="30">
        <v>41.1</v>
      </c>
      <c r="AG421" s="34">
        <v>3.0960999999999999</v>
      </c>
      <c r="AH421" s="35">
        <v>0.13003999999999999</v>
      </c>
      <c r="AI421" s="35"/>
      <c r="AJ421" s="35">
        <v>0.12795999999999999</v>
      </c>
      <c r="AK421" s="998">
        <v>43.9</v>
      </c>
      <c r="AM421" s="30">
        <v>41.1</v>
      </c>
      <c r="AN421" s="34">
        <v>1.1086</v>
      </c>
      <c r="AO421" s="35">
        <v>1.2416</v>
      </c>
      <c r="AQ421" s="197">
        <v>1.0609999999999999</v>
      </c>
      <c r="AR421" s="200">
        <v>1.86</v>
      </c>
      <c r="AS421" s="199">
        <v>1060.3</v>
      </c>
      <c r="AZ421" s="197">
        <v>1.0609999999999999</v>
      </c>
      <c r="BA421" s="198">
        <v>8.8368000000000002</v>
      </c>
      <c r="BB421" s="199">
        <v>0.11316</v>
      </c>
      <c r="BD421" s="197">
        <v>1.0609999999999999</v>
      </c>
      <c r="BE421" s="198">
        <v>4.4184000000000001</v>
      </c>
      <c r="BF421" s="199">
        <v>0.18557000000000001</v>
      </c>
      <c r="BH421" s="197">
        <v>1.0609999999999999</v>
      </c>
      <c r="BI421" s="198">
        <v>226.32</v>
      </c>
      <c r="BJ421" s="199">
        <v>5.3890000000000002</v>
      </c>
      <c r="BL421" s="197">
        <v>1.0609999999999999</v>
      </c>
      <c r="BM421" s="198">
        <v>3.9449999999999998</v>
      </c>
      <c r="BN421" s="199">
        <v>0.16569</v>
      </c>
      <c r="BP421" s="197">
        <v>1.0609999999999999</v>
      </c>
      <c r="BQ421" s="200">
        <v>253.48</v>
      </c>
      <c r="BR421" s="199">
        <v>6.0350000000000001</v>
      </c>
      <c r="BT421" s="197">
        <v>1.0609999999999999</v>
      </c>
      <c r="BU421" s="201">
        <v>0.85640000000000005</v>
      </c>
      <c r="BV421" s="202">
        <v>0.95920000000000005</v>
      </c>
      <c r="BX421" s="37">
        <v>1061</v>
      </c>
      <c r="BY421" s="38">
        <v>1.0617000000000001</v>
      </c>
      <c r="BZ421" s="39">
        <v>1.78</v>
      </c>
      <c r="CA421" s="33"/>
      <c r="CB421" s="37">
        <v>1061</v>
      </c>
      <c r="CC421" s="38">
        <v>0.15892999999999999</v>
      </c>
      <c r="CD421" s="42">
        <v>6.2919999999999998</v>
      </c>
      <c r="CE421" s="33"/>
      <c r="CF421" s="33"/>
      <c r="CG421" s="33"/>
      <c r="CH421" s="33"/>
      <c r="CI421" s="33"/>
      <c r="CJ421" s="33"/>
      <c r="CK421" s="33"/>
      <c r="CL421" s="40">
        <v>1061</v>
      </c>
      <c r="CM421" s="43">
        <v>1059.9000000000001</v>
      </c>
      <c r="CN421" s="41">
        <v>0.94340000000000002</v>
      </c>
      <c r="CO421" s="33"/>
      <c r="CP421" s="40">
        <v>1061</v>
      </c>
      <c r="CQ421" s="34">
        <v>1.1684000000000001</v>
      </c>
      <c r="CR421" s="41">
        <v>1.0431999999999999</v>
      </c>
      <c r="CS421" s="33"/>
      <c r="CT421" s="40">
        <v>1061</v>
      </c>
      <c r="CU421" s="44">
        <v>249.32</v>
      </c>
      <c r="CV421" s="42">
        <v>5.9359999999999999</v>
      </c>
    </row>
    <row r="422" spans="4:100">
      <c r="D422" s="30">
        <v>41.2</v>
      </c>
      <c r="E422" s="31">
        <v>0.81930000000000003</v>
      </c>
      <c r="F422" s="32">
        <v>818.9</v>
      </c>
      <c r="G422" s="33"/>
      <c r="H422" s="30">
        <v>41.2</v>
      </c>
      <c r="I422" s="34">
        <v>3.7835000000000001</v>
      </c>
      <c r="J422" s="35">
        <v>0.15891</v>
      </c>
      <c r="L422" s="30">
        <v>41.2</v>
      </c>
      <c r="M422" s="172">
        <v>6.8220000000000001</v>
      </c>
      <c r="N422" s="173">
        <v>0.14659</v>
      </c>
      <c r="P422" s="30">
        <v>41.2</v>
      </c>
      <c r="Q422" s="172">
        <v>3.4108999999999998</v>
      </c>
      <c r="R422" s="173">
        <v>0.14326</v>
      </c>
      <c r="T422" s="30">
        <v>41.2</v>
      </c>
      <c r="U422" s="172">
        <v>293.18000000000302</v>
      </c>
      <c r="V422" s="173">
        <v>6.9800000000000102</v>
      </c>
      <c r="X422" s="30">
        <v>41.2</v>
      </c>
      <c r="Y422" s="34">
        <v>3.0453999999999999</v>
      </c>
      <c r="Z422" s="35">
        <v>0.12791</v>
      </c>
      <c r="AA422" s="36"/>
      <c r="AB422" s="30">
        <v>41.2</v>
      </c>
      <c r="AC422" s="44">
        <v>328.36</v>
      </c>
      <c r="AD422" s="35">
        <v>7.8179999999999996</v>
      </c>
      <c r="AE422" s="36"/>
      <c r="AF422" s="30">
        <v>41.2</v>
      </c>
      <c r="AG422" s="34">
        <v>3.0943000000000001</v>
      </c>
      <c r="AH422" s="35">
        <v>0.12995999999999999</v>
      </c>
      <c r="AI422" s="35"/>
      <c r="AJ422" s="35">
        <v>0.12803</v>
      </c>
      <c r="AK422" s="998">
        <v>43.8</v>
      </c>
      <c r="AM422" s="30">
        <v>41.2</v>
      </c>
      <c r="AN422" s="34">
        <v>1.1093</v>
      </c>
      <c r="AO422" s="35">
        <v>1.2423999999999999</v>
      </c>
      <c r="AQ422" s="197">
        <v>1.0620000000000001</v>
      </c>
      <c r="AR422" s="200">
        <v>1.74</v>
      </c>
      <c r="AS422" s="199">
        <v>1061.3</v>
      </c>
      <c r="AZ422" s="197">
        <v>1.0620000000000001</v>
      </c>
      <c r="BA422" s="198">
        <v>8.8452000000000002</v>
      </c>
      <c r="BB422" s="199">
        <v>0.11305999999999999</v>
      </c>
      <c r="BD422" s="197">
        <v>1.0620000000000001</v>
      </c>
      <c r="BE422" s="198">
        <v>4.4226000000000001</v>
      </c>
      <c r="BF422" s="199">
        <v>0.18575</v>
      </c>
      <c r="BH422" s="197">
        <v>1.0620000000000001</v>
      </c>
      <c r="BI422" s="198">
        <v>226.11</v>
      </c>
      <c r="BJ422" s="199">
        <v>5.3840000000000003</v>
      </c>
      <c r="BL422" s="197">
        <v>1.0620000000000001</v>
      </c>
      <c r="BM422" s="198">
        <v>3.9487000000000001</v>
      </c>
      <c r="BN422" s="199">
        <v>0.16585</v>
      </c>
      <c r="BP422" s="197">
        <v>1.0620000000000001</v>
      </c>
      <c r="BQ422" s="200">
        <v>253.25</v>
      </c>
      <c r="BR422" s="199">
        <v>6.03</v>
      </c>
      <c r="BT422" s="197">
        <v>1.0620000000000001</v>
      </c>
      <c r="BU422" s="201">
        <v>0.85560000000000003</v>
      </c>
      <c r="BV422" s="202">
        <v>0.95830000000000004</v>
      </c>
      <c r="BX422" s="37">
        <v>1062</v>
      </c>
      <c r="BY422" s="38">
        <v>1.0627</v>
      </c>
      <c r="BZ422" s="39">
        <v>1.65</v>
      </c>
      <c r="CA422" s="33"/>
      <c r="CB422" s="37">
        <v>1062</v>
      </c>
      <c r="CC422" s="38">
        <v>0.15892999999999999</v>
      </c>
      <c r="CD422" s="42">
        <v>6.2919999999999998</v>
      </c>
      <c r="CE422" s="33"/>
      <c r="CF422" s="33"/>
      <c r="CG422" s="33"/>
      <c r="CH422" s="33"/>
      <c r="CI422" s="33"/>
      <c r="CJ422" s="33"/>
      <c r="CK422" s="33"/>
      <c r="CL422" s="40">
        <v>1062</v>
      </c>
      <c r="CM422" s="43">
        <v>1060.9000000000001</v>
      </c>
      <c r="CN422" s="41">
        <v>0.94259999999999999</v>
      </c>
      <c r="CO422" s="33"/>
      <c r="CP422" s="40">
        <v>1062</v>
      </c>
      <c r="CQ422" s="34">
        <v>1.1695</v>
      </c>
      <c r="CR422" s="41">
        <v>1.0442</v>
      </c>
      <c r="CS422" s="33"/>
      <c r="CT422" s="40">
        <v>1062</v>
      </c>
      <c r="CU422" s="44">
        <v>249.08</v>
      </c>
      <c r="CV422" s="42">
        <v>5.931</v>
      </c>
    </row>
    <row r="423" spans="4:100">
      <c r="D423" s="30">
        <v>41.3</v>
      </c>
      <c r="E423" s="31">
        <v>0.81889999999999996</v>
      </c>
      <c r="F423" s="32">
        <v>818.5</v>
      </c>
      <c r="G423" s="33"/>
      <c r="H423" s="30">
        <v>41.3</v>
      </c>
      <c r="I423" s="34">
        <v>3.7835000000000001</v>
      </c>
      <c r="J423" s="35">
        <v>0.15891</v>
      </c>
      <c r="L423" s="30">
        <v>41.3</v>
      </c>
      <c r="M423" s="172">
        <v>6.8179999999999996</v>
      </c>
      <c r="N423" s="173">
        <v>0.14666999999999999</v>
      </c>
      <c r="P423" s="30">
        <v>41.3</v>
      </c>
      <c r="Q423" s="172">
        <v>3.4089</v>
      </c>
      <c r="R423" s="173">
        <v>0.14316999999999999</v>
      </c>
      <c r="T423" s="30">
        <v>41.3</v>
      </c>
      <c r="U423" s="172">
        <v>293.35000000000298</v>
      </c>
      <c r="V423" s="173">
        <v>6.9840000000000098</v>
      </c>
      <c r="X423" s="30">
        <v>41.3</v>
      </c>
      <c r="Y423" s="34">
        <v>3.0436999999999999</v>
      </c>
      <c r="Z423" s="35">
        <v>0.12783</v>
      </c>
      <c r="AA423" s="36"/>
      <c r="AB423" s="30">
        <v>41.3</v>
      </c>
      <c r="AC423" s="44">
        <v>328.55</v>
      </c>
      <c r="AD423" s="35">
        <v>7.8230000000000004</v>
      </c>
      <c r="AE423" s="36"/>
      <c r="AF423" s="30">
        <v>41.3</v>
      </c>
      <c r="AG423" s="34">
        <v>3.0924999999999998</v>
      </c>
      <c r="AH423" s="35">
        <v>0.12989000000000001</v>
      </c>
      <c r="AI423" s="35"/>
      <c r="AJ423" s="35">
        <v>0.12809999999999999</v>
      </c>
      <c r="AK423" s="998">
        <v>43.7</v>
      </c>
      <c r="AM423" s="30">
        <v>41.3</v>
      </c>
      <c r="AN423" s="34">
        <v>1.1099000000000001</v>
      </c>
      <c r="AO423" s="35">
        <v>1.2431000000000001</v>
      </c>
      <c r="AQ423" s="197">
        <v>1.0629999999999999</v>
      </c>
      <c r="AR423" s="200">
        <v>1.61</v>
      </c>
      <c r="AS423" s="199">
        <v>1062.3</v>
      </c>
      <c r="AZ423" s="197">
        <v>1.0629999999999999</v>
      </c>
      <c r="BA423" s="198">
        <v>8.8535000000000004</v>
      </c>
      <c r="BB423" s="199">
        <v>0.11294999999999999</v>
      </c>
      <c r="BD423" s="197">
        <v>1.0629999999999999</v>
      </c>
      <c r="BE423" s="198">
        <v>4.4268000000000001</v>
      </c>
      <c r="BF423" s="199">
        <v>0.18592</v>
      </c>
      <c r="BH423" s="197">
        <v>1.0629999999999999</v>
      </c>
      <c r="BI423" s="198">
        <v>225.9</v>
      </c>
      <c r="BJ423" s="199">
        <v>5.3789999999999996</v>
      </c>
      <c r="BL423" s="197">
        <v>1.0629999999999999</v>
      </c>
      <c r="BM423" s="198">
        <v>3.9525000000000001</v>
      </c>
      <c r="BN423" s="199">
        <v>0.16600000000000001</v>
      </c>
      <c r="BP423" s="197">
        <v>1.0629999999999999</v>
      </c>
      <c r="BQ423" s="200">
        <v>253.01</v>
      </c>
      <c r="BR423" s="199">
        <v>6.024</v>
      </c>
      <c r="BT423" s="197">
        <v>1.0629999999999999</v>
      </c>
      <c r="BU423" s="201">
        <v>0.8548</v>
      </c>
      <c r="BV423" s="202">
        <v>0.95740000000000003</v>
      </c>
      <c r="BX423" s="37">
        <v>1063</v>
      </c>
      <c r="BY423" s="38">
        <v>1.0637000000000001</v>
      </c>
      <c r="BZ423" s="39">
        <v>1.53</v>
      </c>
      <c r="CA423" s="33"/>
      <c r="CB423" s="37">
        <v>1063</v>
      </c>
      <c r="CC423" s="38">
        <v>0.15892999999999999</v>
      </c>
      <c r="CD423" s="42">
        <v>6.2919999999999998</v>
      </c>
      <c r="CE423" s="33"/>
      <c r="CF423" s="33"/>
      <c r="CG423" s="33"/>
      <c r="CH423" s="33"/>
      <c r="CI423" s="33"/>
      <c r="CJ423" s="33"/>
      <c r="CK423" s="33"/>
      <c r="CL423" s="40">
        <v>1063</v>
      </c>
      <c r="CM423" s="43">
        <v>1061.9000000000001</v>
      </c>
      <c r="CN423" s="41">
        <v>0.94169999999999998</v>
      </c>
      <c r="CO423" s="33"/>
      <c r="CP423" s="40">
        <v>1063</v>
      </c>
      <c r="CQ423" s="34">
        <v>1.1706000000000001</v>
      </c>
      <c r="CR423" s="41">
        <v>1.0451999999999999</v>
      </c>
      <c r="CS423" s="33"/>
      <c r="CT423" s="40">
        <v>1063</v>
      </c>
      <c r="CU423" s="44">
        <v>248.85</v>
      </c>
      <c r="CV423" s="42">
        <v>5.9249999999999998</v>
      </c>
    </row>
    <row r="424" spans="4:100">
      <c r="D424" s="30">
        <v>41.4</v>
      </c>
      <c r="E424" s="31">
        <v>0.81840000000000002</v>
      </c>
      <c r="F424" s="32">
        <v>818</v>
      </c>
      <c r="G424" s="33"/>
      <c r="H424" s="30">
        <v>41.4</v>
      </c>
      <c r="I424" s="34">
        <v>3.7835000000000001</v>
      </c>
      <c r="J424" s="35">
        <v>0.15891</v>
      </c>
      <c r="L424" s="30">
        <v>41.4</v>
      </c>
      <c r="M424" s="172">
        <v>6.8140000000000001</v>
      </c>
      <c r="N424" s="173">
        <v>0.14676</v>
      </c>
      <c r="P424" s="30">
        <v>41.4</v>
      </c>
      <c r="Q424" s="172">
        <v>3.4068999999999998</v>
      </c>
      <c r="R424" s="173">
        <v>0.14308999999999999</v>
      </c>
      <c r="T424" s="30">
        <v>41.4</v>
      </c>
      <c r="U424" s="172">
        <v>293.52000000000299</v>
      </c>
      <c r="V424" s="173">
        <v>6.9889999999999999</v>
      </c>
      <c r="X424" s="30">
        <v>41.4</v>
      </c>
      <c r="Y424" s="34">
        <v>3.0419</v>
      </c>
      <c r="Z424" s="35">
        <v>0.12776000000000001</v>
      </c>
      <c r="AA424" s="36"/>
      <c r="AB424" s="30">
        <v>41.4</v>
      </c>
      <c r="AC424" s="44">
        <v>328.74</v>
      </c>
      <c r="AD424" s="35">
        <v>7.827</v>
      </c>
      <c r="AE424" s="36"/>
      <c r="AF424" s="30">
        <v>41.4</v>
      </c>
      <c r="AG424" s="34">
        <v>3.0907</v>
      </c>
      <c r="AH424" s="35">
        <v>0.12981000000000001</v>
      </c>
      <c r="AI424" s="35"/>
      <c r="AJ424" s="35">
        <v>0.12817999999999999</v>
      </c>
      <c r="AK424" s="998">
        <v>43.6</v>
      </c>
      <c r="AM424" s="30">
        <v>41.4</v>
      </c>
      <c r="AN424" s="34">
        <v>1.1105</v>
      </c>
      <c r="AO424" s="35">
        <v>1.2438</v>
      </c>
      <c r="AQ424" s="197">
        <v>1.0640000000000001</v>
      </c>
      <c r="AR424" s="200">
        <v>1.49</v>
      </c>
      <c r="AS424" s="199">
        <v>1063.3</v>
      </c>
      <c r="AZ424" s="197">
        <v>1.0640000000000001</v>
      </c>
      <c r="BA424" s="198">
        <v>8.8619000000000003</v>
      </c>
      <c r="BB424" s="199">
        <v>0.11284</v>
      </c>
      <c r="BD424" s="197">
        <v>1.0640000000000001</v>
      </c>
      <c r="BE424" s="198">
        <v>4.4309000000000003</v>
      </c>
      <c r="BF424" s="199">
        <v>0.18609999999999999</v>
      </c>
      <c r="BH424" s="197">
        <v>1.0640000000000001</v>
      </c>
      <c r="BI424" s="198">
        <v>225.69</v>
      </c>
      <c r="BJ424" s="199">
        <v>5.3730000000000002</v>
      </c>
      <c r="BL424" s="197">
        <v>1.0640000000000001</v>
      </c>
      <c r="BM424" s="198">
        <v>3.9561999999999999</v>
      </c>
      <c r="BN424" s="199">
        <v>0.16616</v>
      </c>
      <c r="BP424" s="197">
        <v>1.0640000000000001</v>
      </c>
      <c r="BQ424" s="200">
        <v>252.77</v>
      </c>
      <c r="BR424" s="199">
        <v>6.0179999999999998</v>
      </c>
      <c r="BT424" s="197">
        <v>1.0640000000000001</v>
      </c>
      <c r="BU424" s="201">
        <v>0.85399999999999998</v>
      </c>
      <c r="BV424" s="202">
        <v>0.95650000000000002</v>
      </c>
      <c r="BX424" s="37">
        <v>1064</v>
      </c>
      <c r="BY424" s="38">
        <v>1.0647</v>
      </c>
      <c r="BZ424" s="39">
        <v>1.4</v>
      </c>
      <c r="CA424" s="33"/>
      <c r="CB424" s="37">
        <v>1064</v>
      </c>
      <c r="CC424" s="38">
        <v>0.15892999999999999</v>
      </c>
      <c r="CD424" s="42">
        <v>6.2919999999999998</v>
      </c>
      <c r="CE424" s="33"/>
      <c r="CF424" s="33"/>
      <c r="CG424" s="33"/>
      <c r="CH424" s="33"/>
      <c r="CI424" s="33"/>
      <c r="CJ424" s="33"/>
      <c r="CK424" s="33"/>
      <c r="CL424" s="40">
        <v>1064</v>
      </c>
      <c r="CM424" s="43">
        <v>1062.9000000000001</v>
      </c>
      <c r="CN424" s="41">
        <v>0.94079999999999997</v>
      </c>
      <c r="CO424" s="33"/>
      <c r="CP424" s="40">
        <v>1064</v>
      </c>
      <c r="CQ424" s="34">
        <v>1.1717</v>
      </c>
      <c r="CR424" s="41">
        <v>1.0462</v>
      </c>
      <c r="CS424" s="33"/>
      <c r="CT424" s="40">
        <v>1064</v>
      </c>
      <c r="CU424" s="44">
        <v>248.61</v>
      </c>
      <c r="CV424" s="42">
        <v>5.9189999999999996</v>
      </c>
    </row>
    <row r="425" spans="4:100">
      <c r="D425" s="30">
        <v>41.5</v>
      </c>
      <c r="E425" s="31">
        <v>0.81789999999999996</v>
      </c>
      <c r="F425" s="32">
        <v>817.5</v>
      </c>
      <c r="G425" s="33"/>
      <c r="H425" s="30">
        <v>41.5</v>
      </c>
      <c r="I425" s="34">
        <v>3.7835000000000001</v>
      </c>
      <c r="J425" s="35">
        <v>0.15891</v>
      </c>
      <c r="L425" s="30">
        <v>41.5</v>
      </c>
      <c r="M425" s="172">
        <v>6.81</v>
      </c>
      <c r="N425" s="173">
        <v>0.14684</v>
      </c>
      <c r="P425" s="30">
        <v>41.5</v>
      </c>
      <c r="Q425" s="172">
        <v>3.4049999999999998</v>
      </c>
      <c r="R425" s="173">
        <v>0.14301</v>
      </c>
      <c r="T425" s="30">
        <v>41.5</v>
      </c>
      <c r="U425" s="172">
        <v>293.69000000000301</v>
      </c>
      <c r="V425" s="173">
        <v>6.9930000000000003</v>
      </c>
      <c r="X425" s="30">
        <v>41.5</v>
      </c>
      <c r="Y425" s="34">
        <v>3.0402</v>
      </c>
      <c r="Z425" s="35">
        <v>0.12769</v>
      </c>
      <c r="AA425" s="36"/>
      <c r="AB425" s="30">
        <v>41.5</v>
      </c>
      <c r="AC425" s="44">
        <v>328.93</v>
      </c>
      <c r="AD425" s="35">
        <v>7.8319999999999999</v>
      </c>
      <c r="AE425" s="36"/>
      <c r="AF425" s="30">
        <v>41.5</v>
      </c>
      <c r="AG425" s="34">
        <v>3.0889000000000002</v>
      </c>
      <c r="AH425" s="35">
        <v>0.12973999999999999</v>
      </c>
      <c r="AI425" s="35"/>
      <c r="AJ425" s="35">
        <v>0.12825</v>
      </c>
      <c r="AK425" s="998">
        <v>43.5</v>
      </c>
      <c r="AM425" s="30">
        <v>41.5</v>
      </c>
      <c r="AN425" s="34">
        <v>1.1112</v>
      </c>
      <c r="AO425" s="35">
        <v>1.2444999999999999</v>
      </c>
      <c r="AQ425" s="197">
        <v>1.0649999999999999</v>
      </c>
      <c r="AR425" s="200">
        <v>1.36</v>
      </c>
      <c r="AS425" s="199">
        <v>1064.3</v>
      </c>
      <c r="AZ425" s="197">
        <v>1.0649999999999999</v>
      </c>
      <c r="BA425" s="198">
        <v>8.8702000000000005</v>
      </c>
      <c r="BB425" s="199">
        <v>0.11274000000000001</v>
      </c>
      <c r="BD425" s="197">
        <v>1.0649999999999999</v>
      </c>
      <c r="BE425" s="198">
        <v>4.4351000000000003</v>
      </c>
      <c r="BF425" s="199">
        <v>0.18626999999999999</v>
      </c>
      <c r="BH425" s="197">
        <v>1.0649999999999999</v>
      </c>
      <c r="BI425" s="198">
        <v>225.47</v>
      </c>
      <c r="BJ425" s="199">
        <v>5.3680000000000003</v>
      </c>
      <c r="BL425" s="197">
        <v>1.0649999999999999</v>
      </c>
      <c r="BM425" s="198">
        <v>3.9599000000000002</v>
      </c>
      <c r="BN425" s="199">
        <v>0.16632</v>
      </c>
      <c r="BP425" s="197">
        <v>1.0649999999999999</v>
      </c>
      <c r="BQ425" s="200">
        <v>252.53</v>
      </c>
      <c r="BR425" s="199">
        <v>6.0129999999999999</v>
      </c>
      <c r="BT425" s="197">
        <v>1.0649999999999999</v>
      </c>
      <c r="BU425" s="201">
        <v>0.85319999999999996</v>
      </c>
      <c r="BV425" s="202">
        <v>0.9556</v>
      </c>
      <c r="BX425" s="37">
        <v>1065</v>
      </c>
      <c r="BY425" s="38">
        <v>1.0657000000000001</v>
      </c>
      <c r="BZ425" s="39">
        <v>1.28</v>
      </c>
      <c r="CA425" s="33"/>
      <c r="CB425" s="37">
        <v>1065</v>
      </c>
      <c r="CC425" s="38">
        <v>0.15892999999999999</v>
      </c>
      <c r="CD425" s="42">
        <v>6.2919999999999998</v>
      </c>
      <c r="CE425" s="33"/>
      <c r="CF425" s="33"/>
      <c r="CG425" s="33"/>
      <c r="CH425" s="33"/>
      <c r="CI425" s="33"/>
      <c r="CJ425" s="33"/>
      <c r="CK425" s="33"/>
      <c r="CL425" s="40">
        <v>1065</v>
      </c>
      <c r="CM425" s="43">
        <v>1063.9000000000001</v>
      </c>
      <c r="CN425" s="41">
        <v>0.93989999999999996</v>
      </c>
      <c r="CO425" s="33"/>
      <c r="CP425" s="40">
        <v>1065</v>
      </c>
      <c r="CQ425" s="34">
        <v>1.1728000000000001</v>
      </c>
      <c r="CR425" s="41">
        <v>1.0470999999999999</v>
      </c>
      <c r="CS425" s="33"/>
      <c r="CT425" s="40">
        <v>1065</v>
      </c>
      <c r="CU425" s="44">
        <v>248.38</v>
      </c>
      <c r="CV425" s="42">
        <v>5.9139999999999997</v>
      </c>
    </row>
    <row r="426" spans="4:100">
      <c r="D426" s="30">
        <v>41.6</v>
      </c>
      <c r="E426" s="31">
        <v>0.81740000000000002</v>
      </c>
      <c r="F426" s="32">
        <v>817</v>
      </c>
      <c r="G426" s="33"/>
      <c r="H426" s="30">
        <v>41.6</v>
      </c>
      <c r="I426" s="34">
        <v>3.7835000000000001</v>
      </c>
      <c r="J426" s="35">
        <v>0.15891</v>
      </c>
      <c r="L426" s="30">
        <v>41.6</v>
      </c>
      <c r="M426" s="172">
        <v>6.806</v>
      </c>
      <c r="N426" s="173">
        <v>0.14693000000000001</v>
      </c>
      <c r="P426" s="30">
        <v>41.6</v>
      </c>
      <c r="Q426" s="172">
        <v>3.403</v>
      </c>
      <c r="R426" s="173">
        <v>0.14293</v>
      </c>
      <c r="T426" s="30">
        <v>41.6</v>
      </c>
      <c r="U426" s="172">
        <v>293.86000000000303</v>
      </c>
      <c r="V426" s="173">
        <v>6.9969999999999999</v>
      </c>
      <c r="X426" s="30">
        <v>41.6</v>
      </c>
      <c r="Y426" s="34">
        <v>3.0384000000000002</v>
      </c>
      <c r="Z426" s="35">
        <v>0.12761</v>
      </c>
      <c r="AA426" s="36"/>
      <c r="AB426" s="30">
        <v>41.6</v>
      </c>
      <c r="AC426" s="44">
        <v>329.12</v>
      </c>
      <c r="AD426" s="35">
        <v>7.8360000000000003</v>
      </c>
      <c r="AE426" s="36"/>
      <c r="AF426" s="30">
        <v>41.6</v>
      </c>
      <c r="AG426" s="34">
        <v>3.0872000000000002</v>
      </c>
      <c r="AH426" s="35">
        <v>0.12966</v>
      </c>
      <c r="AI426" s="35"/>
      <c r="AJ426" s="35">
        <v>0.12831999999999999</v>
      </c>
      <c r="AK426" s="998">
        <v>43.4</v>
      </c>
      <c r="AM426" s="30">
        <v>41.6</v>
      </c>
      <c r="AN426" s="34">
        <v>1.1117999999999999</v>
      </c>
      <c r="AO426" s="35">
        <v>1.2452000000000001</v>
      </c>
      <c r="AQ426" s="197">
        <v>1.0660000000000001</v>
      </c>
      <c r="AR426" s="200">
        <v>1.24</v>
      </c>
      <c r="AS426" s="199">
        <v>1065.3</v>
      </c>
      <c r="AZ426" s="197">
        <v>1.0660000000000001</v>
      </c>
      <c r="BA426" s="198">
        <v>8.8785000000000007</v>
      </c>
      <c r="BB426" s="199">
        <v>0.11262999999999999</v>
      </c>
      <c r="BD426" s="197">
        <v>1.0660000000000001</v>
      </c>
      <c r="BE426" s="198">
        <v>4.4393000000000002</v>
      </c>
      <c r="BF426" s="199">
        <v>0.18645</v>
      </c>
      <c r="BH426" s="197">
        <v>1.0660000000000001</v>
      </c>
      <c r="BI426" s="198">
        <v>225.26</v>
      </c>
      <c r="BJ426" s="199">
        <v>5.3630000000000004</v>
      </c>
      <c r="BL426" s="197">
        <v>1.0660000000000001</v>
      </c>
      <c r="BM426" s="198">
        <v>3.9636</v>
      </c>
      <c r="BN426" s="199">
        <v>0.16647000000000001</v>
      </c>
      <c r="BP426" s="197">
        <v>1.0660000000000001</v>
      </c>
      <c r="BQ426" s="200">
        <v>252.29</v>
      </c>
      <c r="BR426" s="199">
        <v>6.0069999999999997</v>
      </c>
      <c r="BT426" s="197">
        <v>1.0660000000000001</v>
      </c>
      <c r="BU426" s="201">
        <v>0.85240000000000005</v>
      </c>
      <c r="BV426" s="202">
        <v>0.95469999999999999</v>
      </c>
      <c r="BX426" s="37">
        <v>1066</v>
      </c>
      <c r="BY426" s="38">
        <v>1.0667</v>
      </c>
      <c r="BZ426" s="39">
        <v>1.1499999999999999</v>
      </c>
      <c r="CA426" s="33"/>
      <c r="CB426" s="37">
        <v>1066</v>
      </c>
      <c r="CC426" s="38">
        <v>0.15892999999999999</v>
      </c>
      <c r="CD426" s="42">
        <v>6.2919999999999998</v>
      </c>
      <c r="CE426" s="33"/>
      <c r="CF426" s="33"/>
      <c r="CG426" s="33"/>
      <c r="CH426" s="33"/>
      <c r="CI426" s="33"/>
      <c r="CJ426" s="33"/>
      <c r="CK426" s="33"/>
      <c r="CL426" s="40">
        <v>1066</v>
      </c>
      <c r="CM426" s="43">
        <v>1064.9000000000001</v>
      </c>
      <c r="CN426" s="41">
        <v>0.93899999999999995</v>
      </c>
      <c r="CO426" s="33"/>
      <c r="CP426" s="40">
        <v>1066</v>
      </c>
      <c r="CQ426" s="34">
        <v>1.1738999999999999</v>
      </c>
      <c r="CR426" s="41">
        <v>1.0481</v>
      </c>
      <c r="CS426" s="33"/>
      <c r="CT426" s="40">
        <v>1066</v>
      </c>
      <c r="CU426" s="44">
        <v>248.15</v>
      </c>
      <c r="CV426" s="42">
        <v>5.9080000000000004</v>
      </c>
    </row>
    <row r="427" spans="4:100">
      <c r="D427" s="30">
        <v>41.7</v>
      </c>
      <c r="E427" s="31">
        <v>0.81699999999999995</v>
      </c>
      <c r="F427" s="32">
        <v>816.6</v>
      </c>
      <c r="G427" s="33"/>
      <c r="H427" s="30">
        <v>41.7</v>
      </c>
      <c r="I427" s="34">
        <v>3.7835000000000001</v>
      </c>
      <c r="J427" s="35">
        <v>0.15891</v>
      </c>
      <c r="L427" s="30">
        <v>41.7</v>
      </c>
      <c r="M427" s="172">
        <v>6.8019999999999996</v>
      </c>
      <c r="N427" s="173">
        <v>0.14701</v>
      </c>
      <c r="P427" s="30">
        <v>41.7</v>
      </c>
      <c r="Q427" s="172">
        <v>3.4009999999999998</v>
      </c>
      <c r="R427" s="173">
        <v>0.14283999999999999</v>
      </c>
      <c r="T427" s="30">
        <v>41.7</v>
      </c>
      <c r="U427" s="172">
        <v>294.03000000000299</v>
      </c>
      <c r="V427" s="173">
        <v>7.0010000000000003</v>
      </c>
      <c r="X427" s="30">
        <v>41.7</v>
      </c>
      <c r="Y427" s="34">
        <v>3.0366</v>
      </c>
      <c r="Z427" s="35">
        <v>0.12753999999999999</v>
      </c>
      <c r="AA427" s="36"/>
      <c r="AB427" s="30">
        <v>41.7</v>
      </c>
      <c r="AC427" s="44">
        <v>329.31</v>
      </c>
      <c r="AD427" s="35">
        <v>7.8410000000000002</v>
      </c>
      <c r="AE427" s="36"/>
      <c r="AF427" s="30">
        <v>41.7</v>
      </c>
      <c r="AG427" s="34">
        <v>3.0853999999999999</v>
      </c>
      <c r="AH427" s="35">
        <v>0.12959000000000001</v>
      </c>
      <c r="AI427" s="35"/>
      <c r="AJ427" s="35">
        <v>0.12839999999999999</v>
      </c>
      <c r="AK427" s="998">
        <v>43.3</v>
      </c>
      <c r="AM427" s="30">
        <v>41.7</v>
      </c>
      <c r="AN427" s="34">
        <v>1.1125</v>
      </c>
      <c r="AO427" s="35">
        <v>1.246</v>
      </c>
      <c r="AQ427" s="197">
        <v>1.0669999999999999</v>
      </c>
      <c r="AR427" s="200">
        <v>1.1100000000000001</v>
      </c>
      <c r="AS427" s="199">
        <v>1066.3</v>
      </c>
      <c r="AZ427" s="197">
        <v>1.0669999999999999</v>
      </c>
      <c r="BA427" s="198">
        <v>8.8869000000000007</v>
      </c>
      <c r="BB427" s="199">
        <v>0.11253000000000001</v>
      </c>
      <c r="BD427" s="197">
        <v>1.0669999999999999</v>
      </c>
      <c r="BE427" s="198">
        <v>4.4433999999999996</v>
      </c>
      <c r="BF427" s="199">
        <v>0.18662000000000001</v>
      </c>
      <c r="BH427" s="197">
        <v>1.0669999999999999</v>
      </c>
      <c r="BI427" s="198">
        <v>225.05</v>
      </c>
      <c r="BJ427" s="199">
        <v>5.3579999999999997</v>
      </c>
      <c r="BL427" s="197">
        <v>1.0669999999999999</v>
      </c>
      <c r="BM427" s="198">
        <v>3.9674</v>
      </c>
      <c r="BN427" s="199">
        <v>0.16663</v>
      </c>
      <c r="BP427" s="197">
        <v>1.0669999999999999</v>
      </c>
      <c r="BQ427" s="200">
        <v>252.06</v>
      </c>
      <c r="BR427" s="199">
        <v>6.0010000000000003</v>
      </c>
      <c r="BT427" s="197">
        <v>1.0669999999999999</v>
      </c>
      <c r="BU427" s="201">
        <v>0.85160000000000002</v>
      </c>
      <c r="BV427" s="202">
        <v>0.95379999999999998</v>
      </c>
      <c r="BX427" s="37">
        <v>1067</v>
      </c>
      <c r="BY427" s="38">
        <v>1.0677000000000001</v>
      </c>
      <c r="BZ427" s="39">
        <v>1.03</v>
      </c>
      <c r="CA427" s="33"/>
      <c r="CB427" s="37">
        <v>1067</v>
      </c>
      <c r="CC427" s="38">
        <v>0.15892999999999999</v>
      </c>
      <c r="CD427" s="42">
        <v>6.2919999999999998</v>
      </c>
      <c r="CE427" s="33"/>
      <c r="CF427" s="33"/>
      <c r="CG427" s="33"/>
      <c r="CH427" s="33"/>
      <c r="CI427" s="33"/>
      <c r="CJ427" s="33"/>
      <c r="CK427" s="33"/>
      <c r="CL427" s="40">
        <v>1067</v>
      </c>
      <c r="CM427" s="43">
        <v>1065.9000000000001</v>
      </c>
      <c r="CN427" s="41">
        <v>0.93810000000000004</v>
      </c>
      <c r="CO427" s="33"/>
      <c r="CP427" s="40">
        <v>1067</v>
      </c>
      <c r="CQ427" s="34">
        <v>1.175</v>
      </c>
      <c r="CR427" s="41">
        <v>1.0490999999999999</v>
      </c>
      <c r="CS427" s="33"/>
      <c r="CT427" s="40">
        <v>1067</v>
      </c>
      <c r="CU427" s="44">
        <v>247.91</v>
      </c>
      <c r="CV427" s="42">
        <v>5.9029999999999996</v>
      </c>
    </row>
    <row r="428" spans="4:100">
      <c r="D428" s="30">
        <v>41.8</v>
      </c>
      <c r="E428" s="31">
        <v>0.8165</v>
      </c>
      <c r="F428" s="32">
        <v>816.1</v>
      </c>
      <c r="G428" s="33"/>
      <c r="H428" s="30">
        <v>41.8</v>
      </c>
      <c r="I428" s="34">
        <v>3.7835000000000001</v>
      </c>
      <c r="J428" s="35">
        <v>0.15891</v>
      </c>
      <c r="L428" s="30">
        <v>41.8</v>
      </c>
      <c r="M428" s="172">
        <v>6.798</v>
      </c>
      <c r="N428" s="173">
        <v>0.14710000000000001</v>
      </c>
      <c r="P428" s="30">
        <v>41.8</v>
      </c>
      <c r="Q428" s="172">
        <v>3.3990999999999998</v>
      </c>
      <c r="R428" s="173">
        <v>0.14276</v>
      </c>
      <c r="T428" s="30">
        <v>41.8</v>
      </c>
      <c r="U428" s="172">
        <v>294.200000000003</v>
      </c>
      <c r="V428" s="173">
        <v>7.0049999999999999</v>
      </c>
      <c r="X428" s="30">
        <v>41.8</v>
      </c>
      <c r="Y428" s="34">
        <v>3.0348999999999999</v>
      </c>
      <c r="Z428" s="35">
        <v>0.12747</v>
      </c>
      <c r="AA428" s="36"/>
      <c r="AB428" s="30">
        <v>41.8</v>
      </c>
      <c r="AC428" s="44">
        <v>329.5</v>
      </c>
      <c r="AD428" s="35">
        <v>7.8449999999999998</v>
      </c>
      <c r="AE428" s="36"/>
      <c r="AF428" s="30">
        <v>41.8</v>
      </c>
      <c r="AG428" s="34">
        <v>3.0836000000000001</v>
      </c>
      <c r="AH428" s="35">
        <v>0.12950999999999999</v>
      </c>
      <c r="AI428" s="35"/>
      <c r="AJ428" s="35">
        <v>0.12847</v>
      </c>
      <c r="AK428" s="998">
        <v>43.2</v>
      </c>
      <c r="AM428" s="30">
        <v>41.8</v>
      </c>
      <c r="AN428" s="34">
        <v>1.1131</v>
      </c>
      <c r="AO428" s="35">
        <v>1.2466999999999999</v>
      </c>
      <c r="AQ428" s="197">
        <v>1.0680000000000001</v>
      </c>
      <c r="AR428" s="200">
        <v>0.99</v>
      </c>
      <c r="AS428" s="199">
        <v>1067.3</v>
      </c>
      <c r="AZ428" s="197">
        <v>1.0680000000000001</v>
      </c>
      <c r="BA428" s="198">
        <v>8.8952000000000009</v>
      </c>
      <c r="BB428" s="199">
        <v>0.11242000000000001</v>
      </c>
      <c r="BD428" s="197">
        <v>1.0680000000000001</v>
      </c>
      <c r="BE428" s="198">
        <v>4.4476000000000004</v>
      </c>
      <c r="BF428" s="199">
        <v>0.18679999999999999</v>
      </c>
      <c r="BH428" s="197">
        <v>1.0680000000000001</v>
      </c>
      <c r="BI428" s="198">
        <v>224.84</v>
      </c>
      <c r="BJ428" s="199">
        <v>5.3529999999999998</v>
      </c>
      <c r="BL428" s="197">
        <v>1.0680000000000001</v>
      </c>
      <c r="BM428" s="198">
        <v>3.9710999999999999</v>
      </c>
      <c r="BN428" s="199">
        <v>0.16678999999999999</v>
      </c>
      <c r="BP428" s="197">
        <v>1.0680000000000001</v>
      </c>
      <c r="BQ428" s="200">
        <v>251.82</v>
      </c>
      <c r="BR428" s="199">
        <v>5.9960000000000004</v>
      </c>
      <c r="BT428" s="197">
        <v>1.0680000000000001</v>
      </c>
      <c r="BU428" s="201">
        <v>0.8508</v>
      </c>
      <c r="BV428" s="202">
        <v>0.95289999999999997</v>
      </c>
      <c r="BX428" s="37">
        <v>1068</v>
      </c>
      <c r="BY428" s="38">
        <v>1.0687</v>
      </c>
      <c r="BZ428" s="39">
        <v>0.91</v>
      </c>
      <c r="CA428" s="33"/>
      <c r="CB428" s="37">
        <v>1068</v>
      </c>
      <c r="CC428" s="38">
        <v>0.15892999999999999</v>
      </c>
      <c r="CD428" s="42">
        <v>6.2919999999999998</v>
      </c>
      <c r="CE428" s="33"/>
      <c r="CF428" s="33"/>
      <c r="CG428" s="33"/>
      <c r="CH428" s="33"/>
      <c r="CI428" s="33"/>
      <c r="CJ428" s="33"/>
      <c r="CK428" s="33"/>
      <c r="CL428" s="40">
        <v>1068</v>
      </c>
      <c r="CM428" s="43">
        <v>1066.9000000000001</v>
      </c>
      <c r="CN428" s="41">
        <v>0.93730000000000002</v>
      </c>
      <c r="CO428" s="33"/>
      <c r="CP428" s="40">
        <v>1068</v>
      </c>
      <c r="CQ428" s="34">
        <v>1.1760999999999999</v>
      </c>
      <c r="CR428" s="41">
        <v>1.0501</v>
      </c>
      <c r="CS428" s="33"/>
      <c r="CT428" s="40">
        <v>1068</v>
      </c>
      <c r="CU428" s="44">
        <v>247.68</v>
      </c>
      <c r="CV428" s="42">
        <v>5.8970000000000002</v>
      </c>
    </row>
    <row r="429" spans="4:100">
      <c r="D429" s="30">
        <v>41.9</v>
      </c>
      <c r="E429" s="31">
        <v>0.81599999999999995</v>
      </c>
      <c r="F429" s="32">
        <v>815.6</v>
      </c>
      <c r="G429" s="33"/>
      <c r="H429" s="30">
        <v>41.9</v>
      </c>
      <c r="I429" s="34">
        <v>3.7835000000000001</v>
      </c>
      <c r="J429" s="35">
        <v>0.15891</v>
      </c>
      <c r="L429" s="30">
        <v>41.9</v>
      </c>
      <c r="M429" s="172">
        <v>6.7939999999999996</v>
      </c>
      <c r="N429" s="173">
        <v>0.14718000000000001</v>
      </c>
      <c r="P429" s="30">
        <v>41.9</v>
      </c>
      <c r="Q429" s="172">
        <v>3.3971</v>
      </c>
      <c r="R429" s="173">
        <v>0.14268</v>
      </c>
      <c r="T429" s="30">
        <v>41.9</v>
      </c>
      <c r="U429" s="172">
        <v>294.37000000000302</v>
      </c>
      <c r="V429" s="173">
        <v>7.0090000000000003</v>
      </c>
      <c r="X429" s="30">
        <v>41.9</v>
      </c>
      <c r="Y429" s="34">
        <v>3.0331000000000001</v>
      </c>
      <c r="Z429" s="35">
        <v>0.12739</v>
      </c>
      <c r="AA429" s="36"/>
      <c r="AB429" s="30">
        <v>41.9</v>
      </c>
      <c r="AC429" s="44">
        <v>329.69</v>
      </c>
      <c r="AD429" s="35">
        <v>7.85</v>
      </c>
      <c r="AE429" s="36"/>
      <c r="AF429" s="30">
        <v>41.9</v>
      </c>
      <c r="AG429" s="34">
        <v>3.0817999999999999</v>
      </c>
      <c r="AH429" s="35">
        <v>0.12944</v>
      </c>
      <c r="AI429" s="35"/>
      <c r="AJ429" s="35">
        <v>0.12853999999999999</v>
      </c>
      <c r="AK429" s="998">
        <v>43.1</v>
      </c>
      <c r="AM429" s="30">
        <v>41.9</v>
      </c>
      <c r="AN429" s="34">
        <v>1.1137999999999999</v>
      </c>
      <c r="AO429" s="35">
        <v>1.2474000000000001</v>
      </c>
      <c r="AQ429" s="197">
        <v>1.069</v>
      </c>
      <c r="AR429" s="200">
        <v>0.87</v>
      </c>
      <c r="AS429" s="199">
        <v>1068.3</v>
      </c>
      <c r="AZ429" s="197">
        <v>1.069</v>
      </c>
      <c r="BA429" s="198">
        <v>8.9036000000000008</v>
      </c>
      <c r="BB429" s="199">
        <v>0.11230999999999999</v>
      </c>
      <c r="BD429" s="197">
        <v>1.069</v>
      </c>
      <c r="BE429" s="198">
        <v>4.4518000000000004</v>
      </c>
      <c r="BF429" s="199">
        <v>0.18697</v>
      </c>
      <c r="BH429" s="197">
        <v>1.069</v>
      </c>
      <c r="BI429" s="198">
        <v>224.63</v>
      </c>
      <c r="BJ429" s="199">
        <v>5.3479999999999999</v>
      </c>
      <c r="BL429" s="197">
        <v>1.069</v>
      </c>
      <c r="BM429" s="198">
        <v>3.9748000000000001</v>
      </c>
      <c r="BN429" s="199">
        <v>0.16694000000000001</v>
      </c>
      <c r="BP429" s="197">
        <v>1.069</v>
      </c>
      <c r="BQ429" s="200">
        <v>251.58</v>
      </c>
      <c r="BR429" s="199">
        <v>5.99</v>
      </c>
      <c r="BT429" s="197">
        <v>1.069</v>
      </c>
      <c r="BU429" s="201">
        <v>0.85</v>
      </c>
      <c r="BV429" s="202">
        <v>0.95199999999999996</v>
      </c>
      <c r="BX429" s="37">
        <v>1069</v>
      </c>
      <c r="BY429" s="38">
        <v>1.0697000000000001</v>
      </c>
      <c r="BZ429" s="39">
        <v>0.78</v>
      </c>
      <c r="CA429" s="33"/>
      <c r="CB429" s="37">
        <v>1069</v>
      </c>
      <c r="CC429" s="38">
        <v>0.15892999999999999</v>
      </c>
      <c r="CD429" s="42">
        <v>6.2919999999999998</v>
      </c>
      <c r="CE429" s="33"/>
      <c r="CF429" s="33"/>
      <c r="CG429" s="33"/>
      <c r="CH429" s="33"/>
      <c r="CI429" s="33"/>
      <c r="CJ429" s="33"/>
      <c r="CK429" s="33"/>
      <c r="CL429" s="40">
        <v>1069</v>
      </c>
      <c r="CM429" s="43">
        <v>1067.9000000000001</v>
      </c>
      <c r="CN429" s="41">
        <v>0.93640000000000001</v>
      </c>
      <c r="CO429" s="33"/>
      <c r="CP429" s="40">
        <v>1069</v>
      </c>
      <c r="CQ429" s="34">
        <v>1.1772</v>
      </c>
      <c r="CR429" s="41">
        <v>1.0510999999999999</v>
      </c>
      <c r="CS429" s="33"/>
      <c r="CT429" s="40">
        <v>1069</v>
      </c>
      <c r="CU429" s="44">
        <v>247.45</v>
      </c>
      <c r="CV429" s="42">
        <v>5.8920000000000003</v>
      </c>
    </row>
    <row r="430" spans="4:100">
      <c r="D430" s="30">
        <v>42</v>
      </c>
      <c r="E430" s="31">
        <v>0.81559999999999999</v>
      </c>
      <c r="F430" s="32">
        <v>815.2</v>
      </c>
      <c r="G430" s="33"/>
      <c r="H430" s="30">
        <v>42</v>
      </c>
      <c r="I430" s="34">
        <v>3.7835000000000001</v>
      </c>
      <c r="J430" s="35">
        <v>0.15891</v>
      </c>
      <c r="L430" s="30">
        <v>42</v>
      </c>
      <c r="M430" s="172">
        <v>6.79</v>
      </c>
      <c r="N430" s="173">
        <v>0.14727000000000001</v>
      </c>
      <c r="P430" s="30">
        <v>42</v>
      </c>
      <c r="Q430" s="172">
        <v>3.3950999999999998</v>
      </c>
      <c r="R430" s="173">
        <v>0.1426</v>
      </c>
      <c r="T430" s="30">
        <v>42</v>
      </c>
      <c r="U430" s="172">
        <v>294.54000000000298</v>
      </c>
      <c r="V430" s="173">
        <v>7.0129999999999999</v>
      </c>
      <c r="X430" s="30">
        <v>42</v>
      </c>
      <c r="Y430" s="34">
        <v>3.0314000000000001</v>
      </c>
      <c r="Z430" s="35">
        <v>0.12731999999999999</v>
      </c>
      <c r="AA430" s="36"/>
      <c r="AB430" s="30">
        <v>42</v>
      </c>
      <c r="AC430" s="44">
        <v>329.88</v>
      </c>
      <c r="AD430" s="35">
        <v>7.8540000000000001</v>
      </c>
      <c r="AE430" s="36"/>
      <c r="AF430" s="30">
        <v>42</v>
      </c>
      <c r="AG430" s="34">
        <v>3.08</v>
      </c>
      <c r="AH430" s="35">
        <v>0.12936</v>
      </c>
      <c r="AI430" s="35"/>
      <c r="AJ430" s="35">
        <v>0.12862000000000001</v>
      </c>
      <c r="AK430" s="998">
        <v>43</v>
      </c>
      <c r="AM430" s="30">
        <v>42</v>
      </c>
      <c r="AN430" s="34">
        <v>1.1144000000000001</v>
      </c>
      <c r="AO430" s="35">
        <v>1.2481</v>
      </c>
      <c r="AQ430" s="197">
        <v>1.07</v>
      </c>
      <c r="AR430" s="200">
        <v>0.74</v>
      </c>
      <c r="AS430" s="199">
        <v>1069.3</v>
      </c>
      <c r="AZ430" s="197">
        <v>1.07</v>
      </c>
      <c r="BA430" s="198">
        <v>8.9118999999999993</v>
      </c>
      <c r="BB430" s="199">
        <v>0.11221</v>
      </c>
      <c r="BD430" s="197">
        <v>1.07</v>
      </c>
      <c r="BE430" s="198">
        <v>4.4558999999999997</v>
      </c>
      <c r="BF430" s="199">
        <v>0.18715000000000001</v>
      </c>
      <c r="BH430" s="197">
        <v>1.07</v>
      </c>
      <c r="BI430" s="198">
        <v>224.42</v>
      </c>
      <c r="BJ430" s="199">
        <v>5.343</v>
      </c>
      <c r="BL430" s="197">
        <v>1.07</v>
      </c>
      <c r="BM430" s="198">
        <v>3.9784999999999999</v>
      </c>
      <c r="BN430" s="199">
        <v>0.1671</v>
      </c>
      <c r="BP430" s="197">
        <v>1.07</v>
      </c>
      <c r="BQ430" s="200">
        <v>251.35</v>
      </c>
      <c r="BR430" s="199">
        <v>5.9850000000000003</v>
      </c>
      <c r="BT430" s="197">
        <v>1.07</v>
      </c>
      <c r="BU430" s="201">
        <v>0.84919999999999995</v>
      </c>
      <c r="BV430" s="202">
        <v>0.95109999999999995</v>
      </c>
      <c r="BX430" s="37">
        <v>1070</v>
      </c>
      <c r="BY430" s="38">
        <v>1.0707</v>
      </c>
      <c r="BZ430" s="39">
        <v>0.66</v>
      </c>
      <c r="CA430" s="33"/>
      <c r="CB430" s="37">
        <v>1070</v>
      </c>
      <c r="CC430" s="38">
        <v>0.15892999999999999</v>
      </c>
      <c r="CD430" s="42">
        <v>6.2919999999999998</v>
      </c>
      <c r="CE430" s="33"/>
      <c r="CF430" s="33"/>
      <c r="CG430" s="33"/>
      <c r="CH430" s="33"/>
      <c r="CI430" s="33"/>
      <c r="CJ430" s="33"/>
      <c r="CK430" s="33"/>
      <c r="CL430" s="40">
        <v>1070</v>
      </c>
      <c r="CM430" s="43">
        <v>1068.9000000000001</v>
      </c>
      <c r="CN430" s="41">
        <v>0.9355</v>
      </c>
      <c r="CO430" s="33"/>
      <c r="CP430" s="40">
        <v>1070</v>
      </c>
      <c r="CQ430" s="34">
        <v>1.1782999999999999</v>
      </c>
      <c r="CR430" s="41">
        <v>1.0521</v>
      </c>
      <c r="CS430" s="33"/>
      <c r="CT430" s="40">
        <v>1070</v>
      </c>
      <c r="CU430" s="44">
        <v>247.22</v>
      </c>
      <c r="CV430" s="42">
        <v>5.8860000000000001</v>
      </c>
    </row>
    <row r="431" spans="4:100">
      <c r="D431" s="30">
        <v>42.1</v>
      </c>
      <c r="E431" s="31">
        <v>0.81510000000000005</v>
      </c>
      <c r="F431" s="32">
        <v>814.7</v>
      </c>
      <c r="G431" s="33"/>
      <c r="H431" s="30">
        <v>42.1</v>
      </c>
      <c r="I431" s="34">
        <v>3.7835000000000001</v>
      </c>
      <c r="J431" s="35">
        <v>0.15891</v>
      </c>
      <c r="L431" s="30">
        <v>42.1</v>
      </c>
      <c r="M431" s="172">
        <v>6.7859999999999996</v>
      </c>
      <c r="N431" s="173">
        <v>0.14735000000000001</v>
      </c>
      <c r="P431" s="30">
        <v>42.1</v>
      </c>
      <c r="Q431" s="172">
        <v>3.3932000000000002</v>
      </c>
      <c r="R431" s="173">
        <v>0.14251</v>
      </c>
      <c r="T431" s="30">
        <v>42.1</v>
      </c>
      <c r="U431" s="172">
        <v>294.71000000000299</v>
      </c>
      <c r="V431" s="173">
        <v>7.0170000000000003</v>
      </c>
      <c r="X431" s="30">
        <v>42.1</v>
      </c>
      <c r="Y431" s="34">
        <v>3.0295999999999998</v>
      </c>
      <c r="Z431" s="35">
        <v>0.12723999999999999</v>
      </c>
      <c r="AA431" s="36"/>
      <c r="AB431" s="30">
        <v>42.1</v>
      </c>
      <c r="AC431" s="44">
        <v>330.07</v>
      </c>
      <c r="AD431" s="35">
        <v>7.859</v>
      </c>
      <c r="AE431" s="36"/>
      <c r="AF431" s="30">
        <v>42.1</v>
      </c>
      <c r="AG431" s="34">
        <v>3.0783</v>
      </c>
      <c r="AH431" s="35">
        <v>0.12928999999999999</v>
      </c>
      <c r="AI431" s="35"/>
      <c r="AJ431" s="35">
        <v>0.12869</v>
      </c>
      <c r="AK431" s="998">
        <v>42.9</v>
      </c>
      <c r="AM431" s="30">
        <v>42.1</v>
      </c>
      <c r="AN431" s="34">
        <v>1.115</v>
      </c>
      <c r="AO431" s="35">
        <v>1.2487999999999999</v>
      </c>
      <c r="AQ431" s="197">
        <v>1.071</v>
      </c>
      <c r="AR431" s="200">
        <v>0.62</v>
      </c>
      <c r="AS431" s="199">
        <v>1070.3</v>
      </c>
      <c r="AZ431" s="197">
        <v>1.071</v>
      </c>
      <c r="BA431" s="198">
        <v>8.9201999999999995</v>
      </c>
      <c r="BB431" s="199">
        <v>0.11210000000000001</v>
      </c>
      <c r="BD431" s="197">
        <v>1.071</v>
      </c>
      <c r="BE431" s="198">
        <v>4.4600999999999997</v>
      </c>
      <c r="BF431" s="199">
        <v>0.18731999999999999</v>
      </c>
      <c r="BH431" s="197">
        <v>1.071</v>
      </c>
      <c r="BI431" s="198">
        <v>224.21</v>
      </c>
      <c r="BJ431" s="199">
        <v>5.3380000000000001</v>
      </c>
      <c r="BL431" s="197">
        <v>1.071</v>
      </c>
      <c r="BM431" s="198">
        <v>3.9822000000000002</v>
      </c>
      <c r="BN431" s="199">
        <v>0.16725000000000001</v>
      </c>
      <c r="BP431" s="197">
        <v>1.071</v>
      </c>
      <c r="BQ431" s="200">
        <v>251.11</v>
      </c>
      <c r="BR431" s="199">
        <v>5.9790000000000001</v>
      </c>
      <c r="BT431" s="197">
        <v>1.071</v>
      </c>
      <c r="BU431" s="201">
        <v>0.84840000000000004</v>
      </c>
      <c r="BV431" s="202">
        <v>0.95020000000000004</v>
      </c>
      <c r="BX431" s="37">
        <v>1071</v>
      </c>
      <c r="BY431" s="38">
        <v>1.0717000000000001</v>
      </c>
      <c r="BZ431" s="39">
        <v>0.53</v>
      </c>
      <c r="CA431" s="33"/>
      <c r="CB431" s="37">
        <v>1071</v>
      </c>
      <c r="CC431" s="38">
        <v>0.15892999999999999</v>
      </c>
      <c r="CD431" s="42">
        <v>6.2919999999999998</v>
      </c>
      <c r="CE431" s="33"/>
      <c r="CF431" s="33"/>
      <c r="CG431" s="33"/>
      <c r="CH431" s="33"/>
      <c r="CI431" s="33"/>
      <c r="CJ431" s="33"/>
      <c r="CK431" s="33"/>
      <c r="CL431" s="40">
        <v>1071</v>
      </c>
      <c r="CM431" s="43">
        <v>1069.9000000000001</v>
      </c>
      <c r="CN431" s="41">
        <v>0.93459999999999999</v>
      </c>
      <c r="CO431" s="33"/>
      <c r="CP431" s="40">
        <v>1071</v>
      </c>
      <c r="CQ431" s="34">
        <v>1.1794</v>
      </c>
      <c r="CR431" s="41">
        <v>1.0529999999999999</v>
      </c>
      <c r="CS431" s="33"/>
      <c r="CT431" s="40">
        <v>1071</v>
      </c>
      <c r="CU431" s="44">
        <v>246.99</v>
      </c>
      <c r="CV431" s="42">
        <v>5.8810000000000002</v>
      </c>
    </row>
    <row r="432" spans="4:100">
      <c r="D432" s="30">
        <v>42.2</v>
      </c>
      <c r="E432" s="31">
        <v>0.81459999999999999</v>
      </c>
      <c r="F432" s="32">
        <v>814.2</v>
      </c>
      <c r="G432" s="33"/>
      <c r="H432" s="30">
        <v>42.2</v>
      </c>
      <c r="I432" s="34">
        <v>3.7835000000000001</v>
      </c>
      <c r="J432" s="35">
        <v>0.15891</v>
      </c>
      <c r="L432" s="30">
        <v>42.2</v>
      </c>
      <c r="M432" s="172">
        <v>6.782</v>
      </c>
      <c r="N432" s="173">
        <v>0.14743999999999999</v>
      </c>
      <c r="P432" s="30">
        <v>42.2</v>
      </c>
      <c r="Q432" s="172">
        <v>3.3912</v>
      </c>
      <c r="R432" s="173">
        <v>0.14243</v>
      </c>
      <c r="T432" s="30">
        <v>42.2</v>
      </c>
      <c r="U432" s="172">
        <v>294.88000000000301</v>
      </c>
      <c r="V432" s="173">
        <v>7.0209999999999999</v>
      </c>
      <c r="X432" s="30">
        <v>42.2</v>
      </c>
      <c r="Y432" s="34">
        <v>3.0278999999999998</v>
      </c>
      <c r="Z432" s="35">
        <v>0.12717000000000001</v>
      </c>
      <c r="AA432" s="36"/>
      <c r="AB432" s="30">
        <v>42.2</v>
      </c>
      <c r="AC432" s="44">
        <v>330.26</v>
      </c>
      <c r="AD432" s="35">
        <v>7.8630000000000004</v>
      </c>
      <c r="AE432" s="36"/>
      <c r="AF432" s="30">
        <v>42.2</v>
      </c>
      <c r="AG432" s="34">
        <v>3.0764999999999998</v>
      </c>
      <c r="AH432" s="35">
        <v>0.12920999999999999</v>
      </c>
      <c r="AI432" s="35"/>
      <c r="AJ432" s="35">
        <v>0.12877</v>
      </c>
      <c r="AK432" s="998">
        <v>42.8</v>
      </c>
      <c r="AM432" s="30">
        <v>42.2</v>
      </c>
      <c r="AN432" s="34">
        <v>1.1156999999999999</v>
      </c>
      <c r="AO432" s="35">
        <v>1.2496</v>
      </c>
      <c r="AQ432" s="197">
        <v>1.0720000000000001</v>
      </c>
      <c r="AR432" s="200">
        <v>0.5</v>
      </c>
      <c r="AS432" s="199">
        <v>1071.3</v>
      </c>
      <c r="AZ432" s="197">
        <v>1.0720000000000001</v>
      </c>
      <c r="BA432" s="198">
        <v>8.9285999999999994</v>
      </c>
      <c r="BB432" s="199">
        <v>0.112</v>
      </c>
      <c r="BD432" s="197">
        <v>1.0720000000000001</v>
      </c>
      <c r="BE432" s="198">
        <v>4.4642999999999997</v>
      </c>
      <c r="BF432" s="199">
        <v>0.1875</v>
      </c>
      <c r="BH432" s="197">
        <v>1.0720000000000001</v>
      </c>
      <c r="BI432" s="198">
        <v>224</v>
      </c>
      <c r="BJ432" s="199">
        <v>5.3330000000000002</v>
      </c>
      <c r="BL432" s="197">
        <v>1.0720000000000001</v>
      </c>
      <c r="BM432" s="198">
        <v>3.9860000000000002</v>
      </c>
      <c r="BN432" s="199">
        <v>0.16741</v>
      </c>
      <c r="BP432" s="197">
        <v>1.0720000000000001</v>
      </c>
      <c r="BQ432" s="200">
        <v>250.88</v>
      </c>
      <c r="BR432" s="199">
        <v>5.9729999999999999</v>
      </c>
      <c r="BT432" s="197">
        <v>1.0720000000000001</v>
      </c>
      <c r="BU432" s="201">
        <v>0.84760000000000002</v>
      </c>
      <c r="BV432" s="202">
        <v>0.94940000000000002</v>
      </c>
      <c r="BX432" s="37">
        <v>1072</v>
      </c>
      <c r="BY432" s="38">
        <v>1.0727</v>
      </c>
      <c r="BZ432" s="39">
        <v>0.41</v>
      </c>
      <c r="CA432" s="33"/>
      <c r="CB432" s="37">
        <v>1072</v>
      </c>
      <c r="CC432" s="38">
        <v>0.15892999999999999</v>
      </c>
      <c r="CD432" s="42">
        <v>6.2919999999999998</v>
      </c>
      <c r="CE432" s="33"/>
      <c r="CF432" s="33"/>
      <c r="CG432" s="33"/>
      <c r="CH432" s="33"/>
      <c r="CI432" s="33"/>
      <c r="CJ432" s="33"/>
      <c r="CK432" s="33"/>
      <c r="CL432" s="40">
        <v>1072</v>
      </c>
      <c r="CM432" s="43">
        <v>1070.9000000000001</v>
      </c>
      <c r="CN432" s="41">
        <v>0.93379999999999996</v>
      </c>
      <c r="CO432" s="33"/>
      <c r="CP432" s="40">
        <v>1072</v>
      </c>
      <c r="CQ432" s="34">
        <v>1.1805000000000001</v>
      </c>
      <c r="CR432" s="41">
        <v>1.054</v>
      </c>
      <c r="CS432" s="33"/>
      <c r="CT432" s="40">
        <v>1072</v>
      </c>
      <c r="CU432" s="44">
        <v>246.76</v>
      </c>
      <c r="CV432" s="42">
        <v>5.875</v>
      </c>
    </row>
    <row r="433" spans="4:100">
      <c r="D433" s="30">
        <v>42.3</v>
      </c>
      <c r="E433" s="31">
        <v>0.81420000000000003</v>
      </c>
      <c r="F433" s="32">
        <v>813.8</v>
      </c>
      <c r="G433" s="33"/>
      <c r="H433" s="30">
        <v>42.3</v>
      </c>
      <c r="I433" s="34">
        <v>3.7835000000000001</v>
      </c>
      <c r="J433" s="35">
        <v>0.15891</v>
      </c>
      <c r="L433" s="30">
        <v>42.3</v>
      </c>
      <c r="M433" s="172">
        <v>6.7789999999999999</v>
      </c>
      <c r="N433" s="173">
        <v>0.14752000000000001</v>
      </c>
      <c r="P433" s="30">
        <v>42.3</v>
      </c>
      <c r="Q433" s="172">
        <v>3.3893</v>
      </c>
      <c r="R433" s="173">
        <v>0.14235</v>
      </c>
      <c r="T433" s="30">
        <v>42.3</v>
      </c>
      <c r="U433" s="172">
        <v>295.05000000000302</v>
      </c>
      <c r="V433" s="173">
        <v>7.0250000000000004</v>
      </c>
      <c r="X433" s="30">
        <v>42.3</v>
      </c>
      <c r="Y433" s="34">
        <v>3.0261</v>
      </c>
      <c r="Z433" s="35">
        <v>0.12709999999999999</v>
      </c>
      <c r="AA433" s="36"/>
      <c r="AB433" s="30">
        <v>42.3</v>
      </c>
      <c r="AC433" s="44">
        <v>330.45</v>
      </c>
      <c r="AD433" s="35">
        <v>7.8680000000000003</v>
      </c>
      <c r="AE433" s="36"/>
      <c r="AF433" s="30">
        <v>42.3</v>
      </c>
      <c r="AG433" s="34">
        <v>3.0747</v>
      </c>
      <c r="AH433" s="35">
        <v>0.12914</v>
      </c>
      <c r="AI433" s="35"/>
      <c r="AJ433" s="35">
        <v>0.12884000000000001</v>
      </c>
      <c r="AK433" s="998">
        <v>42.7</v>
      </c>
      <c r="AM433" s="30">
        <v>42.3</v>
      </c>
      <c r="AN433" s="34">
        <v>1.1163000000000001</v>
      </c>
      <c r="AO433" s="35">
        <v>1.2503</v>
      </c>
      <c r="AQ433" s="197">
        <v>1.073</v>
      </c>
      <c r="AR433" s="200">
        <v>0.37</v>
      </c>
      <c r="AS433" s="199">
        <v>1072.3</v>
      </c>
      <c r="AZ433" s="197">
        <v>1.073</v>
      </c>
      <c r="BA433" s="198">
        <v>8.9368999999999996</v>
      </c>
      <c r="BB433" s="199">
        <v>0.1119</v>
      </c>
      <c r="BD433" s="197">
        <v>1.073</v>
      </c>
      <c r="BE433" s="198">
        <v>4.4684999999999997</v>
      </c>
      <c r="BF433" s="199">
        <v>0.18768000000000001</v>
      </c>
      <c r="BH433" s="197">
        <v>1.073</v>
      </c>
      <c r="BI433" s="198">
        <v>223.79</v>
      </c>
      <c r="BJ433" s="199">
        <v>5.3280000000000003</v>
      </c>
      <c r="BL433" s="197">
        <v>1.073</v>
      </c>
      <c r="BM433" s="198">
        <v>3.9897</v>
      </c>
      <c r="BN433" s="199">
        <v>0.16757</v>
      </c>
      <c r="BP433" s="197">
        <v>1.073</v>
      </c>
      <c r="BQ433" s="200">
        <v>250.65</v>
      </c>
      <c r="BR433" s="199">
        <v>5.968</v>
      </c>
      <c r="BT433" s="197">
        <v>1.073</v>
      </c>
      <c r="BU433" s="201">
        <v>0.84689999999999999</v>
      </c>
      <c r="BV433" s="202">
        <v>0.94850000000000001</v>
      </c>
      <c r="BX433" s="37">
        <v>1073</v>
      </c>
      <c r="BY433" s="38">
        <v>1.0737000000000001</v>
      </c>
      <c r="BZ433" s="39">
        <v>0.28999999999999998</v>
      </c>
      <c r="CA433" s="33"/>
      <c r="CB433" s="37">
        <v>1073</v>
      </c>
      <c r="CC433" s="38">
        <v>0.15892999999999999</v>
      </c>
      <c r="CD433" s="42">
        <v>6.2919999999999998</v>
      </c>
      <c r="CE433" s="33"/>
      <c r="CF433" s="33"/>
      <c r="CG433" s="33"/>
      <c r="CH433" s="33"/>
      <c r="CI433" s="33"/>
      <c r="CJ433" s="33"/>
      <c r="CK433" s="33"/>
      <c r="CL433" s="40">
        <v>1073</v>
      </c>
      <c r="CM433" s="43">
        <v>1071.9000000000001</v>
      </c>
      <c r="CN433" s="41">
        <v>0.93289999999999995</v>
      </c>
      <c r="CO433" s="33"/>
      <c r="CP433" s="40">
        <v>1073</v>
      </c>
      <c r="CQ433" s="34">
        <v>1.1816</v>
      </c>
      <c r="CR433" s="41">
        <v>1.0549999999999999</v>
      </c>
      <c r="CS433" s="33"/>
      <c r="CT433" s="40">
        <v>1073</v>
      </c>
      <c r="CU433" s="44">
        <v>246.53</v>
      </c>
      <c r="CV433" s="42">
        <v>5.87</v>
      </c>
    </row>
    <row r="434" spans="4:100">
      <c r="D434" s="30">
        <v>42.4</v>
      </c>
      <c r="E434" s="31">
        <v>0.81369999999999998</v>
      </c>
      <c r="F434" s="32">
        <v>813.3</v>
      </c>
      <c r="G434" s="33"/>
      <c r="H434" s="30">
        <v>42.4</v>
      </c>
      <c r="I434" s="34">
        <v>3.7835000000000001</v>
      </c>
      <c r="J434" s="35">
        <v>0.15891</v>
      </c>
      <c r="L434" s="30">
        <v>42.4</v>
      </c>
      <c r="M434" s="172">
        <v>6.7750000000000004</v>
      </c>
      <c r="N434" s="173">
        <v>0.14760999999999999</v>
      </c>
      <c r="P434" s="30">
        <v>42.4</v>
      </c>
      <c r="Q434" s="172">
        <v>3.3873000000000002</v>
      </c>
      <c r="R434" s="173">
        <v>0.14227000000000001</v>
      </c>
      <c r="T434" s="30">
        <v>42.4</v>
      </c>
      <c r="U434" s="172">
        <v>295.22000000000298</v>
      </c>
      <c r="V434" s="173">
        <v>7.0289999999999999</v>
      </c>
      <c r="X434" s="30">
        <v>42.4</v>
      </c>
      <c r="Y434" s="34">
        <v>3.0244</v>
      </c>
      <c r="Z434" s="35">
        <v>0.12701999999999999</v>
      </c>
      <c r="AA434" s="36"/>
      <c r="AB434" s="30">
        <v>42.4</v>
      </c>
      <c r="AC434" s="44">
        <v>330.64</v>
      </c>
      <c r="AD434" s="35">
        <v>7.8719999999999999</v>
      </c>
      <c r="AE434" s="36"/>
      <c r="AF434" s="30">
        <v>42.4</v>
      </c>
      <c r="AG434" s="34">
        <v>3.0729000000000002</v>
      </c>
      <c r="AH434" s="35">
        <v>0.12906000000000001</v>
      </c>
      <c r="AI434" s="35"/>
      <c r="AJ434" s="35">
        <v>0.12891</v>
      </c>
      <c r="AK434" s="998">
        <v>42.6</v>
      </c>
      <c r="AM434" s="30">
        <v>42.4</v>
      </c>
      <c r="AN434" s="34">
        <v>1.117</v>
      </c>
      <c r="AO434" s="35">
        <v>1.2509999999999999</v>
      </c>
      <c r="AQ434" s="197">
        <v>1.0740000000000001</v>
      </c>
      <c r="AR434" s="200">
        <v>0.25</v>
      </c>
      <c r="AS434" s="199">
        <v>1073.3</v>
      </c>
      <c r="AZ434" s="197">
        <v>1.0740000000000001</v>
      </c>
      <c r="BA434" s="198">
        <v>8.9451999999999998</v>
      </c>
      <c r="BB434" s="199">
        <v>0.11179</v>
      </c>
      <c r="BD434" s="197">
        <v>1.0740000000000001</v>
      </c>
      <c r="BE434" s="198">
        <v>4.4725999999999999</v>
      </c>
      <c r="BF434" s="199">
        <v>0.18784999999999999</v>
      </c>
      <c r="BH434" s="197">
        <v>1.0740000000000001</v>
      </c>
      <c r="BI434" s="198">
        <v>223.58</v>
      </c>
      <c r="BJ434" s="199">
        <v>5.3230000000000004</v>
      </c>
      <c r="BL434" s="197">
        <v>1.0740000000000001</v>
      </c>
      <c r="BM434" s="198">
        <v>3.9933999999999998</v>
      </c>
      <c r="BN434" s="199">
        <v>0.16772000000000001</v>
      </c>
      <c r="BP434" s="197">
        <v>1.0740000000000001</v>
      </c>
      <c r="BQ434" s="200">
        <v>250.41</v>
      </c>
      <c r="BR434" s="199">
        <v>5.9619999999999997</v>
      </c>
      <c r="BT434" s="197">
        <v>1.0740000000000001</v>
      </c>
      <c r="BU434" s="201">
        <v>0.84609999999999996</v>
      </c>
      <c r="BV434" s="202">
        <v>0.9476</v>
      </c>
      <c r="BX434" s="37">
        <v>1074</v>
      </c>
      <c r="BY434" s="38">
        <v>1.0747</v>
      </c>
      <c r="BZ434" s="39">
        <v>0.17</v>
      </c>
      <c r="CA434" s="33"/>
      <c r="CB434" s="37">
        <v>1074</v>
      </c>
      <c r="CC434" s="38">
        <v>0.15892999999999999</v>
      </c>
      <c r="CD434" s="42">
        <v>6.2919999999999998</v>
      </c>
      <c r="CE434" s="33"/>
      <c r="CF434" s="33"/>
      <c r="CG434" s="33"/>
      <c r="CH434" s="33"/>
      <c r="CI434" s="33"/>
      <c r="CJ434" s="33"/>
      <c r="CK434" s="33"/>
      <c r="CL434" s="40">
        <v>1074</v>
      </c>
      <c r="CM434" s="43">
        <v>1072.9000000000001</v>
      </c>
      <c r="CN434" s="41">
        <v>0.93200000000000005</v>
      </c>
      <c r="CO434" s="33"/>
      <c r="CP434" s="40">
        <v>1074</v>
      </c>
      <c r="CQ434" s="34">
        <v>1.1827000000000001</v>
      </c>
      <c r="CR434" s="41">
        <v>1.056</v>
      </c>
      <c r="CS434" s="33"/>
      <c r="CT434" s="40">
        <v>1074</v>
      </c>
      <c r="CU434" s="44">
        <v>246.3</v>
      </c>
      <c r="CV434" s="42">
        <v>5.8639999999999999</v>
      </c>
    </row>
    <row r="435" spans="4:100">
      <c r="D435" s="30">
        <v>42.5</v>
      </c>
      <c r="E435" s="31">
        <v>0.81320000000000003</v>
      </c>
      <c r="F435" s="32">
        <v>812.8</v>
      </c>
      <c r="G435" s="33"/>
      <c r="H435" s="30">
        <v>42.5</v>
      </c>
      <c r="I435" s="34">
        <v>3.7835000000000001</v>
      </c>
      <c r="J435" s="35">
        <v>0.15891</v>
      </c>
      <c r="L435" s="30">
        <v>42.5</v>
      </c>
      <c r="M435" s="172">
        <v>6.7709999999999999</v>
      </c>
      <c r="N435" s="173">
        <v>0.14768999999999999</v>
      </c>
      <c r="P435" s="30">
        <v>42.5</v>
      </c>
      <c r="Q435" s="172">
        <v>3.3854000000000002</v>
      </c>
      <c r="R435" s="173">
        <v>0.14219000000000001</v>
      </c>
      <c r="T435" s="30">
        <v>42.5</v>
      </c>
      <c r="U435" s="172">
        <v>295.390000000003</v>
      </c>
      <c r="V435" s="173">
        <v>7.0330000000000004</v>
      </c>
      <c r="X435" s="30">
        <v>42.5</v>
      </c>
      <c r="Y435" s="34">
        <v>3.0226999999999999</v>
      </c>
      <c r="Z435" s="35">
        <v>0.12695000000000001</v>
      </c>
      <c r="AA435" s="36"/>
      <c r="AB435" s="30">
        <v>42.5</v>
      </c>
      <c r="AC435" s="44">
        <v>330.83</v>
      </c>
      <c r="AD435" s="35">
        <v>7.8769999999999998</v>
      </c>
      <c r="AE435" s="36"/>
      <c r="AF435" s="30">
        <v>42.5</v>
      </c>
      <c r="AG435" s="34">
        <v>3.0712000000000002</v>
      </c>
      <c r="AH435" s="35">
        <v>0.12898999999999999</v>
      </c>
      <c r="AI435" s="35"/>
      <c r="AJ435" s="35">
        <v>0.12898999999999999</v>
      </c>
      <c r="AK435" s="998">
        <v>42.5</v>
      </c>
      <c r="AM435" s="30">
        <v>42.5</v>
      </c>
      <c r="AN435" s="34">
        <v>1.1175999999999999</v>
      </c>
      <c r="AO435" s="35">
        <v>1.2517</v>
      </c>
      <c r="AQ435" s="206">
        <v>1.075</v>
      </c>
      <c r="AR435" s="207">
        <v>0.13</v>
      </c>
      <c r="AS435" s="208">
        <v>1074.3</v>
      </c>
      <c r="AZ435" s="206">
        <v>1.075</v>
      </c>
      <c r="BA435" s="209">
        <v>8.9535999999999998</v>
      </c>
      <c r="BB435" s="208">
        <v>0.11169</v>
      </c>
      <c r="BD435" s="206">
        <v>1.075</v>
      </c>
      <c r="BE435" s="209">
        <v>4.4767999999999999</v>
      </c>
      <c r="BF435" s="208">
        <v>0.18803</v>
      </c>
      <c r="BH435" s="206">
        <v>1.075</v>
      </c>
      <c r="BI435" s="209">
        <v>223.37</v>
      </c>
      <c r="BJ435" s="208">
        <v>5.3179999999999996</v>
      </c>
      <c r="BL435" s="206">
        <v>1.075</v>
      </c>
      <c r="BM435" s="209">
        <v>3.9971000000000001</v>
      </c>
      <c r="BN435" s="208">
        <v>0.16788</v>
      </c>
      <c r="BP435" s="206">
        <v>1.075</v>
      </c>
      <c r="BQ435" s="207">
        <v>250.18</v>
      </c>
      <c r="BR435" s="208">
        <v>5.9569999999999999</v>
      </c>
      <c r="BT435" s="206">
        <v>1.075</v>
      </c>
      <c r="BU435" s="210">
        <v>0.84530000000000005</v>
      </c>
      <c r="BV435" s="211">
        <v>0.94669999999999999</v>
      </c>
      <c r="BX435" s="46">
        <v>1075</v>
      </c>
      <c r="BY435" s="47">
        <v>1.0757000000000001</v>
      </c>
      <c r="BZ435" s="48">
        <v>0.04</v>
      </c>
      <c r="CA435" s="33"/>
      <c r="CB435" s="46">
        <v>1075</v>
      </c>
      <c r="CC435" s="47"/>
      <c r="CD435" s="48"/>
      <c r="CE435" s="33"/>
      <c r="CF435" s="33"/>
      <c r="CG435" s="33"/>
      <c r="CH435" s="33"/>
      <c r="CI435" s="33"/>
      <c r="CJ435" s="33"/>
      <c r="CK435" s="33"/>
      <c r="CL435" s="49">
        <v>1075</v>
      </c>
      <c r="CM435" s="50">
        <v>1073.9000000000001</v>
      </c>
      <c r="CN435" s="51">
        <v>0.93110000000000004</v>
      </c>
      <c r="CO435" s="33"/>
      <c r="CP435" s="49">
        <v>1075</v>
      </c>
      <c r="CQ435" s="52">
        <v>1.1838</v>
      </c>
      <c r="CR435" s="51">
        <v>1.0569999999999999</v>
      </c>
      <c r="CS435" s="33"/>
      <c r="CT435" s="49">
        <v>1075</v>
      </c>
      <c r="CU435" s="53">
        <v>246.07</v>
      </c>
      <c r="CV435" s="54">
        <v>5.859</v>
      </c>
    </row>
    <row r="436" spans="4:100">
      <c r="D436" s="30">
        <v>42.6</v>
      </c>
      <c r="E436" s="31">
        <v>0.81279999999999997</v>
      </c>
      <c r="F436" s="32">
        <v>812.4</v>
      </c>
      <c r="G436" s="33"/>
      <c r="H436" s="30">
        <v>42.6</v>
      </c>
      <c r="I436" s="34">
        <v>3.7835000000000001</v>
      </c>
      <c r="J436" s="35">
        <v>0.15891</v>
      </c>
      <c r="L436" s="30">
        <v>42.6</v>
      </c>
      <c r="M436" s="172">
        <v>6.7670000000000003</v>
      </c>
      <c r="N436" s="173">
        <v>0.14777999999999999</v>
      </c>
      <c r="P436" s="30">
        <v>42.6</v>
      </c>
      <c r="Q436" s="172">
        <v>3.3834</v>
      </c>
      <c r="R436" s="173">
        <v>0.1421</v>
      </c>
      <c r="T436" s="30">
        <v>42.6</v>
      </c>
      <c r="U436" s="172">
        <v>295.56000000000301</v>
      </c>
      <c r="V436" s="173">
        <v>7.0369999999999999</v>
      </c>
      <c r="X436" s="30">
        <v>42.6</v>
      </c>
      <c r="Y436" s="34">
        <v>3.0209000000000001</v>
      </c>
      <c r="Z436" s="35">
        <v>0.12687999999999999</v>
      </c>
      <c r="AA436" s="36"/>
      <c r="AB436" s="30">
        <v>42.6</v>
      </c>
      <c r="AC436" s="44">
        <v>331.02</v>
      </c>
      <c r="AD436" s="35">
        <v>7.8819999999999997</v>
      </c>
      <c r="AE436" s="36"/>
      <c r="AF436" s="30">
        <v>42.6</v>
      </c>
      <c r="AG436" s="34">
        <v>3.0693999999999999</v>
      </c>
      <c r="AH436" s="35">
        <v>0.12891</v>
      </c>
      <c r="AI436" s="35"/>
      <c r="AJ436" s="35">
        <v>0.12906000000000001</v>
      </c>
      <c r="AK436" s="998">
        <v>42.4</v>
      </c>
      <c r="AM436" s="30">
        <v>42.6</v>
      </c>
      <c r="AN436" s="34">
        <v>1.1182000000000001</v>
      </c>
      <c r="AO436" s="35">
        <v>1.2524</v>
      </c>
      <c r="BX436" s="33"/>
      <c r="BY436" s="33"/>
      <c r="BZ436" s="33"/>
      <c r="CA436" s="33"/>
      <c r="CB436" s="33"/>
      <c r="CC436" s="33"/>
      <c r="CD436" s="33"/>
      <c r="CE436" s="33"/>
      <c r="CF436" s="33"/>
      <c r="CG436" s="33"/>
      <c r="CH436" s="33"/>
      <c r="CI436" s="33"/>
      <c r="CJ436" s="33"/>
      <c r="CK436" s="33"/>
      <c r="CL436" s="33"/>
      <c r="CM436" s="33"/>
      <c r="CN436" s="33"/>
      <c r="CO436" s="33"/>
      <c r="CP436" s="33"/>
      <c r="CQ436" s="33"/>
      <c r="CR436" s="33"/>
      <c r="CS436" s="33"/>
      <c r="CT436" s="33"/>
      <c r="CU436" s="33"/>
      <c r="CV436" s="33"/>
    </row>
    <row r="437" spans="4:100">
      <c r="D437" s="30">
        <v>42.7</v>
      </c>
      <c r="E437" s="31">
        <v>0.81230000000000002</v>
      </c>
      <c r="F437" s="32">
        <v>811.9</v>
      </c>
      <c r="G437" s="33"/>
      <c r="H437" s="30">
        <v>42.7</v>
      </c>
      <c r="I437" s="34">
        <v>3.7835000000000001</v>
      </c>
      <c r="J437" s="35">
        <v>0.15891</v>
      </c>
      <c r="L437" s="30">
        <v>42.7</v>
      </c>
      <c r="M437" s="172">
        <v>6.7629999999999999</v>
      </c>
      <c r="N437" s="173">
        <v>0.14785999999999999</v>
      </c>
      <c r="P437" s="30">
        <v>42.7</v>
      </c>
      <c r="Q437" s="172">
        <v>3.3815</v>
      </c>
      <c r="R437" s="173">
        <v>0.14202000000000001</v>
      </c>
      <c r="T437" s="30">
        <v>42.7</v>
      </c>
      <c r="U437" s="172">
        <v>295.73000000000297</v>
      </c>
      <c r="V437" s="173">
        <v>7.0410000000000004</v>
      </c>
      <c r="X437" s="30">
        <v>42.7</v>
      </c>
      <c r="Y437" s="34">
        <v>3.0192000000000001</v>
      </c>
      <c r="Z437" s="35">
        <v>0.12681000000000001</v>
      </c>
      <c r="AA437" s="36"/>
      <c r="AB437" s="30">
        <v>42.7</v>
      </c>
      <c r="AC437" s="44">
        <v>331.22</v>
      </c>
      <c r="AD437" s="35">
        <v>7.8860000000000001</v>
      </c>
      <c r="AE437" s="36"/>
      <c r="AF437" s="30">
        <v>42.7</v>
      </c>
      <c r="AG437" s="34">
        <v>3.0676000000000001</v>
      </c>
      <c r="AH437" s="35">
        <v>0.12884000000000001</v>
      </c>
      <c r="AI437" s="35"/>
      <c r="AJ437" s="35">
        <v>0.12914</v>
      </c>
      <c r="AK437" s="998">
        <v>42.3</v>
      </c>
      <c r="AM437" s="30">
        <v>42.7</v>
      </c>
      <c r="AN437" s="34">
        <v>1.1189</v>
      </c>
      <c r="AO437" s="35">
        <v>1.2532000000000001</v>
      </c>
      <c r="BX437" s="43"/>
      <c r="BY437" s="34"/>
      <c r="BZ437" s="59"/>
      <c r="CB437" s="43"/>
      <c r="CC437" s="34"/>
      <c r="CD437" s="59"/>
      <c r="CL437" s="43"/>
      <c r="CM437" s="34"/>
      <c r="CN437" s="59"/>
      <c r="CP437" s="43"/>
      <c r="CQ437" s="34"/>
      <c r="CR437" s="59"/>
      <c r="CT437" s="43"/>
      <c r="CU437" s="34"/>
      <c r="CV437" s="59"/>
    </row>
    <row r="438" spans="4:100">
      <c r="D438" s="30">
        <v>42.8</v>
      </c>
      <c r="E438" s="31">
        <v>0.81179999999999997</v>
      </c>
      <c r="F438" s="32">
        <v>811.4</v>
      </c>
      <c r="G438" s="33"/>
      <c r="H438" s="30">
        <v>42.8</v>
      </c>
      <c r="I438" s="34">
        <v>3.7835000000000001</v>
      </c>
      <c r="J438" s="35">
        <v>0.15891</v>
      </c>
      <c r="L438" s="30">
        <v>42.8</v>
      </c>
      <c r="M438" s="172">
        <v>6.7590000000000003</v>
      </c>
      <c r="N438" s="173">
        <v>0.14795</v>
      </c>
      <c r="P438" s="30">
        <v>42.8</v>
      </c>
      <c r="Q438" s="172">
        <v>3.3795000000000002</v>
      </c>
      <c r="R438" s="173">
        <v>0.14194000000000001</v>
      </c>
      <c r="T438" s="30">
        <v>42.8</v>
      </c>
      <c r="U438" s="172">
        <v>295.90000000000299</v>
      </c>
      <c r="V438" s="173">
        <v>7.0450000000000097</v>
      </c>
      <c r="X438" s="30">
        <v>42.8</v>
      </c>
      <c r="Y438" s="34">
        <v>3.0173999999999999</v>
      </c>
      <c r="Z438" s="35">
        <v>0.12673000000000001</v>
      </c>
      <c r="AA438" s="36"/>
      <c r="AB438" s="30">
        <v>42.8</v>
      </c>
      <c r="AC438" s="44">
        <v>331.41</v>
      </c>
      <c r="AD438" s="35">
        <v>7.891</v>
      </c>
      <c r="AE438" s="36"/>
      <c r="AF438" s="30">
        <v>42.8</v>
      </c>
      <c r="AG438" s="34">
        <v>3.0659000000000001</v>
      </c>
      <c r="AH438" s="35">
        <v>0.12877</v>
      </c>
      <c r="AI438" s="35"/>
      <c r="AJ438" s="35">
        <v>0.12920999999999999</v>
      </c>
      <c r="AK438" s="998">
        <v>42.2</v>
      </c>
      <c r="AM438" s="30">
        <v>42.8</v>
      </c>
      <c r="AN438" s="34">
        <v>1.1194999999999999</v>
      </c>
      <c r="AO438" s="35">
        <v>1.2539</v>
      </c>
      <c r="BX438" s="43"/>
      <c r="BY438" s="34"/>
      <c r="BZ438" s="59"/>
      <c r="CB438" s="43"/>
      <c r="CC438" s="34"/>
      <c r="CD438" s="59"/>
      <c r="CL438" s="43"/>
      <c r="CM438" s="34"/>
      <c r="CN438" s="59"/>
      <c r="CP438" s="43"/>
      <c r="CQ438" s="34"/>
      <c r="CR438" s="59"/>
      <c r="CT438" s="43"/>
      <c r="CU438" s="34"/>
      <c r="CV438" s="59"/>
    </row>
    <row r="439" spans="4:100">
      <c r="D439" s="30">
        <v>42.9</v>
      </c>
      <c r="E439" s="31">
        <v>0.81140000000000001</v>
      </c>
      <c r="F439" s="32">
        <v>811</v>
      </c>
      <c r="G439" s="33"/>
      <c r="H439" s="30">
        <v>42.9</v>
      </c>
      <c r="I439" s="34">
        <v>3.7835000000000001</v>
      </c>
      <c r="J439" s="35">
        <v>0.15891</v>
      </c>
      <c r="L439" s="30">
        <v>42.9</v>
      </c>
      <c r="M439" s="172">
        <v>6.7549999999999999</v>
      </c>
      <c r="N439" s="173">
        <v>0.14802999999999999</v>
      </c>
      <c r="P439" s="30">
        <v>42.9</v>
      </c>
      <c r="Q439" s="172">
        <v>3.3776000000000002</v>
      </c>
      <c r="R439" s="173">
        <v>0.14186000000000001</v>
      </c>
      <c r="T439" s="30">
        <v>42.9</v>
      </c>
      <c r="U439" s="172">
        <v>296.07000000000301</v>
      </c>
      <c r="V439" s="173">
        <v>7.0490000000000101</v>
      </c>
      <c r="X439" s="30">
        <v>42.9</v>
      </c>
      <c r="Y439" s="34">
        <v>3.0156999999999998</v>
      </c>
      <c r="Z439" s="35">
        <v>0.12665999999999999</v>
      </c>
      <c r="AA439" s="36"/>
      <c r="AB439" s="30">
        <v>42.9</v>
      </c>
      <c r="AC439" s="44">
        <v>331.6</v>
      </c>
      <c r="AD439" s="35">
        <v>7.8949999999999996</v>
      </c>
      <c r="AE439" s="36"/>
      <c r="AF439" s="30">
        <v>42.9</v>
      </c>
      <c r="AG439" s="34">
        <v>3.0640999999999998</v>
      </c>
      <c r="AH439" s="35">
        <v>0.12869</v>
      </c>
      <c r="AI439" s="35"/>
      <c r="AJ439" s="35">
        <v>0.12928999999999999</v>
      </c>
      <c r="AK439" s="998">
        <v>42.1</v>
      </c>
      <c r="AM439" s="30">
        <v>42.9</v>
      </c>
      <c r="AN439" s="34">
        <v>1.1202000000000001</v>
      </c>
      <c r="AO439" s="35">
        <v>1.2545999999999999</v>
      </c>
      <c r="BX439" s="43"/>
      <c r="BY439" s="34"/>
      <c r="BZ439" s="59"/>
      <c r="CB439" s="43"/>
      <c r="CC439" s="34"/>
      <c r="CD439" s="59"/>
      <c r="CL439" s="43"/>
      <c r="CM439" s="34"/>
      <c r="CN439" s="59"/>
      <c r="CP439" s="43"/>
      <c r="CQ439" s="34"/>
      <c r="CR439" s="59"/>
      <c r="CT439" s="43"/>
      <c r="CU439" s="34"/>
      <c r="CV439" s="59"/>
    </row>
    <row r="440" spans="4:100">
      <c r="D440" s="30">
        <v>43</v>
      </c>
      <c r="E440" s="31">
        <v>0.81089999999999995</v>
      </c>
      <c r="F440" s="32">
        <v>810.5</v>
      </c>
      <c r="G440" s="33"/>
      <c r="H440" s="30">
        <v>43</v>
      </c>
      <c r="I440" s="34">
        <v>3.7835000000000001</v>
      </c>
      <c r="J440" s="35">
        <v>0.15891</v>
      </c>
      <c r="L440" s="30">
        <v>43</v>
      </c>
      <c r="M440" s="172">
        <v>6.7510000000000003</v>
      </c>
      <c r="N440" s="173">
        <v>0.14812</v>
      </c>
      <c r="P440" s="30">
        <v>43</v>
      </c>
      <c r="Q440" s="172">
        <v>3.3757000000000001</v>
      </c>
      <c r="R440" s="173">
        <v>0.14177999999999999</v>
      </c>
      <c r="T440" s="30">
        <v>43</v>
      </c>
      <c r="U440" s="172">
        <v>296.24000000000302</v>
      </c>
      <c r="V440" s="173">
        <v>7.0530000000000097</v>
      </c>
      <c r="X440" s="30">
        <v>43</v>
      </c>
      <c r="Y440" s="34">
        <v>3.0139999999999998</v>
      </c>
      <c r="Z440" s="35">
        <v>0.12659000000000001</v>
      </c>
      <c r="AA440" s="36"/>
      <c r="AB440" s="30">
        <v>43</v>
      </c>
      <c r="AC440" s="44">
        <v>331.79</v>
      </c>
      <c r="AD440" s="35">
        <v>7.9</v>
      </c>
      <c r="AE440" s="36"/>
      <c r="AF440" s="30">
        <v>43</v>
      </c>
      <c r="AG440" s="34">
        <v>3.0623999999999998</v>
      </c>
      <c r="AH440" s="35">
        <v>0.12862000000000001</v>
      </c>
      <c r="AI440" s="35"/>
      <c r="AJ440" s="35">
        <v>0.12936</v>
      </c>
      <c r="AK440" s="998">
        <v>42</v>
      </c>
      <c r="AM440" s="30">
        <v>43</v>
      </c>
      <c r="AN440" s="34">
        <v>1.1208</v>
      </c>
      <c r="AO440" s="35">
        <v>1.2553000000000001</v>
      </c>
      <c r="BX440" s="43"/>
      <c r="BY440" s="34"/>
      <c r="BZ440" s="59"/>
      <c r="CB440" s="43"/>
      <c r="CC440" s="34"/>
      <c r="CD440" s="59"/>
      <c r="CL440" s="43"/>
      <c r="CM440" s="34"/>
      <c r="CN440" s="59"/>
      <c r="CP440" s="43"/>
      <c r="CQ440" s="34"/>
      <c r="CR440" s="59"/>
      <c r="CT440" s="43"/>
      <c r="CU440" s="34"/>
      <c r="CV440" s="59"/>
    </row>
    <row r="441" spans="4:100">
      <c r="D441" s="30">
        <v>43.1</v>
      </c>
      <c r="E441" s="31">
        <v>0.81040000000000001</v>
      </c>
      <c r="F441" s="32">
        <v>810</v>
      </c>
      <c r="G441" s="33"/>
      <c r="H441" s="30">
        <v>43.1</v>
      </c>
      <c r="I441" s="34">
        <v>3.7835000000000001</v>
      </c>
      <c r="J441" s="35">
        <v>0.15891</v>
      </c>
      <c r="L441" s="30">
        <v>43.1</v>
      </c>
      <c r="M441" s="172">
        <v>6.7469999999999999</v>
      </c>
      <c r="N441" s="173">
        <v>0.1482</v>
      </c>
      <c r="P441" s="30">
        <v>43.1</v>
      </c>
      <c r="Q441" s="172">
        <v>3.3736999999999999</v>
      </c>
      <c r="R441" s="173">
        <v>0.14169999999999999</v>
      </c>
      <c r="T441" s="30">
        <v>43.1</v>
      </c>
      <c r="U441" s="172">
        <v>296.41000000000298</v>
      </c>
      <c r="V441" s="173">
        <v>7.0570000000000102</v>
      </c>
      <c r="X441" s="30">
        <v>43.1</v>
      </c>
      <c r="Y441" s="34">
        <v>3.0123000000000002</v>
      </c>
      <c r="Z441" s="35">
        <v>0.12651000000000001</v>
      </c>
      <c r="AA441" s="36"/>
      <c r="AB441" s="30">
        <v>43.1</v>
      </c>
      <c r="AC441" s="44">
        <v>331.98</v>
      </c>
      <c r="AD441" s="35">
        <v>7.9039999999999999</v>
      </c>
      <c r="AE441" s="36"/>
      <c r="AF441" s="30">
        <v>43.1</v>
      </c>
      <c r="AG441" s="34">
        <v>3.0606</v>
      </c>
      <c r="AH441" s="35">
        <v>0.12853999999999999</v>
      </c>
      <c r="AI441" s="35"/>
      <c r="AJ441" s="35">
        <v>0.12944</v>
      </c>
      <c r="AK441" s="998">
        <v>41.9</v>
      </c>
      <c r="AM441" s="30">
        <v>43.1</v>
      </c>
      <c r="AN441" s="34">
        <v>1.1214999999999999</v>
      </c>
      <c r="AO441" s="35">
        <v>1.256</v>
      </c>
      <c r="BX441" s="43"/>
      <c r="BY441" s="34"/>
      <c r="BZ441" s="59"/>
      <c r="CB441" s="43"/>
      <c r="CC441" s="34"/>
      <c r="CD441" s="59"/>
      <c r="CL441" s="43"/>
      <c r="CM441" s="34"/>
      <c r="CN441" s="59"/>
      <c r="CP441" s="43"/>
      <c r="CQ441" s="34"/>
      <c r="CR441" s="59"/>
      <c r="CT441" s="43"/>
      <c r="CU441" s="34"/>
      <c r="CV441" s="59"/>
    </row>
    <row r="442" spans="4:100">
      <c r="D442" s="30">
        <v>43.2</v>
      </c>
      <c r="E442" s="31">
        <v>0.81</v>
      </c>
      <c r="F442" s="32">
        <v>809.6</v>
      </c>
      <c r="G442" s="33"/>
      <c r="H442" s="30">
        <v>43.2</v>
      </c>
      <c r="I442" s="34">
        <v>3.7835000000000001</v>
      </c>
      <c r="J442" s="35">
        <v>0.15891</v>
      </c>
      <c r="L442" s="30">
        <v>43.2</v>
      </c>
      <c r="M442" s="172">
        <v>6.7439999999999998</v>
      </c>
      <c r="N442" s="173">
        <v>0.14829000000000001</v>
      </c>
      <c r="P442" s="30">
        <v>43.2</v>
      </c>
      <c r="Q442" s="172">
        <v>3.3717999999999999</v>
      </c>
      <c r="R442" s="173">
        <v>0.14162</v>
      </c>
      <c r="T442" s="30">
        <v>43.2</v>
      </c>
      <c r="U442" s="172">
        <v>296.580000000003</v>
      </c>
      <c r="V442" s="173">
        <v>7.0610000000000097</v>
      </c>
      <c r="X442" s="30">
        <v>43.2</v>
      </c>
      <c r="Y442" s="34">
        <v>3.0105</v>
      </c>
      <c r="Z442" s="35">
        <v>0.12644</v>
      </c>
      <c r="AA442" s="36"/>
      <c r="AB442" s="30">
        <v>43.2</v>
      </c>
      <c r="AC442" s="44">
        <v>332.17</v>
      </c>
      <c r="AD442" s="35">
        <v>7.9089999999999998</v>
      </c>
      <c r="AE442" s="36"/>
      <c r="AF442" s="30">
        <v>43.2</v>
      </c>
      <c r="AG442" s="34">
        <v>3.0588000000000002</v>
      </c>
      <c r="AH442" s="35">
        <v>0.12847</v>
      </c>
      <c r="AI442" s="35"/>
      <c r="AJ442" s="35">
        <v>0.12950999999999999</v>
      </c>
      <c r="AK442" s="998">
        <v>41.8</v>
      </c>
      <c r="AM442" s="30">
        <v>43.2</v>
      </c>
      <c r="AN442" s="34">
        <v>1.1221000000000001</v>
      </c>
      <c r="AO442" s="35">
        <v>1.2567999999999999</v>
      </c>
      <c r="BX442" s="43"/>
      <c r="BY442" s="34"/>
      <c r="BZ442" s="59"/>
      <c r="CB442" s="43"/>
      <c r="CC442" s="34"/>
      <c r="CD442" s="59"/>
      <c r="CL442" s="43"/>
      <c r="CM442" s="34"/>
      <c r="CN442" s="59"/>
      <c r="CP442" s="43"/>
      <c r="CQ442" s="34"/>
      <c r="CR442" s="59"/>
      <c r="CT442" s="43"/>
      <c r="CU442" s="34"/>
      <c r="CV442" s="59"/>
    </row>
    <row r="443" spans="4:100">
      <c r="D443" s="30">
        <v>43.3</v>
      </c>
      <c r="E443" s="31">
        <v>0.8095</v>
      </c>
      <c r="F443" s="32">
        <v>809.1</v>
      </c>
      <c r="G443" s="33"/>
      <c r="H443" s="30">
        <v>43.3</v>
      </c>
      <c r="I443" s="34">
        <v>3.7835000000000001</v>
      </c>
      <c r="J443" s="35">
        <v>0.15891</v>
      </c>
      <c r="L443" s="30">
        <v>43.3</v>
      </c>
      <c r="M443" s="172">
        <v>6.74</v>
      </c>
      <c r="N443" s="173">
        <v>0.14837</v>
      </c>
      <c r="P443" s="30">
        <v>43.3</v>
      </c>
      <c r="Q443" s="172">
        <v>3.3698999999999999</v>
      </c>
      <c r="R443" s="173">
        <v>0.14152999999999999</v>
      </c>
      <c r="T443" s="30">
        <v>43.3</v>
      </c>
      <c r="U443" s="172">
        <v>296.75000000000301</v>
      </c>
      <c r="V443" s="173">
        <v>7.0650000000000102</v>
      </c>
      <c r="X443" s="30">
        <v>43.3</v>
      </c>
      <c r="Y443" s="34">
        <v>3.0087999999999999</v>
      </c>
      <c r="Z443" s="35">
        <v>0.12637000000000001</v>
      </c>
      <c r="AA443" s="36"/>
      <c r="AB443" s="30">
        <v>43.3</v>
      </c>
      <c r="AC443" s="44">
        <v>332.36</v>
      </c>
      <c r="AD443" s="35">
        <v>7.9130000000000003</v>
      </c>
      <c r="AE443" s="36"/>
      <c r="AF443" s="30">
        <v>43.3</v>
      </c>
      <c r="AG443" s="34">
        <v>3.0571000000000002</v>
      </c>
      <c r="AH443" s="35">
        <v>0.12839999999999999</v>
      </c>
      <c r="AI443" s="35"/>
      <c r="AJ443" s="35">
        <v>0.12959000000000001</v>
      </c>
      <c r="AK443" s="998">
        <v>41.7</v>
      </c>
      <c r="AM443" s="30">
        <v>43.3</v>
      </c>
      <c r="AN443" s="34">
        <v>1.1227</v>
      </c>
      <c r="AO443" s="35">
        <v>1.2575000000000001</v>
      </c>
      <c r="BX443" s="43"/>
      <c r="BY443" s="34"/>
      <c r="BZ443" s="59"/>
      <c r="CB443" s="43"/>
      <c r="CC443" s="34"/>
      <c r="CD443" s="59"/>
      <c r="CL443" s="43"/>
      <c r="CM443" s="34"/>
      <c r="CN443" s="59"/>
      <c r="CP443" s="43"/>
      <c r="CQ443" s="34"/>
      <c r="CR443" s="59"/>
      <c r="CT443" s="43"/>
      <c r="CU443" s="34"/>
      <c r="CV443" s="59"/>
    </row>
    <row r="444" spans="4:100">
      <c r="D444" s="30">
        <v>43.4</v>
      </c>
      <c r="E444" s="31">
        <v>0.80900000000000005</v>
      </c>
      <c r="F444" s="32">
        <v>808.6</v>
      </c>
      <c r="G444" s="33"/>
      <c r="H444" s="30">
        <v>43.4</v>
      </c>
      <c r="I444" s="34">
        <v>3.7835000000000001</v>
      </c>
      <c r="J444" s="35">
        <v>0.15891</v>
      </c>
      <c r="L444" s="30">
        <v>43.4</v>
      </c>
      <c r="M444" s="172">
        <v>6.7359999999999998</v>
      </c>
      <c r="N444" s="173">
        <v>0.14846000000000001</v>
      </c>
      <c r="P444" s="30">
        <v>43.4</v>
      </c>
      <c r="Q444" s="172">
        <v>3.3679000000000001</v>
      </c>
      <c r="R444" s="173">
        <v>0.14144999999999999</v>
      </c>
      <c r="T444" s="30">
        <v>43.4</v>
      </c>
      <c r="U444" s="172">
        <v>296.92000000000297</v>
      </c>
      <c r="V444" s="173">
        <v>7.0690000000000097</v>
      </c>
      <c r="X444" s="30">
        <v>43.4</v>
      </c>
      <c r="Y444" s="34">
        <v>3.0070999999999999</v>
      </c>
      <c r="Z444" s="35">
        <v>0.1263</v>
      </c>
      <c r="AA444" s="36"/>
      <c r="AB444" s="30">
        <v>43.4</v>
      </c>
      <c r="AC444" s="44">
        <v>332.55</v>
      </c>
      <c r="AD444" s="35">
        <v>7.9180000000000001</v>
      </c>
      <c r="AE444" s="36"/>
      <c r="AF444" s="30">
        <v>43.4</v>
      </c>
      <c r="AG444" s="34">
        <v>3.0552999999999999</v>
      </c>
      <c r="AH444" s="35">
        <v>0.12831999999999999</v>
      </c>
      <c r="AI444" s="35"/>
      <c r="AJ444" s="35">
        <v>0.12966</v>
      </c>
      <c r="AK444" s="998">
        <v>41.6</v>
      </c>
      <c r="AM444" s="30">
        <v>43.4</v>
      </c>
      <c r="AN444" s="34">
        <v>1.1234</v>
      </c>
      <c r="AO444" s="35">
        <v>1.2582</v>
      </c>
      <c r="BX444" s="43"/>
      <c r="BY444" s="34"/>
      <c r="BZ444" s="59"/>
      <c r="CB444" s="43"/>
      <c r="CC444" s="34"/>
      <c r="CD444" s="59"/>
      <c r="CL444" s="43"/>
      <c r="CM444" s="34"/>
      <c r="CN444" s="59"/>
      <c r="CP444" s="43"/>
      <c r="CQ444" s="34"/>
      <c r="CR444" s="59"/>
      <c r="CT444" s="43"/>
      <c r="CU444" s="34"/>
      <c r="CV444" s="59"/>
    </row>
    <row r="445" spans="4:100">
      <c r="D445" s="30">
        <v>43.5</v>
      </c>
      <c r="E445" s="31">
        <v>0.80859999999999999</v>
      </c>
      <c r="F445" s="32">
        <v>808.2</v>
      </c>
      <c r="G445" s="33"/>
      <c r="H445" s="30">
        <v>43.5</v>
      </c>
      <c r="I445" s="34">
        <v>3.7835000000000001</v>
      </c>
      <c r="J445" s="35">
        <v>0.15891</v>
      </c>
      <c r="L445" s="30">
        <v>43.5</v>
      </c>
      <c r="M445" s="172">
        <v>6.7320000000000002</v>
      </c>
      <c r="N445" s="173">
        <v>0.14854000000000001</v>
      </c>
      <c r="P445" s="30">
        <v>43.5</v>
      </c>
      <c r="Q445" s="172">
        <v>3.3660000000000001</v>
      </c>
      <c r="R445" s="173">
        <v>0.14137</v>
      </c>
      <c r="T445" s="30">
        <v>43.5</v>
      </c>
      <c r="U445" s="172">
        <v>297.09000000000299</v>
      </c>
      <c r="V445" s="173">
        <v>7.0739999999999998</v>
      </c>
      <c r="X445" s="30">
        <v>43.5</v>
      </c>
      <c r="Y445" s="34">
        <v>3.0053999999999998</v>
      </c>
      <c r="Z445" s="35">
        <v>0.12623000000000001</v>
      </c>
      <c r="AA445" s="36"/>
      <c r="AB445" s="30">
        <v>43.5</v>
      </c>
      <c r="AC445" s="44">
        <v>332.74</v>
      </c>
      <c r="AD445" s="35">
        <v>7.9219999999999997</v>
      </c>
      <c r="AE445" s="36"/>
      <c r="AF445" s="30">
        <v>43.5</v>
      </c>
      <c r="AG445" s="34">
        <v>3.0535999999999999</v>
      </c>
      <c r="AH445" s="35">
        <v>0.12825</v>
      </c>
      <c r="AI445" s="35"/>
      <c r="AJ445" s="35">
        <v>0.12973999999999999</v>
      </c>
      <c r="AK445" s="998">
        <v>41.5</v>
      </c>
      <c r="AM445" s="30">
        <v>43.5</v>
      </c>
      <c r="AN445" s="34">
        <v>1.1240000000000001</v>
      </c>
      <c r="AO445" s="35">
        <v>1.2588999999999999</v>
      </c>
      <c r="BX445" s="43"/>
      <c r="BY445" s="34"/>
      <c r="BZ445" s="59"/>
      <c r="CB445" s="43"/>
      <c r="CC445" s="34"/>
      <c r="CD445" s="59"/>
      <c r="CL445" s="43"/>
      <c r="CM445" s="34"/>
      <c r="CN445" s="59"/>
      <c r="CP445" s="43"/>
      <c r="CQ445" s="34"/>
      <c r="CR445" s="59"/>
      <c r="CT445" s="43"/>
      <c r="CU445" s="34"/>
      <c r="CV445" s="59"/>
    </row>
    <row r="446" spans="4:100">
      <c r="D446" s="30">
        <v>43.6</v>
      </c>
      <c r="E446" s="31">
        <v>0.80810000000000004</v>
      </c>
      <c r="F446" s="32">
        <v>807.7</v>
      </c>
      <c r="G446" s="33"/>
      <c r="H446" s="30">
        <v>43.6</v>
      </c>
      <c r="I446" s="34">
        <v>3.7835000000000001</v>
      </c>
      <c r="J446" s="35">
        <v>0.15891</v>
      </c>
      <c r="L446" s="30">
        <v>43.6</v>
      </c>
      <c r="M446" s="172">
        <v>6.7279999999999998</v>
      </c>
      <c r="N446" s="173">
        <v>0.14863000000000001</v>
      </c>
      <c r="P446" s="30">
        <v>43.6</v>
      </c>
      <c r="Q446" s="172">
        <v>3.3641000000000001</v>
      </c>
      <c r="R446" s="173">
        <v>0.14129</v>
      </c>
      <c r="T446" s="30">
        <v>43.6</v>
      </c>
      <c r="U446" s="172">
        <v>297.260000000003</v>
      </c>
      <c r="V446" s="173">
        <v>7.0780000000000003</v>
      </c>
      <c r="X446" s="30">
        <v>43.6</v>
      </c>
      <c r="Y446" s="34">
        <v>3.0036</v>
      </c>
      <c r="Z446" s="35">
        <v>0.12615000000000001</v>
      </c>
      <c r="AA446" s="36"/>
      <c r="AB446" s="30">
        <v>43.6</v>
      </c>
      <c r="AC446" s="44">
        <v>332.93</v>
      </c>
      <c r="AD446" s="35">
        <v>7.9269999999999996</v>
      </c>
      <c r="AE446" s="36"/>
      <c r="AF446" s="30">
        <v>43.6</v>
      </c>
      <c r="AG446" s="34">
        <v>3.0518000000000001</v>
      </c>
      <c r="AH446" s="35">
        <v>0.12817999999999999</v>
      </c>
      <c r="AI446" s="35"/>
      <c r="AJ446" s="35">
        <v>0.12981000000000001</v>
      </c>
      <c r="AK446" s="998">
        <v>41.4</v>
      </c>
      <c r="AM446" s="30">
        <v>43.6</v>
      </c>
      <c r="AN446" s="34">
        <v>1.1247</v>
      </c>
      <c r="AO446" s="35">
        <v>1.2596000000000001</v>
      </c>
      <c r="BX446" s="43"/>
      <c r="BY446" s="34"/>
      <c r="BZ446" s="59"/>
      <c r="CB446" s="43"/>
      <c r="CC446" s="34"/>
      <c r="CD446" s="59"/>
      <c r="CL446" s="43"/>
      <c r="CM446" s="34"/>
      <c r="CN446" s="59"/>
      <c r="CP446" s="43"/>
      <c r="CQ446" s="34"/>
      <c r="CR446" s="59"/>
      <c r="CT446" s="43"/>
      <c r="CU446" s="34"/>
      <c r="CV446" s="59"/>
    </row>
    <row r="447" spans="4:100">
      <c r="D447" s="30">
        <v>43.7</v>
      </c>
      <c r="E447" s="31">
        <v>0.80759999999999998</v>
      </c>
      <c r="F447" s="32">
        <v>807.3</v>
      </c>
      <c r="G447" s="33"/>
      <c r="H447" s="30">
        <v>43.7</v>
      </c>
      <c r="I447" s="34">
        <v>3.7835000000000001</v>
      </c>
      <c r="J447" s="35">
        <v>0.15891</v>
      </c>
      <c r="L447" s="30">
        <v>43.7</v>
      </c>
      <c r="M447" s="172">
        <v>6.7240000000000002</v>
      </c>
      <c r="N447" s="173">
        <v>0.14871000000000001</v>
      </c>
      <c r="P447" s="30">
        <v>43.7</v>
      </c>
      <c r="Q447" s="172">
        <v>3.3622000000000001</v>
      </c>
      <c r="R447" s="173">
        <v>0.14121</v>
      </c>
      <c r="T447" s="30">
        <v>43.7</v>
      </c>
      <c r="U447" s="172">
        <v>297.43000000000302</v>
      </c>
      <c r="V447" s="173">
        <v>7.0819999999999999</v>
      </c>
      <c r="X447" s="30">
        <v>43.7</v>
      </c>
      <c r="Y447" s="34">
        <v>3.0019</v>
      </c>
      <c r="Z447" s="35">
        <v>0.12608</v>
      </c>
      <c r="AA447" s="36"/>
      <c r="AB447" s="30">
        <v>43.7</v>
      </c>
      <c r="AC447" s="44">
        <v>333.12</v>
      </c>
      <c r="AD447" s="35">
        <v>7.931</v>
      </c>
      <c r="AE447" s="36"/>
      <c r="AF447" s="30">
        <v>43.7</v>
      </c>
      <c r="AG447" s="34">
        <v>3.0501</v>
      </c>
      <c r="AH447" s="35">
        <v>0.12809999999999999</v>
      </c>
      <c r="AI447" s="35"/>
      <c r="AJ447" s="35">
        <v>0.12989000000000001</v>
      </c>
      <c r="AK447" s="998">
        <v>41.3</v>
      </c>
      <c r="AM447" s="30">
        <v>43.7</v>
      </c>
      <c r="AN447" s="34">
        <v>1.1253</v>
      </c>
      <c r="AO447" s="35">
        <v>1.2604</v>
      </c>
      <c r="BX447" s="43"/>
      <c r="BY447" s="34"/>
      <c r="BZ447" s="59"/>
      <c r="CB447" s="43"/>
      <c r="CC447" s="34"/>
      <c r="CD447" s="59"/>
      <c r="CL447" s="43"/>
      <c r="CM447" s="34"/>
      <c r="CN447" s="59"/>
      <c r="CP447" s="43"/>
      <c r="CQ447" s="34"/>
      <c r="CR447" s="59"/>
      <c r="CT447" s="43"/>
      <c r="CU447" s="34"/>
      <c r="CV447" s="59"/>
    </row>
    <row r="448" spans="4:100">
      <c r="D448" s="30">
        <v>43.8</v>
      </c>
      <c r="E448" s="31">
        <v>0.80720000000000003</v>
      </c>
      <c r="F448" s="32">
        <v>806.8</v>
      </c>
      <c r="G448" s="33"/>
      <c r="H448" s="30">
        <v>43.8</v>
      </c>
      <c r="I448" s="34">
        <v>3.7835000000000001</v>
      </c>
      <c r="J448" s="35">
        <v>0.15891</v>
      </c>
      <c r="L448" s="30">
        <v>43.8</v>
      </c>
      <c r="M448" s="172">
        <v>6.72</v>
      </c>
      <c r="N448" s="173">
        <v>0.14879999999999999</v>
      </c>
      <c r="P448" s="30">
        <v>43.8</v>
      </c>
      <c r="Q448" s="172">
        <v>3.3601999999999999</v>
      </c>
      <c r="R448" s="173">
        <v>0.14113000000000001</v>
      </c>
      <c r="T448" s="30">
        <v>43.8</v>
      </c>
      <c r="U448" s="172">
        <v>297.60000000000298</v>
      </c>
      <c r="V448" s="173">
        <v>7.0860000000000003</v>
      </c>
      <c r="X448" s="30">
        <v>43.8</v>
      </c>
      <c r="Y448" s="34">
        <v>3.0002</v>
      </c>
      <c r="Z448" s="35">
        <v>0.12601000000000001</v>
      </c>
      <c r="AA448" s="36"/>
      <c r="AB448" s="30">
        <v>43.8</v>
      </c>
      <c r="AC448" s="44">
        <v>333.31</v>
      </c>
      <c r="AD448" s="35">
        <v>7.9359999999999999</v>
      </c>
      <c r="AE448" s="36"/>
      <c r="AF448" s="30">
        <v>43.8</v>
      </c>
      <c r="AG448" s="34">
        <v>3.0484</v>
      </c>
      <c r="AH448" s="35">
        <v>0.12803</v>
      </c>
      <c r="AI448" s="35"/>
      <c r="AJ448" s="35">
        <v>0.12995999999999999</v>
      </c>
      <c r="AK448" s="998">
        <v>41.2</v>
      </c>
      <c r="AM448" s="30">
        <v>43.8</v>
      </c>
      <c r="AN448" s="34">
        <v>1.1259999999999999</v>
      </c>
      <c r="AO448" s="35">
        <v>1.2611000000000001</v>
      </c>
      <c r="BX448" s="43"/>
      <c r="BY448" s="34"/>
      <c r="BZ448" s="59"/>
      <c r="CB448" s="43"/>
      <c r="CC448" s="34"/>
      <c r="CD448" s="59"/>
      <c r="CL448" s="43"/>
      <c r="CM448" s="34"/>
      <c r="CN448" s="59"/>
      <c r="CP448" s="43"/>
      <c r="CQ448" s="34"/>
      <c r="CR448" s="59"/>
      <c r="CT448" s="43"/>
      <c r="CU448" s="34"/>
      <c r="CV448" s="59"/>
    </row>
    <row r="449" spans="4:100">
      <c r="D449" s="30">
        <v>43.9</v>
      </c>
      <c r="E449" s="31">
        <v>0.80669999999999997</v>
      </c>
      <c r="F449" s="32">
        <v>806.3</v>
      </c>
      <c r="G449" s="33"/>
      <c r="H449" s="30">
        <v>43.9</v>
      </c>
      <c r="I449" s="34">
        <v>3.7835000000000001</v>
      </c>
      <c r="J449" s="35">
        <v>0.15891</v>
      </c>
      <c r="L449" s="30">
        <v>43.9</v>
      </c>
      <c r="M449" s="172">
        <v>6.7169999999999996</v>
      </c>
      <c r="N449" s="173">
        <v>0.14888000000000001</v>
      </c>
      <c r="P449" s="30">
        <v>43.9</v>
      </c>
      <c r="Q449" s="172">
        <v>3.3582999999999998</v>
      </c>
      <c r="R449" s="173">
        <v>0.14105000000000001</v>
      </c>
      <c r="T449" s="30">
        <v>43.9</v>
      </c>
      <c r="U449" s="172">
        <v>297.77000000000299</v>
      </c>
      <c r="V449" s="173">
        <v>7.09</v>
      </c>
      <c r="X449" s="30">
        <v>43.9</v>
      </c>
      <c r="Y449" s="34">
        <v>2.9984999999999999</v>
      </c>
      <c r="Z449" s="35">
        <v>0.12594</v>
      </c>
      <c r="AA449" s="36"/>
      <c r="AB449" s="30">
        <v>43.9</v>
      </c>
      <c r="AC449" s="44">
        <v>333.5</v>
      </c>
      <c r="AD449" s="35">
        <v>7.94</v>
      </c>
      <c r="AE449" s="36"/>
      <c r="AF449" s="30">
        <v>43.9</v>
      </c>
      <c r="AG449" s="34">
        <v>3.0466000000000002</v>
      </c>
      <c r="AH449" s="35">
        <v>0.12795999999999999</v>
      </c>
      <c r="AI449" s="35"/>
      <c r="AJ449" s="35">
        <v>0.13003999999999999</v>
      </c>
      <c r="AK449" s="998">
        <v>41.1</v>
      </c>
      <c r="AM449" s="30">
        <v>43.9</v>
      </c>
      <c r="AN449" s="34">
        <v>1.1266</v>
      </c>
      <c r="AO449" s="35">
        <v>1.2618</v>
      </c>
      <c r="BX449" s="43"/>
      <c r="BY449" s="34"/>
      <c r="BZ449" s="59"/>
      <c r="CB449" s="43"/>
      <c r="CC449" s="34"/>
      <c r="CD449" s="59"/>
      <c r="CL449" s="43"/>
      <c r="CM449" s="34"/>
      <c r="CN449" s="59"/>
      <c r="CP449" s="43"/>
      <c r="CQ449" s="34"/>
      <c r="CR449" s="59"/>
      <c r="CT449" s="43"/>
      <c r="CU449" s="34"/>
      <c r="CV449" s="59"/>
    </row>
    <row r="450" spans="4:100">
      <c r="D450" s="30">
        <v>44</v>
      </c>
      <c r="E450" s="31">
        <v>0.80630000000000002</v>
      </c>
      <c r="F450" s="32">
        <v>805.9</v>
      </c>
      <c r="G450" s="33"/>
      <c r="H450" s="30">
        <v>44</v>
      </c>
      <c r="I450" s="34">
        <v>3.7835000000000001</v>
      </c>
      <c r="J450" s="35">
        <v>0.15891</v>
      </c>
      <c r="L450" s="30">
        <v>44</v>
      </c>
      <c r="M450" s="172">
        <v>6.7130000000000001</v>
      </c>
      <c r="N450" s="173">
        <v>0.14896999999999999</v>
      </c>
      <c r="P450" s="30">
        <v>44</v>
      </c>
      <c r="Q450" s="172">
        <v>3.3563999999999998</v>
      </c>
      <c r="R450" s="173">
        <v>0.14097000000000001</v>
      </c>
      <c r="T450" s="30">
        <v>44</v>
      </c>
      <c r="U450" s="172">
        <v>297.94000000000301</v>
      </c>
      <c r="V450" s="173">
        <v>7.0940000000000003</v>
      </c>
      <c r="X450" s="30">
        <v>44</v>
      </c>
      <c r="Y450" s="34">
        <v>2.9967999999999999</v>
      </c>
      <c r="Z450" s="35">
        <v>0.12586</v>
      </c>
      <c r="AA450" s="36"/>
      <c r="AB450" s="30">
        <v>44</v>
      </c>
      <c r="AC450" s="44">
        <v>333.69</v>
      </c>
      <c r="AD450" s="35">
        <v>7.9450000000000003</v>
      </c>
      <c r="AE450" s="36"/>
      <c r="AF450" s="30">
        <v>44</v>
      </c>
      <c r="AG450" s="34">
        <v>3.0449000000000002</v>
      </c>
      <c r="AH450" s="35">
        <v>0.12787999999999999</v>
      </c>
      <c r="AI450" s="35"/>
      <c r="AJ450" s="35">
        <v>0.13011</v>
      </c>
      <c r="AK450" s="998">
        <v>41</v>
      </c>
      <c r="AM450" s="30">
        <v>44</v>
      </c>
      <c r="AN450" s="34">
        <v>1.1272</v>
      </c>
      <c r="AO450" s="35">
        <v>1.2625</v>
      </c>
      <c r="BX450" s="43"/>
      <c r="BY450" s="34"/>
      <c r="BZ450" s="59"/>
      <c r="CB450" s="43"/>
      <c r="CC450" s="34"/>
      <c r="CD450" s="59"/>
      <c r="CL450" s="43"/>
      <c r="CM450" s="34"/>
      <c r="CN450" s="59"/>
      <c r="CP450" s="43"/>
      <c r="CQ450" s="34"/>
      <c r="CR450" s="59"/>
      <c r="CT450" s="43"/>
      <c r="CU450" s="34"/>
      <c r="CV450" s="59"/>
    </row>
    <row r="451" spans="4:100">
      <c r="D451" s="30">
        <v>44.1</v>
      </c>
      <c r="E451" s="31">
        <v>0.80579999999999996</v>
      </c>
      <c r="F451" s="32">
        <v>805.4</v>
      </c>
      <c r="G451" s="33"/>
      <c r="H451" s="30">
        <v>44.1</v>
      </c>
      <c r="I451" s="34">
        <v>3.7835000000000001</v>
      </c>
      <c r="J451" s="35">
        <v>0.15891</v>
      </c>
      <c r="L451" s="30">
        <v>44.1</v>
      </c>
      <c r="M451" s="172">
        <v>6.7089999999999996</v>
      </c>
      <c r="N451" s="173">
        <v>0.14904999999999999</v>
      </c>
      <c r="P451" s="30">
        <v>44.1</v>
      </c>
      <c r="Q451" s="172">
        <v>3.3544999999999998</v>
      </c>
      <c r="R451" s="173">
        <v>0.14088999999999999</v>
      </c>
      <c r="T451" s="30">
        <v>44.1</v>
      </c>
      <c r="U451" s="172">
        <v>298.11000000000303</v>
      </c>
      <c r="V451" s="173">
        <v>7.0979999999999999</v>
      </c>
      <c r="X451" s="30">
        <v>44.1</v>
      </c>
      <c r="Y451" s="34">
        <v>2.9950999999999999</v>
      </c>
      <c r="Z451" s="35">
        <v>0.12579000000000001</v>
      </c>
      <c r="AA451" s="36"/>
      <c r="AB451" s="30">
        <v>44.1</v>
      </c>
      <c r="AC451" s="44">
        <v>333.88</v>
      </c>
      <c r="AD451" s="35">
        <v>7.95</v>
      </c>
      <c r="AE451" s="36"/>
      <c r="AF451" s="30">
        <v>44.1</v>
      </c>
      <c r="AG451" s="34">
        <v>3.0430999999999999</v>
      </c>
      <c r="AH451" s="35">
        <v>0.12781000000000001</v>
      </c>
      <c r="AI451" s="35"/>
      <c r="AJ451" s="35">
        <v>0.13019</v>
      </c>
      <c r="AK451" s="998">
        <v>40.9</v>
      </c>
      <c r="AM451" s="30">
        <v>44.1</v>
      </c>
      <c r="AN451" s="34">
        <v>1.1278999999999999</v>
      </c>
      <c r="AO451" s="35">
        <v>1.2632000000000001</v>
      </c>
      <c r="BX451" s="43"/>
      <c r="BY451" s="34"/>
      <c r="BZ451" s="59"/>
      <c r="CB451" s="43"/>
      <c r="CC451" s="34"/>
      <c r="CD451" s="59"/>
      <c r="CL451" s="43"/>
      <c r="CM451" s="34"/>
      <c r="CN451" s="59"/>
      <c r="CP451" s="43"/>
      <c r="CQ451" s="34"/>
      <c r="CR451" s="59"/>
      <c r="CT451" s="43"/>
      <c r="CU451" s="34"/>
      <c r="CV451" s="59"/>
    </row>
    <row r="452" spans="4:100">
      <c r="D452" s="30">
        <v>44.2</v>
      </c>
      <c r="E452" s="31">
        <v>0.8054</v>
      </c>
      <c r="F452" s="32">
        <v>805</v>
      </c>
      <c r="G452" s="33"/>
      <c r="H452" s="30">
        <v>44.2</v>
      </c>
      <c r="I452" s="34">
        <v>3.7835000000000001</v>
      </c>
      <c r="J452" s="35">
        <v>0.15891</v>
      </c>
      <c r="L452" s="30">
        <v>44.2</v>
      </c>
      <c r="M452" s="172">
        <v>6.7050000000000001</v>
      </c>
      <c r="N452" s="173">
        <v>0.14913999999999999</v>
      </c>
      <c r="P452" s="30">
        <v>44.2</v>
      </c>
      <c r="Q452" s="172">
        <v>3.3525999999999998</v>
      </c>
      <c r="R452" s="173">
        <v>0.14080999999999999</v>
      </c>
      <c r="T452" s="30">
        <v>44.2</v>
      </c>
      <c r="U452" s="172">
        <v>298.28000000000299</v>
      </c>
      <c r="V452" s="173">
        <v>7.1020000000000003</v>
      </c>
      <c r="X452" s="30">
        <v>44.2</v>
      </c>
      <c r="Y452" s="34">
        <v>2.9933999999999998</v>
      </c>
      <c r="Z452" s="35">
        <v>0.12572</v>
      </c>
      <c r="AA452" s="36"/>
      <c r="AB452" s="30">
        <v>44.2</v>
      </c>
      <c r="AC452" s="44">
        <v>334.07</v>
      </c>
      <c r="AD452" s="35">
        <v>7.9539999999999997</v>
      </c>
      <c r="AE452" s="36"/>
      <c r="AF452" s="30">
        <v>44.2</v>
      </c>
      <c r="AG452" s="34">
        <v>3.0413999999999999</v>
      </c>
      <c r="AH452" s="35">
        <v>0.12773999999999999</v>
      </c>
      <c r="AI452" s="35"/>
      <c r="AJ452" s="35">
        <v>0.13025999999999999</v>
      </c>
      <c r="AK452" s="998">
        <v>40.799999999999997</v>
      </c>
      <c r="AM452" s="30">
        <v>44.2</v>
      </c>
      <c r="AN452" s="34">
        <v>1.1285000000000001</v>
      </c>
      <c r="AO452" s="35">
        <v>1.264</v>
      </c>
      <c r="BX452" s="43"/>
      <c r="BY452" s="34"/>
      <c r="BZ452" s="59"/>
      <c r="CB452" s="43"/>
      <c r="CC452" s="34"/>
      <c r="CD452" s="59"/>
      <c r="CL452" s="43"/>
      <c r="CM452" s="34"/>
      <c r="CN452" s="59"/>
      <c r="CP452" s="43"/>
      <c r="CQ452" s="34"/>
      <c r="CR452" s="59"/>
      <c r="CT452" s="43"/>
      <c r="CU452" s="34"/>
      <c r="CV452" s="59"/>
    </row>
    <row r="453" spans="4:100">
      <c r="D453" s="30">
        <v>44.3</v>
      </c>
      <c r="E453" s="31">
        <v>0.80489999999999995</v>
      </c>
      <c r="F453" s="32">
        <v>804.5</v>
      </c>
      <c r="G453" s="33"/>
      <c r="H453" s="30">
        <v>44.3</v>
      </c>
      <c r="I453" s="34">
        <v>3.7835000000000001</v>
      </c>
      <c r="J453" s="35">
        <v>0.15891</v>
      </c>
      <c r="L453" s="30">
        <v>44.3</v>
      </c>
      <c r="M453" s="172">
        <v>6.7009999999999996</v>
      </c>
      <c r="N453" s="173">
        <v>0.14921999999999999</v>
      </c>
      <c r="P453" s="30">
        <v>44.3</v>
      </c>
      <c r="Q453" s="172">
        <v>3.3506999999999998</v>
      </c>
      <c r="R453" s="173">
        <v>0.14072999999999999</v>
      </c>
      <c r="T453" s="30">
        <v>44.3</v>
      </c>
      <c r="U453" s="172">
        <v>298.450000000003</v>
      </c>
      <c r="V453" s="173">
        <v>7.1059999999999999</v>
      </c>
      <c r="X453" s="30">
        <v>44.3</v>
      </c>
      <c r="Y453" s="34">
        <v>2.9916999999999998</v>
      </c>
      <c r="Z453" s="35">
        <v>0.12565000000000001</v>
      </c>
      <c r="AA453" s="36"/>
      <c r="AB453" s="30">
        <v>44.3</v>
      </c>
      <c r="AC453" s="44">
        <v>334.26</v>
      </c>
      <c r="AD453" s="35">
        <v>7.9589999999999996</v>
      </c>
      <c r="AE453" s="36"/>
      <c r="AF453" s="30">
        <v>44.3</v>
      </c>
      <c r="AG453" s="34">
        <v>3.0396999999999998</v>
      </c>
      <c r="AH453" s="35">
        <v>0.12767000000000001</v>
      </c>
      <c r="AI453" s="35"/>
      <c r="AJ453" s="35">
        <v>0.13034000000000001</v>
      </c>
      <c r="AK453" s="998">
        <v>40.700000000000003</v>
      </c>
      <c r="AM453" s="30">
        <v>44.3</v>
      </c>
      <c r="AN453" s="34">
        <v>1.1292</v>
      </c>
      <c r="AO453" s="35">
        <v>1.2646999999999999</v>
      </c>
      <c r="BX453" s="43"/>
      <c r="BY453" s="34"/>
      <c r="BZ453" s="59"/>
      <c r="CB453" s="43"/>
      <c r="CC453" s="34"/>
      <c r="CD453" s="59"/>
      <c r="CL453" s="43"/>
      <c r="CM453" s="34"/>
      <c r="CN453" s="59"/>
      <c r="CP453" s="43"/>
      <c r="CQ453" s="34"/>
      <c r="CR453" s="59"/>
      <c r="CT453" s="43"/>
      <c r="CU453" s="34"/>
      <c r="CV453" s="59"/>
    </row>
    <row r="454" spans="4:100">
      <c r="D454" s="30">
        <v>44.4</v>
      </c>
      <c r="E454" s="31">
        <v>0.8044</v>
      </c>
      <c r="F454" s="32">
        <v>804.1</v>
      </c>
      <c r="G454" s="33"/>
      <c r="H454" s="30">
        <v>44.4</v>
      </c>
      <c r="I454" s="34">
        <v>3.7835000000000001</v>
      </c>
      <c r="J454" s="35">
        <v>0.15891</v>
      </c>
      <c r="L454" s="30">
        <v>44.4</v>
      </c>
      <c r="M454" s="172">
        <v>6.6980000000000004</v>
      </c>
      <c r="N454" s="173">
        <v>0.14931</v>
      </c>
      <c r="P454" s="30">
        <v>44.4</v>
      </c>
      <c r="Q454" s="172">
        <v>3.3488000000000002</v>
      </c>
      <c r="R454" s="173">
        <v>0.14065</v>
      </c>
      <c r="T454" s="30">
        <v>44.4</v>
      </c>
      <c r="U454" s="172">
        <v>298.62000000000302</v>
      </c>
      <c r="V454" s="173">
        <v>7.11</v>
      </c>
      <c r="X454" s="30">
        <v>44.4</v>
      </c>
      <c r="Y454" s="34">
        <v>2.99</v>
      </c>
      <c r="Z454" s="35">
        <v>0.12558</v>
      </c>
      <c r="AA454" s="36"/>
      <c r="AB454" s="30">
        <v>44.4</v>
      </c>
      <c r="AC454" s="44">
        <v>334.45</v>
      </c>
      <c r="AD454" s="35">
        <v>7.9630000000000001</v>
      </c>
      <c r="AE454" s="36"/>
      <c r="AF454" s="30">
        <v>44.4</v>
      </c>
      <c r="AG454" s="34">
        <v>3.0379</v>
      </c>
      <c r="AH454" s="35">
        <v>0.12759000000000001</v>
      </c>
      <c r="AI454" s="35"/>
      <c r="AJ454" s="35">
        <v>0.13042000000000001</v>
      </c>
      <c r="AK454" s="998">
        <v>40.6</v>
      </c>
      <c r="AM454" s="30">
        <v>44.4</v>
      </c>
      <c r="AN454" s="34">
        <v>1.1297999999999999</v>
      </c>
      <c r="AO454" s="35">
        <v>1.2654000000000001</v>
      </c>
      <c r="BX454" s="43"/>
      <c r="BY454" s="34"/>
      <c r="BZ454" s="59"/>
      <c r="CB454" s="43"/>
      <c r="CC454" s="34"/>
      <c r="CD454" s="59"/>
      <c r="CL454" s="43"/>
      <c r="CM454" s="34"/>
      <c r="CN454" s="59"/>
      <c r="CP454" s="43"/>
      <c r="CQ454" s="34"/>
      <c r="CR454" s="59"/>
      <c r="CT454" s="43"/>
      <c r="CU454" s="34"/>
      <c r="CV454" s="59"/>
    </row>
    <row r="455" spans="4:100">
      <c r="D455" s="30">
        <v>44.5</v>
      </c>
      <c r="E455" s="31">
        <v>0.80400000000000005</v>
      </c>
      <c r="F455" s="32">
        <v>803.6</v>
      </c>
      <c r="G455" s="33"/>
      <c r="H455" s="30">
        <v>44.5</v>
      </c>
      <c r="I455" s="34">
        <v>3.7835000000000001</v>
      </c>
      <c r="J455" s="35">
        <v>0.15891</v>
      </c>
      <c r="L455" s="30">
        <v>44.5</v>
      </c>
      <c r="M455" s="172">
        <v>6.694</v>
      </c>
      <c r="N455" s="173">
        <v>0.14939</v>
      </c>
      <c r="P455" s="30">
        <v>44.5</v>
      </c>
      <c r="Q455" s="172">
        <v>3.3468</v>
      </c>
      <c r="R455" s="173">
        <v>0.14057</v>
      </c>
      <c r="T455" s="30">
        <v>44.5</v>
      </c>
      <c r="U455" s="172">
        <v>298.79000000000298</v>
      </c>
      <c r="V455" s="173">
        <v>7.1139999999999999</v>
      </c>
      <c r="X455" s="30">
        <v>44.5</v>
      </c>
      <c r="Y455" s="34">
        <v>2.9883000000000002</v>
      </c>
      <c r="Z455" s="35">
        <v>0.12551000000000001</v>
      </c>
      <c r="AA455" s="36"/>
      <c r="AB455" s="30">
        <v>44.5</v>
      </c>
      <c r="AC455" s="44">
        <v>334.64</v>
      </c>
      <c r="AD455" s="35">
        <v>7.968</v>
      </c>
      <c r="AE455" s="36"/>
      <c r="AF455" s="30">
        <v>44.5</v>
      </c>
      <c r="AG455" s="34">
        <v>3.0362</v>
      </c>
      <c r="AH455" s="35">
        <v>0.12751999999999999</v>
      </c>
      <c r="AI455" s="35"/>
      <c r="AJ455" s="35">
        <v>0.13048999999999999</v>
      </c>
      <c r="AK455" s="998">
        <v>40.5</v>
      </c>
      <c r="AM455" s="30">
        <v>44.5</v>
      </c>
      <c r="AN455" s="34">
        <v>1.1305000000000001</v>
      </c>
      <c r="AO455" s="35">
        <v>1.2661</v>
      </c>
      <c r="BX455" s="43"/>
      <c r="BY455" s="34"/>
      <c r="BZ455" s="59"/>
      <c r="CB455" s="43"/>
      <c r="CC455" s="34"/>
      <c r="CD455" s="59"/>
      <c r="CL455" s="43"/>
      <c r="CM455" s="34"/>
      <c r="CN455" s="59"/>
      <c r="CP455" s="43"/>
      <c r="CQ455" s="34"/>
      <c r="CR455" s="59"/>
      <c r="CT455" s="43"/>
      <c r="CU455" s="34"/>
      <c r="CV455" s="59"/>
    </row>
    <row r="456" spans="4:100">
      <c r="D456" s="30">
        <v>44.6</v>
      </c>
      <c r="E456" s="31">
        <v>0.80349999999999999</v>
      </c>
      <c r="F456" s="32">
        <v>803.1</v>
      </c>
      <c r="G456" s="33"/>
      <c r="H456" s="30">
        <v>44.6</v>
      </c>
      <c r="I456" s="34">
        <v>3.7835000000000001</v>
      </c>
      <c r="J456" s="35">
        <v>0.15891</v>
      </c>
      <c r="L456" s="30">
        <v>44.6</v>
      </c>
      <c r="M456" s="172">
        <v>6.69</v>
      </c>
      <c r="N456" s="173">
        <v>0.14948</v>
      </c>
      <c r="P456" s="30">
        <v>44.6</v>
      </c>
      <c r="Q456" s="172">
        <v>3.3449</v>
      </c>
      <c r="R456" s="173">
        <v>0.14049</v>
      </c>
      <c r="T456" s="30">
        <v>44.6</v>
      </c>
      <c r="U456" s="172">
        <v>298.96000000000299</v>
      </c>
      <c r="V456" s="173">
        <v>7.1180000000000003</v>
      </c>
      <c r="X456" s="30">
        <v>44.6</v>
      </c>
      <c r="Y456" s="34">
        <v>2.9866000000000001</v>
      </c>
      <c r="Z456" s="35">
        <v>0.12544</v>
      </c>
      <c r="AA456" s="36"/>
      <c r="AB456" s="30">
        <v>44.6</v>
      </c>
      <c r="AC456" s="44">
        <v>334.83</v>
      </c>
      <c r="AD456" s="35">
        <v>7.9720000000000004</v>
      </c>
      <c r="AE456" s="36"/>
      <c r="AF456" s="30">
        <v>44.6</v>
      </c>
      <c r="AG456" s="34">
        <v>3.0345</v>
      </c>
      <c r="AH456" s="35">
        <v>0.12745000000000001</v>
      </c>
      <c r="AI456" s="35"/>
      <c r="AJ456" s="35">
        <v>0.13056999999999999</v>
      </c>
      <c r="AK456" s="998">
        <v>40.4</v>
      </c>
      <c r="AM456" s="30">
        <v>44.6</v>
      </c>
      <c r="AN456" s="34">
        <v>1.1311</v>
      </c>
      <c r="AO456" s="35">
        <v>1.2667999999999999</v>
      </c>
      <c r="BX456" s="43"/>
      <c r="BY456" s="34"/>
      <c r="BZ456" s="59"/>
      <c r="CB456" s="43"/>
      <c r="CC456" s="34"/>
      <c r="CD456" s="59"/>
      <c r="CL456" s="43"/>
      <c r="CM456" s="34"/>
      <c r="CN456" s="59"/>
      <c r="CP456" s="43"/>
      <c r="CQ456" s="34"/>
      <c r="CR456" s="59"/>
      <c r="CT456" s="43"/>
      <c r="CU456" s="34"/>
      <c r="CV456" s="59"/>
    </row>
    <row r="457" spans="4:100">
      <c r="D457" s="30">
        <v>44.7</v>
      </c>
      <c r="E457" s="31">
        <v>0.80310000000000004</v>
      </c>
      <c r="F457" s="32">
        <v>802.7</v>
      </c>
      <c r="G457" s="33"/>
      <c r="H457" s="30">
        <v>44.7</v>
      </c>
      <c r="I457" s="34">
        <v>3.7835000000000001</v>
      </c>
      <c r="J457" s="35">
        <v>0.15891</v>
      </c>
      <c r="L457" s="30">
        <v>44.7</v>
      </c>
      <c r="M457" s="172">
        <v>6.6859999999999999</v>
      </c>
      <c r="N457" s="173">
        <v>0.14956</v>
      </c>
      <c r="P457" s="30">
        <v>44.7</v>
      </c>
      <c r="Q457" s="172">
        <v>3.343</v>
      </c>
      <c r="R457" s="173">
        <v>0.14041000000000001</v>
      </c>
      <c r="T457" s="30">
        <v>44.7</v>
      </c>
      <c r="U457" s="172">
        <v>299.13000000000397</v>
      </c>
      <c r="V457" s="173">
        <v>7.1219999999999999</v>
      </c>
      <c r="X457" s="30">
        <v>44.7</v>
      </c>
      <c r="Y457" s="34">
        <v>2.9849000000000001</v>
      </c>
      <c r="Z457" s="35">
        <v>0.12536</v>
      </c>
      <c r="AA457" s="36"/>
      <c r="AB457" s="30">
        <v>44.7</v>
      </c>
      <c r="AC457" s="44">
        <v>335.02</v>
      </c>
      <c r="AD457" s="35">
        <v>7.9770000000000003</v>
      </c>
      <c r="AE457" s="36"/>
      <c r="AF457" s="30">
        <v>44.7</v>
      </c>
      <c r="AG457" s="34">
        <v>3.0327999999999999</v>
      </c>
      <c r="AH457" s="35">
        <v>0.12737999999999999</v>
      </c>
      <c r="AI457" s="35"/>
      <c r="AJ457" s="35">
        <v>0.13064000000000001</v>
      </c>
      <c r="AK457" s="998">
        <v>40.299999999999997</v>
      </c>
      <c r="AM457" s="30">
        <v>44.7</v>
      </c>
      <c r="AN457" s="34">
        <v>1.1316999999999999</v>
      </c>
      <c r="AO457" s="35">
        <v>1.2676000000000001</v>
      </c>
      <c r="BX457" s="43"/>
      <c r="BY457" s="34"/>
      <c r="BZ457" s="59"/>
      <c r="CB457" s="43"/>
      <c r="CC457" s="34"/>
      <c r="CD457" s="59"/>
      <c r="CL457" s="43"/>
      <c r="CM457" s="34"/>
      <c r="CN457" s="59"/>
      <c r="CP457" s="43"/>
      <c r="CQ457" s="34"/>
      <c r="CR457" s="59"/>
      <c r="CT457" s="43"/>
      <c r="CU457" s="34"/>
      <c r="CV457" s="59"/>
    </row>
    <row r="458" spans="4:100">
      <c r="D458" s="30">
        <v>44.8</v>
      </c>
      <c r="E458" s="31">
        <v>0.80259999999999998</v>
      </c>
      <c r="F458" s="32">
        <v>802.2</v>
      </c>
      <c r="G458" s="33"/>
      <c r="H458" s="30">
        <v>44.8</v>
      </c>
      <c r="I458" s="34">
        <v>3.7835000000000001</v>
      </c>
      <c r="J458" s="35">
        <v>0.15891</v>
      </c>
      <c r="L458" s="30">
        <v>44.8</v>
      </c>
      <c r="M458" s="172">
        <v>6.6820000000000004</v>
      </c>
      <c r="N458" s="173">
        <v>0.14965000000000001</v>
      </c>
      <c r="P458" s="30">
        <v>44.8</v>
      </c>
      <c r="Q458" s="172">
        <v>3.3411</v>
      </c>
      <c r="R458" s="173">
        <v>0.14033000000000001</v>
      </c>
      <c r="T458" s="30">
        <v>44.8</v>
      </c>
      <c r="U458" s="172">
        <v>299.30000000000302</v>
      </c>
      <c r="V458" s="173">
        <v>7.1260000000000003</v>
      </c>
      <c r="X458" s="30">
        <v>44.8</v>
      </c>
      <c r="Y458" s="34">
        <v>2.9832000000000001</v>
      </c>
      <c r="Z458" s="35">
        <v>0.12529000000000001</v>
      </c>
      <c r="AA458" s="36"/>
      <c r="AB458" s="30">
        <v>44.8</v>
      </c>
      <c r="AC458" s="44">
        <v>335.21</v>
      </c>
      <c r="AD458" s="35">
        <v>7.9809999999999999</v>
      </c>
      <c r="AE458" s="36"/>
      <c r="AF458" s="30">
        <v>44.8</v>
      </c>
      <c r="AG458" s="34">
        <v>3.0310000000000001</v>
      </c>
      <c r="AH458" s="35">
        <v>0.1273</v>
      </c>
      <c r="AI458" s="35"/>
      <c r="AJ458" s="35">
        <v>0.13072</v>
      </c>
      <c r="AK458" s="998">
        <v>40.200000000000003</v>
      </c>
      <c r="AM458" s="30">
        <v>44.8</v>
      </c>
      <c r="AN458" s="34">
        <v>1.1324000000000001</v>
      </c>
      <c r="AO458" s="35">
        <v>1.2683</v>
      </c>
      <c r="BX458" s="43"/>
      <c r="BY458" s="34"/>
      <c r="BZ458" s="59"/>
      <c r="CB458" s="43"/>
      <c r="CC458" s="34"/>
      <c r="CD458" s="59"/>
      <c r="CL458" s="43"/>
      <c r="CM458" s="34"/>
      <c r="CN458" s="59"/>
      <c r="CP458" s="43"/>
      <c r="CQ458" s="34"/>
      <c r="CR458" s="59"/>
      <c r="CT458" s="43"/>
      <c r="CU458" s="34"/>
      <c r="CV458" s="59"/>
    </row>
    <row r="459" spans="4:100">
      <c r="D459" s="30">
        <v>44.9</v>
      </c>
      <c r="E459" s="31">
        <v>0.80220000000000002</v>
      </c>
      <c r="F459" s="32">
        <v>801.8</v>
      </c>
      <c r="G459" s="33"/>
      <c r="H459" s="30">
        <v>44.9</v>
      </c>
      <c r="I459" s="34">
        <v>3.7835000000000001</v>
      </c>
      <c r="J459" s="35">
        <v>0.15891</v>
      </c>
      <c r="L459" s="30">
        <v>44.9</v>
      </c>
      <c r="M459" s="172">
        <v>6.6779999999999999</v>
      </c>
      <c r="N459" s="173">
        <v>0.14973</v>
      </c>
      <c r="P459" s="30">
        <v>44.9</v>
      </c>
      <c r="Q459" s="172">
        <v>3.3391999999999999</v>
      </c>
      <c r="R459" s="173">
        <v>0.14025000000000001</v>
      </c>
      <c r="T459" s="30">
        <v>44.9</v>
      </c>
      <c r="U459" s="172">
        <v>299.47000000000298</v>
      </c>
      <c r="V459" s="173">
        <v>7.13</v>
      </c>
      <c r="X459" s="30">
        <v>44.9</v>
      </c>
      <c r="Y459" s="34">
        <v>2.9815</v>
      </c>
      <c r="Z459" s="35">
        <v>0.12522</v>
      </c>
      <c r="AA459" s="36"/>
      <c r="AB459" s="30">
        <v>44.9</v>
      </c>
      <c r="AC459" s="44">
        <v>335.4</v>
      </c>
      <c r="AD459" s="35">
        <v>7.9859999999999998</v>
      </c>
      <c r="AE459" s="36"/>
      <c r="AF459" s="30">
        <v>44.9</v>
      </c>
      <c r="AG459" s="34">
        <v>3.0293000000000001</v>
      </c>
      <c r="AH459" s="35">
        <v>0.12723000000000001</v>
      </c>
      <c r="AI459" s="35"/>
      <c r="AJ459" s="35">
        <v>0.1308</v>
      </c>
      <c r="AK459" s="998">
        <v>40.1</v>
      </c>
      <c r="AM459" s="30">
        <v>44.9</v>
      </c>
      <c r="AN459" s="34">
        <v>1.133</v>
      </c>
      <c r="AO459" s="35">
        <v>1.2689999999999999</v>
      </c>
      <c r="BX459" s="43"/>
      <c r="BY459" s="34"/>
      <c r="BZ459" s="59"/>
      <c r="CB459" s="43"/>
      <c r="CC459" s="34"/>
      <c r="CD459" s="59"/>
      <c r="CL459" s="43"/>
      <c r="CM459" s="34"/>
      <c r="CN459" s="59"/>
      <c r="CP459" s="43"/>
      <c r="CQ459" s="34"/>
      <c r="CR459" s="59"/>
      <c r="CT459" s="43"/>
      <c r="CU459" s="34"/>
      <c r="CV459" s="59"/>
    </row>
    <row r="460" spans="4:100">
      <c r="D460" s="30">
        <v>45</v>
      </c>
      <c r="E460" s="31">
        <v>0.80169999999999997</v>
      </c>
      <c r="F460" s="32">
        <v>801.3</v>
      </c>
      <c r="G460" s="33"/>
      <c r="H460" s="30">
        <v>45</v>
      </c>
      <c r="I460" s="34">
        <v>3.7835000000000001</v>
      </c>
      <c r="J460" s="35">
        <v>0.15891</v>
      </c>
      <c r="L460" s="30">
        <v>45</v>
      </c>
      <c r="M460" s="172">
        <v>6.6749999999999998</v>
      </c>
      <c r="N460" s="173">
        <v>0.14982000000000001</v>
      </c>
      <c r="P460" s="30">
        <v>45</v>
      </c>
      <c r="Q460" s="172">
        <v>3.3374000000000001</v>
      </c>
      <c r="R460" s="173">
        <v>0.14016999999999999</v>
      </c>
      <c r="T460" s="30">
        <v>45</v>
      </c>
      <c r="U460" s="172">
        <v>299.64000000000402</v>
      </c>
      <c r="V460" s="173">
        <v>7.1340000000000003</v>
      </c>
      <c r="X460" s="30">
        <v>45</v>
      </c>
      <c r="Y460" s="34">
        <v>2.9798</v>
      </c>
      <c r="Z460" s="35">
        <v>0.12515000000000001</v>
      </c>
      <c r="AA460" s="36"/>
      <c r="AB460" s="30">
        <v>45</v>
      </c>
      <c r="AC460" s="44">
        <v>335.6</v>
      </c>
      <c r="AD460" s="35">
        <v>7.99</v>
      </c>
      <c r="AE460" s="36"/>
      <c r="AF460" s="30">
        <v>45</v>
      </c>
      <c r="AG460" s="34">
        <v>3.0276000000000001</v>
      </c>
      <c r="AH460" s="35">
        <v>0.12716</v>
      </c>
      <c r="AI460" s="35"/>
      <c r="AJ460" s="35">
        <v>0.13086999999999999</v>
      </c>
      <c r="AK460" s="998">
        <v>40</v>
      </c>
      <c r="AM460" s="30">
        <v>45</v>
      </c>
      <c r="AN460" s="34">
        <v>1.1336999999999999</v>
      </c>
      <c r="AO460" s="35">
        <v>1.2697000000000001</v>
      </c>
      <c r="BX460" s="43"/>
      <c r="BY460" s="34"/>
      <c r="BZ460" s="59"/>
      <c r="CB460" s="43"/>
      <c r="CC460" s="34"/>
      <c r="CD460" s="59"/>
      <c r="CL460" s="43"/>
      <c r="CM460" s="34"/>
      <c r="CN460" s="59"/>
      <c r="CP460" s="43"/>
      <c r="CQ460" s="34"/>
      <c r="CR460" s="59"/>
      <c r="CT460" s="43"/>
      <c r="CU460" s="34"/>
      <c r="CV460" s="59"/>
    </row>
    <row r="461" spans="4:100">
      <c r="D461" s="30">
        <v>45.1</v>
      </c>
      <c r="E461" s="31">
        <v>0.80120000000000002</v>
      </c>
      <c r="F461" s="32">
        <v>800.9</v>
      </c>
      <c r="G461" s="33"/>
      <c r="H461" s="30">
        <v>45.1</v>
      </c>
      <c r="I461" s="34">
        <v>3.7835000000000001</v>
      </c>
      <c r="J461" s="35">
        <v>0.15891</v>
      </c>
      <c r="L461" s="30">
        <v>45.1</v>
      </c>
      <c r="M461" s="172">
        <v>6.6710000000000003</v>
      </c>
      <c r="N461" s="173">
        <v>0.14990000000000001</v>
      </c>
      <c r="P461" s="30">
        <v>45.1</v>
      </c>
      <c r="Q461" s="172">
        <v>3.3355000000000001</v>
      </c>
      <c r="R461" s="173">
        <v>0.14008999999999999</v>
      </c>
      <c r="T461" s="30">
        <v>45.1</v>
      </c>
      <c r="U461" s="172">
        <v>299.81000000000398</v>
      </c>
      <c r="V461" s="173">
        <v>7.1379999999999901</v>
      </c>
      <c r="X461" s="30">
        <v>45.1</v>
      </c>
      <c r="Y461" s="34">
        <v>2.9781</v>
      </c>
      <c r="Z461" s="35">
        <v>0.12508</v>
      </c>
      <c r="AA461" s="36"/>
      <c r="AB461" s="30">
        <v>45.1</v>
      </c>
      <c r="AC461" s="44">
        <v>335.79</v>
      </c>
      <c r="AD461" s="35">
        <v>7.9950000000000001</v>
      </c>
      <c r="AE461" s="36"/>
      <c r="AF461" s="30">
        <v>45.1</v>
      </c>
      <c r="AG461" s="34">
        <v>3.0259</v>
      </c>
      <c r="AH461" s="35">
        <v>0.12709000000000001</v>
      </c>
      <c r="AI461" s="35"/>
      <c r="AJ461" s="35">
        <v>0.13095000000000001</v>
      </c>
      <c r="AK461" s="998">
        <v>39.9</v>
      </c>
      <c r="AM461" s="30">
        <v>45.1</v>
      </c>
      <c r="AN461" s="34">
        <v>1.1343000000000001</v>
      </c>
      <c r="AO461" s="35">
        <v>1.2704</v>
      </c>
      <c r="BX461" s="43"/>
      <c r="BY461" s="34"/>
      <c r="BZ461" s="59"/>
      <c r="CB461" s="43"/>
      <c r="CC461" s="34"/>
      <c r="CD461" s="59"/>
      <c r="CL461" s="43"/>
      <c r="CM461" s="34"/>
      <c r="CN461" s="59"/>
      <c r="CP461" s="43"/>
      <c r="CQ461" s="34"/>
      <c r="CR461" s="59"/>
      <c r="CT461" s="43"/>
      <c r="CU461" s="34"/>
      <c r="CV461" s="59"/>
    </row>
    <row r="462" spans="4:100">
      <c r="D462" s="30">
        <v>45.2</v>
      </c>
      <c r="E462" s="31">
        <v>0.80079999999999996</v>
      </c>
      <c r="F462" s="32">
        <v>800.4</v>
      </c>
      <c r="G462" s="33"/>
      <c r="H462" s="30">
        <v>45.2</v>
      </c>
      <c r="I462" s="34">
        <v>3.7835000000000001</v>
      </c>
      <c r="J462" s="35">
        <v>0.15891</v>
      </c>
      <c r="L462" s="30">
        <v>45.2</v>
      </c>
      <c r="M462" s="172">
        <v>6.6669999999999998</v>
      </c>
      <c r="N462" s="173">
        <v>0.14999000000000001</v>
      </c>
      <c r="P462" s="30">
        <v>45.2</v>
      </c>
      <c r="Q462" s="172">
        <v>3.3336000000000001</v>
      </c>
      <c r="R462" s="173">
        <v>0.14001</v>
      </c>
      <c r="T462" s="30">
        <v>45.2</v>
      </c>
      <c r="U462" s="172">
        <v>299.98000000000297</v>
      </c>
      <c r="V462" s="173">
        <v>7.1419999999999897</v>
      </c>
      <c r="X462" s="30">
        <v>45.2</v>
      </c>
      <c r="Y462" s="34">
        <v>2.9763999999999999</v>
      </c>
      <c r="Z462" s="35">
        <v>0.12501000000000001</v>
      </c>
      <c r="AA462" s="36"/>
      <c r="AB462" s="30">
        <v>45.2</v>
      </c>
      <c r="AC462" s="44">
        <v>335.98</v>
      </c>
      <c r="AD462" s="35">
        <v>7.9989999999999997</v>
      </c>
      <c r="AE462" s="36"/>
      <c r="AF462" s="30">
        <v>45.2</v>
      </c>
      <c r="AG462" s="34">
        <v>3.0242</v>
      </c>
      <c r="AH462" s="35">
        <v>0.12701000000000001</v>
      </c>
      <c r="AI462" s="35"/>
      <c r="AJ462" s="35">
        <v>0.13103000000000001</v>
      </c>
      <c r="AK462" s="998">
        <v>39.799999999999997</v>
      </c>
      <c r="AM462" s="30">
        <v>45.2</v>
      </c>
      <c r="AN462" s="34">
        <v>1.135</v>
      </c>
      <c r="AO462" s="35">
        <v>1.2712000000000001</v>
      </c>
      <c r="BX462" s="43"/>
      <c r="BY462" s="34"/>
      <c r="BZ462" s="59"/>
      <c r="CB462" s="43"/>
      <c r="CC462" s="34"/>
      <c r="CD462" s="59"/>
      <c r="CL462" s="43"/>
      <c r="CM462" s="34"/>
      <c r="CN462" s="59"/>
      <c r="CP462" s="43"/>
      <c r="CQ462" s="34"/>
      <c r="CR462" s="59"/>
      <c r="CT462" s="43"/>
      <c r="CU462" s="34"/>
      <c r="CV462" s="59"/>
    </row>
    <row r="463" spans="4:100">
      <c r="D463" s="30">
        <v>45.3</v>
      </c>
      <c r="E463" s="31">
        <v>0.80030000000000001</v>
      </c>
      <c r="F463" s="32">
        <v>800</v>
      </c>
      <c r="G463" s="33"/>
      <c r="H463" s="30">
        <v>45.3</v>
      </c>
      <c r="I463" s="34">
        <v>3.7835000000000001</v>
      </c>
      <c r="J463" s="35">
        <v>0.15891</v>
      </c>
      <c r="L463" s="30">
        <v>45.3</v>
      </c>
      <c r="M463" s="172">
        <v>6.6630000000000003</v>
      </c>
      <c r="N463" s="173">
        <v>0.15007000000000001</v>
      </c>
      <c r="P463" s="30">
        <v>45.3</v>
      </c>
      <c r="Q463" s="172">
        <v>3.3317000000000001</v>
      </c>
      <c r="R463" s="173">
        <v>0.13993</v>
      </c>
      <c r="T463" s="30">
        <v>45.3</v>
      </c>
      <c r="U463" s="172">
        <v>300.15000000000401</v>
      </c>
      <c r="V463" s="173">
        <v>7.1459999999999697</v>
      </c>
      <c r="X463" s="30">
        <v>45.3</v>
      </c>
      <c r="Y463" s="34">
        <v>2.9746999999999999</v>
      </c>
      <c r="Z463" s="35">
        <v>0.12494</v>
      </c>
      <c r="AA463" s="36"/>
      <c r="AB463" s="30">
        <v>45.3</v>
      </c>
      <c r="AC463" s="44">
        <v>336.17</v>
      </c>
      <c r="AD463" s="35">
        <v>8.0039999999999996</v>
      </c>
      <c r="AE463" s="36"/>
      <c r="AF463" s="30">
        <v>45.3</v>
      </c>
      <c r="AG463" s="34">
        <v>3.0225</v>
      </c>
      <c r="AH463" s="35">
        <v>0.12694</v>
      </c>
      <c r="AI463" s="35"/>
      <c r="AJ463" s="35">
        <v>0.13109999999999999</v>
      </c>
      <c r="AK463" s="998">
        <v>39.700000000000003</v>
      </c>
      <c r="AM463" s="30">
        <v>45.3</v>
      </c>
      <c r="AN463" s="34">
        <v>1.1355999999999999</v>
      </c>
      <c r="AO463" s="35">
        <v>1.2719</v>
      </c>
      <c r="BX463" s="43"/>
      <c r="BY463" s="34"/>
      <c r="BZ463" s="59"/>
      <c r="CB463" s="43"/>
      <c r="CC463" s="34"/>
      <c r="CD463" s="59"/>
      <c r="CL463" s="43"/>
      <c r="CM463" s="34"/>
      <c r="CN463" s="59"/>
      <c r="CP463" s="43"/>
      <c r="CQ463" s="34"/>
      <c r="CR463" s="59"/>
      <c r="CT463" s="43"/>
      <c r="CU463" s="34"/>
      <c r="CV463" s="59"/>
    </row>
    <row r="464" spans="4:100">
      <c r="D464" s="30">
        <v>45.4</v>
      </c>
      <c r="E464" s="31">
        <v>0.79990000000000006</v>
      </c>
      <c r="F464" s="32">
        <v>799.5</v>
      </c>
      <c r="G464" s="33"/>
      <c r="H464" s="30">
        <v>45.4</v>
      </c>
      <c r="I464" s="34">
        <v>3.7835000000000001</v>
      </c>
      <c r="J464" s="35">
        <v>0.15891</v>
      </c>
      <c r="L464" s="30">
        <v>45.4</v>
      </c>
      <c r="M464" s="172">
        <v>6.66</v>
      </c>
      <c r="N464" s="173">
        <v>0.15015999999999999</v>
      </c>
      <c r="P464" s="30">
        <v>45.4</v>
      </c>
      <c r="Q464" s="172">
        <v>3.3298000000000001</v>
      </c>
      <c r="R464" s="173">
        <v>0.13985</v>
      </c>
      <c r="T464" s="30">
        <v>45.4</v>
      </c>
      <c r="U464" s="172">
        <v>300.32000000000397</v>
      </c>
      <c r="V464" s="173">
        <v>7.1499999999999604</v>
      </c>
      <c r="X464" s="30">
        <v>45.4</v>
      </c>
      <c r="Y464" s="34">
        <v>2.9729999999999999</v>
      </c>
      <c r="Z464" s="35">
        <v>0.12486999999999999</v>
      </c>
      <c r="AA464" s="36"/>
      <c r="AB464" s="30">
        <v>45.4</v>
      </c>
      <c r="AC464" s="44">
        <v>336.36</v>
      </c>
      <c r="AD464" s="35">
        <v>8.0079999999999991</v>
      </c>
      <c r="AE464" s="36"/>
      <c r="AF464" s="30">
        <v>45.4</v>
      </c>
      <c r="AG464" s="34">
        <v>3.0207000000000002</v>
      </c>
      <c r="AH464" s="35">
        <v>0.12687000000000001</v>
      </c>
      <c r="AI464" s="35"/>
      <c r="AJ464" s="35">
        <v>0.13117999999999999</v>
      </c>
      <c r="AK464" s="998">
        <v>39.6</v>
      </c>
      <c r="AM464" s="30">
        <v>45.4</v>
      </c>
      <c r="AN464" s="34">
        <v>1.1362000000000001</v>
      </c>
      <c r="AO464" s="35">
        <v>1.2726</v>
      </c>
      <c r="BX464" s="43"/>
      <c r="BY464" s="34"/>
      <c r="BZ464" s="59"/>
      <c r="CB464" s="43"/>
      <c r="CC464" s="34"/>
      <c r="CD464" s="59"/>
      <c r="CL464" s="43"/>
      <c r="CM464" s="34"/>
      <c r="CN464" s="59"/>
      <c r="CP464" s="43"/>
      <c r="CQ464" s="34"/>
      <c r="CR464" s="59"/>
      <c r="CT464" s="43"/>
      <c r="CU464" s="34"/>
      <c r="CV464" s="59"/>
    </row>
    <row r="465" spans="4:100">
      <c r="D465" s="30">
        <v>45.5</v>
      </c>
      <c r="E465" s="31">
        <v>0.7994</v>
      </c>
      <c r="F465" s="32">
        <v>799.1</v>
      </c>
      <c r="G465" s="33"/>
      <c r="H465" s="30">
        <v>45.5</v>
      </c>
      <c r="I465" s="34">
        <v>3.7835000000000001</v>
      </c>
      <c r="J465" s="35">
        <v>0.15891</v>
      </c>
      <c r="L465" s="30">
        <v>45.5</v>
      </c>
      <c r="M465" s="172">
        <v>6.6559999999999997</v>
      </c>
      <c r="N465" s="173">
        <v>0.15024000000000001</v>
      </c>
      <c r="P465" s="30">
        <v>45.5</v>
      </c>
      <c r="Q465" s="172">
        <v>3.3279000000000001</v>
      </c>
      <c r="R465" s="173">
        <v>0.13977000000000001</v>
      </c>
      <c r="T465" s="30">
        <v>45.5</v>
      </c>
      <c r="U465" s="172">
        <v>300.49000000000399</v>
      </c>
      <c r="V465" s="173">
        <v>7.1539999999999502</v>
      </c>
      <c r="X465" s="30">
        <v>45.5</v>
      </c>
      <c r="Y465" s="34">
        <v>2.9714</v>
      </c>
      <c r="Z465" s="35">
        <v>0.12479999999999999</v>
      </c>
      <c r="AA465" s="36"/>
      <c r="AB465" s="30">
        <v>45.5</v>
      </c>
      <c r="AC465" s="44">
        <v>336.55</v>
      </c>
      <c r="AD465" s="35">
        <v>8.0129999999999999</v>
      </c>
      <c r="AE465" s="36"/>
      <c r="AF465" s="30">
        <v>45.5</v>
      </c>
      <c r="AG465" s="34">
        <v>3.0190000000000001</v>
      </c>
      <c r="AH465" s="35">
        <v>0.1268</v>
      </c>
      <c r="AI465" s="35"/>
      <c r="AJ465" s="35">
        <v>0.13125999999999999</v>
      </c>
      <c r="AK465" s="998">
        <v>39.5</v>
      </c>
      <c r="AM465" s="30">
        <v>45.5</v>
      </c>
      <c r="AN465" s="34">
        <v>1.1369</v>
      </c>
      <c r="AO465" s="35">
        <v>1.2733000000000001</v>
      </c>
      <c r="BX465" s="43"/>
      <c r="BY465" s="34"/>
      <c r="BZ465" s="59"/>
      <c r="CB465" s="43"/>
      <c r="CC465" s="34"/>
      <c r="CD465" s="59"/>
      <c r="CL465" s="43"/>
      <c r="CM465" s="34"/>
      <c r="CN465" s="59"/>
      <c r="CP465" s="43"/>
      <c r="CQ465" s="34"/>
      <c r="CR465" s="59"/>
      <c r="CT465" s="43"/>
      <c r="CU465" s="34"/>
      <c r="CV465" s="59"/>
    </row>
    <row r="466" spans="4:100">
      <c r="D466" s="30">
        <v>45.6</v>
      </c>
      <c r="E466" s="31">
        <v>0.79900000000000004</v>
      </c>
      <c r="F466" s="32">
        <v>798.6</v>
      </c>
      <c r="G466" s="33"/>
      <c r="H466" s="30">
        <v>45.6</v>
      </c>
      <c r="I466" s="34">
        <v>3.7835000000000001</v>
      </c>
      <c r="J466" s="35">
        <v>0.15890000000000001</v>
      </c>
      <c r="L466" s="30">
        <v>45.6</v>
      </c>
      <c r="M466" s="172">
        <v>6.6520000000000001</v>
      </c>
      <c r="N466" s="173">
        <v>0.15032999999999999</v>
      </c>
      <c r="P466" s="30">
        <v>45.6</v>
      </c>
      <c r="Q466" s="172">
        <v>3.3260000000000001</v>
      </c>
      <c r="R466" s="173">
        <v>0.13969000000000001</v>
      </c>
      <c r="T466" s="30">
        <v>45.6</v>
      </c>
      <c r="U466" s="172">
        <v>300.660000000004</v>
      </c>
      <c r="V466" s="173">
        <v>7.1589999999999998</v>
      </c>
      <c r="X466" s="30">
        <v>45.6</v>
      </c>
      <c r="Y466" s="34">
        <v>2.9697</v>
      </c>
      <c r="Z466" s="35">
        <v>0.12472999999999999</v>
      </c>
      <c r="AA466" s="36"/>
      <c r="AB466" s="30">
        <v>45.6</v>
      </c>
      <c r="AC466" s="44">
        <v>336.74</v>
      </c>
      <c r="AD466" s="35">
        <v>8.0180000000000007</v>
      </c>
      <c r="AE466" s="36"/>
      <c r="AF466" s="30">
        <v>45.6</v>
      </c>
      <c r="AG466" s="34">
        <v>3.0173000000000001</v>
      </c>
      <c r="AH466" s="35">
        <v>0.12673000000000001</v>
      </c>
      <c r="AI466" s="35"/>
      <c r="AJ466" s="35">
        <v>0.13133</v>
      </c>
      <c r="AK466" s="998">
        <v>39.4</v>
      </c>
      <c r="AM466" s="30">
        <v>45.6</v>
      </c>
      <c r="AN466" s="34">
        <v>1.1375</v>
      </c>
      <c r="AO466" s="35">
        <v>1.274</v>
      </c>
      <c r="BX466" s="43"/>
      <c r="BY466" s="34"/>
      <c r="BZ466" s="59"/>
      <c r="CB466" s="43"/>
      <c r="CC466" s="34"/>
      <c r="CD466" s="59"/>
      <c r="CL466" s="43"/>
      <c r="CM466" s="34"/>
      <c r="CN466" s="59"/>
      <c r="CP466" s="43"/>
      <c r="CQ466" s="34"/>
      <c r="CR466" s="59"/>
      <c r="CT466" s="43"/>
      <c r="CU466" s="34"/>
      <c r="CV466" s="59"/>
    </row>
    <row r="467" spans="4:100">
      <c r="D467" s="30">
        <v>45.7</v>
      </c>
      <c r="E467" s="31">
        <v>0.79849999999999999</v>
      </c>
      <c r="F467" s="32">
        <v>798.2</v>
      </c>
      <c r="G467" s="33"/>
      <c r="H467" s="30">
        <v>45.7</v>
      </c>
      <c r="I467" s="34">
        <v>3.7833999999999999</v>
      </c>
      <c r="J467" s="35">
        <v>0.15890000000000001</v>
      </c>
      <c r="L467" s="30">
        <v>45.7</v>
      </c>
      <c r="M467" s="172">
        <v>6.6479999999999997</v>
      </c>
      <c r="N467" s="173">
        <v>0.15040999999999999</v>
      </c>
      <c r="P467" s="30">
        <v>45.7</v>
      </c>
      <c r="Q467" s="172">
        <v>3.3241999999999998</v>
      </c>
      <c r="R467" s="173">
        <v>0.13961000000000001</v>
      </c>
      <c r="T467" s="30">
        <v>45.7</v>
      </c>
      <c r="U467" s="172">
        <v>300.83000000000402</v>
      </c>
      <c r="V467" s="173">
        <v>7.1630000000000003</v>
      </c>
      <c r="X467" s="30">
        <v>45.7</v>
      </c>
      <c r="Y467" s="34">
        <v>2.968</v>
      </c>
      <c r="Z467" s="35">
        <v>0.12466000000000001</v>
      </c>
      <c r="AA467" s="36"/>
      <c r="AB467" s="30">
        <v>45.7</v>
      </c>
      <c r="AC467" s="44">
        <v>336.93</v>
      </c>
      <c r="AD467" s="35">
        <v>8.0220000000000002</v>
      </c>
      <c r="AE467" s="36"/>
      <c r="AF467" s="30">
        <v>45.7</v>
      </c>
      <c r="AG467" s="34">
        <v>3.0156000000000001</v>
      </c>
      <c r="AH467" s="35">
        <v>0.12665999999999999</v>
      </c>
      <c r="AI467" s="35"/>
      <c r="AJ467" s="35">
        <v>0.13141</v>
      </c>
      <c r="AK467" s="998">
        <v>39.299999999999997</v>
      </c>
      <c r="AM467" s="30">
        <v>45.7</v>
      </c>
      <c r="AN467" s="34">
        <v>1.1382000000000001</v>
      </c>
      <c r="AO467" s="35">
        <v>1.2747999999999999</v>
      </c>
      <c r="BX467" s="43"/>
      <c r="BY467" s="34"/>
      <c r="BZ467" s="59"/>
      <c r="CB467" s="43"/>
      <c r="CC467" s="34"/>
      <c r="CD467" s="59"/>
      <c r="CL467" s="43"/>
      <c r="CM467" s="34"/>
      <c r="CN467" s="59"/>
      <c r="CP467" s="43"/>
      <c r="CQ467" s="34"/>
      <c r="CR467" s="59"/>
      <c r="CT467" s="43"/>
      <c r="CU467" s="34"/>
      <c r="CV467" s="59"/>
    </row>
    <row r="468" spans="4:100">
      <c r="D468" s="30">
        <v>45.8</v>
      </c>
      <c r="E468" s="31">
        <v>0.79810000000000003</v>
      </c>
      <c r="F468" s="32">
        <v>797.7</v>
      </c>
      <c r="G468" s="33"/>
      <c r="H468" s="30">
        <v>45.8</v>
      </c>
      <c r="I468" s="34">
        <v>3.7833999999999999</v>
      </c>
      <c r="J468" s="35">
        <v>0.15890000000000001</v>
      </c>
      <c r="L468" s="30">
        <v>45.8</v>
      </c>
      <c r="M468" s="172">
        <v>6.6449999999999996</v>
      </c>
      <c r="N468" s="173">
        <v>0.15049999999999999</v>
      </c>
      <c r="P468" s="30">
        <v>45.8</v>
      </c>
      <c r="Q468" s="172">
        <v>3.3222999999999998</v>
      </c>
      <c r="R468" s="173">
        <v>0.13954</v>
      </c>
      <c r="T468" s="30">
        <v>45.8</v>
      </c>
      <c r="U468" s="172">
        <v>301.00000000000398</v>
      </c>
      <c r="V468" s="173">
        <v>7.1669999999999998</v>
      </c>
      <c r="X468" s="30">
        <v>45.8</v>
      </c>
      <c r="Y468" s="34">
        <v>2.9662999999999999</v>
      </c>
      <c r="Z468" s="35">
        <v>0.12459000000000001</v>
      </c>
      <c r="AA468" s="36"/>
      <c r="AB468" s="30">
        <v>45.8</v>
      </c>
      <c r="AC468" s="44">
        <v>337.12</v>
      </c>
      <c r="AD468" s="35">
        <v>8.0269999999999992</v>
      </c>
      <c r="AE468" s="36"/>
      <c r="AF468" s="30">
        <v>45.8</v>
      </c>
      <c r="AG468" s="34">
        <v>3.0139</v>
      </c>
      <c r="AH468" s="35">
        <v>0.12658</v>
      </c>
      <c r="AI468" s="35"/>
      <c r="AJ468" s="35">
        <v>0.13149</v>
      </c>
      <c r="AK468" s="998">
        <v>39.200000000000003</v>
      </c>
      <c r="AM468" s="30">
        <v>45.8</v>
      </c>
      <c r="AN468" s="34">
        <v>1.1388</v>
      </c>
      <c r="AO468" s="35">
        <v>1.2755000000000001</v>
      </c>
      <c r="BX468" s="43"/>
      <c r="BY468" s="34"/>
      <c r="BZ468" s="59"/>
      <c r="CB468" s="43"/>
      <c r="CC468" s="34"/>
      <c r="CD468" s="59"/>
      <c r="CL468" s="43"/>
      <c r="CM468" s="34"/>
      <c r="CN468" s="59"/>
      <c r="CP468" s="43"/>
      <c r="CQ468" s="34"/>
      <c r="CR468" s="59"/>
      <c r="CT468" s="43"/>
      <c r="CU468" s="34"/>
      <c r="CV468" s="59"/>
    </row>
    <row r="469" spans="4:100">
      <c r="D469" s="30">
        <v>45.9</v>
      </c>
      <c r="E469" s="31">
        <v>0.79759999999999998</v>
      </c>
      <c r="F469" s="32">
        <v>797.3</v>
      </c>
      <c r="G469" s="33"/>
      <c r="H469" s="30">
        <v>45.9</v>
      </c>
      <c r="I469" s="34">
        <v>3.7833999999999999</v>
      </c>
      <c r="J469" s="35">
        <v>0.15890000000000001</v>
      </c>
      <c r="L469" s="30">
        <v>45.9</v>
      </c>
      <c r="M469" s="172">
        <v>6.641</v>
      </c>
      <c r="N469" s="173">
        <v>0.15057999999999999</v>
      </c>
      <c r="P469" s="30">
        <v>45.9</v>
      </c>
      <c r="Q469" s="172">
        <v>3.3203999999999998</v>
      </c>
      <c r="R469" s="173">
        <v>0.13946</v>
      </c>
      <c r="T469" s="30">
        <v>45.9</v>
      </c>
      <c r="U469" s="172">
        <v>301.17000000000399</v>
      </c>
      <c r="V469" s="173">
        <v>7.1710000000000003</v>
      </c>
      <c r="X469" s="30">
        <v>45.9</v>
      </c>
      <c r="Y469" s="34">
        <v>2.9645999999999999</v>
      </c>
      <c r="Z469" s="35">
        <v>0.12451</v>
      </c>
      <c r="AA469" s="36"/>
      <c r="AB469" s="30">
        <v>45.9</v>
      </c>
      <c r="AC469" s="44">
        <v>337.31</v>
      </c>
      <c r="AD469" s="35">
        <v>8.0310000000000006</v>
      </c>
      <c r="AE469" s="36"/>
      <c r="AF469" s="30">
        <v>45.9</v>
      </c>
      <c r="AG469" s="34">
        <v>3.0122</v>
      </c>
      <c r="AH469" s="35">
        <v>0.12651000000000001</v>
      </c>
      <c r="AI469" s="35"/>
      <c r="AJ469" s="35">
        <v>0.13156000000000001</v>
      </c>
      <c r="AK469" s="998">
        <v>39.1</v>
      </c>
      <c r="AM469" s="30">
        <v>45.9</v>
      </c>
      <c r="AN469" s="34">
        <v>1.1395</v>
      </c>
      <c r="AO469" s="35">
        <v>1.2762</v>
      </c>
      <c r="BX469" s="43"/>
      <c r="BY469" s="34"/>
      <c r="BZ469" s="59"/>
      <c r="CB469" s="43"/>
      <c r="CC469" s="34"/>
      <c r="CD469" s="59"/>
      <c r="CL469" s="43"/>
      <c r="CM469" s="34"/>
      <c r="CN469" s="59"/>
      <c r="CP469" s="43"/>
      <c r="CQ469" s="34"/>
      <c r="CR469" s="59"/>
      <c r="CT469" s="43"/>
      <c r="CU469" s="34"/>
      <c r="CV469" s="59"/>
    </row>
    <row r="470" spans="4:100">
      <c r="D470" s="30">
        <v>46</v>
      </c>
      <c r="E470" s="31">
        <v>0.79720000000000002</v>
      </c>
      <c r="F470" s="32">
        <v>796.8</v>
      </c>
      <c r="G470" s="33"/>
      <c r="H470" s="30">
        <v>46</v>
      </c>
      <c r="I470" s="34">
        <v>3.7833999999999999</v>
      </c>
      <c r="J470" s="35">
        <v>0.15890000000000001</v>
      </c>
      <c r="L470" s="30">
        <v>46</v>
      </c>
      <c r="M470" s="172">
        <v>6.6369999999999996</v>
      </c>
      <c r="N470" s="173">
        <v>0.15067</v>
      </c>
      <c r="P470" s="30">
        <v>46</v>
      </c>
      <c r="Q470" s="172">
        <v>3.3184999999999998</v>
      </c>
      <c r="R470" s="173">
        <v>0.13938</v>
      </c>
      <c r="T470" s="30">
        <v>46</v>
      </c>
      <c r="U470" s="172">
        <v>301.34000000000401</v>
      </c>
      <c r="V470" s="173">
        <v>7.1749999999999998</v>
      </c>
      <c r="X470" s="30">
        <v>46</v>
      </c>
      <c r="Y470" s="34">
        <v>2.9630000000000001</v>
      </c>
      <c r="Z470" s="35">
        <v>0.12444</v>
      </c>
      <c r="AA470" s="36"/>
      <c r="AB470" s="30">
        <v>46</v>
      </c>
      <c r="AC470" s="44">
        <v>337.5</v>
      </c>
      <c r="AD470" s="35">
        <v>8.0359999999999996</v>
      </c>
      <c r="AE470" s="36"/>
      <c r="AF470" s="30">
        <v>46</v>
      </c>
      <c r="AG470" s="34">
        <v>3.0105</v>
      </c>
      <c r="AH470" s="35">
        <v>0.12644</v>
      </c>
      <c r="AI470" s="35"/>
      <c r="AJ470" s="35">
        <v>0.13164000000000001</v>
      </c>
      <c r="AK470" s="998">
        <v>39</v>
      </c>
      <c r="AM470" s="30">
        <v>46</v>
      </c>
      <c r="AN470" s="34">
        <v>1.1400999999999999</v>
      </c>
      <c r="AO470" s="35">
        <v>1.2768999999999999</v>
      </c>
      <c r="BX470" s="43"/>
      <c r="BY470" s="34"/>
      <c r="BZ470" s="59"/>
      <c r="CB470" s="43"/>
      <c r="CC470" s="34"/>
      <c r="CD470" s="59"/>
      <c r="CL470" s="43"/>
      <c r="CM470" s="34"/>
      <c r="CN470" s="59"/>
      <c r="CP470" s="43"/>
      <c r="CQ470" s="34"/>
      <c r="CR470" s="59"/>
      <c r="CT470" s="43"/>
      <c r="CU470" s="34"/>
      <c r="CV470" s="59"/>
    </row>
    <row r="471" spans="4:100">
      <c r="D471" s="30">
        <v>46.1</v>
      </c>
      <c r="E471" s="31">
        <v>0.79669999999999996</v>
      </c>
      <c r="F471" s="32">
        <v>796.4</v>
      </c>
      <c r="G471" s="33"/>
      <c r="H471" s="30">
        <v>46.1</v>
      </c>
      <c r="I471" s="34">
        <v>3.7833999999999999</v>
      </c>
      <c r="J471" s="35">
        <v>0.15890000000000001</v>
      </c>
      <c r="L471" s="30">
        <v>46.1</v>
      </c>
      <c r="M471" s="172">
        <v>6.633</v>
      </c>
      <c r="N471" s="173">
        <v>0.15075</v>
      </c>
      <c r="P471" s="30">
        <v>46.1</v>
      </c>
      <c r="Q471" s="172">
        <v>3.3167</v>
      </c>
      <c r="R471" s="173">
        <v>0.13930000000000001</v>
      </c>
      <c r="T471" s="30">
        <v>46.1</v>
      </c>
      <c r="U471" s="172">
        <v>301.51000000000403</v>
      </c>
      <c r="V471" s="173">
        <v>7.1790000000000003</v>
      </c>
      <c r="X471" s="30">
        <v>46.1</v>
      </c>
      <c r="Y471" s="34">
        <v>2.9613</v>
      </c>
      <c r="Z471" s="35">
        <v>0.12436999999999999</v>
      </c>
      <c r="AA471" s="36"/>
      <c r="AB471" s="30">
        <v>46.1</v>
      </c>
      <c r="AC471" s="44">
        <v>337.69</v>
      </c>
      <c r="AD471" s="35">
        <v>8.0399999999999991</v>
      </c>
      <c r="AE471" s="36"/>
      <c r="AF471" s="30">
        <v>46.1</v>
      </c>
      <c r="AG471" s="34">
        <v>3.0087999999999999</v>
      </c>
      <c r="AH471" s="35">
        <v>0.12637000000000001</v>
      </c>
      <c r="AI471" s="35"/>
      <c r="AJ471" s="35">
        <v>0.13172</v>
      </c>
      <c r="AK471" s="998">
        <v>38.9</v>
      </c>
      <c r="AM471" s="30">
        <v>46.1</v>
      </c>
      <c r="AN471" s="34">
        <v>1.1407</v>
      </c>
      <c r="AO471" s="35">
        <v>1.2776000000000001</v>
      </c>
      <c r="BX471" s="43"/>
      <c r="BY471" s="34"/>
      <c r="BZ471" s="59"/>
      <c r="CB471" s="43"/>
      <c r="CC471" s="34"/>
      <c r="CD471" s="59"/>
      <c r="CL471" s="43"/>
      <c r="CM471" s="34"/>
      <c r="CN471" s="59"/>
      <c r="CP471" s="43"/>
      <c r="CQ471" s="34"/>
      <c r="CR471" s="59"/>
      <c r="CT471" s="43"/>
      <c r="CU471" s="34"/>
      <c r="CV471" s="59"/>
    </row>
    <row r="472" spans="4:100">
      <c r="D472" s="30">
        <v>46.2</v>
      </c>
      <c r="E472" s="31">
        <v>0.79630000000000001</v>
      </c>
      <c r="F472" s="32">
        <v>795.9</v>
      </c>
      <c r="G472" s="33"/>
      <c r="H472" s="30">
        <v>46.2</v>
      </c>
      <c r="I472" s="34">
        <v>3.7833999999999999</v>
      </c>
      <c r="J472" s="35">
        <v>0.15890000000000001</v>
      </c>
      <c r="L472" s="30">
        <v>46.2</v>
      </c>
      <c r="M472" s="172">
        <v>6.63</v>
      </c>
      <c r="N472" s="173">
        <v>0.15084</v>
      </c>
      <c r="P472" s="30">
        <v>46.2</v>
      </c>
      <c r="Q472" s="172">
        <v>3.3148</v>
      </c>
      <c r="R472" s="173">
        <v>0.13922000000000001</v>
      </c>
      <c r="T472" s="30">
        <v>46.2</v>
      </c>
      <c r="U472" s="172">
        <v>301.68000000000399</v>
      </c>
      <c r="V472" s="173">
        <v>7.1829999999999998</v>
      </c>
      <c r="X472" s="30">
        <v>46.2</v>
      </c>
      <c r="Y472" s="34">
        <v>2.9596</v>
      </c>
      <c r="Z472" s="35">
        <v>0.12429999999999999</v>
      </c>
      <c r="AA472" s="36"/>
      <c r="AB472" s="30">
        <v>46.2</v>
      </c>
      <c r="AC472" s="44">
        <v>337.88</v>
      </c>
      <c r="AD472" s="35">
        <v>8.0449999999999999</v>
      </c>
      <c r="AE472" s="36"/>
      <c r="AF472" s="30">
        <v>46.2</v>
      </c>
      <c r="AG472" s="34">
        <v>3.0070999999999999</v>
      </c>
      <c r="AH472" s="35">
        <v>0.1263</v>
      </c>
      <c r="AI472" s="35"/>
      <c r="AJ472" s="35">
        <v>0.1318</v>
      </c>
      <c r="AK472" s="998">
        <v>38.799999999999997</v>
      </c>
      <c r="AM472" s="30">
        <v>46.2</v>
      </c>
      <c r="AN472" s="34">
        <v>1.1414</v>
      </c>
      <c r="AO472" s="35">
        <v>1.2783</v>
      </c>
      <c r="BX472" s="43"/>
      <c r="BY472" s="34"/>
      <c r="BZ472" s="59"/>
      <c r="CB472" s="43"/>
      <c r="CC472" s="34"/>
      <c r="CD472" s="59"/>
      <c r="CL472" s="43"/>
      <c r="CM472" s="34"/>
      <c r="CN472" s="59"/>
      <c r="CP472" s="43"/>
      <c r="CQ472" s="34"/>
      <c r="CR472" s="59"/>
      <c r="CT472" s="43"/>
      <c r="CU472" s="34"/>
      <c r="CV472" s="59"/>
    </row>
    <row r="473" spans="4:100">
      <c r="D473" s="30">
        <v>46.3</v>
      </c>
      <c r="E473" s="31">
        <v>0.79579999999999995</v>
      </c>
      <c r="F473" s="32">
        <v>795.5</v>
      </c>
      <c r="G473" s="33"/>
      <c r="H473" s="30">
        <v>46.3</v>
      </c>
      <c r="I473" s="34">
        <v>3.7833999999999999</v>
      </c>
      <c r="J473" s="35">
        <v>0.15890000000000001</v>
      </c>
      <c r="L473" s="30">
        <v>46.3</v>
      </c>
      <c r="M473" s="172">
        <v>6.6260000000000003</v>
      </c>
      <c r="N473" s="173">
        <v>0.15092</v>
      </c>
      <c r="P473" s="30">
        <v>46.3</v>
      </c>
      <c r="Q473" s="172">
        <v>3.3129</v>
      </c>
      <c r="R473" s="173">
        <v>0.13914000000000001</v>
      </c>
      <c r="T473" s="30">
        <v>46.3</v>
      </c>
      <c r="U473" s="172">
        <v>301.850000000004</v>
      </c>
      <c r="V473" s="173">
        <v>7.1870000000000003</v>
      </c>
      <c r="X473" s="30">
        <v>46.3</v>
      </c>
      <c r="Y473" s="34">
        <v>2.9580000000000002</v>
      </c>
      <c r="Z473" s="35">
        <v>0.12422999999999999</v>
      </c>
      <c r="AA473" s="36"/>
      <c r="AB473" s="30">
        <v>46.3</v>
      </c>
      <c r="AC473" s="44">
        <v>338.07</v>
      </c>
      <c r="AD473" s="35">
        <v>8.0489999999999995</v>
      </c>
      <c r="AE473" s="36"/>
      <c r="AF473" s="30">
        <v>46.3</v>
      </c>
      <c r="AG473" s="34">
        <v>3.0053999999999998</v>
      </c>
      <c r="AH473" s="35">
        <v>0.12623000000000001</v>
      </c>
      <c r="AI473" s="35"/>
      <c r="AJ473" s="35">
        <v>0.13186999999999999</v>
      </c>
      <c r="AK473" s="998">
        <v>38.700000000000003</v>
      </c>
      <c r="AM473" s="30">
        <v>46.3</v>
      </c>
      <c r="AN473" s="34">
        <v>1.1419999999999999</v>
      </c>
      <c r="AO473" s="35">
        <v>1.2790999999999999</v>
      </c>
      <c r="BX473" s="43"/>
      <c r="BY473" s="34"/>
      <c r="BZ473" s="59"/>
      <c r="CB473" s="43"/>
      <c r="CC473" s="34"/>
      <c r="CD473" s="59"/>
      <c r="CL473" s="43"/>
      <c r="CM473" s="34"/>
      <c r="CN473" s="59"/>
      <c r="CP473" s="43"/>
      <c r="CQ473" s="34"/>
      <c r="CR473" s="59"/>
      <c r="CT473" s="43"/>
      <c r="CU473" s="34"/>
      <c r="CV473" s="59"/>
    </row>
    <row r="474" spans="4:100">
      <c r="D474" s="30">
        <v>46.4</v>
      </c>
      <c r="E474" s="31">
        <v>0.7954</v>
      </c>
      <c r="F474" s="32">
        <v>795</v>
      </c>
      <c r="G474" s="33"/>
      <c r="H474" s="30">
        <v>46.4</v>
      </c>
      <c r="I474" s="34">
        <v>3.7833999999999999</v>
      </c>
      <c r="J474" s="35">
        <v>0.15890000000000001</v>
      </c>
      <c r="L474" s="30">
        <v>46.4</v>
      </c>
      <c r="M474" s="172">
        <v>6.6219999999999999</v>
      </c>
      <c r="N474" s="173">
        <v>0.15101000000000001</v>
      </c>
      <c r="P474" s="30">
        <v>46.4</v>
      </c>
      <c r="Q474" s="172">
        <v>3.3111000000000002</v>
      </c>
      <c r="R474" s="173">
        <v>0.13905999999999999</v>
      </c>
      <c r="T474" s="30">
        <v>46.4</v>
      </c>
      <c r="U474" s="172">
        <v>302.02000000000402</v>
      </c>
      <c r="V474" s="173">
        <v>7.1909999999999998</v>
      </c>
      <c r="X474" s="30">
        <v>46.4</v>
      </c>
      <c r="Y474" s="34">
        <v>2.9563000000000001</v>
      </c>
      <c r="Z474" s="35">
        <v>0.12416000000000001</v>
      </c>
      <c r="AA474" s="36"/>
      <c r="AB474" s="30">
        <v>46.4</v>
      </c>
      <c r="AC474" s="44">
        <v>338.26</v>
      </c>
      <c r="AD474" s="35">
        <v>8.0540000000000003</v>
      </c>
      <c r="AE474" s="36"/>
      <c r="AF474" s="30">
        <v>46.4</v>
      </c>
      <c r="AG474" s="34">
        <v>3.0036999999999998</v>
      </c>
      <c r="AH474" s="35">
        <v>0.12615999999999999</v>
      </c>
      <c r="AI474" s="35"/>
      <c r="AJ474" s="35">
        <v>0.13195000000000001</v>
      </c>
      <c r="AK474" s="998">
        <v>38.6</v>
      </c>
      <c r="AM474" s="30">
        <v>46.4</v>
      </c>
      <c r="AN474" s="34">
        <v>1.1427</v>
      </c>
      <c r="AO474" s="35">
        <v>1.2798</v>
      </c>
      <c r="BX474" s="43"/>
      <c r="BY474" s="34"/>
      <c r="BZ474" s="59"/>
      <c r="CB474" s="43"/>
      <c r="CC474" s="34"/>
      <c r="CD474" s="59"/>
      <c r="CL474" s="43"/>
      <c r="CM474" s="34"/>
      <c r="CN474" s="59"/>
      <c r="CP474" s="43"/>
      <c r="CQ474" s="34"/>
      <c r="CR474" s="59"/>
      <c r="CT474" s="43"/>
      <c r="CU474" s="34"/>
      <c r="CV474" s="59"/>
    </row>
    <row r="475" spans="4:100">
      <c r="D475" s="30">
        <v>46.5</v>
      </c>
      <c r="E475" s="31">
        <v>0.79490000000000005</v>
      </c>
      <c r="F475" s="32">
        <v>794.6</v>
      </c>
      <c r="G475" s="33"/>
      <c r="H475" s="30">
        <v>46.5</v>
      </c>
      <c r="I475" s="34">
        <v>3.7833999999999999</v>
      </c>
      <c r="J475" s="35">
        <v>0.15890000000000001</v>
      </c>
      <c r="L475" s="30">
        <v>46.5</v>
      </c>
      <c r="M475" s="172">
        <v>6.6180000000000003</v>
      </c>
      <c r="N475" s="173">
        <v>0.15109</v>
      </c>
      <c r="P475" s="30">
        <v>46.5</v>
      </c>
      <c r="Q475" s="172">
        <v>3.3092000000000001</v>
      </c>
      <c r="R475" s="173">
        <v>0.13899</v>
      </c>
      <c r="T475" s="30">
        <v>46.5</v>
      </c>
      <c r="U475" s="172">
        <v>302.19000000000398</v>
      </c>
      <c r="V475" s="173">
        <v>7.1950000000000003</v>
      </c>
      <c r="X475" s="30">
        <v>46.5</v>
      </c>
      <c r="Y475" s="34">
        <v>2.9546000000000001</v>
      </c>
      <c r="Z475" s="35">
        <v>0.12409000000000001</v>
      </c>
      <c r="AA475" s="36"/>
      <c r="AB475" s="30">
        <v>46.5</v>
      </c>
      <c r="AC475" s="44">
        <v>338.45</v>
      </c>
      <c r="AD475" s="35">
        <v>8.0579999999999998</v>
      </c>
      <c r="AE475" s="36"/>
      <c r="AF475" s="30">
        <v>46.5</v>
      </c>
      <c r="AG475" s="34">
        <v>3.0019999999999998</v>
      </c>
      <c r="AH475" s="35">
        <v>0.12609000000000001</v>
      </c>
      <c r="AI475" s="35"/>
      <c r="AJ475" s="35">
        <v>0.13203000000000001</v>
      </c>
      <c r="AK475" s="998">
        <v>38.5</v>
      </c>
      <c r="AM475" s="30">
        <v>46.5</v>
      </c>
      <c r="AN475" s="34">
        <v>1.1433</v>
      </c>
      <c r="AO475" s="35">
        <v>1.2805</v>
      </c>
      <c r="BX475" s="43"/>
      <c r="BY475" s="34"/>
      <c r="BZ475" s="59"/>
      <c r="CB475" s="43"/>
      <c r="CC475" s="34"/>
      <c r="CD475" s="59"/>
      <c r="CL475" s="43"/>
      <c r="CM475" s="34"/>
      <c r="CN475" s="59"/>
      <c r="CP475" s="43"/>
      <c r="CQ475" s="34"/>
      <c r="CR475" s="59"/>
      <c r="CT475" s="43"/>
      <c r="CU475" s="34"/>
      <c r="CV475" s="59"/>
    </row>
    <row r="476" spans="4:100">
      <c r="D476" s="30">
        <v>46.6</v>
      </c>
      <c r="E476" s="31">
        <v>0.79449999999999998</v>
      </c>
      <c r="F476" s="32">
        <v>794.1</v>
      </c>
      <c r="G476" s="33"/>
      <c r="H476" s="30">
        <v>46.6</v>
      </c>
      <c r="I476" s="34">
        <v>3.7833999999999999</v>
      </c>
      <c r="J476" s="35">
        <v>0.15890000000000001</v>
      </c>
      <c r="L476" s="30">
        <v>46.6</v>
      </c>
      <c r="M476" s="172">
        <v>6.6150000000000002</v>
      </c>
      <c r="N476" s="173">
        <v>0.15118000000000001</v>
      </c>
      <c r="P476" s="30">
        <v>46.6</v>
      </c>
      <c r="Q476" s="172">
        <v>3.3073000000000001</v>
      </c>
      <c r="R476" s="173">
        <v>0.13891000000000001</v>
      </c>
      <c r="T476" s="30">
        <v>46.6</v>
      </c>
      <c r="U476" s="172">
        <v>302.36000000000399</v>
      </c>
      <c r="V476" s="173">
        <v>7.1989999999999998</v>
      </c>
      <c r="X476" s="30">
        <v>46.6</v>
      </c>
      <c r="Y476" s="34">
        <v>2.9529999999999998</v>
      </c>
      <c r="Z476" s="35">
        <v>0.12402000000000001</v>
      </c>
      <c r="AA476" s="36"/>
      <c r="AB476" s="30">
        <v>46.6</v>
      </c>
      <c r="AC476" s="44">
        <v>338.64</v>
      </c>
      <c r="AD476" s="35">
        <v>8.0630000000000006</v>
      </c>
      <c r="AE476" s="36"/>
      <c r="AF476" s="30">
        <v>46.6</v>
      </c>
      <c r="AG476" s="34">
        <v>3.0004</v>
      </c>
      <c r="AH476" s="35">
        <v>0.12601000000000001</v>
      </c>
      <c r="AI476" s="35"/>
      <c r="AJ476" s="35">
        <v>0.13211000000000001</v>
      </c>
      <c r="AK476" s="998">
        <v>38.4</v>
      </c>
      <c r="AM476" s="30">
        <v>46.6</v>
      </c>
      <c r="AN476" s="34">
        <v>1.1439999999999999</v>
      </c>
      <c r="AO476" s="35">
        <v>1.2811999999999999</v>
      </c>
      <c r="BX476" s="43"/>
      <c r="BY476" s="34"/>
      <c r="BZ476" s="59"/>
      <c r="CB476" s="43"/>
      <c r="CC476" s="34"/>
      <c r="CD476" s="59"/>
      <c r="CL476" s="43"/>
      <c r="CM476" s="34"/>
      <c r="CN476" s="59"/>
      <c r="CP476" s="43"/>
      <c r="CQ476" s="34"/>
      <c r="CR476" s="59"/>
      <c r="CT476" s="43"/>
      <c r="CU476" s="34"/>
      <c r="CV476" s="59"/>
    </row>
    <row r="477" spans="4:100">
      <c r="D477" s="30">
        <v>46.7</v>
      </c>
      <c r="E477" s="31">
        <v>0.79410000000000003</v>
      </c>
      <c r="F477" s="32">
        <v>793.7</v>
      </c>
      <c r="G477" s="33"/>
      <c r="H477" s="30">
        <v>46.7</v>
      </c>
      <c r="I477" s="34">
        <v>3.7833999999999999</v>
      </c>
      <c r="J477" s="35">
        <v>0.15890000000000001</v>
      </c>
      <c r="L477" s="30">
        <v>46.7</v>
      </c>
      <c r="M477" s="172">
        <v>6.6109999999999998</v>
      </c>
      <c r="N477" s="173">
        <v>0.15126000000000001</v>
      </c>
      <c r="P477" s="30">
        <v>46.7</v>
      </c>
      <c r="Q477" s="172">
        <v>3.3054999999999999</v>
      </c>
      <c r="R477" s="173">
        <v>0.13883000000000001</v>
      </c>
      <c r="T477" s="30">
        <v>46.7</v>
      </c>
      <c r="U477" s="172">
        <v>302.53000000000401</v>
      </c>
      <c r="V477" s="173">
        <v>7.2030000000000003</v>
      </c>
      <c r="X477" s="30">
        <v>46.7</v>
      </c>
      <c r="Y477" s="34">
        <v>2.9512999999999998</v>
      </c>
      <c r="Z477" s="35">
        <v>0.12396</v>
      </c>
      <c r="AA477" s="36"/>
      <c r="AB477" s="30">
        <v>46.7</v>
      </c>
      <c r="AC477" s="44">
        <v>338.83</v>
      </c>
      <c r="AD477" s="35">
        <v>8.0670000000000002</v>
      </c>
      <c r="AE477" s="36"/>
      <c r="AF477" s="30">
        <v>46.7</v>
      </c>
      <c r="AG477" s="34">
        <v>2.9986999999999999</v>
      </c>
      <c r="AH477" s="35">
        <v>0.12594</v>
      </c>
      <c r="AI477" s="35"/>
      <c r="AJ477" s="35">
        <v>0.13217999999999999</v>
      </c>
      <c r="AK477" s="998">
        <v>38.299999999999997</v>
      </c>
      <c r="AM477" s="30">
        <v>46.7</v>
      </c>
      <c r="AN477" s="34">
        <v>1.1446000000000001</v>
      </c>
      <c r="AO477" s="35">
        <v>1.2819</v>
      </c>
      <c r="BX477" s="43"/>
      <c r="BY477" s="34"/>
      <c r="BZ477" s="59"/>
      <c r="CB477" s="43"/>
      <c r="CC477" s="34"/>
      <c r="CD477" s="59"/>
      <c r="CL477" s="43"/>
      <c r="CM477" s="34"/>
      <c r="CN477" s="59"/>
      <c r="CP477" s="43"/>
      <c r="CQ477" s="34"/>
      <c r="CR477" s="59"/>
      <c r="CT477" s="43"/>
      <c r="CU477" s="34"/>
      <c r="CV477" s="59"/>
    </row>
    <row r="478" spans="4:100">
      <c r="D478" s="30">
        <v>46.8</v>
      </c>
      <c r="E478" s="31">
        <v>0.79359999999999997</v>
      </c>
      <c r="F478" s="32">
        <v>793.2</v>
      </c>
      <c r="G478" s="33"/>
      <c r="H478" s="30">
        <v>46.8</v>
      </c>
      <c r="I478" s="34">
        <v>3.7833999999999999</v>
      </c>
      <c r="J478" s="35">
        <v>0.15890000000000001</v>
      </c>
      <c r="L478" s="30">
        <v>46.8</v>
      </c>
      <c r="M478" s="172">
        <v>6.6070000000000002</v>
      </c>
      <c r="N478" s="173">
        <v>0.15135000000000001</v>
      </c>
      <c r="P478" s="30">
        <v>46.8</v>
      </c>
      <c r="Q478" s="172">
        <v>3.3035999999999999</v>
      </c>
      <c r="R478" s="173">
        <v>0.13875000000000001</v>
      </c>
      <c r="T478" s="30">
        <v>46.8</v>
      </c>
      <c r="U478" s="172">
        <v>302.70000000000402</v>
      </c>
      <c r="V478" s="173">
        <v>7.2069999999999999</v>
      </c>
      <c r="X478" s="30">
        <v>46.8</v>
      </c>
      <c r="Y478" s="34">
        <v>2.9497</v>
      </c>
      <c r="Z478" s="35">
        <v>0.12389</v>
      </c>
      <c r="AA478" s="36"/>
      <c r="AB478" s="30">
        <v>46.8</v>
      </c>
      <c r="AC478" s="44">
        <v>339.02</v>
      </c>
      <c r="AD478" s="35">
        <v>8.0719999999999992</v>
      </c>
      <c r="AE478" s="36"/>
      <c r="AF478" s="30">
        <v>46.8</v>
      </c>
      <c r="AG478" s="34">
        <v>2.9969999999999999</v>
      </c>
      <c r="AH478" s="35">
        <v>0.12587000000000001</v>
      </c>
      <c r="AI478" s="35"/>
      <c r="AJ478" s="35">
        <v>0.13225999999999999</v>
      </c>
      <c r="AK478" s="998">
        <v>38.200000000000003</v>
      </c>
      <c r="AM478" s="30">
        <v>46.8</v>
      </c>
      <c r="AN478" s="34">
        <v>1.1452</v>
      </c>
      <c r="AO478" s="35">
        <v>1.2827</v>
      </c>
      <c r="BX478" s="43"/>
      <c r="BY478" s="34"/>
      <c r="BZ478" s="59"/>
      <c r="CB478" s="43"/>
      <c r="CC478" s="34"/>
      <c r="CD478" s="59"/>
      <c r="CL478" s="43"/>
      <c r="CM478" s="34"/>
      <c r="CN478" s="59"/>
      <c r="CP478" s="43"/>
      <c r="CQ478" s="34"/>
      <c r="CR478" s="59"/>
      <c r="CT478" s="43"/>
      <c r="CU478" s="34"/>
      <c r="CV478" s="59"/>
    </row>
    <row r="479" spans="4:100">
      <c r="D479" s="30">
        <v>46.9</v>
      </c>
      <c r="E479" s="31">
        <v>0.79320000000000002</v>
      </c>
      <c r="F479" s="32">
        <v>792.8</v>
      </c>
      <c r="G479" s="33"/>
      <c r="H479" s="30">
        <v>46.9</v>
      </c>
      <c r="I479" s="34">
        <v>3.7833999999999999</v>
      </c>
      <c r="J479" s="35">
        <v>0.15890000000000001</v>
      </c>
      <c r="L479" s="30">
        <v>46.9</v>
      </c>
      <c r="M479" s="172">
        <v>6.6040000000000001</v>
      </c>
      <c r="N479" s="173">
        <v>0.15143000000000001</v>
      </c>
      <c r="P479" s="30">
        <v>46.9</v>
      </c>
      <c r="Q479" s="172">
        <v>3.3018000000000001</v>
      </c>
      <c r="R479" s="173">
        <v>0.13866999999999999</v>
      </c>
      <c r="T479" s="30">
        <v>46.9</v>
      </c>
      <c r="U479" s="172">
        <v>302.87000000000398</v>
      </c>
      <c r="V479" s="173">
        <v>7.2110000000000003</v>
      </c>
      <c r="X479" s="30">
        <v>46.9</v>
      </c>
      <c r="Y479" s="34">
        <v>2.948</v>
      </c>
      <c r="Z479" s="35">
        <v>0.12382</v>
      </c>
      <c r="AA479" s="36"/>
      <c r="AB479" s="30">
        <v>46.9</v>
      </c>
      <c r="AC479" s="44">
        <v>339.21</v>
      </c>
      <c r="AD479" s="35">
        <v>8.077</v>
      </c>
      <c r="AE479" s="36"/>
      <c r="AF479" s="30">
        <v>46.9</v>
      </c>
      <c r="AG479" s="34">
        <v>2.9952999999999999</v>
      </c>
      <c r="AH479" s="35">
        <v>0.1258</v>
      </c>
      <c r="AI479" s="35"/>
      <c r="AJ479" s="35">
        <v>0.13234000000000001</v>
      </c>
      <c r="AK479" s="998">
        <v>38.1</v>
      </c>
      <c r="AM479" s="30">
        <v>46.9</v>
      </c>
      <c r="AN479" s="34">
        <v>1.1458999999999999</v>
      </c>
      <c r="AO479" s="35">
        <v>1.2834000000000001</v>
      </c>
      <c r="BX479" s="43"/>
      <c r="BY479" s="34"/>
      <c r="BZ479" s="59"/>
      <c r="CB479" s="43"/>
      <c r="CC479" s="34"/>
      <c r="CD479" s="59"/>
      <c r="CL479" s="43"/>
      <c r="CM479" s="34"/>
      <c r="CN479" s="59"/>
      <c r="CP479" s="43"/>
      <c r="CQ479" s="34"/>
      <c r="CR479" s="59"/>
      <c r="CT479" s="43"/>
      <c r="CU479" s="34"/>
      <c r="CV479" s="59"/>
    </row>
    <row r="480" spans="4:100">
      <c r="D480" s="30">
        <v>47</v>
      </c>
      <c r="E480" s="31">
        <v>0.79269999999999996</v>
      </c>
      <c r="F480" s="32">
        <v>792.4</v>
      </c>
      <c r="G480" s="33"/>
      <c r="H480" s="30">
        <v>47</v>
      </c>
      <c r="I480" s="34">
        <v>3.7833999999999999</v>
      </c>
      <c r="J480" s="35">
        <v>0.15890000000000001</v>
      </c>
      <c r="L480" s="30">
        <v>47</v>
      </c>
      <c r="M480" s="172">
        <v>6.6</v>
      </c>
      <c r="N480" s="173">
        <v>0.15151999999999999</v>
      </c>
      <c r="P480" s="30">
        <v>47</v>
      </c>
      <c r="Q480" s="172">
        <v>3.2999000000000001</v>
      </c>
      <c r="R480" s="173">
        <v>0.1386</v>
      </c>
      <c r="T480" s="30">
        <v>47</v>
      </c>
      <c r="U480" s="172">
        <v>303.040000000004</v>
      </c>
      <c r="V480" s="173">
        <v>7.2149999999999999</v>
      </c>
      <c r="X480" s="30">
        <v>47</v>
      </c>
      <c r="Y480" s="34">
        <v>2.9462999999999999</v>
      </c>
      <c r="Z480" s="35">
        <v>0.12375</v>
      </c>
      <c r="AA480" s="36"/>
      <c r="AB480" s="30">
        <v>47</v>
      </c>
      <c r="AC480" s="44">
        <v>339.4</v>
      </c>
      <c r="AD480" s="35">
        <v>8.0809999999999995</v>
      </c>
      <c r="AE480" s="36"/>
      <c r="AF480" s="30">
        <v>47</v>
      </c>
      <c r="AG480" s="34">
        <v>2.9935999999999998</v>
      </c>
      <c r="AH480" s="35">
        <v>0.12573000000000001</v>
      </c>
      <c r="AI480" s="35"/>
      <c r="AJ480" s="35">
        <v>0.13242000000000001</v>
      </c>
      <c r="AK480" s="998">
        <v>38</v>
      </c>
      <c r="AM480" s="30">
        <v>47</v>
      </c>
      <c r="AN480" s="34">
        <v>1.1465000000000001</v>
      </c>
      <c r="AO480" s="35">
        <v>1.2841</v>
      </c>
      <c r="BX480" s="43"/>
      <c r="BY480" s="34"/>
      <c r="BZ480" s="59"/>
      <c r="CB480" s="43"/>
      <c r="CC480" s="34"/>
      <c r="CD480" s="59"/>
      <c r="CL480" s="43"/>
      <c r="CM480" s="34"/>
      <c r="CN480" s="59"/>
      <c r="CP480" s="43"/>
      <c r="CQ480" s="34"/>
      <c r="CR480" s="59"/>
      <c r="CT480" s="43"/>
      <c r="CU480" s="34"/>
      <c r="CV480" s="59"/>
    </row>
    <row r="481" spans="4:100">
      <c r="D481" s="30">
        <v>47.1</v>
      </c>
      <c r="E481" s="31">
        <v>0.7923</v>
      </c>
      <c r="F481" s="32">
        <v>791.9</v>
      </c>
      <c r="G481" s="33"/>
      <c r="H481" s="30">
        <v>47.1</v>
      </c>
      <c r="I481" s="34">
        <v>3.7833999999999999</v>
      </c>
      <c r="J481" s="35">
        <v>0.15890000000000001</v>
      </c>
      <c r="L481" s="30">
        <v>47.1</v>
      </c>
      <c r="M481" s="172">
        <v>6.5960000000000001</v>
      </c>
      <c r="N481" s="173">
        <v>0.15160000000000001</v>
      </c>
      <c r="P481" s="30">
        <v>47.1</v>
      </c>
      <c r="Q481" s="172">
        <v>3.2980999999999998</v>
      </c>
      <c r="R481" s="173">
        <v>0.13852</v>
      </c>
      <c r="T481" s="30">
        <v>47.1</v>
      </c>
      <c r="U481" s="172">
        <v>303.21000000000402</v>
      </c>
      <c r="V481" s="173">
        <v>7.2189999999999896</v>
      </c>
      <c r="X481" s="30">
        <v>47.1</v>
      </c>
      <c r="Y481" s="34">
        <v>2.9447000000000001</v>
      </c>
      <c r="Z481" s="35">
        <v>0.12368</v>
      </c>
      <c r="AA481" s="36"/>
      <c r="AB481" s="30">
        <v>47.1</v>
      </c>
      <c r="AC481" s="44">
        <v>339.59</v>
      </c>
      <c r="AD481" s="35">
        <v>8.0860000000000003</v>
      </c>
      <c r="AE481" s="36"/>
      <c r="AF481" s="30">
        <v>47.1</v>
      </c>
      <c r="AG481" s="34">
        <v>2.9918999999999998</v>
      </c>
      <c r="AH481" s="35">
        <v>0.12565999999999999</v>
      </c>
      <c r="AI481" s="35"/>
      <c r="AJ481" s="35">
        <v>0.13250000000000001</v>
      </c>
      <c r="AK481" s="998">
        <v>37.9</v>
      </c>
      <c r="AM481" s="30">
        <v>47.1</v>
      </c>
      <c r="AN481" s="34">
        <v>1.1472</v>
      </c>
      <c r="AO481" s="35">
        <v>1.2847999999999999</v>
      </c>
      <c r="BX481" s="43"/>
      <c r="BY481" s="34"/>
      <c r="BZ481" s="59"/>
      <c r="CB481" s="43"/>
      <c r="CC481" s="34"/>
      <c r="CD481" s="59"/>
      <c r="CL481" s="43"/>
      <c r="CM481" s="34"/>
      <c r="CN481" s="59"/>
      <c r="CP481" s="43"/>
      <c r="CQ481" s="34"/>
      <c r="CR481" s="59"/>
      <c r="CT481" s="43"/>
      <c r="CU481" s="34"/>
      <c r="CV481" s="59"/>
    </row>
    <row r="482" spans="4:100">
      <c r="D482" s="30">
        <v>47.2</v>
      </c>
      <c r="E482" s="31">
        <v>0.79179999999999995</v>
      </c>
      <c r="F482" s="32">
        <v>791.5</v>
      </c>
      <c r="G482" s="33"/>
      <c r="H482" s="30">
        <v>47.2</v>
      </c>
      <c r="I482" s="34">
        <v>3.7833999999999999</v>
      </c>
      <c r="J482" s="35">
        <v>0.15890000000000001</v>
      </c>
      <c r="L482" s="30">
        <v>47.2</v>
      </c>
      <c r="M482" s="172">
        <v>6.5919999999999996</v>
      </c>
      <c r="N482" s="173">
        <v>0.15168999999999999</v>
      </c>
      <c r="P482" s="30">
        <v>47.2</v>
      </c>
      <c r="Q482" s="172">
        <v>3.2961999999999998</v>
      </c>
      <c r="R482" s="173">
        <v>0.13844000000000001</v>
      </c>
      <c r="T482" s="30">
        <v>47.2</v>
      </c>
      <c r="U482" s="172">
        <v>303.38000000000397</v>
      </c>
      <c r="V482" s="173">
        <v>7.2229999999999901</v>
      </c>
      <c r="X482" s="30">
        <v>47.2</v>
      </c>
      <c r="Y482" s="34">
        <v>2.9430000000000001</v>
      </c>
      <c r="Z482" s="35">
        <v>0.12361</v>
      </c>
      <c r="AA482" s="36"/>
      <c r="AB482" s="30">
        <v>47.2</v>
      </c>
      <c r="AC482" s="44">
        <v>339.78</v>
      </c>
      <c r="AD482" s="35">
        <v>8.09</v>
      </c>
      <c r="AE482" s="36"/>
      <c r="AF482" s="30">
        <v>47.2</v>
      </c>
      <c r="AG482" s="34">
        <v>2.9903</v>
      </c>
      <c r="AH482" s="35">
        <v>0.12559000000000001</v>
      </c>
      <c r="AI482" s="35"/>
      <c r="AJ482" s="35">
        <v>0.13258</v>
      </c>
      <c r="AK482" s="998">
        <v>37.799999999999997</v>
      </c>
      <c r="AM482" s="30">
        <v>47.2</v>
      </c>
      <c r="AN482" s="34">
        <v>1.1477999999999999</v>
      </c>
      <c r="AO482" s="35">
        <v>1.2855000000000001</v>
      </c>
      <c r="BX482" s="43"/>
      <c r="BY482" s="34"/>
      <c r="BZ482" s="59"/>
      <c r="CB482" s="43"/>
      <c r="CC482" s="34"/>
      <c r="CD482" s="59"/>
      <c r="CL482" s="43"/>
      <c r="CM482" s="34"/>
      <c r="CN482" s="59"/>
      <c r="CP482" s="43"/>
      <c r="CQ482" s="34"/>
      <c r="CR482" s="59"/>
      <c r="CT482" s="43"/>
      <c r="CU482" s="34"/>
      <c r="CV482" s="59"/>
    </row>
    <row r="483" spans="4:100">
      <c r="D483" s="30">
        <v>47.3</v>
      </c>
      <c r="E483" s="31">
        <v>0.79139999999999999</v>
      </c>
      <c r="F483" s="32">
        <v>791</v>
      </c>
      <c r="G483" s="33"/>
      <c r="H483" s="30">
        <v>47.3</v>
      </c>
      <c r="I483" s="34">
        <v>3.7833999999999999</v>
      </c>
      <c r="J483" s="35">
        <v>0.15890000000000001</v>
      </c>
      <c r="L483" s="30">
        <v>47.3</v>
      </c>
      <c r="M483" s="172">
        <v>6.5890000000000004</v>
      </c>
      <c r="N483" s="173">
        <v>0.15176999999999999</v>
      </c>
      <c r="P483" s="30">
        <v>47.3</v>
      </c>
      <c r="Q483" s="172">
        <v>3.2944</v>
      </c>
      <c r="R483" s="173">
        <v>0.13836000000000001</v>
      </c>
      <c r="T483" s="30">
        <v>47.3</v>
      </c>
      <c r="U483" s="172">
        <v>303.55000000000399</v>
      </c>
      <c r="V483" s="173">
        <v>7.2269999999999897</v>
      </c>
      <c r="X483" s="30">
        <v>47.3</v>
      </c>
      <c r="Y483" s="34">
        <v>2.9413999999999998</v>
      </c>
      <c r="Z483" s="35">
        <v>0.12354</v>
      </c>
      <c r="AA483" s="36"/>
      <c r="AB483" s="30">
        <v>47.3</v>
      </c>
      <c r="AC483" s="44">
        <v>339.98</v>
      </c>
      <c r="AD483" s="35">
        <v>8.0950000000000006</v>
      </c>
      <c r="AE483" s="36"/>
      <c r="AF483" s="30">
        <v>47.3</v>
      </c>
      <c r="AG483" s="34">
        <v>2.9885999999999999</v>
      </c>
      <c r="AH483" s="35">
        <v>0.12551999999999999</v>
      </c>
      <c r="AI483" s="35"/>
      <c r="AJ483" s="35">
        <v>0.13264999999999999</v>
      </c>
      <c r="AK483" s="998">
        <v>37.700000000000003</v>
      </c>
      <c r="AM483" s="30">
        <v>47.3</v>
      </c>
      <c r="AN483" s="34">
        <v>1.1485000000000001</v>
      </c>
      <c r="AO483" s="35">
        <v>1.2863</v>
      </c>
      <c r="BX483" s="43"/>
      <c r="BY483" s="34"/>
      <c r="BZ483" s="59"/>
      <c r="CB483" s="43"/>
      <c r="CC483" s="34"/>
      <c r="CD483" s="59"/>
      <c r="CL483" s="43"/>
      <c r="CM483" s="34"/>
      <c r="CN483" s="59"/>
      <c r="CP483" s="43"/>
      <c r="CQ483" s="34"/>
      <c r="CR483" s="59"/>
      <c r="CT483" s="43"/>
      <c r="CU483" s="34"/>
      <c r="CV483" s="59"/>
    </row>
    <row r="484" spans="4:100">
      <c r="D484" s="30">
        <v>47.4</v>
      </c>
      <c r="E484" s="31">
        <v>0.79090000000000005</v>
      </c>
      <c r="F484" s="32">
        <v>790.6</v>
      </c>
      <c r="G484" s="33"/>
      <c r="H484" s="30">
        <v>47.4</v>
      </c>
      <c r="I484" s="34">
        <v>3.7833999999999999</v>
      </c>
      <c r="J484" s="35">
        <v>0.15890000000000001</v>
      </c>
      <c r="L484" s="30">
        <v>47.4</v>
      </c>
      <c r="M484" s="172">
        <v>6.585</v>
      </c>
      <c r="N484" s="173">
        <v>0.15185999999999999</v>
      </c>
      <c r="P484" s="30">
        <v>47.4</v>
      </c>
      <c r="Q484" s="172">
        <v>3.2925</v>
      </c>
      <c r="R484" s="173">
        <v>0.13829</v>
      </c>
      <c r="T484" s="30">
        <v>47.4</v>
      </c>
      <c r="U484" s="172">
        <v>303.72000000000401</v>
      </c>
      <c r="V484" s="173">
        <v>7.2309999999999901</v>
      </c>
      <c r="X484" s="30">
        <v>47.4</v>
      </c>
      <c r="Y484" s="34">
        <v>2.9397000000000002</v>
      </c>
      <c r="Z484" s="35">
        <v>0.12347</v>
      </c>
      <c r="AA484" s="36"/>
      <c r="AB484" s="30">
        <v>47.4</v>
      </c>
      <c r="AC484" s="44">
        <v>340.17</v>
      </c>
      <c r="AD484" s="35">
        <v>8.0990000000000002</v>
      </c>
      <c r="AE484" s="36"/>
      <c r="AF484" s="30">
        <v>47.4</v>
      </c>
      <c r="AG484" s="34">
        <v>2.9868999999999999</v>
      </c>
      <c r="AH484" s="35">
        <v>0.12545000000000001</v>
      </c>
      <c r="AI484" s="35"/>
      <c r="AJ484" s="35">
        <v>0.13272999999999999</v>
      </c>
      <c r="AK484" s="998">
        <v>37.6</v>
      </c>
      <c r="AM484" s="30">
        <v>47.4</v>
      </c>
      <c r="AN484" s="34">
        <v>1.1491</v>
      </c>
      <c r="AO484" s="35">
        <v>1.2869999999999999</v>
      </c>
      <c r="BX484" s="43"/>
      <c r="BY484" s="34"/>
      <c r="BZ484" s="59"/>
      <c r="CB484" s="43"/>
      <c r="CC484" s="34"/>
      <c r="CD484" s="59"/>
      <c r="CL484" s="43"/>
      <c r="CM484" s="34"/>
      <c r="CN484" s="59"/>
      <c r="CP484" s="43"/>
      <c r="CQ484" s="34"/>
      <c r="CR484" s="59"/>
      <c r="CT484" s="43"/>
      <c r="CU484" s="34"/>
      <c r="CV484" s="59"/>
    </row>
    <row r="485" spans="4:100">
      <c r="D485" s="30">
        <v>47.5</v>
      </c>
      <c r="E485" s="31">
        <v>0.79049999999999998</v>
      </c>
      <c r="F485" s="32">
        <v>790.1</v>
      </c>
      <c r="G485" s="33"/>
      <c r="H485" s="30">
        <v>47.5</v>
      </c>
      <c r="I485" s="34">
        <v>3.7833999999999999</v>
      </c>
      <c r="J485" s="35">
        <v>0.15890000000000001</v>
      </c>
      <c r="L485" s="30">
        <v>47.5</v>
      </c>
      <c r="M485" s="172">
        <v>6.5810000000000004</v>
      </c>
      <c r="N485" s="173">
        <v>0.15193999999999999</v>
      </c>
      <c r="P485" s="30">
        <v>47.5</v>
      </c>
      <c r="Q485" s="172">
        <v>3.2907000000000002</v>
      </c>
      <c r="R485" s="173">
        <v>0.13821</v>
      </c>
      <c r="T485" s="30">
        <v>47.5</v>
      </c>
      <c r="U485" s="172">
        <v>303.89000000000402</v>
      </c>
      <c r="V485" s="173">
        <v>7.2349999999999897</v>
      </c>
      <c r="X485" s="30">
        <v>47.5</v>
      </c>
      <c r="Y485" s="34">
        <v>2.9380999999999999</v>
      </c>
      <c r="Z485" s="35">
        <v>0.1234</v>
      </c>
      <c r="AA485" s="36"/>
      <c r="AB485" s="30">
        <v>47.5</v>
      </c>
      <c r="AC485" s="44">
        <v>340.36</v>
      </c>
      <c r="AD485" s="35">
        <v>8.1039999999999992</v>
      </c>
      <c r="AE485" s="36"/>
      <c r="AF485" s="30">
        <v>47.5</v>
      </c>
      <c r="AG485" s="34">
        <v>2.9851999999999999</v>
      </c>
      <c r="AH485" s="35">
        <v>0.12537999999999999</v>
      </c>
      <c r="AI485" s="35"/>
      <c r="AJ485" s="35">
        <v>0.13281000000000001</v>
      </c>
      <c r="AK485" s="998">
        <v>37.5</v>
      </c>
      <c r="AM485" s="30">
        <v>47.5</v>
      </c>
      <c r="AN485" s="34">
        <v>1.1496999999999999</v>
      </c>
      <c r="AO485" s="35">
        <v>1.2877000000000001</v>
      </c>
      <c r="BX485" s="43"/>
      <c r="BY485" s="34"/>
      <c r="BZ485" s="59"/>
      <c r="CB485" s="43"/>
      <c r="CC485" s="34"/>
      <c r="CD485" s="59"/>
      <c r="CL485" s="43"/>
      <c r="CM485" s="34"/>
      <c r="CN485" s="59"/>
      <c r="CP485" s="43"/>
      <c r="CQ485" s="34"/>
      <c r="CR485" s="59"/>
      <c r="CT485" s="43"/>
      <c r="CU485" s="34"/>
      <c r="CV485" s="59"/>
    </row>
    <row r="486" spans="4:100">
      <c r="D486" s="30">
        <v>47.6</v>
      </c>
      <c r="E486" s="31">
        <v>0.79010000000000002</v>
      </c>
      <c r="F486" s="32">
        <v>789.7</v>
      </c>
      <c r="G486" s="33"/>
      <c r="H486" s="30">
        <v>47.6</v>
      </c>
      <c r="I486" s="34">
        <v>3.7833999999999999</v>
      </c>
      <c r="J486" s="35">
        <v>0.15890000000000001</v>
      </c>
      <c r="L486" s="30">
        <v>47.6</v>
      </c>
      <c r="M486" s="172">
        <v>6.5780000000000003</v>
      </c>
      <c r="N486" s="173">
        <v>0.15203</v>
      </c>
      <c r="P486" s="30">
        <v>47.6</v>
      </c>
      <c r="Q486" s="172">
        <v>3.2888000000000002</v>
      </c>
      <c r="R486" s="173">
        <v>0.13813</v>
      </c>
      <c r="T486" s="30">
        <v>47.6</v>
      </c>
      <c r="U486" s="172">
        <v>304.06000000000398</v>
      </c>
      <c r="V486" s="173">
        <v>7.24</v>
      </c>
      <c r="X486" s="30">
        <v>47.6</v>
      </c>
      <c r="Y486" s="34">
        <v>2.9365000000000001</v>
      </c>
      <c r="Z486" s="35">
        <v>0.12333</v>
      </c>
      <c r="AA486" s="36"/>
      <c r="AB486" s="30">
        <v>47.6</v>
      </c>
      <c r="AC486" s="44">
        <v>340.55</v>
      </c>
      <c r="AD486" s="35">
        <v>8.1080000000000005</v>
      </c>
      <c r="AE486" s="36"/>
      <c r="AF486" s="30">
        <v>47.6</v>
      </c>
      <c r="AG486" s="34">
        <v>2.9836</v>
      </c>
      <c r="AH486" s="35">
        <v>0.12531</v>
      </c>
      <c r="AI486" s="35"/>
      <c r="AJ486" s="35">
        <v>0.13289000000000001</v>
      </c>
      <c r="AK486" s="998">
        <v>37.4</v>
      </c>
      <c r="AM486" s="30">
        <v>47.6</v>
      </c>
      <c r="AN486" s="34">
        <v>1.1504000000000001</v>
      </c>
      <c r="AO486" s="35">
        <v>1.2884</v>
      </c>
      <c r="BX486" s="43"/>
      <c r="BY486" s="34"/>
      <c r="BZ486" s="59"/>
      <c r="CB486" s="43"/>
      <c r="CC486" s="34"/>
      <c r="CD486" s="59"/>
      <c r="CL486" s="43"/>
      <c r="CM486" s="34"/>
      <c r="CN486" s="59"/>
      <c r="CP486" s="43"/>
      <c r="CQ486" s="34"/>
      <c r="CR486" s="59"/>
      <c r="CT486" s="43"/>
      <c r="CU486" s="34"/>
      <c r="CV486" s="59"/>
    </row>
    <row r="487" spans="4:100">
      <c r="D487" s="30">
        <v>47.7</v>
      </c>
      <c r="E487" s="31">
        <v>0.78959999999999997</v>
      </c>
      <c r="F487" s="32">
        <v>789.3</v>
      </c>
      <c r="G487" s="33"/>
      <c r="H487" s="30">
        <v>47.7</v>
      </c>
      <c r="I487" s="34">
        <v>3.7833999999999999</v>
      </c>
      <c r="J487" s="35">
        <v>0.15890000000000001</v>
      </c>
      <c r="L487" s="30">
        <v>47.7</v>
      </c>
      <c r="M487" s="172">
        <v>6.5739999999999998</v>
      </c>
      <c r="N487" s="173">
        <v>0.15211</v>
      </c>
      <c r="P487" s="30">
        <v>47.7</v>
      </c>
      <c r="Q487" s="172">
        <v>3.2869999999999999</v>
      </c>
      <c r="R487" s="173">
        <v>0.13805000000000001</v>
      </c>
      <c r="T487" s="30">
        <v>47.7</v>
      </c>
      <c r="U487" s="172">
        <v>304.230000000004</v>
      </c>
      <c r="V487" s="173">
        <v>7.2439999999999998</v>
      </c>
      <c r="X487" s="30">
        <v>47.7</v>
      </c>
      <c r="Y487" s="34">
        <v>2.9348000000000001</v>
      </c>
      <c r="Z487" s="35">
        <v>0.12325999999999999</v>
      </c>
      <c r="AA487" s="36"/>
      <c r="AB487" s="30">
        <v>47.7</v>
      </c>
      <c r="AC487" s="44">
        <v>340.74</v>
      </c>
      <c r="AD487" s="35">
        <v>8.1129999999999995</v>
      </c>
      <c r="AE487" s="36"/>
      <c r="AF487" s="30">
        <v>47.7</v>
      </c>
      <c r="AG487" s="34">
        <v>2.9819</v>
      </c>
      <c r="AH487" s="35">
        <v>0.12523999999999999</v>
      </c>
      <c r="AI487" s="35"/>
      <c r="AJ487" s="35">
        <v>0.13297</v>
      </c>
      <c r="AK487" s="998">
        <v>37.299999999999997</v>
      </c>
      <c r="AM487" s="30">
        <v>47.7</v>
      </c>
      <c r="AN487" s="34">
        <v>1.151</v>
      </c>
      <c r="AO487" s="35">
        <v>1.2890999999999999</v>
      </c>
      <c r="BX487" s="43"/>
      <c r="BY487" s="34"/>
      <c r="BZ487" s="59"/>
      <c r="CB487" s="43"/>
      <c r="CC487" s="34"/>
      <c r="CD487" s="59"/>
      <c r="CL487" s="43"/>
      <c r="CM487" s="34"/>
      <c r="CN487" s="59"/>
      <c r="CP487" s="43"/>
      <c r="CQ487" s="34"/>
      <c r="CR487" s="59"/>
      <c r="CT487" s="43"/>
      <c r="CU487" s="34"/>
      <c r="CV487" s="59"/>
    </row>
    <row r="488" spans="4:100">
      <c r="D488" s="30">
        <v>47.8</v>
      </c>
      <c r="E488" s="31">
        <v>0.78920000000000001</v>
      </c>
      <c r="F488" s="32">
        <v>788.8</v>
      </c>
      <c r="G488" s="33"/>
      <c r="H488" s="30">
        <v>47.8</v>
      </c>
      <c r="I488" s="34">
        <v>3.7833999999999999</v>
      </c>
      <c r="J488" s="35">
        <v>0.15890000000000001</v>
      </c>
      <c r="L488" s="30">
        <v>47.8</v>
      </c>
      <c r="M488" s="172">
        <v>6.57</v>
      </c>
      <c r="N488" s="173">
        <v>0.1522</v>
      </c>
      <c r="P488" s="30">
        <v>47.8</v>
      </c>
      <c r="Q488" s="172">
        <v>3.2852000000000001</v>
      </c>
      <c r="R488" s="173">
        <v>0.13797999999999999</v>
      </c>
      <c r="T488" s="30">
        <v>47.8</v>
      </c>
      <c r="U488" s="172">
        <v>304.40000000000401</v>
      </c>
      <c r="V488" s="173">
        <v>7.2480000000000002</v>
      </c>
      <c r="X488" s="30">
        <v>47.8</v>
      </c>
      <c r="Y488" s="34">
        <v>2.9331999999999998</v>
      </c>
      <c r="Z488" s="35">
        <v>0.12318999999999999</v>
      </c>
      <c r="AA488" s="36"/>
      <c r="AB488" s="30">
        <v>47.8</v>
      </c>
      <c r="AC488" s="44">
        <v>340.93</v>
      </c>
      <c r="AD488" s="35">
        <v>8.1170000000000009</v>
      </c>
      <c r="AE488" s="36"/>
      <c r="AF488" s="30">
        <v>47.8</v>
      </c>
      <c r="AG488" s="34">
        <v>2.9802</v>
      </c>
      <c r="AH488" s="35">
        <v>0.12517</v>
      </c>
      <c r="AI488" s="35"/>
      <c r="AJ488" s="35">
        <v>0.13305</v>
      </c>
      <c r="AK488" s="998">
        <v>37.200000000000003</v>
      </c>
      <c r="AM488" s="30">
        <v>47.8</v>
      </c>
      <c r="AN488" s="34">
        <v>1.1516999999999999</v>
      </c>
      <c r="AO488" s="35">
        <v>1.2899</v>
      </c>
      <c r="BX488" s="43"/>
      <c r="BY488" s="34"/>
      <c r="BZ488" s="59"/>
      <c r="CB488" s="43"/>
      <c r="CC488" s="34"/>
      <c r="CD488" s="59"/>
      <c r="CL488" s="43"/>
      <c r="CM488" s="34"/>
      <c r="CN488" s="59"/>
      <c r="CP488" s="43"/>
      <c r="CQ488" s="34"/>
      <c r="CR488" s="59"/>
      <c r="CT488" s="43"/>
      <c r="CU488" s="34"/>
      <c r="CV488" s="59"/>
    </row>
    <row r="489" spans="4:100">
      <c r="D489" s="30">
        <v>47.9</v>
      </c>
      <c r="E489" s="31">
        <v>0.78869999999999996</v>
      </c>
      <c r="F489" s="32">
        <v>788.4</v>
      </c>
      <c r="G489" s="33"/>
      <c r="H489" s="30">
        <v>47.9</v>
      </c>
      <c r="I489" s="34">
        <v>3.7833999999999999</v>
      </c>
      <c r="J489" s="35">
        <v>0.15890000000000001</v>
      </c>
      <c r="L489" s="30">
        <v>47.9</v>
      </c>
      <c r="M489" s="172">
        <v>6.5670000000000002</v>
      </c>
      <c r="N489" s="173">
        <v>0.15228</v>
      </c>
      <c r="P489" s="30">
        <v>47.9</v>
      </c>
      <c r="Q489" s="172">
        <v>3.2833000000000001</v>
      </c>
      <c r="R489" s="173">
        <v>0.13789999999999999</v>
      </c>
      <c r="T489" s="30">
        <v>47.9</v>
      </c>
      <c r="U489" s="172">
        <v>304.57000000000397</v>
      </c>
      <c r="V489" s="173">
        <v>7.2519999999999998</v>
      </c>
      <c r="X489" s="30">
        <v>47.9</v>
      </c>
      <c r="Y489" s="34">
        <v>2.9315000000000002</v>
      </c>
      <c r="Z489" s="35">
        <v>0.12311999999999999</v>
      </c>
      <c r="AA489" s="36"/>
      <c r="AB489" s="30">
        <v>47.9</v>
      </c>
      <c r="AC489" s="44">
        <v>341.12</v>
      </c>
      <c r="AD489" s="35">
        <v>8.1219999999999999</v>
      </c>
      <c r="AE489" s="36"/>
      <c r="AF489" s="30">
        <v>47.9</v>
      </c>
      <c r="AG489" s="34">
        <v>2.9786000000000001</v>
      </c>
      <c r="AH489" s="35">
        <v>0.12509999999999999</v>
      </c>
      <c r="AI489" s="35"/>
      <c r="AJ489" s="35">
        <v>0.13313</v>
      </c>
      <c r="AK489" s="998">
        <v>37.1</v>
      </c>
      <c r="AM489" s="30">
        <v>47.9</v>
      </c>
      <c r="AN489" s="34">
        <v>1.1523000000000001</v>
      </c>
      <c r="AO489" s="35">
        <v>1.2906</v>
      </c>
      <c r="BX489" s="43"/>
      <c r="BY489" s="34"/>
      <c r="BZ489" s="59"/>
      <c r="CB489" s="43"/>
      <c r="CC489" s="34"/>
      <c r="CD489" s="59"/>
      <c r="CL489" s="43"/>
      <c r="CM489" s="34"/>
      <c r="CN489" s="59"/>
      <c r="CP489" s="43"/>
      <c r="CQ489" s="34"/>
      <c r="CR489" s="59"/>
      <c r="CT489" s="43"/>
      <c r="CU489" s="34"/>
      <c r="CV489" s="59"/>
    </row>
    <row r="490" spans="4:100">
      <c r="D490" s="30">
        <v>48</v>
      </c>
      <c r="E490" s="31">
        <v>0.7883</v>
      </c>
      <c r="F490" s="32">
        <v>787.9</v>
      </c>
      <c r="G490" s="33"/>
      <c r="H490" s="30">
        <v>48</v>
      </c>
      <c r="I490" s="34">
        <v>3.7833999999999999</v>
      </c>
      <c r="J490" s="35">
        <v>0.15890000000000001</v>
      </c>
      <c r="L490" s="30">
        <v>48</v>
      </c>
      <c r="M490" s="172">
        <v>6.5629999999999997</v>
      </c>
      <c r="N490" s="173">
        <v>0.15237000000000001</v>
      </c>
      <c r="P490" s="30">
        <v>48</v>
      </c>
      <c r="Q490" s="172">
        <v>3.2814999999999999</v>
      </c>
      <c r="R490" s="173">
        <v>0.13782</v>
      </c>
      <c r="T490" s="30">
        <v>48</v>
      </c>
      <c r="U490" s="172">
        <v>304.74000000000399</v>
      </c>
      <c r="V490" s="173">
        <v>7.2560000000000002</v>
      </c>
      <c r="X490" s="30">
        <v>48</v>
      </c>
      <c r="Y490" s="34">
        <v>2.9298999999999999</v>
      </c>
      <c r="Z490" s="35">
        <v>0.12306</v>
      </c>
      <c r="AA490" s="36"/>
      <c r="AB490" s="30">
        <v>48</v>
      </c>
      <c r="AC490" s="44">
        <v>341.31</v>
      </c>
      <c r="AD490" s="35">
        <v>8.1259999999999994</v>
      </c>
      <c r="AE490" s="36"/>
      <c r="AF490" s="30">
        <v>48</v>
      </c>
      <c r="AG490" s="34">
        <v>2.9769000000000001</v>
      </c>
      <c r="AH490" s="35">
        <v>0.12503</v>
      </c>
      <c r="AI490" s="35"/>
      <c r="AJ490" s="35">
        <v>0.13321</v>
      </c>
      <c r="AK490" s="998">
        <v>37</v>
      </c>
      <c r="AM490" s="30">
        <v>48</v>
      </c>
      <c r="AN490" s="34">
        <v>1.153</v>
      </c>
      <c r="AO490" s="35">
        <v>1.2912999999999999</v>
      </c>
      <c r="BX490" s="43"/>
      <c r="BY490" s="34"/>
      <c r="BZ490" s="59"/>
      <c r="CB490" s="43"/>
      <c r="CC490" s="34"/>
      <c r="CD490" s="59"/>
      <c r="CL490" s="43"/>
      <c r="CM490" s="34"/>
      <c r="CN490" s="59"/>
      <c r="CP490" s="43"/>
      <c r="CQ490" s="34"/>
      <c r="CR490" s="59"/>
      <c r="CT490" s="43"/>
      <c r="CU490" s="34"/>
      <c r="CV490" s="59"/>
    </row>
    <row r="491" spans="4:100">
      <c r="D491" s="30">
        <v>48.1</v>
      </c>
      <c r="E491" s="31">
        <v>0.78790000000000004</v>
      </c>
      <c r="F491" s="32">
        <v>787.5</v>
      </c>
      <c r="G491" s="33"/>
      <c r="H491" s="30">
        <v>48.1</v>
      </c>
      <c r="I491" s="34">
        <v>3.7833999999999999</v>
      </c>
      <c r="J491" s="35">
        <v>0.15890000000000001</v>
      </c>
      <c r="L491" s="30">
        <v>48.1</v>
      </c>
      <c r="M491" s="172">
        <v>6.5590000000000002</v>
      </c>
      <c r="N491" s="173">
        <v>0.15245</v>
      </c>
      <c r="P491" s="30">
        <v>48.1</v>
      </c>
      <c r="Q491" s="172">
        <v>3.2797000000000001</v>
      </c>
      <c r="R491" s="173">
        <v>0.13775000000000001</v>
      </c>
      <c r="T491" s="30">
        <v>48.1</v>
      </c>
      <c r="U491" s="172">
        <v>304.910000000004</v>
      </c>
      <c r="V491" s="173">
        <v>7.26</v>
      </c>
      <c r="X491" s="30">
        <v>48.1</v>
      </c>
      <c r="Y491" s="34">
        <v>2.9283000000000001</v>
      </c>
      <c r="Z491" s="35">
        <v>0.12299</v>
      </c>
      <c r="AA491" s="36"/>
      <c r="AB491" s="30">
        <v>48.1</v>
      </c>
      <c r="AC491" s="44">
        <v>341.5</v>
      </c>
      <c r="AD491" s="35">
        <v>8.1310000000000002</v>
      </c>
      <c r="AE491" s="36"/>
      <c r="AF491" s="30">
        <v>48.1</v>
      </c>
      <c r="AG491" s="34">
        <v>2.9752999999999998</v>
      </c>
      <c r="AH491" s="35">
        <v>0.12496</v>
      </c>
      <c r="AI491" s="35"/>
      <c r="AJ491" s="35">
        <v>0.13328000000000001</v>
      </c>
      <c r="AK491" s="998">
        <v>36.9</v>
      </c>
      <c r="AM491" s="30">
        <v>48.1</v>
      </c>
      <c r="AN491" s="34">
        <v>1.1536</v>
      </c>
      <c r="AO491" s="35">
        <v>1.292</v>
      </c>
      <c r="BX491" s="43"/>
      <c r="BY491" s="34"/>
      <c r="BZ491" s="59"/>
      <c r="CB491" s="43"/>
      <c r="CC491" s="34"/>
      <c r="CD491" s="59"/>
      <c r="CL491" s="43"/>
      <c r="CM491" s="34"/>
      <c r="CN491" s="59"/>
      <c r="CP491" s="43"/>
      <c r="CQ491" s="34"/>
      <c r="CR491" s="59"/>
      <c r="CT491" s="43"/>
      <c r="CU491" s="34"/>
      <c r="CV491" s="59"/>
    </row>
    <row r="492" spans="4:100">
      <c r="D492" s="30">
        <v>48.2</v>
      </c>
      <c r="E492" s="31">
        <v>0.78739999999999999</v>
      </c>
      <c r="F492" s="32">
        <v>787.13</v>
      </c>
      <c r="G492" s="33"/>
      <c r="H492" s="30">
        <v>48.2</v>
      </c>
      <c r="I492" s="34">
        <v>3.7833999999999999</v>
      </c>
      <c r="J492" s="35">
        <v>0.15890000000000001</v>
      </c>
      <c r="L492" s="30">
        <v>48.2</v>
      </c>
      <c r="M492" s="172">
        <v>6.556</v>
      </c>
      <c r="N492" s="173">
        <v>0.15254000000000001</v>
      </c>
      <c r="P492" s="30">
        <v>48.2</v>
      </c>
      <c r="Q492" s="172">
        <v>3.2778</v>
      </c>
      <c r="R492" s="173">
        <v>0.13766999999999999</v>
      </c>
      <c r="T492" s="30">
        <v>48.2</v>
      </c>
      <c r="U492" s="172">
        <v>305.08000000000402</v>
      </c>
      <c r="V492" s="173">
        <v>7.2640000000000002</v>
      </c>
      <c r="X492" s="30">
        <v>48.2</v>
      </c>
      <c r="Y492" s="34">
        <v>2.9266000000000001</v>
      </c>
      <c r="Z492" s="35">
        <v>0.12292</v>
      </c>
      <c r="AA492" s="36"/>
      <c r="AB492" s="30">
        <v>48.2</v>
      </c>
      <c r="AC492" s="44">
        <v>341.69</v>
      </c>
      <c r="AD492" s="35">
        <v>8.1349999999999998</v>
      </c>
      <c r="AE492" s="36"/>
      <c r="AF492" s="30">
        <v>48.2</v>
      </c>
      <c r="AG492" s="34">
        <v>2.9735999999999998</v>
      </c>
      <c r="AH492" s="35">
        <v>0.12489</v>
      </c>
      <c r="AI492" s="35"/>
      <c r="AJ492" s="35">
        <v>0.13336000000000001</v>
      </c>
      <c r="AK492" s="998">
        <v>36.799999999999997</v>
      </c>
      <c r="AM492" s="30">
        <v>48.2</v>
      </c>
      <c r="AN492" s="34">
        <v>1.1541999999999999</v>
      </c>
      <c r="AO492" s="35">
        <v>1.2927</v>
      </c>
      <c r="BX492" s="43"/>
      <c r="BY492" s="34"/>
      <c r="BZ492" s="59"/>
      <c r="CB492" s="43"/>
      <c r="CC492" s="34"/>
      <c r="CD492" s="59"/>
      <c r="CL492" s="43"/>
      <c r="CM492" s="34"/>
      <c r="CN492" s="59"/>
      <c r="CP492" s="43"/>
      <c r="CQ492" s="34"/>
      <c r="CR492" s="59"/>
      <c r="CT492" s="43"/>
      <c r="CU492" s="34"/>
      <c r="CV492" s="59"/>
    </row>
    <row r="493" spans="4:100">
      <c r="D493" s="30">
        <v>48.3</v>
      </c>
      <c r="E493" s="31">
        <v>0.78700000000000003</v>
      </c>
      <c r="F493" s="32">
        <v>786.6</v>
      </c>
      <c r="G493" s="33"/>
      <c r="H493" s="30">
        <v>48.3</v>
      </c>
      <c r="I493" s="34">
        <v>3.7833999999999999</v>
      </c>
      <c r="J493" s="35">
        <v>0.15890000000000001</v>
      </c>
      <c r="L493" s="30">
        <v>48.3</v>
      </c>
      <c r="M493" s="172">
        <v>6.5519999999999996</v>
      </c>
      <c r="N493" s="173">
        <v>0.15262000000000001</v>
      </c>
      <c r="P493" s="30">
        <v>48.3</v>
      </c>
      <c r="Q493" s="172">
        <v>3.2759999999999998</v>
      </c>
      <c r="R493" s="173">
        <v>0.13758999999999999</v>
      </c>
      <c r="T493" s="30">
        <v>48.3</v>
      </c>
      <c r="U493" s="172">
        <v>305.25000000000398</v>
      </c>
      <c r="V493" s="173">
        <v>7.2679999999999998</v>
      </c>
      <c r="X493" s="30">
        <v>48.3</v>
      </c>
      <c r="Y493" s="34">
        <v>2.9249999999999998</v>
      </c>
      <c r="Z493" s="35">
        <v>0.12285</v>
      </c>
      <c r="AA493" s="36"/>
      <c r="AB493" s="30">
        <v>48.3</v>
      </c>
      <c r="AC493" s="44">
        <v>341.88</v>
      </c>
      <c r="AD493" s="35">
        <v>8.14</v>
      </c>
      <c r="AE493" s="36"/>
      <c r="AF493" s="30">
        <v>48.3</v>
      </c>
      <c r="AG493" s="34">
        <v>2.9719000000000002</v>
      </c>
      <c r="AH493" s="35">
        <v>0.12482</v>
      </c>
      <c r="AI493" s="35"/>
      <c r="AJ493" s="35">
        <v>0.13344</v>
      </c>
      <c r="AK493" s="998">
        <v>36.700000000000003</v>
      </c>
      <c r="AM493" s="30">
        <v>48.3</v>
      </c>
      <c r="AN493" s="34">
        <v>1.1549</v>
      </c>
      <c r="AO493" s="35">
        <v>1.2935000000000001</v>
      </c>
      <c r="BX493" s="43"/>
      <c r="BY493" s="34"/>
      <c r="BZ493" s="59"/>
      <c r="CB493" s="43"/>
      <c r="CC493" s="34"/>
      <c r="CD493" s="59"/>
      <c r="CL493" s="43"/>
      <c r="CM493" s="34"/>
      <c r="CN493" s="59"/>
      <c r="CP493" s="43"/>
      <c r="CQ493" s="34"/>
      <c r="CR493" s="59"/>
      <c r="CT493" s="43"/>
      <c r="CU493" s="34"/>
      <c r="CV493" s="59"/>
    </row>
    <row r="494" spans="4:100">
      <c r="D494" s="30">
        <v>48.4</v>
      </c>
      <c r="E494" s="31">
        <v>0.78649999999999998</v>
      </c>
      <c r="F494" s="32">
        <v>786.2</v>
      </c>
      <c r="G494" s="33"/>
      <c r="H494" s="30">
        <v>48.4</v>
      </c>
      <c r="I494" s="34">
        <v>3.7833999999999999</v>
      </c>
      <c r="J494" s="35">
        <v>0.15890000000000001</v>
      </c>
      <c r="L494" s="30">
        <v>48.4</v>
      </c>
      <c r="M494" s="172">
        <v>6.548</v>
      </c>
      <c r="N494" s="173">
        <v>0.15271000000000001</v>
      </c>
      <c r="P494" s="30">
        <v>48.4</v>
      </c>
      <c r="Q494" s="172">
        <v>3.2742</v>
      </c>
      <c r="R494" s="173">
        <v>0.13752</v>
      </c>
      <c r="T494" s="30">
        <v>48.4</v>
      </c>
      <c r="U494" s="172">
        <v>305.42000000000399</v>
      </c>
      <c r="V494" s="173">
        <v>7.2720000000000002</v>
      </c>
      <c r="X494" s="30">
        <v>48.4</v>
      </c>
      <c r="Y494" s="34">
        <v>2.9234</v>
      </c>
      <c r="Z494" s="35">
        <v>0.12278</v>
      </c>
      <c r="AA494" s="36"/>
      <c r="AB494" s="30">
        <v>48.4</v>
      </c>
      <c r="AC494" s="44">
        <v>342.07</v>
      </c>
      <c r="AD494" s="35">
        <v>8.1449999999999996</v>
      </c>
      <c r="AE494" s="36"/>
      <c r="AF494" s="30">
        <v>48.4</v>
      </c>
      <c r="AG494" s="34">
        <v>2.9702999999999999</v>
      </c>
      <c r="AH494" s="35">
        <v>0.12475</v>
      </c>
      <c r="AI494" s="35"/>
      <c r="AJ494" s="35">
        <v>0.13352</v>
      </c>
      <c r="AK494" s="998">
        <v>36.6</v>
      </c>
      <c r="AM494" s="30">
        <v>48.4</v>
      </c>
      <c r="AN494" s="34">
        <v>1.1555</v>
      </c>
      <c r="AO494" s="35">
        <v>1.2942</v>
      </c>
      <c r="BX494" s="43"/>
      <c r="BY494" s="34"/>
      <c r="BZ494" s="59"/>
      <c r="CB494" s="43"/>
      <c r="CC494" s="34"/>
      <c r="CD494" s="59"/>
      <c r="CL494" s="43"/>
      <c r="CM494" s="34"/>
      <c r="CN494" s="59"/>
      <c r="CP494" s="43"/>
      <c r="CQ494" s="34"/>
      <c r="CR494" s="59"/>
      <c r="CT494" s="43"/>
      <c r="CU494" s="34"/>
      <c r="CV494" s="59"/>
    </row>
    <row r="495" spans="4:100">
      <c r="D495" s="30">
        <v>48.5</v>
      </c>
      <c r="E495" s="31">
        <v>0.78610000000000002</v>
      </c>
      <c r="F495" s="32">
        <v>785.8</v>
      </c>
      <c r="G495" s="33"/>
      <c r="H495" s="30">
        <v>48.5</v>
      </c>
      <c r="I495" s="34">
        <v>3.7833000000000001</v>
      </c>
      <c r="J495" s="35">
        <v>0.15890000000000001</v>
      </c>
      <c r="L495" s="30">
        <v>48.5</v>
      </c>
      <c r="M495" s="172">
        <v>6.5449999999999999</v>
      </c>
      <c r="N495" s="173">
        <v>0.15279000000000001</v>
      </c>
      <c r="P495" s="30">
        <v>48.5</v>
      </c>
      <c r="Q495" s="172">
        <v>3.2724000000000002</v>
      </c>
      <c r="R495" s="173">
        <v>0.13744000000000001</v>
      </c>
      <c r="T495" s="30">
        <v>48.5</v>
      </c>
      <c r="U495" s="172">
        <v>305.59000000000401</v>
      </c>
      <c r="V495" s="173">
        <v>7.2759999999999998</v>
      </c>
      <c r="X495" s="30">
        <v>48.5</v>
      </c>
      <c r="Y495" s="34">
        <v>2.9218000000000002</v>
      </c>
      <c r="Z495" s="35">
        <v>0.12271</v>
      </c>
      <c r="AA495" s="36"/>
      <c r="AB495" s="30">
        <v>48.5</v>
      </c>
      <c r="AC495" s="44">
        <v>342.26</v>
      </c>
      <c r="AD495" s="35">
        <v>8.1489999999999991</v>
      </c>
      <c r="AE495" s="36"/>
      <c r="AF495" s="30">
        <v>48.5</v>
      </c>
      <c r="AG495" s="34">
        <v>2.9685999999999999</v>
      </c>
      <c r="AH495" s="35">
        <v>0.12468</v>
      </c>
      <c r="AI495" s="35"/>
      <c r="AJ495" s="35">
        <v>0.1336</v>
      </c>
      <c r="AK495" s="998">
        <v>36.5</v>
      </c>
      <c r="AM495" s="30">
        <v>48.5</v>
      </c>
      <c r="AN495" s="34">
        <v>1.1561999999999999</v>
      </c>
      <c r="AO495" s="35">
        <v>1.2948999999999999</v>
      </c>
      <c r="BX495" s="43"/>
      <c r="BY495" s="34"/>
      <c r="BZ495" s="59"/>
      <c r="CB495" s="43"/>
      <c r="CC495" s="34"/>
      <c r="CD495" s="59"/>
      <c r="CL495" s="43"/>
      <c r="CM495" s="34"/>
      <c r="CN495" s="59"/>
      <c r="CP495" s="43"/>
      <c r="CQ495" s="34"/>
      <c r="CR495" s="59"/>
      <c r="CT495" s="43"/>
      <c r="CU495" s="34"/>
      <c r="CV495" s="59"/>
    </row>
    <row r="496" spans="4:100">
      <c r="D496" s="30">
        <v>48.6</v>
      </c>
      <c r="E496" s="31">
        <v>0.78569999999999995</v>
      </c>
      <c r="F496" s="32">
        <v>785.3</v>
      </c>
      <c r="G496" s="33"/>
      <c r="H496" s="30">
        <v>48.6</v>
      </c>
      <c r="I496" s="34">
        <v>3.7833000000000001</v>
      </c>
      <c r="J496" s="35">
        <v>0.15890000000000001</v>
      </c>
      <c r="L496" s="30">
        <v>48.6</v>
      </c>
      <c r="M496" s="172">
        <v>6.5410000000000004</v>
      </c>
      <c r="N496" s="173">
        <v>0.15287999999999999</v>
      </c>
      <c r="P496" s="30">
        <v>48.6</v>
      </c>
      <c r="Q496" s="172">
        <v>3.2705000000000002</v>
      </c>
      <c r="R496" s="173">
        <v>0.13736000000000001</v>
      </c>
      <c r="T496" s="30">
        <v>48.6</v>
      </c>
      <c r="U496" s="172">
        <v>305.76000000000403</v>
      </c>
      <c r="V496" s="173">
        <v>7.28</v>
      </c>
      <c r="X496" s="30">
        <v>48.6</v>
      </c>
      <c r="Y496" s="34">
        <v>2.9201000000000001</v>
      </c>
      <c r="Z496" s="35">
        <v>0.12265</v>
      </c>
      <c r="AA496" s="36"/>
      <c r="AB496" s="30">
        <v>48.6</v>
      </c>
      <c r="AC496" s="44">
        <v>342.45</v>
      </c>
      <c r="AD496" s="35">
        <v>8.1539999999999999</v>
      </c>
      <c r="AE496" s="36"/>
      <c r="AF496" s="30">
        <v>48.6</v>
      </c>
      <c r="AG496" s="34">
        <v>2.9670000000000001</v>
      </c>
      <c r="AH496" s="35">
        <v>0.12461</v>
      </c>
      <c r="AI496" s="35"/>
      <c r="AJ496" s="35">
        <v>0.13367999999999999</v>
      </c>
      <c r="AK496" s="998">
        <v>36.4</v>
      </c>
      <c r="AM496" s="30">
        <v>48.6</v>
      </c>
      <c r="AN496" s="34">
        <v>1.1568000000000001</v>
      </c>
      <c r="AO496" s="35">
        <v>1.2956000000000001</v>
      </c>
      <c r="BX496" s="43"/>
      <c r="BY496" s="34"/>
      <c r="BZ496" s="59"/>
      <c r="CB496" s="43"/>
      <c r="CC496" s="34"/>
      <c r="CD496" s="59"/>
      <c r="CL496" s="43"/>
      <c r="CM496" s="34"/>
      <c r="CN496" s="59"/>
      <c r="CP496" s="43"/>
      <c r="CQ496" s="34"/>
      <c r="CR496" s="59"/>
      <c r="CT496" s="43"/>
      <c r="CU496" s="34"/>
      <c r="CV496" s="59"/>
    </row>
    <row r="497" spans="4:100">
      <c r="D497" s="30">
        <v>48.7</v>
      </c>
      <c r="E497" s="31">
        <v>0.78520000000000001</v>
      </c>
      <c r="F497" s="32">
        <v>784.9</v>
      </c>
      <c r="G497" s="33"/>
      <c r="H497" s="30">
        <v>48.7</v>
      </c>
      <c r="I497" s="34">
        <v>3.7833000000000001</v>
      </c>
      <c r="J497" s="35">
        <v>0.15890000000000001</v>
      </c>
      <c r="L497" s="30">
        <v>48.7</v>
      </c>
      <c r="M497" s="172">
        <v>6.5369999999999999</v>
      </c>
      <c r="N497" s="173">
        <v>0.15296000000000001</v>
      </c>
      <c r="P497" s="30">
        <v>48.7</v>
      </c>
      <c r="Q497" s="172">
        <v>3.2686999999999999</v>
      </c>
      <c r="R497" s="173">
        <v>0.13729</v>
      </c>
      <c r="T497" s="30">
        <v>48.7</v>
      </c>
      <c r="U497" s="172">
        <v>305.93000000000399</v>
      </c>
      <c r="V497" s="173">
        <v>7.2839999999999998</v>
      </c>
      <c r="X497" s="30">
        <v>48.7</v>
      </c>
      <c r="Y497" s="34">
        <v>2.9184999999999999</v>
      </c>
      <c r="Z497" s="35">
        <v>0.12257999999999999</v>
      </c>
      <c r="AA497" s="36"/>
      <c r="AB497" s="30">
        <v>48.7</v>
      </c>
      <c r="AC497" s="44">
        <v>342.64</v>
      </c>
      <c r="AD497" s="35">
        <v>8.1579999999999995</v>
      </c>
      <c r="AE497" s="36"/>
      <c r="AF497" s="30">
        <v>48.7</v>
      </c>
      <c r="AG497" s="34">
        <v>2.9653</v>
      </c>
      <c r="AH497" s="35">
        <v>0.12454</v>
      </c>
      <c r="AI497" s="35"/>
      <c r="AJ497" s="35">
        <v>0.13375999999999999</v>
      </c>
      <c r="AK497" s="998">
        <v>36.299999999999997</v>
      </c>
      <c r="AM497" s="30">
        <v>48.7</v>
      </c>
      <c r="AN497" s="34">
        <v>1.1574</v>
      </c>
      <c r="AO497" s="35">
        <v>1.2963</v>
      </c>
      <c r="BX497" s="43"/>
      <c r="BY497" s="34"/>
      <c r="BZ497" s="59"/>
      <c r="CB497" s="43"/>
      <c r="CC497" s="34"/>
      <c r="CD497" s="59"/>
      <c r="CL497" s="43"/>
      <c r="CM497" s="34"/>
      <c r="CN497" s="59"/>
      <c r="CP497" s="43"/>
      <c r="CQ497" s="34"/>
      <c r="CR497" s="59"/>
      <c r="CT497" s="43"/>
      <c r="CU497" s="34"/>
      <c r="CV497" s="59"/>
    </row>
    <row r="498" spans="4:100">
      <c r="D498" s="30">
        <v>48.8</v>
      </c>
      <c r="E498" s="31">
        <v>0.78480000000000005</v>
      </c>
      <c r="F498" s="32">
        <v>784.5</v>
      </c>
      <c r="G498" s="33"/>
      <c r="H498" s="30">
        <v>48.8</v>
      </c>
      <c r="I498" s="34">
        <v>3.7833000000000001</v>
      </c>
      <c r="J498" s="35">
        <v>0.15890000000000001</v>
      </c>
      <c r="L498" s="30">
        <v>48.8</v>
      </c>
      <c r="M498" s="172">
        <v>6.5339999999999998</v>
      </c>
      <c r="N498" s="173">
        <v>0.15304999999999999</v>
      </c>
      <c r="P498" s="30">
        <v>48.8</v>
      </c>
      <c r="Q498" s="172">
        <v>3.2669000000000001</v>
      </c>
      <c r="R498" s="173">
        <v>0.13721</v>
      </c>
      <c r="T498" s="30">
        <v>48.8</v>
      </c>
      <c r="U498" s="172">
        <v>306.100000000004</v>
      </c>
      <c r="V498" s="173">
        <v>7.2880000000000003</v>
      </c>
      <c r="X498" s="30">
        <v>48.8</v>
      </c>
      <c r="Y498" s="34">
        <v>2.9169</v>
      </c>
      <c r="Z498" s="35">
        <v>0.12250999999999999</v>
      </c>
      <c r="AA498" s="36"/>
      <c r="AB498" s="30">
        <v>48.8</v>
      </c>
      <c r="AC498" s="44">
        <v>342.83</v>
      </c>
      <c r="AD498" s="35">
        <v>8.1630000000000003</v>
      </c>
      <c r="AE498" s="36"/>
      <c r="AF498" s="30">
        <v>48.8</v>
      </c>
      <c r="AG498" s="34">
        <v>2.9636999999999998</v>
      </c>
      <c r="AH498" s="35">
        <v>0.12447999999999999</v>
      </c>
      <c r="AI498" s="35"/>
      <c r="AJ498" s="35">
        <v>0.13383999999999999</v>
      </c>
      <c r="AK498" s="998">
        <v>36.200000000000003</v>
      </c>
      <c r="AM498" s="30">
        <v>48.8</v>
      </c>
      <c r="AN498" s="34">
        <v>1.1580999999999999</v>
      </c>
      <c r="AO498" s="35">
        <v>1.2969999999999999</v>
      </c>
      <c r="BX498" s="43"/>
      <c r="BY498" s="34"/>
      <c r="BZ498" s="59"/>
      <c r="CB498" s="43"/>
      <c r="CC498" s="34"/>
      <c r="CD498" s="59"/>
      <c r="CL498" s="43"/>
      <c r="CM498" s="34"/>
      <c r="CN498" s="59"/>
      <c r="CP498" s="43"/>
      <c r="CQ498" s="34"/>
      <c r="CR498" s="59"/>
      <c r="CT498" s="43"/>
      <c r="CU498" s="34"/>
      <c r="CV498" s="59"/>
    </row>
    <row r="499" spans="4:100">
      <c r="D499" s="30">
        <v>48.9</v>
      </c>
      <c r="E499" s="31">
        <v>0.78439999999999999</v>
      </c>
      <c r="F499" s="32">
        <v>784</v>
      </c>
      <c r="G499" s="33"/>
      <c r="H499" s="30">
        <v>48.9</v>
      </c>
      <c r="I499" s="34">
        <v>3.7833000000000001</v>
      </c>
      <c r="J499" s="35">
        <v>0.15890000000000001</v>
      </c>
      <c r="L499" s="30">
        <v>48.9</v>
      </c>
      <c r="M499" s="172">
        <v>6.53</v>
      </c>
      <c r="N499" s="173">
        <v>0.15312999999999999</v>
      </c>
      <c r="P499" s="30">
        <v>48.9</v>
      </c>
      <c r="Q499" s="172">
        <v>3.2650999999999999</v>
      </c>
      <c r="R499" s="173">
        <v>0.13713</v>
      </c>
      <c r="T499" s="30">
        <v>48.9</v>
      </c>
      <c r="U499" s="172">
        <v>306.27000000000402</v>
      </c>
      <c r="V499" s="173">
        <v>7.2919999999999998</v>
      </c>
      <c r="X499" s="30">
        <v>48.9</v>
      </c>
      <c r="Y499" s="34">
        <v>2.9152999999999998</v>
      </c>
      <c r="Z499" s="35">
        <v>0.12243999999999999</v>
      </c>
      <c r="AA499" s="36"/>
      <c r="AB499" s="30">
        <v>48.9</v>
      </c>
      <c r="AC499" s="44">
        <v>343.02</v>
      </c>
      <c r="AD499" s="35">
        <v>8.1669999999999998</v>
      </c>
      <c r="AE499" s="36"/>
      <c r="AF499" s="30">
        <v>48.9</v>
      </c>
      <c r="AG499" s="34">
        <v>2.9620000000000002</v>
      </c>
      <c r="AH499" s="35">
        <v>0.12441000000000001</v>
      </c>
      <c r="AI499" s="35"/>
      <c r="AJ499" s="35">
        <v>0.13392000000000001</v>
      </c>
      <c r="AK499" s="998">
        <v>36.1</v>
      </c>
      <c r="AM499" s="30">
        <v>48.9</v>
      </c>
      <c r="AN499" s="34">
        <v>1.1587000000000001</v>
      </c>
      <c r="AO499" s="35">
        <v>1.2978000000000001</v>
      </c>
      <c r="BX499" s="43"/>
      <c r="BY499" s="34"/>
      <c r="BZ499" s="59"/>
      <c r="CB499" s="43"/>
      <c r="CC499" s="34"/>
      <c r="CD499" s="59"/>
      <c r="CL499" s="43"/>
      <c r="CM499" s="34"/>
      <c r="CN499" s="59"/>
      <c r="CP499" s="43"/>
      <c r="CQ499" s="34"/>
      <c r="CR499" s="59"/>
      <c r="CT499" s="43"/>
      <c r="CU499" s="34"/>
      <c r="CV499" s="59"/>
    </row>
    <row r="500" spans="4:100">
      <c r="D500" s="30">
        <v>49</v>
      </c>
      <c r="E500" s="31">
        <v>0.78390000000000004</v>
      </c>
      <c r="F500" s="32">
        <v>783.6</v>
      </c>
      <c r="G500" s="33"/>
      <c r="H500" s="30">
        <v>49</v>
      </c>
      <c r="I500" s="34">
        <v>3.7833000000000001</v>
      </c>
      <c r="J500" s="35">
        <v>0.15890000000000001</v>
      </c>
      <c r="L500" s="30">
        <v>49</v>
      </c>
      <c r="M500" s="172">
        <v>6.5270000000000001</v>
      </c>
      <c r="N500" s="173">
        <v>0.15322</v>
      </c>
      <c r="P500" s="30">
        <v>49</v>
      </c>
      <c r="Q500" s="172">
        <v>3.2633000000000001</v>
      </c>
      <c r="R500" s="173">
        <v>0.13705999999999999</v>
      </c>
      <c r="T500" s="30">
        <v>49</v>
      </c>
      <c r="U500" s="172">
        <v>306.44000000000398</v>
      </c>
      <c r="V500" s="173">
        <v>7.2960000000000003</v>
      </c>
      <c r="X500" s="30">
        <v>49</v>
      </c>
      <c r="Y500" s="34">
        <v>2.9136000000000002</v>
      </c>
      <c r="Z500" s="35">
        <v>0.12237000000000001</v>
      </c>
      <c r="AA500" s="36"/>
      <c r="AB500" s="30">
        <v>49</v>
      </c>
      <c r="AC500" s="44">
        <v>343.21</v>
      </c>
      <c r="AD500" s="35">
        <v>8.1720000000000006</v>
      </c>
      <c r="AE500" s="36"/>
      <c r="AF500" s="30">
        <v>49</v>
      </c>
      <c r="AG500" s="34">
        <v>2.9603999999999999</v>
      </c>
      <c r="AH500" s="35">
        <v>0.12434000000000001</v>
      </c>
      <c r="AI500" s="35"/>
      <c r="AJ500" s="35">
        <v>0.13400000000000001</v>
      </c>
      <c r="AK500" s="998">
        <v>36</v>
      </c>
      <c r="AM500" s="30">
        <v>49</v>
      </c>
      <c r="AN500" s="34">
        <v>1.1594</v>
      </c>
      <c r="AO500" s="35">
        <v>1.2985</v>
      </c>
      <c r="BX500" s="43"/>
      <c r="BY500" s="34"/>
      <c r="BZ500" s="59"/>
      <c r="CB500" s="43"/>
      <c r="CC500" s="34"/>
      <c r="CD500" s="59"/>
      <c r="CL500" s="43"/>
      <c r="CM500" s="34"/>
      <c r="CN500" s="59"/>
      <c r="CP500" s="43"/>
      <c r="CQ500" s="34"/>
      <c r="CR500" s="59"/>
      <c r="CT500" s="43"/>
      <c r="CU500" s="34"/>
      <c r="CV500" s="59"/>
    </row>
    <row r="501" spans="4:100">
      <c r="D501" s="30">
        <v>49.1</v>
      </c>
      <c r="E501" s="31">
        <v>0.78349999999999997</v>
      </c>
      <c r="F501" s="32">
        <v>783.2</v>
      </c>
      <c r="G501" s="33"/>
      <c r="H501" s="30">
        <v>49.1</v>
      </c>
      <c r="I501" s="34">
        <v>3.7833000000000001</v>
      </c>
      <c r="J501" s="35">
        <v>0.15890000000000001</v>
      </c>
      <c r="L501" s="30">
        <v>49.1</v>
      </c>
      <c r="M501" s="172">
        <v>6.5229999999999997</v>
      </c>
      <c r="N501" s="173">
        <v>0.15329999999999999</v>
      </c>
      <c r="P501" s="30">
        <v>49.1</v>
      </c>
      <c r="Q501" s="172">
        <v>3.2614999999999998</v>
      </c>
      <c r="R501" s="173">
        <v>0.13697999999999999</v>
      </c>
      <c r="T501" s="30">
        <v>49.1</v>
      </c>
      <c r="U501" s="172">
        <v>306.61000000000399</v>
      </c>
      <c r="V501" s="173">
        <v>7.3</v>
      </c>
      <c r="X501" s="30">
        <v>49.1</v>
      </c>
      <c r="Y501" s="34">
        <v>2.9119999999999999</v>
      </c>
      <c r="Z501" s="35">
        <v>0.12231</v>
      </c>
      <c r="AA501" s="36"/>
      <c r="AB501" s="30">
        <v>49.1</v>
      </c>
      <c r="AC501" s="44">
        <v>343.4</v>
      </c>
      <c r="AD501" s="35">
        <v>8.1760000000000002</v>
      </c>
      <c r="AE501" s="36"/>
      <c r="AF501" s="30">
        <v>49.1</v>
      </c>
      <c r="AG501" s="34">
        <v>2.9588000000000001</v>
      </c>
      <c r="AH501" s="35">
        <v>0.12427000000000001</v>
      </c>
      <c r="AI501" s="35"/>
      <c r="AJ501" s="35">
        <v>0.13408</v>
      </c>
      <c r="AK501" s="998">
        <v>35.9</v>
      </c>
      <c r="AM501" s="30">
        <v>49.1</v>
      </c>
      <c r="AN501" s="34">
        <v>1.1599999999999999</v>
      </c>
      <c r="AO501" s="35">
        <v>1.2991999999999999</v>
      </c>
      <c r="BX501" s="43"/>
      <c r="BY501" s="34"/>
      <c r="BZ501" s="59"/>
      <c r="CB501" s="43"/>
      <c r="CC501" s="34"/>
      <c r="CD501" s="59"/>
      <c r="CL501" s="43"/>
      <c r="CM501" s="34"/>
      <c r="CN501" s="59"/>
      <c r="CP501" s="43"/>
      <c r="CQ501" s="34"/>
      <c r="CR501" s="59"/>
      <c r="CT501" s="43"/>
      <c r="CU501" s="34"/>
      <c r="CV501" s="59"/>
    </row>
    <row r="502" spans="4:100">
      <c r="D502" s="30">
        <v>49.2</v>
      </c>
      <c r="E502" s="31">
        <v>0.78310000000000002</v>
      </c>
      <c r="F502" s="32">
        <v>782.7</v>
      </c>
      <c r="G502" s="33"/>
      <c r="H502" s="30">
        <v>49.2</v>
      </c>
      <c r="I502" s="34">
        <v>3.7833000000000001</v>
      </c>
      <c r="J502" s="35">
        <v>0.15890000000000001</v>
      </c>
      <c r="L502" s="30">
        <v>49.2</v>
      </c>
      <c r="M502" s="172">
        <v>6.5190000000000001</v>
      </c>
      <c r="N502" s="173">
        <v>0.15339</v>
      </c>
      <c r="P502" s="30">
        <v>49.2</v>
      </c>
      <c r="Q502" s="172">
        <v>3.2597</v>
      </c>
      <c r="R502" s="173">
        <v>0.13691</v>
      </c>
      <c r="T502" s="30">
        <v>49.2</v>
      </c>
      <c r="U502" s="172">
        <v>306.78000000000401</v>
      </c>
      <c r="V502" s="173">
        <v>7.3039999999999896</v>
      </c>
      <c r="X502" s="30">
        <v>49.2</v>
      </c>
      <c r="Y502" s="34">
        <v>2.9104000000000001</v>
      </c>
      <c r="Z502" s="35">
        <v>0.12224</v>
      </c>
      <c r="AA502" s="36"/>
      <c r="AB502" s="30">
        <v>49.2</v>
      </c>
      <c r="AC502" s="44">
        <v>343.59</v>
      </c>
      <c r="AD502" s="35">
        <v>8.1809999999999992</v>
      </c>
      <c r="AE502" s="36"/>
      <c r="AF502" s="30">
        <v>49.2</v>
      </c>
      <c r="AG502" s="34">
        <v>2.9571000000000001</v>
      </c>
      <c r="AH502" s="35">
        <v>0.1242</v>
      </c>
      <c r="AI502" s="35"/>
      <c r="AJ502" s="35">
        <v>0.13416</v>
      </c>
      <c r="AK502" s="998">
        <v>35.799999999999997</v>
      </c>
      <c r="AM502" s="30">
        <v>49.2</v>
      </c>
      <c r="AN502" s="34">
        <v>1.1606000000000001</v>
      </c>
      <c r="AO502" s="35">
        <v>1.2999000000000001</v>
      </c>
      <c r="BX502" s="43"/>
      <c r="BY502" s="34"/>
      <c r="BZ502" s="59"/>
      <c r="CB502" s="43"/>
      <c r="CC502" s="34"/>
      <c r="CD502" s="59"/>
      <c r="CL502" s="43"/>
      <c r="CM502" s="34"/>
      <c r="CN502" s="59"/>
      <c r="CP502" s="43"/>
      <c r="CQ502" s="34"/>
      <c r="CR502" s="59"/>
      <c r="CT502" s="43"/>
      <c r="CU502" s="34"/>
      <c r="CV502" s="59"/>
    </row>
    <row r="503" spans="4:100">
      <c r="D503" s="30">
        <v>49.3</v>
      </c>
      <c r="E503" s="31">
        <v>0.78259999999999996</v>
      </c>
      <c r="F503" s="32">
        <v>782.3</v>
      </c>
      <c r="G503" s="33"/>
      <c r="H503" s="30">
        <v>49.3</v>
      </c>
      <c r="I503" s="34">
        <v>3.7833000000000001</v>
      </c>
      <c r="J503" s="35">
        <v>0.15890000000000001</v>
      </c>
      <c r="L503" s="30">
        <v>49.3</v>
      </c>
      <c r="M503" s="172">
        <v>6.516</v>
      </c>
      <c r="N503" s="173">
        <v>0.15347</v>
      </c>
      <c r="P503" s="30">
        <v>49.3</v>
      </c>
      <c r="Q503" s="172">
        <v>3.2578999999999998</v>
      </c>
      <c r="R503" s="173">
        <v>0.13683000000000001</v>
      </c>
      <c r="T503" s="30">
        <v>49.3</v>
      </c>
      <c r="U503" s="172">
        <v>306.95000000000402</v>
      </c>
      <c r="V503" s="173">
        <v>7.3079999999999901</v>
      </c>
      <c r="X503" s="30">
        <v>49.3</v>
      </c>
      <c r="Y503" s="34">
        <v>2.9087999999999998</v>
      </c>
      <c r="Z503" s="35">
        <v>0.12217</v>
      </c>
      <c r="AA503" s="36"/>
      <c r="AB503" s="30">
        <v>49.3</v>
      </c>
      <c r="AC503" s="44">
        <v>343.78</v>
      </c>
      <c r="AD503" s="35">
        <v>8.1850000000000005</v>
      </c>
      <c r="AE503" s="36"/>
      <c r="AF503" s="30">
        <v>49.3</v>
      </c>
      <c r="AG503" s="34">
        <v>2.9554999999999998</v>
      </c>
      <c r="AH503" s="35">
        <v>0.12413</v>
      </c>
      <c r="AI503" s="35"/>
      <c r="AJ503" s="35">
        <v>0.13424</v>
      </c>
      <c r="AK503" s="998">
        <v>35.700000000000003</v>
      </c>
      <c r="AM503" s="30">
        <v>49.3</v>
      </c>
      <c r="AN503" s="34">
        <v>1.1613</v>
      </c>
      <c r="AO503" s="35">
        <v>1.3006</v>
      </c>
      <c r="BX503" s="43"/>
      <c r="BY503" s="34"/>
      <c r="BZ503" s="59"/>
      <c r="CB503" s="43"/>
      <c r="CC503" s="34"/>
      <c r="CD503" s="59"/>
      <c r="CL503" s="43"/>
      <c r="CM503" s="34"/>
      <c r="CN503" s="59"/>
      <c r="CP503" s="43"/>
      <c r="CQ503" s="34"/>
      <c r="CR503" s="59"/>
      <c r="CT503" s="43"/>
      <c r="CU503" s="34"/>
      <c r="CV503" s="59"/>
    </row>
    <row r="504" spans="4:100">
      <c r="D504" s="30">
        <v>49.4</v>
      </c>
      <c r="E504" s="31">
        <v>0.78220000000000001</v>
      </c>
      <c r="F504" s="32">
        <v>781.9</v>
      </c>
      <c r="G504" s="33"/>
      <c r="H504" s="30">
        <v>49.4</v>
      </c>
      <c r="I504" s="34">
        <v>3.7833000000000001</v>
      </c>
      <c r="J504" s="35">
        <v>0.15890000000000001</v>
      </c>
      <c r="L504" s="30">
        <v>49.4</v>
      </c>
      <c r="M504" s="172">
        <v>6.5119999999999996</v>
      </c>
      <c r="N504" s="173">
        <v>0.15356</v>
      </c>
      <c r="P504" s="30">
        <v>49.4</v>
      </c>
      <c r="Q504" s="172">
        <v>3.2561</v>
      </c>
      <c r="R504" s="173">
        <v>0.13675000000000001</v>
      </c>
      <c r="T504" s="30">
        <v>49.4</v>
      </c>
      <c r="U504" s="172">
        <v>307.12000000000398</v>
      </c>
      <c r="V504" s="173">
        <v>7.3119999999999896</v>
      </c>
      <c r="X504" s="30">
        <v>49.4</v>
      </c>
      <c r="Y504" s="34">
        <v>2.9072</v>
      </c>
      <c r="Z504" s="35">
        <v>0.1221</v>
      </c>
      <c r="AA504" s="36"/>
      <c r="AB504" s="30">
        <v>49.4</v>
      </c>
      <c r="AC504" s="44">
        <v>343.97</v>
      </c>
      <c r="AD504" s="35">
        <v>8.19</v>
      </c>
      <c r="AE504" s="36"/>
      <c r="AF504" s="30">
        <v>49.4</v>
      </c>
      <c r="AG504" s="34">
        <v>2.9538000000000002</v>
      </c>
      <c r="AH504" s="35">
        <v>0.12406</v>
      </c>
      <c r="AI504" s="35"/>
      <c r="AJ504" s="35">
        <v>0.13431999999999999</v>
      </c>
      <c r="AK504" s="998">
        <v>35.6</v>
      </c>
      <c r="AM504" s="30">
        <v>49.4</v>
      </c>
      <c r="AN504" s="34">
        <v>1.1618999999999999</v>
      </c>
      <c r="AO504" s="35">
        <v>1.3012999999999999</v>
      </c>
      <c r="BX504" s="43"/>
      <c r="BY504" s="34"/>
      <c r="BZ504" s="59"/>
      <c r="CB504" s="43"/>
      <c r="CC504" s="34"/>
      <c r="CD504" s="59"/>
      <c r="CL504" s="43"/>
      <c r="CM504" s="34"/>
      <c r="CN504" s="59"/>
      <c r="CP504" s="43"/>
      <c r="CQ504" s="34"/>
      <c r="CR504" s="59"/>
      <c r="CT504" s="43"/>
      <c r="CU504" s="34"/>
      <c r="CV504" s="59"/>
    </row>
    <row r="505" spans="4:100">
      <c r="D505" s="30">
        <v>49.5</v>
      </c>
      <c r="E505" s="31">
        <v>0.78180000000000005</v>
      </c>
      <c r="F505" s="32">
        <v>781.4</v>
      </c>
      <c r="G505" s="33"/>
      <c r="H505" s="30">
        <v>49.5</v>
      </c>
      <c r="I505" s="34">
        <v>3.7831999999999999</v>
      </c>
      <c r="J505" s="35">
        <v>0.15890000000000001</v>
      </c>
      <c r="L505" s="30">
        <v>49.5</v>
      </c>
      <c r="M505" s="172">
        <v>6.5090000000000003</v>
      </c>
      <c r="N505" s="173">
        <v>0.15364</v>
      </c>
      <c r="P505" s="30">
        <v>49.5</v>
      </c>
      <c r="Q505" s="172">
        <v>3.2543000000000002</v>
      </c>
      <c r="R505" s="173">
        <v>0.13668</v>
      </c>
      <c r="T505" s="30">
        <v>49.5</v>
      </c>
      <c r="U505" s="172">
        <v>307.290000000004</v>
      </c>
      <c r="V505" s="173">
        <v>7.3159999999999901</v>
      </c>
      <c r="X505" s="30">
        <v>49.5</v>
      </c>
      <c r="Y505" s="34">
        <v>2.9056000000000002</v>
      </c>
      <c r="Z505" s="35">
        <v>0.12203</v>
      </c>
      <c r="AA505" s="36"/>
      <c r="AB505" s="30">
        <v>49.5</v>
      </c>
      <c r="AC505" s="44">
        <v>344.16</v>
      </c>
      <c r="AD505" s="35">
        <v>8.1940000000000008</v>
      </c>
      <c r="AE505" s="36"/>
      <c r="AF505" s="30">
        <v>49.5</v>
      </c>
      <c r="AG505" s="34">
        <v>2.9521999999999999</v>
      </c>
      <c r="AH505" s="35">
        <v>0.12399</v>
      </c>
      <c r="AI505" s="35"/>
      <c r="AJ505" s="35">
        <v>0.13439999999999999</v>
      </c>
      <c r="AK505" s="998">
        <v>35.5</v>
      </c>
      <c r="AM505" s="30">
        <v>49.5</v>
      </c>
      <c r="AN505" s="34">
        <v>1.1626000000000001</v>
      </c>
      <c r="AO505" s="35">
        <v>1.3021</v>
      </c>
      <c r="BX505" s="43"/>
      <c r="BY505" s="34"/>
      <c r="BZ505" s="59"/>
      <c r="CB505" s="43"/>
      <c r="CC505" s="34"/>
      <c r="CD505" s="59"/>
      <c r="CL505" s="43"/>
      <c r="CM505" s="34"/>
      <c r="CN505" s="59"/>
      <c r="CP505" s="43"/>
      <c r="CQ505" s="34"/>
      <c r="CR505" s="59"/>
      <c r="CT505" s="43"/>
      <c r="CU505" s="34"/>
      <c r="CV505" s="59"/>
    </row>
    <row r="506" spans="4:100">
      <c r="D506" s="30">
        <v>49.6</v>
      </c>
      <c r="E506" s="31">
        <v>0.78129999999999999</v>
      </c>
      <c r="F506" s="32">
        <v>781</v>
      </c>
      <c r="G506" s="33"/>
      <c r="H506" s="30">
        <v>49.6</v>
      </c>
      <c r="I506" s="34">
        <v>3.7831999999999999</v>
      </c>
      <c r="J506" s="35">
        <v>0.15890000000000001</v>
      </c>
      <c r="L506" s="30">
        <v>49.6</v>
      </c>
      <c r="M506" s="172">
        <v>6.5049999999999999</v>
      </c>
      <c r="N506" s="173">
        <v>0.15373000000000001</v>
      </c>
      <c r="P506" s="30">
        <v>49.6</v>
      </c>
      <c r="Q506" s="172">
        <v>3.2524999999999999</v>
      </c>
      <c r="R506" s="173">
        <v>0.1366</v>
      </c>
      <c r="T506" s="30">
        <v>49.6</v>
      </c>
      <c r="U506" s="172">
        <v>307.46000000000402</v>
      </c>
      <c r="V506" s="173">
        <v>7.3199999999999896</v>
      </c>
      <c r="X506" s="30">
        <v>49.6</v>
      </c>
      <c r="Y506" s="34">
        <v>2.9039999999999999</v>
      </c>
      <c r="Z506" s="35">
        <v>0.12197</v>
      </c>
      <c r="AA506" s="36"/>
      <c r="AB506" s="30">
        <v>49.6</v>
      </c>
      <c r="AC506" s="44">
        <v>344.36</v>
      </c>
      <c r="AD506" s="35">
        <v>8.1989999999999998</v>
      </c>
      <c r="AE506" s="36"/>
      <c r="AF506" s="30">
        <v>49.6</v>
      </c>
      <c r="AG506" s="34">
        <v>2.9506000000000001</v>
      </c>
      <c r="AH506" s="35">
        <v>0.12392</v>
      </c>
      <c r="AI506" s="35"/>
      <c r="AJ506" s="35">
        <v>0.13447999999999999</v>
      </c>
      <c r="AK506" s="998">
        <v>35.4</v>
      </c>
      <c r="AM506" s="30">
        <v>49.6</v>
      </c>
      <c r="AN506" s="34">
        <v>1.1632</v>
      </c>
      <c r="AO506" s="35">
        <v>1.3028</v>
      </c>
      <c r="BX506" s="43"/>
      <c r="BY506" s="34"/>
      <c r="BZ506" s="59"/>
      <c r="CB506" s="43"/>
      <c r="CC506" s="34"/>
      <c r="CD506" s="59"/>
      <c r="CL506" s="43"/>
      <c r="CM506" s="34"/>
      <c r="CN506" s="59"/>
      <c r="CP506" s="43"/>
      <c r="CQ506" s="34"/>
      <c r="CR506" s="59"/>
      <c r="CT506" s="43"/>
      <c r="CU506" s="34"/>
      <c r="CV506" s="59"/>
    </row>
    <row r="507" spans="4:100">
      <c r="D507" s="30">
        <v>49.7</v>
      </c>
      <c r="E507" s="31">
        <v>0.78090000000000004</v>
      </c>
      <c r="F507" s="32">
        <v>780.6</v>
      </c>
      <c r="G507" s="33"/>
      <c r="H507" s="30">
        <v>49.7</v>
      </c>
      <c r="I507" s="34">
        <v>3.7831999999999999</v>
      </c>
      <c r="J507" s="35">
        <v>0.15890000000000001</v>
      </c>
      <c r="L507" s="30">
        <v>49.7</v>
      </c>
      <c r="M507" s="172">
        <v>6.5010000000000003</v>
      </c>
      <c r="N507" s="173">
        <v>0.15382000000000001</v>
      </c>
      <c r="P507" s="30">
        <v>49.7</v>
      </c>
      <c r="Q507" s="172">
        <v>3.2507000000000001</v>
      </c>
      <c r="R507" s="173">
        <v>0.13653000000000001</v>
      </c>
      <c r="T507" s="30">
        <v>49.7</v>
      </c>
      <c r="U507" s="172">
        <v>307.63000000000397</v>
      </c>
      <c r="V507" s="173">
        <v>7.3250000000000002</v>
      </c>
      <c r="X507" s="30">
        <v>49.7</v>
      </c>
      <c r="Y507" s="34">
        <v>2.9024000000000001</v>
      </c>
      <c r="Z507" s="35">
        <v>0.12189999999999999</v>
      </c>
      <c r="AA507" s="36"/>
      <c r="AB507" s="30">
        <v>49.7</v>
      </c>
      <c r="AC507" s="44">
        <v>344.55</v>
      </c>
      <c r="AD507" s="35">
        <v>8.2029999999999994</v>
      </c>
      <c r="AE507" s="36"/>
      <c r="AF507" s="30">
        <v>49.7</v>
      </c>
      <c r="AG507" s="34">
        <v>2.9489000000000001</v>
      </c>
      <c r="AH507" s="35">
        <v>0.12386</v>
      </c>
      <c r="AI507" s="35"/>
      <c r="AJ507" s="35">
        <v>0.13457</v>
      </c>
      <c r="AK507" s="998">
        <v>35.299999999999997</v>
      </c>
      <c r="AM507" s="30">
        <v>49.7</v>
      </c>
      <c r="AN507" s="34">
        <v>1.1637999999999999</v>
      </c>
      <c r="AO507" s="35">
        <v>1.3035000000000001</v>
      </c>
      <c r="BX507" s="43"/>
      <c r="BY507" s="34"/>
      <c r="BZ507" s="59"/>
      <c r="CB507" s="43"/>
      <c r="CC507" s="34"/>
      <c r="CD507" s="59"/>
      <c r="CL507" s="43"/>
      <c r="CM507" s="34"/>
      <c r="CN507" s="59"/>
      <c r="CP507" s="43"/>
      <c r="CQ507" s="34"/>
      <c r="CR507" s="59"/>
      <c r="CT507" s="43"/>
      <c r="CU507" s="34"/>
      <c r="CV507" s="59"/>
    </row>
    <row r="508" spans="4:100">
      <c r="D508" s="30">
        <v>49.8</v>
      </c>
      <c r="E508" s="31">
        <v>0.78049999999999997</v>
      </c>
      <c r="F508" s="32">
        <v>780.2</v>
      </c>
      <c r="G508" s="33"/>
      <c r="H508" s="30">
        <v>49.8</v>
      </c>
      <c r="I508" s="34">
        <v>3.7831999999999999</v>
      </c>
      <c r="J508" s="35">
        <v>0.15890000000000001</v>
      </c>
      <c r="L508" s="30">
        <v>49.8</v>
      </c>
      <c r="M508" s="172">
        <v>6.4980000000000002</v>
      </c>
      <c r="N508" s="173">
        <v>0.15390000000000001</v>
      </c>
      <c r="P508" s="30">
        <v>49.8</v>
      </c>
      <c r="Q508" s="172">
        <v>3.2488999999999999</v>
      </c>
      <c r="R508" s="173">
        <v>0.13644999999999999</v>
      </c>
      <c r="T508" s="30">
        <v>49.8</v>
      </c>
      <c r="U508" s="172">
        <v>307.80000000000399</v>
      </c>
      <c r="V508" s="173">
        <v>7.3289999999999997</v>
      </c>
      <c r="X508" s="30">
        <v>49.8</v>
      </c>
      <c r="Y508" s="34">
        <v>2.9007999999999998</v>
      </c>
      <c r="Z508" s="35">
        <v>0.12182999999999999</v>
      </c>
      <c r="AA508" s="36"/>
      <c r="AB508" s="30">
        <v>49.8</v>
      </c>
      <c r="AC508" s="44">
        <v>344.74</v>
      </c>
      <c r="AD508" s="35">
        <v>8.2080000000000002</v>
      </c>
      <c r="AE508" s="36"/>
      <c r="AF508" s="30">
        <v>49.8</v>
      </c>
      <c r="AG508" s="34">
        <v>2.9472999999999998</v>
      </c>
      <c r="AH508" s="35">
        <v>0.12379</v>
      </c>
      <c r="AI508" s="35"/>
      <c r="AJ508" s="35">
        <v>0.13464999999999999</v>
      </c>
      <c r="AK508" s="998">
        <v>35.200000000000003</v>
      </c>
      <c r="AM508" s="30">
        <v>49.8</v>
      </c>
      <c r="AN508" s="34">
        <v>1.1645000000000001</v>
      </c>
      <c r="AO508" s="35">
        <v>1.3042</v>
      </c>
      <c r="BX508" s="43"/>
      <c r="BY508" s="34"/>
      <c r="BZ508" s="59"/>
      <c r="CB508" s="43"/>
      <c r="CC508" s="34"/>
      <c r="CD508" s="59"/>
      <c r="CL508" s="43"/>
      <c r="CM508" s="34"/>
      <c r="CN508" s="59"/>
      <c r="CP508" s="43"/>
      <c r="CQ508" s="34"/>
      <c r="CR508" s="59"/>
      <c r="CT508" s="43"/>
      <c r="CU508" s="34"/>
      <c r="CV508" s="59"/>
    </row>
    <row r="509" spans="4:100">
      <c r="D509" s="30">
        <v>49.9</v>
      </c>
      <c r="E509" s="31">
        <v>0.78</v>
      </c>
      <c r="F509" s="32">
        <v>779.7</v>
      </c>
      <c r="G509" s="33"/>
      <c r="H509" s="30">
        <v>49.9</v>
      </c>
      <c r="I509" s="34">
        <v>3.7831999999999999</v>
      </c>
      <c r="J509" s="35">
        <v>0.15889</v>
      </c>
      <c r="L509" s="30">
        <v>49.9</v>
      </c>
      <c r="M509" s="172">
        <v>6.4939999999999998</v>
      </c>
      <c r="N509" s="173">
        <v>0.15398999999999999</v>
      </c>
      <c r="P509" s="30">
        <v>49.9</v>
      </c>
      <c r="Q509" s="172">
        <v>3.2471000000000001</v>
      </c>
      <c r="R509" s="173">
        <v>0.13638</v>
      </c>
      <c r="T509" s="30">
        <v>49.9</v>
      </c>
      <c r="U509" s="172">
        <v>307.97000000000401</v>
      </c>
      <c r="V509" s="173">
        <v>7.3330000000000002</v>
      </c>
      <c r="X509" s="30">
        <v>49.9</v>
      </c>
      <c r="Y509" s="34">
        <v>2.8992</v>
      </c>
      <c r="Z509" s="35">
        <v>0.12177</v>
      </c>
      <c r="AA509" s="36"/>
      <c r="AB509" s="30">
        <v>49.9</v>
      </c>
      <c r="AC509" s="44">
        <v>344.93</v>
      </c>
      <c r="AD509" s="35">
        <v>8.2129999999999992</v>
      </c>
      <c r="AE509" s="36"/>
      <c r="AF509" s="30">
        <v>49.9</v>
      </c>
      <c r="AG509" s="34">
        <v>2.9457</v>
      </c>
      <c r="AH509" s="35">
        <v>0.12372</v>
      </c>
      <c r="AI509" s="35"/>
      <c r="AJ509" s="35">
        <v>0.13472999999999999</v>
      </c>
      <c r="AK509" s="998">
        <v>35.1</v>
      </c>
      <c r="AM509" s="30">
        <v>49.9</v>
      </c>
      <c r="AN509" s="34">
        <v>1.1651</v>
      </c>
      <c r="AO509" s="35">
        <v>1.3048999999999999</v>
      </c>
      <c r="BX509" s="43"/>
      <c r="BY509" s="34"/>
      <c r="BZ509" s="59"/>
      <c r="CB509" s="43"/>
      <c r="CC509" s="34"/>
      <c r="CD509" s="59"/>
      <c r="CL509" s="43"/>
      <c r="CM509" s="34"/>
      <c r="CN509" s="59"/>
      <c r="CP509" s="43"/>
      <c r="CQ509" s="34"/>
      <c r="CR509" s="59"/>
      <c r="CT509" s="43"/>
      <c r="CU509" s="34"/>
      <c r="CV509" s="59"/>
    </row>
    <row r="510" spans="4:100">
      <c r="D510" s="30">
        <v>50</v>
      </c>
      <c r="E510" s="31">
        <v>0.77959999999999996</v>
      </c>
      <c r="F510" s="32">
        <v>779.3</v>
      </c>
      <c r="G510" s="33"/>
      <c r="H510" s="30">
        <v>50</v>
      </c>
      <c r="I510" s="34">
        <v>3.7831999999999999</v>
      </c>
      <c r="J510" s="35">
        <v>0.15889</v>
      </c>
      <c r="L510" s="30">
        <v>50</v>
      </c>
      <c r="M510" s="172">
        <v>6.4909999999999997</v>
      </c>
      <c r="N510" s="173">
        <v>0.15407000000000001</v>
      </c>
      <c r="P510" s="30">
        <v>50</v>
      </c>
      <c r="Q510" s="172">
        <v>3.2452999999999999</v>
      </c>
      <c r="R510" s="173">
        <v>0.1363</v>
      </c>
      <c r="T510" s="30">
        <v>50</v>
      </c>
      <c r="U510" s="172">
        <v>308.14000000000402</v>
      </c>
      <c r="V510" s="173">
        <v>7.3369999999999997</v>
      </c>
      <c r="X510" s="30">
        <v>50</v>
      </c>
      <c r="Y510" s="34">
        <v>2.8976000000000002</v>
      </c>
      <c r="Z510" s="35">
        <v>0.1217</v>
      </c>
      <c r="AA510" s="36"/>
      <c r="AB510" s="30">
        <v>50</v>
      </c>
      <c r="AC510" s="44">
        <v>345.12</v>
      </c>
      <c r="AD510" s="35">
        <v>8.2170000000000005</v>
      </c>
      <c r="AE510" s="36"/>
      <c r="AF510" s="30">
        <v>50</v>
      </c>
      <c r="AG510" s="34">
        <v>2.9441000000000002</v>
      </c>
      <c r="AH510" s="35">
        <v>0.12365</v>
      </c>
      <c r="AI510" s="35"/>
      <c r="AJ510" s="35">
        <v>0.13481000000000001</v>
      </c>
      <c r="AK510" s="998">
        <v>35</v>
      </c>
      <c r="AM510" s="30">
        <v>50</v>
      </c>
      <c r="AN510" s="34">
        <v>1.1657999999999999</v>
      </c>
      <c r="AO510" s="35">
        <v>1.3056000000000001</v>
      </c>
      <c r="BX510" s="43"/>
      <c r="BY510" s="34"/>
      <c r="BZ510" s="59"/>
      <c r="CB510" s="43"/>
      <c r="CC510" s="34"/>
      <c r="CD510" s="59"/>
      <c r="CL510" s="43"/>
      <c r="CM510" s="34"/>
      <c r="CN510" s="59"/>
      <c r="CP510" s="43"/>
      <c r="CQ510" s="34"/>
      <c r="CR510" s="59"/>
      <c r="CT510" s="43"/>
      <c r="CU510" s="34"/>
      <c r="CV510" s="59"/>
    </row>
    <row r="511" spans="4:100">
      <c r="D511" s="30">
        <v>50.1</v>
      </c>
      <c r="E511" s="31">
        <v>0.7792</v>
      </c>
      <c r="F511" s="32">
        <v>778.9</v>
      </c>
      <c r="G511" s="33"/>
      <c r="H511" s="30">
        <v>50.1</v>
      </c>
      <c r="I511" s="34">
        <v>3.7831999999999999</v>
      </c>
      <c r="J511" s="35">
        <v>0.15889</v>
      </c>
      <c r="L511" s="30">
        <v>50.1</v>
      </c>
      <c r="M511" s="172">
        <v>6.4870000000000001</v>
      </c>
      <c r="N511" s="173">
        <v>0.15415999999999999</v>
      </c>
      <c r="P511" s="30">
        <v>50.1</v>
      </c>
      <c r="Q511" s="172">
        <v>3.2435</v>
      </c>
      <c r="R511" s="173">
        <v>0.13622999999999999</v>
      </c>
      <c r="T511" s="30">
        <v>50.1</v>
      </c>
      <c r="U511" s="172">
        <v>308.31000000000398</v>
      </c>
      <c r="V511" s="173">
        <v>7.3410000000000002</v>
      </c>
      <c r="X511" s="30">
        <v>50.1</v>
      </c>
      <c r="Y511" s="34">
        <v>2.8959999999999999</v>
      </c>
      <c r="Z511" s="35">
        <v>0.12163</v>
      </c>
      <c r="AA511" s="36"/>
      <c r="AB511" s="30">
        <v>50.1</v>
      </c>
      <c r="AC511" s="44">
        <v>345.31</v>
      </c>
      <c r="AD511" s="35">
        <v>8.2219999999999995</v>
      </c>
      <c r="AE511" s="36"/>
      <c r="AF511" s="30">
        <v>50.1</v>
      </c>
      <c r="AG511" s="34">
        <v>2.9424000000000001</v>
      </c>
      <c r="AH511" s="35">
        <v>0.12358</v>
      </c>
      <c r="AI511" s="35"/>
      <c r="AJ511" s="35">
        <v>0.13489000000000001</v>
      </c>
      <c r="AK511" s="998">
        <v>34.9</v>
      </c>
      <c r="AM511" s="30">
        <v>50.1</v>
      </c>
      <c r="AN511" s="34">
        <v>1.1664000000000001</v>
      </c>
      <c r="AO511" s="35">
        <v>1.3064</v>
      </c>
      <c r="BX511" s="43"/>
      <c r="BY511" s="34"/>
      <c r="BZ511" s="59"/>
      <c r="CB511" s="43"/>
      <c r="CC511" s="34"/>
      <c r="CD511" s="59"/>
      <c r="CL511" s="43"/>
      <c r="CM511" s="34"/>
      <c r="CN511" s="59"/>
      <c r="CP511" s="43"/>
      <c r="CQ511" s="34"/>
      <c r="CR511" s="59"/>
      <c r="CT511" s="43"/>
      <c r="CU511" s="34"/>
      <c r="CV511" s="59"/>
    </row>
    <row r="512" spans="4:100">
      <c r="D512" s="30">
        <v>50.2</v>
      </c>
      <c r="E512" s="31">
        <v>0.77880000000000005</v>
      </c>
      <c r="F512" s="32">
        <v>778.4</v>
      </c>
      <c r="G512" s="33"/>
      <c r="H512" s="30">
        <v>50.2</v>
      </c>
      <c r="I512" s="34">
        <v>3.7831999999999999</v>
      </c>
      <c r="J512" s="35">
        <v>0.15889</v>
      </c>
      <c r="L512" s="30">
        <v>50.2</v>
      </c>
      <c r="M512" s="172">
        <v>6.4829999999999997</v>
      </c>
      <c r="N512" s="173">
        <v>0.15423999999999999</v>
      </c>
      <c r="P512" s="30">
        <v>50.2</v>
      </c>
      <c r="Q512" s="172">
        <v>3.2416999999999998</v>
      </c>
      <c r="R512" s="173">
        <v>0.13614999999999999</v>
      </c>
      <c r="T512" s="30">
        <v>50.2</v>
      </c>
      <c r="U512" s="172">
        <v>308.480000000004</v>
      </c>
      <c r="V512" s="173">
        <v>7.3449999999999998</v>
      </c>
      <c r="X512" s="30">
        <v>50.2</v>
      </c>
      <c r="Y512" s="34">
        <v>2.8944000000000001</v>
      </c>
      <c r="Z512" s="35">
        <v>0.12156</v>
      </c>
      <c r="AA512" s="36"/>
      <c r="AB512" s="30">
        <v>50.2</v>
      </c>
      <c r="AC512" s="44">
        <v>345.5</v>
      </c>
      <c r="AD512" s="35">
        <v>8.2260000000000009</v>
      </c>
      <c r="AE512" s="36"/>
      <c r="AF512" s="30">
        <v>50.2</v>
      </c>
      <c r="AG512" s="34">
        <v>2.9407999999999999</v>
      </c>
      <c r="AH512" s="35">
        <v>0.12350999999999999</v>
      </c>
      <c r="AI512" s="35"/>
      <c r="AJ512" s="35">
        <v>0.13497000000000001</v>
      </c>
      <c r="AK512" s="998">
        <v>34.799999999999997</v>
      </c>
      <c r="AM512" s="30">
        <v>50.2</v>
      </c>
      <c r="AN512" s="34">
        <v>1.167</v>
      </c>
      <c r="AO512" s="35">
        <v>1.3070999999999999</v>
      </c>
      <c r="BX512" s="43"/>
      <c r="BY512" s="34"/>
      <c r="BZ512" s="59"/>
      <c r="CB512" s="43"/>
      <c r="CC512" s="34"/>
      <c r="CD512" s="59"/>
      <c r="CL512" s="43"/>
      <c r="CM512" s="34"/>
      <c r="CN512" s="59"/>
      <c r="CP512" s="43"/>
      <c r="CQ512" s="34"/>
      <c r="CR512" s="59"/>
      <c r="CT512" s="43"/>
      <c r="CU512" s="34"/>
      <c r="CV512" s="59"/>
    </row>
    <row r="513" spans="4:100">
      <c r="D513" s="30">
        <v>50.3</v>
      </c>
      <c r="E513" s="31">
        <v>0.77829999999999999</v>
      </c>
      <c r="F513" s="32">
        <v>778</v>
      </c>
      <c r="G513" s="33"/>
      <c r="H513" s="30">
        <v>50.3</v>
      </c>
      <c r="I513" s="34">
        <v>3.7831999999999999</v>
      </c>
      <c r="J513" s="35">
        <v>0.15889</v>
      </c>
      <c r="L513" s="30">
        <v>50.3</v>
      </c>
      <c r="M513" s="172">
        <v>6.48</v>
      </c>
      <c r="N513" s="173">
        <v>0.15432999999999999</v>
      </c>
      <c r="P513" s="30">
        <v>50.3</v>
      </c>
      <c r="Q513" s="172">
        <v>3.2399</v>
      </c>
      <c r="R513" s="173">
        <v>0.13608000000000001</v>
      </c>
      <c r="T513" s="30">
        <v>50.3</v>
      </c>
      <c r="U513" s="172">
        <v>308.65000000000401</v>
      </c>
      <c r="V513" s="173">
        <v>7.3490000000000002</v>
      </c>
      <c r="X513" s="30">
        <v>50.3</v>
      </c>
      <c r="Y513" s="34">
        <v>2.8927999999999998</v>
      </c>
      <c r="Z513" s="35">
        <v>0.1215</v>
      </c>
      <c r="AA513" s="36"/>
      <c r="AB513" s="30">
        <v>50.3</v>
      </c>
      <c r="AC513" s="44">
        <v>345.69</v>
      </c>
      <c r="AD513" s="35">
        <v>8.2309999999999999</v>
      </c>
      <c r="AE513" s="36"/>
      <c r="AF513" s="30">
        <v>50.3</v>
      </c>
      <c r="AG513" s="34">
        <v>2.9392</v>
      </c>
      <c r="AH513" s="35">
        <v>0.12345</v>
      </c>
      <c r="AI513" s="35"/>
      <c r="AJ513" s="35">
        <v>0.13505</v>
      </c>
      <c r="AK513" s="998">
        <v>34.700000000000003</v>
      </c>
      <c r="AM513" s="30">
        <v>50.3</v>
      </c>
      <c r="AN513" s="34">
        <v>1.1677</v>
      </c>
      <c r="AO513" s="35">
        <v>1.3078000000000001</v>
      </c>
      <c r="BX513" s="43"/>
      <c r="BY513" s="34"/>
      <c r="BZ513" s="59"/>
      <c r="CB513" s="43"/>
      <c r="CC513" s="34"/>
      <c r="CD513" s="59"/>
      <c r="CL513" s="43"/>
      <c r="CM513" s="34"/>
      <c r="CN513" s="59"/>
      <c r="CP513" s="43"/>
      <c r="CQ513" s="34"/>
      <c r="CR513" s="59"/>
      <c r="CT513" s="43"/>
      <c r="CU513" s="34"/>
      <c r="CV513" s="59"/>
    </row>
    <row r="514" spans="4:100">
      <c r="D514" s="30">
        <v>50.4</v>
      </c>
      <c r="E514" s="31">
        <v>0.77790000000000004</v>
      </c>
      <c r="F514" s="32">
        <v>777.6</v>
      </c>
      <c r="G514" s="33"/>
      <c r="H514" s="30">
        <v>50.4</v>
      </c>
      <c r="I514" s="34">
        <v>3.7831999999999999</v>
      </c>
      <c r="J514" s="35">
        <v>0.15889</v>
      </c>
      <c r="L514" s="30">
        <v>50.4</v>
      </c>
      <c r="M514" s="172">
        <v>6.476</v>
      </c>
      <c r="N514" s="173">
        <v>0.15440999999999999</v>
      </c>
      <c r="P514" s="30">
        <v>50.4</v>
      </c>
      <c r="Q514" s="172">
        <v>3.2381000000000002</v>
      </c>
      <c r="R514" s="173">
        <v>0.13600000000000001</v>
      </c>
      <c r="T514" s="30">
        <v>50.4</v>
      </c>
      <c r="U514" s="172">
        <v>308.82000000000397</v>
      </c>
      <c r="V514" s="173">
        <v>7.3529999999999998</v>
      </c>
      <c r="X514" s="30">
        <v>50.4</v>
      </c>
      <c r="Y514" s="34">
        <v>2.8912</v>
      </c>
      <c r="Z514" s="35">
        <v>0.12143</v>
      </c>
      <c r="AA514" s="36"/>
      <c r="AB514" s="30">
        <v>50.4</v>
      </c>
      <c r="AC514" s="44">
        <v>345.88</v>
      </c>
      <c r="AD514" s="35">
        <v>8.2349999999999994</v>
      </c>
      <c r="AE514" s="36"/>
      <c r="AF514" s="30">
        <v>50.4</v>
      </c>
      <c r="AG514" s="34">
        <v>2.9376000000000002</v>
      </c>
      <c r="AH514" s="35">
        <v>0.12338</v>
      </c>
      <c r="AI514" s="35"/>
      <c r="AJ514" s="35">
        <v>0.13513</v>
      </c>
      <c r="AK514" s="998">
        <v>34.6</v>
      </c>
      <c r="AM514" s="30">
        <v>50.4</v>
      </c>
      <c r="AN514" s="34">
        <v>1.1682999999999999</v>
      </c>
      <c r="AO514" s="35">
        <v>1.3085</v>
      </c>
      <c r="BX514" s="43"/>
      <c r="BY514" s="34"/>
      <c r="BZ514" s="59"/>
      <c r="CB514" s="43"/>
      <c r="CC514" s="34"/>
      <c r="CD514" s="59"/>
      <c r="CL514" s="43"/>
      <c r="CM514" s="34"/>
      <c r="CN514" s="59"/>
      <c r="CP514" s="43"/>
      <c r="CQ514" s="34"/>
      <c r="CR514" s="59"/>
      <c r="CT514" s="43"/>
      <c r="CU514" s="34"/>
      <c r="CV514" s="59"/>
    </row>
    <row r="515" spans="4:100">
      <c r="D515" s="30">
        <v>50.5</v>
      </c>
      <c r="E515" s="31">
        <v>0.77749999999999997</v>
      </c>
      <c r="F515" s="32">
        <v>777.2</v>
      </c>
      <c r="G515" s="33"/>
      <c r="H515" s="30">
        <v>50.5</v>
      </c>
      <c r="I515" s="34">
        <v>3.7831000000000001</v>
      </c>
      <c r="J515" s="35">
        <v>0.15889</v>
      </c>
      <c r="L515" s="30">
        <v>50.5</v>
      </c>
      <c r="M515" s="172">
        <v>6.4729999999999999</v>
      </c>
      <c r="N515" s="173">
        <v>0.1545</v>
      </c>
      <c r="P515" s="30">
        <v>50.5</v>
      </c>
      <c r="Q515" s="172">
        <v>3.2363</v>
      </c>
      <c r="R515" s="173">
        <v>0.13593</v>
      </c>
      <c r="T515" s="30">
        <v>50.5</v>
      </c>
      <c r="U515" s="172">
        <v>308.99000000000399</v>
      </c>
      <c r="V515" s="173">
        <v>7.3570000000000002</v>
      </c>
      <c r="X515" s="30">
        <v>50.5</v>
      </c>
      <c r="Y515" s="34">
        <v>2.8896000000000002</v>
      </c>
      <c r="Z515" s="35">
        <v>0.12136</v>
      </c>
      <c r="AA515" s="36"/>
      <c r="AB515" s="30">
        <v>50.5</v>
      </c>
      <c r="AC515" s="44">
        <v>346.07</v>
      </c>
      <c r="AD515" s="35">
        <v>8.24</v>
      </c>
      <c r="AE515" s="36"/>
      <c r="AF515" s="30">
        <v>50.5</v>
      </c>
      <c r="AG515" s="34">
        <v>2.9359999999999999</v>
      </c>
      <c r="AH515" s="35">
        <v>0.12331</v>
      </c>
      <c r="AI515" s="35"/>
      <c r="AJ515" s="35">
        <v>0.13521</v>
      </c>
      <c r="AK515" s="998">
        <v>34.5</v>
      </c>
      <c r="AM515" s="30">
        <v>50.5</v>
      </c>
      <c r="AN515" s="34">
        <v>1.169</v>
      </c>
      <c r="AO515" s="35">
        <v>1.3091999999999999</v>
      </c>
      <c r="BX515" s="43"/>
      <c r="BY515" s="34"/>
      <c r="BZ515" s="59"/>
      <c r="CB515" s="43"/>
      <c r="CC515" s="34"/>
      <c r="CD515" s="59"/>
      <c r="CL515" s="43"/>
      <c r="CM515" s="34"/>
      <c r="CN515" s="59"/>
      <c r="CP515" s="43"/>
      <c r="CQ515" s="34"/>
      <c r="CR515" s="59"/>
      <c r="CT515" s="43"/>
      <c r="CU515" s="34"/>
      <c r="CV515" s="59"/>
    </row>
    <row r="516" spans="4:100">
      <c r="D516" s="30">
        <v>50.6</v>
      </c>
      <c r="E516" s="31">
        <v>0.77700000000000002</v>
      </c>
      <c r="F516" s="32">
        <v>776.7</v>
      </c>
      <c r="G516" s="33"/>
      <c r="H516" s="30">
        <v>50.6</v>
      </c>
      <c r="I516" s="34">
        <v>3.7831000000000001</v>
      </c>
      <c r="J516" s="35">
        <v>0.15889</v>
      </c>
      <c r="L516" s="30">
        <v>50.6</v>
      </c>
      <c r="M516" s="172">
        <v>6.4690000000000003</v>
      </c>
      <c r="N516" s="173">
        <v>0.15458</v>
      </c>
      <c r="P516" s="30">
        <v>50.6</v>
      </c>
      <c r="Q516" s="172">
        <v>3.2345999999999999</v>
      </c>
      <c r="R516" s="173">
        <v>0.13585</v>
      </c>
      <c r="T516" s="30">
        <v>50.6</v>
      </c>
      <c r="U516" s="172">
        <v>309.160000000004</v>
      </c>
      <c r="V516" s="173">
        <v>7.3609999999999998</v>
      </c>
      <c r="X516" s="30">
        <v>50.6</v>
      </c>
      <c r="Y516" s="34">
        <v>2.8879999999999999</v>
      </c>
      <c r="Z516" s="35">
        <v>0.12130000000000001</v>
      </c>
      <c r="AA516" s="36"/>
      <c r="AB516" s="30">
        <v>50.6</v>
      </c>
      <c r="AC516" s="44">
        <v>346.26</v>
      </c>
      <c r="AD516" s="35">
        <v>8.2439999999999998</v>
      </c>
      <c r="AE516" s="36"/>
      <c r="AF516" s="30">
        <v>50.6</v>
      </c>
      <c r="AG516" s="34">
        <v>2.9342999999999999</v>
      </c>
      <c r="AH516" s="35">
        <v>0.12324</v>
      </c>
      <c r="AI516" s="35"/>
      <c r="AJ516" s="35">
        <v>0.1353</v>
      </c>
      <c r="AK516" s="998">
        <v>34.4</v>
      </c>
      <c r="AM516" s="30">
        <v>50.6</v>
      </c>
      <c r="AN516" s="34">
        <v>1.1696</v>
      </c>
      <c r="AO516" s="35">
        <v>1.3099000000000001</v>
      </c>
      <c r="BX516" s="43"/>
      <c r="BY516" s="34"/>
      <c r="BZ516" s="59"/>
      <c r="CB516" s="43"/>
      <c r="CC516" s="34"/>
      <c r="CD516" s="59"/>
      <c r="CL516" s="43"/>
      <c r="CM516" s="34"/>
      <c r="CN516" s="59"/>
      <c r="CP516" s="43"/>
      <c r="CQ516" s="34"/>
      <c r="CR516" s="59"/>
      <c r="CT516" s="43"/>
      <c r="CU516" s="34"/>
      <c r="CV516" s="59"/>
    </row>
    <row r="517" spans="4:100">
      <c r="D517" s="30">
        <v>50.7</v>
      </c>
      <c r="E517" s="31">
        <v>0.77659999999999996</v>
      </c>
      <c r="F517" s="32">
        <v>776.3</v>
      </c>
      <c r="G517" s="33"/>
      <c r="H517" s="30">
        <v>50.7</v>
      </c>
      <c r="I517" s="34">
        <v>3.7831000000000001</v>
      </c>
      <c r="J517" s="35">
        <v>0.15889</v>
      </c>
      <c r="L517" s="30">
        <v>50.7</v>
      </c>
      <c r="M517" s="172">
        <v>6.4660000000000002</v>
      </c>
      <c r="N517" s="173">
        <v>0.15467</v>
      </c>
      <c r="P517" s="30">
        <v>50.7</v>
      </c>
      <c r="Q517" s="172">
        <v>3.2328000000000001</v>
      </c>
      <c r="R517" s="173">
        <v>0.13578000000000001</v>
      </c>
      <c r="T517" s="30">
        <v>50.7</v>
      </c>
      <c r="U517" s="172">
        <v>309.33000000000402</v>
      </c>
      <c r="V517" s="173">
        <v>7.3650000000000002</v>
      </c>
      <c r="X517" s="30">
        <v>50.7</v>
      </c>
      <c r="Y517" s="34">
        <v>2.8864000000000001</v>
      </c>
      <c r="Z517" s="35">
        <v>0.12123</v>
      </c>
      <c r="AA517" s="36"/>
      <c r="AB517" s="30">
        <v>50.7</v>
      </c>
      <c r="AC517" s="44">
        <v>346.45</v>
      </c>
      <c r="AD517" s="35">
        <v>8.2490000000000006</v>
      </c>
      <c r="AE517" s="36"/>
      <c r="AF517" s="30">
        <v>50.7</v>
      </c>
      <c r="AG517" s="34">
        <v>2.9327000000000001</v>
      </c>
      <c r="AH517" s="35">
        <v>0.12317</v>
      </c>
      <c r="AI517" s="35"/>
      <c r="AJ517" s="35">
        <v>0.13538</v>
      </c>
      <c r="AK517" s="998">
        <v>34.299999999999997</v>
      </c>
      <c r="AM517" s="30">
        <v>50.7</v>
      </c>
      <c r="AN517" s="34">
        <v>1.1701999999999999</v>
      </c>
      <c r="AO517" s="35">
        <v>1.3107</v>
      </c>
      <c r="BX517" s="43"/>
      <c r="BY517" s="34"/>
      <c r="BZ517" s="59"/>
      <c r="CB517" s="43"/>
      <c r="CC517" s="34"/>
      <c r="CD517" s="59"/>
      <c r="CL517" s="43"/>
      <c r="CM517" s="34"/>
      <c r="CN517" s="59"/>
      <c r="CP517" s="43"/>
      <c r="CQ517" s="34"/>
      <c r="CR517" s="59"/>
      <c r="CT517" s="43"/>
      <c r="CU517" s="34"/>
      <c r="CV517" s="59"/>
    </row>
    <row r="518" spans="4:100">
      <c r="D518" s="30">
        <v>50.8</v>
      </c>
      <c r="E518" s="31">
        <v>0.7762</v>
      </c>
      <c r="F518" s="32">
        <v>775.9</v>
      </c>
      <c r="G518" s="33"/>
      <c r="H518" s="30">
        <v>50.8</v>
      </c>
      <c r="I518" s="34">
        <v>3.7831000000000001</v>
      </c>
      <c r="J518" s="35">
        <v>0.15889</v>
      </c>
      <c r="L518" s="30">
        <v>50.8</v>
      </c>
      <c r="M518" s="172">
        <v>6.4619999999999997</v>
      </c>
      <c r="N518" s="173">
        <v>0.15475</v>
      </c>
      <c r="P518" s="30">
        <v>50.8</v>
      </c>
      <c r="Q518" s="172">
        <v>3.2309999999999999</v>
      </c>
      <c r="R518" s="173">
        <v>0.13569999999999999</v>
      </c>
      <c r="T518" s="30">
        <v>50.8</v>
      </c>
      <c r="U518" s="172">
        <v>309.50000000000398</v>
      </c>
      <c r="V518" s="173">
        <v>7.3689999999999998</v>
      </c>
      <c r="X518" s="30">
        <v>50.8</v>
      </c>
      <c r="Y518" s="34">
        <v>2.8847999999999998</v>
      </c>
      <c r="Z518" s="35">
        <v>0.12116</v>
      </c>
      <c r="AA518" s="36"/>
      <c r="AB518" s="30">
        <v>50.8</v>
      </c>
      <c r="AC518" s="44">
        <v>346.64</v>
      </c>
      <c r="AD518" s="35">
        <v>8.2530000000000001</v>
      </c>
      <c r="AE518" s="36"/>
      <c r="AF518" s="30">
        <v>50.8</v>
      </c>
      <c r="AG518" s="34">
        <v>2.9310999999999998</v>
      </c>
      <c r="AH518" s="35">
        <v>0.12311</v>
      </c>
      <c r="AI518" s="35"/>
      <c r="AJ518" s="35">
        <v>0.13546</v>
      </c>
      <c r="AK518" s="998">
        <v>34.200000000000003</v>
      </c>
      <c r="AM518" s="30">
        <v>50.8</v>
      </c>
      <c r="AN518" s="34">
        <v>1.1709000000000001</v>
      </c>
      <c r="AO518" s="35">
        <v>1.3113999999999999</v>
      </c>
      <c r="BX518" s="43"/>
      <c r="BY518" s="34"/>
      <c r="BZ518" s="59"/>
      <c r="CB518" s="43"/>
      <c r="CC518" s="34"/>
      <c r="CD518" s="59"/>
      <c r="CL518" s="43"/>
      <c r="CM518" s="34"/>
      <c r="CN518" s="59"/>
      <c r="CP518" s="43"/>
      <c r="CQ518" s="34"/>
      <c r="CR518" s="59"/>
      <c r="CT518" s="43"/>
      <c r="CU518" s="34"/>
      <c r="CV518" s="59"/>
    </row>
    <row r="519" spans="4:100">
      <c r="D519" s="30">
        <v>50.9</v>
      </c>
      <c r="E519" s="31">
        <v>0.77580000000000005</v>
      </c>
      <c r="F519" s="32">
        <v>775.5</v>
      </c>
      <c r="G519" s="33"/>
      <c r="H519" s="30">
        <v>50.9</v>
      </c>
      <c r="I519" s="34">
        <v>3.7831000000000001</v>
      </c>
      <c r="J519" s="35">
        <v>0.15889</v>
      </c>
      <c r="L519" s="30">
        <v>50.9</v>
      </c>
      <c r="M519" s="172">
        <v>6.4580000000000002</v>
      </c>
      <c r="N519" s="173">
        <v>0.15484000000000001</v>
      </c>
      <c r="P519" s="30">
        <v>50.9</v>
      </c>
      <c r="Q519" s="172">
        <v>3.2292000000000001</v>
      </c>
      <c r="R519" s="173">
        <v>0.13563</v>
      </c>
      <c r="T519" s="30">
        <v>50.9</v>
      </c>
      <c r="U519" s="172">
        <v>309.67000000000399</v>
      </c>
      <c r="V519" s="173">
        <v>7.3730000000000002</v>
      </c>
      <c r="X519" s="30">
        <v>50.9</v>
      </c>
      <c r="Y519" s="34">
        <v>2.8832</v>
      </c>
      <c r="Z519" s="35">
        <v>0.1211</v>
      </c>
      <c r="AA519" s="36"/>
      <c r="AB519" s="30">
        <v>50.9</v>
      </c>
      <c r="AC519" s="44">
        <v>346.83</v>
      </c>
      <c r="AD519" s="35">
        <v>8.2579999999999991</v>
      </c>
      <c r="AE519" s="36"/>
      <c r="AF519" s="30">
        <v>50.9</v>
      </c>
      <c r="AG519" s="34">
        <v>2.9295</v>
      </c>
      <c r="AH519" s="35">
        <v>0.12304</v>
      </c>
      <c r="AI519" s="35"/>
      <c r="AJ519" s="35">
        <v>0.13553999999999999</v>
      </c>
      <c r="AK519" s="998">
        <v>34.1</v>
      </c>
      <c r="AM519" s="30">
        <v>50.9</v>
      </c>
      <c r="AN519" s="34">
        <v>1.1715</v>
      </c>
      <c r="AO519" s="35">
        <v>1.3121</v>
      </c>
      <c r="BX519" s="43"/>
      <c r="BY519" s="34"/>
      <c r="BZ519" s="59"/>
      <c r="CB519" s="43"/>
      <c r="CC519" s="34"/>
      <c r="CD519" s="59"/>
      <c r="CL519" s="43"/>
      <c r="CM519" s="34"/>
      <c r="CN519" s="59"/>
      <c r="CP519" s="43"/>
      <c r="CQ519" s="34"/>
      <c r="CR519" s="59"/>
      <c r="CT519" s="43"/>
      <c r="CU519" s="34"/>
      <c r="CV519" s="59"/>
    </row>
    <row r="520" spans="4:100">
      <c r="D520" s="30">
        <v>51</v>
      </c>
      <c r="E520" s="31">
        <v>0.77529999999999999</v>
      </c>
      <c r="F520" s="32">
        <v>775.1</v>
      </c>
      <c r="G520" s="33"/>
      <c r="H520" s="30">
        <v>51</v>
      </c>
      <c r="I520" s="34">
        <v>3.7831000000000001</v>
      </c>
      <c r="J520" s="35">
        <v>0.15889</v>
      </c>
      <c r="L520" s="30">
        <v>51</v>
      </c>
      <c r="M520" s="172">
        <v>6.4550000000000001</v>
      </c>
      <c r="N520" s="173">
        <v>0.15492</v>
      </c>
      <c r="P520" s="30">
        <v>51</v>
      </c>
      <c r="Q520" s="172">
        <v>3.2275</v>
      </c>
      <c r="R520" s="173">
        <v>0.13555</v>
      </c>
      <c r="T520" s="30">
        <v>51</v>
      </c>
      <c r="U520" s="172">
        <v>309.84000000000498</v>
      </c>
      <c r="V520" s="173">
        <v>7.3769999999999998</v>
      </c>
      <c r="X520" s="30">
        <v>51</v>
      </c>
      <c r="Y520" s="34">
        <v>2.8816999999999999</v>
      </c>
      <c r="Z520" s="35">
        <v>0.12103</v>
      </c>
      <c r="AA520" s="36"/>
      <c r="AB520" s="30">
        <v>51</v>
      </c>
      <c r="AC520" s="44">
        <v>347.02</v>
      </c>
      <c r="AD520" s="35">
        <v>8.2620000000000005</v>
      </c>
      <c r="AE520" s="36"/>
      <c r="AF520" s="30">
        <v>51</v>
      </c>
      <c r="AG520" s="34">
        <v>2.9279000000000002</v>
      </c>
      <c r="AH520" s="35">
        <v>0.12297</v>
      </c>
      <c r="AI520" s="35"/>
      <c r="AJ520" s="35">
        <v>0.13561999999999999</v>
      </c>
      <c r="AK520" s="998">
        <v>34</v>
      </c>
      <c r="AM520" s="30">
        <v>51</v>
      </c>
      <c r="AN520" s="34">
        <v>1.1721999999999999</v>
      </c>
      <c r="AO520" s="35">
        <v>1.3128</v>
      </c>
      <c r="BX520" s="43"/>
      <c r="BY520" s="34"/>
      <c r="BZ520" s="59"/>
      <c r="CB520" s="43"/>
      <c r="CC520" s="34"/>
      <c r="CD520" s="59"/>
      <c r="CL520" s="43"/>
      <c r="CM520" s="34"/>
      <c r="CN520" s="59"/>
      <c r="CP520" s="43"/>
      <c r="CQ520" s="34"/>
      <c r="CR520" s="59"/>
      <c r="CT520" s="43"/>
      <c r="CU520" s="34"/>
      <c r="CV520" s="59"/>
    </row>
    <row r="521" spans="4:100">
      <c r="D521" s="30">
        <v>51.1</v>
      </c>
      <c r="E521" s="31">
        <v>0.77490000000000003</v>
      </c>
      <c r="F521" s="32">
        <v>774.6</v>
      </c>
      <c r="G521" s="33"/>
      <c r="H521" s="30">
        <v>51.1</v>
      </c>
      <c r="I521" s="34">
        <v>3.7831000000000001</v>
      </c>
      <c r="J521" s="35">
        <v>0.15889</v>
      </c>
      <c r="L521" s="30">
        <v>51.1</v>
      </c>
      <c r="M521" s="172">
        <v>6.4509999999999996</v>
      </c>
      <c r="N521" s="173">
        <v>0.15501000000000001</v>
      </c>
      <c r="P521" s="30">
        <v>51.1</v>
      </c>
      <c r="Q521" s="172">
        <v>3.2256999999999998</v>
      </c>
      <c r="R521" s="173">
        <v>0.13547999999999999</v>
      </c>
      <c r="T521" s="30">
        <v>51.1</v>
      </c>
      <c r="U521" s="172">
        <v>310.01000000000499</v>
      </c>
      <c r="V521" s="173">
        <v>7.3810000000000002</v>
      </c>
      <c r="X521" s="30">
        <v>51.1</v>
      </c>
      <c r="Y521" s="34">
        <v>2.8801000000000001</v>
      </c>
      <c r="Z521" s="35">
        <v>0.12096</v>
      </c>
      <c r="AA521" s="36"/>
      <c r="AB521" s="30">
        <v>51.1</v>
      </c>
      <c r="AC521" s="44">
        <v>347.21</v>
      </c>
      <c r="AD521" s="35">
        <v>8.2669999999999995</v>
      </c>
      <c r="AE521" s="36"/>
      <c r="AF521" s="30">
        <v>51.1</v>
      </c>
      <c r="AG521" s="34">
        <v>2.9262999999999999</v>
      </c>
      <c r="AH521" s="35">
        <v>0.1229</v>
      </c>
      <c r="AI521" s="35"/>
      <c r="AJ521" s="35">
        <v>0.13571</v>
      </c>
      <c r="AK521" s="998">
        <v>33.9</v>
      </c>
      <c r="AM521" s="30">
        <v>51.1</v>
      </c>
      <c r="AN521" s="34">
        <v>1.1728000000000001</v>
      </c>
      <c r="AO521" s="35">
        <v>1.3134999999999999</v>
      </c>
      <c r="BX521" s="43"/>
      <c r="BY521" s="34"/>
      <c r="BZ521" s="59"/>
      <c r="CB521" s="43"/>
      <c r="CC521" s="34"/>
      <c r="CD521" s="59"/>
      <c r="CL521" s="43"/>
      <c r="CM521" s="34"/>
      <c r="CN521" s="59"/>
      <c r="CP521" s="43"/>
      <c r="CQ521" s="34"/>
      <c r="CR521" s="59"/>
      <c r="CT521" s="43"/>
      <c r="CU521" s="34"/>
      <c r="CV521" s="59"/>
    </row>
    <row r="522" spans="4:100">
      <c r="D522" s="30">
        <v>51.2</v>
      </c>
      <c r="E522" s="31">
        <v>0.77449999999999997</v>
      </c>
      <c r="F522" s="32">
        <v>774.2</v>
      </c>
      <c r="G522" s="33"/>
      <c r="H522" s="30">
        <v>51.2</v>
      </c>
      <c r="I522" s="34">
        <v>3.7831000000000001</v>
      </c>
      <c r="J522" s="35">
        <v>0.15889</v>
      </c>
      <c r="L522" s="30">
        <v>51.2</v>
      </c>
      <c r="M522" s="172">
        <v>6.4480000000000004</v>
      </c>
      <c r="N522" s="173">
        <v>0.15509000000000001</v>
      </c>
      <c r="P522" s="30">
        <v>51.2</v>
      </c>
      <c r="Q522" s="172">
        <v>3.2239</v>
      </c>
      <c r="R522" s="173">
        <v>0.13539999999999999</v>
      </c>
      <c r="T522" s="30">
        <v>51.2</v>
      </c>
      <c r="U522" s="172">
        <v>310.18000000000399</v>
      </c>
      <c r="V522" s="173">
        <v>7.3849999999999998</v>
      </c>
      <c r="X522" s="30">
        <v>51.2</v>
      </c>
      <c r="Y522" s="34">
        <v>2.8784999999999998</v>
      </c>
      <c r="Z522" s="35">
        <v>0.12089999999999999</v>
      </c>
      <c r="AA522" s="36"/>
      <c r="AB522" s="30">
        <v>51.2</v>
      </c>
      <c r="AC522" s="44">
        <v>347.4</v>
      </c>
      <c r="AD522" s="35">
        <v>8.2710000000000008</v>
      </c>
      <c r="AE522" s="36"/>
      <c r="AF522" s="30">
        <v>51.2</v>
      </c>
      <c r="AG522" s="34">
        <v>2.9247000000000001</v>
      </c>
      <c r="AH522" s="35">
        <v>0.12284</v>
      </c>
      <c r="AI522" s="35"/>
      <c r="AJ522" s="35">
        <v>0.13578999999999999</v>
      </c>
      <c r="AK522" s="998">
        <v>33.799999999999997</v>
      </c>
      <c r="AM522" s="30">
        <v>51.2</v>
      </c>
      <c r="AN522" s="34">
        <v>1.1734</v>
      </c>
      <c r="AO522" s="35">
        <v>1.3142</v>
      </c>
      <c r="BX522" s="43"/>
      <c r="BY522" s="34"/>
      <c r="BZ522" s="59"/>
      <c r="CB522" s="43"/>
      <c r="CC522" s="34"/>
      <c r="CD522" s="59"/>
      <c r="CL522" s="43"/>
      <c r="CM522" s="34"/>
      <c r="CN522" s="59"/>
      <c r="CP522" s="43"/>
      <c r="CQ522" s="34"/>
      <c r="CR522" s="59"/>
      <c r="CT522" s="43"/>
      <c r="CU522" s="34"/>
      <c r="CV522" s="59"/>
    </row>
    <row r="523" spans="4:100">
      <c r="D523" s="30">
        <v>51.3</v>
      </c>
      <c r="E523" s="31">
        <v>0.77410000000000001</v>
      </c>
      <c r="F523" s="32">
        <v>773.8</v>
      </c>
      <c r="G523" s="33"/>
      <c r="H523" s="30">
        <v>51.3</v>
      </c>
      <c r="I523" s="34">
        <v>3.7831000000000001</v>
      </c>
      <c r="J523" s="35">
        <v>0.15889</v>
      </c>
      <c r="L523" s="30">
        <v>51.3</v>
      </c>
      <c r="M523" s="172">
        <v>6.444</v>
      </c>
      <c r="N523" s="173">
        <v>0.15518000000000001</v>
      </c>
      <c r="P523" s="30">
        <v>51.3</v>
      </c>
      <c r="Q523" s="172">
        <v>3.2222</v>
      </c>
      <c r="R523" s="173">
        <v>0.13533000000000001</v>
      </c>
      <c r="T523" s="30">
        <v>51.3</v>
      </c>
      <c r="U523" s="172">
        <v>310.35000000000502</v>
      </c>
      <c r="V523" s="173">
        <v>7.3889999999999896</v>
      </c>
      <c r="X523" s="30">
        <v>51.3</v>
      </c>
      <c r="Y523" s="34">
        <v>2.8769</v>
      </c>
      <c r="Z523" s="35">
        <v>0.12083000000000001</v>
      </c>
      <c r="AA523" s="36"/>
      <c r="AB523" s="30">
        <v>51.3</v>
      </c>
      <c r="AC523" s="44">
        <v>347.59</v>
      </c>
      <c r="AD523" s="35">
        <v>8.2759999999999998</v>
      </c>
      <c r="AE523" s="36"/>
      <c r="AF523" s="30">
        <v>51.3</v>
      </c>
      <c r="AG523" s="34">
        <v>2.9230999999999998</v>
      </c>
      <c r="AH523" s="35">
        <v>0.12277</v>
      </c>
      <c r="AI523" s="35"/>
      <c r="AJ523" s="35">
        <v>0.13586999999999999</v>
      </c>
      <c r="AK523" s="998">
        <v>33.700000000000003</v>
      </c>
      <c r="AM523" s="30">
        <v>51.3</v>
      </c>
      <c r="AN523" s="34">
        <v>1.1740999999999999</v>
      </c>
      <c r="AO523" s="35">
        <v>1.3149999999999999</v>
      </c>
      <c r="BX523" s="43"/>
      <c r="BY523" s="34"/>
      <c r="BZ523" s="59"/>
      <c r="CB523" s="43"/>
      <c r="CC523" s="34"/>
      <c r="CD523" s="59"/>
      <c r="CL523" s="43"/>
      <c r="CM523" s="34"/>
      <c r="CN523" s="59"/>
      <c r="CP523" s="43"/>
      <c r="CQ523" s="34"/>
      <c r="CR523" s="59"/>
      <c r="CT523" s="43"/>
      <c r="CU523" s="34"/>
      <c r="CV523" s="59"/>
    </row>
    <row r="524" spans="4:100">
      <c r="D524" s="30">
        <v>51.4</v>
      </c>
      <c r="E524" s="31">
        <v>0.77359999999999995</v>
      </c>
      <c r="F524" s="32">
        <v>773.4</v>
      </c>
      <c r="G524" s="33"/>
      <c r="H524" s="30">
        <v>51.4</v>
      </c>
      <c r="I524" s="34">
        <v>3.7831000000000001</v>
      </c>
      <c r="J524" s="35">
        <v>0.15889</v>
      </c>
      <c r="L524" s="30">
        <v>51.4</v>
      </c>
      <c r="M524" s="172">
        <v>6.4409999999999998</v>
      </c>
      <c r="N524" s="173">
        <v>0.15526000000000001</v>
      </c>
      <c r="P524" s="30">
        <v>51.4</v>
      </c>
      <c r="Q524" s="172">
        <v>3.2204000000000002</v>
      </c>
      <c r="R524" s="173">
        <v>0.13525999999999999</v>
      </c>
      <c r="T524" s="30">
        <v>51.4</v>
      </c>
      <c r="U524" s="172">
        <v>310.52000000000498</v>
      </c>
      <c r="V524" s="173">
        <v>7.39299999999999</v>
      </c>
      <c r="X524" s="30">
        <v>51.4</v>
      </c>
      <c r="Y524" s="34">
        <v>2.8754</v>
      </c>
      <c r="Z524" s="35">
        <v>0.12076000000000001</v>
      </c>
      <c r="AA524" s="36"/>
      <c r="AB524" s="30">
        <v>51.4</v>
      </c>
      <c r="AC524" s="44">
        <v>347.78</v>
      </c>
      <c r="AD524" s="35">
        <v>8.2810000000000006</v>
      </c>
      <c r="AE524" s="36"/>
      <c r="AF524" s="30">
        <v>51.4</v>
      </c>
      <c r="AG524" s="34">
        <v>2.9215</v>
      </c>
      <c r="AH524" s="35">
        <v>0.1227</v>
      </c>
      <c r="AI524" s="35"/>
      <c r="AJ524" s="35">
        <v>0.13594999999999999</v>
      </c>
      <c r="AK524" s="998">
        <v>33.6</v>
      </c>
      <c r="AM524" s="30">
        <v>51.4</v>
      </c>
      <c r="AN524" s="34">
        <v>1.1747000000000001</v>
      </c>
      <c r="AO524" s="35">
        <v>1.3157000000000001</v>
      </c>
      <c r="BX524" s="43"/>
      <c r="BY524" s="34"/>
      <c r="BZ524" s="59"/>
      <c r="CB524" s="43"/>
      <c r="CC524" s="34"/>
      <c r="CD524" s="59"/>
      <c r="CL524" s="43"/>
      <c r="CM524" s="34"/>
      <c r="CN524" s="59"/>
      <c r="CP524" s="43"/>
      <c r="CQ524" s="34"/>
      <c r="CR524" s="59"/>
      <c r="CT524" s="43"/>
      <c r="CU524" s="34"/>
      <c r="CV524" s="59"/>
    </row>
    <row r="525" spans="4:100">
      <c r="D525" s="30">
        <v>51.5</v>
      </c>
      <c r="E525" s="31">
        <v>0.7732</v>
      </c>
      <c r="F525" s="32">
        <v>772.9</v>
      </c>
      <c r="G525" s="33"/>
      <c r="H525" s="30">
        <v>51.5</v>
      </c>
      <c r="I525" s="34">
        <v>3.7829999999999999</v>
      </c>
      <c r="J525" s="35">
        <v>0.15889</v>
      </c>
      <c r="L525" s="30">
        <v>51.5</v>
      </c>
      <c r="M525" s="172">
        <v>6.4370000000000003</v>
      </c>
      <c r="N525" s="173">
        <v>0.15534999999999999</v>
      </c>
      <c r="P525" s="30">
        <v>51.5</v>
      </c>
      <c r="Q525" s="172">
        <v>3.2185999999999999</v>
      </c>
      <c r="R525" s="173">
        <v>0.13517999999999999</v>
      </c>
      <c r="T525" s="30">
        <v>51.5</v>
      </c>
      <c r="U525" s="172">
        <v>310.69000000000398</v>
      </c>
      <c r="V525" s="173">
        <v>7.3969999999999896</v>
      </c>
      <c r="X525" s="30">
        <v>51.5</v>
      </c>
      <c r="Y525" s="34">
        <v>2.8738000000000001</v>
      </c>
      <c r="Z525" s="35">
        <v>0.1207</v>
      </c>
      <c r="AA525" s="36"/>
      <c r="AB525" s="30">
        <v>51.5</v>
      </c>
      <c r="AC525" s="44">
        <v>347.97</v>
      </c>
      <c r="AD525" s="35">
        <v>8.2850000000000001</v>
      </c>
      <c r="AE525" s="36"/>
      <c r="AF525" s="30">
        <v>51.5</v>
      </c>
      <c r="AG525" s="34">
        <v>2.9199000000000002</v>
      </c>
      <c r="AH525" s="35">
        <v>0.12264</v>
      </c>
      <c r="AI525" s="35"/>
      <c r="AJ525" s="35">
        <v>0.13603999999999999</v>
      </c>
      <c r="AK525" s="998">
        <v>33.5</v>
      </c>
      <c r="AM525" s="30">
        <v>51.5</v>
      </c>
      <c r="AN525" s="34">
        <v>1.1754</v>
      </c>
      <c r="AO525" s="35">
        <v>1.3164</v>
      </c>
      <c r="BX525" s="43"/>
      <c r="BY525" s="34"/>
      <c r="BZ525" s="59"/>
      <c r="CB525" s="43"/>
      <c r="CC525" s="34"/>
      <c r="CD525" s="59"/>
      <c r="CL525" s="43"/>
      <c r="CM525" s="34"/>
      <c r="CN525" s="59"/>
      <c r="CP525" s="43"/>
      <c r="CQ525" s="34"/>
      <c r="CR525" s="59"/>
      <c r="CT525" s="43"/>
      <c r="CU525" s="34"/>
      <c r="CV525" s="59"/>
    </row>
    <row r="526" spans="4:100">
      <c r="D526" s="30">
        <v>51.6</v>
      </c>
      <c r="E526" s="31">
        <v>0.77280000000000004</v>
      </c>
      <c r="F526" s="32">
        <v>772.5</v>
      </c>
      <c r="G526" s="33"/>
      <c r="H526" s="30">
        <v>51.6</v>
      </c>
      <c r="I526" s="34">
        <v>3.7829999999999999</v>
      </c>
      <c r="J526" s="35">
        <v>0.15889</v>
      </c>
      <c r="L526" s="30">
        <v>51.6</v>
      </c>
      <c r="M526" s="172">
        <v>6.4340000000000002</v>
      </c>
      <c r="N526" s="173">
        <v>0.15543000000000001</v>
      </c>
      <c r="P526" s="30">
        <v>51.6</v>
      </c>
      <c r="Q526" s="172">
        <v>3.2168999999999999</v>
      </c>
      <c r="R526" s="173">
        <v>0.13511000000000001</v>
      </c>
      <c r="T526" s="30">
        <v>51.6</v>
      </c>
      <c r="U526" s="172">
        <v>310.86000000000502</v>
      </c>
      <c r="V526" s="173">
        <v>7.40099999999999</v>
      </c>
      <c r="X526" s="30">
        <v>51.6</v>
      </c>
      <c r="Y526" s="34">
        <v>2.8721999999999999</v>
      </c>
      <c r="Z526" s="35">
        <v>0.12063</v>
      </c>
      <c r="AA526" s="36"/>
      <c r="AB526" s="30">
        <v>51.6</v>
      </c>
      <c r="AC526" s="44">
        <v>348.16</v>
      </c>
      <c r="AD526" s="35">
        <v>8.2899999999999991</v>
      </c>
      <c r="AE526" s="36"/>
      <c r="AF526" s="30">
        <v>51.6</v>
      </c>
      <c r="AG526" s="34">
        <v>2.9182999999999999</v>
      </c>
      <c r="AH526" s="35">
        <v>0.12257</v>
      </c>
      <c r="AI526" s="35"/>
      <c r="AJ526" s="35">
        <v>0.13611999999999999</v>
      </c>
      <c r="AK526" s="998">
        <v>33.4</v>
      </c>
      <c r="AM526" s="30">
        <v>51.6</v>
      </c>
      <c r="AN526" s="34">
        <v>1.1759999999999999</v>
      </c>
      <c r="AO526" s="35">
        <v>1.3170999999999999</v>
      </c>
      <c r="BX526" s="43"/>
      <c r="BY526" s="34"/>
      <c r="BZ526" s="59"/>
      <c r="CB526" s="43"/>
      <c r="CC526" s="34"/>
      <c r="CD526" s="59"/>
      <c r="CL526" s="43"/>
      <c r="CM526" s="34"/>
      <c r="CN526" s="59"/>
      <c r="CP526" s="43"/>
      <c r="CQ526" s="34"/>
      <c r="CR526" s="59"/>
      <c r="CT526" s="43"/>
      <c r="CU526" s="34"/>
      <c r="CV526" s="59"/>
    </row>
    <row r="527" spans="4:100">
      <c r="D527" s="30">
        <v>51.7</v>
      </c>
      <c r="E527" s="31">
        <v>0.77239999999999998</v>
      </c>
      <c r="F527" s="32">
        <v>772.1</v>
      </c>
      <c r="G527" s="33"/>
      <c r="H527" s="30">
        <v>51.7</v>
      </c>
      <c r="I527" s="34">
        <v>3.7829999999999999</v>
      </c>
      <c r="J527" s="35">
        <v>0.15889</v>
      </c>
      <c r="L527" s="30">
        <v>51.7</v>
      </c>
      <c r="M527" s="172">
        <v>6.43</v>
      </c>
      <c r="N527" s="173">
        <v>0.15551999999999999</v>
      </c>
      <c r="P527" s="30">
        <v>51.7</v>
      </c>
      <c r="Q527" s="172">
        <v>3.2151000000000001</v>
      </c>
      <c r="R527" s="173">
        <v>0.13503000000000001</v>
      </c>
      <c r="T527" s="30">
        <v>51.7</v>
      </c>
      <c r="U527" s="172">
        <v>311.03000000000497</v>
      </c>
      <c r="V527" s="173">
        <v>7.4049999999999896</v>
      </c>
      <c r="X527" s="30">
        <v>51.7</v>
      </c>
      <c r="Y527" s="34">
        <v>2.8706</v>
      </c>
      <c r="Z527" s="35">
        <v>0.12057</v>
      </c>
      <c r="AA527" s="36"/>
      <c r="AB527" s="30">
        <v>51.7</v>
      </c>
      <c r="AC527" s="44">
        <v>348.35</v>
      </c>
      <c r="AD527" s="35">
        <v>8.2940000000000005</v>
      </c>
      <c r="AE527" s="36"/>
      <c r="AF527" s="30">
        <v>51.7</v>
      </c>
      <c r="AG527" s="34">
        <v>2.9167000000000001</v>
      </c>
      <c r="AH527" s="35">
        <v>0.1225</v>
      </c>
      <c r="AI527" s="35"/>
      <c r="AJ527" s="35">
        <v>0.13619999999999999</v>
      </c>
      <c r="AK527" s="998">
        <v>33.299999999999997</v>
      </c>
      <c r="AM527" s="30">
        <v>51.7</v>
      </c>
      <c r="AN527" s="34">
        <v>1.1766000000000001</v>
      </c>
      <c r="AO527" s="35">
        <v>1.3178000000000001</v>
      </c>
      <c r="BX527" s="43"/>
      <c r="BY527" s="34"/>
      <c r="BZ527" s="59"/>
      <c r="CB527" s="43"/>
      <c r="CC527" s="34"/>
      <c r="CD527" s="59"/>
      <c r="CL527" s="43"/>
      <c r="CM527" s="34"/>
      <c r="CN527" s="59"/>
      <c r="CP527" s="43"/>
      <c r="CQ527" s="34"/>
      <c r="CR527" s="59"/>
      <c r="CT527" s="43"/>
      <c r="CU527" s="34"/>
      <c r="CV527" s="59"/>
    </row>
    <row r="528" spans="4:100">
      <c r="D528" s="30">
        <v>51.8</v>
      </c>
      <c r="E528" s="31">
        <v>0.77200000000000002</v>
      </c>
      <c r="F528" s="32">
        <v>771.7</v>
      </c>
      <c r="G528" s="33"/>
      <c r="H528" s="30">
        <v>51.8</v>
      </c>
      <c r="I528" s="34">
        <v>3.7829999999999999</v>
      </c>
      <c r="J528" s="35">
        <v>0.15889</v>
      </c>
      <c r="L528" s="30">
        <v>51.8</v>
      </c>
      <c r="M528" s="172">
        <v>6.4269999999999996</v>
      </c>
      <c r="N528" s="173">
        <v>0.15559999999999999</v>
      </c>
      <c r="P528" s="30">
        <v>51.8</v>
      </c>
      <c r="Q528" s="172">
        <v>3.2134</v>
      </c>
      <c r="R528" s="173">
        <v>0.13496</v>
      </c>
      <c r="T528" s="30">
        <v>51.8</v>
      </c>
      <c r="U528" s="172">
        <v>311.20000000000499</v>
      </c>
      <c r="V528" s="173">
        <v>7.41</v>
      </c>
      <c r="X528" s="30">
        <v>51.8</v>
      </c>
      <c r="Y528" s="34">
        <v>2.8691</v>
      </c>
      <c r="Z528" s="35">
        <v>0.1205</v>
      </c>
      <c r="AA528" s="36"/>
      <c r="AB528" s="30">
        <v>51.8</v>
      </c>
      <c r="AC528" s="44">
        <v>348.55</v>
      </c>
      <c r="AD528" s="35">
        <v>8.2989999999999995</v>
      </c>
      <c r="AE528" s="36"/>
      <c r="AF528" s="30">
        <v>51.8</v>
      </c>
      <c r="AG528" s="34">
        <v>2.9150999999999998</v>
      </c>
      <c r="AH528" s="35">
        <v>0.12243</v>
      </c>
      <c r="AI528" s="35"/>
      <c r="AJ528" s="35">
        <v>0.13628000000000001</v>
      </c>
      <c r="AK528" s="998">
        <v>33.200000000000003</v>
      </c>
      <c r="AM528" s="30">
        <v>51.8</v>
      </c>
      <c r="AN528" s="34">
        <v>1.1773</v>
      </c>
      <c r="AO528" s="35">
        <v>1.3185</v>
      </c>
      <c r="BX528" s="43"/>
      <c r="BY528" s="34"/>
      <c r="BZ528" s="59"/>
      <c r="CB528" s="43"/>
      <c r="CC528" s="34"/>
      <c r="CD528" s="59"/>
      <c r="CL528" s="43"/>
      <c r="CM528" s="34"/>
      <c r="CN528" s="59"/>
      <c r="CP528" s="43"/>
      <c r="CQ528" s="34"/>
      <c r="CR528" s="59"/>
      <c r="CT528" s="43"/>
      <c r="CU528" s="34"/>
      <c r="CV528" s="59"/>
    </row>
    <row r="529" spans="4:100">
      <c r="D529" s="30">
        <v>51.9</v>
      </c>
      <c r="E529" s="31">
        <v>0.77149999999999996</v>
      </c>
      <c r="F529" s="32">
        <v>771.3</v>
      </c>
      <c r="G529" s="33"/>
      <c r="H529" s="30">
        <v>51.9</v>
      </c>
      <c r="I529" s="34">
        <v>3.7829999999999999</v>
      </c>
      <c r="J529" s="35">
        <v>0.15889</v>
      </c>
      <c r="L529" s="30">
        <v>51.9</v>
      </c>
      <c r="M529" s="172">
        <v>6.423</v>
      </c>
      <c r="N529" s="173">
        <v>0.15569</v>
      </c>
      <c r="P529" s="30">
        <v>51.9</v>
      </c>
      <c r="Q529" s="172">
        <v>3.2115999999999998</v>
      </c>
      <c r="R529" s="173">
        <v>0.13489000000000001</v>
      </c>
      <c r="T529" s="30">
        <v>51.9</v>
      </c>
      <c r="U529" s="172">
        <v>311.37000000000501</v>
      </c>
      <c r="V529" s="173">
        <v>7.4139999999999997</v>
      </c>
      <c r="X529" s="30">
        <v>51.9</v>
      </c>
      <c r="Y529" s="34">
        <v>2.8675000000000002</v>
      </c>
      <c r="Z529" s="35">
        <v>0.12044000000000001</v>
      </c>
      <c r="AA529" s="36"/>
      <c r="AB529" s="30">
        <v>51.9</v>
      </c>
      <c r="AC529" s="44">
        <v>348.74</v>
      </c>
      <c r="AD529" s="35">
        <v>8.3030000000000008</v>
      </c>
      <c r="AE529" s="36"/>
      <c r="AF529" s="30">
        <v>51.9</v>
      </c>
      <c r="AG529" s="34">
        <v>2.9135</v>
      </c>
      <c r="AH529" s="35">
        <v>0.12237000000000001</v>
      </c>
      <c r="AI529" s="35"/>
      <c r="AJ529" s="35">
        <v>0.13636999999999999</v>
      </c>
      <c r="AK529" s="998">
        <v>33.1</v>
      </c>
      <c r="AM529" s="30">
        <v>51.9</v>
      </c>
      <c r="AN529" s="34">
        <v>1.1778999999999999</v>
      </c>
      <c r="AO529" s="35">
        <v>1.3192999999999999</v>
      </c>
      <c r="BX529" s="43"/>
      <c r="BY529" s="34"/>
      <c r="BZ529" s="59"/>
      <c r="CB529" s="43"/>
      <c r="CC529" s="34"/>
      <c r="CD529" s="59"/>
      <c r="CL529" s="43"/>
      <c r="CM529" s="34"/>
      <c r="CN529" s="59"/>
      <c r="CP529" s="43"/>
      <c r="CQ529" s="34"/>
      <c r="CR529" s="59"/>
      <c r="CT529" s="43"/>
      <c r="CU529" s="34"/>
      <c r="CV529" s="59"/>
    </row>
    <row r="530" spans="4:100">
      <c r="D530" s="30">
        <v>52</v>
      </c>
      <c r="E530" s="31">
        <v>0.77110000000000001</v>
      </c>
      <c r="F530" s="32">
        <v>770.8</v>
      </c>
      <c r="G530" s="33"/>
      <c r="H530" s="30">
        <v>52</v>
      </c>
      <c r="I530" s="34">
        <v>3.7829999999999999</v>
      </c>
      <c r="J530" s="35">
        <v>0.15889</v>
      </c>
      <c r="L530" s="30">
        <v>52</v>
      </c>
      <c r="M530" s="172">
        <v>6.42</v>
      </c>
      <c r="N530" s="173">
        <v>0.15576999999999999</v>
      </c>
      <c r="P530" s="30">
        <v>52</v>
      </c>
      <c r="Q530" s="172">
        <v>3.2099000000000002</v>
      </c>
      <c r="R530" s="173">
        <v>0.13481000000000001</v>
      </c>
      <c r="T530" s="30">
        <v>52</v>
      </c>
      <c r="U530" s="172">
        <v>311.54000000000502</v>
      </c>
      <c r="V530" s="173">
        <v>7.4180000000000001</v>
      </c>
      <c r="X530" s="30">
        <v>52</v>
      </c>
      <c r="Y530" s="34">
        <v>2.8658999999999999</v>
      </c>
      <c r="Z530" s="35">
        <v>0.12037</v>
      </c>
      <c r="AA530" s="36"/>
      <c r="AB530" s="30">
        <v>52</v>
      </c>
      <c r="AC530" s="44">
        <v>348.93</v>
      </c>
      <c r="AD530" s="35">
        <v>8.3079999999999998</v>
      </c>
      <c r="AE530" s="36"/>
      <c r="AF530" s="30">
        <v>52</v>
      </c>
      <c r="AG530" s="34">
        <v>2.9119000000000002</v>
      </c>
      <c r="AH530" s="35">
        <v>0.12230000000000001</v>
      </c>
      <c r="AI530" s="35"/>
      <c r="AJ530" s="35">
        <v>0.13644999999999999</v>
      </c>
      <c r="AK530" s="998">
        <v>33</v>
      </c>
      <c r="AM530" s="30">
        <v>52</v>
      </c>
      <c r="AN530" s="34">
        <v>1.1786000000000001</v>
      </c>
      <c r="AO530" s="35">
        <v>1.32</v>
      </c>
      <c r="BX530" s="43"/>
      <c r="BY530" s="34"/>
      <c r="BZ530" s="59"/>
      <c r="CB530" s="43"/>
      <c r="CC530" s="34"/>
      <c r="CD530" s="59"/>
      <c r="CL530" s="43"/>
      <c r="CM530" s="34"/>
      <c r="CN530" s="59"/>
      <c r="CP530" s="43"/>
      <c r="CQ530" s="34"/>
      <c r="CR530" s="59"/>
      <c r="CT530" s="43"/>
      <c r="CU530" s="34"/>
      <c r="CV530" s="59"/>
    </row>
    <row r="531" spans="4:100">
      <c r="D531" s="30">
        <v>52.1</v>
      </c>
      <c r="E531" s="31">
        <v>0.77070000000000005</v>
      </c>
      <c r="F531" s="32">
        <v>770.4</v>
      </c>
      <c r="G531" s="33"/>
      <c r="H531" s="30">
        <v>52.1</v>
      </c>
      <c r="I531" s="34">
        <v>3.7829999999999999</v>
      </c>
      <c r="J531" s="35">
        <v>0.15889</v>
      </c>
      <c r="L531" s="30">
        <v>52.1</v>
      </c>
      <c r="M531" s="172">
        <v>6.4160000000000004</v>
      </c>
      <c r="N531" s="173">
        <v>0.15586</v>
      </c>
      <c r="P531" s="30">
        <v>52.1</v>
      </c>
      <c r="Q531" s="172">
        <v>3.2081</v>
      </c>
      <c r="R531" s="173">
        <v>0.13474</v>
      </c>
      <c r="T531" s="30">
        <v>52.1</v>
      </c>
      <c r="U531" s="172">
        <v>311.71000000000498</v>
      </c>
      <c r="V531" s="173">
        <v>7.4219999999999997</v>
      </c>
      <c r="X531" s="30">
        <v>52.1</v>
      </c>
      <c r="Y531" s="34">
        <v>2.8643999999999998</v>
      </c>
      <c r="Z531" s="35">
        <v>0.1203</v>
      </c>
      <c r="AA531" s="36"/>
      <c r="AB531" s="30">
        <v>52.1</v>
      </c>
      <c r="AC531" s="44">
        <v>349.12</v>
      </c>
      <c r="AD531" s="35">
        <v>8.3119999999999994</v>
      </c>
      <c r="AE531" s="36"/>
      <c r="AF531" s="30">
        <v>52.1</v>
      </c>
      <c r="AG531" s="34">
        <v>2.9102999999999999</v>
      </c>
      <c r="AH531" s="35">
        <v>0.12223000000000001</v>
      </c>
      <c r="AI531" s="35"/>
      <c r="AJ531" s="35">
        <v>0.13653000000000001</v>
      </c>
      <c r="AK531" s="998">
        <v>32.9</v>
      </c>
      <c r="AM531" s="30">
        <v>52.1</v>
      </c>
      <c r="AN531" s="34">
        <v>1.1792</v>
      </c>
      <c r="AO531" s="35">
        <v>1.3207</v>
      </c>
      <c r="BX531" s="43"/>
      <c r="BY531" s="34"/>
      <c r="BZ531" s="59"/>
      <c r="CB531" s="43"/>
      <c r="CC531" s="34"/>
      <c r="CD531" s="59"/>
      <c r="CL531" s="43"/>
      <c r="CM531" s="34"/>
      <c r="CN531" s="59"/>
      <c r="CP531" s="43"/>
      <c r="CQ531" s="34"/>
      <c r="CR531" s="59"/>
      <c r="CT531" s="43"/>
      <c r="CU531" s="34"/>
      <c r="CV531" s="59"/>
    </row>
    <row r="532" spans="4:100">
      <c r="D532" s="30">
        <v>52.2</v>
      </c>
      <c r="E532" s="31">
        <v>0.77029999999999998</v>
      </c>
      <c r="F532" s="32">
        <v>770</v>
      </c>
      <c r="G532" s="33"/>
      <c r="H532" s="30">
        <v>52.2</v>
      </c>
      <c r="I532" s="34">
        <v>3.7829999999999999</v>
      </c>
      <c r="J532" s="35">
        <v>0.15889</v>
      </c>
      <c r="L532" s="30">
        <v>52.2</v>
      </c>
      <c r="M532" s="172">
        <v>6.4130000000000003</v>
      </c>
      <c r="N532" s="173">
        <v>0.15594</v>
      </c>
      <c r="P532" s="30">
        <v>52.2</v>
      </c>
      <c r="Q532" s="172">
        <v>3.2063000000000001</v>
      </c>
      <c r="R532" s="173">
        <v>0.13467000000000001</v>
      </c>
      <c r="T532" s="30">
        <v>52.2</v>
      </c>
      <c r="U532" s="172">
        <v>311.880000000005</v>
      </c>
      <c r="V532" s="173">
        <v>7.4260000000000002</v>
      </c>
      <c r="X532" s="30">
        <v>52.2</v>
      </c>
      <c r="Y532" s="34">
        <v>2.8628</v>
      </c>
      <c r="Z532" s="35">
        <v>0.12024</v>
      </c>
      <c r="AA532" s="36"/>
      <c r="AB532" s="30">
        <v>52.2</v>
      </c>
      <c r="AC532" s="44">
        <v>349.31</v>
      </c>
      <c r="AD532" s="35">
        <v>8.3170000000000002</v>
      </c>
      <c r="AE532" s="36"/>
      <c r="AF532" s="30">
        <v>52.2</v>
      </c>
      <c r="AG532" s="34">
        <v>2.9087999999999998</v>
      </c>
      <c r="AH532" s="35">
        <v>0.12217</v>
      </c>
      <c r="AI532" s="35"/>
      <c r="AJ532" s="35">
        <v>0.13661999999999999</v>
      </c>
      <c r="AK532" s="998">
        <v>32.799999999999997</v>
      </c>
      <c r="AM532" s="30">
        <v>52.2</v>
      </c>
      <c r="AN532" s="34">
        <v>1.1798</v>
      </c>
      <c r="AO532" s="35">
        <v>1.3213999999999999</v>
      </c>
      <c r="BX532" s="43"/>
      <c r="BY532" s="34"/>
      <c r="BZ532" s="59"/>
      <c r="CB532" s="43"/>
      <c r="CC532" s="34"/>
      <c r="CD532" s="59"/>
      <c r="CL532" s="43"/>
      <c r="CM532" s="34"/>
      <c r="CN532" s="59"/>
      <c r="CP532" s="43"/>
      <c r="CQ532" s="34"/>
      <c r="CR532" s="59"/>
      <c r="CT532" s="43"/>
      <c r="CU532" s="34"/>
      <c r="CV532" s="59"/>
    </row>
    <row r="533" spans="4:100">
      <c r="D533" s="30">
        <v>52.3</v>
      </c>
      <c r="E533" s="31">
        <v>0.76990000000000003</v>
      </c>
      <c r="F533" s="32">
        <v>769.6</v>
      </c>
      <c r="G533" s="33"/>
      <c r="H533" s="30">
        <v>52.3</v>
      </c>
      <c r="I533" s="34">
        <v>3.7829999999999999</v>
      </c>
      <c r="J533" s="35">
        <v>0.15889</v>
      </c>
      <c r="L533" s="30">
        <v>52.3</v>
      </c>
      <c r="M533" s="172">
        <v>6.4089999999999998</v>
      </c>
      <c r="N533" s="173">
        <v>0.15603</v>
      </c>
      <c r="P533" s="30">
        <v>52.3</v>
      </c>
      <c r="Q533" s="172">
        <v>3.2046000000000001</v>
      </c>
      <c r="R533" s="173">
        <v>0.13458999999999999</v>
      </c>
      <c r="T533" s="30">
        <v>52.3</v>
      </c>
      <c r="U533" s="172">
        <v>312.05000000000501</v>
      </c>
      <c r="V533" s="173">
        <v>7.43</v>
      </c>
      <c r="X533" s="30">
        <v>52.3</v>
      </c>
      <c r="Y533" s="34">
        <v>2.8613</v>
      </c>
      <c r="Z533" s="35">
        <v>0.12017</v>
      </c>
      <c r="AA533" s="36"/>
      <c r="AB533" s="30">
        <v>52.3</v>
      </c>
      <c r="AC533" s="44">
        <v>349.5</v>
      </c>
      <c r="AD533" s="35">
        <v>8.3209999999999997</v>
      </c>
      <c r="AE533" s="36"/>
      <c r="AF533" s="30">
        <v>52.3</v>
      </c>
      <c r="AG533" s="34">
        <v>2.9072</v>
      </c>
      <c r="AH533" s="35">
        <v>0.1221</v>
      </c>
      <c r="AI533" s="35"/>
      <c r="AJ533" s="35">
        <v>0.13669999999999999</v>
      </c>
      <c r="AK533" s="998">
        <v>32.700000000000003</v>
      </c>
      <c r="AM533" s="30">
        <v>52.3</v>
      </c>
      <c r="AN533" s="34">
        <v>1.1805000000000001</v>
      </c>
      <c r="AO533" s="35">
        <v>1.3221000000000001</v>
      </c>
      <c r="BX533" s="43"/>
      <c r="BY533" s="34"/>
      <c r="BZ533" s="59"/>
      <c r="CB533" s="43"/>
      <c r="CC533" s="34"/>
      <c r="CD533" s="59"/>
      <c r="CL533" s="43"/>
      <c r="CM533" s="34"/>
      <c r="CN533" s="59"/>
      <c r="CP533" s="43"/>
      <c r="CQ533" s="34"/>
      <c r="CR533" s="59"/>
      <c r="CT533" s="43"/>
      <c r="CU533" s="34"/>
      <c r="CV533" s="59"/>
    </row>
    <row r="534" spans="4:100">
      <c r="D534" s="30">
        <v>52.4</v>
      </c>
      <c r="E534" s="31">
        <v>0.76939999999999997</v>
      </c>
      <c r="F534" s="32">
        <v>769.2</v>
      </c>
      <c r="G534" s="33"/>
      <c r="H534" s="30">
        <v>52.4</v>
      </c>
      <c r="I534" s="34">
        <v>3.7829999999999999</v>
      </c>
      <c r="J534" s="35">
        <v>0.15889</v>
      </c>
      <c r="L534" s="30">
        <v>52.4</v>
      </c>
      <c r="M534" s="172">
        <v>6.4059999999999997</v>
      </c>
      <c r="N534" s="173">
        <v>0.15611</v>
      </c>
      <c r="P534" s="30">
        <v>52.4</v>
      </c>
      <c r="Q534" s="172">
        <v>3.2029000000000001</v>
      </c>
      <c r="R534" s="173">
        <v>0.13452</v>
      </c>
      <c r="T534" s="30">
        <v>52.4</v>
      </c>
      <c r="U534" s="172">
        <v>312.22000000000497</v>
      </c>
      <c r="V534" s="173">
        <v>7.4340000000000002</v>
      </c>
      <c r="X534" s="30">
        <v>52.4</v>
      </c>
      <c r="Y534" s="34">
        <v>2.8597000000000001</v>
      </c>
      <c r="Z534" s="35">
        <v>0.12010999999999999</v>
      </c>
      <c r="AA534" s="36"/>
      <c r="AB534" s="30">
        <v>52.4</v>
      </c>
      <c r="AC534" s="44">
        <v>349.69</v>
      </c>
      <c r="AD534" s="35">
        <v>8.3260000000000005</v>
      </c>
      <c r="AE534" s="36"/>
      <c r="AF534" s="30">
        <v>52.4</v>
      </c>
      <c r="AG534" s="34">
        <v>2.9056000000000002</v>
      </c>
      <c r="AH534" s="35">
        <v>0.12203</v>
      </c>
      <c r="AI534" s="35"/>
      <c r="AJ534" s="35">
        <v>0.13678000000000001</v>
      </c>
      <c r="AK534" s="998">
        <v>32.6</v>
      </c>
      <c r="AM534" s="30">
        <v>52.4</v>
      </c>
      <c r="AN534" s="34">
        <v>1.1811</v>
      </c>
      <c r="AO534" s="35">
        <v>1.3229</v>
      </c>
      <c r="BX534" s="43"/>
      <c r="BY534" s="34"/>
      <c r="BZ534" s="59"/>
      <c r="CB534" s="43"/>
      <c r="CC534" s="34"/>
      <c r="CD534" s="59"/>
      <c r="CL534" s="43"/>
      <c r="CM534" s="34"/>
      <c r="CN534" s="59"/>
      <c r="CP534" s="43"/>
      <c r="CQ534" s="34"/>
      <c r="CR534" s="59"/>
      <c r="CT534" s="43"/>
      <c r="CU534" s="34"/>
      <c r="CV534" s="59"/>
    </row>
    <row r="535" spans="4:100">
      <c r="D535" s="30">
        <v>52.5</v>
      </c>
      <c r="E535" s="31">
        <v>0.76900000000000002</v>
      </c>
      <c r="F535" s="32">
        <v>768.8</v>
      </c>
      <c r="G535" s="33"/>
      <c r="H535" s="30">
        <v>52.5</v>
      </c>
      <c r="I535" s="34">
        <v>3.7829999999999999</v>
      </c>
      <c r="J535" s="35">
        <v>0.15889</v>
      </c>
      <c r="L535" s="30">
        <v>52.5</v>
      </c>
      <c r="M535" s="172">
        <v>6.4020000000000001</v>
      </c>
      <c r="N535" s="173">
        <v>0.15620000000000001</v>
      </c>
      <c r="P535" s="30">
        <v>52.5</v>
      </c>
      <c r="Q535" s="172">
        <v>3.2010999999999998</v>
      </c>
      <c r="R535" s="173">
        <v>0.13444999999999999</v>
      </c>
      <c r="T535" s="30">
        <v>52.5</v>
      </c>
      <c r="U535" s="172">
        <v>312.39000000000499</v>
      </c>
      <c r="V535" s="173">
        <v>7.4379999999999997</v>
      </c>
      <c r="X535" s="30">
        <v>52.5</v>
      </c>
      <c r="Y535" s="34">
        <v>2.8580999999999999</v>
      </c>
      <c r="Z535" s="35">
        <v>0.12003999999999999</v>
      </c>
      <c r="AA535" s="36"/>
      <c r="AB535" s="30">
        <v>52.5</v>
      </c>
      <c r="AC535" s="44">
        <v>349.88</v>
      </c>
      <c r="AD535" s="35">
        <v>8.33</v>
      </c>
      <c r="AE535" s="36"/>
      <c r="AF535" s="30">
        <v>52.5</v>
      </c>
      <c r="AG535" s="34">
        <v>2.9039999999999999</v>
      </c>
      <c r="AH535" s="35">
        <v>0.12197</v>
      </c>
      <c r="AI535" s="35"/>
      <c r="AJ535" s="35">
        <v>0.13686999999999999</v>
      </c>
      <c r="AK535" s="998">
        <v>32.5</v>
      </c>
      <c r="AM535" s="30">
        <v>52.5</v>
      </c>
      <c r="AN535" s="34">
        <v>1.1818</v>
      </c>
      <c r="AO535" s="35">
        <v>1.3236000000000001</v>
      </c>
      <c r="BX535" s="43"/>
      <c r="BY535" s="34"/>
      <c r="BZ535" s="59"/>
      <c r="CB535" s="43"/>
      <c r="CC535" s="34"/>
      <c r="CD535" s="59"/>
      <c r="CL535" s="43"/>
      <c r="CM535" s="34"/>
      <c r="CN535" s="59"/>
      <c r="CP535" s="43"/>
      <c r="CQ535" s="34"/>
      <c r="CR535" s="59"/>
      <c r="CT535" s="43"/>
      <c r="CU535" s="34"/>
      <c r="CV535" s="59"/>
    </row>
    <row r="536" spans="4:100">
      <c r="D536" s="30">
        <v>52.6</v>
      </c>
      <c r="E536" s="31">
        <v>0.76859999999999995</v>
      </c>
      <c r="F536" s="32">
        <v>768.3</v>
      </c>
      <c r="G536" s="33"/>
      <c r="H536" s="30">
        <v>52.6</v>
      </c>
      <c r="I536" s="34">
        <v>3.7829999999999999</v>
      </c>
      <c r="J536" s="35">
        <v>0.15889</v>
      </c>
      <c r="L536" s="30">
        <v>52.6</v>
      </c>
      <c r="M536" s="172">
        <v>6.399</v>
      </c>
      <c r="N536" s="173">
        <v>0.15628</v>
      </c>
      <c r="P536" s="30">
        <v>52.6</v>
      </c>
      <c r="Q536" s="172">
        <v>3.1993999999999998</v>
      </c>
      <c r="R536" s="173">
        <v>0.13436999999999999</v>
      </c>
      <c r="T536" s="30">
        <v>52.6</v>
      </c>
      <c r="U536" s="172">
        <v>312.560000000005</v>
      </c>
      <c r="V536" s="173">
        <v>7.4420000000000002</v>
      </c>
      <c r="X536" s="30">
        <v>52.6</v>
      </c>
      <c r="Y536" s="34">
        <v>2.8565999999999998</v>
      </c>
      <c r="Z536" s="35">
        <v>0.11998</v>
      </c>
      <c r="AA536" s="36"/>
      <c r="AB536" s="30">
        <v>52.6</v>
      </c>
      <c r="AC536" s="44">
        <v>350.07</v>
      </c>
      <c r="AD536" s="35">
        <v>8.3350000000000009</v>
      </c>
      <c r="AE536" s="36"/>
      <c r="AF536" s="30">
        <v>52.6</v>
      </c>
      <c r="AG536" s="34">
        <v>2.9024000000000001</v>
      </c>
      <c r="AH536" s="35">
        <v>0.12189999999999999</v>
      </c>
      <c r="AI536" s="35"/>
      <c r="AJ536" s="35">
        <v>0.13694999999999999</v>
      </c>
      <c r="AK536" s="998">
        <v>32.4</v>
      </c>
      <c r="AM536" s="30">
        <v>52.6</v>
      </c>
      <c r="AN536" s="34">
        <v>1.1823999999999999</v>
      </c>
      <c r="AO536" s="35">
        <v>1.3243</v>
      </c>
      <c r="BX536" s="43"/>
      <c r="BY536" s="34"/>
      <c r="BZ536" s="59"/>
      <c r="CB536" s="43"/>
      <c r="CC536" s="34"/>
      <c r="CD536" s="59"/>
      <c r="CL536" s="43"/>
      <c r="CM536" s="34"/>
      <c r="CN536" s="59"/>
      <c r="CP536" s="43"/>
      <c r="CQ536" s="34"/>
      <c r="CR536" s="59"/>
      <c r="CT536" s="43"/>
      <c r="CU536" s="34"/>
      <c r="CV536" s="59"/>
    </row>
    <row r="537" spans="4:100">
      <c r="D537" s="30">
        <v>52.7</v>
      </c>
      <c r="E537" s="31">
        <v>0.76819999999999999</v>
      </c>
      <c r="F537" s="32">
        <v>767.9</v>
      </c>
      <c r="G537" s="33"/>
      <c r="H537" s="30">
        <v>52.7</v>
      </c>
      <c r="I537" s="34">
        <v>3.7829999999999999</v>
      </c>
      <c r="J537" s="35">
        <v>0.15887999999999999</v>
      </c>
      <c r="L537" s="30">
        <v>52.7</v>
      </c>
      <c r="M537" s="172">
        <v>6.3949999999999996</v>
      </c>
      <c r="N537" s="173">
        <v>0.15637000000000001</v>
      </c>
      <c r="P537" s="30">
        <v>52.7</v>
      </c>
      <c r="Q537" s="172">
        <v>3.1976</v>
      </c>
      <c r="R537" s="173">
        <v>0.1343</v>
      </c>
      <c r="T537" s="30">
        <v>52.7</v>
      </c>
      <c r="U537" s="172">
        <v>312.73000000000502</v>
      </c>
      <c r="V537" s="173">
        <v>7.4459999999999997</v>
      </c>
      <c r="X537" s="30">
        <v>52.7</v>
      </c>
      <c r="Y537" s="34">
        <v>2.855</v>
      </c>
      <c r="Z537" s="35">
        <v>0.11991</v>
      </c>
      <c r="AA537" s="36"/>
      <c r="AB537" s="30">
        <v>52.7</v>
      </c>
      <c r="AC537" s="44">
        <v>350.26</v>
      </c>
      <c r="AD537" s="35">
        <v>8.34</v>
      </c>
      <c r="AE537" s="36"/>
      <c r="AF537" s="30">
        <v>52.7</v>
      </c>
      <c r="AG537" s="34">
        <v>2.9007999999999998</v>
      </c>
      <c r="AH537" s="35">
        <v>0.12184</v>
      </c>
      <c r="AI537" s="35"/>
      <c r="AJ537" s="35">
        <v>0.13703000000000001</v>
      </c>
      <c r="AK537" s="998">
        <v>32.299999999999997</v>
      </c>
      <c r="AM537" s="30">
        <v>52.7</v>
      </c>
      <c r="AN537" s="34">
        <v>1.1831</v>
      </c>
      <c r="AO537" s="35">
        <v>1.325</v>
      </c>
      <c r="BX537" s="43"/>
      <c r="BY537" s="34"/>
      <c r="BZ537" s="59"/>
      <c r="CB537" s="43"/>
      <c r="CC537" s="34"/>
      <c r="CD537" s="59"/>
      <c r="CL537" s="43"/>
      <c r="CM537" s="34"/>
      <c r="CN537" s="59"/>
      <c r="CP537" s="43"/>
      <c r="CQ537" s="34"/>
      <c r="CR537" s="59"/>
      <c r="CT537" s="43"/>
      <c r="CU537" s="34"/>
      <c r="CV537" s="59"/>
    </row>
    <row r="538" spans="4:100">
      <c r="D538" s="30">
        <v>52.8</v>
      </c>
      <c r="E538" s="31">
        <v>0.76780000000000004</v>
      </c>
      <c r="F538" s="32">
        <v>767.5</v>
      </c>
      <c r="G538" s="33"/>
      <c r="H538" s="30">
        <v>52.8</v>
      </c>
      <c r="I538" s="34">
        <v>3.7829999999999999</v>
      </c>
      <c r="J538" s="35">
        <v>0.15887999999999999</v>
      </c>
      <c r="L538" s="30">
        <v>52.8</v>
      </c>
      <c r="M538" s="172">
        <v>6.3920000000000003</v>
      </c>
      <c r="N538" s="173">
        <v>0.15645000000000001</v>
      </c>
      <c r="P538" s="30">
        <v>52.8</v>
      </c>
      <c r="Q538" s="172">
        <v>3.1959</v>
      </c>
      <c r="R538" s="173">
        <v>0.13422999999999999</v>
      </c>
      <c r="T538" s="30">
        <v>52.8</v>
      </c>
      <c r="U538" s="172">
        <v>312.90000000000498</v>
      </c>
      <c r="V538" s="173">
        <v>7.45</v>
      </c>
      <c r="X538" s="30">
        <v>52.8</v>
      </c>
      <c r="Y538" s="34">
        <v>2.8534999999999999</v>
      </c>
      <c r="Z538" s="35">
        <v>0.11985</v>
      </c>
      <c r="AA538" s="36"/>
      <c r="AB538" s="30">
        <v>52.8</v>
      </c>
      <c r="AC538" s="44">
        <v>350.45</v>
      </c>
      <c r="AD538" s="35">
        <v>8.3439999999999994</v>
      </c>
      <c r="AE538" s="36"/>
      <c r="AF538" s="30">
        <v>52.8</v>
      </c>
      <c r="AG538" s="34">
        <v>2.8993000000000002</v>
      </c>
      <c r="AH538" s="35">
        <v>0.12177</v>
      </c>
      <c r="AI538" s="35"/>
      <c r="AJ538" s="35">
        <v>0.13711999999999999</v>
      </c>
      <c r="AK538" s="998">
        <v>32.200000000000003</v>
      </c>
      <c r="AM538" s="30">
        <v>52.8</v>
      </c>
      <c r="AN538" s="34">
        <v>1.1837</v>
      </c>
      <c r="AO538" s="35">
        <v>1.3257000000000001</v>
      </c>
      <c r="BX538" s="43"/>
      <c r="BY538" s="34"/>
      <c r="BZ538" s="59"/>
      <c r="CB538" s="43"/>
      <c r="CC538" s="34"/>
      <c r="CD538" s="59"/>
      <c r="CL538" s="43"/>
      <c r="CM538" s="34"/>
      <c r="CN538" s="59"/>
      <c r="CP538" s="43"/>
      <c r="CQ538" s="34"/>
      <c r="CR538" s="59"/>
      <c r="CT538" s="43"/>
      <c r="CU538" s="34"/>
      <c r="CV538" s="59"/>
    </row>
    <row r="539" spans="4:100">
      <c r="D539" s="30">
        <v>52.9</v>
      </c>
      <c r="E539" s="31">
        <v>0.76739999999999997</v>
      </c>
      <c r="F539" s="32">
        <v>767.1</v>
      </c>
      <c r="G539" s="33"/>
      <c r="H539" s="30">
        <v>52.9</v>
      </c>
      <c r="I539" s="34">
        <v>3.7829999999999999</v>
      </c>
      <c r="J539" s="35">
        <v>0.15887999999999999</v>
      </c>
      <c r="L539" s="30">
        <v>52.9</v>
      </c>
      <c r="M539" s="172">
        <v>6.3879999999999999</v>
      </c>
      <c r="N539" s="173">
        <v>0.15654000000000001</v>
      </c>
      <c r="P539" s="30">
        <v>52.9</v>
      </c>
      <c r="Q539" s="172">
        <v>3.1941999999999999</v>
      </c>
      <c r="R539" s="173">
        <v>0.13414999999999999</v>
      </c>
      <c r="T539" s="30">
        <v>52.9</v>
      </c>
      <c r="U539" s="172">
        <v>313.070000000005</v>
      </c>
      <c r="V539" s="173">
        <v>7.4539999999999997</v>
      </c>
      <c r="X539" s="30">
        <v>52.9</v>
      </c>
      <c r="Y539" s="34">
        <v>2.8519000000000001</v>
      </c>
      <c r="Z539" s="35">
        <v>0.11978</v>
      </c>
      <c r="AA539" s="36"/>
      <c r="AB539" s="30">
        <v>52.9</v>
      </c>
      <c r="AC539" s="44">
        <v>350.64</v>
      </c>
      <c r="AD539" s="35">
        <v>8.3490000000000002</v>
      </c>
      <c r="AE539" s="36"/>
      <c r="AF539" s="30">
        <v>52.9</v>
      </c>
      <c r="AG539" s="34">
        <v>2.8976999999999999</v>
      </c>
      <c r="AH539" s="35">
        <v>0.1217</v>
      </c>
      <c r="AI539" s="35"/>
      <c r="AJ539" s="35">
        <v>0.13719999999999999</v>
      </c>
      <c r="AK539" s="998">
        <v>32.1</v>
      </c>
      <c r="AM539" s="30">
        <v>52.9</v>
      </c>
      <c r="AN539" s="34">
        <v>1.1842999999999999</v>
      </c>
      <c r="AO539" s="35">
        <v>1.3265</v>
      </c>
      <c r="BX539" s="43"/>
      <c r="BY539" s="34"/>
      <c r="BZ539" s="59"/>
      <c r="CB539" s="43"/>
      <c r="CC539" s="34"/>
      <c r="CD539" s="59"/>
      <c r="CL539" s="43"/>
      <c r="CM539" s="34"/>
      <c r="CN539" s="59"/>
      <c r="CP539" s="43"/>
      <c r="CQ539" s="34"/>
      <c r="CR539" s="59"/>
      <c r="CT539" s="43"/>
      <c r="CU539" s="34"/>
      <c r="CV539" s="59"/>
    </row>
    <row r="540" spans="4:100">
      <c r="D540" s="30">
        <v>53</v>
      </c>
      <c r="E540" s="31">
        <v>0.76690000000000003</v>
      </c>
      <c r="F540" s="32">
        <v>766.7</v>
      </c>
      <c r="G540" s="33"/>
      <c r="H540" s="30">
        <v>53</v>
      </c>
      <c r="I540" s="34">
        <v>3.7829999999999999</v>
      </c>
      <c r="J540" s="35">
        <v>0.15887999999999999</v>
      </c>
      <c r="L540" s="30">
        <v>53</v>
      </c>
      <c r="M540" s="172">
        <v>6.3849999999999998</v>
      </c>
      <c r="N540" s="173">
        <v>0.15662000000000001</v>
      </c>
      <c r="P540" s="30">
        <v>53</v>
      </c>
      <c r="Q540" s="172">
        <v>3.1924000000000001</v>
      </c>
      <c r="R540" s="173">
        <v>0.13408</v>
      </c>
      <c r="T540" s="30">
        <v>53</v>
      </c>
      <c r="U540" s="172">
        <v>313.24000000000501</v>
      </c>
      <c r="V540" s="173">
        <v>7.4580000000000002</v>
      </c>
      <c r="X540" s="30">
        <v>53</v>
      </c>
      <c r="Y540" s="34">
        <v>2.8504</v>
      </c>
      <c r="Z540" s="35">
        <v>0.11971999999999999</v>
      </c>
      <c r="AA540" s="36"/>
      <c r="AB540" s="30">
        <v>53</v>
      </c>
      <c r="AC540" s="44">
        <v>350.83</v>
      </c>
      <c r="AD540" s="35">
        <v>8.3529999999999998</v>
      </c>
      <c r="AE540" s="36"/>
      <c r="AF540" s="30">
        <v>53</v>
      </c>
      <c r="AG540" s="34">
        <v>2.8961000000000001</v>
      </c>
      <c r="AH540" s="35">
        <v>0.12164</v>
      </c>
      <c r="AI540" s="35"/>
      <c r="AJ540" s="35">
        <v>0.13728000000000001</v>
      </c>
      <c r="AK540" s="998">
        <v>32</v>
      </c>
      <c r="AM540" s="30">
        <v>53</v>
      </c>
      <c r="AN540" s="34">
        <v>1.1850000000000001</v>
      </c>
      <c r="AO540" s="35">
        <v>1.3271999999999999</v>
      </c>
      <c r="BX540" s="43"/>
      <c r="BY540" s="34"/>
      <c r="BZ540" s="59"/>
      <c r="CB540" s="43"/>
      <c r="CC540" s="34"/>
      <c r="CD540" s="59"/>
      <c r="CL540" s="43"/>
      <c r="CM540" s="34"/>
      <c r="CN540" s="59"/>
      <c r="CP540" s="43"/>
      <c r="CQ540" s="34"/>
      <c r="CR540" s="59"/>
      <c r="CT540" s="43"/>
      <c r="CU540" s="34"/>
      <c r="CV540" s="59"/>
    </row>
    <row r="541" spans="4:100">
      <c r="D541" s="30">
        <v>53.1</v>
      </c>
      <c r="E541" s="31">
        <v>0.76649999999999996</v>
      </c>
      <c r="F541" s="32">
        <v>766.3</v>
      </c>
      <c r="G541" s="33"/>
      <c r="H541" s="30">
        <v>53.1</v>
      </c>
      <c r="I541" s="34">
        <v>3.7829999999999999</v>
      </c>
      <c r="J541" s="35">
        <v>0.15887999999999999</v>
      </c>
      <c r="L541" s="30">
        <v>53.1</v>
      </c>
      <c r="M541" s="172">
        <v>6.3810000000000002</v>
      </c>
      <c r="N541" s="173">
        <v>0.15670999999999999</v>
      </c>
      <c r="P541" s="30">
        <v>53.1</v>
      </c>
      <c r="Q541" s="172">
        <v>3.1907000000000001</v>
      </c>
      <c r="R541" s="173">
        <v>0.13400999999999999</v>
      </c>
      <c r="T541" s="30">
        <v>53.1</v>
      </c>
      <c r="U541" s="172">
        <v>313.41000000000503</v>
      </c>
      <c r="V541" s="173">
        <v>7.4619999999999997</v>
      </c>
      <c r="X541" s="30">
        <v>53.1</v>
      </c>
      <c r="Y541" s="34">
        <v>2.8488000000000002</v>
      </c>
      <c r="Z541" s="35">
        <v>0.11965000000000001</v>
      </c>
      <c r="AA541" s="36"/>
      <c r="AB541" s="30">
        <v>53.1</v>
      </c>
      <c r="AC541" s="44">
        <v>351.02</v>
      </c>
      <c r="AD541" s="35">
        <v>8.3580000000000005</v>
      </c>
      <c r="AE541" s="36"/>
      <c r="AF541" s="30">
        <v>53.1</v>
      </c>
      <c r="AG541" s="34">
        <v>2.8944999999999999</v>
      </c>
      <c r="AH541" s="35">
        <v>0.12157</v>
      </c>
      <c r="AI541" s="35"/>
      <c r="AJ541" s="35">
        <v>0.13736999999999999</v>
      </c>
      <c r="AK541" s="998">
        <v>31.9</v>
      </c>
      <c r="AM541" s="30">
        <v>53.1</v>
      </c>
      <c r="AN541" s="34">
        <v>1.1856</v>
      </c>
      <c r="AO541" s="35">
        <v>1.3279000000000001</v>
      </c>
      <c r="BX541" s="43"/>
      <c r="BY541" s="34"/>
      <c r="BZ541" s="59"/>
      <c r="CB541" s="43"/>
      <c r="CC541" s="34"/>
      <c r="CD541" s="59"/>
      <c r="CL541" s="43"/>
      <c r="CM541" s="34"/>
      <c r="CN541" s="59"/>
      <c r="CP541" s="43"/>
      <c r="CQ541" s="34"/>
      <c r="CR541" s="59"/>
      <c r="CT541" s="43"/>
      <c r="CU541" s="34"/>
      <c r="CV541" s="59"/>
    </row>
    <row r="542" spans="4:100">
      <c r="D542" s="30">
        <v>53.2</v>
      </c>
      <c r="E542" s="31">
        <v>0.7661</v>
      </c>
      <c r="F542" s="32">
        <v>765.8</v>
      </c>
      <c r="G542" s="33"/>
      <c r="H542" s="30">
        <v>53.2</v>
      </c>
      <c r="I542" s="34">
        <v>3.7829999999999999</v>
      </c>
      <c r="J542" s="35">
        <v>0.15887999999999999</v>
      </c>
      <c r="L542" s="30">
        <v>53.2</v>
      </c>
      <c r="M542" s="172">
        <v>6.3780000000000001</v>
      </c>
      <c r="N542" s="173">
        <v>0.15679000000000001</v>
      </c>
      <c r="P542" s="30">
        <v>53.2</v>
      </c>
      <c r="Q542" s="172">
        <v>3.1890000000000001</v>
      </c>
      <c r="R542" s="173">
        <v>0.13394</v>
      </c>
      <c r="T542" s="30">
        <v>53.2</v>
      </c>
      <c r="U542" s="172">
        <v>313.58000000000499</v>
      </c>
      <c r="V542" s="173">
        <v>7.4660000000000002</v>
      </c>
      <c r="X542" s="30">
        <v>53.2</v>
      </c>
      <c r="Y542" s="34">
        <v>2.8473000000000002</v>
      </c>
      <c r="Z542" s="35">
        <v>0.11959</v>
      </c>
      <c r="AA542" s="36"/>
      <c r="AB542" s="30">
        <v>53.2</v>
      </c>
      <c r="AC542" s="44">
        <v>351.21</v>
      </c>
      <c r="AD542" s="35">
        <v>8.3620000000000001</v>
      </c>
      <c r="AE542" s="36"/>
      <c r="AF542" s="30">
        <v>53.2</v>
      </c>
      <c r="AG542" s="34">
        <v>2.8929999999999998</v>
      </c>
      <c r="AH542" s="35">
        <v>0.12151000000000001</v>
      </c>
      <c r="AI542" s="35"/>
      <c r="AJ542" s="35">
        <v>0.13744999999999999</v>
      </c>
      <c r="AK542" s="998">
        <v>31.8</v>
      </c>
      <c r="AM542" s="30">
        <v>53.2</v>
      </c>
      <c r="AN542" s="34">
        <v>1.1862999999999999</v>
      </c>
      <c r="AO542" s="35">
        <v>1.3286</v>
      </c>
      <c r="BX542" s="43"/>
      <c r="BY542" s="34"/>
      <c r="BZ542" s="59"/>
      <c r="CB542" s="43"/>
      <c r="CC542" s="34"/>
      <c r="CD542" s="59"/>
      <c r="CL542" s="43"/>
      <c r="CM542" s="34"/>
      <c r="CN542" s="59"/>
      <c r="CP542" s="43"/>
      <c r="CQ542" s="34"/>
      <c r="CR542" s="59"/>
      <c r="CT542" s="43"/>
      <c r="CU542" s="34"/>
      <c r="CV542" s="59"/>
    </row>
    <row r="543" spans="4:100">
      <c r="D543" s="30">
        <v>53.3</v>
      </c>
      <c r="E543" s="31">
        <v>0.76570000000000005</v>
      </c>
      <c r="F543" s="32">
        <v>765.4</v>
      </c>
      <c r="G543" s="33"/>
      <c r="H543" s="30">
        <v>53.3</v>
      </c>
      <c r="I543" s="34">
        <v>3.7829999999999999</v>
      </c>
      <c r="J543" s="35">
        <v>0.15887999999999999</v>
      </c>
      <c r="L543" s="30">
        <v>53.3</v>
      </c>
      <c r="M543" s="172">
        <v>6.3739999999999997</v>
      </c>
      <c r="N543" s="173">
        <v>0.15687999999999999</v>
      </c>
      <c r="P543" s="30">
        <v>53.3</v>
      </c>
      <c r="Q543" s="172">
        <v>3.1871999999999998</v>
      </c>
      <c r="R543" s="173">
        <v>0.13386000000000001</v>
      </c>
      <c r="T543" s="30">
        <v>53.3</v>
      </c>
      <c r="U543" s="172">
        <v>313.750000000005</v>
      </c>
      <c r="V543" s="173">
        <v>7.47</v>
      </c>
      <c r="X543" s="30">
        <v>53.3</v>
      </c>
      <c r="Y543" s="34">
        <v>2.8456999999999999</v>
      </c>
      <c r="Z543" s="35">
        <v>0.11952</v>
      </c>
      <c r="AA543" s="36"/>
      <c r="AB543" s="30">
        <v>53.3</v>
      </c>
      <c r="AC543" s="44">
        <v>351.4</v>
      </c>
      <c r="AD543" s="35">
        <v>8.3670000000000009</v>
      </c>
      <c r="AE543" s="36"/>
      <c r="AF543" s="30">
        <v>53.3</v>
      </c>
      <c r="AG543" s="34">
        <v>2.8914</v>
      </c>
      <c r="AH543" s="35">
        <v>0.12144000000000001</v>
      </c>
      <c r="AI543" s="35"/>
      <c r="AJ543" s="35">
        <v>0.13754</v>
      </c>
      <c r="AK543" s="998">
        <v>31.7</v>
      </c>
      <c r="AM543" s="30">
        <v>53.3</v>
      </c>
      <c r="AN543" s="34">
        <v>1.1869000000000001</v>
      </c>
      <c r="AO543" s="35">
        <v>1.3292999999999999</v>
      </c>
      <c r="BX543" s="43"/>
      <c r="BY543" s="34"/>
      <c r="BZ543" s="59"/>
      <c r="CB543" s="43"/>
      <c r="CC543" s="34"/>
      <c r="CD543" s="59"/>
      <c r="CL543" s="43"/>
      <c r="CM543" s="34"/>
      <c r="CN543" s="59"/>
      <c r="CP543" s="43"/>
      <c r="CQ543" s="34"/>
      <c r="CR543" s="59"/>
      <c r="CT543" s="43"/>
      <c r="CU543" s="34"/>
      <c r="CV543" s="59"/>
    </row>
    <row r="544" spans="4:100">
      <c r="D544" s="30">
        <v>53.4</v>
      </c>
      <c r="E544" s="31">
        <v>0.76529999999999998</v>
      </c>
      <c r="F544" s="32">
        <v>765</v>
      </c>
      <c r="G544" s="33"/>
      <c r="H544" s="30">
        <v>53.4</v>
      </c>
      <c r="I544" s="34">
        <v>3.7829999999999999</v>
      </c>
      <c r="J544" s="35">
        <v>0.15887999999999999</v>
      </c>
      <c r="L544" s="30">
        <v>53.4</v>
      </c>
      <c r="M544" s="172">
        <v>6.3710000000000004</v>
      </c>
      <c r="N544" s="173">
        <v>0.15695999999999999</v>
      </c>
      <c r="P544" s="30">
        <v>53.4</v>
      </c>
      <c r="Q544" s="172">
        <v>3.1855000000000002</v>
      </c>
      <c r="R544" s="173">
        <v>0.13378999999999999</v>
      </c>
      <c r="T544" s="30">
        <v>53.4</v>
      </c>
      <c r="U544" s="172">
        <v>313.92000000000502</v>
      </c>
      <c r="V544" s="173">
        <v>7.4740000000000002</v>
      </c>
      <c r="X544" s="30">
        <v>53.4</v>
      </c>
      <c r="Y544" s="34">
        <v>2.8441999999999998</v>
      </c>
      <c r="Z544" s="35">
        <v>0.11946</v>
      </c>
      <c r="AA544" s="36"/>
      <c r="AB544" s="30">
        <v>53.4</v>
      </c>
      <c r="AC544" s="44">
        <v>351.59</v>
      </c>
      <c r="AD544" s="35">
        <v>8.3710000000000004</v>
      </c>
      <c r="AE544" s="36"/>
      <c r="AF544" s="30">
        <v>53.4</v>
      </c>
      <c r="AG544" s="34">
        <v>2.8898000000000001</v>
      </c>
      <c r="AH544" s="35">
        <v>0.12137000000000001</v>
      </c>
      <c r="AI544" s="35"/>
      <c r="AJ544" s="35">
        <v>0.13761999999999999</v>
      </c>
      <c r="AK544" s="998">
        <v>31.6</v>
      </c>
      <c r="AM544" s="30">
        <v>53.4</v>
      </c>
      <c r="AN544" s="34">
        <v>1.1876</v>
      </c>
      <c r="AO544" s="35">
        <v>1.3301000000000001</v>
      </c>
      <c r="BX544" s="43"/>
      <c r="BY544" s="34"/>
      <c r="BZ544" s="59"/>
      <c r="CB544" s="43"/>
      <c r="CC544" s="34"/>
      <c r="CD544" s="59"/>
      <c r="CL544" s="43"/>
      <c r="CM544" s="34"/>
      <c r="CN544" s="59"/>
      <c r="CP544" s="43"/>
      <c r="CQ544" s="34"/>
      <c r="CR544" s="59"/>
      <c r="CT544" s="43"/>
      <c r="CU544" s="34"/>
      <c r="CV544" s="59"/>
    </row>
    <row r="545" spans="4:100">
      <c r="D545" s="30">
        <v>53.5</v>
      </c>
      <c r="E545" s="31">
        <v>0.76490000000000002</v>
      </c>
      <c r="F545" s="32">
        <v>764.6</v>
      </c>
      <c r="G545" s="33"/>
      <c r="H545" s="30">
        <v>53.5</v>
      </c>
      <c r="I545" s="34">
        <v>3.7829999999999999</v>
      </c>
      <c r="J545" s="35">
        <v>0.15887999999999999</v>
      </c>
      <c r="L545" s="30">
        <v>53.5</v>
      </c>
      <c r="M545" s="172">
        <v>6.3680000000000003</v>
      </c>
      <c r="N545" s="173">
        <v>0.15705</v>
      </c>
      <c r="P545" s="30">
        <v>53.5</v>
      </c>
      <c r="Q545" s="172">
        <v>3.1838000000000002</v>
      </c>
      <c r="R545" s="173">
        <v>0.13372000000000001</v>
      </c>
      <c r="T545" s="30">
        <v>53.5</v>
      </c>
      <c r="U545" s="172">
        <v>314.09000000000498</v>
      </c>
      <c r="V545" s="173">
        <v>7.4779999999999998</v>
      </c>
      <c r="X545" s="30">
        <v>53.5</v>
      </c>
      <c r="Y545" s="34">
        <v>2.8426999999999998</v>
      </c>
      <c r="Z545" s="35">
        <v>0.11939</v>
      </c>
      <c r="AA545" s="36"/>
      <c r="AB545" s="30">
        <v>53.5</v>
      </c>
      <c r="AC545" s="44">
        <v>351.78</v>
      </c>
      <c r="AD545" s="35">
        <v>8.3759999999999994</v>
      </c>
      <c r="AE545" s="36"/>
      <c r="AF545" s="30">
        <v>53.5</v>
      </c>
      <c r="AG545" s="34">
        <v>2.8883000000000001</v>
      </c>
      <c r="AH545" s="35">
        <v>0.12131</v>
      </c>
      <c r="AI545" s="35"/>
      <c r="AJ545" s="35">
        <v>0.13771</v>
      </c>
      <c r="AK545" s="998">
        <v>31.5</v>
      </c>
      <c r="AM545" s="30">
        <v>53.5</v>
      </c>
      <c r="AN545" s="34">
        <v>1.1881999999999999</v>
      </c>
      <c r="AO545" s="35">
        <v>1.3308</v>
      </c>
      <c r="BX545" s="43"/>
      <c r="BY545" s="34"/>
      <c r="BZ545" s="59"/>
      <c r="CB545" s="43"/>
      <c r="CC545" s="34"/>
      <c r="CD545" s="59"/>
      <c r="CL545" s="43"/>
      <c r="CM545" s="34"/>
      <c r="CN545" s="59"/>
      <c r="CP545" s="43"/>
      <c r="CQ545" s="34"/>
      <c r="CR545" s="59"/>
      <c r="CT545" s="43"/>
      <c r="CU545" s="34"/>
      <c r="CV545" s="59"/>
    </row>
    <row r="546" spans="4:100">
      <c r="D546" s="30">
        <v>53.6</v>
      </c>
      <c r="E546" s="31">
        <v>0.76449999999999996</v>
      </c>
      <c r="F546" s="32">
        <v>764.2</v>
      </c>
      <c r="G546" s="33"/>
      <c r="H546" s="30">
        <v>53.6</v>
      </c>
      <c r="I546" s="34">
        <v>3.7829999999999999</v>
      </c>
      <c r="J546" s="35">
        <v>0.15887999999999999</v>
      </c>
      <c r="L546" s="30">
        <v>53.6</v>
      </c>
      <c r="M546" s="172">
        <v>6.3639999999999999</v>
      </c>
      <c r="N546" s="173">
        <v>0.15712999999999999</v>
      </c>
      <c r="P546" s="30">
        <v>53.6</v>
      </c>
      <c r="Q546" s="172">
        <v>3.1821000000000002</v>
      </c>
      <c r="R546" s="173">
        <v>0.13364999999999999</v>
      </c>
      <c r="T546" s="30">
        <v>53.6</v>
      </c>
      <c r="U546" s="172">
        <v>314.26000000000499</v>
      </c>
      <c r="V546" s="173">
        <v>7.4819999999999904</v>
      </c>
      <c r="X546" s="30">
        <v>53.6</v>
      </c>
      <c r="Y546" s="34">
        <v>2.8411</v>
      </c>
      <c r="Z546" s="35">
        <v>0.11933000000000001</v>
      </c>
      <c r="AA546" s="36"/>
      <c r="AB546" s="30">
        <v>53.6</v>
      </c>
      <c r="AC546" s="44">
        <v>351.97</v>
      </c>
      <c r="AD546" s="35">
        <v>8.3800000000000008</v>
      </c>
      <c r="AE546" s="36"/>
      <c r="AF546" s="30">
        <v>53.6</v>
      </c>
      <c r="AG546" s="34">
        <v>2.8866999999999998</v>
      </c>
      <c r="AH546" s="35">
        <v>0.12124</v>
      </c>
      <c r="AI546" s="35"/>
      <c r="AJ546" s="35">
        <v>0.13779</v>
      </c>
      <c r="AK546" s="998">
        <v>31.4</v>
      </c>
      <c r="AM546" s="30">
        <v>53.6</v>
      </c>
      <c r="AN546" s="34">
        <v>1.1888000000000001</v>
      </c>
      <c r="AO546" s="35">
        <v>1.3314999999999999</v>
      </c>
      <c r="BX546" s="43"/>
      <c r="BY546" s="34"/>
      <c r="BZ546" s="59"/>
      <c r="CB546" s="43"/>
      <c r="CC546" s="34"/>
      <c r="CD546" s="59"/>
      <c r="CL546" s="43"/>
      <c r="CM546" s="34"/>
      <c r="CN546" s="59"/>
      <c r="CP546" s="43"/>
      <c r="CQ546" s="34"/>
      <c r="CR546" s="59"/>
      <c r="CT546" s="43"/>
      <c r="CU546" s="34"/>
      <c r="CV546" s="59"/>
    </row>
    <row r="547" spans="4:100">
      <c r="D547" s="30">
        <v>53.7</v>
      </c>
      <c r="E547" s="31">
        <v>0.76400000000000001</v>
      </c>
      <c r="F547" s="32">
        <v>763.8</v>
      </c>
      <c r="G547" s="33"/>
      <c r="H547" s="30">
        <v>53.7</v>
      </c>
      <c r="I547" s="34">
        <v>3.7829999999999999</v>
      </c>
      <c r="J547" s="35">
        <v>0.15887999999999999</v>
      </c>
      <c r="L547" s="30">
        <v>53.7</v>
      </c>
      <c r="M547" s="172">
        <v>6.3609999999999998</v>
      </c>
      <c r="N547" s="173">
        <v>0.15722</v>
      </c>
      <c r="P547" s="30">
        <v>53.7</v>
      </c>
      <c r="Q547" s="172">
        <v>3.1802999999999999</v>
      </c>
      <c r="R547" s="173">
        <v>0.13356999999999999</v>
      </c>
      <c r="T547" s="30">
        <v>53.7</v>
      </c>
      <c r="U547" s="172">
        <v>314.43000000000501</v>
      </c>
      <c r="V547" s="173">
        <v>7.48599999999999</v>
      </c>
      <c r="X547" s="30">
        <v>53.7</v>
      </c>
      <c r="Y547" s="34">
        <v>2.8395999999999999</v>
      </c>
      <c r="Z547" s="35">
        <v>0.11926</v>
      </c>
      <c r="AA547" s="36"/>
      <c r="AB547" s="30">
        <v>53.7</v>
      </c>
      <c r="AC547" s="44">
        <v>352.16</v>
      </c>
      <c r="AD547" s="35">
        <v>8.3849999999999998</v>
      </c>
      <c r="AE547" s="36"/>
      <c r="AF547" s="30">
        <v>53.7</v>
      </c>
      <c r="AG547" s="34">
        <v>2.8852000000000002</v>
      </c>
      <c r="AH547" s="35">
        <v>0.12118</v>
      </c>
      <c r="AI547" s="35"/>
      <c r="AJ547" s="35">
        <v>0.13788</v>
      </c>
      <c r="AK547" s="998">
        <v>31.3</v>
      </c>
      <c r="AM547" s="30">
        <v>53.7</v>
      </c>
      <c r="AN547" s="34">
        <v>1.1895</v>
      </c>
      <c r="AO547" s="35">
        <v>1.3322000000000001</v>
      </c>
      <c r="BX547" s="43"/>
      <c r="BY547" s="34"/>
      <c r="BZ547" s="59"/>
      <c r="CB547" s="43"/>
      <c r="CC547" s="34"/>
      <c r="CD547" s="59"/>
      <c r="CL547" s="43"/>
      <c r="CM547" s="34"/>
      <c r="CN547" s="59"/>
      <c r="CP547" s="43"/>
      <c r="CQ547" s="34"/>
      <c r="CR547" s="59"/>
      <c r="CT547" s="43"/>
      <c r="CU547" s="34"/>
      <c r="CV547" s="59"/>
    </row>
    <row r="548" spans="4:100">
      <c r="D548" s="30">
        <v>53.8</v>
      </c>
      <c r="E548" s="31">
        <v>0.76359999999999995</v>
      </c>
      <c r="F548" s="32">
        <v>763.4</v>
      </c>
      <c r="G548" s="33"/>
      <c r="H548" s="30">
        <v>53.8</v>
      </c>
      <c r="I548" s="34">
        <v>3.7829999999999999</v>
      </c>
      <c r="J548" s="35">
        <v>0.15887999999999999</v>
      </c>
      <c r="L548" s="30">
        <v>53.8</v>
      </c>
      <c r="M548" s="172">
        <v>6.3570000000000002</v>
      </c>
      <c r="N548" s="173">
        <v>0.1573</v>
      </c>
      <c r="P548" s="30">
        <v>53.8</v>
      </c>
      <c r="Q548" s="172">
        <v>3.1785999999999999</v>
      </c>
      <c r="R548" s="173">
        <v>0.13350000000000001</v>
      </c>
      <c r="T548" s="30">
        <v>53.8</v>
      </c>
      <c r="U548" s="172">
        <v>314.60000000000502</v>
      </c>
      <c r="V548" s="173">
        <v>7.4909999999999997</v>
      </c>
      <c r="X548" s="30">
        <v>53.8</v>
      </c>
      <c r="Y548" s="34">
        <v>2.8380999999999998</v>
      </c>
      <c r="Z548" s="35">
        <v>0.1192</v>
      </c>
      <c r="AA548" s="36"/>
      <c r="AB548" s="30">
        <v>53.8</v>
      </c>
      <c r="AC548" s="44">
        <v>352.35</v>
      </c>
      <c r="AD548" s="35">
        <v>8.3889999999999993</v>
      </c>
      <c r="AE548" s="36"/>
      <c r="AF548" s="30">
        <v>53.8</v>
      </c>
      <c r="AG548" s="34">
        <v>2.8835999999999999</v>
      </c>
      <c r="AH548" s="35">
        <v>0.12111</v>
      </c>
      <c r="AI548" s="35"/>
      <c r="AJ548" s="35">
        <v>0.13796</v>
      </c>
      <c r="AK548" s="998">
        <v>31.2</v>
      </c>
      <c r="AM548" s="30">
        <v>53.8</v>
      </c>
      <c r="AN548" s="34">
        <v>1.1900999999999999</v>
      </c>
      <c r="AO548" s="35">
        <v>1.3329</v>
      </c>
      <c r="BX548" s="43"/>
      <c r="BY548" s="34"/>
      <c r="BZ548" s="59"/>
      <c r="CB548" s="43"/>
      <c r="CC548" s="34"/>
      <c r="CD548" s="59"/>
      <c r="CL548" s="43"/>
      <c r="CM548" s="34"/>
      <c r="CN548" s="59"/>
      <c r="CP548" s="43"/>
      <c r="CQ548" s="34"/>
      <c r="CR548" s="59"/>
      <c r="CT548" s="43"/>
      <c r="CU548" s="34"/>
      <c r="CV548" s="59"/>
    </row>
    <row r="549" spans="4:100">
      <c r="D549" s="30">
        <v>53.9</v>
      </c>
      <c r="E549" s="31">
        <v>0.76319999999999999</v>
      </c>
      <c r="F549" s="32">
        <v>763</v>
      </c>
      <c r="G549" s="33"/>
      <c r="H549" s="30">
        <v>53.9</v>
      </c>
      <c r="I549" s="34">
        <v>3.7829999999999999</v>
      </c>
      <c r="J549" s="35">
        <v>0.15887999999999999</v>
      </c>
      <c r="L549" s="30">
        <v>53.9</v>
      </c>
      <c r="M549" s="172">
        <v>6.3540000000000001</v>
      </c>
      <c r="N549" s="173">
        <v>0.15739</v>
      </c>
      <c r="P549" s="30">
        <v>53.9</v>
      </c>
      <c r="Q549" s="172">
        <v>3.1768999999999998</v>
      </c>
      <c r="R549" s="173">
        <v>0.13342999999999999</v>
      </c>
      <c r="T549" s="30">
        <v>53.9</v>
      </c>
      <c r="U549" s="172">
        <v>314.77000000000498</v>
      </c>
      <c r="V549" s="173">
        <v>7.4950000000000001</v>
      </c>
      <c r="X549" s="30">
        <v>53.9</v>
      </c>
      <c r="Y549" s="34">
        <v>2.8365</v>
      </c>
      <c r="Z549" s="35">
        <v>0.11913</v>
      </c>
      <c r="AA549" s="36"/>
      <c r="AB549" s="30">
        <v>53.9</v>
      </c>
      <c r="AC549" s="44">
        <v>352.54</v>
      </c>
      <c r="AD549" s="35">
        <v>8.3940000000000001</v>
      </c>
      <c r="AE549" s="36"/>
      <c r="AF549" s="30">
        <v>53.9</v>
      </c>
      <c r="AG549" s="34">
        <v>2.8820000000000001</v>
      </c>
      <c r="AH549" s="35">
        <v>0.12105</v>
      </c>
      <c r="AI549" s="35"/>
      <c r="AJ549" s="35">
        <v>0.13805000000000001</v>
      </c>
      <c r="AK549" s="998">
        <v>31.1</v>
      </c>
      <c r="AM549" s="30">
        <v>53.9</v>
      </c>
      <c r="AN549" s="34">
        <v>1.1908000000000001</v>
      </c>
      <c r="AO549" s="35">
        <v>1.3337000000000001</v>
      </c>
      <c r="BX549" s="43"/>
      <c r="BY549" s="34"/>
      <c r="BZ549" s="59"/>
      <c r="CB549" s="43"/>
      <c r="CC549" s="34"/>
      <c r="CD549" s="59"/>
      <c r="CL549" s="43"/>
      <c r="CM549" s="34"/>
      <c r="CN549" s="59"/>
      <c r="CP549" s="43"/>
      <c r="CQ549" s="34"/>
      <c r="CR549" s="59"/>
      <c r="CT549" s="43"/>
      <c r="CU549" s="34"/>
      <c r="CV549" s="59"/>
    </row>
    <row r="550" spans="4:100">
      <c r="D550" s="30">
        <v>54</v>
      </c>
      <c r="E550" s="31">
        <v>0.76280000000000003</v>
      </c>
      <c r="F550" s="32">
        <v>762.5</v>
      </c>
      <c r="G550" s="33"/>
      <c r="H550" s="30">
        <v>54</v>
      </c>
      <c r="I550" s="34">
        <v>3.7829000000000002</v>
      </c>
      <c r="J550" s="35">
        <v>0.15887999999999999</v>
      </c>
      <c r="L550" s="30">
        <v>54</v>
      </c>
      <c r="M550" s="172">
        <v>6.35</v>
      </c>
      <c r="N550" s="173">
        <v>0.15747</v>
      </c>
      <c r="P550" s="30">
        <v>54</v>
      </c>
      <c r="Q550" s="172">
        <v>3.1751999999999998</v>
      </c>
      <c r="R550" s="173">
        <v>0.13336000000000001</v>
      </c>
      <c r="T550" s="30">
        <v>54</v>
      </c>
      <c r="U550" s="172">
        <v>314.940000000005</v>
      </c>
      <c r="V550" s="173">
        <v>7.4989999999999997</v>
      </c>
      <c r="X550" s="30">
        <v>54</v>
      </c>
      <c r="Y550" s="34">
        <v>2.835</v>
      </c>
      <c r="Z550" s="35">
        <v>0.11907</v>
      </c>
      <c r="AA550" s="36"/>
      <c r="AB550" s="30">
        <v>54</v>
      </c>
      <c r="AC550" s="44">
        <v>352.74</v>
      </c>
      <c r="AD550" s="35">
        <v>8.3979999999999997</v>
      </c>
      <c r="AE550" s="36"/>
      <c r="AF550" s="30">
        <v>54</v>
      </c>
      <c r="AG550" s="34">
        <v>2.8805000000000001</v>
      </c>
      <c r="AH550" s="35">
        <v>0.12098</v>
      </c>
      <c r="AI550" s="35"/>
      <c r="AJ550" s="35">
        <v>0.13813</v>
      </c>
      <c r="AK550" s="998">
        <v>31</v>
      </c>
      <c r="AM550" s="30">
        <v>54</v>
      </c>
      <c r="AN550" s="34">
        <v>1.1914</v>
      </c>
      <c r="AO550" s="35">
        <v>1.3344</v>
      </c>
      <c r="BX550" s="43"/>
      <c r="BY550" s="34"/>
      <c r="BZ550" s="59"/>
      <c r="CB550" s="43"/>
      <c r="CC550" s="34"/>
      <c r="CD550" s="59"/>
      <c r="CL550" s="43"/>
      <c r="CM550" s="34"/>
      <c r="CN550" s="59"/>
      <c r="CP550" s="43"/>
      <c r="CQ550" s="34"/>
      <c r="CR550" s="59"/>
      <c r="CT550" s="43"/>
      <c r="CU550" s="34"/>
      <c r="CV550" s="59"/>
    </row>
    <row r="551" spans="4:100">
      <c r="D551" s="30">
        <v>54.1</v>
      </c>
      <c r="E551" s="31">
        <v>0.76239999999999997</v>
      </c>
      <c r="F551" s="32">
        <v>762.1</v>
      </c>
      <c r="G551" s="33"/>
      <c r="H551" s="30">
        <v>54.1</v>
      </c>
      <c r="I551" s="34">
        <v>3.7829000000000002</v>
      </c>
      <c r="J551" s="35">
        <v>0.15887999999999999</v>
      </c>
      <c r="L551" s="30">
        <v>54.1</v>
      </c>
      <c r="M551" s="172">
        <v>6.3470000000000004</v>
      </c>
      <c r="N551" s="173">
        <v>0.15756000000000001</v>
      </c>
      <c r="P551" s="30">
        <v>54.1</v>
      </c>
      <c r="Q551" s="172">
        <v>3.1735000000000002</v>
      </c>
      <c r="R551" s="173">
        <v>0.13328999999999999</v>
      </c>
      <c r="T551" s="30">
        <v>54.1</v>
      </c>
      <c r="U551" s="172">
        <v>315.11000000000502</v>
      </c>
      <c r="V551" s="173">
        <v>7.5030000000000001</v>
      </c>
      <c r="X551" s="30">
        <v>54.1</v>
      </c>
      <c r="Y551" s="34">
        <v>2.8334999999999999</v>
      </c>
      <c r="Z551" s="35">
        <v>0.11901</v>
      </c>
      <c r="AA551" s="36"/>
      <c r="AB551" s="30">
        <v>54.1</v>
      </c>
      <c r="AC551" s="44">
        <v>352.93</v>
      </c>
      <c r="AD551" s="35">
        <v>8.4030000000000005</v>
      </c>
      <c r="AE551" s="36"/>
      <c r="AF551" s="30">
        <v>54.1</v>
      </c>
      <c r="AG551" s="34">
        <v>2.8788999999999998</v>
      </c>
      <c r="AH551" s="35">
        <v>0.12091</v>
      </c>
      <c r="AI551" s="35"/>
      <c r="AJ551" s="35">
        <v>0.13822000000000001</v>
      </c>
      <c r="AK551" s="998">
        <v>30.9</v>
      </c>
      <c r="AM551" s="30">
        <v>54.1</v>
      </c>
      <c r="AN551" s="34">
        <v>1.1920999999999999</v>
      </c>
      <c r="AO551" s="35">
        <v>1.3351</v>
      </c>
      <c r="BX551" s="43"/>
      <c r="BY551" s="34"/>
      <c r="BZ551" s="59"/>
      <c r="CB551" s="43"/>
      <c r="CC551" s="34"/>
      <c r="CD551" s="59"/>
      <c r="CL551" s="43"/>
      <c r="CM551" s="34"/>
      <c r="CN551" s="59"/>
      <c r="CP551" s="43"/>
      <c r="CQ551" s="34"/>
      <c r="CR551" s="59"/>
      <c r="CT551" s="43"/>
      <c r="CU551" s="34"/>
      <c r="CV551" s="59"/>
    </row>
    <row r="552" spans="4:100">
      <c r="D552" s="30">
        <v>54.2</v>
      </c>
      <c r="E552" s="31">
        <v>0.76200000000000001</v>
      </c>
      <c r="F552" s="32">
        <v>761.7</v>
      </c>
      <c r="G552" s="33"/>
      <c r="H552" s="30">
        <v>54.2</v>
      </c>
      <c r="I552" s="34">
        <v>3.7829000000000002</v>
      </c>
      <c r="J552" s="35">
        <v>0.15887999999999999</v>
      </c>
      <c r="L552" s="30">
        <v>54.2</v>
      </c>
      <c r="M552" s="172">
        <v>6.3440000000000003</v>
      </c>
      <c r="N552" s="173">
        <v>0.15764</v>
      </c>
      <c r="P552" s="30">
        <v>54.2</v>
      </c>
      <c r="Q552" s="172">
        <v>3.1718000000000002</v>
      </c>
      <c r="R552" s="173">
        <v>0.13321</v>
      </c>
      <c r="T552" s="30">
        <v>54.2</v>
      </c>
      <c r="U552" s="172">
        <v>315.28000000000497</v>
      </c>
      <c r="V552" s="173">
        <v>7.5069999999999997</v>
      </c>
      <c r="X552" s="30">
        <v>54.2</v>
      </c>
      <c r="Y552" s="34">
        <v>2.8319000000000001</v>
      </c>
      <c r="Z552" s="35">
        <v>0.11894</v>
      </c>
      <c r="AA552" s="36"/>
      <c r="AB552" s="30">
        <v>54.2</v>
      </c>
      <c r="AC552" s="44">
        <v>353.12</v>
      </c>
      <c r="AD552" s="35">
        <v>8.4079999999999995</v>
      </c>
      <c r="AE552" s="36"/>
      <c r="AF552" s="30">
        <v>54.2</v>
      </c>
      <c r="AG552" s="34">
        <v>2.8774000000000002</v>
      </c>
      <c r="AH552" s="35">
        <v>0.12085</v>
      </c>
      <c r="AI552" s="35"/>
      <c r="AJ552" s="35">
        <v>0.13830000000000001</v>
      </c>
      <c r="AK552" s="998">
        <v>30.8</v>
      </c>
      <c r="AM552" s="30">
        <v>54.2</v>
      </c>
      <c r="AN552" s="34">
        <v>1.1927000000000001</v>
      </c>
      <c r="AO552" s="35">
        <v>1.3358000000000001</v>
      </c>
      <c r="BX552" s="43"/>
      <c r="BY552" s="34"/>
      <c r="BZ552" s="59"/>
      <c r="CB552" s="43"/>
      <c r="CC552" s="34"/>
      <c r="CD552" s="59"/>
      <c r="CL552" s="43"/>
      <c r="CM552" s="34"/>
      <c r="CN552" s="59"/>
      <c r="CP552" s="43"/>
      <c r="CQ552" s="34"/>
      <c r="CR552" s="59"/>
      <c r="CT552" s="43"/>
      <c r="CU552" s="34"/>
      <c r="CV552" s="59"/>
    </row>
    <row r="553" spans="4:100">
      <c r="D553" s="30">
        <v>54.3</v>
      </c>
      <c r="E553" s="31">
        <v>0.76160000000000005</v>
      </c>
      <c r="F553" s="32">
        <v>761.3</v>
      </c>
      <c r="G553" s="33"/>
      <c r="H553" s="30">
        <v>54.3</v>
      </c>
      <c r="I553" s="34">
        <v>3.7829000000000002</v>
      </c>
      <c r="J553" s="35">
        <v>0.15887999999999999</v>
      </c>
      <c r="L553" s="30">
        <v>54.3</v>
      </c>
      <c r="M553" s="172">
        <v>6.34</v>
      </c>
      <c r="N553" s="173">
        <v>0.15773000000000001</v>
      </c>
      <c r="P553" s="30">
        <v>54.3</v>
      </c>
      <c r="Q553" s="172">
        <v>3.1701000000000001</v>
      </c>
      <c r="R553" s="173">
        <v>0.13314000000000001</v>
      </c>
      <c r="T553" s="30">
        <v>54.3</v>
      </c>
      <c r="U553" s="172">
        <v>315.45000000000499</v>
      </c>
      <c r="V553" s="173">
        <v>7.5110000000000001</v>
      </c>
      <c r="X553" s="30">
        <v>54.3</v>
      </c>
      <c r="Y553" s="34">
        <v>2.8304</v>
      </c>
      <c r="Z553" s="35">
        <v>0.11888</v>
      </c>
      <c r="AA553" s="36"/>
      <c r="AB553" s="30">
        <v>54.3</v>
      </c>
      <c r="AC553" s="44">
        <v>353.31</v>
      </c>
      <c r="AD553" s="35">
        <v>8.4120000000000008</v>
      </c>
      <c r="AE553" s="36"/>
      <c r="AF553" s="30">
        <v>54.3</v>
      </c>
      <c r="AG553" s="34">
        <v>2.8757999999999999</v>
      </c>
      <c r="AH553" s="35">
        <v>0.12078</v>
      </c>
      <c r="AI553" s="35"/>
      <c r="AJ553" s="35">
        <v>0.13839000000000001</v>
      </c>
      <c r="AK553" s="998">
        <v>30.7</v>
      </c>
      <c r="AM553" s="30">
        <v>54.3</v>
      </c>
      <c r="AN553" s="34">
        <v>1.1933</v>
      </c>
      <c r="AO553" s="35">
        <v>1.3365</v>
      </c>
      <c r="BX553" s="43"/>
      <c r="BY553" s="34"/>
      <c r="BZ553" s="59"/>
      <c r="CB553" s="43"/>
      <c r="CC553" s="34"/>
      <c r="CD553" s="59"/>
      <c r="CL553" s="43"/>
      <c r="CM553" s="34"/>
      <c r="CN553" s="59"/>
      <c r="CP553" s="43"/>
      <c r="CQ553" s="34"/>
      <c r="CR553" s="59"/>
      <c r="CT553" s="43"/>
      <c r="CU553" s="34"/>
      <c r="CV553" s="59"/>
    </row>
    <row r="554" spans="4:100">
      <c r="D554" s="30">
        <v>54.4</v>
      </c>
      <c r="E554" s="31">
        <v>0.76119999999999999</v>
      </c>
      <c r="F554" s="32">
        <v>760.9</v>
      </c>
      <c r="G554" s="33"/>
      <c r="H554" s="30">
        <v>54.4</v>
      </c>
      <c r="I554" s="34">
        <v>3.7829000000000002</v>
      </c>
      <c r="J554" s="35">
        <v>0.15887999999999999</v>
      </c>
      <c r="L554" s="30">
        <v>54.4</v>
      </c>
      <c r="M554" s="172">
        <v>6.3369999999999997</v>
      </c>
      <c r="N554" s="173">
        <v>0.15781000000000001</v>
      </c>
      <c r="P554" s="30">
        <v>54.4</v>
      </c>
      <c r="Q554" s="172">
        <v>3.1682999999999999</v>
      </c>
      <c r="R554" s="173">
        <v>0.13306999999999999</v>
      </c>
      <c r="T554" s="30">
        <v>54.4</v>
      </c>
      <c r="U554" s="172">
        <v>315.62000000000501</v>
      </c>
      <c r="V554" s="173">
        <v>7.5149999999999997</v>
      </c>
      <c r="X554" s="30">
        <v>54.4</v>
      </c>
      <c r="Y554" s="34">
        <v>2.8289</v>
      </c>
      <c r="Z554" s="35">
        <v>0.11881</v>
      </c>
      <c r="AA554" s="36"/>
      <c r="AB554" s="30">
        <v>54.4</v>
      </c>
      <c r="AC554" s="44">
        <v>353.5</v>
      </c>
      <c r="AD554" s="35">
        <v>8.4169999999999998</v>
      </c>
      <c r="AE554" s="36"/>
      <c r="AF554" s="30">
        <v>54.4</v>
      </c>
      <c r="AG554" s="34">
        <v>2.8742999999999999</v>
      </c>
      <c r="AH554" s="35">
        <v>0.12071999999999999</v>
      </c>
      <c r="AI554" s="35"/>
      <c r="AJ554" s="35">
        <v>0.13847000000000001</v>
      </c>
      <c r="AK554" s="998">
        <v>30.6</v>
      </c>
      <c r="AM554" s="30">
        <v>54.4</v>
      </c>
      <c r="AN554" s="34">
        <v>1.194</v>
      </c>
      <c r="AO554" s="35">
        <v>1.3372999999999999</v>
      </c>
      <c r="BX554" s="43"/>
      <c r="BY554" s="34"/>
      <c r="BZ554" s="59"/>
      <c r="CB554" s="43"/>
      <c r="CC554" s="34"/>
      <c r="CD554" s="59"/>
      <c r="CL554" s="43"/>
      <c r="CM554" s="34"/>
      <c r="CN554" s="59"/>
      <c r="CP554" s="43"/>
      <c r="CQ554" s="34"/>
      <c r="CR554" s="59"/>
      <c r="CT554" s="43"/>
      <c r="CU554" s="34"/>
      <c r="CV554" s="59"/>
    </row>
    <row r="555" spans="4:100">
      <c r="D555" s="30">
        <v>54.5</v>
      </c>
      <c r="E555" s="31">
        <v>0.76080000000000003</v>
      </c>
      <c r="F555" s="32">
        <v>760.5</v>
      </c>
      <c r="G555" s="33"/>
      <c r="H555" s="30">
        <v>54.5</v>
      </c>
      <c r="I555" s="34">
        <v>3.7829000000000002</v>
      </c>
      <c r="J555" s="35">
        <v>0.15887999999999999</v>
      </c>
      <c r="L555" s="30">
        <v>54.5</v>
      </c>
      <c r="M555" s="172">
        <v>6.3330000000000002</v>
      </c>
      <c r="N555" s="173">
        <v>0.15790000000000001</v>
      </c>
      <c r="P555" s="30">
        <v>54.5</v>
      </c>
      <c r="Q555" s="172">
        <v>3.1665999999999999</v>
      </c>
      <c r="R555" s="173">
        <v>0.13300000000000001</v>
      </c>
      <c r="T555" s="30">
        <v>54.5</v>
      </c>
      <c r="U555" s="172">
        <v>315.79000000000502</v>
      </c>
      <c r="V555" s="173">
        <v>7.5190000000000001</v>
      </c>
      <c r="X555" s="30">
        <v>54.5</v>
      </c>
      <c r="Y555" s="34">
        <v>2.8273999999999999</v>
      </c>
      <c r="Z555" s="35">
        <v>0.11874999999999999</v>
      </c>
      <c r="AA555" s="36"/>
      <c r="AB555" s="30">
        <v>54.5</v>
      </c>
      <c r="AC555" s="44">
        <v>353.69</v>
      </c>
      <c r="AD555" s="35">
        <v>8.4209999999999994</v>
      </c>
      <c r="AE555" s="36"/>
      <c r="AF555" s="30">
        <v>54.5</v>
      </c>
      <c r="AG555" s="34">
        <v>2.8727</v>
      </c>
      <c r="AH555" s="35">
        <v>0.12064999999999999</v>
      </c>
      <c r="AI555" s="35"/>
      <c r="AJ555" s="35">
        <v>0.13855999999999999</v>
      </c>
      <c r="AK555" s="998">
        <v>30.5</v>
      </c>
      <c r="AM555" s="30">
        <v>54.5</v>
      </c>
      <c r="AN555" s="34">
        <v>1.1946000000000001</v>
      </c>
      <c r="AO555" s="35">
        <v>1.3380000000000001</v>
      </c>
      <c r="BX555" s="43"/>
      <c r="BY555" s="34"/>
      <c r="BZ555" s="59"/>
      <c r="CB555" s="43"/>
      <c r="CC555" s="34"/>
      <c r="CD555" s="59"/>
      <c r="CL555" s="43"/>
      <c r="CM555" s="34"/>
      <c r="CN555" s="59"/>
      <c r="CP555" s="43"/>
      <c r="CQ555" s="34"/>
      <c r="CR555" s="59"/>
      <c r="CT555" s="43"/>
      <c r="CU555" s="34"/>
      <c r="CV555" s="59"/>
    </row>
    <row r="556" spans="4:100">
      <c r="D556" s="30">
        <v>54.6</v>
      </c>
      <c r="E556" s="31">
        <v>0.76029999999999998</v>
      </c>
      <c r="F556" s="32">
        <v>760.1</v>
      </c>
      <c r="G556" s="33"/>
      <c r="H556" s="30">
        <v>54.6</v>
      </c>
      <c r="I556" s="34">
        <v>3.7829000000000002</v>
      </c>
      <c r="J556" s="35">
        <v>0.15887999999999999</v>
      </c>
      <c r="L556" s="30">
        <v>54.6</v>
      </c>
      <c r="M556" s="172">
        <v>6.33</v>
      </c>
      <c r="N556" s="173">
        <v>0.15798000000000001</v>
      </c>
      <c r="P556" s="30">
        <v>54.6</v>
      </c>
      <c r="Q556" s="172">
        <v>3.1648999999999998</v>
      </c>
      <c r="R556" s="173">
        <v>0.13292999999999999</v>
      </c>
      <c r="T556" s="30">
        <v>54.6</v>
      </c>
      <c r="U556" s="172">
        <v>315.96000000000498</v>
      </c>
      <c r="V556" s="173">
        <v>7.5229999999999997</v>
      </c>
      <c r="X556" s="30">
        <v>54.6</v>
      </c>
      <c r="Y556" s="34">
        <v>2.8258000000000001</v>
      </c>
      <c r="Z556" s="35">
        <v>0.11869</v>
      </c>
      <c r="AA556" s="36"/>
      <c r="AB556" s="30">
        <v>54.6</v>
      </c>
      <c r="AC556" s="44">
        <v>353.88</v>
      </c>
      <c r="AD556" s="35">
        <v>8.4260000000000002</v>
      </c>
      <c r="AE556" s="36"/>
      <c r="AF556" s="30">
        <v>54.6</v>
      </c>
      <c r="AG556" s="34">
        <v>2.8712</v>
      </c>
      <c r="AH556" s="35">
        <v>0.12059</v>
      </c>
      <c r="AI556" s="35"/>
      <c r="AJ556" s="35">
        <v>0.13864000000000001</v>
      </c>
      <c r="AK556" s="998">
        <v>30.4</v>
      </c>
      <c r="AM556" s="30">
        <v>54.6</v>
      </c>
      <c r="AN556" s="34">
        <v>1.1953</v>
      </c>
      <c r="AO556" s="35">
        <v>1.3387</v>
      </c>
      <c r="BX556" s="43"/>
      <c r="BY556" s="34"/>
      <c r="BZ556" s="59"/>
      <c r="CB556" s="43"/>
      <c r="CC556" s="34"/>
      <c r="CD556" s="59"/>
      <c r="CL556" s="43"/>
      <c r="CM556" s="34"/>
      <c r="CN556" s="59"/>
      <c r="CP556" s="43"/>
      <c r="CQ556" s="34"/>
      <c r="CR556" s="59"/>
      <c r="CT556" s="43"/>
      <c r="CU556" s="34"/>
      <c r="CV556" s="59"/>
    </row>
    <row r="557" spans="4:100">
      <c r="D557" s="30">
        <v>54.7</v>
      </c>
      <c r="E557" s="31">
        <v>0.75990000000000002</v>
      </c>
      <c r="F557" s="32">
        <v>759.7</v>
      </c>
      <c r="G557" s="33"/>
      <c r="H557" s="30">
        <v>54.7</v>
      </c>
      <c r="I557" s="34">
        <v>3.7829000000000002</v>
      </c>
      <c r="J557" s="35">
        <v>0.15887999999999999</v>
      </c>
      <c r="L557" s="30">
        <v>54.7</v>
      </c>
      <c r="M557" s="172">
        <v>6.3259999999999996</v>
      </c>
      <c r="N557" s="173">
        <v>0.15806999999999999</v>
      </c>
      <c r="P557" s="30">
        <v>54.7</v>
      </c>
      <c r="Q557" s="172">
        <v>3.1631999999999998</v>
      </c>
      <c r="R557" s="173">
        <v>0.13286000000000001</v>
      </c>
      <c r="T557" s="30">
        <v>54.7</v>
      </c>
      <c r="U557" s="172">
        <v>316.130000000005</v>
      </c>
      <c r="V557" s="173">
        <v>7.5270000000000001</v>
      </c>
      <c r="X557" s="30">
        <v>54.7</v>
      </c>
      <c r="Y557" s="34">
        <v>2.8243</v>
      </c>
      <c r="Z557" s="35">
        <v>0.11862</v>
      </c>
      <c r="AA557" s="36"/>
      <c r="AB557" s="30">
        <v>54.7</v>
      </c>
      <c r="AC557" s="44">
        <v>354.07</v>
      </c>
      <c r="AD557" s="35">
        <v>8.43</v>
      </c>
      <c r="AE557" s="36"/>
      <c r="AF557" s="30">
        <v>54.7</v>
      </c>
      <c r="AG557" s="34">
        <v>2.8696000000000002</v>
      </c>
      <c r="AH557" s="35">
        <v>0.12052</v>
      </c>
      <c r="AI557" s="35"/>
      <c r="AJ557" s="35">
        <v>0.13872999999999999</v>
      </c>
      <c r="AK557" s="998">
        <v>30.3</v>
      </c>
      <c r="AM557" s="30">
        <v>54.7</v>
      </c>
      <c r="AN557" s="34">
        <v>1.1959</v>
      </c>
      <c r="AO557" s="35">
        <v>1.3393999999999999</v>
      </c>
      <c r="BX557" s="43"/>
      <c r="BY557" s="34"/>
      <c r="BZ557" s="59"/>
      <c r="CB557" s="43"/>
      <c r="CC557" s="34"/>
      <c r="CD557" s="59"/>
      <c r="CL557" s="43"/>
      <c r="CM557" s="34"/>
      <c r="CN557" s="59"/>
      <c r="CP557" s="43"/>
      <c r="CQ557" s="34"/>
      <c r="CR557" s="59"/>
      <c r="CT557" s="43"/>
      <c r="CU557" s="34"/>
      <c r="CV557" s="59"/>
    </row>
    <row r="558" spans="4:100">
      <c r="D558" s="30">
        <v>54.8</v>
      </c>
      <c r="E558" s="31">
        <v>0.75949999999999995</v>
      </c>
      <c r="F558" s="32">
        <v>759.3</v>
      </c>
      <c r="G558" s="33"/>
      <c r="H558" s="30">
        <v>54.8</v>
      </c>
      <c r="I558" s="34">
        <v>3.7829000000000002</v>
      </c>
      <c r="J558" s="35">
        <v>0.15887999999999999</v>
      </c>
      <c r="L558" s="30">
        <v>54.8</v>
      </c>
      <c r="M558" s="172">
        <v>6.3230000000000004</v>
      </c>
      <c r="N558" s="173">
        <v>0.15815000000000001</v>
      </c>
      <c r="P558" s="30">
        <v>54.8</v>
      </c>
      <c r="Q558" s="172">
        <v>3.1615000000000002</v>
      </c>
      <c r="R558" s="173">
        <v>0.13278000000000001</v>
      </c>
      <c r="T558" s="30">
        <v>54.8</v>
      </c>
      <c r="U558" s="172">
        <v>316.30000000000501</v>
      </c>
      <c r="V558" s="173">
        <v>7.5309999999999997</v>
      </c>
      <c r="X558" s="30">
        <v>54.8</v>
      </c>
      <c r="Y558" s="34">
        <v>2.8228</v>
      </c>
      <c r="Z558" s="35">
        <v>0.11856</v>
      </c>
      <c r="AA558" s="36"/>
      <c r="AB558" s="30">
        <v>54.8</v>
      </c>
      <c r="AC558" s="44">
        <v>354.26</v>
      </c>
      <c r="AD558" s="35">
        <v>8.4350000000000005</v>
      </c>
      <c r="AE558" s="36"/>
      <c r="AF558" s="30">
        <v>54.8</v>
      </c>
      <c r="AG558" s="34">
        <v>2.8681000000000001</v>
      </c>
      <c r="AH558" s="35">
        <v>0.12046</v>
      </c>
      <c r="AI558" s="35"/>
      <c r="AJ558" s="35">
        <v>0.13882</v>
      </c>
      <c r="AK558" s="998">
        <v>30.2</v>
      </c>
      <c r="AM558" s="30">
        <v>54.8</v>
      </c>
      <c r="AN558" s="34">
        <v>1.1966000000000001</v>
      </c>
      <c r="AO558" s="35">
        <v>1.3401000000000001</v>
      </c>
      <c r="BX558" s="43"/>
      <c r="BY558" s="34"/>
      <c r="BZ558" s="59"/>
      <c r="CB558" s="43"/>
      <c r="CC558" s="34"/>
      <c r="CD558" s="59"/>
      <c r="CL558" s="43"/>
      <c r="CM558" s="34"/>
      <c r="CN558" s="59"/>
      <c r="CP558" s="43"/>
      <c r="CQ558" s="34"/>
      <c r="CR558" s="59"/>
      <c r="CT558" s="43"/>
      <c r="CU558" s="34"/>
      <c r="CV558" s="59"/>
    </row>
    <row r="559" spans="4:100">
      <c r="D559" s="30">
        <v>54.9</v>
      </c>
      <c r="E559" s="31">
        <v>0.7591</v>
      </c>
      <c r="F559" s="32">
        <v>758.9</v>
      </c>
      <c r="G559" s="33"/>
      <c r="H559" s="30">
        <v>54.9</v>
      </c>
      <c r="I559" s="34">
        <v>3.7829000000000002</v>
      </c>
      <c r="J559" s="35">
        <v>0.15887999999999999</v>
      </c>
      <c r="L559" s="30">
        <v>54.9</v>
      </c>
      <c r="M559" s="172">
        <v>6.32</v>
      </c>
      <c r="N559" s="173">
        <v>0.15823999999999999</v>
      </c>
      <c r="P559" s="30">
        <v>54.9</v>
      </c>
      <c r="Q559" s="172">
        <v>3.1598000000000002</v>
      </c>
      <c r="R559" s="173">
        <v>0.13270999999999999</v>
      </c>
      <c r="T559" s="30">
        <v>54.9</v>
      </c>
      <c r="U559" s="172">
        <v>316.47000000000497</v>
      </c>
      <c r="V559" s="173">
        <v>7.5350000000000001</v>
      </c>
      <c r="X559" s="30">
        <v>54.9</v>
      </c>
      <c r="Y559" s="34">
        <v>2.8212999999999999</v>
      </c>
      <c r="Z559" s="35">
        <v>0.11849</v>
      </c>
      <c r="AA559" s="36"/>
      <c r="AB559" s="30">
        <v>54.9</v>
      </c>
      <c r="AC559" s="44">
        <v>354.45</v>
      </c>
      <c r="AD559" s="35">
        <v>8.4390000000000001</v>
      </c>
      <c r="AE559" s="36"/>
      <c r="AF559" s="30">
        <v>54.9</v>
      </c>
      <c r="AG559" s="34">
        <v>2.8666</v>
      </c>
      <c r="AH559" s="35">
        <v>0.12039999999999999</v>
      </c>
      <c r="AI559" s="35"/>
      <c r="AJ559" s="35">
        <v>0.1389</v>
      </c>
      <c r="AK559" s="998">
        <v>30.1</v>
      </c>
      <c r="AM559" s="30">
        <v>54.9</v>
      </c>
      <c r="AN559" s="34">
        <v>1.1972</v>
      </c>
      <c r="AO559" s="35">
        <v>1.3409</v>
      </c>
      <c r="BX559" s="43"/>
      <c r="BY559" s="34"/>
      <c r="BZ559" s="59"/>
      <c r="CB559" s="43"/>
      <c r="CC559" s="34"/>
      <c r="CD559" s="59"/>
      <c r="CL559" s="43"/>
      <c r="CM559" s="34"/>
      <c r="CN559" s="59"/>
      <c r="CP559" s="43"/>
      <c r="CQ559" s="34"/>
      <c r="CR559" s="59"/>
      <c r="CT559" s="43"/>
      <c r="CU559" s="34"/>
      <c r="CV559" s="59"/>
    </row>
    <row r="560" spans="4:100">
      <c r="D560" s="30">
        <v>55</v>
      </c>
      <c r="E560" s="31">
        <v>0.75870000000000004</v>
      </c>
      <c r="F560" s="32">
        <v>758.5</v>
      </c>
      <c r="G560" s="33"/>
      <c r="H560" s="30">
        <v>55</v>
      </c>
      <c r="I560" s="34">
        <v>3.7829000000000002</v>
      </c>
      <c r="J560" s="35">
        <v>0.15887999999999999</v>
      </c>
      <c r="L560" s="30">
        <v>55</v>
      </c>
      <c r="M560" s="172">
        <v>6.3159999999999998</v>
      </c>
      <c r="N560" s="173">
        <v>0.15831999999999999</v>
      </c>
      <c r="P560" s="30">
        <v>55</v>
      </c>
      <c r="Q560" s="172">
        <v>3.1581000000000001</v>
      </c>
      <c r="R560" s="173">
        <v>0.13264000000000001</v>
      </c>
      <c r="T560" s="30">
        <v>55</v>
      </c>
      <c r="U560" s="172">
        <v>316.64000000000499</v>
      </c>
      <c r="V560" s="173">
        <v>7.5389999999999997</v>
      </c>
      <c r="X560" s="30">
        <v>55</v>
      </c>
      <c r="Y560" s="34">
        <v>2.8197999999999999</v>
      </c>
      <c r="Z560" s="35">
        <v>0.11842999999999999</v>
      </c>
      <c r="AA560" s="36"/>
      <c r="AB560" s="30">
        <v>55</v>
      </c>
      <c r="AC560" s="44">
        <v>354.64</v>
      </c>
      <c r="AD560" s="35">
        <v>8.4440000000000008</v>
      </c>
      <c r="AE560" s="36"/>
      <c r="AF560" s="30">
        <v>55</v>
      </c>
      <c r="AG560" s="34">
        <v>2.8650000000000002</v>
      </c>
      <c r="AH560" s="35">
        <v>0.12033000000000001</v>
      </c>
      <c r="AI560" s="35"/>
      <c r="AJ560" s="35">
        <v>0.13899</v>
      </c>
      <c r="AK560" s="998">
        <v>30</v>
      </c>
      <c r="AM560" s="30">
        <v>55</v>
      </c>
      <c r="AN560" s="34">
        <v>1.1978</v>
      </c>
      <c r="AO560" s="35">
        <v>1.3415999999999999</v>
      </c>
      <c r="BX560" s="43"/>
      <c r="BY560" s="34"/>
      <c r="BZ560" s="59"/>
      <c r="CB560" s="43"/>
      <c r="CC560" s="34"/>
      <c r="CD560" s="59"/>
      <c r="CL560" s="43"/>
      <c r="CM560" s="34"/>
      <c r="CN560" s="59"/>
      <c r="CP560" s="43"/>
      <c r="CQ560" s="34"/>
      <c r="CR560" s="59"/>
      <c r="CT560" s="43"/>
      <c r="CU560" s="34"/>
      <c r="CV560" s="59"/>
    </row>
    <row r="561" spans="4:100">
      <c r="D561" s="30">
        <v>55.1</v>
      </c>
      <c r="E561" s="31">
        <v>0.75829999999999997</v>
      </c>
      <c r="F561" s="32">
        <v>758.1</v>
      </c>
      <c r="G561" s="33"/>
      <c r="H561" s="30">
        <v>55.1</v>
      </c>
      <c r="I561" s="34">
        <v>3.7829000000000002</v>
      </c>
      <c r="J561" s="35">
        <v>0.15887999999999999</v>
      </c>
      <c r="L561" s="30">
        <v>55.1</v>
      </c>
      <c r="M561" s="172">
        <v>6.3129999999999997</v>
      </c>
      <c r="N561" s="173">
        <v>0.15841</v>
      </c>
      <c r="P561" s="30">
        <v>55.1</v>
      </c>
      <c r="Q561" s="172">
        <v>3.1564000000000001</v>
      </c>
      <c r="R561" s="173">
        <v>0.13256999999999999</v>
      </c>
      <c r="T561" s="30">
        <v>55.1</v>
      </c>
      <c r="U561" s="172">
        <v>316.810000000005</v>
      </c>
      <c r="V561" s="173">
        <v>7.5430000000000001</v>
      </c>
      <c r="X561" s="30">
        <v>55.1</v>
      </c>
      <c r="Y561" s="34">
        <v>2.8182999999999998</v>
      </c>
      <c r="Z561" s="35">
        <v>0.11837</v>
      </c>
      <c r="AA561" s="36"/>
      <c r="AB561" s="30">
        <v>55.1</v>
      </c>
      <c r="AC561" s="44">
        <v>354.83</v>
      </c>
      <c r="AD561" s="35">
        <v>8.4480000000000004</v>
      </c>
      <c r="AE561" s="36"/>
      <c r="AF561" s="30">
        <v>55.1</v>
      </c>
      <c r="AG561" s="34">
        <v>2.8635000000000002</v>
      </c>
      <c r="AH561" s="35">
        <v>0.12027</v>
      </c>
      <c r="AI561" s="35"/>
      <c r="AJ561" s="35">
        <v>0.13907</v>
      </c>
      <c r="AK561" s="998">
        <v>29.9</v>
      </c>
      <c r="AM561" s="30">
        <v>55.1</v>
      </c>
      <c r="AN561" s="34">
        <v>1.1984999999999999</v>
      </c>
      <c r="AO561" s="35">
        <v>1.3423</v>
      </c>
      <c r="BX561" s="43"/>
      <c r="BY561" s="34"/>
      <c r="BZ561" s="59"/>
      <c r="CB561" s="43"/>
      <c r="CC561" s="34"/>
      <c r="CD561" s="59"/>
      <c r="CL561" s="43"/>
      <c r="CM561" s="34"/>
      <c r="CN561" s="59"/>
      <c r="CP561" s="43"/>
      <c r="CQ561" s="34"/>
      <c r="CR561" s="59"/>
      <c r="CT561" s="43"/>
      <c r="CU561" s="34"/>
      <c r="CV561" s="59"/>
    </row>
    <row r="562" spans="4:100">
      <c r="D562" s="30">
        <v>55.2</v>
      </c>
      <c r="E562" s="31">
        <v>0.75790000000000002</v>
      </c>
      <c r="F562" s="32">
        <v>757.6</v>
      </c>
      <c r="G562" s="33"/>
      <c r="H562" s="30">
        <v>55.2</v>
      </c>
      <c r="I562" s="34">
        <v>3.7829000000000002</v>
      </c>
      <c r="J562" s="35">
        <v>0.15887999999999999</v>
      </c>
      <c r="L562" s="30">
        <v>55.2</v>
      </c>
      <c r="M562" s="172">
        <v>6.3090000000000002</v>
      </c>
      <c r="N562" s="173">
        <v>0.15848999999999999</v>
      </c>
      <c r="P562" s="30">
        <v>55.2</v>
      </c>
      <c r="Q562" s="172">
        <v>3.1547000000000001</v>
      </c>
      <c r="R562" s="173">
        <v>0.13250000000000001</v>
      </c>
      <c r="T562" s="30">
        <v>55.2</v>
      </c>
      <c r="U562" s="172">
        <v>316.98000000000502</v>
      </c>
      <c r="V562" s="173">
        <v>7.5469999999999997</v>
      </c>
      <c r="X562" s="30">
        <v>55.2</v>
      </c>
      <c r="Y562" s="34">
        <v>2.8167</v>
      </c>
      <c r="Z562" s="35">
        <v>0.1183</v>
      </c>
      <c r="AA562" s="36"/>
      <c r="AB562" s="30">
        <v>55.2</v>
      </c>
      <c r="AC562" s="44">
        <v>355.02</v>
      </c>
      <c r="AD562" s="35">
        <v>8.4529999999999994</v>
      </c>
      <c r="AE562" s="36"/>
      <c r="AF562" s="30">
        <v>55.2</v>
      </c>
      <c r="AG562" s="34">
        <v>2.8618999999999999</v>
      </c>
      <c r="AH562" s="35">
        <v>0.1202</v>
      </c>
      <c r="AI562" s="35"/>
      <c r="AJ562" s="35">
        <v>0.13916000000000001</v>
      </c>
      <c r="AK562" s="998">
        <v>29.8</v>
      </c>
      <c r="AM562" s="30">
        <v>55.2</v>
      </c>
      <c r="AN562" s="34">
        <v>1.1991000000000001</v>
      </c>
      <c r="AO562" s="35">
        <v>1.343</v>
      </c>
      <c r="BX562" s="43"/>
      <c r="BY562" s="34"/>
      <c r="BZ562" s="59"/>
      <c r="CB562" s="43"/>
      <c r="CC562" s="34"/>
      <c r="CD562" s="59"/>
      <c r="CL562" s="43"/>
      <c r="CM562" s="34"/>
      <c r="CN562" s="59"/>
      <c r="CP562" s="43"/>
      <c r="CQ562" s="34"/>
      <c r="CR562" s="59"/>
      <c r="CT562" s="43"/>
      <c r="CU562" s="34"/>
      <c r="CV562" s="59"/>
    </row>
    <row r="563" spans="4:100">
      <c r="D563" s="30">
        <v>55.3</v>
      </c>
      <c r="E563" s="31">
        <v>0.75749999999999995</v>
      </c>
      <c r="F563" s="32">
        <v>757.2</v>
      </c>
      <c r="G563" s="33"/>
      <c r="H563" s="30">
        <v>55.3</v>
      </c>
      <c r="I563" s="34">
        <v>3.7829000000000002</v>
      </c>
      <c r="J563" s="35">
        <v>0.15887999999999999</v>
      </c>
      <c r="L563" s="30">
        <v>55.3</v>
      </c>
      <c r="M563" s="172">
        <v>6.306</v>
      </c>
      <c r="N563" s="173">
        <v>0.15858</v>
      </c>
      <c r="P563" s="30">
        <v>55.3</v>
      </c>
      <c r="Q563" s="172">
        <v>3.1530999999999998</v>
      </c>
      <c r="R563" s="173">
        <v>0.13242999999999999</v>
      </c>
      <c r="T563" s="30">
        <v>55.3</v>
      </c>
      <c r="U563" s="172">
        <v>317.15000000000498</v>
      </c>
      <c r="V563" s="173">
        <v>7.5510000000000002</v>
      </c>
      <c r="X563" s="30">
        <v>55.3</v>
      </c>
      <c r="Y563" s="34">
        <v>2.8151999999999999</v>
      </c>
      <c r="Z563" s="35">
        <v>0.11824</v>
      </c>
      <c r="AA563" s="36"/>
      <c r="AB563" s="30">
        <v>55.3</v>
      </c>
      <c r="AC563" s="44">
        <v>355.21</v>
      </c>
      <c r="AD563" s="35">
        <v>8.4570000000000007</v>
      </c>
      <c r="AE563" s="36"/>
      <c r="AF563" s="30">
        <v>55.3</v>
      </c>
      <c r="AG563" s="34">
        <v>2.8603999999999998</v>
      </c>
      <c r="AH563" s="35">
        <v>0.12014</v>
      </c>
      <c r="AI563" s="35"/>
      <c r="AJ563" s="35">
        <v>0.13925000000000001</v>
      </c>
      <c r="AK563" s="998">
        <v>29.7</v>
      </c>
      <c r="AM563" s="30">
        <v>55.3</v>
      </c>
      <c r="AN563" s="34">
        <v>1.1998</v>
      </c>
      <c r="AO563" s="35">
        <v>1.3436999999999999</v>
      </c>
      <c r="BX563" s="43"/>
      <c r="BY563" s="34"/>
      <c r="BZ563" s="59"/>
      <c r="CB563" s="43"/>
      <c r="CC563" s="34"/>
      <c r="CD563" s="59"/>
      <c r="CL563" s="43"/>
      <c r="CM563" s="34"/>
      <c r="CN563" s="59"/>
      <c r="CP563" s="43"/>
      <c r="CQ563" s="34"/>
      <c r="CR563" s="59"/>
      <c r="CT563" s="43"/>
      <c r="CU563" s="34"/>
      <c r="CV563" s="59"/>
    </row>
    <row r="564" spans="4:100">
      <c r="D564" s="30">
        <v>55.4</v>
      </c>
      <c r="E564" s="31">
        <v>0.7571</v>
      </c>
      <c r="F564" s="32">
        <v>756.8</v>
      </c>
      <c r="G564" s="33"/>
      <c r="H564" s="30">
        <v>55.4</v>
      </c>
      <c r="I564" s="34">
        <v>3.7829000000000002</v>
      </c>
      <c r="J564" s="35">
        <v>0.15887999999999999</v>
      </c>
      <c r="L564" s="30">
        <v>55.4</v>
      </c>
      <c r="M564" s="172">
        <v>6.3029999999999999</v>
      </c>
      <c r="N564" s="173">
        <v>0.15866</v>
      </c>
      <c r="P564" s="30">
        <v>55.4</v>
      </c>
      <c r="Q564" s="172">
        <v>3.1514000000000002</v>
      </c>
      <c r="R564" s="173">
        <v>0.13236000000000001</v>
      </c>
      <c r="T564" s="30">
        <v>55.4</v>
      </c>
      <c r="U564" s="172">
        <v>317.320000000005</v>
      </c>
      <c r="V564" s="173">
        <v>7.5550000000000104</v>
      </c>
      <c r="X564" s="30">
        <v>55.4</v>
      </c>
      <c r="Y564" s="34">
        <v>2.8136999999999999</v>
      </c>
      <c r="Z564" s="35">
        <v>0.11817999999999999</v>
      </c>
      <c r="AA564" s="36"/>
      <c r="AB564" s="30">
        <v>55.4</v>
      </c>
      <c r="AC564" s="44">
        <v>355.4</v>
      </c>
      <c r="AD564" s="35">
        <v>8.4619999999999997</v>
      </c>
      <c r="AE564" s="36"/>
      <c r="AF564" s="30">
        <v>55.4</v>
      </c>
      <c r="AG564" s="34">
        <v>2.8589000000000002</v>
      </c>
      <c r="AH564" s="35">
        <v>0.12007</v>
      </c>
      <c r="AI564" s="35"/>
      <c r="AJ564" s="35">
        <v>0.13933000000000001</v>
      </c>
      <c r="AK564" s="998">
        <v>29.6</v>
      </c>
      <c r="AM564" s="30">
        <v>55.4</v>
      </c>
      <c r="AN564" s="34">
        <v>1.2003999999999999</v>
      </c>
      <c r="AO564" s="35">
        <v>1.3445</v>
      </c>
      <c r="BX564" s="43"/>
      <c r="BY564" s="34"/>
      <c r="BZ564" s="59"/>
      <c r="CB564" s="43"/>
      <c r="CC564" s="34"/>
      <c r="CD564" s="59"/>
      <c r="CL564" s="43"/>
      <c r="CM564" s="34"/>
      <c r="CN564" s="59"/>
      <c r="CP564" s="43"/>
      <c r="CQ564" s="34"/>
      <c r="CR564" s="59"/>
      <c r="CT564" s="43"/>
      <c r="CU564" s="34"/>
      <c r="CV564" s="59"/>
    </row>
    <row r="565" spans="4:100">
      <c r="D565" s="30">
        <v>55.5</v>
      </c>
      <c r="E565" s="31">
        <v>0.75670000000000004</v>
      </c>
      <c r="F565" s="32">
        <v>756.4</v>
      </c>
      <c r="G565" s="33"/>
      <c r="H565" s="30">
        <v>55.5</v>
      </c>
      <c r="I565" s="34">
        <v>3.7829000000000002</v>
      </c>
      <c r="J565" s="35">
        <v>0.15887999999999999</v>
      </c>
      <c r="L565" s="30">
        <v>55.5</v>
      </c>
      <c r="M565" s="172">
        <v>6.2990000000000004</v>
      </c>
      <c r="N565" s="173">
        <v>0.15875</v>
      </c>
      <c r="P565" s="30">
        <v>55.5</v>
      </c>
      <c r="Q565" s="172">
        <v>3.1497000000000002</v>
      </c>
      <c r="R565" s="173">
        <v>0.13228999999999999</v>
      </c>
      <c r="T565" s="30">
        <v>55.5</v>
      </c>
      <c r="U565" s="172">
        <v>317.49000000000501</v>
      </c>
      <c r="V565" s="173">
        <v>7.5590000000000099</v>
      </c>
      <c r="X565" s="30">
        <v>55.5</v>
      </c>
      <c r="Y565" s="34">
        <v>2.8121999999999998</v>
      </c>
      <c r="Z565" s="35">
        <v>0.11811000000000001</v>
      </c>
      <c r="AA565" s="36"/>
      <c r="AB565" s="30">
        <v>55.5</v>
      </c>
      <c r="AC565" s="44">
        <v>355.59</v>
      </c>
      <c r="AD565" s="35">
        <v>8.4659999999999993</v>
      </c>
      <c r="AE565" s="36"/>
      <c r="AF565" s="30">
        <v>55.5</v>
      </c>
      <c r="AG565" s="34">
        <v>2.8573</v>
      </c>
      <c r="AH565" s="35">
        <v>0.12001000000000001</v>
      </c>
      <c r="AI565" s="35"/>
      <c r="AJ565" s="35">
        <v>0.13941999999999999</v>
      </c>
      <c r="AK565" s="998">
        <v>29.5</v>
      </c>
      <c r="AM565" s="30">
        <v>55.5</v>
      </c>
      <c r="AN565" s="34">
        <v>1.2010000000000001</v>
      </c>
      <c r="AO565" s="35">
        <v>1.3452</v>
      </c>
      <c r="BX565" s="43"/>
      <c r="BY565" s="34"/>
      <c r="BZ565" s="59"/>
      <c r="CB565" s="43"/>
      <c r="CC565" s="34"/>
      <c r="CD565" s="59"/>
      <c r="CL565" s="43"/>
      <c r="CM565" s="34"/>
      <c r="CN565" s="59"/>
      <c r="CP565" s="43"/>
      <c r="CQ565" s="34"/>
      <c r="CR565" s="59"/>
      <c r="CT565" s="43"/>
      <c r="CU565" s="34"/>
      <c r="CV565" s="59"/>
    </row>
    <row r="566" spans="4:100">
      <c r="D566" s="30">
        <v>55.6</v>
      </c>
      <c r="E566" s="31">
        <v>0.75629999999999997</v>
      </c>
      <c r="F566" s="32">
        <v>756</v>
      </c>
      <c r="G566" s="33"/>
      <c r="H566" s="30">
        <v>55.6</v>
      </c>
      <c r="I566" s="34">
        <v>3.7829000000000002</v>
      </c>
      <c r="J566" s="35">
        <v>0.15887999999999999</v>
      </c>
      <c r="L566" s="30">
        <v>55.6</v>
      </c>
      <c r="M566" s="172">
        <v>6.2960000000000003</v>
      </c>
      <c r="N566" s="173">
        <v>0.15883</v>
      </c>
      <c r="P566" s="30">
        <v>55.6</v>
      </c>
      <c r="Q566" s="172">
        <v>3.1480000000000001</v>
      </c>
      <c r="R566" s="173">
        <v>0.13222</v>
      </c>
      <c r="T566" s="30">
        <v>55.6</v>
      </c>
      <c r="U566" s="172">
        <v>317.66000000000503</v>
      </c>
      <c r="V566" s="173">
        <v>7.5630000000000104</v>
      </c>
      <c r="X566" s="30">
        <v>55.6</v>
      </c>
      <c r="Y566" s="34">
        <v>2.8107000000000002</v>
      </c>
      <c r="Z566" s="35">
        <v>0.11805</v>
      </c>
      <c r="AA566" s="36"/>
      <c r="AB566" s="30">
        <v>55.6</v>
      </c>
      <c r="AC566" s="44">
        <v>355.78</v>
      </c>
      <c r="AD566" s="35">
        <v>8.4710000000000001</v>
      </c>
      <c r="AE566" s="36"/>
      <c r="AF566" s="30">
        <v>55.6</v>
      </c>
      <c r="AG566" s="34">
        <v>2.8557999999999999</v>
      </c>
      <c r="AH566" s="35">
        <v>0.11994</v>
      </c>
      <c r="AI566" s="35"/>
      <c r="AJ566" s="35">
        <v>0.13951</v>
      </c>
      <c r="AK566" s="998">
        <v>29.4</v>
      </c>
      <c r="AM566" s="30">
        <v>55.6</v>
      </c>
      <c r="AN566" s="34">
        <v>1.2017</v>
      </c>
      <c r="AO566" s="35">
        <v>1.3459000000000001</v>
      </c>
      <c r="BX566" s="43"/>
      <c r="BY566" s="34"/>
      <c r="BZ566" s="59"/>
      <c r="CB566" s="43"/>
      <c r="CC566" s="34"/>
      <c r="CD566" s="59"/>
      <c r="CL566" s="43"/>
      <c r="CM566" s="34"/>
      <c r="CN566" s="59"/>
      <c r="CP566" s="43"/>
      <c r="CQ566" s="34"/>
      <c r="CR566" s="59"/>
      <c r="CT566" s="43"/>
      <c r="CU566" s="34"/>
      <c r="CV566" s="59"/>
    </row>
    <row r="567" spans="4:100">
      <c r="D567" s="30">
        <v>55.7</v>
      </c>
      <c r="E567" s="31">
        <v>0.75590000000000002</v>
      </c>
      <c r="F567" s="32">
        <v>755.6</v>
      </c>
      <c r="G567" s="33"/>
      <c r="H567" s="30">
        <v>55.7</v>
      </c>
      <c r="I567" s="34">
        <v>3.7829000000000002</v>
      </c>
      <c r="J567" s="35">
        <v>0.15887999999999999</v>
      </c>
      <c r="L567" s="30">
        <v>55.7</v>
      </c>
      <c r="M567" s="172">
        <v>6.2930000000000001</v>
      </c>
      <c r="N567" s="173">
        <v>0.15892000000000001</v>
      </c>
      <c r="P567" s="30">
        <v>55.7</v>
      </c>
      <c r="Q567" s="172">
        <v>3.1463000000000001</v>
      </c>
      <c r="R567" s="173">
        <v>0.13214000000000001</v>
      </c>
      <c r="T567" s="30">
        <v>55.7</v>
      </c>
      <c r="U567" s="172">
        <v>317.83000000000499</v>
      </c>
      <c r="V567" s="173">
        <v>7.5670000000000099</v>
      </c>
      <c r="X567" s="30">
        <v>55.7</v>
      </c>
      <c r="Y567" s="34">
        <v>2.8092000000000001</v>
      </c>
      <c r="Z567" s="35">
        <v>0.11799</v>
      </c>
      <c r="AA567" s="36"/>
      <c r="AB567" s="30">
        <v>55.7</v>
      </c>
      <c r="AC567" s="44">
        <v>355.97</v>
      </c>
      <c r="AD567" s="35">
        <v>8.4760000000000009</v>
      </c>
      <c r="AE567" s="36"/>
      <c r="AF567" s="30">
        <v>55.7</v>
      </c>
      <c r="AG567" s="34">
        <v>2.8542999999999998</v>
      </c>
      <c r="AH567" s="35">
        <v>0.11988</v>
      </c>
      <c r="AI567" s="35"/>
      <c r="AJ567" s="35">
        <v>0.13958999999999999</v>
      </c>
      <c r="AK567" s="998">
        <v>29.3</v>
      </c>
      <c r="AM567" s="30">
        <v>55.7</v>
      </c>
      <c r="AN567" s="34">
        <v>1.2022999999999999</v>
      </c>
      <c r="AO567" s="35">
        <v>1.3466</v>
      </c>
      <c r="BX567" s="43"/>
      <c r="BY567" s="34"/>
      <c r="BZ567" s="59"/>
      <c r="CB567" s="43"/>
      <c r="CC567" s="34"/>
      <c r="CD567" s="59"/>
      <c r="CL567" s="43"/>
      <c r="CM567" s="34"/>
      <c r="CN567" s="59"/>
      <c r="CP567" s="43"/>
      <c r="CQ567" s="34"/>
      <c r="CR567" s="59"/>
      <c r="CT567" s="43"/>
      <c r="CU567" s="34"/>
      <c r="CV567" s="59"/>
    </row>
    <row r="568" spans="4:100">
      <c r="D568" s="30">
        <v>55.8</v>
      </c>
      <c r="E568" s="31">
        <v>0.75549999999999995</v>
      </c>
      <c r="F568" s="32">
        <v>755.2</v>
      </c>
      <c r="G568" s="33"/>
      <c r="H568" s="30">
        <v>55.8</v>
      </c>
      <c r="I568" s="34">
        <v>3.7829000000000002</v>
      </c>
      <c r="J568" s="35">
        <v>0.15887999999999999</v>
      </c>
      <c r="L568" s="30">
        <v>55.8</v>
      </c>
      <c r="M568" s="172">
        <v>6.2889999999999997</v>
      </c>
      <c r="N568" s="173">
        <v>0.159</v>
      </c>
      <c r="P568" s="30">
        <v>55.8</v>
      </c>
      <c r="Q568" s="172">
        <v>3.1446000000000001</v>
      </c>
      <c r="R568" s="173">
        <v>0.13206999999999999</v>
      </c>
      <c r="T568" s="30">
        <v>55.8</v>
      </c>
      <c r="U568" s="172">
        <v>318.000000000005</v>
      </c>
      <c r="V568" s="173">
        <v>7.5710000000000104</v>
      </c>
      <c r="X568" s="30">
        <v>55.8</v>
      </c>
      <c r="Y568" s="34">
        <v>2.8077000000000001</v>
      </c>
      <c r="Z568" s="35">
        <v>0.11792</v>
      </c>
      <c r="AA568" s="36"/>
      <c r="AB568" s="30">
        <v>55.8</v>
      </c>
      <c r="AC568" s="44">
        <v>356.16</v>
      </c>
      <c r="AD568" s="35">
        <v>8.48</v>
      </c>
      <c r="AE568" s="36"/>
      <c r="AF568" s="30">
        <v>55.8</v>
      </c>
      <c r="AG568" s="34">
        <v>2.8527999999999998</v>
      </c>
      <c r="AH568" s="35">
        <v>0.11982</v>
      </c>
      <c r="AI568" s="35"/>
      <c r="AJ568" s="35">
        <v>0.13968</v>
      </c>
      <c r="AK568" s="998">
        <v>29.2</v>
      </c>
      <c r="AM568" s="30">
        <v>55.8</v>
      </c>
      <c r="AN568" s="34">
        <v>1.2030000000000001</v>
      </c>
      <c r="AO568" s="35">
        <v>1.3472999999999999</v>
      </c>
      <c r="BX568" s="43"/>
      <c r="BY568" s="34"/>
      <c r="BZ568" s="59"/>
      <c r="CB568" s="43"/>
      <c r="CC568" s="34"/>
      <c r="CD568" s="59"/>
      <c r="CL568" s="43"/>
      <c r="CM568" s="34"/>
      <c r="CN568" s="59"/>
      <c r="CP568" s="43"/>
      <c r="CQ568" s="34"/>
      <c r="CR568" s="59"/>
      <c r="CT568" s="43"/>
      <c r="CU568" s="34"/>
      <c r="CV568" s="59"/>
    </row>
    <row r="569" spans="4:100">
      <c r="D569" s="30">
        <v>55.9</v>
      </c>
      <c r="E569" s="31">
        <v>0.75509999999999999</v>
      </c>
      <c r="F569" s="32">
        <v>754.8</v>
      </c>
      <c r="G569" s="33"/>
      <c r="H569" s="30">
        <v>55.9</v>
      </c>
      <c r="I569" s="34">
        <v>3.7829000000000002</v>
      </c>
      <c r="J569" s="35">
        <v>0.15887999999999999</v>
      </c>
      <c r="L569" s="30">
        <v>55.9</v>
      </c>
      <c r="M569" s="172">
        <v>6.2859999999999996</v>
      </c>
      <c r="N569" s="173">
        <v>0.15909000000000001</v>
      </c>
      <c r="P569" s="30">
        <v>55.9</v>
      </c>
      <c r="Q569" s="172">
        <v>3.1429</v>
      </c>
      <c r="R569" s="173">
        <v>0.13200000000000001</v>
      </c>
      <c r="T569" s="30">
        <v>55.9</v>
      </c>
      <c r="U569" s="172">
        <v>318.17000000000502</v>
      </c>
      <c r="V569" s="173">
        <v>7.5759999999999996</v>
      </c>
      <c r="X569" s="30">
        <v>55.9</v>
      </c>
      <c r="Y569" s="34">
        <v>2.8062</v>
      </c>
      <c r="Z569" s="35">
        <v>0.11786000000000001</v>
      </c>
      <c r="AA569" s="36"/>
      <c r="AB569" s="30">
        <v>55.9</v>
      </c>
      <c r="AC569" s="44">
        <v>356.35</v>
      </c>
      <c r="AD569" s="35">
        <v>8.4849999999999994</v>
      </c>
      <c r="AE569" s="36"/>
      <c r="AF569" s="30">
        <v>55.9</v>
      </c>
      <c r="AG569" s="34">
        <v>2.8512</v>
      </c>
      <c r="AH569" s="35">
        <v>0.11975</v>
      </c>
      <c r="AI569" s="35"/>
      <c r="AJ569" s="35">
        <v>0.13977000000000001</v>
      </c>
      <c r="AK569" s="998">
        <v>29.1</v>
      </c>
      <c r="AM569" s="30">
        <v>55.9</v>
      </c>
      <c r="AN569" s="34">
        <v>1.2036</v>
      </c>
      <c r="AO569" s="35">
        <v>1.3481000000000001</v>
      </c>
      <c r="BX569" s="43"/>
      <c r="BY569" s="34"/>
      <c r="BZ569" s="59"/>
      <c r="CB569" s="43"/>
      <c r="CC569" s="34"/>
      <c r="CD569" s="59"/>
      <c r="CL569" s="43"/>
      <c r="CM569" s="34"/>
      <c r="CN569" s="59"/>
      <c r="CP569" s="43"/>
      <c r="CQ569" s="34"/>
      <c r="CR569" s="59"/>
      <c r="CT569" s="43"/>
      <c r="CU569" s="34"/>
      <c r="CV569" s="59"/>
    </row>
    <row r="570" spans="4:100">
      <c r="D570" s="30">
        <v>56</v>
      </c>
      <c r="E570" s="31">
        <v>0.75470000000000004</v>
      </c>
      <c r="F570" s="32">
        <v>754.4</v>
      </c>
      <c r="G570" s="33"/>
      <c r="H570" s="30">
        <v>56</v>
      </c>
      <c r="I570" s="34">
        <v>3.7829000000000002</v>
      </c>
      <c r="J570" s="35">
        <v>0.15887999999999999</v>
      </c>
      <c r="L570" s="30">
        <v>56</v>
      </c>
      <c r="M570" s="172">
        <v>6.2830000000000004</v>
      </c>
      <c r="N570" s="173">
        <v>0.15917000000000001</v>
      </c>
      <c r="P570" s="30">
        <v>56</v>
      </c>
      <c r="Q570" s="172">
        <v>3.1413000000000002</v>
      </c>
      <c r="R570" s="173">
        <v>0.13192999999999999</v>
      </c>
      <c r="T570" s="30">
        <v>56</v>
      </c>
      <c r="U570" s="172">
        <v>318.34000000000498</v>
      </c>
      <c r="V570" s="173">
        <v>7.58</v>
      </c>
      <c r="X570" s="30">
        <v>56</v>
      </c>
      <c r="Y570" s="34">
        <v>2.8047</v>
      </c>
      <c r="Z570" s="35">
        <v>0.1178</v>
      </c>
      <c r="AA570" s="36"/>
      <c r="AB570" s="30">
        <v>56</v>
      </c>
      <c r="AC570" s="44">
        <v>356.54</v>
      </c>
      <c r="AD570" s="35">
        <v>8.4890000000000008</v>
      </c>
      <c r="AE570" s="36"/>
      <c r="AF570" s="30">
        <v>56</v>
      </c>
      <c r="AG570" s="34">
        <v>2.8496999999999999</v>
      </c>
      <c r="AH570" s="35">
        <v>0.11969</v>
      </c>
      <c r="AI570" s="35"/>
      <c r="AJ570" s="35">
        <v>0.13985</v>
      </c>
      <c r="AK570" s="998">
        <v>29</v>
      </c>
      <c r="AM570" s="30">
        <v>56</v>
      </c>
      <c r="AN570" s="34">
        <v>1.2042999999999999</v>
      </c>
      <c r="AO570" s="35">
        <v>1.3488</v>
      </c>
      <c r="BX570" s="43"/>
      <c r="BY570" s="34"/>
      <c r="BZ570" s="59"/>
      <c r="CB570" s="43"/>
      <c r="CC570" s="34"/>
      <c r="CD570" s="59"/>
      <c r="CL570" s="43"/>
      <c r="CM570" s="34"/>
      <c r="CN570" s="59"/>
      <c r="CP570" s="43"/>
      <c r="CQ570" s="34"/>
      <c r="CR570" s="59"/>
      <c r="CT570" s="43"/>
      <c r="CU570" s="34"/>
      <c r="CV570" s="59"/>
    </row>
    <row r="571" spans="4:100">
      <c r="D571" s="30">
        <v>56.1</v>
      </c>
      <c r="E571" s="31">
        <v>0.75429999999999997</v>
      </c>
      <c r="F571" s="32">
        <v>754</v>
      </c>
      <c r="G571" s="33"/>
      <c r="H571" s="30">
        <v>56.1</v>
      </c>
      <c r="I571" s="34">
        <v>3.7829000000000002</v>
      </c>
      <c r="J571" s="35">
        <v>0.15887999999999999</v>
      </c>
      <c r="L571" s="30">
        <v>56.1</v>
      </c>
      <c r="M571" s="172">
        <v>6.2789999999999999</v>
      </c>
      <c r="N571" s="173">
        <v>0.15926000000000001</v>
      </c>
      <c r="P571" s="30">
        <v>56.1</v>
      </c>
      <c r="Q571" s="172">
        <v>3.1396000000000002</v>
      </c>
      <c r="R571" s="173">
        <v>0.13186</v>
      </c>
      <c r="T571" s="30">
        <v>56.1</v>
      </c>
      <c r="U571" s="172">
        <v>318.51000000000499</v>
      </c>
      <c r="V571" s="173">
        <v>7.5839999999999996</v>
      </c>
      <c r="X571" s="30">
        <v>56.1</v>
      </c>
      <c r="Y571" s="34">
        <v>2.8031999999999999</v>
      </c>
      <c r="Z571" s="35">
        <v>0.11773</v>
      </c>
      <c r="AA571" s="36"/>
      <c r="AB571" s="30">
        <v>56.1</v>
      </c>
      <c r="AC571" s="44">
        <v>356.73</v>
      </c>
      <c r="AD571" s="35">
        <v>8.4939999999999998</v>
      </c>
      <c r="AE571" s="36"/>
      <c r="AF571" s="30">
        <v>56.1</v>
      </c>
      <c r="AG571" s="34">
        <v>2.8481999999999998</v>
      </c>
      <c r="AH571" s="35">
        <v>0.11962</v>
      </c>
      <c r="AI571" s="35"/>
      <c r="AJ571" s="35">
        <v>0.13994000000000001</v>
      </c>
      <c r="AK571" s="998">
        <v>28.9</v>
      </c>
      <c r="AM571" s="30">
        <v>56.1</v>
      </c>
      <c r="AN571" s="34">
        <v>1.2049000000000001</v>
      </c>
      <c r="AO571" s="35">
        <v>1.3494999999999999</v>
      </c>
      <c r="BX571" s="43"/>
      <c r="BY571" s="34"/>
      <c r="BZ571" s="59"/>
      <c r="CB571" s="43"/>
      <c r="CC571" s="34"/>
      <c r="CD571" s="59"/>
      <c r="CL571" s="43"/>
      <c r="CM571" s="34"/>
      <c r="CN571" s="59"/>
      <c r="CP571" s="43"/>
      <c r="CQ571" s="34"/>
      <c r="CR571" s="59"/>
      <c r="CT571" s="43"/>
      <c r="CU571" s="34"/>
      <c r="CV571" s="59"/>
    </row>
    <row r="572" spans="4:100">
      <c r="D572" s="30">
        <v>56.2</v>
      </c>
      <c r="E572" s="31">
        <v>0.75390000000000001</v>
      </c>
      <c r="F572" s="32">
        <v>753.6</v>
      </c>
      <c r="G572" s="33"/>
      <c r="H572" s="30">
        <v>56.2</v>
      </c>
      <c r="I572" s="34">
        <v>3.7829000000000002</v>
      </c>
      <c r="J572" s="35">
        <v>0.15887999999999999</v>
      </c>
      <c r="L572" s="30">
        <v>56.2</v>
      </c>
      <c r="M572" s="172">
        <v>6.2759999999999998</v>
      </c>
      <c r="N572" s="173">
        <v>0.15934000000000001</v>
      </c>
      <c r="P572" s="30">
        <v>56.2</v>
      </c>
      <c r="Q572" s="172">
        <v>3.1379000000000001</v>
      </c>
      <c r="R572" s="173">
        <v>0.13178999999999999</v>
      </c>
      <c r="T572" s="30">
        <v>56.2</v>
      </c>
      <c r="U572" s="172">
        <v>318.68000000000501</v>
      </c>
      <c r="V572" s="173">
        <v>7.5880000000000001</v>
      </c>
      <c r="X572" s="30">
        <v>56.2</v>
      </c>
      <c r="Y572" s="34">
        <v>2.8016999999999999</v>
      </c>
      <c r="Z572" s="35">
        <v>0.11767</v>
      </c>
      <c r="AA572" s="36"/>
      <c r="AB572" s="30">
        <v>56.2</v>
      </c>
      <c r="AC572" s="44">
        <v>356.93</v>
      </c>
      <c r="AD572" s="35">
        <v>8.4979999999999993</v>
      </c>
      <c r="AE572" s="36"/>
      <c r="AF572" s="30">
        <v>56.2</v>
      </c>
      <c r="AG572" s="34">
        <v>2.8466999999999998</v>
      </c>
      <c r="AH572" s="35">
        <v>0.11956</v>
      </c>
      <c r="AI572" s="35"/>
      <c r="AJ572" s="35">
        <v>0.14002999999999999</v>
      </c>
      <c r="AK572" s="998">
        <v>28.8</v>
      </c>
      <c r="AM572" s="30">
        <v>56.2</v>
      </c>
      <c r="AN572" s="34">
        <v>1.2055</v>
      </c>
      <c r="AO572" s="35">
        <v>1.3502000000000001</v>
      </c>
      <c r="BX572" s="43"/>
      <c r="BY572" s="34"/>
      <c r="BZ572" s="59"/>
      <c r="CB572" s="43"/>
      <c r="CC572" s="34"/>
      <c r="CD572" s="59"/>
      <c r="CL572" s="43"/>
      <c r="CM572" s="34"/>
      <c r="CN572" s="59"/>
      <c r="CP572" s="43"/>
      <c r="CQ572" s="34"/>
      <c r="CR572" s="59"/>
      <c r="CT572" s="43"/>
      <c r="CU572" s="34"/>
      <c r="CV572" s="59"/>
    </row>
    <row r="573" spans="4:100">
      <c r="D573" s="30">
        <v>56.3</v>
      </c>
      <c r="E573" s="31">
        <v>0.75349999999999995</v>
      </c>
      <c r="F573" s="32">
        <v>753.2</v>
      </c>
      <c r="G573" s="33"/>
      <c r="H573" s="30">
        <v>56.3</v>
      </c>
      <c r="I573" s="34">
        <v>3.7829000000000002</v>
      </c>
      <c r="J573" s="35">
        <v>0.15887999999999999</v>
      </c>
      <c r="L573" s="30">
        <v>56.3</v>
      </c>
      <c r="M573" s="172">
        <v>6.2720000000000002</v>
      </c>
      <c r="N573" s="173">
        <v>0.15942999999999999</v>
      </c>
      <c r="P573" s="30">
        <v>56.3</v>
      </c>
      <c r="Q573" s="172">
        <v>3.1362000000000001</v>
      </c>
      <c r="R573" s="173">
        <v>0.13172</v>
      </c>
      <c r="T573" s="30">
        <v>56.3</v>
      </c>
      <c r="U573" s="172">
        <v>318.85000000000502</v>
      </c>
      <c r="V573" s="173">
        <v>7.5919999999999996</v>
      </c>
      <c r="X573" s="30">
        <v>56.3</v>
      </c>
      <c r="Y573" s="34">
        <v>2.8001999999999998</v>
      </c>
      <c r="Z573" s="35">
        <v>0.11761000000000001</v>
      </c>
      <c r="AA573" s="36"/>
      <c r="AB573" s="30">
        <v>56.3</v>
      </c>
      <c r="AC573" s="44">
        <v>357.12</v>
      </c>
      <c r="AD573" s="35">
        <v>8.5030000000000001</v>
      </c>
      <c r="AE573" s="36"/>
      <c r="AF573" s="30">
        <v>56.3</v>
      </c>
      <c r="AG573" s="34">
        <v>2.8451</v>
      </c>
      <c r="AH573" s="35">
        <v>0.1195</v>
      </c>
      <c r="AI573" s="35"/>
      <c r="AJ573" s="35">
        <v>0.14011999999999999</v>
      </c>
      <c r="AK573" s="998">
        <v>28.7</v>
      </c>
      <c r="AM573" s="30">
        <v>56.3</v>
      </c>
      <c r="AN573" s="34">
        <v>1.2061999999999999</v>
      </c>
      <c r="AO573" s="35">
        <v>1.3509</v>
      </c>
      <c r="BX573" s="43"/>
      <c r="BY573" s="34"/>
      <c r="BZ573" s="59"/>
      <c r="CB573" s="43"/>
      <c r="CC573" s="34"/>
      <c r="CD573" s="59"/>
      <c r="CL573" s="43"/>
      <c r="CM573" s="34"/>
      <c r="CN573" s="59"/>
      <c r="CP573" s="43"/>
      <c r="CQ573" s="34"/>
      <c r="CR573" s="59"/>
      <c r="CT573" s="43"/>
      <c r="CU573" s="34"/>
      <c r="CV573" s="59"/>
    </row>
    <row r="574" spans="4:100">
      <c r="D574" s="30">
        <v>56.4</v>
      </c>
      <c r="E574" s="31">
        <v>0.75309999999999999</v>
      </c>
      <c r="F574" s="32">
        <v>752.8</v>
      </c>
      <c r="G574" s="33"/>
      <c r="H574" s="30">
        <v>56.4</v>
      </c>
      <c r="I574" s="34">
        <v>3.7829000000000002</v>
      </c>
      <c r="J574" s="35">
        <v>0.15887999999999999</v>
      </c>
      <c r="L574" s="30">
        <v>56.4</v>
      </c>
      <c r="M574" s="172">
        <v>6.2690000000000001</v>
      </c>
      <c r="N574" s="173">
        <v>0.15951000000000001</v>
      </c>
      <c r="P574" s="30">
        <v>56.4</v>
      </c>
      <c r="Q574" s="172">
        <v>3.1345999999999998</v>
      </c>
      <c r="R574" s="173">
        <v>0.13164999999999999</v>
      </c>
      <c r="T574" s="30">
        <v>56.4</v>
      </c>
      <c r="U574" s="172">
        <v>319.02000000000498</v>
      </c>
      <c r="V574" s="173">
        <v>7.5960000000000001</v>
      </c>
      <c r="X574" s="30">
        <v>56.4</v>
      </c>
      <c r="Y574" s="34">
        <v>2.7987000000000002</v>
      </c>
      <c r="Z574" s="35">
        <v>0.11755</v>
      </c>
      <c r="AA574" s="36"/>
      <c r="AB574" s="30">
        <v>56.4</v>
      </c>
      <c r="AC574" s="44">
        <v>357.31</v>
      </c>
      <c r="AD574" s="35">
        <v>8.5069999999999997</v>
      </c>
      <c r="AE574" s="36"/>
      <c r="AF574" s="30">
        <v>56.4</v>
      </c>
      <c r="AG574" s="34">
        <v>2.8435999999999999</v>
      </c>
      <c r="AH574" s="35">
        <v>0.11942999999999999</v>
      </c>
      <c r="AI574" s="35"/>
      <c r="AJ574" s="35">
        <v>0.14019999999999999</v>
      </c>
      <c r="AK574" s="998">
        <v>28.6</v>
      </c>
      <c r="AM574" s="30">
        <v>56.4</v>
      </c>
      <c r="AN574" s="34">
        <v>1.2068000000000001</v>
      </c>
      <c r="AO574" s="35">
        <v>1.3516999999999999</v>
      </c>
      <c r="BX574" s="43"/>
      <c r="BY574" s="34"/>
      <c r="BZ574" s="59"/>
      <c r="CB574" s="43"/>
      <c r="CC574" s="34"/>
      <c r="CD574" s="59"/>
      <c r="CL574" s="43"/>
      <c r="CM574" s="34"/>
      <c r="CN574" s="59"/>
      <c r="CP574" s="43"/>
      <c r="CQ574" s="34"/>
      <c r="CR574" s="59"/>
      <c r="CT574" s="43"/>
      <c r="CU574" s="34"/>
      <c r="CV574" s="59"/>
    </row>
    <row r="575" spans="4:100">
      <c r="D575" s="30">
        <v>56.5</v>
      </c>
      <c r="E575" s="31">
        <v>0.75270000000000004</v>
      </c>
      <c r="F575" s="32">
        <v>752.4</v>
      </c>
      <c r="G575" s="33"/>
      <c r="H575" s="30">
        <v>56.5</v>
      </c>
      <c r="I575" s="34">
        <v>3.7829000000000002</v>
      </c>
      <c r="J575" s="35">
        <v>0.15887999999999999</v>
      </c>
      <c r="L575" s="30">
        <v>56.5</v>
      </c>
      <c r="M575" s="172">
        <v>6.266</v>
      </c>
      <c r="N575" s="173">
        <v>0.15959999999999999</v>
      </c>
      <c r="P575" s="30">
        <v>56.5</v>
      </c>
      <c r="Q575" s="172">
        <v>3.1328999999999998</v>
      </c>
      <c r="R575" s="173">
        <v>0.13158</v>
      </c>
      <c r="T575" s="30">
        <v>56.5</v>
      </c>
      <c r="U575" s="172">
        <v>319.190000000005</v>
      </c>
      <c r="V575" s="173">
        <v>7.6</v>
      </c>
      <c r="X575" s="30">
        <v>56.5</v>
      </c>
      <c r="Y575" s="34">
        <v>2.7972000000000001</v>
      </c>
      <c r="Z575" s="35">
        <v>0.11748</v>
      </c>
      <c r="AA575" s="36"/>
      <c r="AB575" s="30">
        <v>56.5</v>
      </c>
      <c r="AC575" s="44">
        <v>357.5</v>
      </c>
      <c r="AD575" s="35">
        <v>8.5120000000000005</v>
      </c>
      <c r="AE575" s="36"/>
      <c r="AF575" s="30">
        <v>56.5</v>
      </c>
      <c r="AG575" s="34">
        <v>2.8420999999999998</v>
      </c>
      <c r="AH575" s="35">
        <v>0.11937</v>
      </c>
      <c r="AI575" s="35"/>
      <c r="AJ575" s="35">
        <v>0.14029</v>
      </c>
      <c r="AK575" s="998">
        <v>28.5</v>
      </c>
      <c r="AM575" s="30">
        <v>56.5</v>
      </c>
      <c r="AN575" s="34">
        <v>1.2075</v>
      </c>
      <c r="AO575" s="35">
        <v>1.3524</v>
      </c>
      <c r="BX575" s="43"/>
      <c r="BY575" s="34"/>
      <c r="BZ575" s="59"/>
      <c r="CB575" s="43"/>
      <c r="CC575" s="34"/>
      <c r="CD575" s="59"/>
      <c r="CL575" s="43"/>
      <c r="CM575" s="34"/>
      <c r="CN575" s="59"/>
      <c r="CP575" s="43"/>
      <c r="CQ575" s="34"/>
      <c r="CR575" s="59"/>
      <c r="CT575" s="43"/>
      <c r="CU575" s="34"/>
      <c r="CV575" s="59"/>
    </row>
    <row r="576" spans="4:100">
      <c r="D576" s="30">
        <v>56.6</v>
      </c>
      <c r="E576" s="31">
        <v>0.75229999999999997</v>
      </c>
      <c r="F576" s="32">
        <v>752</v>
      </c>
      <c r="G576" s="33"/>
      <c r="H576" s="30">
        <v>56.6</v>
      </c>
      <c r="I576" s="34">
        <v>3.7829000000000002</v>
      </c>
      <c r="J576" s="35">
        <v>0.15887999999999999</v>
      </c>
      <c r="L576" s="30">
        <v>56.6</v>
      </c>
      <c r="M576" s="172">
        <v>6.2619999999999996</v>
      </c>
      <c r="N576" s="173">
        <v>0.15967999999999999</v>
      </c>
      <c r="P576" s="30">
        <v>56.6</v>
      </c>
      <c r="Q576" s="172">
        <v>3.1312000000000002</v>
      </c>
      <c r="R576" s="173">
        <v>0.13150999999999999</v>
      </c>
      <c r="T576" s="30">
        <v>56.6</v>
      </c>
      <c r="U576" s="172">
        <v>319.36000000000502</v>
      </c>
      <c r="V576" s="173">
        <v>7.6040000000000001</v>
      </c>
      <c r="X576" s="30">
        <v>56.6</v>
      </c>
      <c r="Y576" s="34">
        <v>2.7957000000000001</v>
      </c>
      <c r="Z576" s="35">
        <v>0.11742</v>
      </c>
      <c r="AA576" s="36"/>
      <c r="AB576" s="30">
        <v>56.6</v>
      </c>
      <c r="AC576" s="44">
        <v>357.69</v>
      </c>
      <c r="AD576" s="35">
        <v>8.516</v>
      </c>
      <c r="AE576" s="36"/>
      <c r="AF576" s="30">
        <v>56.6</v>
      </c>
      <c r="AG576" s="34">
        <v>2.8405999999999998</v>
      </c>
      <c r="AH576" s="35">
        <v>0.11931</v>
      </c>
      <c r="AI576" s="35"/>
      <c r="AJ576" s="35">
        <v>0.14038</v>
      </c>
      <c r="AK576" s="998">
        <v>28.4</v>
      </c>
      <c r="AM576" s="30">
        <v>56.6</v>
      </c>
      <c r="AN576" s="34">
        <v>1.2081</v>
      </c>
      <c r="AO576" s="35">
        <v>1.3531</v>
      </c>
      <c r="BX576" s="43"/>
      <c r="BY576" s="34"/>
      <c r="BZ576" s="59"/>
      <c r="CB576" s="43"/>
      <c r="CC576" s="34"/>
      <c r="CD576" s="59"/>
      <c r="CL576" s="43"/>
      <c r="CM576" s="34"/>
      <c r="CN576" s="59"/>
      <c r="CP576" s="43"/>
      <c r="CQ576" s="34"/>
      <c r="CR576" s="59"/>
      <c r="CT576" s="43"/>
      <c r="CU576" s="34"/>
      <c r="CV576" s="59"/>
    </row>
    <row r="577" spans="4:100">
      <c r="D577" s="30">
        <v>56.7</v>
      </c>
      <c r="E577" s="31">
        <v>0.75190000000000001</v>
      </c>
      <c r="F577" s="32">
        <v>751.6</v>
      </c>
      <c r="G577" s="33"/>
      <c r="H577" s="30">
        <v>56.7</v>
      </c>
      <c r="I577" s="34">
        <v>3.7829000000000002</v>
      </c>
      <c r="J577" s="35">
        <v>0.15887999999999999</v>
      </c>
      <c r="L577" s="30">
        <v>56.7</v>
      </c>
      <c r="M577" s="172">
        <v>6.2590000000000003</v>
      </c>
      <c r="N577" s="173">
        <v>0.15977</v>
      </c>
      <c r="P577" s="30">
        <v>56.7</v>
      </c>
      <c r="Q577" s="172">
        <v>3.1295999999999999</v>
      </c>
      <c r="R577" s="173">
        <v>0.13144</v>
      </c>
      <c r="T577" s="30">
        <v>56.7</v>
      </c>
      <c r="U577" s="172">
        <v>319.53000000000497</v>
      </c>
      <c r="V577" s="173">
        <v>7.6079999999999997</v>
      </c>
      <c r="X577" s="30">
        <v>56.7</v>
      </c>
      <c r="Y577" s="34">
        <v>2.7942999999999998</v>
      </c>
      <c r="Z577" s="35">
        <v>0.11736000000000001</v>
      </c>
      <c r="AA577" s="36"/>
      <c r="AB577" s="30">
        <v>56.7</v>
      </c>
      <c r="AC577" s="44">
        <v>357.88</v>
      </c>
      <c r="AD577" s="35">
        <v>8.5210000000000008</v>
      </c>
      <c r="AE577" s="36"/>
      <c r="AF577" s="30">
        <v>56.7</v>
      </c>
      <c r="AG577" s="34">
        <v>2.8391000000000002</v>
      </c>
      <c r="AH577" s="35">
        <v>0.11924</v>
      </c>
      <c r="AI577" s="35"/>
      <c r="AJ577" s="35">
        <v>0.14047000000000001</v>
      </c>
      <c r="AK577" s="998">
        <v>28.3</v>
      </c>
      <c r="AM577" s="30">
        <v>56.7</v>
      </c>
      <c r="AN577" s="34">
        <v>1.2088000000000001</v>
      </c>
      <c r="AO577" s="35">
        <v>1.3537999999999999</v>
      </c>
      <c r="BX577" s="43"/>
      <c r="BY577" s="34"/>
      <c r="BZ577" s="59"/>
      <c r="CB577" s="43"/>
      <c r="CC577" s="34"/>
      <c r="CD577" s="59"/>
      <c r="CL577" s="43"/>
      <c r="CM577" s="34"/>
      <c r="CN577" s="59"/>
      <c r="CP577" s="43"/>
      <c r="CQ577" s="34"/>
      <c r="CR577" s="59"/>
      <c r="CT577" s="43"/>
      <c r="CU577" s="34"/>
      <c r="CV577" s="59"/>
    </row>
    <row r="578" spans="4:100">
      <c r="D578" s="30">
        <v>56.8</v>
      </c>
      <c r="E578" s="31">
        <v>0.75149999999999995</v>
      </c>
      <c r="F578" s="32">
        <v>751.2</v>
      </c>
      <c r="G578" s="33"/>
      <c r="H578" s="30">
        <v>56.8</v>
      </c>
      <c r="I578" s="34">
        <v>3.7829000000000002</v>
      </c>
      <c r="J578" s="35">
        <v>0.15887999999999999</v>
      </c>
      <c r="L578" s="30">
        <v>56.8</v>
      </c>
      <c r="M578" s="172">
        <v>6.2560000000000002</v>
      </c>
      <c r="N578" s="173">
        <v>0.15984999999999999</v>
      </c>
      <c r="P578" s="30">
        <v>56.8</v>
      </c>
      <c r="Q578" s="172">
        <v>3.1278999999999999</v>
      </c>
      <c r="R578" s="173">
        <v>0.13136999999999999</v>
      </c>
      <c r="T578" s="30">
        <v>56.8</v>
      </c>
      <c r="U578" s="172">
        <v>319.70000000000499</v>
      </c>
      <c r="V578" s="173">
        <v>7.6120000000000001</v>
      </c>
      <c r="X578" s="30">
        <v>56.8</v>
      </c>
      <c r="Y578" s="34">
        <v>2.7928000000000002</v>
      </c>
      <c r="Z578" s="35">
        <v>0.1173</v>
      </c>
      <c r="AA578" s="36"/>
      <c r="AB578" s="30">
        <v>56.8</v>
      </c>
      <c r="AC578" s="44">
        <v>358.07</v>
      </c>
      <c r="AD578" s="35">
        <v>8.5250000000000004</v>
      </c>
      <c r="AE578" s="36"/>
      <c r="AF578" s="30">
        <v>56.8</v>
      </c>
      <c r="AG578" s="34">
        <v>2.8376000000000001</v>
      </c>
      <c r="AH578" s="35">
        <v>0.11917999999999999</v>
      </c>
      <c r="AI578" s="35"/>
      <c r="AJ578" s="35">
        <v>0.14055999999999999</v>
      </c>
      <c r="AK578" s="998">
        <v>28.2</v>
      </c>
      <c r="AM578" s="30">
        <v>56.8</v>
      </c>
      <c r="AN578" s="34">
        <v>1.2094</v>
      </c>
      <c r="AO578" s="35">
        <v>1.3545</v>
      </c>
      <c r="BX578" s="43"/>
      <c r="BY578" s="34"/>
      <c r="BZ578" s="59"/>
      <c r="CB578" s="43"/>
      <c r="CC578" s="34"/>
      <c r="CD578" s="59"/>
      <c r="CL578" s="43"/>
      <c r="CM578" s="34"/>
      <c r="CN578" s="59"/>
      <c r="CP578" s="43"/>
      <c r="CQ578" s="34"/>
      <c r="CR578" s="59"/>
      <c r="CT578" s="43"/>
      <c r="CU578" s="34"/>
      <c r="CV578" s="59"/>
    </row>
    <row r="579" spans="4:100">
      <c r="D579" s="30">
        <v>56.9</v>
      </c>
      <c r="E579" s="31">
        <v>0.75109999999999999</v>
      </c>
      <c r="F579" s="32">
        <v>750.8</v>
      </c>
      <c r="G579" s="33"/>
      <c r="H579" s="30">
        <v>56.9</v>
      </c>
      <c r="I579" s="34">
        <v>3.7829000000000002</v>
      </c>
      <c r="J579" s="35">
        <v>0.15887999999999999</v>
      </c>
      <c r="L579" s="30">
        <v>56.9</v>
      </c>
      <c r="M579" s="172">
        <v>6.2519999999999998</v>
      </c>
      <c r="N579" s="173">
        <v>0.15994</v>
      </c>
      <c r="P579" s="30">
        <v>56.9</v>
      </c>
      <c r="Q579" s="172">
        <v>3.1261999999999999</v>
      </c>
      <c r="R579" s="173">
        <v>0.1313</v>
      </c>
      <c r="T579" s="30">
        <v>56.9</v>
      </c>
      <c r="U579" s="172">
        <v>319.87000000000501</v>
      </c>
      <c r="V579" s="173">
        <v>7.6159999999999997</v>
      </c>
      <c r="X579" s="30">
        <v>56.9</v>
      </c>
      <c r="Y579" s="34">
        <v>2.7913000000000001</v>
      </c>
      <c r="Z579" s="35">
        <v>0.11723</v>
      </c>
      <c r="AA579" s="36"/>
      <c r="AB579" s="30">
        <v>56.9</v>
      </c>
      <c r="AC579" s="44">
        <v>358.26</v>
      </c>
      <c r="AD579" s="35">
        <v>8.5299999999999994</v>
      </c>
      <c r="AE579" s="36"/>
      <c r="AF579" s="30">
        <v>56.9</v>
      </c>
      <c r="AG579" s="34">
        <v>2.8361000000000001</v>
      </c>
      <c r="AH579" s="35">
        <v>0.11912</v>
      </c>
      <c r="AI579" s="35"/>
      <c r="AJ579" s="35">
        <v>0.14063999999999999</v>
      </c>
      <c r="AK579" s="998">
        <v>28.1</v>
      </c>
      <c r="AM579" s="30">
        <v>56.9</v>
      </c>
      <c r="AN579" s="34">
        <v>1.21</v>
      </c>
      <c r="AO579" s="35">
        <v>1.3552999999999999</v>
      </c>
      <c r="BX579" s="43"/>
      <c r="BY579" s="34"/>
      <c r="BZ579" s="59"/>
      <c r="CB579" s="43"/>
      <c r="CC579" s="34"/>
      <c r="CD579" s="59"/>
      <c r="CL579" s="43"/>
      <c r="CM579" s="34"/>
      <c r="CN579" s="59"/>
      <c r="CP579" s="43"/>
      <c r="CQ579" s="34"/>
      <c r="CR579" s="59"/>
      <c r="CT579" s="43"/>
      <c r="CU579" s="34"/>
      <c r="CV579" s="59"/>
    </row>
    <row r="580" spans="4:100">
      <c r="D580" s="30">
        <v>57</v>
      </c>
      <c r="E580" s="31">
        <v>0.75070000000000003</v>
      </c>
      <c r="F580" s="32">
        <v>750.4</v>
      </c>
      <c r="G580" s="33"/>
      <c r="H580" s="30">
        <v>57</v>
      </c>
      <c r="I580" s="34">
        <v>3.7829000000000002</v>
      </c>
      <c r="J580" s="35">
        <v>0.15887999999999999</v>
      </c>
      <c r="L580" s="30">
        <v>57</v>
      </c>
      <c r="M580" s="172">
        <v>6.2489999999999997</v>
      </c>
      <c r="N580" s="173">
        <v>0.16002</v>
      </c>
      <c r="P580" s="30">
        <v>57</v>
      </c>
      <c r="Q580" s="172">
        <v>3.1246</v>
      </c>
      <c r="R580" s="173">
        <v>0.13123000000000001</v>
      </c>
      <c r="T580" s="30">
        <v>57</v>
      </c>
      <c r="U580" s="172">
        <v>320.04000000000502</v>
      </c>
      <c r="V580" s="173">
        <v>7.62</v>
      </c>
      <c r="X580" s="30">
        <v>57</v>
      </c>
      <c r="Y580" s="34">
        <v>2.7898000000000001</v>
      </c>
      <c r="Z580" s="35">
        <v>0.11717</v>
      </c>
      <c r="AA580" s="36"/>
      <c r="AB580" s="30">
        <v>57</v>
      </c>
      <c r="AC580" s="44">
        <v>358.45</v>
      </c>
      <c r="AD580" s="35">
        <v>8.5340000000000007</v>
      </c>
      <c r="AE580" s="36"/>
      <c r="AF580" s="30">
        <v>57</v>
      </c>
      <c r="AG580" s="34">
        <v>2.8346</v>
      </c>
      <c r="AH580" s="35">
        <v>0.11905</v>
      </c>
      <c r="AI580" s="35"/>
      <c r="AJ580" s="35">
        <v>0.14072999999999999</v>
      </c>
      <c r="AK580" s="998">
        <v>28</v>
      </c>
      <c r="AM580" s="30">
        <v>57</v>
      </c>
      <c r="AN580" s="34">
        <v>1.2107000000000001</v>
      </c>
      <c r="AO580" s="35">
        <v>1.3560000000000001</v>
      </c>
      <c r="BX580" s="43"/>
      <c r="BY580" s="34"/>
      <c r="BZ580" s="59"/>
      <c r="CB580" s="43"/>
      <c r="CC580" s="34"/>
      <c r="CD580" s="59"/>
      <c r="CL580" s="43"/>
      <c r="CM580" s="34"/>
      <c r="CN580" s="59"/>
      <c r="CP580" s="43"/>
      <c r="CQ580" s="34"/>
      <c r="CR580" s="59"/>
      <c r="CT580" s="43"/>
      <c r="CU580" s="34"/>
      <c r="CV580" s="59"/>
    </row>
    <row r="581" spans="4:100">
      <c r="D581" s="30">
        <v>57.1</v>
      </c>
      <c r="E581" s="31">
        <v>0.75029999999999997</v>
      </c>
      <c r="F581" s="32">
        <v>750</v>
      </c>
      <c r="G581" s="33"/>
      <c r="H581" s="30">
        <v>57.1</v>
      </c>
      <c r="I581" s="34">
        <v>3.7829000000000002</v>
      </c>
      <c r="J581" s="35">
        <v>0.15887999999999999</v>
      </c>
      <c r="L581" s="30">
        <v>57.1</v>
      </c>
      <c r="M581" s="172">
        <v>6.2460000000000004</v>
      </c>
      <c r="N581" s="173">
        <v>0.16011</v>
      </c>
      <c r="P581" s="30">
        <v>57.1</v>
      </c>
      <c r="Q581" s="172">
        <v>3.1229</v>
      </c>
      <c r="R581" s="173">
        <v>0.13116</v>
      </c>
      <c r="T581" s="30">
        <v>57.1</v>
      </c>
      <c r="U581" s="172">
        <v>320.21000000000498</v>
      </c>
      <c r="V581" s="173">
        <v>7.6239999999999997</v>
      </c>
      <c r="X581" s="30">
        <v>57.1</v>
      </c>
      <c r="Y581" s="34">
        <v>2.7883</v>
      </c>
      <c r="Z581" s="35">
        <v>0.11711000000000001</v>
      </c>
      <c r="AA581" s="36"/>
      <c r="AB581" s="30">
        <v>57.1</v>
      </c>
      <c r="AC581" s="44">
        <v>358.64</v>
      </c>
      <c r="AD581" s="35">
        <v>8.5389999999999997</v>
      </c>
      <c r="AE581" s="36"/>
      <c r="AF581" s="30">
        <v>57.1</v>
      </c>
      <c r="AG581" s="34">
        <v>2.8331</v>
      </c>
      <c r="AH581" s="35">
        <v>0.11899</v>
      </c>
      <c r="AI581" s="35"/>
      <c r="AJ581" s="35">
        <v>0.14082</v>
      </c>
      <c r="AK581" s="998">
        <v>27.9</v>
      </c>
      <c r="AM581" s="30">
        <v>57.1</v>
      </c>
      <c r="AN581" s="34">
        <v>1.2113</v>
      </c>
      <c r="AO581" s="35">
        <v>1.3567</v>
      </c>
      <c r="BX581" s="43"/>
      <c r="BY581" s="34"/>
      <c r="BZ581" s="59"/>
      <c r="CB581" s="43"/>
      <c r="CC581" s="34"/>
      <c r="CD581" s="59"/>
      <c r="CL581" s="43"/>
      <c r="CM581" s="34"/>
      <c r="CN581" s="59"/>
      <c r="CP581" s="43"/>
      <c r="CQ581" s="34"/>
      <c r="CR581" s="59"/>
      <c r="CT581" s="43"/>
      <c r="CU581" s="34"/>
      <c r="CV581" s="59"/>
    </row>
    <row r="582" spans="4:100">
      <c r="D582" s="30">
        <v>57.2</v>
      </c>
      <c r="E582" s="31">
        <v>0.74990000000000001</v>
      </c>
      <c r="F582" s="32">
        <v>749.6</v>
      </c>
      <c r="G582" s="33"/>
      <c r="H582" s="30">
        <v>57.2</v>
      </c>
      <c r="I582" s="34">
        <v>3.7829000000000002</v>
      </c>
      <c r="J582" s="35">
        <v>0.15887999999999999</v>
      </c>
      <c r="L582" s="30">
        <v>57.2</v>
      </c>
      <c r="M582" s="172">
        <v>6.2430000000000003</v>
      </c>
      <c r="N582" s="173">
        <v>0.16019</v>
      </c>
      <c r="P582" s="30">
        <v>57.2</v>
      </c>
      <c r="Q582" s="172">
        <v>3.1213000000000002</v>
      </c>
      <c r="R582" s="173">
        <v>0.13109000000000001</v>
      </c>
      <c r="T582" s="30">
        <v>57.2</v>
      </c>
      <c r="U582" s="172">
        <v>320.380000000005</v>
      </c>
      <c r="V582" s="173">
        <v>7.6280000000000001</v>
      </c>
      <c r="X582" s="30">
        <v>57.2</v>
      </c>
      <c r="Y582" s="34">
        <v>2.7867999999999999</v>
      </c>
      <c r="Z582" s="35">
        <v>0.11705</v>
      </c>
      <c r="AA582" s="36"/>
      <c r="AB582" s="30">
        <v>57.2</v>
      </c>
      <c r="AC582" s="44">
        <v>358.83</v>
      </c>
      <c r="AD582" s="35">
        <v>8.5440000000000005</v>
      </c>
      <c r="AE582" s="36"/>
      <c r="AF582" s="30">
        <v>57.2</v>
      </c>
      <c r="AG582" s="34">
        <v>2.8315999999999999</v>
      </c>
      <c r="AH582" s="35">
        <v>0.11892999999999999</v>
      </c>
      <c r="AI582" s="35"/>
      <c r="AJ582" s="35">
        <v>0.14091000000000001</v>
      </c>
      <c r="AK582" s="998">
        <v>27.8</v>
      </c>
      <c r="AM582" s="30">
        <v>57.2</v>
      </c>
      <c r="AN582" s="34">
        <v>1.212</v>
      </c>
      <c r="AO582" s="35">
        <v>1.3573999999999999</v>
      </c>
      <c r="BX582" s="43"/>
      <c r="BY582" s="34"/>
      <c r="BZ582" s="59"/>
      <c r="CB582" s="43"/>
      <c r="CC582" s="34"/>
      <c r="CD582" s="59"/>
      <c r="CL582" s="43"/>
      <c r="CM582" s="34"/>
      <c r="CN582" s="59"/>
      <c r="CP582" s="43"/>
      <c r="CQ582" s="34"/>
      <c r="CR582" s="59"/>
      <c r="CT582" s="43"/>
      <c r="CU582" s="34"/>
      <c r="CV582" s="59"/>
    </row>
    <row r="583" spans="4:100">
      <c r="D583" s="30">
        <v>57.3</v>
      </c>
      <c r="E583" s="31">
        <v>0.74950000000000006</v>
      </c>
      <c r="F583" s="32">
        <v>749.2</v>
      </c>
      <c r="G583" s="33"/>
      <c r="H583" s="30">
        <v>57.3</v>
      </c>
      <c r="I583" s="34">
        <v>3.7829000000000002</v>
      </c>
      <c r="J583" s="35">
        <v>0.15887999999999999</v>
      </c>
      <c r="L583" s="30">
        <v>57.3</v>
      </c>
      <c r="M583" s="172">
        <v>6.2389999999999999</v>
      </c>
      <c r="N583" s="173">
        <v>0.16028000000000001</v>
      </c>
      <c r="P583" s="30">
        <v>57.3</v>
      </c>
      <c r="Q583" s="172">
        <v>3.1196000000000002</v>
      </c>
      <c r="R583" s="173">
        <v>0.13102</v>
      </c>
      <c r="T583" s="30">
        <v>57.3</v>
      </c>
      <c r="U583" s="172">
        <v>320.55000000000598</v>
      </c>
      <c r="V583" s="173">
        <v>7.6319999999999997</v>
      </c>
      <c r="X583" s="30">
        <v>57.3</v>
      </c>
      <c r="Y583" s="34">
        <v>2.7854000000000001</v>
      </c>
      <c r="Z583" s="35">
        <v>0.11699</v>
      </c>
      <c r="AA583" s="36"/>
      <c r="AB583" s="30">
        <v>57.3</v>
      </c>
      <c r="AC583" s="44">
        <v>359.02</v>
      </c>
      <c r="AD583" s="35">
        <v>8.548</v>
      </c>
      <c r="AE583" s="36"/>
      <c r="AF583" s="30">
        <v>57.3</v>
      </c>
      <c r="AG583" s="34">
        <v>2.8300999999999998</v>
      </c>
      <c r="AH583" s="35">
        <v>0.11885999999999999</v>
      </c>
      <c r="AI583" s="35"/>
      <c r="AJ583" s="35">
        <v>0.14099999999999999</v>
      </c>
      <c r="AK583" s="998">
        <v>27.7</v>
      </c>
      <c r="AM583" s="30">
        <v>57.3</v>
      </c>
      <c r="AN583" s="34">
        <v>1.2125999999999999</v>
      </c>
      <c r="AO583" s="35">
        <v>1.3581000000000001</v>
      </c>
      <c r="BX583" s="43"/>
      <c r="BY583" s="34"/>
      <c r="BZ583" s="59"/>
      <c r="CB583" s="43"/>
      <c r="CC583" s="34"/>
      <c r="CD583" s="59"/>
      <c r="CL583" s="43"/>
      <c r="CM583" s="34"/>
      <c r="CN583" s="59"/>
      <c r="CP583" s="43"/>
      <c r="CQ583" s="34"/>
      <c r="CR583" s="59"/>
      <c r="CT583" s="43"/>
      <c r="CU583" s="34"/>
      <c r="CV583" s="59"/>
    </row>
    <row r="584" spans="4:100">
      <c r="D584" s="30">
        <v>57.4</v>
      </c>
      <c r="E584" s="31">
        <v>0.74909999999999999</v>
      </c>
      <c r="F584" s="32">
        <v>748.8</v>
      </c>
      <c r="G584" s="33"/>
      <c r="H584" s="30">
        <v>57.4</v>
      </c>
      <c r="I584" s="34">
        <v>3.7829000000000002</v>
      </c>
      <c r="J584" s="35">
        <v>0.15887999999999999</v>
      </c>
      <c r="L584" s="30">
        <v>57.4</v>
      </c>
      <c r="M584" s="172">
        <v>6.2359999999999998</v>
      </c>
      <c r="N584" s="173">
        <v>0.16036</v>
      </c>
      <c r="P584" s="30">
        <v>57.4</v>
      </c>
      <c r="Q584" s="172">
        <v>3.1179000000000001</v>
      </c>
      <c r="R584" s="173">
        <v>0.13095000000000001</v>
      </c>
      <c r="T584" s="30">
        <v>57.4</v>
      </c>
      <c r="U584" s="172">
        <v>320.72000000000497</v>
      </c>
      <c r="V584" s="173">
        <v>7.6360000000000001</v>
      </c>
      <c r="X584" s="30">
        <v>57.4</v>
      </c>
      <c r="Y584" s="34">
        <v>2.7839</v>
      </c>
      <c r="Z584" s="35">
        <v>0.11692</v>
      </c>
      <c r="AA584" s="36"/>
      <c r="AB584" s="30">
        <v>57.4</v>
      </c>
      <c r="AC584" s="44">
        <v>359.21</v>
      </c>
      <c r="AD584" s="35">
        <v>8.5530000000000008</v>
      </c>
      <c r="AE584" s="36"/>
      <c r="AF584" s="30">
        <v>57.4</v>
      </c>
      <c r="AG584" s="34">
        <v>2.8285999999999998</v>
      </c>
      <c r="AH584" s="35">
        <v>0.1188</v>
      </c>
      <c r="AI584" s="35"/>
      <c r="AJ584" s="35">
        <v>0.14108999999999999</v>
      </c>
      <c r="AK584" s="998">
        <v>27.6</v>
      </c>
      <c r="AM584" s="30">
        <v>57.4</v>
      </c>
      <c r="AN584" s="34">
        <v>1.2133</v>
      </c>
      <c r="AO584" s="35">
        <v>1.3589</v>
      </c>
      <c r="BX584" s="43"/>
      <c r="BY584" s="34"/>
      <c r="BZ584" s="59"/>
      <c r="CB584" s="43"/>
      <c r="CC584" s="34"/>
      <c r="CD584" s="59"/>
      <c r="CL584" s="43"/>
      <c r="CM584" s="34"/>
      <c r="CN584" s="59"/>
      <c r="CP584" s="43"/>
      <c r="CQ584" s="34"/>
      <c r="CR584" s="59"/>
      <c r="CT584" s="43"/>
      <c r="CU584" s="34"/>
      <c r="CV584" s="59"/>
    </row>
    <row r="585" spans="4:100">
      <c r="D585" s="30">
        <v>57.5</v>
      </c>
      <c r="E585" s="31">
        <v>0.74870000000000003</v>
      </c>
      <c r="F585" s="32">
        <v>748.4</v>
      </c>
      <c r="G585" s="33"/>
      <c r="H585" s="30">
        <v>57.5</v>
      </c>
      <c r="I585" s="34">
        <v>3.7829000000000002</v>
      </c>
      <c r="J585" s="35">
        <v>0.15887999999999999</v>
      </c>
      <c r="L585" s="30">
        <v>57.5</v>
      </c>
      <c r="M585" s="172">
        <v>6.2329999999999997</v>
      </c>
      <c r="N585" s="173">
        <v>0.16045000000000001</v>
      </c>
      <c r="P585" s="30">
        <v>57.5</v>
      </c>
      <c r="Q585" s="172">
        <v>3.1162999999999998</v>
      </c>
      <c r="R585" s="173">
        <v>0.13088</v>
      </c>
      <c r="T585" s="30">
        <v>57.5</v>
      </c>
      <c r="U585" s="172">
        <v>320.89000000000601</v>
      </c>
      <c r="V585" s="173">
        <v>7.6400000000000103</v>
      </c>
      <c r="X585" s="30">
        <v>57.5</v>
      </c>
      <c r="Y585" s="34">
        <v>2.7824</v>
      </c>
      <c r="Z585" s="35">
        <v>0.11686000000000001</v>
      </c>
      <c r="AA585" s="36"/>
      <c r="AB585" s="30">
        <v>57.5</v>
      </c>
      <c r="AC585" s="44">
        <v>359.4</v>
      </c>
      <c r="AD585" s="35">
        <v>8.5570000000000004</v>
      </c>
      <c r="AE585" s="36"/>
      <c r="AF585" s="30">
        <v>57.5</v>
      </c>
      <c r="AG585" s="34">
        <v>2.8271000000000002</v>
      </c>
      <c r="AH585" s="35">
        <v>0.11874</v>
      </c>
      <c r="AI585" s="35"/>
      <c r="AJ585" s="35">
        <v>0.14118</v>
      </c>
      <c r="AK585" s="998">
        <v>27.5</v>
      </c>
      <c r="AM585" s="30">
        <v>57.5</v>
      </c>
      <c r="AN585" s="34">
        <v>1.2139</v>
      </c>
      <c r="AO585" s="35">
        <v>1.3595999999999999</v>
      </c>
      <c r="BX585" s="43"/>
      <c r="BY585" s="34"/>
      <c r="BZ585" s="59"/>
      <c r="CB585" s="43"/>
      <c r="CC585" s="34"/>
      <c r="CD585" s="59"/>
      <c r="CL585" s="43"/>
      <c r="CM585" s="34"/>
      <c r="CN585" s="59"/>
      <c r="CP585" s="43"/>
      <c r="CQ585" s="34"/>
      <c r="CR585" s="59"/>
      <c r="CT585" s="43"/>
      <c r="CU585" s="34"/>
      <c r="CV585" s="59"/>
    </row>
    <row r="586" spans="4:100">
      <c r="D586" s="30">
        <v>57.6</v>
      </c>
      <c r="E586" s="31">
        <v>0.74829999999999997</v>
      </c>
      <c r="F586" s="32">
        <v>748</v>
      </c>
      <c r="G586" s="33"/>
      <c r="H586" s="30">
        <v>57.6</v>
      </c>
      <c r="I586" s="34">
        <v>3.7829000000000002</v>
      </c>
      <c r="J586" s="35">
        <v>0.15887999999999999</v>
      </c>
      <c r="L586" s="30">
        <v>57.6</v>
      </c>
      <c r="M586" s="172">
        <v>6.2290000000000001</v>
      </c>
      <c r="N586" s="173">
        <v>0.16053000000000001</v>
      </c>
      <c r="P586" s="30">
        <v>57.6</v>
      </c>
      <c r="Q586" s="172">
        <v>3.1145999999999998</v>
      </c>
      <c r="R586" s="173">
        <v>0.13081999999999999</v>
      </c>
      <c r="T586" s="30">
        <v>57.6</v>
      </c>
      <c r="U586" s="172">
        <v>321.06000000000603</v>
      </c>
      <c r="V586" s="173">
        <v>7.6440000000000099</v>
      </c>
      <c r="X586" s="30">
        <v>57.6</v>
      </c>
      <c r="Y586" s="34">
        <v>2.7808999999999999</v>
      </c>
      <c r="Z586" s="35">
        <v>0.1168</v>
      </c>
      <c r="AA586" s="36"/>
      <c r="AB586" s="30">
        <v>57.6</v>
      </c>
      <c r="AC586" s="44">
        <v>359.59</v>
      </c>
      <c r="AD586" s="35">
        <v>8.5619999999999994</v>
      </c>
      <c r="AE586" s="36"/>
      <c r="AF586" s="30">
        <v>57.6</v>
      </c>
      <c r="AG586" s="34">
        <v>2.8256000000000001</v>
      </c>
      <c r="AH586" s="35">
        <v>0.11867</v>
      </c>
      <c r="AI586" s="35"/>
      <c r="AJ586" s="35">
        <v>0.14126</v>
      </c>
      <c r="AK586" s="998">
        <v>27.4</v>
      </c>
      <c r="AM586" s="30">
        <v>57.6</v>
      </c>
      <c r="AN586" s="34">
        <v>1.2144999999999999</v>
      </c>
      <c r="AO586" s="35">
        <v>1.3603000000000001</v>
      </c>
      <c r="BX586" s="43"/>
      <c r="BY586" s="34"/>
      <c r="BZ586" s="59"/>
      <c r="CB586" s="43"/>
      <c r="CC586" s="34"/>
      <c r="CD586" s="59"/>
      <c r="CL586" s="43"/>
      <c r="CM586" s="34"/>
      <c r="CN586" s="59"/>
      <c r="CP586" s="43"/>
      <c r="CQ586" s="34"/>
      <c r="CR586" s="59"/>
      <c r="CT586" s="43"/>
      <c r="CU586" s="34"/>
      <c r="CV586" s="59"/>
    </row>
    <row r="587" spans="4:100">
      <c r="D587" s="30">
        <v>57.7</v>
      </c>
      <c r="E587" s="31">
        <v>0.74790000000000001</v>
      </c>
      <c r="F587" s="32">
        <v>747.6</v>
      </c>
      <c r="G587" s="33"/>
      <c r="H587" s="30">
        <v>57.7</v>
      </c>
      <c r="I587" s="34">
        <v>3.7829000000000002</v>
      </c>
      <c r="J587" s="35">
        <v>0.15887999999999999</v>
      </c>
      <c r="L587" s="30">
        <v>57.7</v>
      </c>
      <c r="M587" s="172">
        <v>6.226</v>
      </c>
      <c r="N587" s="173">
        <v>0.16062000000000001</v>
      </c>
      <c r="P587" s="30">
        <v>57.7</v>
      </c>
      <c r="Q587" s="172">
        <v>3.113</v>
      </c>
      <c r="R587" s="173">
        <v>0.13075000000000001</v>
      </c>
      <c r="T587" s="30">
        <v>57.7</v>
      </c>
      <c r="U587" s="172">
        <v>321.23000000000599</v>
      </c>
      <c r="V587" s="173">
        <v>7.6480000000000103</v>
      </c>
      <c r="X587" s="30">
        <v>57.7</v>
      </c>
      <c r="Y587" s="34">
        <v>2.7795000000000001</v>
      </c>
      <c r="Z587" s="35">
        <v>0.11674</v>
      </c>
      <c r="AA587" s="36"/>
      <c r="AB587" s="30">
        <v>57.7</v>
      </c>
      <c r="AC587" s="44">
        <v>359.78</v>
      </c>
      <c r="AD587" s="35">
        <v>8.5660000000000007</v>
      </c>
      <c r="AE587" s="36"/>
      <c r="AF587" s="30">
        <v>57.7</v>
      </c>
      <c r="AG587" s="34">
        <v>2.8241000000000001</v>
      </c>
      <c r="AH587" s="35">
        <v>0.11860999999999999</v>
      </c>
      <c r="AI587" s="35"/>
      <c r="AJ587" s="35">
        <v>0.14135</v>
      </c>
      <c r="AK587" s="998">
        <v>27.3</v>
      </c>
      <c r="AM587" s="30">
        <v>57.7</v>
      </c>
      <c r="AN587" s="34">
        <v>1.2152000000000001</v>
      </c>
      <c r="AO587" s="35">
        <v>1.361</v>
      </c>
      <c r="BX587" s="43"/>
      <c r="BY587" s="34"/>
      <c r="BZ587" s="59"/>
      <c r="CB587" s="43"/>
      <c r="CC587" s="34"/>
      <c r="CD587" s="59"/>
      <c r="CL587" s="43"/>
      <c r="CM587" s="34"/>
      <c r="CN587" s="59"/>
      <c r="CP587" s="43"/>
      <c r="CQ587" s="34"/>
      <c r="CR587" s="59"/>
      <c r="CT587" s="43"/>
      <c r="CU587" s="34"/>
      <c r="CV587" s="59"/>
    </row>
    <row r="588" spans="4:100">
      <c r="D588" s="30">
        <v>57.8</v>
      </c>
      <c r="E588" s="31">
        <v>0.74750000000000005</v>
      </c>
      <c r="F588" s="32">
        <v>747.3</v>
      </c>
      <c r="G588" s="33"/>
      <c r="H588" s="30">
        <v>57.8</v>
      </c>
      <c r="I588" s="34">
        <v>3.7829000000000002</v>
      </c>
      <c r="J588" s="35">
        <v>0.15887999999999999</v>
      </c>
      <c r="L588" s="30">
        <v>57.8</v>
      </c>
      <c r="M588" s="172">
        <v>6.2229999999999999</v>
      </c>
      <c r="N588" s="173">
        <v>0.16070000000000001</v>
      </c>
      <c r="P588" s="30">
        <v>57.8</v>
      </c>
      <c r="Q588" s="172">
        <v>3.1113</v>
      </c>
      <c r="R588" s="173">
        <v>0.13067999999999999</v>
      </c>
      <c r="T588" s="30">
        <v>57.8</v>
      </c>
      <c r="U588" s="172">
        <v>321.40000000000498</v>
      </c>
      <c r="V588" s="173">
        <v>7.6520000000000099</v>
      </c>
      <c r="X588" s="30">
        <v>57.8</v>
      </c>
      <c r="Y588" s="34">
        <v>2.778</v>
      </c>
      <c r="Z588" s="35">
        <v>0.11668000000000001</v>
      </c>
      <c r="AA588" s="36"/>
      <c r="AB588" s="30">
        <v>57.8</v>
      </c>
      <c r="AC588" s="44">
        <v>359.97</v>
      </c>
      <c r="AD588" s="35">
        <v>8.5709999999999997</v>
      </c>
      <c r="AE588" s="36"/>
      <c r="AF588" s="30">
        <v>57.8</v>
      </c>
      <c r="AG588" s="34">
        <v>2.8226</v>
      </c>
      <c r="AH588" s="35">
        <v>0.11855</v>
      </c>
      <c r="AI588" s="35"/>
      <c r="AJ588" s="35">
        <v>0.14144000000000001</v>
      </c>
      <c r="AK588" s="998">
        <v>27.2</v>
      </c>
      <c r="AM588" s="30">
        <v>57.8</v>
      </c>
      <c r="AN588" s="34">
        <v>1.2158</v>
      </c>
      <c r="AO588" s="35">
        <v>1.3616999999999999</v>
      </c>
      <c r="BX588" s="43"/>
      <c r="BY588" s="34"/>
      <c r="BZ588" s="59"/>
      <c r="CB588" s="43"/>
      <c r="CC588" s="34"/>
      <c r="CD588" s="59"/>
      <c r="CL588" s="43"/>
      <c r="CM588" s="34"/>
      <c r="CN588" s="59"/>
      <c r="CP588" s="43"/>
      <c r="CQ588" s="34"/>
      <c r="CR588" s="59"/>
      <c r="CT588" s="43"/>
      <c r="CU588" s="34"/>
      <c r="CV588" s="59"/>
    </row>
    <row r="589" spans="4:100">
      <c r="D589" s="30">
        <v>57.9</v>
      </c>
      <c r="E589" s="31">
        <v>0.74709999999999999</v>
      </c>
      <c r="F589" s="32">
        <v>746.9</v>
      </c>
      <c r="G589" s="33"/>
      <c r="H589" s="30">
        <v>57.9</v>
      </c>
      <c r="I589" s="34">
        <v>3.7829000000000002</v>
      </c>
      <c r="J589" s="35">
        <v>0.15887999999999999</v>
      </c>
      <c r="L589" s="30">
        <v>57.9</v>
      </c>
      <c r="M589" s="172">
        <v>6.2190000000000003</v>
      </c>
      <c r="N589" s="173">
        <v>0.16078999999999999</v>
      </c>
      <c r="P589" s="30">
        <v>57.9</v>
      </c>
      <c r="Q589" s="172">
        <v>3.1097000000000001</v>
      </c>
      <c r="R589" s="173">
        <v>0.13061</v>
      </c>
      <c r="T589" s="30">
        <v>57.9</v>
      </c>
      <c r="U589" s="172">
        <v>321.57000000000602</v>
      </c>
      <c r="V589" s="173">
        <v>7.657</v>
      </c>
      <c r="X589" s="30">
        <v>57.9</v>
      </c>
      <c r="Y589" s="34">
        <v>2.7765</v>
      </c>
      <c r="Z589" s="35">
        <v>0.11661000000000001</v>
      </c>
      <c r="AA589" s="36"/>
      <c r="AB589" s="30">
        <v>57.9</v>
      </c>
      <c r="AC589" s="44">
        <v>360.16</v>
      </c>
      <c r="AD589" s="35">
        <v>8.5749999999999993</v>
      </c>
      <c r="AE589" s="36"/>
      <c r="AF589" s="30">
        <v>57.9</v>
      </c>
      <c r="AG589" s="34">
        <v>2.8210999999999999</v>
      </c>
      <c r="AH589" s="35">
        <v>0.11849</v>
      </c>
      <c r="AI589" s="35"/>
      <c r="AJ589" s="35">
        <v>0.14152999999999999</v>
      </c>
      <c r="AK589" s="998">
        <v>27.1</v>
      </c>
      <c r="AM589" s="30">
        <v>57.9</v>
      </c>
      <c r="AN589" s="34">
        <v>1.2164999999999999</v>
      </c>
      <c r="AO589" s="35">
        <v>1.3625</v>
      </c>
      <c r="BX589" s="43"/>
      <c r="BY589" s="34"/>
      <c r="BZ589" s="59"/>
      <c r="CB589" s="43"/>
      <c r="CC589" s="34"/>
      <c r="CD589" s="59"/>
      <c r="CL589" s="43"/>
      <c r="CM589" s="34"/>
      <c r="CN589" s="59"/>
      <c r="CP589" s="43"/>
      <c r="CQ589" s="34"/>
      <c r="CR589" s="59"/>
      <c r="CT589" s="43"/>
      <c r="CU589" s="34"/>
      <c r="CV589" s="59"/>
    </row>
    <row r="590" spans="4:100">
      <c r="D590" s="30">
        <v>58</v>
      </c>
      <c r="E590" s="31">
        <v>0.74670000000000003</v>
      </c>
      <c r="F590" s="32">
        <v>746.5</v>
      </c>
      <c r="G590" s="33"/>
      <c r="H590" s="30">
        <v>58</v>
      </c>
      <c r="I590" s="34">
        <v>3.7829000000000002</v>
      </c>
      <c r="J590" s="35">
        <v>0.15887999999999999</v>
      </c>
      <c r="L590" s="30">
        <v>58</v>
      </c>
      <c r="M590" s="172">
        <v>6.2160000000000002</v>
      </c>
      <c r="N590" s="173">
        <v>0.16087000000000001</v>
      </c>
      <c r="P590" s="30">
        <v>58</v>
      </c>
      <c r="Q590" s="172">
        <v>3.1080999999999999</v>
      </c>
      <c r="R590" s="173">
        <v>0.13053999999999999</v>
      </c>
      <c r="T590" s="30">
        <v>58</v>
      </c>
      <c r="U590" s="172">
        <v>321.74000000000598</v>
      </c>
      <c r="V590" s="173">
        <v>7.6609999999999996</v>
      </c>
      <c r="X590" s="30">
        <v>58</v>
      </c>
      <c r="Y590" s="34">
        <v>2.7751000000000001</v>
      </c>
      <c r="Z590" s="35">
        <v>0.11655</v>
      </c>
      <c r="AA590" s="36"/>
      <c r="AB590" s="30">
        <v>58</v>
      </c>
      <c r="AC590" s="44">
        <v>360.35</v>
      </c>
      <c r="AD590" s="35">
        <v>8.58</v>
      </c>
      <c r="AE590" s="36"/>
      <c r="AF590" s="30">
        <v>58</v>
      </c>
      <c r="AG590" s="34">
        <v>2.8195999999999999</v>
      </c>
      <c r="AH590" s="35">
        <v>0.11842</v>
      </c>
      <c r="AI590" s="35"/>
      <c r="AJ590" s="35">
        <v>0.14162</v>
      </c>
      <c r="AK590" s="998">
        <v>27</v>
      </c>
      <c r="AM590" s="30">
        <v>58</v>
      </c>
      <c r="AN590" s="34">
        <v>1.2171000000000001</v>
      </c>
      <c r="AO590" s="35">
        <v>1.3632</v>
      </c>
      <c r="BX590" s="43"/>
      <c r="BY590" s="34"/>
      <c r="BZ590" s="59"/>
      <c r="CB590" s="43"/>
      <c r="CC590" s="34"/>
      <c r="CD590" s="59"/>
      <c r="CL590" s="43"/>
      <c r="CM590" s="34"/>
      <c r="CN590" s="59"/>
      <c r="CP590" s="43"/>
      <c r="CQ590" s="34"/>
      <c r="CR590" s="59"/>
      <c r="CT590" s="43"/>
      <c r="CU590" s="34"/>
      <c r="CV590" s="59"/>
    </row>
    <row r="591" spans="4:100">
      <c r="D591" s="30">
        <v>58.1</v>
      </c>
      <c r="E591" s="31">
        <v>0.74629999999999996</v>
      </c>
      <c r="F591" s="32">
        <v>746.1</v>
      </c>
      <c r="G591" s="33"/>
      <c r="H591" s="30">
        <v>58.1</v>
      </c>
      <c r="I591" s="34">
        <v>3.7829000000000002</v>
      </c>
      <c r="J591" s="35">
        <v>0.15887999999999999</v>
      </c>
      <c r="L591" s="30">
        <v>58.1</v>
      </c>
      <c r="M591" s="172">
        <v>6.2130000000000001</v>
      </c>
      <c r="N591" s="173">
        <v>0.16095999999999999</v>
      </c>
      <c r="P591" s="30">
        <v>58.1</v>
      </c>
      <c r="Q591" s="172">
        <v>3.1063999999999998</v>
      </c>
      <c r="R591" s="173">
        <v>0.13047</v>
      </c>
      <c r="T591" s="30">
        <v>58.1</v>
      </c>
      <c r="U591" s="172">
        <v>321.91000000000599</v>
      </c>
      <c r="V591" s="173">
        <v>7.665</v>
      </c>
      <c r="X591" s="30">
        <v>58.1</v>
      </c>
      <c r="Y591" s="34">
        <v>2.7736000000000001</v>
      </c>
      <c r="Z591" s="35">
        <v>0.11649</v>
      </c>
      <c r="AA591" s="36"/>
      <c r="AB591" s="30">
        <v>58.1</v>
      </c>
      <c r="AC591" s="44">
        <v>360.54</v>
      </c>
      <c r="AD591" s="35">
        <v>8.5839999999999996</v>
      </c>
      <c r="AE591" s="36"/>
      <c r="AF591" s="30">
        <v>58.1</v>
      </c>
      <c r="AG591" s="34">
        <v>2.8180999999999998</v>
      </c>
      <c r="AH591" s="35">
        <v>0.11836000000000001</v>
      </c>
      <c r="AI591" s="35"/>
      <c r="AJ591" s="35">
        <v>0.14171</v>
      </c>
      <c r="AK591" s="998">
        <v>26.9</v>
      </c>
      <c r="AM591" s="30">
        <v>58.1</v>
      </c>
      <c r="AN591" s="34">
        <v>1.2178</v>
      </c>
      <c r="AO591" s="35">
        <v>1.3638999999999999</v>
      </c>
      <c r="BX591" s="43"/>
      <c r="BY591" s="34"/>
      <c r="BZ591" s="59"/>
      <c r="CB591" s="43"/>
      <c r="CC591" s="34"/>
      <c r="CD591" s="59"/>
      <c r="CL591" s="43"/>
      <c r="CM591" s="34"/>
      <c r="CN591" s="59"/>
      <c r="CP591" s="43"/>
      <c r="CQ591" s="34"/>
      <c r="CR591" s="59"/>
      <c r="CT591" s="43"/>
      <c r="CU591" s="34"/>
      <c r="CV591" s="59"/>
    </row>
    <row r="592" spans="4:100">
      <c r="D592" s="30">
        <v>58.2</v>
      </c>
      <c r="E592" s="31">
        <v>0.74590000000000001</v>
      </c>
      <c r="F592" s="32">
        <v>745.7</v>
      </c>
      <c r="G592" s="33"/>
      <c r="H592" s="30">
        <v>58.2</v>
      </c>
      <c r="I592" s="34">
        <v>3.7829000000000002</v>
      </c>
      <c r="J592" s="35">
        <v>0.15887999999999999</v>
      </c>
      <c r="L592" s="30">
        <v>58.2</v>
      </c>
      <c r="M592" s="172">
        <v>6.21</v>
      </c>
      <c r="N592" s="173">
        <v>0.16103999999999999</v>
      </c>
      <c r="P592" s="30">
        <v>58.2</v>
      </c>
      <c r="Q592" s="172">
        <v>3.1048</v>
      </c>
      <c r="R592" s="173">
        <v>0.13039999999999999</v>
      </c>
      <c r="T592" s="30">
        <v>58.2</v>
      </c>
      <c r="U592" s="172">
        <v>322.08000000000601</v>
      </c>
      <c r="V592" s="173">
        <v>7.6689999999999996</v>
      </c>
      <c r="X592" s="30">
        <v>58.2</v>
      </c>
      <c r="Y592" s="34">
        <v>2.7721</v>
      </c>
      <c r="Z592" s="35">
        <v>0.11643000000000001</v>
      </c>
      <c r="AA592" s="36"/>
      <c r="AB592" s="30">
        <v>58.2</v>
      </c>
      <c r="AC592" s="44">
        <v>360.73</v>
      </c>
      <c r="AD592" s="35">
        <v>8.5890000000000004</v>
      </c>
      <c r="AE592" s="36"/>
      <c r="AF592" s="30">
        <v>58.2</v>
      </c>
      <c r="AG592" s="34">
        <v>2.8166000000000002</v>
      </c>
      <c r="AH592" s="35">
        <v>0.1183</v>
      </c>
      <c r="AI592" s="35"/>
      <c r="AJ592" s="35">
        <v>0.14180000000000001</v>
      </c>
      <c r="AK592" s="998">
        <v>26.8</v>
      </c>
      <c r="AM592" s="30">
        <v>58.2</v>
      </c>
      <c r="AN592" s="34">
        <v>1.2183999999999999</v>
      </c>
      <c r="AO592" s="35">
        <v>1.3646</v>
      </c>
      <c r="BX592" s="43"/>
      <c r="BY592" s="34"/>
      <c r="BZ592" s="59"/>
      <c r="CB592" s="43"/>
      <c r="CC592" s="34"/>
      <c r="CD592" s="59"/>
      <c r="CL592" s="43"/>
      <c r="CM592" s="34"/>
      <c r="CN592" s="59"/>
      <c r="CP592" s="43"/>
      <c r="CQ592" s="34"/>
      <c r="CR592" s="59"/>
      <c r="CT592" s="43"/>
      <c r="CU592" s="34"/>
      <c r="CV592" s="59"/>
    </row>
    <row r="593" spans="4:100">
      <c r="D593" s="30">
        <v>58.3</v>
      </c>
      <c r="E593" s="31">
        <v>0.74550000000000005</v>
      </c>
      <c r="F593" s="32">
        <v>745.3</v>
      </c>
      <c r="G593" s="33"/>
      <c r="H593" s="30">
        <v>58.3</v>
      </c>
      <c r="I593" s="34">
        <v>3.7829000000000002</v>
      </c>
      <c r="J593" s="35">
        <v>0.15887999999999999</v>
      </c>
      <c r="L593" s="30">
        <v>58.3</v>
      </c>
      <c r="M593" s="172">
        <v>6.2060000000000004</v>
      </c>
      <c r="N593" s="173">
        <v>0.16113</v>
      </c>
      <c r="P593" s="30">
        <v>58.3</v>
      </c>
      <c r="Q593" s="172">
        <v>3.1031</v>
      </c>
      <c r="R593" s="173">
        <v>0.13033</v>
      </c>
      <c r="T593" s="30">
        <v>58.3</v>
      </c>
      <c r="U593" s="172">
        <v>322.25000000000603</v>
      </c>
      <c r="V593" s="173">
        <v>7.673</v>
      </c>
      <c r="X593" s="30">
        <v>58.3</v>
      </c>
      <c r="Y593" s="34">
        <v>2.7707000000000002</v>
      </c>
      <c r="Z593" s="35">
        <v>0.11637</v>
      </c>
      <c r="AA593" s="36"/>
      <c r="AB593" s="30">
        <v>58.3</v>
      </c>
      <c r="AC593" s="44">
        <v>360.93</v>
      </c>
      <c r="AD593" s="35">
        <v>8.593</v>
      </c>
      <c r="AE593" s="36"/>
      <c r="AF593" s="30">
        <v>58.3</v>
      </c>
      <c r="AG593" s="34">
        <v>2.8151000000000002</v>
      </c>
      <c r="AH593" s="35">
        <v>0.11824</v>
      </c>
      <c r="AI593" s="35"/>
      <c r="AJ593" s="35">
        <v>0.14188999999999999</v>
      </c>
      <c r="AK593" s="998">
        <v>26.7</v>
      </c>
      <c r="AM593" s="30">
        <v>58.3</v>
      </c>
      <c r="AN593" s="34">
        <v>1.2190000000000001</v>
      </c>
      <c r="AO593" s="35">
        <v>1.3653</v>
      </c>
      <c r="BX593" s="43"/>
      <c r="BY593" s="34"/>
      <c r="BZ593" s="59"/>
      <c r="CB593" s="43"/>
      <c r="CC593" s="34"/>
      <c r="CD593" s="59"/>
      <c r="CL593" s="43"/>
      <c r="CM593" s="34"/>
      <c r="CN593" s="59"/>
      <c r="CP593" s="43"/>
      <c r="CQ593" s="34"/>
      <c r="CR593" s="59"/>
      <c r="CT593" s="43"/>
      <c r="CU593" s="34"/>
      <c r="CV593" s="59"/>
    </row>
    <row r="594" spans="4:100">
      <c r="D594" s="30">
        <v>58.4</v>
      </c>
      <c r="E594" s="31">
        <v>0.74509999999999998</v>
      </c>
      <c r="F594" s="32">
        <v>744.9</v>
      </c>
      <c r="G594" s="33"/>
      <c r="H594" s="30">
        <v>58.4</v>
      </c>
      <c r="I594" s="34">
        <v>3.7829000000000002</v>
      </c>
      <c r="J594" s="35">
        <v>0.15887999999999999</v>
      </c>
      <c r="L594" s="30">
        <v>58.4</v>
      </c>
      <c r="M594" s="172">
        <v>6.2030000000000003</v>
      </c>
      <c r="N594" s="173">
        <v>0.16120999999999999</v>
      </c>
      <c r="P594" s="30">
        <v>58.4</v>
      </c>
      <c r="Q594" s="172">
        <v>3.1015000000000001</v>
      </c>
      <c r="R594" s="173">
        <v>0.13025999999999999</v>
      </c>
      <c r="T594" s="30">
        <v>58.4</v>
      </c>
      <c r="U594" s="172">
        <v>322.42000000000598</v>
      </c>
      <c r="V594" s="173">
        <v>7.6769999999999996</v>
      </c>
      <c r="X594" s="30">
        <v>58.4</v>
      </c>
      <c r="Y594" s="34">
        <v>2.7692000000000001</v>
      </c>
      <c r="Z594" s="35">
        <v>0.11631</v>
      </c>
      <c r="AA594" s="36"/>
      <c r="AB594" s="30">
        <v>58.4</v>
      </c>
      <c r="AC594" s="44">
        <v>361.12</v>
      </c>
      <c r="AD594" s="35">
        <v>8.5980000000000008</v>
      </c>
      <c r="AE594" s="36"/>
      <c r="AF594" s="30">
        <v>58.4</v>
      </c>
      <c r="AG594" s="34">
        <v>2.8136000000000001</v>
      </c>
      <c r="AH594" s="35">
        <v>0.11817</v>
      </c>
      <c r="AI594" s="35"/>
      <c r="AJ594" s="35">
        <v>0.14198</v>
      </c>
      <c r="AK594" s="998">
        <v>26.6</v>
      </c>
      <c r="AM594" s="30">
        <v>58.4</v>
      </c>
      <c r="AN594" s="34">
        <v>1.2197</v>
      </c>
      <c r="AO594" s="35">
        <v>1.3660000000000001</v>
      </c>
      <c r="BX594" s="43"/>
      <c r="BY594" s="34"/>
      <c r="BZ594" s="59"/>
      <c r="CB594" s="43"/>
      <c r="CC594" s="34"/>
      <c r="CD594" s="59"/>
      <c r="CL594" s="43"/>
      <c r="CM594" s="34"/>
      <c r="CN594" s="59"/>
      <c r="CP594" s="43"/>
      <c r="CQ594" s="34"/>
      <c r="CR594" s="59"/>
      <c r="CT594" s="43"/>
      <c r="CU594" s="34"/>
      <c r="CV594" s="59"/>
    </row>
    <row r="595" spans="4:100">
      <c r="D595" s="30">
        <v>58.5</v>
      </c>
      <c r="E595" s="31">
        <v>0.74470000000000003</v>
      </c>
      <c r="F595" s="32">
        <v>744.5</v>
      </c>
      <c r="G595" s="33"/>
      <c r="H595" s="30">
        <v>58.5</v>
      </c>
      <c r="I595" s="34">
        <v>3.7829000000000002</v>
      </c>
      <c r="J595" s="35">
        <v>0.15887999999999999</v>
      </c>
      <c r="L595" s="30">
        <v>58.5</v>
      </c>
      <c r="M595" s="172">
        <v>6.2</v>
      </c>
      <c r="N595" s="173">
        <v>0.1613</v>
      </c>
      <c r="P595" s="30">
        <v>58.5</v>
      </c>
      <c r="Q595" s="172">
        <v>3.0998999999999999</v>
      </c>
      <c r="R595" s="173">
        <v>0.13019</v>
      </c>
      <c r="T595" s="30">
        <v>58.5</v>
      </c>
      <c r="U595" s="172">
        <v>322.590000000006</v>
      </c>
      <c r="V595" s="173">
        <v>7.681</v>
      </c>
      <c r="X595" s="30">
        <v>58.5</v>
      </c>
      <c r="Y595" s="34">
        <v>2.7677</v>
      </c>
      <c r="Z595" s="35">
        <v>0.11624</v>
      </c>
      <c r="AA595" s="36"/>
      <c r="AB595" s="30">
        <v>58.5</v>
      </c>
      <c r="AC595" s="44">
        <v>361.31</v>
      </c>
      <c r="AD595" s="35">
        <v>8.6029999999999998</v>
      </c>
      <c r="AE595" s="36"/>
      <c r="AF595" s="30">
        <v>58.5</v>
      </c>
      <c r="AG595" s="34">
        <v>2.8121999999999998</v>
      </c>
      <c r="AH595" s="35">
        <v>0.11811000000000001</v>
      </c>
      <c r="AI595" s="35"/>
      <c r="AJ595" s="35">
        <v>0.14207</v>
      </c>
      <c r="AK595" s="998">
        <v>26.5</v>
      </c>
      <c r="AM595" s="30">
        <v>58.5</v>
      </c>
      <c r="AN595" s="34">
        <v>1.2202999999999999</v>
      </c>
      <c r="AO595" s="35">
        <v>1.3668</v>
      </c>
      <c r="BX595" s="43"/>
      <c r="BY595" s="34"/>
      <c r="BZ595" s="59"/>
      <c r="CB595" s="43"/>
      <c r="CC595" s="34"/>
      <c r="CD595" s="59"/>
      <c r="CL595" s="43"/>
      <c r="CM595" s="34"/>
      <c r="CN595" s="59"/>
      <c r="CP595" s="43"/>
      <c r="CQ595" s="34"/>
      <c r="CR595" s="59"/>
      <c r="CT595" s="43"/>
      <c r="CU595" s="34"/>
      <c r="CV595" s="59"/>
    </row>
    <row r="596" spans="4:100">
      <c r="D596" s="30">
        <v>58.6</v>
      </c>
      <c r="E596" s="31">
        <v>0.74429999999999996</v>
      </c>
      <c r="F596" s="32">
        <v>744.13</v>
      </c>
      <c r="G596" s="33"/>
      <c r="H596" s="30">
        <v>58.6</v>
      </c>
      <c r="I596" s="34">
        <v>3.7829000000000002</v>
      </c>
      <c r="J596" s="35">
        <v>0.15887999999999999</v>
      </c>
      <c r="L596" s="30">
        <v>58.6</v>
      </c>
      <c r="M596" s="172">
        <v>6.1959999999999997</v>
      </c>
      <c r="N596" s="173">
        <v>0.16138</v>
      </c>
      <c r="P596" s="30">
        <v>58.6</v>
      </c>
      <c r="Q596" s="172">
        <v>3.0981999999999998</v>
      </c>
      <c r="R596" s="173">
        <v>0.13013</v>
      </c>
      <c r="T596" s="30">
        <v>58.6</v>
      </c>
      <c r="U596" s="172">
        <v>322.76000000000602</v>
      </c>
      <c r="V596" s="173">
        <v>7.6849999999999996</v>
      </c>
      <c r="X596" s="30">
        <v>58.6</v>
      </c>
      <c r="Y596" s="34">
        <v>2.7663000000000002</v>
      </c>
      <c r="Z596" s="35">
        <v>0.11618000000000001</v>
      </c>
      <c r="AA596" s="36"/>
      <c r="AB596" s="30">
        <v>58.6</v>
      </c>
      <c r="AC596" s="44">
        <v>361.5</v>
      </c>
      <c r="AD596" s="35">
        <v>8.6069999999999993</v>
      </c>
      <c r="AE596" s="36"/>
      <c r="AF596" s="30">
        <v>58.6</v>
      </c>
      <c r="AG596" s="34">
        <v>2.8107000000000002</v>
      </c>
      <c r="AH596" s="35">
        <v>0.11805</v>
      </c>
      <c r="AI596" s="35"/>
      <c r="AJ596" s="35">
        <v>0.14216000000000001</v>
      </c>
      <c r="AK596" s="998">
        <v>26.4</v>
      </c>
      <c r="AM596" s="30">
        <v>58.6</v>
      </c>
      <c r="AN596" s="34">
        <v>1.2210000000000001</v>
      </c>
      <c r="AO596" s="35">
        <v>1.3674999999999999</v>
      </c>
      <c r="BX596" s="43"/>
      <c r="BY596" s="34"/>
      <c r="BZ596" s="59"/>
      <c r="CB596" s="43"/>
      <c r="CC596" s="34"/>
      <c r="CD596" s="59"/>
      <c r="CL596" s="43"/>
      <c r="CM596" s="34"/>
      <c r="CN596" s="59"/>
      <c r="CP596" s="43"/>
      <c r="CQ596" s="34"/>
      <c r="CR596" s="59"/>
      <c r="CT596" s="43"/>
      <c r="CU596" s="34"/>
      <c r="CV596" s="59"/>
    </row>
    <row r="597" spans="4:100">
      <c r="D597" s="30">
        <v>58.7</v>
      </c>
      <c r="E597" s="31">
        <v>0.74399999999999999</v>
      </c>
      <c r="F597" s="32">
        <v>743.7</v>
      </c>
      <c r="G597" s="33"/>
      <c r="H597" s="30">
        <v>58.7</v>
      </c>
      <c r="I597" s="34">
        <v>3.7829000000000002</v>
      </c>
      <c r="J597" s="35">
        <v>0.15887999999999999</v>
      </c>
      <c r="L597" s="30">
        <v>58.7</v>
      </c>
      <c r="M597" s="172">
        <v>6.1929999999999996</v>
      </c>
      <c r="N597" s="173">
        <v>0.16147</v>
      </c>
      <c r="P597" s="30">
        <v>58.7</v>
      </c>
      <c r="Q597" s="172">
        <v>3.0966</v>
      </c>
      <c r="R597" s="173">
        <v>0.13006000000000001</v>
      </c>
      <c r="T597" s="30">
        <v>58.7</v>
      </c>
      <c r="U597" s="172">
        <v>322.93000000000598</v>
      </c>
      <c r="V597" s="173">
        <v>7.6890000000000001</v>
      </c>
      <c r="X597" s="30">
        <v>58.7</v>
      </c>
      <c r="Y597" s="34">
        <v>2.7648000000000001</v>
      </c>
      <c r="Z597" s="35">
        <v>0.11612</v>
      </c>
      <c r="AA597" s="36"/>
      <c r="AB597" s="30">
        <v>58.7</v>
      </c>
      <c r="AC597" s="44">
        <v>361.69</v>
      </c>
      <c r="AD597" s="35">
        <v>8.6120000000000001</v>
      </c>
      <c r="AE597" s="36"/>
      <c r="AF597" s="30">
        <v>58.7</v>
      </c>
      <c r="AG597" s="34">
        <v>2.8092000000000001</v>
      </c>
      <c r="AH597" s="35">
        <v>0.11799</v>
      </c>
      <c r="AI597" s="35"/>
      <c r="AJ597" s="35">
        <v>0.14224999999999999</v>
      </c>
      <c r="AK597" s="998">
        <v>26.3</v>
      </c>
      <c r="AM597" s="30">
        <v>58.7</v>
      </c>
      <c r="AN597" s="34">
        <v>1.2216</v>
      </c>
      <c r="AO597" s="35">
        <v>1.3682000000000001</v>
      </c>
      <c r="BX597" s="43"/>
      <c r="BY597" s="34"/>
      <c r="BZ597" s="59"/>
      <c r="CB597" s="43"/>
      <c r="CC597" s="34"/>
      <c r="CD597" s="59"/>
      <c r="CL597" s="43"/>
      <c r="CM597" s="34"/>
      <c r="CN597" s="59"/>
      <c r="CP597" s="43"/>
      <c r="CQ597" s="34"/>
      <c r="CR597" s="59"/>
      <c r="CT597" s="43"/>
      <c r="CU597" s="34"/>
      <c r="CV597" s="59"/>
    </row>
    <row r="598" spans="4:100">
      <c r="D598" s="30">
        <v>58.8</v>
      </c>
      <c r="E598" s="31">
        <v>0.74360000000000004</v>
      </c>
      <c r="F598" s="32">
        <v>743.3</v>
      </c>
      <c r="G598" s="33"/>
      <c r="H598" s="30">
        <v>58.8</v>
      </c>
      <c r="I598" s="34">
        <v>3.7829000000000002</v>
      </c>
      <c r="J598" s="35">
        <v>0.15887999999999999</v>
      </c>
      <c r="L598" s="30">
        <v>58.8</v>
      </c>
      <c r="M598" s="172">
        <v>6.19</v>
      </c>
      <c r="N598" s="173">
        <v>0.16155</v>
      </c>
      <c r="P598" s="30">
        <v>58.8</v>
      </c>
      <c r="Q598" s="172">
        <v>3.0950000000000002</v>
      </c>
      <c r="R598" s="173">
        <v>0.12998999999999999</v>
      </c>
      <c r="T598" s="30">
        <v>58.8</v>
      </c>
      <c r="U598" s="172">
        <v>323.10000000000599</v>
      </c>
      <c r="V598" s="173">
        <v>7.6929999999999996</v>
      </c>
      <c r="X598" s="30">
        <v>58.8</v>
      </c>
      <c r="Y598" s="34">
        <v>2.7633999999999999</v>
      </c>
      <c r="Z598" s="35">
        <v>0.11606</v>
      </c>
      <c r="AA598" s="36"/>
      <c r="AB598" s="30">
        <v>58.8</v>
      </c>
      <c r="AC598" s="44">
        <v>361.88</v>
      </c>
      <c r="AD598" s="35">
        <v>8.6159999999999997</v>
      </c>
      <c r="AE598" s="36"/>
      <c r="AF598" s="30">
        <v>58.8</v>
      </c>
      <c r="AG598" s="34">
        <v>2.8077000000000001</v>
      </c>
      <c r="AH598" s="35">
        <v>0.11792</v>
      </c>
      <c r="AI598" s="35"/>
      <c r="AJ598" s="35">
        <v>0.14233999999999999</v>
      </c>
      <c r="AK598" s="998">
        <v>26.2</v>
      </c>
      <c r="AM598" s="30">
        <v>58.8</v>
      </c>
      <c r="AN598" s="34">
        <v>1.2222999999999999</v>
      </c>
      <c r="AO598" s="35">
        <v>1.3689</v>
      </c>
      <c r="BX598" s="43"/>
      <c r="BY598" s="34"/>
      <c r="BZ598" s="59"/>
      <c r="CB598" s="43"/>
      <c r="CC598" s="34"/>
      <c r="CD598" s="59"/>
      <c r="CL598" s="43"/>
      <c r="CM598" s="34"/>
      <c r="CN598" s="59"/>
      <c r="CP598" s="43"/>
      <c r="CQ598" s="34"/>
      <c r="CR598" s="59"/>
      <c r="CT598" s="43"/>
      <c r="CU598" s="34"/>
      <c r="CV598" s="59"/>
    </row>
    <row r="599" spans="4:100">
      <c r="D599" s="30">
        <v>58.9</v>
      </c>
      <c r="E599" s="31">
        <v>0.74319999999999997</v>
      </c>
      <c r="F599" s="32">
        <v>742.9</v>
      </c>
      <c r="G599" s="33"/>
      <c r="H599" s="30">
        <v>58.9</v>
      </c>
      <c r="I599" s="34">
        <v>3.7827999999999999</v>
      </c>
      <c r="J599" s="35">
        <v>0.15887999999999999</v>
      </c>
      <c r="L599" s="30">
        <v>58.9</v>
      </c>
      <c r="M599" s="172">
        <v>6.1870000000000003</v>
      </c>
      <c r="N599" s="173">
        <v>0.16164000000000001</v>
      </c>
      <c r="P599" s="30">
        <v>58.9</v>
      </c>
      <c r="Q599" s="172">
        <v>3.0933000000000002</v>
      </c>
      <c r="R599" s="173">
        <v>0.12992000000000001</v>
      </c>
      <c r="T599" s="30">
        <v>58.9</v>
      </c>
      <c r="U599" s="172">
        <v>323.27000000000601</v>
      </c>
      <c r="V599" s="173">
        <v>7.6970000000000001</v>
      </c>
      <c r="X599" s="30">
        <v>58.9</v>
      </c>
      <c r="Y599" s="34">
        <v>2.7618999999999998</v>
      </c>
      <c r="Z599" s="35">
        <v>0.11600000000000001</v>
      </c>
      <c r="AA599" s="36"/>
      <c r="AB599" s="30">
        <v>58.9</v>
      </c>
      <c r="AC599" s="44">
        <v>362.07</v>
      </c>
      <c r="AD599" s="35">
        <v>8.6210000000000004</v>
      </c>
      <c r="AE599" s="36"/>
      <c r="AF599" s="30">
        <v>58.9</v>
      </c>
      <c r="AG599" s="34">
        <v>2.8062</v>
      </c>
      <c r="AH599" s="35">
        <v>0.11786000000000001</v>
      </c>
      <c r="AI599" s="35"/>
      <c r="AJ599" s="35">
        <v>0.14243</v>
      </c>
      <c r="AK599" s="998">
        <v>26.1</v>
      </c>
      <c r="AM599" s="30">
        <v>58.9</v>
      </c>
      <c r="AN599" s="34">
        <v>1.2229000000000001</v>
      </c>
      <c r="AO599" s="35">
        <v>1.3695999999999999</v>
      </c>
      <c r="BX599" s="43"/>
      <c r="BY599" s="34"/>
      <c r="BZ599" s="59"/>
      <c r="CB599" s="43"/>
      <c r="CC599" s="34"/>
      <c r="CD599" s="59"/>
      <c r="CL599" s="43"/>
      <c r="CM599" s="34"/>
      <c r="CN599" s="59"/>
      <c r="CP599" s="43"/>
      <c r="CQ599" s="34"/>
      <c r="CR599" s="59"/>
      <c r="CT599" s="43"/>
      <c r="CU599" s="34"/>
      <c r="CV599" s="59"/>
    </row>
    <row r="600" spans="4:100">
      <c r="D600" s="30">
        <v>59</v>
      </c>
      <c r="E600" s="31">
        <v>0.74280000000000002</v>
      </c>
      <c r="F600" s="32">
        <v>742.6</v>
      </c>
      <c r="G600" s="33"/>
      <c r="H600" s="30">
        <v>59</v>
      </c>
      <c r="I600" s="34">
        <v>3.7827999999999999</v>
      </c>
      <c r="J600" s="35">
        <v>0.15887999999999999</v>
      </c>
      <c r="L600" s="30">
        <v>59</v>
      </c>
      <c r="M600" s="172">
        <v>6.1829999999999998</v>
      </c>
      <c r="N600" s="173">
        <v>0.16172</v>
      </c>
      <c r="P600" s="30">
        <v>59</v>
      </c>
      <c r="Q600" s="172">
        <v>3.0916999999999999</v>
      </c>
      <c r="R600" s="173">
        <v>0.12984999999999999</v>
      </c>
      <c r="T600" s="30">
        <v>59</v>
      </c>
      <c r="U600" s="172">
        <v>323.44000000000602</v>
      </c>
      <c r="V600" s="173">
        <v>7.7009999999999996</v>
      </c>
      <c r="X600" s="30">
        <v>59</v>
      </c>
      <c r="Y600" s="34">
        <v>2.7605</v>
      </c>
      <c r="Z600" s="35">
        <v>0.11594</v>
      </c>
      <c r="AA600" s="36"/>
      <c r="AB600" s="30">
        <v>59</v>
      </c>
      <c r="AC600" s="44">
        <v>362.26</v>
      </c>
      <c r="AD600" s="35">
        <v>8.625</v>
      </c>
      <c r="AE600" s="36"/>
      <c r="AF600" s="30">
        <v>59</v>
      </c>
      <c r="AG600" s="34">
        <v>2.8048000000000002</v>
      </c>
      <c r="AH600" s="35">
        <v>0.1178</v>
      </c>
      <c r="AI600" s="35"/>
      <c r="AJ600" s="35">
        <v>0.14252000000000001</v>
      </c>
      <c r="AK600" s="998">
        <v>26</v>
      </c>
      <c r="AM600" s="30">
        <v>59</v>
      </c>
      <c r="AN600" s="34">
        <v>1.2235</v>
      </c>
      <c r="AO600" s="35">
        <v>1.3704000000000001</v>
      </c>
      <c r="BX600" s="43"/>
      <c r="BY600" s="34"/>
      <c r="BZ600" s="59"/>
      <c r="CB600" s="43"/>
      <c r="CC600" s="34"/>
      <c r="CD600" s="59"/>
      <c r="CL600" s="43"/>
      <c r="CM600" s="34"/>
      <c r="CN600" s="59"/>
      <c r="CP600" s="43"/>
      <c r="CQ600" s="34"/>
      <c r="CR600" s="59"/>
      <c r="CT600" s="43"/>
      <c r="CU600" s="34"/>
      <c r="CV600" s="59"/>
    </row>
    <row r="601" spans="4:100">
      <c r="D601" s="30">
        <v>59.1</v>
      </c>
      <c r="E601" s="31">
        <v>0.74239999999999995</v>
      </c>
      <c r="F601" s="32">
        <v>742.2</v>
      </c>
      <c r="G601" s="33"/>
      <c r="H601" s="30">
        <v>59.1</v>
      </c>
      <c r="I601" s="34">
        <v>3.7827999999999999</v>
      </c>
      <c r="J601" s="35">
        <v>0.15887999999999999</v>
      </c>
      <c r="L601" s="30">
        <v>59.1</v>
      </c>
      <c r="M601" s="172">
        <v>6.18</v>
      </c>
      <c r="N601" s="173">
        <v>0.16181000000000001</v>
      </c>
      <c r="P601" s="30">
        <v>59.1</v>
      </c>
      <c r="Q601" s="172">
        <v>3.0901000000000001</v>
      </c>
      <c r="R601" s="173">
        <v>0.12978000000000001</v>
      </c>
      <c r="T601" s="30">
        <v>59.1</v>
      </c>
      <c r="U601" s="172">
        <v>323.62</v>
      </c>
      <c r="V601" s="173">
        <v>7.7050000000000001</v>
      </c>
      <c r="X601" s="30">
        <v>59.1</v>
      </c>
      <c r="Y601" s="34">
        <v>2.7589999999999999</v>
      </c>
      <c r="Z601" s="35">
        <v>0.11588</v>
      </c>
      <c r="AA601" s="36"/>
      <c r="AB601" s="30">
        <v>59.1</v>
      </c>
      <c r="AC601" s="44">
        <v>362.45</v>
      </c>
      <c r="AD601" s="35">
        <v>8.6300000000000008</v>
      </c>
      <c r="AE601" s="36"/>
      <c r="AF601" s="30">
        <v>59.1</v>
      </c>
      <c r="AG601" s="34">
        <v>2.8033000000000001</v>
      </c>
      <c r="AH601" s="35">
        <v>0.11774</v>
      </c>
      <c r="AI601" s="35"/>
      <c r="AJ601" s="35">
        <v>0.14260999999999999</v>
      </c>
      <c r="AK601" s="998">
        <v>25.9</v>
      </c>
      <c r="AM601" s="30">
        <v>59.1</v>
      </c>
      <c r="AN601" s="34">
        <v>1.2242</v>
      </c>
      <c r="AO601" s="35">
        <v>1.3711</v>
      </c>
      <c r="BX601" s="43"/>
      <c r="BY601" s="34"/>
      <c r="BZ601" s="59"/>
      <c r="CB601" s="43"/>
      <c r="CC601" s="34"/>
      <c r="CD601" s="59"/>
      <c r="CL601" s="43"/>
      <c r="CM601" s="34"/>
      <c r="CN601" s="59"/>
      <c r="CP601" s="43"/>
      <c r="CQ601" s="34"/>
      <c r="CR601" s="59"/>
      <c r="CT601" s="43"/>
      <c r="CU601" s="34"/>
      <c r="CV601" s="59"/>
    </row>
    <row r="602" spans="4:100">
      <c r="D602" s="30">
        <v>59.2</v>
      </c>
      <c r="E602" s="31">
        <v>0.74199999999999999</v>
      </c>
      <c r="F602" s="32">
        <v>741.8</v>
      </c>
      <c r="G602" s="33"/>
      <c r="H602" s="30">
        <v>59.2</v>
      </c>
      <c r="I602" s="34">
        <v>3.7827999999999999</v>
      </c>
      <c r="J602" s="35">
        <v>0.15887999999999999</v>
      </c>
      <c r="L602" s="30">
        <v>59.2</v>
      </c>
      <c r="M602" s="172">
        <v>6.1769999999999996</v>
      </c>
      <c r="N602" s="173">
        <v>0.16189000000000001</v>
      </c>
      <c r="P602" s="30">
        <v>59.2</v>
      </c>
      <c r="Q602" s="172">
        <v>3.0884999999999998</v>
      </c>
      <c r="R602" s="173">
        <v>0.12972</v>
      </c>
      <c r="T602" s="30">
        <v>59.2</v>
      </c>
      <c r="U602" s="172">
        <v>323.79000000000002</v>
      </c>
      <c r="V602" s="173">
        <v>7.7089999999999996</v>
      </c>
      <c r="X602" s="30">
        <v>59.2</v>
      </c>
      <c r="Y602" s="34">
        <v>2.7576000000000001</v>
      </c>
      <c r="Z602" s="35">
        <v>0.11582000000000001</v>
      </c>
      <c r="AA602" s="36"/>
      <c r="AB602" s="30">
        <v>59.2</v>
      </c>
      <c r="AC602" s="44">
        <v>362.64</v>
      </c>
      <c r="AD602" s="35">
        <v>8.6340000000000003</v>
      </c>
      <c r="AE602" s="36"/>
      <c r="AF602" s="30">
        <v>59.2</v>
      </c>
      <c r="AG602" s="34">
        <v>2.8018000000000001</v>
      </c>
      <c r="AH602" s="35">
        <v>0.11768000000000001</v>
      </c>
      <c r="AI602" s="35"/>
      <c r="AJ602" s="35">
        <v>0.14269999999999999</v>
      </c>
      <c r="AK602" s="998">
        <v>25.8</v>
      </c>
      <c r="AM602" s="30">
        <v>59.2</v>
      </c>
      <c r="AN602" s="34">
        <v>1.2248000000000001</v>
      </c>
      <c r="AO602" s="35">
        <v>1.3717999999999999</v>
      </c>
      <c r="BX602" s="43"/>
      <c r="BY602" s="34"/>
      <c r="BZ602" s="59"/>
      <c r="CB602" s="43"/>
      <c r="CC602" s="34"/>
      <c r="CD602" s="59"/>
      <c r="CL602" s="43"/>
      <c r="CM602" s="34"/>
      <c r="CN602" s="59"/>
      <c r="CP602" s="43"/>
      <c r="CQ602" s="34"/>
      <c r="CR602" s="59"/>
      <c r="CT602" s="43"/>
      <c r="CU602" s="34"/>
      <c r="CV602" s="59"/>
    </row>
    <row r="603" spans="4:100">
      <c r="D603" s="30">
        <v>59.3</v>
      </c>
      <c r="E603" s="31">
        <v>0.74160000000000004</v>
      </c>
      <c r="F603" s="32">
        <v>741.4</v>
      </c>
      <c r="G603" s="33"/>
      <c r="H603" s="30">
        <v>59.3</v>
      </c>
      <c r="I603" s="34">
        <v>3.7827999999999999</v>
      </c>
      <c r="J603" s="35">
        <v>0.15887999999999999</v>
      </c>
      <c r="L603" s="30">
        <v>59.3</v>
      </c>
      <c r="M603" s="172">
        <v>6.1740000000000004</v>
      </c>
      <c r="N603" s="173">
        <v>0.16198000000000001</v>
      </c>
      <c r="P603" s="30">
        <v>59.3</v>
      </c>
      <c r="Q603" s="172">
        <v>3.0868000000000002</v>
      </c>
      <c r="R603" s="173">
        <v>0.12964999999999999</v>
      </c>
      <c r="T603" s="30">
        <v>59.3</v>
      </c>
      <c r="U603" s="172">
        <v>323.95999999999998</v>
      </c>
      <c r="V603" s="173">
        <v>7.7130000000000001</v>
      </c>
      <c r="X603" s="30">
        <v>59.3</v>
      </c>
      <c r="Y603" s="34">
        <v>2.7561</v>
      </c>
      <c r="Z603" s="35">
        <v>0.11576</v>
      </c>
      <c r="AA603" s="36"/>
      <c r="AB603" s="30">
        <v>59.3</v>
      </c>
      <c r="AC603" s="44">
        <v>362.83</v>
      </c>
      <c r="AD603" s="35">
        <v>8.6389999999999993</v>
      </c>
      <c r="AE603" s="36"/>
      <c r="AF603" s="30">
        <v>59.3</v>
      </c>
      <c r="AG603" s="34">
        <v>2.8003</v>
      </c>
      <c r="AH603" s="35">
        <v>0.11761000000000001</v>
      </c>
      <c r="AI603" s="35"/>
      <c r="AJ603" s="35">
        <v>0.14279</v>
      </c>
      <c r="AK603" s="998">
        <v>25.7</v>
      </c>
      <c r="AM603" s="30">
        <v>59.3</v>
      </c>
      <c r="AN603" s="34">
        <v>1.2255</v>
      </c>
      <c r="AO603" s="35">
        <v>1.3725000000000001</v>
      </c>
      <c r="BX603" s="43"/>
      <c r="BY603" s="34"/>
      <c r="BZ603" s="59"/>
      <c r="CB603" s="43"/>
      <c r="CC603" s="34"/>
      <c r="CD603" s="59"/>
      <c r="CL603" s="43"/>
      <c r="CM603" s="34"/>
      <c r="CN603" s="59"/>
      <c r="CP603" s="43"/>
      <c r="CQ603" s="34"/>
      <c r="CR603" s="59"/>
      <c r="CT603" s="43"/>
      <c r="CU603" s="34"/>
      <c r="CV603" s="59"/>
    </row>
    <row r="604" spans="4:100">
      <c r="D604" s="30">
        <v>59.4</v>
      </c>
      <c r="E604" s="31">
        <v>0.74119999999999997</v>
      </c>
      <c r="F604" s="32">
        <v>741</v>
      </c>
      <c r="G604" s="33"/>
      <c r="H604" s="30">
        <v>59.4</v>
      </c>
      <c r="I604" s="34">
        <v>3.7827999999999999</v>
      </c>
      <c r="J604" s="35">
        <v>0.15887999999999999</v>
      </c>
      <c r="L604" s="30">
        <v>59.4</v>
      </c>
      <c r="M604" s="172">
        <v>6.17</v>
      </c>
      <c r="N604" s="173">
        <v>0.16206000000000001</v>
      </c>
      <c r="P604" s="30">
        <v>59.4</v>
      </c>
      <c r="Q604" s="172">
        <v>3.0851999999999999</v>
      </c>
      <c r="R604" s="173">
        <v>0.12958</v>
      </c>
      <c r="T604" s="30">
        <v>59.4</v>
      </c>
      <c r="U604" s="172">
        <v>324.13</v>
      </c>
      <c r="V604" s="173">
        <v>7.7169999999999996</v>
      </c>
      <c r="X604" s="30">
        <v>59.4</v>
      </c>
      <c r="Y604" s="34">
        <v>2.7547000000000001</v>
      </c>
      <c r="Z604" s="35">
        <v>0.1157</v>
      </c>
      <c r="AA604" s="36"/>
      <c r="AB604" s="30">
        <v>59.4</v>
      </c>
      <c r="AC604" s="44">
        <v>363.02</v>
      </c>
      <c r="AD604" s="35">
        <v>8.6430000000000007</v>
      </c>
      <c r="AE604" s="36"/>
      <c r="AF604" s="30">
        <v>59.4</v>
      </c>
      <c r="AG604" s="34">
        <v>2.7988</v>
      </c>
      <c r="AH604" s="35">
        <v>0.11755</v>
      </c>
      <c r="AI604" s="35"/>
      <c r="AJ604" s="35">
        <v>0.14288999999999999</v>
      </c>
      <c r="AK604" s="998">
        <v>25.6</v>
      </c>
      <c r="AM604" s="30">
        <v>59.4</v>
      </c>
      <c r="AN604" s="34">
        <v>1.2261</v>
      </c>
      <c r="AO604" s="35">
        <v>1.3732</v>
      </c>
      <c r="BX604" s="43"/>
      <c r="BY604" s="34"/>
      <c r="BZ604" s="59"/>
      <c r="CB604" s="43"/>
      <c r="CC604" s="34"/>
      <c r="CD604" s="59"/>
      <c r="CL604" s="43"/>
      <c r="CM604" s="34"/>
      <c r="CN604" s="59"/>
      <c r="CP604" s="43"/>
      <c r="CQ604" s="34"/>
      <c r="CR604" s="59"/>
      <c r="CT604" s="43"/>
      <c r="CU604" s="34"/>
      <c r="CV604" s="59"/>
    </row>
    <row r="605" spans="4:100">
      <c r="D605" s="30">
        <v>59.5</v>
      </c>
      <c r="E605" s="31">
        <v>0.74080000000000001</v>
      </c>
      <c r="F605" s="32">
        <v>740.6</v>
      </c>
      <c r="G605" s="33"/>
      <c r="H605" s="30">
        <v>59.5</v>
      </c>
      <c r="I605" s="34">
        <v>3.7827999999999999</v>
      </c>
      <c r="J605" s="35">
        <v>0.15887999999999999</v>
      </c>
      <c r="L605" s="30">
        <v>59.5</v>
      </c>
      <c r="M605" s="172">
        <v>6.1669999999999998</v>
      </c>
      <c r="N605" s="173">
        <v>0.16214999999999999</v>
      </c>
      <c r="P605" s="30">
        <v>59.5</v>
      </c>
      <c r="Q605" s="172">
        <v>3.0836000000000001</v>
      </c>
      <c r="R605" s="173">
        <v>0.12950999999999999</v>
      </c>
      <c r="T605" s="30">
        <v>59.5</v>
      </c>
      <c r="U605" s="172">
        <v>324.3</v>
      </c>
      <c r="V605" s="173">
        <v>7.7210000000000099</v>
      </c>
      <c r="X605" s="30">
        <v>59.5</v>
      </c>
      <c r="Y605" s="34">
        <v>2.7532000000000001</v>
      </c>
      <c r="Z605" s="35">
        <v>0.11564000000000001</v>
      </c>
      <c r="AA605" s="36"/>
      <c r="AB605" s="30">
        <v>59.5</v>
      </c>
      <c r="AC605" s="44">
        <v>363.21</v>
      </c>
      <c r="AD605" s="35">
        <v>8.6479999999999997</v>
      </c>
      <c r="AE605" s="36"/>
      <c r="AF605" s="30">
        <v>59.5</v>
      </c>
      <c r="AG605" s="34">
        <v>2.7974000000000001</v>
      </c>
      <c r="AH605" s="35">
        <v>0.11749</v>
      </c>
      <c r="AI605" s="35"/>
      <c r="AJ605" s="35">
        <v>0.14298</v>
      </c>
      <c r="AK605" s="998">
        <v>25.5</v>
      </c>
      <c r="AM605" s="30">
        <v>59.5</v>
      </c>
      <c r="AN605" s="34">
        <v>1.2267999999999999</v>
      </c>
      <c r="AO605" s="35">
        <v>1.3740000000000001</v>
      </c>
      <c r="BX605" s="43"/>
      <c r="BY605" s="34"/>
      <c r="BZ605" s="59"/>
      <c r="CB605" s="43"/>
      <c r="CC605" s="34"/>
      <c r="CD605" s="59"/>
      <c r="CL605" s="43"/>
      <c r="CM605" s="34"/>
      <c r="CN605" s="59"/>
      <c r="CP605" s="43"/>
      <c r="CQ605" s="34"/>
      <c r="CR605" s="59"/>
      <c r="CT605" s="43"/>
      <c r="CU605" s="34"/>
      <c r="CV605" s="59"/>
    </row>
    <row r="606" spans="4:100">
      <c r="D606" s="30">
        <v>59.6</v>
      </c>
      <c r="E606" s="31">
        <v>0.74050000000000005</v>
      </c>
      <c r="F606" s="32">
        <v>740.2</v>
      </c>
      <c r="G606" s="33"/>
      <c r="H606" s="30">
        <v>59.6</v>
      </c>
      <c r="I606" s="34">
        <v>3.7827999999999999</v>
      </c>
      <c r="J606" s="35">
        <v>0.15887999999999999</v>
      </c>
      <c r="L606" s="30">
        <v>59.6</v>
      </c>
      <c r="M606" s="172">
        <v>6.1639999999999997</v>
      </c>
      <c r="N606" s="173">
        <v>0.16223000000000001</v>
      </c>
      <c r="P606" s="30">
        <v>59.6</v>
      </c>
      <c r="Q606" s="172">
        <v>3.0819999999999999</v>
      </c>
      <c r="R606" s="173">
        <v>0.12944</v>
      </c>
      <c r="T606" s="30">
        <v>59.6</v>
      </c>
      <c r="U606" s="172">
        <v>324.47000000000003</v>
      </c>
      <c r="V606" s="173">
        <v>7.7250000000000103</v>
      </c>
      <c r="X606" s="30">
        <v>59.6</v>
      </c>
      <c r="Y606" s="34">
        <v>2.7517999999999998</v>
      </c>
      <c r="Z606" s="35">
        <v>0.11557000000000001</v>
      </c>
      <c r="AA606" s="36"/>
      <c r="AB606" s="30">
        <v>59.6</v>
      </c>
      <c r="AC606" s="44">
        <v>363.4</v>
      </c>
      <c r="AD606" s="35">
        <v>8.6519999999999992</v>
      </c>
      <c r="AE606" s="36"/>
      <c r="AF606" s="30">
        <v>59.6</v>
      </c>
      <c r="AG606" s="34">
        <v>2.7959000000000001</v>
      </c>
      <c r="AH606" s="35">
        <v>0.11743000000000001</v>
      </c>
      <c r="AI606" s="35"/>
      <c r="AJ606" s="35">
        <v>0.14307</v>
      </c>
      <c r="AK606" s="998">
        <v>25.4</v>
      </c>
      <c r="AM606" s="30">
        <v>59.6</v>
      </c>
      <c r="AN606" s="34">
        <v>1.2274</v>
      </c>
      <c r="AO606" s="35">
        <v>1.3747</v>
      </c>
      <c r="BX606" s="43"/>
      <c r="BY606" s="34"/>
      <c r="BZ606" s="59"/>
      <c r="CB606" s="43"/>
      <c r="CC606" s="34"/>
      <c r="CD606" s="59"/>
      <c r="CL606" s="43"/>
      <c r="CM606" s="34"/>
      <c r="CN606" s="59"/>
      <c r="CP606" s="43"/>
      <c r="CQ606" s="34"/>
      <c r="CR606" s="59"/>
      <c r="CT606" s="43"/>
      <c r="CU606" s="34"/>
      <c r="CV606" s="59"/>
    </row>
    <row r="607" spans="4:100">
      <c r="D607" s="30">
        <v>59.7</v>
      </c>
      <c r="E607" s="31">
        <v>0.74009999999999998</v>
      </c>
      <c r="F607" s="32">
        <v>739.8</v>
      </c>
      <c r="G607" s="33"/>
      <c r="H607" s="30">
        <v>59.7</v>
      </c>
      <c r="I607" s="34">
        <v>3.7827999999999999</v>
      </c>
      <c r="J607" s="35">
        <v>0.15887999999999999</v>
      </c>
      <c r="L607" s="30">
        <v>59.7</v>
      </c>
      <c r="M607" s="172">
        <v>6.1609999999999996</v>
      </c>
      <c r="N607" s="173">
        <v>0.16231999999999999</v>
      </c>
      <c r="P607" s="30">
        <v>59.7</v>
      </c>
      <c r="Q607" s="172">
        <v>3.0804</v>
      </c>
      <c r="R607" s="173">
        <v>0.12938</v>
      </c>
      <c r="T607" s="30">
        <v>59.7</v>
      </c>
      <c r="U607" s="172">
        <v>324.64</v>
      </c>
      <c r="V607" s="173">
        <v>7.7290000000000099</v>
      </c>
      <c r="X607" s="30">
        <v>59.7</v>
      </c>
      <c r="Y607" s="34">
        <v>2.7503000000000002</v>
      </c>
      <c r="Z607" s="35">
        <v>0.11551</v>
      </c>
      <c r="AA607" s="36"/>
      <c r="AB607" s="30">
        <v>59.7</v>
      </c>
      <c r="AC607" s="44">
        <v>363.59</v>
      </c>
      <c r="AD607" s="35">
        <v>8.657</v>
      </c>
      <c r="AE607" s="36"/>
      <c r="AF607" s="30">
        <v>59.7</v>
      </c>
      <c r="AG607" s="34">
        <v>2.7945000000000002</v>
      </c>
      <c r="AH607" s="35">
        <v>0.11737</v>
      </c>
      <c r="AI607" s="35"/>
      <c r="AJ607" s="35">
        <v>0.14316000000000001</v>
      </c>
      <c r="AK607" s="998">
        <v>25.3</v>
      </c>
      <c r="AM607" s="30">
        <v>59.7</v>
      </c>
      <c r="AN607" s="34">
        <v>1.228</v>
      </c>
      <c r="AO607" s="35">
        <v>1.3754</v>
      </c>
      <c r="BX607" s="43"/>
      <c r="BY607" s="34"/>
      <c r="BZ607" s="59"/>
      <c r="CB607" s="43"/>
      <c r="CC607" s="34"/>
      <c r="CD607" s="59"/>
      <c r="CL607" s="43"/>
      <c r="CM607" s="34"/>
      <c r="CN607" s="59"/>
      <c r="CP607" s="43"/>
      <c r="CQ607" s="34"/>
      <c r="CR607" s="59"/>
      <c r="CT607" s="43"/>
      <c r="CU607" s="34"/>
      <c r="CV607" s="59"/>
    </row>
    <row r="608" spans="4:100">
      <c r="D608" s="30">
        <v>59.8</v>
      </c>
      <c r="E608" s="31">
        <v>0.73970000000000002</v>
      </c>
      <c r="F608" s="32">
        <v>739.4</v>
      </c>
      <c r="G608" s="33"/>
      <c r="H608" s="30">
        <v>59.8</v>
      </c>
      <c r="I608" s="34">
        <v>3.7827999999999999</v>
      </c>
      <c r="J608" s="35">
        <v>0.15887999999999999</v>
      </c>
      <c r="L608" s="30">
        <v>59.8</v>
      </c>
      <c r="M608" s="172">
        <v>6.1580000000000004</v>
      </c>
      <c r="N608" s="173">
        <v>0.16239999999999999</v>
      </c>
      <c r="P608" s="30">
        <v>59.8</v>
      </c>
      <c r="Q608" s="172">
        <v>3.0788000000000002</v>
      </c>
      <c r="R608" s="173">
        <v>0.12931000000000001</v>
      </c>
      <c r="T608" s="30">
        <v>59.8</v>
      </c>
      <c r="U608" s="172">
        <v>324.81</v>
      </c>
      <c r="V608" s="173">
        <v>7.7330000000000103</v>
      </c>
      <c r="X608" s="30">
        <v>59.8</v>
      </c>
      <c r="Y608" s="34">
        <v>2.7488999999999999</v>
      </c>
      <c r="Z608" s="35">
        <v>0.11545</v>
      </c>
      <c r="AA608" s="36"/>
      <c r="AB608" s="30">
        <v>59.8</v>
      </c>
      <c r="AC608" s="44">
        <v>363.78</v>
      </c>
      <c r="AD608" s="35">
        <v>8.6609999999999996</v>
      </c>
      <c r="AE608" s="36"/>
      <c r="AF608" s="30">
        <v>59.8</v>
      </c>
      <c r="AG608" s="34">
        <v>2.7930000000000001</v>
      </c>
      <c r="AH608" s="35">
        <v>0.11731</v>
      </c>
      <c r="AI608" s="35"/>
      <c r="AJ608" s="35">
        <v>0.14324999999999999</v>
      </c>
      <c r="AK608" s="998">
        <v>25.2</v>
      </c>
      <c r="AM608" s="30">
        <v>59.8</v>
      </c>
      <c r="AN608" s="34">
        <v>1.2285999999999999</v>
      </c>
      <c r="AO608" s="35">
        <v>1.3761000000000001</v>
      </c>
      <c r="BX608" s="43"/>
      <c r="BY608" s="34"/>
      <c r="BZ608" s="59"/>
      <c r="CB608" s="43"/>
      <c r="CC608" s="34"/>
      <c r="CD608" s="59"/>
      <c r="CL608" s="43"/>
      <c r="CM608" s="34"/>
      <c r="CN608" s="59"/>
      <c r="CP608" s="43"/>
      <c r="CQ608" s="34"/>
      <c r="CR608" s="59"/>
      <c r="CT608" s="43"/>
      <c r="CU608" s="34"/>
      <c r="CV608" s="59"/>
    </row>
    <row r="609" spans="4:100">
      <c r="D609" s="30">
        <v>59.9</v>
      </c>
      <c r="E609" s="31">
        <v>0.73929999999999996</v>
      </c>
      <c r="F609" s="32">
        <v>739.1</v>
      </c>
      <c r="G609" s="33"/>
      <c r="H609" s="30">
        <v>59.9</v>
      </c>
      <c r="I609" s="34">
        <v>3.7827999999999999</v>
      </c>
      <c r="J609" s="35">
        <v>0.15887999999999999</v>
      </c>
      <c r="L609" s="30">
        <v>59.9</v>
      </c>
      <c r="M609" s="172">
        <v>6.1539999999999999</v>
      </c>
      <c r="N609" s="173">
        <v>0.16249</v>
      </c>
      <c r="P609" s="30">
        <v>59.9</v>
      </c>
      <c r="Q609" s="172">
        <v>3.0771999999999999</v>
      </c>
      <c r="R609" s="173">
        <v>0.12923999999999999</v>
      </c>
      <c r="T609" s="30">
        <v>59.9</v>
      </c>
      <c r="U609" s="172">
        <v>324.98</v>
      </c>
      <c r="V609" s="173">
        <v>7.7380000000000004</v>
      </c>
      <c r="X609" s="30">
        <v>59.9</v>
      </c>
      <c r="Y609" s="34">
        <v>2.7475000000000001</v>
      </c>
      <c r="Z609" s="35">
        <v>0.11539000000000001</v>
      </c>
      <c r="AA609" s="36"/>
      <c r="AB609" s="30">
        <v>59.9</v>
      </c>
      <c r="AC609" s="44">
        <v>363.97</v>
      </c>
      <c r="AD609" s="35">
        <v>8.6660000000000004</v>
      </c>
      <c r="AE609" s="36"/>
      <c r="AF609" s="30">
        <v>59.9</v>
      </c>
      <c r="AG609" s="34">
        <v>2.7915000000000001</v>
      </c>
      <c r="AH609" s="35">
        <v>0.11724999999999999</v>
      </c>
      <c r="AI609" s="35"/>
      <c r="AJ609" s="35">
        <v>0.14334</v>
      </c>
      <c r="AK609" s="998">
        <v>25.1</v>
      </c>
      <c r="AM609" s="30">
        <v>59.9</v>
      </c>
      <c r="AN609" s="34">
        <v>1.2293000000000001</v>
      </c>
      <c r="AO609" s="35">
        <v>1.3768</v>
      </c>
      <c r="BX609" s="43"/>
      <c r="BY609" s="34"/>
      <c r="BZ609" s="59"/>
      <c r="CB609" s="43"/>
      <c r="CC609" s="34"/>
      <c r="CD609" s="59"/>
      <c r="CL609" s="43"/>
      <c r="CM609" s="34"/>
      <c r="CN609" s="59"/>
      <c r="CP609" s="43"/>
      <c r="CQ609" s="34"/>
      <c r="CR609" s="59"/>
      <c r="CT609" s="43"/>
      <c r="CU609" s="34"/>
      <c r="CV609" s="59"/>
    </row>
    <row r="610" spans="4:100">
      <c r="D610" s="30">
        <v>60</v>
      </c>
      <c r="E610" s="31">
        <v>0.7389</v>
      </c>
      <c r="F610" s="32">
        <v>738.7</v>
      </c>
      <c r="G610" s="33"/>
      <c r="H610" s="30">
        <v>60</v>
      </c>
      <c r="I610" s="34">
        <v>3.7827999999999999</v>
      </c>
      <c r="J610" s="35">
        <v>0.15887999999999999</v>
      </c>
      <c r="L610" s="30">
        <v>60</v>
      </c>
      <c r="M610" s="172">
        <v>6.1509999999999998</v>
      </c>
      <c r="N610" s="173">
        <v>0.16256999999999999</v>
      </c>
      <c r="P610" s="30">
        <v>60</v>
      </c>
      <c r="Q610" s="172">
        <v>3.0754999999999999</v>
      </c>
      <c r="R610" s="173">
        <v>0.12917000000000001</v>
      </c>
      <c r="T610" s="30">
        <v>60</v>
      </c>
      <c r="U610" s="172">
        <v>325.14999999999998</v>
      </c>
      <c r="V610" s="173">
        <v>7.742</v>
      </c>
      <c r="X610" s="30">
        <v>60</v>
      </c>
      <c r="Y610" s="34">
        <v>2.746</v>
      </c>
      <c r="Z610" s="35">
        <v>0.11533</v>
      </c>
      <c r="AA610" s="36"/>
      <c r="AB610" s="30">
        <v>60</v>
      </c>
      <c r="AC610" s="44">
        <v>364.16</v>
      </c>
      <c r="AD610" s="35">
        <v>8.6709999999999994</v>
      </c>
      <c r="AE610" s="36"/>
      <c r="AF610" s="30">
        <v>60</v>
      </c>
      <c r="AG610" s="34">
        <v>2.7900999999999998</v>
      </c>
      <c r="AH610" s="35">
        <v>0.11718000000000001</v>
      </c>
      <c r="AI610" s="35"/>
      <c r="AJ610" s="35">
        <v>0.14343</v>
      </c>
      <c r="AK610" s="998">
        <v>25</v>
      </c>
      <c r="AM610" s="30">
        <v>60</v>
      </c>
      <c r="AN610" s="34">
        <v>1.23</v>
      </c>
      <c r="AO610" s="35">
        <v>1.3775999999999999</v>
      </c>
      <c r="BX610" s="43"/>
      <c r="BY610" s="34"/>
      <c r="BZ610" s="59"/>
      <c r="CB610" s="43"/>
      <c r="CC610" s="34"/>
      <c r="CD610" s="59"/>
      <c r="CL610" s="43"/>
      <c r="CM610" s="34"/>
      <c r="CN610" s="59"/>
      <c r="CP610" s="43"/>
      <c r="CQ610" s="34"/>
      <c r="CR610" s="59"/>
      <c r="CT610" s="43"/>
      <c r="CU610" s="34"/>
      <c r="CV610" s="59"/>
    </row>
    <row r="611" spans="4:100">
      <c r="D611" s="30">
        <v>60.1</v>
      </c>
      <c r="E611" s="31">
        <v>0.73850000000000005</v>
      </c>
      <c r="F611" s="32">
        <v>738.3</v>
      </c>
      <c r="G611" s="33"/>
      <c r="H611" s="30">
        <v>60.1</v>
      </c>
      <c r="I611" s="34">
        <v>3.7827999999999999</v>
      </c>
      <c r="J611" s="35">
        <v>0.15887999999999999</v>
      </c>
      <c r="L611" s="30">
        <v>60.1</v>
      </c>
      <c r="M611" s="172">
        <v>6.1479999999999997</v>
      </c>
      <c r="N611" s="173">
        <v>0.16266</v>
      </c>
      <c r="P611" s="30">
        <v>60.1</v>
      </c>
      <c r="Q611" s="172">
        <v>3.0739000000000001</v>
      </c>
      <c r="R611" s="173">
        <v>0.12911</v>
      </c>
      <c r="T611" s="30">
        <v>60.1</v>
      </c>
      <c r="U611" s="172">
        <v>325.32</v>
      </c>
      <c r="V611" s="173">
        <v>7.7460000000000004</v>
      </c>
      <c r="X611" s="30">
        <v>60.1</v>
      </c>
      <c r="Y611" s="34">
        <v>2.7446000000000002</v>
      </c>
      <c r="Z611" s="35">
        <v>0.11527</v>
      </c>
      <c r="AA611" s="36"/>
      <c r="AB611" s="30">
        <v>60.1</v>
      </c>
      <c r="AC611" s="44">
        <v>364.35</v>
      </c>
      <c r="AD611" s="35">
        <v>8.6750000000000007</v>
      </c>
      <c r="AE611" s="36"/>
      <c r="AF611" s="30">
        <v>60.1</v>
      </c>
      <c r="AG611" s="34">
        <v>2.7886000000000002</v>
      </c>
      <c r="AH611" s="35">
        <v>0.11712</v>
      </c>
      <c r="AI611" s="35"/>
      <c r="AJ611" s="35">
        <v>0.14352999999999999</v>
      </c>
      <c r="AK611" s="998">
        <v>24.9</v>
      </c>
      <c r="AM611" s="30">
        <v>60.1</v>
      </c>
      <c r="AN611" s="34">
        <v>1.2305999999999999</v>
      </c>
      <c r="AO611" s="35">
        <v>1.3783000000000001</v>
      </c>
      <c r="BX611" s="43"/>
      <c r="BY611" s="34"/>
      <c r="BZ611" s="59"/>
      <c r="CB611" s="43"/>
      <c r="CC611" s="34"/>
      <c r="CD611" s="59"/>
      <c r="CL611" s="43"/>
      <c r="CM611" s="34"/>
      <c r="CN611" s="59"/>
      <c r="CP611" s="43"/>
      <c r="CQ611" s="34"/>
      <c r="CR611" s="59"/>
      <c r="CT611" s="43"/>
      <c r="CU611" s="34"/>
      <c r="CV611" s="59"/>
    </row>
    <row r="612" spans="4:100">
      <c r="D612" s="30">
        <v>60.2</v>
      </c>
      <c r="E612" s="31">
        <v>0.73809999999999998</v>
      </c>
      <c r="F612" s="32">
        <v>737.9</v>
      </c>
      <c r="G612" s="33"/>
      <c r="H612" s="30">
        <v>60.2</v>
      </c>
      <c r="I612" s="34">
        <v>3.7827999999999999</v>
      </c>
      <c r="J612" s="35">
        <v>0.15887999999999999</v>
      </c>
      <c r="L612" s="30">
        <v>60.2</v>
      </c>
      <c r="M612" s="172">
        <v>6.1449999999999996</v>
      </c>
      <c r="N612" s="173">
        <v>0.16274</v>
      </c>
      <c r="P612" s="30">
        <v>60.2</v>
      </c>
      <c r="Q612" s="172">
        <v>3.0722999999999998</v>
      </c>
      <c r="R612" s="173">
        <v>0.12903999999999999</v>
      </c>
      <c r="T612" s="30">
        <v>60.2</v>
      </c>
      <c r="U612" s="172">
        <v>325.49</v>
      </c>
      <c r="V612" s="173">
        <v>7.75</v>
      </c>
      <c r="X612" s="30">
        <v>60.2</v>
      </c>
      <c r="Y612" s="34">
        <v>2.7431999999999999</v>
      </c>
      <c r="Z612" s="35">
        <v>0.11521000000000001</v>
      </c>
      <c r="AA612" s="36"/>
      <c r="AB612" s="30">
        <v>60.2</v>
      </c>
      <c r="AC612" s="44">
        <v>364.54</v>
      </c>
      <c r="AD612" s="35">
        <v>8.68</v>
      </c>
      <c r="AE612" s="36"/>
      <c r="AF612" s="30">
        <v>60.2</v>
      </c>
      <c r="AG612" s="34">
        <v>2.7871999999999999</v>
      </c>
      <c r="AH612" s="35">
        <v>0.11706</v>
      </c>
      <c r="AI612" s="35"/>
      <c r="AJ612" s="35">
        <v>0.14362</v>
      </c>
      <c r="AK612" s="998">
        <v>24.8</v>
      </c>
      <c r="AM612" s="30">
        <v>60.2</v>
      </c>
      <c r="AN612" s="34">
        <v>1.2313000000000001</v>
      </c>
      <c r="AO612" s="35">
        <v>1.379</v>
      </c>
      <c r="BX612" s="43"/>
      <c r="BY612" s="34"/>
      <c r="BZ612" s="59"/>
      <c r="CB612" s="43"/>
      <c r="CC612" s="34"/>
      <c r="CD612" s="59"/>
      <c r="CL612" s="43"/>
      <c r="CM612" s="34"/>
      <c r="CN612" s="59"/>
      <c r="CP612" s="43"/>
      <c r="CQ612" s="34"/>
      <c r="CR612" s="59"/>
      <c r="CT612" s="43"/>
      <c r="CU612" s="34"/>
      <c r="CV612" s="59"/>
    </row>
    <row r="613" spans="4:100">
      <c r="D613" s="30">
        <v>60.3</v>
      </c>
      <c r="E613" s="31">
        <v>0.73770000000000002</v>
      </c>
      <c r="F613" s="32">
        <v>737.5</v>
      </c>
      <c r="G613" s="33"/>
      <c r="H613" s="30">
        <v>60.3</v>
      </c>
      <c r="I613" s="34">
        <v>3.7827999999999999</v>
      </c>
      <c r="J613" s="35">
        <v>0.15887999999999999</v>
      </c>
      <c r="L613" s="30">
        <v>60.3</v>
      </c>
      <c r="M613" s="172">
        <v>6.141</v>
      </c>
      <c r="N613" s="173">
        <v>0.16283</v>
      </c>
      <c r="P613" s="30">
        <v>60.3</v>
      </c>
      <c r="Q613" s="172">
        <v>3.0707</v>
      </c>
      <c r="R613" s="173">
        <v>0.12897</v>
      </c>
      <c r="T613" s="30">
        <v>60.3</v>
      </c>
      <c r="U613" s="172">
        <v>325.66000000000003</v>
      </c>
      <c r="V613" s="173">
        <v>7.7539999999999996</v>
      </c>
      <c r="X613" s="30">
        <v>60.3</v>
      </c>
      <c r="Y613" s="34">
        <v>2.7416999999999998</v>
      </c>
      <c r="Z613" s="35">
        <v>0.11515</v>
      </c>
      <c r="AA613" s="36"/>
      <c r="AB613" s="30">
        <v>60.3</v>
      </c>
      <c r="AC613" s="44">
        <v>364.73</v>
      </c>
      <c r="AD613" s="35">
        <v>8.6839999999999993</v>
      </c>
      <c r="AE613" s="36"/>
      <c r="AF613" s="30">
        <v>60.3</v>
      </c>
      <c r="AG613" s="34">
        <v>2.7856999999999998</v>
      </c>
      <c r="AH613" s="35">
        <v>0.11700000000000001</v>
      </c>
      <c r="AI613" s="35"/>
      <c r="AJ613" s="35">
        <v>0.14371</v>
      </c>
      <c r="AK613" s="998">
        <v>24.7</v>
      </c>
      <c r="AM613" s="30">
        <v>60.3</v>
      </c>
      <c r="AN613" s="34">
        <v>1.2319</v>
      </c>
      <c r="AO613" s="35">
        <v>1.3796999999999999</v>
      </c>
      <c r="BX613" s="43"/>
      <c r="BY613" s="34"/>
      <c r="BZ613" s="59"/>
      <c r="CB613" s="43"/>
      <c r="CC613" s="34"/>
      <c r="CD613" s="59"/>
      <c r="CL613" s="43"/>
      <c r="CM613" s="34"/>
      <c r="CN613" s="59"/>
      <c r="CP613" s="43"/>
      <c r="CQ613" s="34"/>
      <c r="CR613" s="59"/>
      <c r="CT613" s="43"/>
      <c r="CU613" s="34"/>
      <c r="CV613" s="59"/>
    </row>
    <row r="614" spans="4:100">
      <c r="D614" s="30">
        <v>60.4</v>
      </c>
      <c r="E614" s="31">
        <v>0.73740000000000006</v>
      </c>
      <c r="F614" s="32">
        <v>737.1</v>
      </c>
      <c r="G614" s="33"/>
      <c r="H614" s="30">
        <v>60.4</v>
      </c>
      <c r="I614" s="34">
        <v>3.7827999999999999</v>
      </c>
      <c r="J614" s="35">
        <v>0.15887999999999999</v>
      </c>
      <c r="L614" s="30">
        <v>60.4</v>
      </c>
      <c r="M614" s="172">
        <v>6.1379999999999999</v>
      </c>
      <c r="N614" s="173">
        <v>0.16291</v>
      </c>
      <c r="P614" s="30">
        <v>60.4</v>
      </c>
      <c r="Q614" s="172">
        <v>3.0691000000000002</v>
      </c>
      <c r="R614" s="173">
        <v>0.12889999999999999</v>
      </c>
      <c r="T614" s="30">
        <v>60.4</v>
      </c>
      <c r="U614" s="172">
        <v>325.83</v>
      </c>
      <c r="V614" s="173">
        <v>7.758</v>
      </c>
      <c r="X614" s="30">
        <v>60.4</v>
      </c>
      <c r="Y614" s="34">
        <v>2.7403</v>
      </c>
      <c r="Z614" s="35">
        <v>0.11509</v>
      </c>
      <c r="AA614" s="36"/>
      <c r="AB614" s="30">
        <v>60.4</v>
      </c>
      <c r="AC614" s="44">
        <v>364.93</v>
      </c>
      <c r="AD614" s="35">
        <v>8.6890000000000001</v>
      </c>
      <c r="AE614" s="36"/>
      <c r="AF614" s="30">
        <v>60.4</v>
      </c>
      <c r="AG614" s="34">
        <v>2.7843</v>
      </c>
      <c r="AH614" s="35">
        <v>0.11694</v>
      </c>
      <c r="AI614" s="35"/>
      <c r="AJ614" s="35">
        <v>0.14380000000000001</v>
      </c>
      <c r="AK614" s="998">
        <v>24.6</v>
      </c>
      <c r="AM614" s="30">
        <v>60.4</v>
      </c>
      <c r="AN614" s="34">
        <v>1.2324999999999999</v>
      </c>
      <c r="AO614" s="35">
        <v>1.3804000000000001</v>
      </c>
      <c r="BX614" s="43"/>
      <c r="BY614" s="34"/>
      <c r="BZ614" s="59"/>
      <c r="CB614" s="43"/>
      <c r="CC614" s="34"/>
      <c r="CD614" s="59"/>
      <c r="CL614" s="43"/>
      <c r="CM614" s="34"/>
      <c r="CN614" s="59"/>
      <c r="CP614" s="43"/>
      <c r="CQ614" s="34"/>
      <c r="CR614" s="59"/>
      <c r="CT614" s="43"/>
      <c r="CU614" s="34"/>
      <c r="CV614" s="59"/>
    </row>
    <row r="615" spans="4:100">
      <c r="D615" s="30">
        <v>60.5</v>
      </c>
      <c r="E615" s="31">
        <v>0.73699999999999999</v>
      </c>
      <c r="F615" s="32">
        <v>736.8</v>
      </c>
      <c r="G615" s="33"/>
      <c r="H615" s="30">
        <v>60.5</v>
      </c>
      <c r="I615" s="34">
        <v>3.7827999999999999</v>
      </c>
      <c r="J615" s="35">
        <v>0.15887999999999999</v>
      </c>
      <c r="L615" s="30">
        <v>60.5</v>
      </c>
      <c r="M615" s="172">
        <v>6.1349999999999998</v>
      </c>
      <c r="N615" s="173">
        <v>0.16300000000000001</v>
      </c>
      <c r="P615" s="30">
        <v>60.5</v>
      </c>
      <c r="Q615" s="172">
        <v>3.0674999999999999</v>
      </c>
      <c r="R615" s="173">
        <v>0.12884000000000001</v>
      </c>
      <c r="T615" s="30">
        <v>60.5</v>
      </c>
      <c r="U615" s="172">
        <v>326</v>
      </c>
      <c r="V615" s="173">
        <v>7.7619999999999996</v>
      </c>
      <c r="X615" s="30">
        <v>60.5</v>
      </c>
      <c r="Y615" s="34">
        <v>2.7389000000000001</v>
      </c>
      <c r="Z615" s="35">
        <v>0.11502999999999999</v>
      </c>
      <c r="AA615" s="36"/>
      <c r="AB615" s="30">
        <v>60.5</v>
      </c>
      <c r="AC615" s="44">
        <v>365.12</v>
      </c>
      <c r="AD615" s="35">
        <v>8.6929999999999996</v>
      </c>
      <c r="AE615" s="36"/>
      <c r="AF615" s="30">
        <v>60.5</v>
      </c>
      <c r="AG615" s="34">
        <v>2.7827999999999999</v>
      </c>
      <c r="AH615" s="35">
        <v>0.11688</v>
      </c>
      <c r="AI615" s="35"/>
      <c r="AJ615" s="35">
        <v>0.14388999999999999</v>
      </c>
      <c r="AK615" s="998">
        <v>24.5</v>
      </c>
      <c r="AM615" s="30">
        <v>60.5</v>
      </c>
      <c r="AN615" s="34">
        <v>1.2332000000000001</v>
      </c>
      <c r="AO615" s="35">
        <v>1.3812</v>
      </c>
      <c r="BX615" s="43"/>
      <c r="BY615" s="34"/>
      <c r="BZ615" s="59"/>
      <c r="CB615" s="43"/>
      <c r="CC615" s="34"/>
      <c r="CD615" s="59"/>
      <c r="CL615" s="43"/>
      <c r="CM615" s="34"/>
      <c r="CN615" s="59"/>
      <c r="CP615" s="43"/>
      <c r="CQ615" s="34"/>
      <c r="CR615" s="59"/>
      <c r="CT615" s="43"/>
      <c r="CU615" s="34"/>
      <c r="CV615" s="59"/>
    </row>
    <row r="616" spans="4:100">
      <c r="D616" s="30">
        <v>60.6</v>
      </c>
      <c r="E616" s="31">
        <v>0.73660000000000003</v>
      </c>
      <c r="F616" s="32">
        <v>736.4</v>
      </c>
      <c r="G616" s="33"/>
      <c r="H616" s="30">
        <v>60.6</v>
      </c>
      <c r="I616" s="34">
        <v>3.7827999999999999</v>
      </c>
      <c r="J616" s="35">
        <v>0.15887999999999999</v>
      </c>
      <c r="L616" s="30">
        <v>60.6</v>
      </c>
      <c r="M616" s="172">
        <v>6.1319999999999997</v>
      </c>
      <c r="N616" s="173">
        <v>0.16308</v>
      </c>
      <c r="P616" s="30">
        <v>60.6</v>
      </c>
      <c r="Q616" s="172">
        <v>3.0659000000000001</v>
      </c>
      <c r="R616" s="173">
        <v>0.12877</v>
      </c>
      <c r="T616" s="30">
        <v>60.6</v>
      </c>
      <c r="U616" s="172">
        <v>326.17</v>
      </c>
      <c r="V616" s="173">
        <v>7.766</v>
      </c>
      <c r="X616" s="30">
        <v>60.6</v>
      </c>
      <c r="Y616" s="34">
        <v>2.7374000000000001</v>
      </c>
      <c r="Z616" s="35">
        <v>0.11497</v>
      </c>
      <c r="AA616" s="36"/>
      <c r="AB616" s="30">
        <v>60.6</v>
      </c>
      <c r="AC616" s="44">
        <v>365.31</v>
      </c>
      <c r="AD616" s="35">
        <v>8.6980000000000004</v>
      </c>
      <c r="AE616" s="36"/>
      <c r="AF616" s="30">
        <v>60.6</v>
      </c>
      <c r="AG616" s="34">
        <v>2.7814000000000001</v>
      </c>
      <c r="AH616" s="35">
        <v>0.11681999999999999</v>
      </c>
      <c r="AI616" s="35"/>
      <c r="AJ616" s="35">
        <v>0.14399000000000001</v>
      </c>
      <c r="AK616" s="998">
        <v>24.4</v>
      </c>
      <c r="AM616" s="30">
        <v>60.6</v>
      </c>
      <c r="AN616" s="34">
        <v>1.2338</v>
      </c>
      <c r="AO616" s="35">
        <v>1.3818999999999999</v>
      </c>
      <c r="BX616" s="43"/>
      <c r="BY616" s="34"/>
      <c r="BZ616" s="59"/>
      <c r="CB616" s="43"/>
      <c r="CC616" s="34"/>
      <c r="CD616" s="59"/>
      <c r="CL616" s="43"/>
      <c r="CM616" s="34"/>
      <c r="CN616" s="59"/>
      <c r="CP616" s="43"/>
      <c r="CQ616" s="34"/>
      <c r="CR616" s="59"/>
      <c r="CT616" s="43"/>
      <c r="CU616" s="34"/>
      <c r="CV616" s="59"/>
    </row>
    <row r="617" spans="4:100">
      <c r="D617" s="30">
        <v>60.7</v>
      </c>
      <c r="E617" s="31">
        <v>0.73619999999999997</v>
      </c>
      <c r="F617" s="32">
        <v>736</v>
      </c>
      <c r="G617" s="33"/>
      <c r="H617" s="30">
        <v>60.7</v>
      </c>
      <c r="I617" s="34">
        <v>3.7827999999999999</v>
      </c>
      <c r="J617" s="35">
        <v>0.15887999999999999</v>
      </c>
      <c r="L617" s="30">
        <v>60.7</v>
      </c>
      <c r="M617" s="172">
        <v>6.1289999999999996</v>
      </c>
      <c r="N617" s="173">
        <v>0.16317000000000001</v>
      </c>
      <c r="P617" s="30">
        <v>60.7</v>
      </c>
      <c r="Q617" s="172">
        <v>3.0642999999999998</v>
      </c>
      <c r="R617" s="173">
        <v>0.12870000000000001</v>
      </c>
      <c r="T617" s="30">
        <v>60.7</v>
      </c>
      <c r="U617" s="172">
        <v>326.33999999999997</v>
      </c>
      <c r="V617" s="173">
        <v>7.77</v>
      </c>
      <c r="X617" s="30">
        <v>60.7</v>
      </c>
      <c r="Y617" s="34">
        <v>2.7360000000000002</v>
      </c>
      <c r="Z617" s="35">
        <v>0.11491</v>
      </c>
      <c r="AA617" s="36"/>
      <c r="AB617" s="30">
        <v>60.7</v>
      </c>
      <c r="AC617" s="44">
        <v>365.5</v>
      </c>
      <c r="AD617" s="35">
        <v>8.702</v>
      </c>
      <c r="AE617" s="36"/>
      <c r="AF617" s="30">
        <v>60.7</v>
      </c>
      <c r="AG617" s="34">
        <v>2.7799</v>
      </c>
      <c r="AH617" s="35">
        <v>0.11676</v>
      </c>
      <c r="AI617" s="35"/>
      <c r="AJ617" s="35">
        <v>0.14408000000000001</v>
      </c>
      <c r="AK617" s="998">
        <v>24.3</v>
      </c>
      <c r="AM617" s="30">
        <v>60.7</v>
      </c>
      <c r="AN617" s="34">
        <v>1.2344999999999999</v>
      </c>
      <c r="AO617" s="35">
        <v>1.3826000000000001</v>
      </c>
      <c r="BX617" s="43"/>
      <c r="BY617" s="34"/>
      <c r="BZ617" s="59"/>
      <c r="CB617" s="43"/>
      <c r="CC617" s="34"/>
      <c r="CD617" s="59"/>
      <c r="CL617" s="43"/>
      <c r="CM617" s="34"/>
      <c r="CN617" s="59"/>
      <c r="CP617" s="43"/>
      <c r="CQ617" s="34"/>
      <c r="CR617" s="59"/>
      <c r="CT617" s="43"/>
      <c r="CU617" s="34"/>
      <c r="CV617" s="59"/>
    </row>
    <row r="618" spans="4:100">
      <c r="D618" s="30">
        <v>60.8</v>
      </c>
      <c r="E618" s="31">
        <v>0.73580000000000001</v>
      </c>
      <c r="F618" s="32">
        <v>735.6</v>
      </c>
      <c r="G618" s="33"/>
      <c r="H618" s="30">
        <v>60.8</v>
      </c>
      <c r="I618" s="34">
        <v>3.7827999999999999</v>
      </c>
      <c r="J618" s="35">
        <v>0.15887999999999999</v>
      </c>
      <c r="L618" s="30">
        <v>60.8</v>
      </c>
      <c r="M618" s="172">
        <v>6.125</v>
      </c>
      <c r="N618" s="173">
        <v>0.16325000000000001</v>
      </c>
      <c r="P618" s="30">
        <v>60.8</v>
      </c>
      <c r="Q618" s="172">
        <v>3.0627</v>
      </c>
      <c r="R618" s="173">
        <v>0.12862999999999999</v>
      </c>
      <c r="T618" s="30">
        <v>60.8</v>
      </c>
      <c r="U618" s="172">
        <v>326.51</v>
      </c>
      <c r="V618" s="173">
        <v>7.774</v>
      </c>
      <c r="X618" s="30">
        <v>60.8</v>
      </c>
      <c r="Y618" s="34">
        <v>2.7345999999999999</v>
      </c>
      <c r="Z618" s="35">
        <v>0.11484999999999999</v>
      </c>
      <c r="AA618" s="36"/>
      <c r="AB618" s="30">
        <v>60.8</v>
      </c>
      <c r="AC618" s="44">
        <v>365.69</v>
      </c>
      <c r="AD618" s="35">
        <v>8.7070000000000007</v>
      </c>
      <c r="AE618" s="36"/>
      <c r="AF618" s="30">
        <v>60.8</v>
      </c>
      <c r="AG618" s="34">
        <v>2.7785000000000002</v>
      </c>
      <c r="AH618" s="35">
        <v>0.1167</v>
      </c>
      <c r="AI618" s="35"/>
      <c r="AJ618" s="35">
        <v>0.14416999999999999</v>
      </c>
      <c r="AK618" s="998">
        <v>24.2</v>
      </c>
      <c r="AM618" s="30">
        <v>60.8</v>
      </c>
      <c r="AN618" s="34">
        <v>1.2351000000000001</v>
      </c>
      <c r="AO618" s="35">
        <v>1.3833</v>
      </c>
      <c r="BX618" s="43"/>
      <c r="BY618" s="34"/>
      <c r="BZ618" s="59"/>
      <c r="CB618" s="43"/>
      <c r="CC618" s="34"/>
      <c r="CD618" s="59"/>
      <c r="CL618" s="43"/>
      <c r="CM618" s="34"/>
      <c r="CN618" s="59"/>
      <c r="CP618" s="43"/>
      <c r="CQ618" s="34"/>
      <c r="CR618" s="59"/>
      <c r="CT618" s="43"/>
      <c r="CU618" s="34"/>
      <c r="CV618" s="59"/>
    </row>
    <row r="619" spans="4:100">
      <c r="D619" s="30">
        <v>60.9</v>
      </c>
      <c r="E619" s="31">
        <v>0.73540000000000005</v>
      </c>
      <c r="F619" s="32">
        <v>735.2</v>
      </c>
      <c r="G619" s="33"/>
      <c r="H619" s="30">
        <v>60.9</v>
      </c>
      <c r="I619" s="34">
        <v>3.7827999999999999</v>
      </c>
      <c r="J619" s="35">
        <v>0.15887999999999999</v>
      </c>
      <c r="L619" s="30">
        <v>60.9</v>
      </c>
      <c r="M619" s="172">
        <v>6.1219999999999999</v>
      </c>
      <c r="N619" s="173">
        <v>0.16334000000000001</v>
      </c>
      <c r="P619" s="30">
        <v>60.9</v>
      </c>
      <c r="Q619" s="172">
        <v>3.0611000000000002</v>
      </c>
      <c r="R619" s="173">
        <v>0.12856999999999999</v>
      </c>
      <c r="T619" s="30">
        <v>60.9</v>
      </c>
      <c r="U619" s="172">
        <v>326.68</v>
      </c>
      <c r="V619" s="173">
        <v>7.7779999999999996</v>
      </c>
      <c r="X619" s="30">
        <v>60.9</v>
      </c>
      <c r="Y619" s="34">
        <v>2.7332000000000001</v>
      </c>
      <c r="Z619" s="35">
        <v>0.11479</v>
      </c>
      <c r="AA619" s="36"/>
      <c r="AB619" s="30">
        <v>60.9</v>
      </c>
      <c r="AC619" s="44">
        <v>365.88</v>
      </c>
      <c r="AD619" s="35">
        <v>8.7110000000000003</v>
      </c>
      <c r="AE619" s="36"/>
      <c r="AF619" s="30">
        <v>60.9</v>
      </c>
      <c r="AG619" s="34">
        <v>2.7770000000000001</v>
      </c>
      <c r="AH619" s="35">
        <v>0.11663</v>
      </c>
      <c r="AI619" s="35"/>
      <c r="AJ619" s="35">
        <v>0.14426</v>
      </c>
      <c r="AK619" s="998">
        <v>24.1</v>
      </c>
      <c r="AM619" s="30">
        <v>60.9</v>
      </c>
      <c r="AN619" s="34">
        <v>1.2358</v>
      </c>
      <c r="AO619" s="35">
        <v>1.3839999999999999</v>
      </c>
      <c r="BX619" s="43"/>
      <c r="BY619" s="34"/>
      <c r="BZ619" s="59"/>
      <c r="CB619" s="43"/>
      <c r="CC619" s="34"/>
      <c r="CD619" s="59"/>
      <c r="CL619" s="43"/>
      <c r="CM619" s="34"/>
      <c r="CN619" s="59"/>
      <c r="CP619" s="43"/>
      <c r="CQ619" s="34"/>
      <c r="CR619" s="59"/>
      <c r="CT619" s="43"/>
      <c r="CU619" s="34"/>
      <c r="CV619" s="59"/>
    </row>
    <row r="620" spans="4:100">
      <c r="D620" s="30">
        <v>61</v>
      </c>
      <c r="E620" s="31">
        <v>0.73509999999999998</v>
      </c>
      <c r="F620" s="32">
        <v>734.8</v>
      </c>
      <c r="G620" s="33"/>
      <c r="H620" s="30">
        <v>61</v>
      </c>
      <c r="I620" s="34">
        <v>3.7827999999999999</v>
      </c>
      <c r="J620" s="35">
        <v>0.15887999999999999</v>
      </c>
      <c r="L620" s="30">
        <v>61</v>
      </c>
      <c r="M620" s="172">
        <v>6.1189999999999998</v>
      </c>
      <c r="N620" s="173">
        <v>0.16342000000000001</v>
      </c>
      <c r="P620" s="30">
        <v>61</v>
      </c>
      <c r="Q620" s="172">
        <v>3.0594999999999999</v>
      </c>
      <c r="R620" s="173">
        <v>0.1285</v>
      </c>
      <c r="T620" s="30">
        <v>61</v>
      </c>
      <c r="U620" s="172">
        <v>326.85000000000002</v>
      </c>
      <c r="V620" s="173">
        <v>7.782</v>
      </c>
      <c r="X620" s="30">
        <v>61</v>
      </c>
      <c r="Y620" s="34">
        <v>2.7317</v>
      </c>
      <c r="Z620" s="35">
        <v>0.11473</v>
      </c>
      <c r="AA620" s="36"/>
      <c r="AB620" s="30">
        <v>61</v>
      </c>
      <c r="AC620" s="44">
        <v>366.07</v>
      </c>
      <c r="AD620" s="35">
        <v>8.7159999999999993</v>
      </c>
      <c r="AE620" s="36"/>
      <c r="AF620" s="30">
        <v>61</v>
      </c>
      <c r="AG620" s="34">
        <v>2.7755999999999998</v>
      </c>
      <c r="AH620" s="35">
        <v>0.11656999999999999</v>
      </c>
      <c r="AI620" s="35"/>
      <c r="AJ620" s="35">
        <v>0.14435999999999999</v>
      </c>
      <c r="AK620" s="998">
        <v>24</v>
      </c>
      <c r="AM620" s="30">
        <v>61</v>
      </c>
      <c r="AN620" s="34">
        <v>1.2363999999999999</v>
      </c>
      <c r="AO620" s="35">
        <v>1.3848</v>
      </c>
      <c r="BX620" s="43"/>
      <c r="BY620" s="34"/>
      <c r="BZ620" s="59"/>
      <c r="CB620" s="43"/>
      <c r="CC620" s="34"/>
      <c r="CD620" s="59"/>
      <c r="CL620" s="43"/>
      <c r="CM620" s="34"/>
      <c r="CN620" s="59"/>
      <c r="CP620" s="43"/>
      <c r="CQ620" s="34"/>
      <c r="CR620" s="59"/>
      <c r="CT620" s="43"/>
      <c r="CU620" s="34"/>
      <c r="CV620" s="59"/>
    </row>
    <row r="621" spans="4:100">
      <c r="D621" s="30">
        <v>61.1</v>
      </c>
      <c r="E621" s="31">
        <v>0.73470000000000002</v>
      </c>
      <c r="F621" s="32">
        <v>734.5</v>
      </c>
      <c r="G621" s="33"/>
      <c r="H621" s="30">
        <v>61.1</v>
      </c>
      <c r="I621" s="34">
        <v>3.7827999999999999</v>
      </c>
      <c r="J621" s="35">
        <v>0.15887999999999999</v>
      </c>
      <c r="L621" s="30">
        <v>61.1</v>
      </c>
      <c r="M621" s="172">
        <v>6.1159999999999997</v>
      </c>
      <c r="N621" s="173">
        <v>0.16350999999999999</v>
      </c>
      <c r="P621" s="30">
        <v>61.1</v>
      </c>
      <c r="Q621" s="172">
        <v>3.0579999999999998</v>
      </c>
      <c r="R621" s="173">
        <v>0.12842999999999999</v>
      </c>
      <c r="T621" s="30">
        <v>61.1</v>
      </c>
      <c r="U621" s="172">
        <v>327.02</v>
      </c>
      <c r="V621" s="173">
        <v>7.7859999999999996</v>
      </c>
      <c r="X621" s="30">
        <v>61.1</v>
      </c>
      <c r="Y621" s="34">
        <v>2.7303000000000002</v>
      </c>
      <c r="Z621" s="35">
        <v>0.11466999999999999</v>
      </c>
      <c r="AA621" s="36"/>
      <c r="AB621" s="30">
        <v>61.1</v>
      </c>
      <c r="AC621" s="44">
        <v>366.26</v>
      </c>
      <c r="AD621" s="35">
        <v>8.7200000000000006</v>
      </c>
      <c r="AE621" s="36"/>
      <c r="AF621" s="30">
        <v>61.1</v>
      </c>
      <c r="AG621" s="34">
        <v>2.7740999999999998</v>
      </c>
      <c r="AH621" s="35">
        <v>0.11651</v>
      </c>
      <c r="AI621" s="35"/>
      <c r="AJ621" s="35">
        <v>0.14445</v>
      </c>
      <c r="AK621" s="998">
        <v>23.9</v>
      </c>
      <c r="AM621" s="30">
        <v>61.1</v>
      </c>
      <c r="AN621" s="34">
        <v>1.2370000000000001</v>
      </c>
      <c r="AO621" s="35">
        <v>1.3855</v>
      </c>
      <c r="BX621" s="43"/>
      <c r="BY621" s="34"/>
      <c r="BZ621" s="59"/>
      <c r="CB621" s="43"/>
      <c r="CC621" s="34"/>
      <c r="CD621" s="59"/>
      <c r="CL621" s="43"/>
      <c r="CM621" s="34"/>
      <c r="CN621" s="59"/>
      <c r="CP621" s="43"/>
      <c r="CQ621" s="34"/>
      <c r="CR621" s="59"/>
      <c r="CT621" s="43"/>
      <c r="CU621" s="34"/>
      <c r="CV621" s="59"/>
    </row>
    <row r="622" spans="4:100">
      <c r="D622" s="30">
        <v>61.2</v>
      </c>
      <c r="E622" s="31">
        <v>0.73429999999999995</v>
      </c>
      <c r="F622" s="32">
        <v>734.1</v>
      </c>
      <c r="G622" s="33"/>
      <c r="H622" s="30">
        <v>61.2</v>
      </c>
      <c r="I622" s="34">
        <v>3.7827999999999999</v>
      </c>
      <c r="J622" s="35">
        <v>0.15887999999999999</v>
      </c>
      <c r="L622" s="30">
        <v>61.2</v>
      </c>
      <c r="M622" s="172">
        <v>6.1130000000000004</v>
      </c>
      <c r="N622" s="173">
        <v>0.16359000000000001</v>
      </c>
      <c r="P622" s="30">
        <v>61.2</v>
      </c>
      <c r="Q622" s="172">
        <v>3.0564</v>
      </c>
      <c r="R622" s="173">
        <v>0.12837000000000001</v>
      </c>
      <c r="T622" s="30">
        <v>61.2</v>
      </c>
      <c r="U622" s="172">
        <v>327.19</v>
      </c>
      <c r="V622" s="173">
        <v>7.79</v>
      </c>
      <c r="X622" s="30">
        <v>61.2</v>
      </c>
      <c r="Y622" s="34">
        <v>2.7288999999999999</v>
      </c>
      <c r="Z622" s="35">
        <v>0.11461</v>
      </c>
      <c r="AA622" s="36"/>
      <c r="AB622" s="30">
        <v>61.2</v>
      </c>
      <c r="AC622" s="44">
        <v>366.45</v>
      </c>
      <c r="AD622" s="35">
        <v>8.7249999999999996</v>
      </c>
      <c r="AE622" s="36"/>
      <c r="AF622" s="30">
        <v>61.2</v>
      </c>
      <c r="AG622" s="34">
        <v>2.7726999999999999</v>
      </c>
      <c r="AH622" s="35">
        <v>0.11645</v>
      </c>
      <c r="AI622" s="35"/>
      <c r="AJ622" s="35">
        <v>0.14454</v>
      </c>
      <c r="AK622" s="998">
        <v>23.8</v>
      </c>
      <c r="AM622" s="30">
        <v>61.2</v>
      </c>
      <c r="AN622" s="34">
        <v>1.2377</v>
      </c>
      <c r="AO622" s="35">
        <v>1.3862000000000001</v>
      </c>
      <c r="BX622" s="43"/>
      <c r="BY622" s="34"/>
      <c r="BZ622" s="59"/>
      <c r="CB622" s="43"/>
      <c r="CC622" s="34"/>
      <c r="CD622" s="59"/>
      <c r="CL622" s="43"/>
      <c r="CM622" s="34"/>
      <c r="CN622" s="59"/>
      <c r="CP622" s="43"/>
      <c r="CQ622" s="34"/>
      <c r="CR622" s="59"/>
      <c r="CT622" s="43"/>
      <c r="CU622" s="34"/>
      <c r="CV622" s="59"/>
    </row>
    <row r="623" spans="4:100">
      <c r="D623" s="30">
        <v>61.3</v>
      </c>
      <c r="E623" s="31">
        <v>0.7339</v>
      </c>
      <c r="F623" s="32">
        <v>733.7</v>
      </c>
      <c r="G623" s="33"/>
      <c r="H623" s="30">
        <v>61.3</v>
      </c>
      <c r="I623" s="34">
        <v>3.7827999999999999</v>
      </c>
      <c r="J623" s="35">
        <v>0.15887999999999999</v>
      </c>
      <c r="L623" s="30">
        <v>61.3</v>
      </c>
      <c r="M623" s="172">
        <v>6.11</v>
      </c>
      <c r="N623" s="173">
        <v>0.16367999999999999</v>
      </c>
      <c r="P623" s="30">
        <v>61.3</v>
      </c>
      <c r="Q623" s="172">
        <v>3.0548000000000002</v>
      </c>
      <c r="R623" s="173">
        <v>0.1283</v>
      </c>
      <c r="T623" s="30">
        <v>61.3</v>
      </c>
      <c r="U623" s="172">
        <v>327.36</v>
      </c>
      <c r="V623" s="173">
        <v>7.7939999999999996</v>
      </c>
      <c r="X623" s="30">
        <v>61.3</v>
      </c>
      <c r="Y623" s="34">
        <v>2.7275</v>
      </c>
      <c r="Z623" s="35">
        <v>0.11455</v>
      </c>
      <c r="AA623" s="36"/>
      <c r="AB623" s="30">
        <v>61.3</v>
      </c>
      <c r="AC623" s="44">
        <v>366.64</v>
      </c>
      <c r="AD623" s="35">
        <v>8.73</v>
      </c>
      <c r="AE623" s="36"/>
      <c r="AF623" s="30">
        <v>61.3</v>
      </c>
      <c r="AG623" s="34">
        <v>2.7711999999999999</v>
      </c>
      <c r="AH623" s="35">
        <v>0.11638999999999999</v>
      </c>
      <c r="AI623" s="35"/>
      <c r="AJ623" s="35">
        <v>0.14463999999999999</v>
      </c>
      <c r="AK623" s="998">
        <v>23.7</v>
      </c>
      <c r="AM623" s="30">
        <v>61.3</v>
      </c>
      <c r="AN623" s="34">
        <v>1.2383</v>
      </c>
      <c r="AO623" s="35">
        <v>1.3869</v>
      </c>
      <c r="BX623" s="43"/>
      <c r="BY623" s="34"/>
      <c r="BZ623" s="59"/>
      <c r="CB623" s="43"/>
      <c r="CC623" s="34"/>
      <c r="CD623" s="59"/>
      <c r="CL623" s="43"/>
      <c r="CM623" s="34"/>
      <c r="CN623" s="59"/>
      <c r="CP623" s="43"/>
      <c r="CQ623" s="34"/>
      <c r="CR623" s="59"/>
      <c r="CT623" s="43"/>
      <c r="CU623" s="34"/>
      <c r="CV623" s="59"/>
    </row>
    <row r="624" spans="4:100">
      <c r="D624" s="30">
        <v>61.4</v>
      </c>
      <c r="E624" s="31">
        <v>0.73350000000000004</v>
      </c>
      <c r="F624" s="32">
        <v>733.3</v>
      </c>
      <c r="G624" s="33"/>
      <c r="H624" s="30">
        <v>61.4</v>
      </c>
      <c r="I624" s="34">
        <v>3.7827999999999999</v>
      </c>
      <c r="J624" s="35">
        <v>0.15887999999999999</v>
      </c>
      <c r="L624" s="30">
        <v>61.4</v>
      </c>
      <c r="M624" s="172">
        <v>6.1059999999999999</v>
      </c>
      <c r="N624" s="173">
        <v>0.16375999999999999</v>
      </c>
      <c r="P624" s="30">
        <v>61.4</v>
      </c>
      <c r="Q624" s="172">
        <v>3.0531999999999999</v>
      </c>
      <c r="R624" s="173">
        <v>0.12823000000000001</v>
      </c>
      <c r="T624" s="30">
        <v>61.4</v>
      </c>
      <c r="U624" s="172">
        <v>327.52999999999997</v>
      </c>
      <c r="V624" s="173">
        <v>7.798</v>
      </c>
      <c r="X624" s="30">
        <v>61.4</v>
      </c>
      <c r="Y624" s="34">
        <v>2.7261000000000002</v>
      </c>
      <c r="Z624" s="35">
        <v>0.11448999999999999</v>
      </c>
      <c r="AA624" s="36"/>
      <c r="AB624" s="30">
        <v>61.4</v>
      </c>
      <c r="AC624" s="44">
        <v>366.83</v>
      </c>
      <c r="AD624" s="35">
        <v>8.734</v>
      </c>
      <c r="AE624" s="36"/>
      <c r="AF624" s="30">
        <v>61.4</v>
      </c>
      <c r="AG624" s="34">
        <v>2.7698</v>
      </c>
      <c r="AH624" s="35">
        <v>0.11633</v>
      </c>
      <c r="AI624" s="35"/>
      <c r="AJ624" s="35">
        <v>0.14473</v>
      </c>
      <c r="AK624" s="998">
        <v>23.6</v>
      </c>
      <c r="AM624" s="30">
        <v>61.4</v>
      </c>
      <c r="AN624" s="34">
        <v>1.2390000000000001</v>
      </c>
      <c r="AO624" s="35">
        <v>1.3875999999999999</v>
      </c>
      <c r="BX624" s="43"/>
      <c r="BY624" s="34"/>
      <c r="BZ624" s="59"/>
      <c r="CB624" s="43"/>
      <c r="CC624" s="34"/>
      <c r="CD624" s="59"/>
      <c r="CL624" s="43"/>
      <c r="CM624" s="34"/>
      <c r="CN624" s="59"/>
      <c r="CP624" s="43"/>
      <c r="CQ624" s="34"/>
      <c r="CR624" s="59"/>
      <c r="CT624" s="43"/>
      <c r="CU624" s="34"/>
      <c r="CV624" s="59"/>
    </row>
    <row r="625" spans="4:100">
      <c r="D625" s="30">
        <v>61.5</v>
      </c>
      <c r="E625" s="31">
        <v>0.73319999999999996</v>
      </c>
      <c r="F625" s="32">
        <v>732.9</v>
      </c>
      <c r="G625" s="33"/>
      <c r="H625" s="30">
        <v>61.5</v>
      </c>
      <c r="I625" s="34">
        <v>3.7827999999999999</v>
      </c>
      <c r="J625" s="35">
        <v>0.15887999999999999</v>
      </c>
      <c r="L625" s="30">
        <v>61.5</v>
      </c>
      <c r="M625" s="172">
        <v>6.1029999999999998</v>
      </c>
      <c r="N625" s="173">
        <v>0.16385</v>
      </c>
      <c r="P625" s="30">
        <v>61.5</v>
      </c>
      <c r="Q625" s="172">
        <v>3.0516000000000001</v>
      </c>
      <c r="R625" s="173">
        <v>0.12817000000000001</v>
      </c>
      <c r="T625" s="30">
        <v>61.5</v>
      </c>
      <c r="U625" s="172">
        <v>327.7</v>
      </c>
      <c r="V625" s="173">
        <v>7.8019999999999996</v>
      </c>
      <c r="X625" s="30">
        <v>61.5</v>
      </c>
      <c r="Y625" s="34">
        <v>2.7246000000000001</v>
      </c>
      <c r="Z625" s="35">
        <v>0.11444</v>
      </c>
      <c r="AA625" s="36"/>
      <c r="AB625" s="30">
        <v>61.5</v>
      </c>
      <c r="AC625" s="44">
        <v>367.02</v>
      </c>
      <c r="AD625" s="35">
        <v>8.7390000000000008</v>
      </c>
      <c r="AE625" s="36"/>
      <c r="AF625" s="30">
        <v>61.5</v>
      </c>
      <c r="AG625" s="34">
        <v>2.7684000000000002</v>
      </c>
      <c r="AH625" s="35">
        <v>0.11627</v>
      </c>
      <c r="AI625" s="35"/>
      <c r="AJ625" s="35">
        <v>0.14482</v>
      </c>
      <c r="AK625" s="998">
        <v>23.5</v>
      </c>
      <c r="AM625" s="30">
        <v>61.5</v>
      </c>
      <c r="AN625" s="34">
        <v>1.2396</v>
      </c>
      <c r="AO625" s="35">
        <v>1.3884000000000001</v>
      </c>
      <c r="BX625" s="43"/>
      <c r="BY625" s="34"/>
      <c r="BZ625" s="59"/>
      <c r="CB625" s="43"/>
      <c r="CC625" s="34"/>
      <c r="CD625" s="59"/>
      <c r="CL625" s="43"/>
      <c r="CM625" s="34"/>
      <c r="CN625" s="59"/>
      <c r="CP625" s="43"/>
      <c r="CQ625" s="34"/>
      <c r="CR625" s="59"/>
      <c r="CT625" s="43"/>
      <c r="CU625" s="34"/>
      <c r="CV625" s="59"/>
    </row>
    <row r="626" spans="4:100">
      <c r="D626" s="30">
        <v>61.6</v>
      </c>
      <c r="E626" s="31">
        <v>0.73280000000000001</v>
      </c>
      <c r="F626" s="32">
        <v>732.6</v>
      </c>
      <c r="G626" s="33"/>
      <c r="H626" s="30">
        <v>61.6</v>
      </c>
      <c r="I626" s="34">
        <v>3.7827999999999999</v>
      </c>
      <c r="J626" s="35">
        <v>0.15887999999999999</v>
      </c>
      <c r="L626" s="30">
        <v>61.6</v>
      </c>
      <c r="M626" s="172">
        <v>6.1</v>
      </c>
      <c r="N626" s="173">
        <v>0.16392999999999999</v>
      </c>
      <c r="P626" s="30">
        <v>61.6</v>
      </c>
      <c r="Q626" s="172">
        <v>3.05</v>
      </c>
      <c r="R626" s="173">
        <v>0.12809999999999999</v>
      </c>
      <c r="T626" s="30">
        <v>61.6</v>
      </c>
      <c r="U626" s="172">
        <v>327.87</v>
      </c>
      <c r="V626" s="173">
        <v>7.8060000000000098</v>
      </c>
      <c r="X626" s="30">
        <v>61.6</v>
      </c>
      <c r="Y626" s="34">
        <v>2.7231999999999998</v>
      </c>
      <c r="Z626" s="35">
        <v>0.11438</v>
      </c>
      <c r="AA626" s="36"/>
      <c r="AB626" s="30">
        <v>61.6</v>
      </c>
      <c r="AC626" s="44">
        <v>367.21</v>
      </c>
      <c r="AD626" s="35">
        <v>8.7430000000000003</v>
      </c>
      <c r="AE626" s="36"/>
      <c r="AF626" s="30">
        <v>61.6</v>
      </c>
      <c r="AG626" s="34">
        <v>2.7669000000000001</v>
      </c>
      <c r="AH626" s="35">
        <v>0.11620999999999999</v>
      </c>
      <c r="AI626" s="35"/>
      <c r="AJ626" s="35">
        <v>0.14491999999999999</v>
      </c>
      <c r="AK626" s="998">
        <v>23.4</v>
      </c>
      <c r="AM626" s="30">
        <v>61.6</v>
      </c>
      <c r="AN626" s="34">
        <v>1.2403</v>
      </c>
      <c r="AO626" s="35">
        <v>1.3891</v>
      </c>
      <c r="BX626" s="43"/>
      <c r="BY626" s="34"/>
      <c r="BZ626" s="59"/>
      <c r="CB626" s="43"/>
      <c r="CC626" s="34"/>
      <c r="CD626" s="59"/>
      <c r="CL626" s="43"/>
      <c r="CM626" s="34"/>
      <c r="CN626" s="59"/>
      <c r="CP626" s="43"/>
      <c r="CQ626" s="34"/>
      <c r="CR626" s="59"/>
      <c r="CT626" s="43"/>
      <c r="CU626" s="34"/>
      <c r="CV626" s="59"/>
    </row>
    <row r="627" spans="4:100">
      <c r="D627" s="30">
        <v>61.7</v>
      </c>
      <c r="E627" s="31">
        <v>0.73240000000000005</v>
      </c>
      <c r="F627" s="32">
        <v>732.2</v>
      </c>
      <c r="G627" s="33"/>
      <c r="H627" s="30">
        <v>61.7</v>
      </c>
      <c r="I627" s="34">
        <v>3.7827999999999999</v>
      </c>
      <c r="J627" s="35">
        <v>0.15887999999999999</v>
      </c>
      <c r="L627" s="30">
        <v>61.7</v>
      </c>
      <c r="M627" s="172">
        <v>6.0970000000000004</v>
      </c>
      <c r="N627" s="173">
        <v>0.16402</v>
      </c>
      <c r="P627" s="30">
        <v>61.7</v>
      </c>
      <c r="Q627" s="172">
        <v>3.0484</v>
      </c>
      <c r="R627" s="173">
        <v>0.12803</v>
      </c>
      <c r="T627" s="30">
        <v>61.7</v>
      </c>
      <c r="U627" s="172">
        <v>328.04</v>
      </c>
      <c r="V627" s="173">
        <v>7.8100000000000103</v>
      </c>
      <c r="X627" s="30">
        <v>61.7</v>
      </c>
      <c r="Y627" s="34">
        <v>2.7218</v>
      </c>
      <c r="Z627" s="35">
        <v>0.11432</v>
      </c>
      <c r="AA627" s="36"/>
      <c r="AB627" s="30">
        <v>61.7</v>
      </c>
      <c r="AC627" s="44">
        <v>367.4</v>
      </c>
      <c r="AD627" s="35">
        <v>8.7479999999999993</v>
      </c>
      <c r="AE627" s="36"/>
      <c r="AF627" s="30">
        <v>61.7</v>
      </c>
      <c r="AG627" s="34">
        <v>2.7654999999999998</v>
      </c>
      <c r="AH627" s="35">
        <v>0.11615</v>
      </c>
      <c r="AI627" s="35"/>
      <c r="AJ627" s="35">
        <v>0.14501</v>
      </c>
      <c r="AK627" s="998">
        <v>23.3</v>
      </c>
      <c r="AM627" s="30">
        <v>61.7</v>
      </c>
      <c r="AN627" s="34">
        <v>1.2408999999999999</v>
      </c>
      <c r="AO627" s="35">
        <v>1.3897999999999999</v>
      </c>
      <c r="BX627" s="43"/>
      <c r="BY627" s="34"/>
      <c r="BZ627" s="59"/>
      <c r="CB627" s="43"/>
      <c r="CC627" s="34"/>
      <c r="CD627" s="59"/>
      <c r="CL627" s="43"/>
      <c r="CM627" s="34"/>
      <c r="CN627" s="59"/>
      <c r="CP627" s="43"/>
      <c r="CQ627" s="34"/>
      <c r="CR627" s="59"/>
      <c r="CT627" s="43"/>
      <c r="CU627" s="34"/>
      <c r="CV627" s="59"/>
    </row>
    <row r="628" spans="4:100">
      <c r="D628" s="30">
        <v>61.8</v>
      </c>
      <c r="E628" s="31">
        <v>0.73199999999999998</v>
      </c>
      <c r="F628" s="32">
        <v>731.8</v>
      </c>
      <c r="G628" s="33"/>
      <c r="H628" s="30">
        <v>61.8</v>
      </c>
      <c r="I628" s="34">
        <v>3.7827999999999999</v>
      </c>
      <c r="J628" s="35">
        <v>0.15887999999999999</v>
      </c>
      <c r="L628" s="30">
        <v>61.8</v>
      </c>
      <c r="M628" s="172">
        <v>6.0940000000000003</v>
      </c>
      <c r="N628" s="173">
        <v>0.1641</v>
      </c>
      <c r="P628" s="30">
        <v>61.8</v>
      </c>
      <c r="Q628" s="172">
        <v>3.0468999999999999</v>
      </c>
      <c r="R628" s="173">
        <v>0.12797</v>
      </c>
      <c r="T628" s="30">
        <v>61.8</v>
      </c>
      <c r="U628" s="172">
        <v>328.21</v>
      </c>
      <c r="V628" s="173">
        <v>7.8140000000000098</v>
      </c>
      <c r="X628" s="30">
        <v>61.8</v>
      </c>
      <c r="Y628" s="34">
        <v>2.7204000000000002</v>
      </c>
      <c r="Z628" s="35">
        <v>0.11426</v>
      </c>
      <c r="AA628" s="36"/>
      <c r="AB628" s="30">
        <v>61.8</v>
      </c>
      <c r="AC628" s="44">
        <v>367.59</v>
      </c>
      <c r="AD628" s="35">
        <v>8.7520000000000007</v>
      </c>
      <c r="AE628" s="36"/>
      <c r="AF628" s="30">
        <v>61.8</v>
      </c>
      <c r="AG628" s="34">
        <v>2.7641</v>
      </c>
      <c r="AH628" s="35">
        <v>0.11609</v>
      </c>
      <c r="AI628" s="35"/>
      <c r="AJ628" s="35">
        <v>0.14510999999999999</v>
      </c>
      <c r="AK628" s="998">
        <v>23.2</v>
      </c>
      <c r="AM628" s="30">
        <v>61.8</v>
      </c>
      <c r="AN628" s="34">
        <v>1.2415</v>
      </c>
      <c r="AO628" s="35">
        <v>1.3905000000000001</v>
      </c>
      <c r="BX628" s="43"/>
      <c r="BY628" s="34"/>
      <c r="BZ628" s="59"/>
      <c r="CB628" s="43"/>
      <c r="CC628" s="34"/>
      <c r="CD628" s="59"/>
      <c r="CL628" s="43"/>
      <c r="CM628" s="34"/>
      <c r="CN628" s="59"/>
      <c r="CP628" s="43"/>
      <c r="CQ628" s="34"/>
      <c r="CR628" s="59"/>
      <c r="CT628" s="43"/>
      <c r="CU628" s="34"/>
      <c r="CV628" s="59"/>
    </row>
    <row r="629" spans="4:100">
      <c r="D629" s="30">
        <v>61.9</v>
      </c>
      <c r="E629" s="31">
        <v>0.73160000000000003</v>
      </c>
      <c r="F629" s="32">
        <v>731.4</v>
      </c>
      <c r="G629" s="33"/>
      <c r="H629" s="30">
        <v>61.9</v>
      </c>
      <c r="I629" s="34">
        <v>3.7827999999999999</v>
      </c>
      <c r="J629" s="35">
        <v>0.15887999999999999</v>
      </c>
      <c r="L629" s="30">
        <v>61.9</v>
      </c>
      <c r="M629" s="172">
        <v>6.0910000000000002</v>
      </c>
      <c r="N629" s="173">
        <v>0.16419</v>
      </c>
      <c r="P629" s="30">
        <v>61.9</v>
      </c>
      <c r="Q629" s="172">
        <v>3.0453000000000001</v>
      </c>
      <c r="R629" s="173">
        <v>0.12790000000000001</v>
      </c>
      <c r="T629" s="30">
        <v>61.9</v>
      </c>
      <c r="U629" s="172">
        <v>328.38</v>
      </c>
      <c r="V629" s="173">
        <v>7.8180000000000103</v>
      </c>
      <c r="X629" s="30">
        <v>61.9</v>
      </c>
      <c r="Y629" s="34">
        <v>2.7189999999999999</v>
      </c>
      <c r="Z629" s="35">
        <v>0.1142</v>
      </c>
      <c r="AA629" s="36"/>
      <c r="AB629" s="30">
        <v>61.9</v>
      </c>
      <c r="AC629" s="44">
        <v>367.78</v>
      </c>
      <c r="AD629" s="35">
        <v>8.7569999999999997</v>
      </c>
      <c r="AE629" s="36"/>
      <c r="AF629" s="30">
        <v>61.9</v>
      </c>
      <c r="AG629" s="34">
        <v>2.7625999999999999</v>
      </c>
      <c r="AH629" s="35">
        <v>0.11602999999999999</v>
      </c>
      <c r="AI629" s="35"/>
      <c r="AJ629" s="35">
        <v>0.1452</v>
      </c>
      <c r="AK629" s="998">
        <v>23.1</v>
      </c>
      <c r="AM629" s="30">
        <v>61.9</v>
      </c>
      <c r="AN629" s="34">
        <v>1.2422</v>
      </c>
      <c r="AO629" s="35">
        <v>1.3912</v>
      </c>
      <c r="BX629" s="43"/>
      <c r="BY629" s="34"/>
      <c r="BZ629" s="59"/>
      <c r="CB629" s="43"/>
      <c r="CC629" s="34"/>
      <c r="CD629" s="59"/>
      <c r="CL629" s="43"/>
      <c r="CM629" s="34"/>
      <c r="CN629" s="59"/>
      <c r="CP629" s="43"/>
      <c r="CQ629" s="34"/>
      <c r="CR629" s="59"/>
      <c r="CT629" s="43"/>
      <c r="CU629" s="34"/>
      <c r="CV629" s="59"/>
    </row>
    <row r="630" spans="4:100">
      <c r="D630" s="30">
        <v>62</v>
      </c>
      <c r="E630" s="31">
        <v>0.73129999999999995</v>
      </c>
      <c r="F630" s="32">
        <v>731.1</v>
      </c>
      <c r="G630" s="33"/>
      <c r="H630" s="30">
        <v>62</v>
      </c>
      <c r="I630" s="34">
        <v>3.7827999999999999</v>
      </c>
      <c r="J630" s="35">
        <v>0.15887999999999999</v>
      </c>
      <c r="L630" s="30">
        <v>62</v>
      </c>
      <c r="M630" s="172">
        <v>6.0869999999999997</v>
      </c>
      <c r="N630" s="173">
        <v>0.16427</v>
      </c>
      <c r="P630" s="30">
        <v>62</v>
      </c>
      <c r="Q630" s="172">
        <v>3.0436999999999999</v>
      </c>
      <c r="R630" s="173">
        <v>0.12784000000000001</v>
      </c>
      <c r="T630" s="30">
        <v>62</v>
      </c>
      <c r="U630" s="172">
        <v>328.55</v>
      </c>
      <c r="V630" s="173">
        <v>7.8230000000000004</v>
      </c>
      <c r="X630" s="30">
        <v>62</v>
      </c>
      <c r="Y630" s="34">
        <v>2.7176</v>
      </c>
      <c r="Z630" s="35">
        <v>0.11414000000000001</v>
      </c>
      <c r="AA630" s="36"/>
      <c r="AB630" s="30">
        <v>62</v>
      </c>
      <c r="AC630" s="44">
        <v>367.97</v>
      </c>
      <c r="AD630" s="35">
        <v>8.7609999999999992</v>
      </c>
      <c r="AE630" s="36"/>
      <c r="AF630" s="30">
        <v>62</v>
      </c>
      <c r="AG630" s="34">
        <v>2.7612000000000001</v>
      </c>
      <c r="AH630" s="35">
        <v>0.11597</v>
      </c>
      <c r="AI630" s="35"/>
      <c r="AJ630" s="35">
        <v>0.14529</v>
      </c>
      <c r="AK630" s="998">
        <v>23</v>
      </c>
      <c r="AM630" s="30">
        <v>62</v>
      </c>
      <c r="AN630" s="34">
        <v>1.2427999999999999</v>
      </c>
      <c r="AO630" s="35">
        <v>1.3919999999999999</v>
      </c>
      <c r="BX630" s="43"/>
      <c r="BY630" s="34"/>
      <c r="BZ630" s="59"/>
      <c r="CB630" s="43"/>
      <c r="CC630" s="34"/>
      <c r="CD630" s="59"/>
      <c r="CL630" s="43"/>
      <c r="CM630" s="34"/>
      <c r="CN630" s="59"/>
      <c r="CP630" s="43"/>
      <c r="CQ630" s="34"/>
      <c r="CR630" s="59"/>
      <c r="CT630" s="43"/>
      <c r="CU630" s="34"/>
      <c r="CV630" s="59"/>
    </row>
    <row r="631" spans="4:100">
      <c r="D631" s="30">
        <v>62.1</v>
      </c>
      <c r="E631" s="31">
        <v>0.73089999999999999</v>
      </c>
      <c r="F631" s="32">
        <v>730.7</v>
      </c>
      <c r="G631" s="33"/>
      <c r="H631" s="30">
        <v>62.1</v>
      </c>
      <c r="I631" s="34">
        <v>3.7827999999999999</v>
      </c>
      <c r="J631" s="35">
        <v>0.15887999999999999</v>
      </c>
      <c r="L631" s="30">
        <v>62.1</v>
      </c>
      <c r="M631" s="172">
        <v>6.0839999999999996</v>
      </c>
      <c r="N631" s="173">
        <v>0.16436000000000001</v>
      </c>
      <c r="P631" s="30">
        <v>62.1</v>
      </c>
      <c r="Q631" s="172">
        <v>3.0421</v>
      </c>
      <c r="R631" s="173">
        <v>0.12776999999999999</v>
      </c>
      <c r="T631" s="30">
        <v>62.1</v>
      </c>
      <c r="U631" s="172">
        <v>328.72</v>
      </c>
      <c r="V631" s="173">
        <v>7.827</v>
      </c>
      <c r="X631" s="30">
        <v>62.1</v>
      </c>
      <c r="Y631" s="34">
        <v>2.7162000000000002</v>
      </c>
      <c r="Z631" s="35">
        <v>0.11408</v>
      </c>
      <c r="AA631" s="36"/>
      <c r="AB631" s="30">
        <v>62.1</v>
      </c>
      <c r="AC631" s="44">
        <v>368.16</v>
      </c>
      <c r="AD631" s="35">
        <v>8.766</v>
      </c>
      <c r="AE631" s="36"/>
      <c r="AF631" s="30">
        <v>62.1</v>
      </c>
      <c r="AG631" s="34">
        <v>2.7597999999999998</v>
      </c>
      <c r="AH631" s="35">
        <v>0.11591</v>
      </c>
      <c r="AI631" s="35"/>
      <c r="AJ631" s="35">
        <v>0.14538999999999999</v>
      </c>
      <c r="AK631" s="998">
        <v>22.9</v>
      </c>
      <c r="AM631" s="30">
        <v>62.1</v>
      </c>
      <c r="AN631" s="34">
        <v>1.2435</v>
      </c>
      <c r="AO631" s="35">
        <v>1.3927</v>
      </c>
      <c r="BX631" s="43"/>
      <c r="BY631" s="34"/>
      <c r="BZ631" s="59"/>
      <c r="CB631" s="43"/>
      <c r="CC631" s="34"/>
      <c r="CD631" s="59"/>
      <c r="CL631" s="43"/>
      <c r="CM631" s="34"/>
      <c r="CN631" s="59"/>
      <c r="CP631" s="43"/>
      <c r="CQ631" s="34"/>
      <c r="CR631" s="59"/>
      <c r="CT631" s="43"/>
      <c r="CU631" s="34"/>
      <c r="CV631" s="59"/>
    </row>
    <row r="632" spans="4:100">
      <c r="D632" s="30">
        <v>62.2</v>
      </c>
      <c r="E632" s="31">
        <v>0.73050000000000004</v>
      </c>
      <c r="F632" s="32">
        <v>730.3</v>
      </c>
      <c r="G632" s="33"/>
      <c r="H632" s="30">
        <v>62.2</v>
      </c>
      <c r="I632" s="34">
        <v>3.7827999999999999</v>
      </c>
      <c r="J632" s="35">
        <v>0.15887999999999999</v>
      </c>
      <c r="L632" s="30">
        <v>62.2</v>
      </c>
      <c r="M632" s="172">
        <v>6.0810000000000004</v>
      </c>
      <c r="N632" s="173">
        <v>0.16444</v>
      </c>
      <c r="P632" s="30">
        <v>62.2</v>
      </c>
      <c r="Q632" s="172">
        <v>3.0406</v>
      </c>
      <c r="R632" s="173">
        <v>0.12770000000000001</v>
      </c>
      <c r="T632" s="30">
        <v>62.2</v>
      </c>
      <c r="U632" s="172">
        <v>328.89</v>
      </c>
      <c r="V632" s="173">
        <v>7.8310000000000004</v>
      </c>
      <c r="X632" s="30">
        <v>62.2</v>
      </c>
      <c r="Y632" s="34">
        <v>2.7147999999999999</v>
      </c>
      <c r="Z632" s="35">
        <v>0.11402</v>
      </c>
      <c r="AA632" s="36"/>
      <c r="AB632" s="30">
        <v>62.2</v>
      </c>
      <c r="AC632" s="44">
        <v>368.35</v>
      </c>
      <c r="AD632" s="35">
        <v>8.77</v>
      </c>
      <c r="AE632" s="36"/>
      <c r="AF632" s="30">
        <v>62.2</v>
      </c>
      <c r="AG632" s="34">
        <v>2.7583000000000002</v>
      </c>
      <c r="AH632" s="35">
        <v>0.11584999999999999</v>
      </c>
      <c r="AI632" s="35"/>
      <c r="AJ632" s="35">
        <v>0.14548</v>
      </c>
      <c r="AK632" s="998">
        <v>22.8</v>
      </c>
      <c r="AM632" s="30">
        <v>62.2</v>
      </c>
      <c r="AN632" s="34">
        <v>1.2441</v>
      </c>
      <c r="AO632" s="35">
        <v>1.3934</v>
      </c>
      <c r="BX632" s="43"/>
      <c r="BY632" s="34"/>
      <c r="BZ632" s="59"/>
      <c r="CB632" s="43"/>
      <c r="CC632" s="34"/>
      <c r="CD632" s="59"/>
      <c r="CL632" s="43"/>
      <c r="CM632" s="34"/>
      <c r="CN632" s="59"/>
      <c r="CP632" s="43"/>
      <c r="CQ632" s="34"/>
      <c r="CR632" s="59"/>
      <c r="CT632" s="43"/>
      <c r="CU632" s="34"/>
      <c r="CV632" s="59"/>
    </row>
    <row r="633" spans="4:100">
      <c r="D633" s="30">
        <v>62.3</v>
      </c>
      <c r="E633" s="31">
        <v>0.73009999999999997</v>
      </c>
      <c r="F633" s="32">
        <v>729.9</v>
      </c>
      <c r="G633" s="33"/>
      <c r="H633" s="30">
        <v>62.3</v>
      </c>
      <c r="I633" s="34">
        <v>3.7827999999999999</v>
      </c>
      <c r="J633" s="35">
        <v>0.15887999999999999</v>
      </c>
      <c r="L633" s="30">
        <v>62.3</v>
      </c>
      <c r="M633" s="172">
        <v>6.0780000000000003</v>
      </c>
      <c r="N633" s="173">
        <v>0.16453000000000001</v>
      </c>
      <c r="P633" s="30">
        <v>62.3</v>
      </c>
      <c r="Q633" s="172">
        <v>3.0390000000000001</v>
      </c>
      <c r="R633" s="173">
        <v>0.12764</v>
      </c>
      <c r="T633" s="30">
        <v>62.3</v>
      </c>
      <c r="U633" s="172">
        <v>329.06</v>
      </c>
      <c r="V633" s="173">
        <v>7.835</v>
      </c>
      <c r="X633" s="30">
        <v>62.3</v>
      </c>
      <c r="Y633" s="34">
        <v>2.7134</v>
      </c>
      <c r="Z633" s="35">
        <v>0.11396000000000001</v>
      </c>
      <c r="AA633" s="36"/>
      <c r="AB633" s="30">
        <v>62.3</v>
      </c>
      <c r="AC633" s="44">
        <v>368.54</v>
      </c>
      <c r="AD633" s="35">
        <v>8.7750000000000004</v>
      </c>
      <c r="AE633" s="36"/>
      <c r="AF633" s="30">
        <v>62.3</v>
      </c>
      <c r="AG633" s="34">
        <v>2.7568999999999999</v>
      </c>
      <c r="AH633" s="35">
        <v>0.11579</v>
      </c>
      <c r="AI633" s="35"/>
      <c r="AJ633" s="35">
        <v>0.14557999999999999</v>
      </c>
      <c r="AK633" s="998">
        <v>22.7</v>
      </c>
      <c r="AM633" s="30">
        <v>62.3</v>
      </c>
      <c r="AN633" s="34">
        <v>1.2447999999999999</v>
      </c>
      <c r="AO633" s="35">
        <v>1.3940999999999999</v>
      </c>
      <c r="BX633" s="43"/>
      <c r="BY633" s="34"/>
      <c r="BZ633" s="59"/>
      <c r="CB633" s="43"/>
      <c r="CC633" s="34"/>
      <c r="CD633" s="59"/>
      <c r="CL633" s="43"/>
      <c r="CM633" s="34"/>
      <c r="CN633" s="59"/>
      <c r="CP633" s="43"/>
      <c r="CQ633" s="34"/>
      <c r="CR633" s="59"/>
      <c r="CT633" s="43"/>
      <c r="CU633" s="34"/>
      <c r="CV633" s="59"/>
    </row>
    <row r="634" spans="4:100">
      <c r="D634" s="30">
        <v>62.4</v>
      </c>
      <c r="E634" s="31">
        <v>0.7298</v>
      </c>
      <c r="F634" s="32">
        <v>729.5</v>
      </c>
      <c r="G634" s="33"/>
      <c r="H634" s="30">
        <v>62.4</v>
      </c>
      <c r="I634" s="34">
        <v>3.7827999999999999</v>
      </c>
      <c r="J634" s="35">
        <v>0.15887999999999999</v>
      </c>
      <c r="L634" s="30">
        <v>62.4</v>
      </c>
      <c r="M634" s="172">
        <v>6.0750000000000002</v>
      </c>
      <c r="N634" s="173">
        <v>0.16461000000000001</v>
      </c>
      <c r="P634" s="30">
        <v>62.4</v>
      </c>
      <c r="Q634" s="172">
        <v>3.0373999999999999</v>
      </c>
      <c r="R634" s="173">
        <v>0.12756999999999999</v>
      </c>
      <c r="T634" s="30">
        <v>62.4</v>
      </c>
      <c r="U634" s="172">
        <v>329.23</v>
      </c>
      <c r="V634" s="173">
        <v>7.8390000000000004</v>
      </c>
      <c r="X634" s="30">
        <v>62.4</v>
      </c>
      <c r="Y634" s="34">
        <v>2.7120000000000002</v>
      </c>
      <c r="Z634" s="35">
        <v>0.1139</v>
      </c>
      <c r="AA634" s="36"/>
      <c r="AB634" s="30">
        <v>62.4</v>
      </c>
      <c r="AC634" s="44">
        <v>368.73</v>
      </c>
      <c r="AD634" s="35">
        <v>8.7789999999999999</v>
      </c>
      <c r="AE634" s="36"/>
      <c r="AF634" s="30">
        <v>62.4</v>
      </c>
      <c r="AG634" s="34">
        <v>2.7555000000000001</v>
      </c>
      <c r="AH634" s="35">
        <v>0.11573</v>
      </c>
      <c r="AI634" s="35"/>
      <c r="AJ634" s="35">
        <v>0.14566999999999999</v>
      </c>
      <c r="AK634" s="998">
        <v>22.6</v>
      </c>
      <c r="AM634" s="30">
        <v>62.4</v>
      </c>
      <c r="AN634" s="34">
        <v>1.2454000000000001</v>
      </c>
      <c r="AO634" s="35">
        <v>1.3948</v>
      </c>
      <c r="BX634" s="43"/>
      <c r="BY634" s="34"/>
      <c r="BZ634" s="59"/>
      <c r="CB634" s="43"/>
      <c r="CC634" s="34"/>
      <c r="CD634" s="59"/>
      <c r="CL634" s="43"/>
      <c r="CM634" s="34"/>
      <c r="CN634" s="59"/>
      <c r="CP634" s="43"/>
      <c r="CQ634" s="34"/>
      <c r="CR634" s="59"/>
      <c r="CT634" s="43"/>
      <c r="CU634" s="34"/>
      <c r="CV634" s="59"/>
    </row>
    <row r="635" spans="4:100">
      <c r="D635" s="30">
        <v>62.5</v>
      </c>
      <c r="E635" s="31">
        <v>0.72940000000000005</v>
      </c>
      <c r="F635" s="32">
        <v>729.2</v>
      </c>
      <c r="G635" s="33"/>
      <c r="H635" s="30">
        <v>62.5</v>
      </c>
      <c r="I635" s="34">
        <v>3.7827999999999999</v>
      </c>
      <c r="J635" s="35">
        <v>0.15887999999999999</v>
      </c>
      <c r="L635" s="30">
        <v>62.5</v>
      </c>
      <c r="M635" s="172">
        <v>6.0720000000000001</v>
      </c>
      <c r="N635" s="173">
        <v>0.16470000000000001</v>
      </c>
      <c r="P635" s="30">
        <v>62.5</v>
      </c>
      <c r="Q635" s="172">
        <v>3.0358000000000001</v>
      </c>
      <c r="R635" s="173">
        <v>0.12751000000000001</v>
      </c>
      <c r="T635" s="30">
        <v>62.5</v>
      </c>
      <c r="U635" s="172">
        <v>329.4</v>
      </c>
      <c r="V635" s="173">
        <v>7.843</v>
      </c>
      <c r="X635" s="30">
        <v>62.5</v>
      </c>
      <c r="Y635" s="34">
        <v>2.7105999999999999</v>
      </c>
      <c r="Z635" s="35">
        <v>0.11384</v>
      </c>
      <c r="AA635" s="36"/>
      <c r="AB635" s="30">
        <v>62.5</v>
      </c>
      <c r="AC635" s="44">
        <v>368.93</v>
      </c>
      <c r="AD635" s="35">
        <v>8.7840000000000007</v>
      </c>
      <c r="AE635" s="36"/>
      <c r="AF635" s="30">
        <v>62.5</v>
      </c>
      <c r="AG635" s="34">
        <v>2.7541000000000002</v>
      </c>
      <c r="AH635" s="35">
        <v>0.11567</v>
      </c>
      <c r="AI635" s="35"/>
      <c r="AJ635" s="35">
        <v>0.14577000000000001</v>
      </c>
      <c r="AK635" s="998">
        <v>22.5</v>
      </c>
      <c r="AM635" s="30">
        <v>62.5</v>
      </c>
      <c r="AN635" s="34">
        <v>1.246</v>
      </c>
      <c r="AO635" s="35">
        <v>1.3956</v>
      </c>
      <c r="BX635" s="43"/>
      <c r="BY635" s="34"/>
      <c r="BZ635" s="59"/>
      <c r="CB635" s="43"/>
      <c r="CC635" s="34"/>
      <c r="CD635" s="59"/>
      <c r="CL635" s="43"/>
      <c r="CM635" s="34"/>
      <c r="CN635" s="59"/>
      <c r="CP635" s="43"/>
      <c r="CQ635" s="34"/>
      <c r="CR635" s="59"/>
      <c r="CT635" s="43"/>
      <c r="CU635" s="34"/>
      <c r="CV635" s="59"/>
    </row>
    <row r="636" spans="4:100">
      <c r="D636" s="30">
        <v>62.6</v>
      </c>
      <c r="E636" s="31">
        <v>0.72899999999999998</v>
      </c>
      <c r="F636" s="32">
        <v>728.8</v>
      </c>
      <c r="G636" s="33"/>
      <c r="H636" s="30">
        <v>62.6</v>
      </c>
      <c r="I636" s="34">
        <v>3.7827999999999999</v>
      </c>
      <c r="J636" s="35">
        <v>0.15887999999999999</v>
      </c>
      <c r="L636" s="30">
        <v>62.6</v>
      </c>
      <c r="M636" s="172">
        <v>6.069</v>
      </c>
      <c r="N636" s="173">
        <v>0.16478000000000001</v>
      </c>
      <c r="P636" s="30">
        <v>62.6</v>
      </c>
      <c r="Q636" s="172">
        <v>3.0343</v>
      </c>
      <c r="R636" s="173">
        <v>0.12744</v>
      </c>
      <c r="T636" s="30">
        <v>62.6</v>
      </c>
      <c r="U636" s="172">
        <v>329.57</v>
      </c>
      <c r="V636" s="173">
        <v>7.8470000000000004</v>
      </c>
      <c r="X636" s="30">
        <v>62.6</v>
      </c>
      <c r="Y636" s="34">
        <v>2.7092000000000001</v>
      </c>
      <c r="Z636" s="35">
        <v>0.11379</v>
      </c>
      <c r="AA636" s="36"/>
      <c r="AB636" s="30">
        <v>62.6</v>
      </c>
      <c r="AC636" s="44">
        <v>369.12</v>
      </c>
      <c r="AD636" s="35">
        <v>8.7880000000000003</v>
      </c>
      <c r="AE636" s="36"/>
      <c r="AF636" s="30">
        <v>62.6</v>
      </c>
      <c r="AG636" s="34">
        <v>2.7526999999999999</v>
      </c>
      <c r="AH636" s="35">
        <v>0.11561</v>
      </c>
      <c r="AI636" s="35"/>
      <c r="AJ636" s="35">
        <v>0.14585999999999999</v>
      </c>
      <c r="AK636" s="998">
        <v>22.4</v>
      </c>
      <c r="AM636" s="30">
        <v>62.6</v>
      </c>
      <c r="AN636" s="34">
        <v>1.2466999999999999</v>
      </c>
      <c r="AO636" s="35">
        <v>1.3963000000000001</v>
      </c>
      <c r="BX636" s="43"/>
      <c r="BY636" s="34"/>
      <c r="BZ636" s="59"/>
      <c r="CB636" s="43"/>
      <c r="CC636" s="34"/>
      <c r="CD636" s="59"/>
      <c r="CL636" s="43"/>
      <c r="CM636" s="34"/>
      <c r="CN636" s="59"/>
      <c r="CP636" s="43"/>
      <c r="CQ636" s="34"/>
      <c r="CR636" s="59"/>
      <c r="CT636" s="43"/>
      <c r="CU636" s="34"/>
      <c r="CV636" s="59"/>
    </row>
    <row r="637" spans="4:100">
      <c r="D637" s="30">
        <v>62.7</v>
      </c>
      <c r="E637" s="31">
        <v>0.72860000000000003</v>
      </c>
      <c r="F637" s="32">
        <v>728.4</v>
      </c>
      <c r="G637" s="33"/>
      <c r="H637" s="30">
        <v>62.7</v>
      </c>
      <c r="I637" s="34">
        <v>3.7827999999999999</v>
      </c>
      <c r="J637" s="35">
        <v>0.15887999999999999</v>
      </c>
      <c r="L637" s="30">
        <v>62.7</v>
      </c>
      <c r="M637" s="172">
        <v>6.0650000000000004</v>
      </c>
      <c r="N637" s="173">
        <v>0.16486999999999999</v>
      </c>
      <c r="P637" s="30">
        <v>62.7</v>
      </c>
      <c r="Q637" s="172">
        <v>3.0327000000000002</v>
      </c>
      <c r="R637" s="173">
        <v>0.12737000000000001</v>
      </c>
      <c r="T637" s="30">
        <v>62.7</v>
      </c>
      <c r="U637" s="172">
        <v>329.74</v>
      </c>
      <c r="V637" s="173">
        <v>7.851</v>
      </c>
      <c r="X637" s="30">
        <v>62.7</v>
      </c>
      <c r="Y637" s="34">
        <v>2.7078000000000002</v>
      </c>
      <c r="Z637" s="35">
        <v>0.11373</v>
      </c>
      <c r="AA637" s="36"/>
      <c r="AB637" s="30">
        <v>62.7</v>
      </c>
      <c r="AC637" s="44">
        <v>369.31</v>
      </c>
      <c r="AD637" s="35">
        <v>8.7929999999999993</v>
      </c>
      <c r="AE637" s="36"/>
      <c r="AF637" s="30">
        <v>62.7</v>
      </c>
      <c r="AG637" s="34">
        <v>2.7511999999999999</v>
      </c>
      <c r="AH637" s="35">
        <v>0.11555</v>
      </c>
      <c r="AI637" s="35"/>
      <c r="AJ637" s="35">
        <v>0.14596000000000001</v>
      </c>
      <c r="AK637" s="998">
        <v>22.3</v>
      </c>
      <c r="AM637" s="30">
        <v>62.7</v>
      </c>
      <c r="AN637" s="34">
        <v>1.2473000000000001</v>
      </c>
      <c r="AO637" s="35">
        <v>1.397</v>
      </c>
      <c r="BX637" s="43"/>
      <c r="BY637" s="34"/>
      <c r="BZ637" s="59"/>
      <c r="CB637" s="43"/>
      <c r="CC637" s="34"/>
      <c r="CD637" s="59"/>
      <c r="CL637" s="43"/>
      <c r="CM637" s="34"/>
      <c r="CN637" s="59"/>
      <c r="CP637" s="43"/>
      <c r="CQ637" s="34"/>
      <c r="CR637" s="59"/>
      <c r="CT637" s="43"/>
      <c r="CU637" s="34"/>
      <c r="CV637" s="59"/>
    </row>
    <row r="638" spans="4:100">
      <c r="D638" s="30">
        <v>62.8</v>
      </c>
      <c r="E638" s="31">
        <v>0.72829999999999995</v>
      </c>
      <c r="F638" s="32">
        <v>728</v>
      </c>
      <c r="G638" s="33"/>
      <c r="H638" s="30">
        <v>62.8</v>
      </c>
      <c r="I638" s="34">
        <v>3.7827999999999999</v>
      </c>
      <c r="J638" s="35">
        <v>0.15887999999999999</v>
      </c>
      <c r="L638" s="30">
        <v>62.8</v>
      </c>
      <c r="M638" s="172">
        <v>6.0620000000000003</v>
      </c>
      <c r="N638" s="173">
        <v>0.16495000000000001</v>
      </c>
      <c r="P638" s="30">
        <v>62.8</v>
      </c>
      <c r="Q638" s="172">
        <v>3.0312000000000001</v>
      </c>
      <c r="R638" s="173">
        <v>0.12731000000000001</v>
      </c>
      <c r="T638" s="30">
        <v>62.8</v>
      </c>
      <c r="U638" s="172">
        <v>329.91</v>
      </c>
      <c r="V638" s="173">
        <v>7.8550000000000004</v>
      </c>
      <c r="X638" s="30">
        <v>62.8</v>
      </c>
      <c r="Y638" s="34">
        <v>2.7063999999999999</v>
      </c>
      <c r="Z638" s="35">
        <v>0.11366999999999999</v>
      </c>
      <c r="AA638" s="36"/>
      <c r="AB638" s="30">
        <v>62.8</v>
      </c>
      <c r="AC638" s="44">
        <v>369.5</v>
      </c>
      <c r="AD638" s="35">
        <v>8.798</v>
      </c>
      <c r="AE638" s="36"/>
      <c r="AF638" s="30">
        <v>62.8</v>
      </c>
      <c r="AG638" s="34">
        <v>2.7498</v>
      </c>
      <c r="AH638" s="35">
        <v>0.11549</v>
      </c>
      <c r="AI638" s="35"/>
      <c r="AJ638" s="35">
        <v>0.14605000000000001</v>
      </c>
      <c r="AK638" s="998">
        <v>22.2</v>
      </c>
      <c r="AM638" s="30">
        <v>62.8</v>
      </c>
      <c r="AN638" s="34">
        <v>1.248</v>
      </c>
      <c r="AO638" s="35">
        <v>1.3976999999999999</v>
      </c>
      <c r="BX638" s="43"/>
      <c r="BY638" s="34"/>
      <c r="BZ638" s="59"/>
      <c r="CB638" s="43"/>
      <c r="CC638" s="34"/>
      <c r="CD638" s="59"/>
      <c r="CL638" s="43"/>
      <c r="CM638" s="34"/>
      <c r="CN638" s="59"/>
      <c r="CP638" s="43"/>
      <c r="CQ638" s="34"/>
      <c r="CR638" s="59"/>
      <c r="CT638" s="43"/>
      <c r="CU638" s="34"/>
      <c r="CV638" s="59"/>
    </row>
    <row r="639" spans="4:100">
      <c r="D639" s="30">
        <v>62.9</v>
      </c>
      <c r="E639" s="31">
        <v>0.72789999999999999</v>
      </c>
      <c r="F639" s="32">
        <v>727.7</v>
      </c>
      <c r="G639" s="33"/>
      <c r="H639" s="30">
        <v>62.9</v>
      </c>
      <c r="I639" s="34">
        <v>3.7827999999999999</v>
      </c>
      <c r="J639" s="35">
        <v>0.15887999999999999</v>
      </c>
      <c r="L639" s="30">
        <v>62.9</v>
      </c>
      <c r="M639" s="172">
        <v>6.0590000000000002</v>
      </c>
      <c r="N639" s="173">
        <v>0.16503999999999999</v>
      </c>
      <c r="P639" s="30">
        <v>62.9</v>
      </c>
      <c r="Q639" s="172">
        <v>3.0295999999999998</v>
      </c>
      <c r="R639" s="173">
        <v>0.12723999999999999</v>
      </c>
      <c r="T639" s="30">
        <v>62.9</v>
      </c>
      <c r="U639" s="172">
        <v>330.08</v>
      </c>
      <c r="V639" s="173">
        <v>7.859</v>
      </c>
      <c r="X639" s="30">
        <v>62.9</v>
      </c>
      <c r="Y639" s="34">
        <v>2.7050000000000001</v>
      </c>
      <c r="Z639" s="35">
        <v>0.11361</v>
      </c>
      <c r="AA639" s="36"/>
      <c r="AB639" s="30">
        <v>62.9</v>
      </c>
      <c r="AC639" s="44">
        <v>369.69</v>
      </c>
      <c r="AD639" s="35">
        <v>8.8019999999999996</v>
      </c>
      <c r="AE639" s="36"/>
      <c r="AF639" s="30">
        <v>62.9</v>
      </c>
      <c r="AG639" s="34">
        <v>2.7484000000000002</v>
      </c>
      <c r="AH639" s="35">
        <v>0.11543</v>
      </c>
      <c r="AI639" s="35"/>
      <c r="AJ639" s="35">
        <v>0.14615</v>
      </c>
      <c r="AK639" s="998">
        <v>22.1</v>
      </c>
      <c r="AM639" s="30">
        <v>62.9</v>
      </c>
      <c r="AN639" s="34">
        <v>1.2485999999999999</v>
      </c>
      <c r="AO639" s="35">
        <v>1.3984000000000001</v>
      </c>
      <c r="BX639" s="43"/>
      <c r="BY639" s="34"/>
      <c r="BZ639" s="59"/>
      <c r="CB639" s="43"/>
      <c r="CC639" s="34"/>
      <c r="CD639" s="59"/>
      <c r="CL639" s="43"/>
      <c r="CM639" s="34"/>
      <c r="CN639" s="59"/>
      <c r="CP639" s="43"/>
      <c r="CQ639" s="34"/>
      <c r="CR639" s="59"/>
      <c r="CT639" s="43"/>
      <c r="CU639" s="34"/>
      <c r="CV639" s="59"/>
    </row>
    <row r="640" spans="4:100">
      <c r="D640" s="30">
        <v>63</v>
      </c>
      <c r="E640" s="31">
        <v>0.72750000000000004</v>
      </c>
      <c r="F640" s="32">
        <v>727.3</v>
      </c>
      <c r="G640" s="33"/>
      <c r="H640" s="30">
        <v>63</v>
      </c>
      <c r="I640" s="34">
        <v>3.7827999999999999</v>
      </c>
      <c r="J640" s="35">
        <v>0.15887999999999999</v>
      </c>
      <c r="L640" s="30">
        <v>63</v>
      </c>
      <c r="M640" s="172">
        <v>6.056</v>
      </c>
      <c r="N640" s="173">
        <v>0.16511999999999999</v>
      </c>
      <c r="P640" s="30">
        <v>63</v>
      </c>
      <c r="Q640" s="172">
        <v>3.028</v>
      </c>
      <c r="R640" s="173">
        <v>0.12717999999999999</v>
      </c>
      <c r="T640" s="30">
        <v>63</v>
      </c>
      <c r="U640" s="172">
        <v>330.25</v>
      </c>
      <c r="V640" s="173">
        <v>7.8630000000000004</v>
      </c>
      <c r="X640" s="30">
        <v>63</v>
      </c>
      <c r="Y640" s="34">
        <v>2.7035999999999998</v>
      </c>
      <c r="Z640" s="35">
        <v>0.11355</v>
      </c>
      <c r="AA640" s="36"/>
      <c r="AB640" s="30">
        <v>63</v>
      </c>
      <c r="AC640" s="44">
        <v>369.88</v>
      </c>
      <c r="AD640" s="35">
        <v>8.8070000000000004</v>
      </c>
      <c r="AE640" s="36"/>
      <c r="AF640" s="30">
        <v>63</v>
      </c>
      <c r="AG640" s="34">
        <v>2.7469999999999999</v>
      </c>
      <c r="AH640" s="35">
        <v>0.11537</v>
      </c>
      <c r="AI640" s="35"/>
      <c r="AJ640" s="35">
        <v>0.14624000000000001</v>
      </c>
      <c r="AK640" s="998">
        <v>22</v>
      </c>
      <c r="AM640" s="30">
        <v>63</v>
      </c>
      <c r="AN640" s="34">
        <v>1.2493000000000001</v>
      </c>
      <c r="AO640" s="35">
        <v>1.3992</v>
      </c>
      <c r="BX640" s="43"/>
      <c r="BY640" s="34"/>
      <c r="BZ640" s="59"/>
      <c r="CB640" s="43"/>
      <c r="CC640" s="34"/>
      <c r="CD640" s="59"/>
      <c r="CL640" s="43"/>
      <c r="CM640" s="34"/>
      <c r="CN640" s="59"/>
      <c r="CP640" s="43"/>
      <c r="CQ640" s="34"/>
      <c r="CR640" s="59"/>
      <c r="CT640" s="43"/>
      <c r="CU640" s="34"/>
      <c r="CV640" s="59"/>
    </row>
    <row r="641" spans="4:100">
      <c r="D641" s="30">
        <v>63.1</v>
      </c>
      <c r="E641" s="31">
        <v>0.72709999999999997</v>
      </c>
      <c r="F641" s="32">
        <v>726.9</v>
      </c>
      <c r="G641" s="33"/>
      <c r="H641" s="30">
        <v>63.1</v>
      </c>
      <c r="I641" s="34">
        <v>3.7827999999999999</v>
      </c>
      <c r="J641" s="35">
        <v>0.15887999999999999</v>
      </c>
      <c r="L641" s="30">
        <v>63.1</v>
      </c>
      <c r="M641" s="172">
        <v>6.0529999999999999</v>
      </c>
      <c r="N641" s="173">
        <v>0.16521</v>
      </c>
      <c r="P641" s="30">
        <v>63.1</v>
      </c>
      <c r="Q641" s="172">
        <v>3.0265</v>
      </c>
      <c r="R641" s="173">
        <v>0.12711</v>
      </c>
      <c r="T641" s="30">
        <v>63.1</v>
      </c>
      <c r="U641" s="172">
        <v>330.42</v>
      </c>
      <c r="V641" s="173">
        <v>7.867</v>
      </c>
      <c r="X641" s="30">
        <v>63.1</v>
      </c>
      <c r="Y641" s="34">
        <v>2.7021999999999999</v>
      </c>
      <c r="Z641" s="35">
        <v>0.11348999999999999</v>
      </c>
      <c r="AA641" s="36"/>
      <c r="AB641" s="30">
        <v>63.1</v>
      </c>
      <c r="AC641" s="44">
        <v>370.07</v>
      </c>
      <c r="AD641" s="35">
        <v>8.8109999999999999</v>
      </c>
      <c r="AE641" s="36"/>
      <c r="AF641" s="30">
        <v>63.1</v>
      </c>
      <c r="AG641" s="34">
        <v>2.7456</v>
      </c>
      <c r="AH641" s="35">
        <v>0.11531</v>
      </c>
      <c r="AI641" s="35"/>
      <c r="AJ641" s="35">
        <v>0.14634</v>
      </c>
      <c r="AK641" s="998">
        <v>21.9</v>
      </c>
      <c r="AM641" s="30">
        <v>63.1</v>
      </c>
      <c r="AN641" s="34">
        <v>1.2499</v>
      </c>
      <c r="AO641" s="35">
        <v>1.3998999999999999</v>
      </c>
      <c r="BX641" s="43"/>
      <c r="BY641" s="34"/>
      <c r="BZ641" s="59"/>
      <c r="CB641" s="43"/>
      <c r="CC641" s="34"/>
      <c r="CD641" s="59"/>
      <c r="CL641" s="43"/>
      <c r="CM641" s="34"/>
      <c r="CN641" s="59"/>
      <c r="CP641" s="43"/>
      <c r="CQ641" s="34"/>
      <c r="CR641" s="59"/>
      <c r="CT641" s="43"/>
      <c r="CU641" s="34"/>
      <c r="CV641" s="59"/>
    </row>
    <row r="642" spans="4:100">
      <c r="D642" s="30">
        <v>63.2</v>
      </c>
      <c r="E642" s="31">
        <v>0.7268</v>
      </c>
      <c r="F642" s="32">
        <v>726.5</v>
      </c>
      <c r="G642" s="33"/>
      <c r="H642" s="30">
        <v>63.2</v>
      </c>
      <c r="I642" s="34">
        <v>3.7827999999999999</v>
      </c>
      <c r="J642" s="35">
        <v>0.15887999999999999</v>
      </c>
      <c r="L642" s="30">
        <v>63.2</v>
      </c>
      <c r="M642" s="172">
        <v>6.05</v>
      </c>
      <c r="N642" s="173">
        <v>0.16528999999999999</v>
      </c>
      <c r="P642" s="30">
        <v>63.2</v>
      </c>
      <c r="Q642" s="172">
        <v>3.0249000000000001</v>
      </c>
      <c r="R642" s="173">
        <v>0.12705</v>
      </c>
      <c r="T642" s="30">
        <v>63.2</v>
      </c>
      <c r="U642" s="172">
        <v>330.59</v>
      </c>
      <c r="V642" s="173">
        <v>7.8710000000000004</v>
      </c>
      <c r="X642" s="30">
        <v>63.2</v>
      </c>
      <c r="Y642" s="34">
        <v>2.7008000000000001</v>
      </c>
      <c r="Z642" s="35">
        <v>0.11343</v>
      </c>
      <c r="AA642" s="36"/>
      <c r="AB642" s="30">
        <v>63.2</v>
      </c>
      <c r="AC642" s="44">
        <v>370.26</v>
      </c>
      <c r="AD642" s="35">
        <v>8.8160000000000007</v>
      </c>
      <c r="AE642" s="36"/>
      <c r="AF642" s="30">
        <v>63.2</v>
      </c>
      <c r="AG642" s="34">
        <v>2.7442000000000002</v>
      </c>
      <c r="AH642" s="35">
        <v>0.11525000000000001</v>
      </c>
      <c r="AI642" s="35"/>
      <c r="AJ642" s="35">
        <v>0.14643</v>
      </c>
      <c r="AK642" s="998">
        <v>21.8</v>
      </c>
      <c r="AM642" s="30">
        <v>63.2</v>
      </c>
      <c r="AN642" s="34">
        <v>1.2504999999999999</v>
      </c>
      <c r="AO642" s="35">
        <v>1.4006000000000001</v>
      </c>
      <c r="BX642" s="43"/>
      <c r="BY642" s="34"/>
      <c r="BZ642" s="59"/>
      <c r="CB642" s="43"/>
      <c r="CC642" s="34"/>
      <c r="CD642" s="59"/>
      <c r="CL642" s="43"/>
      <c r="CM642" s="34"/>
      <c r="CN642" s="59"/>
      <c r="CP642" s="43"/>
      <c r="CQ642" s="34"/>
      <c r="CR642" s="59"/>
      <c r="CT642" s="43"/>
      <c r="CU642" s="34"/>
      <c r="CV642" s="59"/>
    </row>
    <row r="643" spans="4:100">
      <c r="D643" s="30">
        <v>63.3</v>
      </c>
      <c r="E643" s="31">
        <v>0.72640000000000005</v>
      </c>
      <c r="F643" s="32">
        <v>726.2</v>
      </c>
      <c r="G643" s="33"/>
      <c r="H643" s="30">
        <v>63.3</v>
      </c>
      <c r="I643" s="34">
        <v>3.7827999999999999</v>
      </c>
      <c r="J643" s="35">
        <v>0.15887999999999999</v>
      </c>
      <c r="L643" s="30">
        <v>63.3</v>
      </c>
      <c r="M643" s="172">
        <v>6.0469999999999997</v>
      </c>
      <c r="N643" s="173">
        <v>0.16538</v>
      </c>
      <c r="P643" s="30">
        <v>63.3</v>
      </c>
      <c r="Q643" s="172">
        <v>3.0234000000000001</v>
      </c>
      <c r="R643" s="173">
        <v>0.12698000000000001</v>
      </c>
      <c r="T643" s="30">
        <v>63.3</v>
      </c>
      <c r="U643" s="172">
        <v>330.76</v>
      </c>
      <c r="V643" s="173">
        <v>7.875</v>
      </c>
      <c r="X643" s="30">
        <v>63.3</v>
      </c>
      <c r="Y643" s="34">
        <v>2.6993999999999998</v>
      </c>
      <c r="Z643" s="35">
        <v>0.11337999999999999</v>
      </c>
      <c r="AA643" s="36"/>
      <c r="AB643" s="30">
        <v>63.3</v>
      </c>
      <c r="AC643" s="44">
        <v>370.45</v>
      </c>
      <c r="AD643" s="35">
        <v>8.82</v>
      </c>
      <c r="AE643" s="36"/>
      <c r="AF643" s="30">
        <v>63.3</v>
      </c>
      <c r="AG643" s="34">
        <v>2.7427000000000001</v>
      </c>
      <c r="AH643" s="35">
        <v>0.1152</v>
      </c>
      <c r="AI643" s="35"/>
      <c r="AJ643" s="35">
        <v>0.14652999999999999</v>
      </c>
      <c r="AK643" s="998">
        <v>21.7</v>
      </c>
      <c r="AM643" s="30">
        <v>63.3</v>
      </c>
      <c r="AN643" s="34">
        <v>1.2512000000000001</v>
      </c>
      <c r="AO643" s="35">
        <v>1.4013</v>
      </c>
      <c r="BX643" s="43"/>
      <c r="BY643" s="34"/>
      <c r="BZ643" s="59"/>
      <c r="CB643" s="43"/>
      <c r="CC643" s="34"/>
      <c r="CD643" s="59"/>
      <c r="CL643" s="43"/>
      <c r="CM643" s="34"/>
      <c r="CN643" s="59"/>
      <c r="CP643" s="43"/>
      <c r="CQ643" s="34"/>
      <c r="CR643" s="59"/>
      <c r="CT643" s="43"/>
      <c r="CU643" s="34"/>
      <c r="CV643" s="59"/>
    </row>
    <row r="644" spans="4:100">
      <c r="D644" s="30">
        <v>63.4</v>
      </c>
      <c r="E644" s="31">
        <v>0.72599999999999998</v>
      </c>
      <c r="F644" s="32">
        <v>725.8</v>
      </c>
      <c r="G644" s="33"/>
      <c r="H644" s="30">
        <v>63.4</v>
      </c>
      <c r="I644" s="34">
        <v>3.7827999999999999</v>
      </c>
      <c r="J644" s="35">
        <v>0.15887999999999999</v>
      </c>
      <c r="L644" s="30">
        <v>63.4</v>
      </c>
      <c r="M644" s="172">
        <v>6.0439999999999996</v>
      </c>
      <c r="N644" s="173">
        <v>0.16546</v>
      </c>
      <c r="P644" s="30">
        <v>63.4</v>
      </c>
      <c r="Q644" s="172">
        <v>3.0217999999999998</v>
      </c>
      <c r="R644" s="173">
        <v>0.12692000000000001</v>
      </c>
      <c r="T644" s="30">
        <v>63.4</v>
      </c>
      <c r="U644" s="172">
        <v>330.93</v>
      </c>
      <c r="V644" s="173">
        <v>7.8789999999999996</v>
      </c>
      <c r="X644" s="30">
        <v>63.4</v>
      </c>
      <c r="Y644" s="34">
        <v>2.698</v>
      </c>
      <c r="Z644" s="35">
        <v>0.11332</v>
      </c>
      <c r="AA644" s="36"/>
      <c r="AB644" s="30">
        <v>63.4</v>
      </c>
      <c r="AC644" s="44">
        <v>370.64</v>
      </c>
      <c r="AD644" s="35">
        <v>8.8249999999999993</v>
      </c>
      <c r="AE644" s="36"/>
      <c r="AF644" s="30">
        <v>63.4</v>
      </c>
      <c r="AG644" s="34">
        <v>2.7412999999999998</v>
      </c>
      <c r="AH644" s="35">
        <v>0.11514000000000001</v>
      </c>
      <c r="AI644" s="35"/>
      <c r="AJ644" s="35">
        <v>0.14662</v>
      </c>
      <c r="AK644" s="998">
        <v>21.6</v>
      </c>
      <c r="AM644" s="30">
        <v>63.4</v>
      </c>
      <c r="AN644" s="34">
        <v>1.2518</v>
      </c>
      <c r="AO644" s="35">
        <v>1.4019999999999999</v>
      </c>
      <c r="BX644" s="43"/>
      <c r="BY644" s="34"/>
      <c r="BZ644" s="59"/>
      <c r="CB644" s="43"/>
      <c r="CC644" s="34"/>
      <c r="CD644" s="59"/>
      <c r="CL644" s="43"/>
      <c r="CM644" s="34"/>
      <c r="CN644" s="59"/>
      <c r="CP644" s="43"/>
      <c r="CQ644" s="34"/>
      <c r="CR644" s="59"/>
      <c r="CT644" s="43"/>
      <c r="CU644" s="34"/>
      <c r="CV644" s="59"/>
    </row>
    <row r="645" spans="4:100">
      <c r="D645" s="30">
        <v>63.5</v>
      </c>
      <c r="E645" s="31">
        <v>0.72560000000000002</v>
      </c>
      <c r="F645" s="32">
        <v>725.4</v>
      </c>
      <c r="G645" s="33"/>
      <c r="H645" s="30">
        <v>63.5</v>
      </c>
      <c r="I645" s="34">
        <v>3.7827999999999999</v>
      </c>
      <c r="J645" s="35">
        <v>0.15887999999999999</v>
      </c>
      <c r="L645" s="30">
        <v>63.5</v>
      </c>
      <c r="M645" s="172">
        <v>6.0410000000000004</v>
      </c>
      <c r="N645" s="173">
        <v>0.16555</v>
      </c>
      <c r="P645" s="30">
        <v>63.5</v>
      </c>
      <c r="Q645" s="172">
        <v>3.0203000000000002</v>
      </c>
      <c r="R645" s="173">
        <v>0.12684999999999999</v>
      </c>
      <c r="T645" s="30">
        <v>63.5</v>
      </c>
      <c r="U645" s="172">
        <v>331.1</v>
      </c>
      <c r="V645" s="173">
        <v>7.8830000000000098</v>
      </c>
      <c r="X645" s="30">
        <v>63.5</v>
      </c>
      <c r="Y645" s="34">
        <v>2.6966999999999999</v>
      </c>
      <c r="Z645" s="35">
        <v>0.11326</v>
      </c>
      <c r="AA645" s="36"/>
      <c r="AB645" s="30">
        <v>63.5</v>
      </c>
      <c r="AC645" s="44">
        <v>370.83</v>
      </c>
      <c r="AD645" s="35">
        <v>8.8290000000000006</v>
      </c>
      <c r="AE645" s="36"/>
      <c r="AF645" s="30">
        <v>63.5</v>
      </c>
      <c r="AG645" s="34">
        <v>2.7399</v>
      </c>
      <c r="AH645" s="35">
        <v>0.11508</v>
      </c>
      <c r="AI645" s="35"/>
      <c r="AJ645" s="35">
        <v>0.14671999999999999</v>
      </c>
      <c r="AK645" s="998">
        <v>21.5</v>
      </c>
      <c r="AM645" s="30">
        <v>63.5</v>
      </c>
      <c r="AN645" s="34">
        <v>1.2524999999999999</v>
      </c>
      <c r="AO645" s="35">
        <v>1.4028</v>
      </c>
      <c r="BX645" s="43"/>
      <c r="BY645" s="34"/>
      <c r="BZ645" s="59"/>
      <c r="CB645" s="43"/>
      <c r="CC645" s="34"/>
      <c r="CD645" s="59"/>
      <c r="CL645" s="43"/>
      <c r="CM645" s="34"/>
      <c r="CN645" s="59"/>
      <c r="CP645" s="43"/>
      <c r="CQ645" s="34"/>
      <c r="CR645" s="59"/>
      <c r="CT645" s="43"/>
      <c r="CU645" s="34"/>
      <c r="CV645" s="59"/>
    </row>
    <row r="646" spans="4:100">
      <c r="D646" s="30">
        <v>63.6</v>
      </c>
      <c r="E646" s="31">
        <v>0.72529999999999994</v>
      </c>
      <c r="F646" s="32">
        <v>725.1</v>
      </c>
      <c r="G646" s="33"/>
      <c r="H646" s="30">
        <v>63.6</v>
      </c>
      <c r="I646" s="34">
        <v>3.7827999999999999</v>
      </c>
      <c r="J646" s="35">
        <v>0.15887999999999999</v>
      </c>
      <c r="L646" s="30">
        <v>63.6</v>
      </c>
      <c r="M646" s="172">
        <v>6.0369999999999999</v>
      </c>
      <c r="N646" s="173">
        <v>0.16563</v>
      </c>
      <c r="P646" s="30">
        <v>63.6</v>
      </c>
      <c r="Q646" s="172">
        <v>3.0186999999999999</v>
      </c>
      <c r="R646" s="173">
        <v>0.12679000000000001</v>
      </c>
      <c r="T646" s="30">
        <v>63.6</v>
      </c>
      <c r="U646" s="172">
        <v>331.27</v>
      </c>
      <c r="V646" s="173">
        <v>7.8870000000000102</v>
      </c>
      <c r="X646" s="30">
        <v>63.6</v>
      </c>
      <c r="Y646" s="34">
        <v>2.6953</v>
      </c>
      <c r="Z646" s="35">
        <v>0.1132</v>
      </c>
      <c r="AA646" s="36"/>
      <c r="AB646" s="30">
        <v>63.6</v>
      </c>
      <c r="AC646" s="44">
        <v>371.02</v>
      </c>
      <c r="AD646" s="35">
        <v>8.8339999999999996</v>
      </c>
      <c r="AE646" s="36"/>
      <c r="AF646" s="30">
        <v>63.6</v>
      </c>
      <c r="AG646" s="34">
        <v>2.7385000000000002</v>
      </c>
      <c r="AH646" s="35">
        <v>0.11502</v>
      </c>
      <c r="AI646" s="35"/>
      <c r="AJ646" s="35">
        <v>0.14682000000000001</v>
      </c>
      <c r="AK646" s="998">
        <v>21.4</v>
      </c>
      <c r="AM646" s="30">
        <v>63.6</v>
      </c>
      <c r="AN646" s="34">
        <v>1.2531000000000001</v>
      </c>
      <c r="AO646" s="35">
        <v>1.4035</v>
      </c>
      <c r="BX646" s="43"/>
      <c r="BY646" s="34"/>
      <c r="BZ646" s="59"/>
      <c r="CB646" s="43"/>
      <c r="CC646" s="34"/>
      <c r="CD646" s="59"/>
      <c r="CL646" s="43"/>
      <c r="CM646" s="34"/>
      <c r="CN646" s="59"/>
      <c r="CP646" s="43"/>
      <c r="CQ646" s="34"/>
      <c r="CR646" s="59"/>
      <c r="CT646" s="43"/>
      <c r="CU646" s="34"/>
      <c r="CV646" s="59"/>
    </row>
    <row r="647" spans="4:100">
      <c r="D647" s="30">
        <v>63.7</v>
      </c>
      <c r="E647" s="31">
        <v>0.72489999999999999</v>
      </c>
      <c r="F647" s="32">
        <v>724.7</v>
      </c>
      <c r="G647" s="33"/>
      <c r="H647" s="30">
        <v>63.7</v>
      </c>
      <c r="I647" s="34">
        <v>3.7827999999999999</v>
      </c>
      <c r="J647" s="35">
        <v>0.15887999999999999</v>
      </c>
      <c r="L647" s="30">
        <v>63.7</v>
      </c>
      <c r="M647" s="172">
        <v>6.0339999999999998</v>
      </c>
      <c r="N647" s="173">
        <v>0.16572000000000001</v>
      </c>
      <c r="P647" s="30">
        <v>63.7</v>
      </c>
      <c r="Q647" s="172">
        <v>3.0171999999999999</v>
      </c>
      <c r="R647" s="173">
        <v>0.12672</v>
      </c>
      <c r="T647" s="30">
        <v>63.7</v>
      </c>
      <c r="U647" s="172">
        <v>331.43999999999897</v>
      </c>
      <c r="V647" s="173">
        <v>7.8910000000000098</v>
      </c>
      <c r="X647" s="30">
        <v>63.7</v>
      </c>
      <c r="Y647" s="34">
        <v>2.6939000000000002</v>
      </c>
      <c r="Z647" s="35">
        <v>0.11314</v>
      </c>
      <c r="AA647" s="36"/>
      <c r="AB647" s="30">
        <v>63.7</v>
      </c>
      <c r="AC647" s="44">
        <v>371.21</v>
      </c>
      <c r="AD647" s="35">
        <v>8.8379999999999992</v>
      </c>
      <c r="AE647" s="36"/>
      <c r="AF647" s="30">
        <v>63.7</v>
      </c>
      <c r="AG647" s="34">
        <v>2.7370999999999999</v>
      </c>
      <c r="AH647" s="35">
        <v>0.11496000000000001</v>
      </c>
      <c r="AI647" s="35"/>
      <c r="AJ647" s="35">
        <v>0.14691000000000001</v>
      </c>
      <c r="AK647" s="998">
        <v>21.3</v>
      </c>
      <c r="AM647" s="30">
        <v>63.7</v>
      </c>
      <c r="AN647" s="34">
        <v>1.2537</v>
      </c>
      <c r="AO647" s="35">
        <v>1.4041999999999999</v>
      </c>
      <c r="BX647" s="43"/>
      <c r="BY647" s="34"/>
      <c r="BZ647" s="59"/>
      <c r="CB647" s="43"/>
      <c r="CC647" s="34"/>
      <c r="CD647" s="59"/>
      <c r="CL647" s="43"/>
      <c r="CM647" s="34"/>
      <c r="CN647" s="59"/>
      <c r="CP647" s="43"/>
      <c r="CQ647" s="34"/>
      <c r="CR647" s="59"/>
      <c r="CT647" s="43"/>
      <c r="CU647" s="34"/>
      <c r="CV647" s="59"/>
    </row>
    <row r="648" spans="4:100">
      <c r="D648" s="30">
        <v>63.8</v>
      </c>
      <c r="E648" s="31">
        <v>0.72450000000000003</v>
      </c>
      <c r="F648" s="32">
        <v>724.3</v>
      </c>
      <c r="G648" s="33"/>
      <c r="H648" s="30">
        <v>63.8</v>
      </c>
      <c r="I648" s="34">
        <v>3.7827000000000002</v>
      </c>
      <c r="J648" s="35">
        <v>0.15887999999999999</v>
      </c>
      <c r="L648" s="30">
        <v>63.8</v>
      </c>
      <c r="M648" s="172">
        <v>6.0309999999999997</v>
      </c>
      <c r="N648" s="173">
        <v>0.1658</v>
      </c>
      <c r="P648" s="30">
        <v>63.8</v>
      </c>
      <c r="Q648" s="172">
        <v>3.0156000000000001</v>
      </c>
      <c r="R648" s="173">
        <v>0.12665999999999999</v>
      </c>
      <c r="T648" s="30">
        <v>63.8</v>
      </c>
      <c r="U648" s="172">
        <v>331.60999999999899</v>
      </c>
      <c r="V648" s="173">
        <v>7.8950000000000102</v>
      </c>
      <c r="X648" s="30">
        <v>63.8</v>
      </c>
      <c r="Y648" s="34">
        <v>2.6924999999999999</v>
      </c>
      <c r="Z648" s="35">
        <v>0.11309</v>
      </c>
      <c r="AA648" s="36"/>
      <c r="AB648" s="30">
        <v>63.8</v>
      </c>
      <c r="AC648" s="44">
        <v>371.4</v>
      </c>
      <c r="AD648" s="35">
        <v>8.843</v>
      </c>
      <c r="AE648" s="36"/>
      <c r="AF648" s="30">
        <v>63.8</v>
      </c>
      <c r="AG648" s="34">
        <v>2.7357</v>
      </c>
      <c r="AH648" s="35">
        <v>0.1149</v>
      </c>
      <c r="AI648" s="35"/>
      <c r="AJ648" s="35">
        <v>0.14701</v>
      </c>
      <c r="AK648" s="998">
        <v>21.2</v>
      </c>
      <c r="AM648" s="30">
        <v>63.8</v>
      </c>
      <c r="AN648" s="34">
        <v>1.2544</v>
      </c>
      <c r="AO648" s="35">
        <v>1.4049</v>
      </c>
      <c r="BX648" s="43"/>
      <c r="BY648" s="34"/>
      <c r="BZ648" s="59"/>
      <c r="CB648" s="43"/>
      <c r="CC648" s="34"/>
      <c r="CD648" s="59"/>
      <c r="CL648" s="43"/>
      <c r="CM648" s="34"/>
      <c r="CN648" s="59"/>
      <c r="CP648" s="43"/>
      <c r="CQ648" s="34"/>
      <c r="CR648" s="59"/>
      <c r="CT648" s="43"/>
      <c r="CU648" s="34"/>
      <c r="CV648" s="59"/>
    </row>
    <row r="649" spans="4:100">
      <c r="D649" s="30">
        <v>63.9</v>
      </c>
      <c r="E649" s="31">
        <v>0.72419999999999995</v>
      </c>
      <c r="F649" s="32">
        <v>723.9</v>
      </c>
      <c r="G649" s="33"/>
      <c r="H649" s="30">
        <v>63.9</v>
      </c>
      <c r="I649" s="34">
        <v>3.7827000000000002</v>
      </c>
      <c r="J649" s="35">
        <v>0.15887999999999999</v>
      </c>
      <c r="L649" s="30">
        <v>63.9</v>
      </c>
      <c r="M649" s="172">
        <v>6.0279999999999996</v>
      </c>
      <c r="N649" s="173">
        <v>0.16589000000000001</v>
      </c>
      <c r="P649" s="30">
        <v>63.9</v>
      </c>
      <c r="Q649" s="172">
        <v>3.0141</v>
      </c>
      <c r="R649" s="173">
        <v>0.12659000000000001</v>
      </c>
      <c r="T649" s="30">
        <v>63.9</v>
      </c>
      <c r="U649" s="172">
        <v>331.77999999999901</v>
      </c>
      <c r="V649" s="173">
        <v>7.8990000000000098</v>
      </c>
      <c r="X649" s="30">
        <v>63.9</v>
      </c>
      <c r="Y649" s="34">
        <v>2.6911</v>
      </c>
      <c r="Z649" s="35">
        <v>0.11303000000000001</v>
      </c>
      <c r="AA649" s="36"/>
      <c r="AB649" s="30">
        <v>63.9</v>
      </c>
      <c r="AC649" s="44">
        <v>371.59</v>
      </c>
      <c r="AD649" s="35">
        <v>8.8469999999999995</v>
      </c>
      <c r="AE649" s="36"/>
      <c r="AF649" s="30">
        <v>63.9</v>
      </c>
      <c r="AG649" s="34">
        <v>2.7343000000000002</v>
      </c>
      <c r="AH649" s="35">
        <v>0.11484</v>
      </c>
      <c r="AI649" s="35"/>
      <c r="AJ649" s="35">
        <v>0.14710000000000001</v>
      </c>
      <c r="AK649" s="998">
        <v>21.1</v>
      </c>
      <c r="AM649" s="30">
        <v>63.9</v>
      </c>
      <c r="AN649" s="34">
        <v>1.2549999999999999</v>
      </c>
      <c r="AO649" s="35">
        <v>1.4056</v>
      </c>
      <c r="BX649" s="43"/>
      <c r="BY649" s="34"/>
      <c r="BZ649" s="59"/>
      <c r="CB649" s="43"/>
      <c r="CC649" s="34"/>
      <c r="CD649" s="59"/>
      <c r="CL649" s="43"/>
      <c r="CM649" s="34"/>
      <c r="CN649" s="59"/>
      <c r="CP649" s="43"/>
      <c r="CQ649" s="34"/>
      <c r="CR649" s="59"/>
      <c r="CT649" s="43"/>
      <c r="CU649" s="34"/>
      <c r="CV649" s="59"/>
    </row>
    <row r="650" spans="4:100">
      <c r="D650" s="30">
        <v>64</v>
      </c>
      <c r="E650" s="31">
        <v>0.7238</v>
      </c>
      <c r="F650" s="32">
        <v>723.6</v>
      </c>
      <c r="G650" s="33"/>
      <c r="H650" s="30">
        <v>64</v>
      </c>
      <c r="I650" s="34">
        <v>3.7827000000000002</v>
      </c>
      <c r="J650" s="35">
        <v>0.15887999999999999</v>
      </c>
      <c r="L650" s="30">
        <v>64</v>
      </c>
      <c r="M650" s="172">
        <v>6.0250000000000004</v>
      </c>
      <c r="N650" s="173">
        <v>0.16597000000000001</v>
      </c>
      <c r="P650" s="30">
        <v>64</v>
      </c>
      <c r="Q650" s="172">
        <v>3.0125000000000002</v>
      </c>
      <c r="R650" s="173">
        <v>0.12653</v>
      </c>
      <c r="T650" s="30">
        <v>64</v>
      </c>
      <c r="U650" s="172">
        <v>331.94999999999902</v>
      </c>
      <c r="V650" s="173">
        <v>7.9039999999999999</v>
      </c>
      <c r="X650" s="30">
        <v>64</v>
      </c>
      <c r="Y650" s="34">
        <v>2.6897000000000002</v>
      </c>
      <c r="Z650" s="35">
        <v>0.11297</v>
      </c>
      <c r="AA650" s="36"/>
      <c r="AB650" s="30">
        <v>64</v>
      </c>
      <c r="AC650" s="44">
        <v>371.78</v>
      </c>
      <c r="AD650" s="35">
        <v>8.8520000000000003</v>
      </c>
      <c r="AE650" s="36"/>
      <c r="AF650" s="30">
        <v>64</v>
      </c>
      <c r="AG650" s="34">
        <v>2.7328999999999999</v>
      </c>
      <c r="AH650" s="35">
        <v>0.11477999999999999</v>
      </c>
      <c r="AI650" s="35"/>
      <c r="AJ650" s="35">
        <v>0.1472</v>
      </c>
      <c r="AK650" s="998">
        <v>21</v>
      </c>
      <c r="AM650" s="30">
        <v>64</v>
      </c>
      <c r="AN650" s="34">
        <v>1.2557</v>
      </c>
      <c r="AO650" s="35">
        <v>1.4064000000000001</v>
      </c>
      <c r="BX650" s="43"/>
      <c r="BY650" s="34"/>
      <c r="BZ650" s="59"/>
      <c r="CB650" s="43"/>
      <c r="CC650" s="34"/>
      <c r="CD650" s="59"/>
      <c r="CL650" s="43"/>
      <c r="CM650" s="34"/>
      <c r="CN650" s="59"/>
      <c r="CP650" s="43"/>
      <c r="CQ650" s="34"/>
      <c r="CR650" s="59"/>
      <c r="CT650" s="43"/>
      <c r="CU650" s="34"/>
      <c r="CV650" s="59"/>
    </row>
    <row r="651" spans="4:100">
      <c r="D651" s="30">
        <v>64.099999999999994</v>
      </c>
      <c r="E651" s="31">
        <v>0.72340000000000004</v>
      </c>
      <c r="F651" s="32">
        <v>723.2</v>
      </c>
      <c r="G651" s="33"/>
      <c r="H651" s="30">
        <v>64.099999999999994</v>
      </c>
      <c r="I651" s="34">
        <v>3.7827000000000002</v>
      </c>
      <c r="J651" s="35">
        <v>0.15887999999999999</v>
      </c>
      <c r="L651" s="30">
        <v>64.099999999999994</v>
      </c>
      <c r="M651" s="172">
        <v>6.0220000000000002</v>
      </c>
      <c r="N651" s="173">
        <v>0.16606000000000001</v>
      </c>
      <c r="P651" s="30">
        <v>64.099999999999994</v>
      </c>
      <c r="Q651" s="172">
        <v>3.0110000000000001</v>
      </c>
      <c r="R651" s="173">
        <v>0.12645999999999999</v>
      </c>
      <c r="T651" s="30">
        <v>64.099999999999994</v>
      </c>
      <c r="U651" s="172">
        <v>332.11999999999898</v>
      </c>
      <c r="V651" s="173">
        <v>7.9080000000000004</v>
      </c>
      <c r="X651" s="30">
        <v>64.099999999999994</v>
      </c>
      <c r="Y651" s="34">
        <v>2.6884000000000001</v>
      </c>
      <c r="Z651" s="35">
        <v>0.11291</v>
      </c>
      <c r="AA651" s="36"/>
      <c r="AB651" s="30">
        <v>64.099999999999994</v>
      </c>
      <c r="AC651" s="44">
        <v>371.97</v>
      </c>
      <c r="AD651" s="35">
        <v>8.8559999999999999</v>
      </c>
      <c r="AE651" s="36"/>
      <c r="AF651" s="30">
        <v>64.099999999999994</v>
      </c>
      <c r="AG651" s="34">
        <v>2.7315</v>
      </c>
      <c r="AH651" s="35">
        <v>0.11472</v>
      </c>
      <c r="AI651" s="35"/>
      <c r="AJ651" s="35">
        <v>0.14729999999999999</v>
      </c>
      <c r="AK651" s="998">
        <v>20.9</v>
      </c>
      <c r="AM651" s="30">
        <v>64.099999999999994</v>
      </c>
      <c r="AN651" s="34">
        <v>1.2563</v>
      </c>
      <c r="AO651" s="35">
        <v>1.4071</v>
      </c>
      <c r="BX651" s="43"/>
      <c r="BY651" s="34"/>
      <c r="BZ651" s="59"/>
      <c r="CB651" s="43"/>
      <c r="CC651" s="34"/>
      <c r="CD651" s="59"/>
      <c r="CL651" s="43"/>
      <c r="CM651" s="34"/>
      <c r="CN651" s="59"/>
      <c r="CP651" s="43"/>
      <c r="CQ651" s="34"/>
      <c r="CR651" s="59"/>
      <c r="CT651" s="43"/>
      <c r="CU651" s="34"/>
      <c r="CV651" s="59"/>
    </row>
    <row r="652" spans="4:100">
      <c r="D652" s="30">
        <v>64.2</v>
      </c>
      <c r="E652" s="31">
        <v>0.72299999999999998</v>
      </c>
      <c r="F652" s="32">
        <v>722.8</v>
      </c>
      <c r="G652" s="33"/>
      <c r="H652" s="30">
        <v>64.2</v>
      </c>
      <c r="I652" s="34">
        <v>3.7827000000000002</v>
      </c>
      <c r="J652" s="35">
        <v>0.15887999999999999</v>
      </c>
      <c r="L652" s="30">
        <v>64.2</v>
      </c>
      <c r="M652" s="172">
        <v>6.0190000000000001</v>
      </c>
      <c r="N652" s="173">
        <v>0.16614000000000001</v>
      </c>
      <c r="P652" s="30">
        <v>64.2</v>
      </c>
      <c r="Q652" s="172">
        <v>3.0093999999999999</v>
      </c>
      <c r="R652" s="173">
        <v>0.12640000000000001</v>
      </c>
      <c r="T652" s="30">
        <v>64.2</v>
      </c>
      <c r="U652" s="172">
        <v>332.289999999999</v>
      </c>
      <c r="V652" s="173">
        <v>7.9119999999999999</v>
      </c>
      <c r="X652" s="30">
        <v>64.2</v>
      </c>
      <c r="Y652" s="34">
        <v>2.6869999999999998</v>
      </c>
      <c r="Z652" s="35">
        <v>0.11285000000000001</v>
      </c>
      <c r="AA652" s="36"/>
      <c r="AB652" s="30">
        <v>64.2</v>
      </c>
      <c r="AC652" s="44">
        <v>372.16</v>
      </c>
      <c r="AD652" s="35">
        <v>8.8610000000000007</v>
      </c>
      <c r="AE652" s="36"/>
      <c r="AF652" s="30">
        <v>64.2</v>
      </c>
      <c r="AG652" s="34">
        <v>2.7301000000000002</v>
      </c>
      <c r="AH652" s="35">
        <v>0.11466</v>
      </c>
      <c r="AI652" s="35"/>
      <c r="AJ652" s="35">
        <v>0.1474</v>
      </c>
      <c r="AK652" s="998">
        <v>20.8</v>
      </c>
      <c r="AM652" s="30">
        <v>64.2</v>
      </c>
      <c r="AN652" s="34">
        <v>1.2569999999999999</v>
      </c>
      <c r="AO652" s="35">
        <v>1.4077999999999999</v>
      </c>
      <c r="BX652" s="43"/>
      <c r="BY652" s="34"/>
      <c r="BZ652" s="59"/>
      <c r="CB652" s="43"/>
      <c r="CC652" s="34"/>
      <c r="CD652" s="59"/>
      <c r="CL652" s="43"/>
      <c r="CM652" s="34"/>
      <c r="CN652" s="59"/>
      <c r="CP652" s="43"/>
      <c r="CQ652" s="34"/>
      <c r="CR652" s="59"/>
      <c r="CT652" s="43"/>
      <c r="CU652" s="34"/>
      <c r="CV652" s="59"/>
    </row>
    <row r="653" spans="4:100">
      <c r="D653" s="30">
        <v>64.3</v>
      </c>
      <c r="E653" s="31">
        <v>0.72270000000000001</v>
      </c>
      <c r="F653" s="32">
        <v>722.5</v>
      </c>
      <c r="G653" s="33"/>
      <c r="H653" s="30">
        <v>64.3</v>
      </c>
      <c r="I653" s="34">
        <v>3.7827000000000002</v>
      </c>
      <c r="J653" s="35">
        <v>0.15887999999999999</v>
      </c>
      <c r="L653" s="30">
        <v>64.3</v>
      </c>
      <c r="M653" s="172">
        <v>6.016</v>
      </c>
      <c r="N653" s="173">
        <v>0.16622999999999999</v>
      </c>
      <c r="P653" s="30">
        <v>64.3</v>
      </c>
      <c r="Q653" s="172">
        <v>3.0078999999999998</v>
      </c>
      <c r="R653" s="173">
        <v>0.12633</v>
      </c>
      <c r="T653" s="30">
        <v>64.3</v>
      </c>
      <c r="U653" s="172">
        <v>332.45999999999901</v>
      </c>
      <c r="V653" s="173">
        <v>7.9160000000000004</v>
      </c>
      <c r="X653" s="30">
        <v>64.3</v>
      </c>
      <c r="Y653" s="34">
        <v>2.6856</v>
      </c>
      <c r="Z653" s="35">
        <v>0.1128</v>
      </c>
      <c r="AA653" s="36"/>
      <c r="AB653" s="30">
        <v>64.3</v>
      </c>
      <c r="AC653" s="44">
        <v>372.35</v>
      </c>
      <c r="AD653" s="35">
        <v>8.8659999999999997</v>
      </c>
      <c r="AE653" s="36"/>
      <c r="AF653" s="30">
        <v>64.3</v>
      </c>
      <c r="AG653" s="34">
        <v>2.7286999999999999</v>
      </c>
      <c r="AH653" s="35">
        <v>0.11461</v>
      </c>
      <c r="AI653" s="35"/>
      <c r="AJ653" s="35">
        <v>0.14749000000000001</v>
      </c>
      <c r="AK653" s="998">
        <v>20.7</v>
      </c>
      <c r="AM653" s="30">
        <v>64.3</v>
      </c>
      <c r="AN653" s="34">
        <v>1.2576000000000001</v>
      </c>
      <c r="AO653" s="35">
        <v>1.4085000000000001</v>
      </c>
      <c r="BX653" s="43"/>
      <c r="BY653" s="34"/>
      <c r="BZ653" s="59"/>
      <c r="CB653" s="43"/>
      <c r="CC653" s="34"/>
      <c r="CD653" s="59"/>
      <c r="CL653" s="43"/>
      <c r="CM653" s="34"/>
      <c r="CN653" s="59"/>
      <c r="CP653" s="43"/>
      <c r="CQ653" s="34"/>
      <c r="CR653" s="59"/>
      <c r="CT653" s="43"/>
      <c r="CU653" s="34"/>
      <c r="CV653" s="59"/>
    </row>
    <row r="654" spans="4:100">
      <c r="D654" s="30">
        <v>64.400000000000006</v>
      </c>
      <c r="E654" s="31">
        <v>0.72230000000000005</v>
      </c>
      <c r="F654" s="32">
        <v>722.1</v>
      </c>
      <c r="G654" s="33"/>
      <c r="H654" s="30">
        <v>64.400000000000006</v>
      </c>
      <c r="I654" s="34">
        <v>3.7827000000000002</v>
      </c>
      <c r="J654" s="35">
        <v>0.15887000000000001</v>
      </c>
      <c r="L654" s="30">
        <v>64.400000000000006</v>
      </c>
      <c r="M654" s="172">
        <v>6.0129999999999999</v>
      </c>
      <c r="N654" s="173">
        <v>0.16631000000000001</v>
      </c>
      <c r="P654" s="30">
        <v>64.400000000000006</v>
      </c>
      <c r="Q654" s="172">
        <v>3.0064000000000002</v>
      </c>
      <c r="R654" s="173">
        <v>0.12626999999999999</v>
      </c>
      <c r="T654" s="30">
        <v>64.400000000000006</v>
      </c>
      <c r="U654" s="172">
        <v>332.62999999999897</v>
      </c>
      <c r="V654" s="173">
        <v>7.92</v>
      </c>
      <c r="X654" s="30">
        <v>64.400000000000006</v>
      </c>
      <c r="Y654" s="34">
        <v>2.6842000000000001</v>
      </c>
      <c r="Z654" s="35">
        <v>0.11274000000000001</v>
      </c>
      <c r="AA654" s="36"/>
      <c r="AB654" s="30">
        <v>64.400000000000006</v>
      </c>
      <c r="AC654" s="44">
        <v>372.54</v>
      </c>
      <c r="AD654" s="35">
        <v>8.8699999999999992</v>
      </c>
      <c r="AE654" s="36"/>
      <c r="AF654" s="30">
        <v>64.400000000000006</v>
      </c>
      <c r="AG654" s="34">
        <v>2.7273000000000001</v>
      </c>
      <c r="AH654" s="35">
        <v>0.11455</v>
      </c>
      <c r="AI654" s="35"/>
      <c r="AJ654" s="35">
        <v>0.14759</v>
      </c>
      <c r="AK654" s="998">
        <v>20.6</v>
      </c>
      <c r="AM654" s="30">
        <v>64.400000000000006</v>
      </c>
      <c r="AN654" s="34">
        <v>1.2582</v>
      </c>
      <c r="AO654" s="35">
        <v>1.4092</v>
      </c>
      <c r="BX654" s="43"/>
      <c r="BY654" s="34"/>
      <c r="BZ654" s="59"/>
      <c r="CB654" s="43"/>
      <c r="CC654" s="34"/>
      <c r="CD654" s="59"/>
      <c r="CL654" s="43"/>
      <c r="CM654" s="34"/>
      <c r="CN654" s="59"/>
      <c r="CP654" s="43"/>
      <c r="CQ654" s="34"/>
      <c r="CR654" s="59"/>
      <c r="CT654" s="43"/>
      <c r="CU654" s="34"/>
      <c r="CV654" s="59"/>
    </row>
    <row r="655" spans="4:100">
      <c r="D655" s="30">
        <v>64.5</v>
      </c>
      <c r="E655" s="31">
        <v>0.72189999999999999</v>
      </c>
      <c r="F655" s="32">
        <v>721.7</v>
      </c>
      <c r="G655" s="33"/>
      <c r="H655" s="30">
        <v>64.5</v>
      </c>
      <c r="I655" s="34">
        <v>3.7827000000000002</v>
      </c>
      <c r="J655" s="35">
        <v>0.15887000000000001</v>
      </c>
      <c r="L655" s="30">
        <v>64.5</v>
      </c>
      <c r="M655" s="172">
        <v>6.01</v>
      </c>
      <c r="N655" s="173">
        <v>0.16639999999999999</v>
      </c>
      <c r="P655" s="30">
        <v>64.5</v>
      </c>
      <c r="Q655" s="172">
        <v>3.0047999999999999</v>
      </c>
      <c r="R655" s="173">
        <v>0.12620000000000001</v>
      </c>
      <c r="T655" s="30">
        <v>64.5</v>
      </c>
      <c r="U655" s="172">
        <v>332.79999999999899</v>
      </c>
      <c r="V655" s="173">
        <v>7.9240000000000004</v>
      </c>
      <c r="X655" s="30">
        <v>64.5</v>
      </c>
      <c r="Y655" s="34">
        <v>2.6829000000000001</v>
      </c>
      <c r="Z655" s="35">
        <v>0.11268</v>
      </c>
      <c r="AA655" s="36"/>
      <c r="AB655" s="30">
        <v>64.5</v>
      </c>
      <c r="AC655" s="44">
        <v>372.73</v>
      </c>
      <c r="AD655" s="35">
        <v>8.875</v>
      </c>
      <c r="AE655" s="36"/>
      <c r="AF655" s="30">
        <v>64.5</v>
      </c>
      <c r="AG655" s="34">
        <v>2.7259000000000002</v>
      </c>
      <c r="AH655" s="35">
        <v>0.11448999999999999</v>
      </c>
      <c r="AI655" s="35"/>
      <c r="AJ655" s="35">
        <v>0.14768999999999999</v>
      </c>
      <c r="AK655" s="998">
        <v>20.5</v>
      </c>
      <c r="AM655" s="30">
        <v>64.5</v>
      </c>
      <c r="AN655" s="34">
        <v>1.2588999999999999</v>
      </c>
      <c r="AO655" s="35">
        <v>1.41</v>
      </c>
      <c r="BX655" s="43"/>
      <c r="BY655" s="34"/>
      <c r="BZ655" s="59"/>
      <c r="CB655" s="43"/>
      <c r="CC655" s="34"/>
      <c r="CD655" s="59"/>
      <c r="CL655" s="43"/>
      <c r="CM655" s="34"/>
      <c r="CN655" s="59"/>
      <c r="CP655" s="43"/>
      <c r="CQ655" s="34"/>
      <c r="CR655" s="59"/>
      <c r="CT655" s="43"/>
      <c r="CU655" s="34"/>
      <c r="CV655" s="59"/>
    </row>
    <row r="656" spans="4:100">
      <c r="D656" s="30">
        <v>64.599999999999994</v>
      </c>
      <c r="E656" s="31">
        <v>0.72160000000000002</v>
      </c>
      <c r="F656" s="32">
        <v>721.4</v>
      </c>
      <c r="G656" s="33"/>
      <c r="H656" s="30">
        <v>64.599999999999994</v>
      </c>
      <c r="I656" s="34">
        <v>3.7827000000000002</v>
      </c>
      <c r="J656" s="35">
        <v>0.15887000000000001</v>
      </c>
      <c r="L656" s="30">
        <v>64.599999999999994</v>
      </c>
      <c r="M656" s="172">
        <v>6.0069999999999997</v>
      </c>
      <c r="N656" s="173">
        <v>0.16647999999999999</v>
      </c>
      <c r="P656" s="30">
        <v>64.599999999999994</v>
      </c>
      <c r="Q656" s="172">
        <v>3.0032999999999999</v>
      </c>
      <c r="R656" s="173">
        <v>0.12614</v>
      </c>
      <c r="T656" s="30">
        <v>64.599999999999994</v>
      </c>
      <c r="U656" s="172">
        <v>332.969999999999</v>
      </c>
      <c r="V656" s="173">
        <v>7.9279999999999999</v>
      </c>
      <c r="X656" s="30">
        <v>64.599999999999994</v>
      </c>
      <c r="Y656" s="34">
        <v>2.6815000000000002</v>
      </c>
      <c r="Z656" s="35">
        <v>0.11262</v>
      </c>
      <c r="AA656" s="36"/>
      <c r="AB656" s="30">
        <v>64.599999999999994</v>
      </c>
      <c r="AC656" s="44">
        <v>372.93</v>
      </c>
      <c r="AD656" s="35">
        <v>8.8789999999999996</v>
      </c>
      <c r="AE656" s="36"/>
      <c r="AF656" s="30">
        <v>64.599999999999994</v>
      </c>
      <c r="AG656" s="34">
        <v>2.7244999999999999</v>
      </c>
      <c r="AH656" s="35">
        <v>0.11443</v>
      </c>
      <c r="AI656" s="35"/>
      <c r="AJ656" s="35">
        <v>0.14777999999999999</v>
      </c>
      <c r="AK656" s="998">
        <v>20.399999999999999</v>
      </c>
      <c r="AM656" s="30">
        <v>64.599999999999994</v>
      </c>
      <c r="AN656" s="34">
        <v>1.2595000000000001</v>
      </c>
      <c r="AO656" s="35">
        <v>1.4107000000000001</v>
      </c>
      <c r="BX656" s="43"/>
      <c r="BY656" s="34"/>
      <c r="BZ656" s="59"/>
      <c r="CB656" s="43"/>
      <c r="CC656" s="34"/>
      <c r="CD656" s="59"/>
      <c r="CL656" s="43"/>
      <c r="CM656" s="34"/>
      <c r="CN656" s="59"/>
      <c r="CP656" s="43"/>
      <c r="CQ656" s="34"/>
      <c r="CR656" s="59"/>
      <c r="CT656" s="43"/>
      <c r="CU656" s="34"/>
      <c r="CV656" s="59"/>
    </row>
    <row r="657" spans="4:100">
      <c r="D657" s="30">
        <v>64.7</v>
      </c>
      <c r="E657" s="31">
        <v>0.72119999999999995</v>
      </c>
      <c r="F657" s="32">
        <v>721</v>
      </c>
      <c r="G657" s="33"/>
      <c r="H657" s="30">
        <v>64.7</v>
      </c>
      <c r="I657" s="34">
        <v>3.7827000000000002</v>
      </c>
      <c r="J657" s="35">
        <v>0.15887000000000001</v>
      </c>
      <c r="L657" s="30">
        <v>64.7</v>
      </c>
      <c r="M657" s="172">
        <v>6.0030000000000001</v>
      </c>
      <c r="N657" s="173">
        <v>0.16657</v>
      </c>
      <c r="P657" s="30">
        <v>64.7</v>
      </c>
      <c r="Q657" s="172">
        <v>3.0017</v>
      </c>
      <c r="R657" s="173">
        <v>0.12606999999999999</v>
      </c>
      <c r="T657" s="30">
        <v>64.7</v>
      </c>
      <c r="U657" s="172">
        <v>333.13999999999902</v>
      </c>
      <c r="V657" s="173">
        <v>7.9320000000000004</v>
      </c>
      <c r="X657" s="30">
        <v>64.7</v>
      </c>
      <c r="Y657" s="34">
        <v>2.6800999999999999</v>
      </c>
      <c r="Z657" s="35">
        <v>0.11257</v>
      </c>
      <c r="AA657" s="36"/>
      <c r="AB657" s="30">
        <v>64.7</v>
      </c>
      <c r="AC657" s="44">
        <v>373.12</v>
      </c>
      <c r="AD657" s="35">
        <v>8.8840000000000003</v>
      </c>
      <c r="AE657" s="36"/>
      <c r="AF657" s="30">
        <v>64.7</v>
      </c>
      <c r="AG657" s="34">
        <v>2.7231000000000001</v>
      </c>
      <c r="AH657" s="35">
        <v>0.11437</v>
      </c>
      <c r="AI657" s="35"/>
      <c r="AJ657" s="35">
        <v>0.14788000000000001</v>
      </c>
      <c r="AK657" s="998">
        <v>20.3</v>
      </c>
      <c r="AM657" s="30">
        <v>64.7</v>
      </c>
      <c r="AN657" s="34">
        <v>1.2602</v>
      </c>
      <c r="AO657" s="35">
        <v>1.4114</v>
      </c>
      <c r="BX657" s="43"/>
      <c r="BY657" s="34"/>
      <c r="BZ657" s="59"/>
      <c r="CB657" s="43"/>
      <c r="CC657" s="34"/>
      <c r="CD657" s="59"/>
      <c r="CL657" s="43"/>
      <c r="CM657" s="34"/>
      <c r="CN657" s="59"/>
      <c r="CP657" s="43"/>
      <c r="CQ657" s="34"/>
      <c r="CR657" s="59"/>
      <c r="CT657" s="43"/>
      <c r="CU657" s="34"/>
      <c r="CV657" s="59"/>
    </row>
    <row r="658" spans="4:100">
      <c r="D658" s="30">
        <v>64.8</v>
      </c>
      <c r="E658" s="31">
        <v>0.7208</v>
      </c>
      <c r="F658" s="32">
        <v>720.6</v>
      </c>
      <c r="G658" s="33"/>
      <c r="H658" s="30">
        <v>64.8</v>
      </c>
      <c r="I658" s="34">
        <v>3.7827000000000002</v>
      </c>
      <c r="J658" s="35">
        <v>0.15887000000000001</v>
      </c>
      <c r="L658" s="30">
        <v>64.8</v>
      </c>
      <c r="M658" s="172">
        <v>6</v>
      </c>
      <c r="N658" s="173">
        <v>0.16664999999999999</v>
      </c>
      <c r="P658" s="30">
        <v>64.8</v>
      </c>
      <c r="Q658" s="172">
        <v>3.0002</v>
      </c>
      <c r="R658" s="173">
        <v>0.12601000000000001</v>
      </c>
      <c r="T658" s="30">
        <v>64.8</v>
      </c>
      <c r="U658" s="172">
        <v>333.30999999999898</v>
      </c>
      <c r="V658" s="173">
        <v>7.9359999999999999</v>
      </c>
      <c r="X658" s="30">
        <v>64.8</v>
      </c>
      <c r="Y658" s="34">
        <v>2.6787999999999998</v>
      </c>
      <c r="Z658" s="35">
        <v>0.11251</v>
      </c>
      <c r="AA658" s="36"/>
      <c r="AB658" s="30">
        <v>64.8</v>
      </c>
      <c r="AC658" s="44">
        <v>373.31</v>
      </c>
      <c r="AD658" s="35">
        <v>8.8879999999999999</v>
      </c>
      <c r="AE658" s="36"/>
      <c r="AF658" s="30">
        <v>64.8</v>
      </c>
      <c r="AG658" s="34">
        <v>2.7218</v>
      </c>
      <c r="AH658" s="35">
        <v>0.11430999999999999</v>
      </c>
      <c r="AI658" s="35"/>
      <c r="AJ658" s="35">
        <v>0.14798</v>
      </c>
      <c r="AK658" s="998">
        <v>20.2</v>
      </c>
      <c r="AM658" s="30">
        <v>64.8</v>
      </c>
      <c r="AN658" s="34">
        <v>1.2607999999999999</v>
      </c>
      <c r="AO658" s="35">
        <v>1.4120999999999999</v>
      </c>
      <c r="BX658" s="43"/>
      <c r="BY658" s="34"/>
      <c r="BZ658" s="59"/>
      <c r="CB658" s="43"/>
      <c r="CC658" s="34"/>
      <c r="CD658" s="59"/>
      <c r="CL658" s="43"/>
      <c r="CM658" s="34"/>
      <c r="CN658" s="59"/>
      <c r="CP658" s="43"/>
      <c r="CQ658" s="34"/>
      <c r="CR658" s="59"/>
      <c r="CT658" s="43"/>
      <c r="CU658" s="34"/>
      <c r="CV658" s="59"/>
    </row>
    <row r="659" spans="4:100">
      <c r="D659" s="30">
        <v>64.900000000000006</v>
      </c>
      <c r="E659" s="31">
        <v>0.72050000000000003</v>
      </c>
      <c r="F659" s="32">
        <v>720.3</v>
      </c>
      <c r="G659" s="33"/>
      <c r="H659" s="30">
        <v>64.900000000000006</v>
      </c>
      <c r="I659" s="34">
        <v>3.7827000000000002</v>
      </c>
      <c r="J659" s="35">
        <v>0.15887000000000001</v>
      </c>
      <c r="L659" s="30">
        <v>64.900000000000006</v>
      </c>
      <c r="M659" s="172">
        <v>5.9969999999999999</v>
      </c>
      <c r="N659" s="173">
        <v>0.16674</v>
      </c>
      <c r="P659" s="30">
        <v>64.900000000000006</v>
      </c>
      <c r="Q659" s="172">
        <v>2.9986999999999999</v>
      </c>
      <c r="R659" s="173">
        <v>0.12594</v>
      </c>
      <c r="T659" s="30">
        <v>64.900000000000006</v>
      </c>
      <c r="U659" s="172">
        <v>333.479999999999</v>
      </c>
      <c r="V659" s="173">
        <v>7.94</v>
      </c>
      <c r="X659" s="30">
        <v>64.900000000000006</v>
      </c>
      <c r="Y659" s="34">
        <v>2.6774</v>
      </c>
      <c r="Z659" s="35">
        <v>0.11244999999999999</v>
      </c>
      <c r="AA659" s="36"/>
      <c r="AB659" s="30">
        <v>64.900000000000006</v>
      </c>
      <c r="AC659" s="44">
        <v>373.5</v>
      </c>
      <c r="AD659" s="35">
        <v>8.8930000000000007</v>
      </c>
      <c r="AE659" s="36"/>
      <c r="AF659" s="30">
        <v>64.900000000000006</v>
      </c>
      <c r="AG659" s="34">
        <v>2.7204000000000002</v>
      </c>
      <c r="AH659" s="35">
        <v>0.11426</v>
      </c>
      <c r="AI659" s="35"/>
      <c r="AJ659" s="35">
        <v>0.14807999999999999</v>
      </c>
      <c r="AK659" s="998">
        <v>20.100000000000001</v>
      </c>
      <c r="AM659" s="30">
        <v>64.900000000000006</v>
      </c>
      <c r="AN659" s="34">
        <v>1.2615000000000001</v>
      </c>
      <c r="AO659" s="35">
        <v>1.4128000000000001</v>
      </c>
      <c r="BX659" s="43"/>
      <c r="BY659" s="34"/>
      <c r="BZ659" s="59"/>
      <c r="CB659" s="43"/>
      <c r="CC659" s="34"/>
      <c r="CD659" s="59"/>
      <c r="CL659" s="43"/>
      <c r="CM659" s="34"/>
      <c r="CN659" s="59"/>
      <c r="CP659" s="43"/>
      <c r="CQ659" s="34"/>
      <c r="CR659" s="59"/>
      <c r="CT659" s="43"/>
      <c r="CU659" s="34"/>
      <c r="CV659" s="59"/>
    </row>
    <row r="660" spans="4:100">
      <c r="D660" s="30">
        <v>65</v>
      </c>
      <c r="E660" s="31">
        <v>0.72009999999999996</v>
      </c>
      <c r="F660" s="32">
        <v>719.9</v>
      </c>
      <c r="G660" s="33"/>
      <c r="H660" s="30">
        <v>65</v>
      </c>
      <c r="I660" s="34">
        <v>3.7827000000000002</v>
      </c>
      <c r="J660" s="35">
        <v>0.15887000000000001</v>
      </c>
      <c r="L660" s="30">
        <v>65</v>
      </c>
      <c r="M660" s="172">
        <v>5.9939999999999998</v>
      </c>
      <c r="N660" s="173">
        <v>0.16682</v>
      </c>
      <c r="P660" s="30">
        <v>65</v>
      </c>
      <c r="Q660" s="172">
        <v>2.9971999999999999</v>
      </c>
      <c r="R660" s="173">
        <v>0.12587999999999999</v>
      </c>
      <c r="T660" s="30">
        <v>65</v>
      </c>
      <c r="U660" s="172">
        <v>333.64999999999901</v>
      </c>
      <c r="V660" s="173">
        <v>7.944</v>
      </c>
      <c r="X660" s="30">
        <v>65</v>
      </c>
      <c r="Y660" s="34">
        <v>2.6760000000000002</v>
      </c>
      <c r="Z660" s="35">
        <v>0.11239</v>
      </c>
      <c r="AA660" s="36"/>
      <c r="AB660" s="30">
        <v>65</v>
      </c>
      <c r="AC660" s="44">
        <v>373.69</v>
      </c>
      <c r="AD660" s="35">
        <v>8.8970000000000002</v>
      </c>
      <c r="AE660" s="36"/>
      <c r="AF660" s="30">
        <v>65</v>
      </c>
      <c r="AG660" s="34">
        <v>2.7189999999999999</v>
      </c>
      <c r="AH660" s="35">
        <v>0.1142</v>
      </c>
      <c r="AI660" s="35"/>
      <c r="AJ660" s="35">
        <v>0.14817</v>
      </c>
      <c r="AK660" s="998">
        <v>20</v>
      </c>
      <c r="AM660" s="30">
        <v>65</v>
      </c>
      <c r="AN660" s="34">
        <v>1.2621</v>
      </c>
      <c r="AO660" s="35">
        <v>1.4136</v>
      </c>
      <c r="BX660" s="43"/>
      <c r="BY660" s="34"/>
      <c r="BZ660" s="59"/>
      <c r="CB660" s="43"/>
      <c r="CC660" s="34"/>
      <c r="CD660" s="59"/>
      <c r="CL660" s="43"/>
      <c r="CM660" s="34"/>
      <c r="CN660" s="59"/>
      <c r="CP660" s="43"/>
      <c r="CQ660" s="34"/>
      <c r="CR660" s="59"/>
      <c r="CT660" s="43"/>
      <c r="CU660" s="34"/>
      <c r="CV660" s="59"/>
    </row>
    <row r="661" spans="4:100">
      <c r="D661" s="30">
        <v>65.099999999999994</v>
      </c>
      <c r="E661" s="31">
        <v>0.71970000000000001</v>
      </c>
      <c r="F661" s="32">
        <v>719.5</v>
      </c>
      <c r="G661" s="33"/>
      <c r="H661" s="30">
        <v>65.099999999999994</v>
      </c>
      <c r="I661" s="34">
        <v>3.7827000000000002</v>
      </c>
      <c r="J661" s="35">
        <v>0.15887000000000001</v>
      </c>
      <c r="L661" s="30">
        <v>65.099999999999994</v>
      </c>
      <c r="M661" s="172">
        <v>5.9909999999999997</v>
      </c>
      <c r="N661" s="173">
        <v>0.16691</v>
      </c>
      <c r="P661" s="30">
        <v>65.099999999999994</v>
      </c>
      <c r="Q661" s="172">
        <v>2.9956</v>
      </c>
      <c r="R661" s="173">
        <v>0.12581999999999999</v>
      </c>
      <c r="T661" s="30">
        <v>65.099999999999994</v>
      </c>
      <c r="U661" s="172">
        <v>333.81999999999903</v>
      </c>
      <c r="V661" s="173">
        <v>7.9480000000000004</v>
      </c>
      <c r="X661" s="30">
        <v>65.099999999999994</v>
      </c>
      <c r="Y661" s="34">
        <v>2.6747000000000001</v>
      </c>
      <c r="Z661" s="35">
        <v>0.11234</v>
      </c>
      <c r="AA661" s="36"/>
      <c r="AB661" s="30">
        <v>65.099999999999994</v>
      </c>
      <c r="AC661" s="44">
        <v>373.88</v>
      </c>
      <c r="AD661" s="35">
        <v>8.9019999999999992</v>
      </c>
      <c r="AE661" s="36"/>
      <c r="AF661" s="30">
        <v>65.099999999999994</v>
      </c>
      <c r="AG661" s="34">
        <v>2.7176</v>
      </c>
      <c r="AH661" s="35">
        <v>0.11414000000000001</v>
      </c>
      <c r="AI661" s="35"/>
      <c r="AJ661" s="35">
        <v>0.14827000000000001</v>
      </c>
      <c r="AK661" s="998">
        <v>19.899999999999999</v>
      </c>
      <c r="AM661" s="30">
        <v>65.099999999999994</v>
      </c>
      <c r="AN661" s="34">
        <v>1.2626999999999999</v>
      </c>
      <c r="AO661" s="35">
        <v>1.4142999999999999</v>
      </c>
      <c r="BX661" s="43"/>
      <c r="BY661" s="34"/>
      <c r="BZ661" s="59"/>
      <c r="CB661" s="43"/>
      <c r="CC661" s="34"/>
      <c r="CD661" s="59"/>
      <c r="CL661" s="43"/>
      <c r="CM661" s="34"/>
      <c r="CN661" s="59"/>
      <c r="CP661" s="43"/>
      <c r="CQ661" s="34"/>
      <c r="CR661" s="59"/>
      <c r="CT661" s="43"/>
      <c r="CU661" s="34"/>
      <c r="CV661" s="59"/>
    </row>
    <row r="662" spans="4:100">
      <c r="D662" s="30">
        <v>65.2</v>
      </c>
      <c r="E662" s="31">
        <v>0.71940000000000004</v>
      </c>
      <c r="F662" s="32">
        <v>719.2</v>
      </c>
      <c r="G662" s="33"/>
      <c r="H662" s="30">
        <v>65.2</v>
      </c>
      <c r="I662" s="34">
        <v>3.7827000000000002</v>
      </c>
      <c r="J662" s="35">
        <v>0.15887000000000001</v>
      </c>
      <c r="L662" s="30">
        <v>65.2</v>
      </c>
      <c r="M662" s="172">
        <v>5.9880000000000004</v>
      </c>
      <c r="N662" s="173">
        <v>0.16699</v>
      </c>
      <c r="P662" s="30">
        <v>65.2</v>
      </c>
      <c r="Q662" s="172">
        <v>2.9941</v>
      </c>
      <c r="R662" s="173">
        <v>0.12575</v>
      </c>
      <c r="T662" s="30">
        <v>65.2</v>
      </c>
      <c r="U662" s="172">
        <v>333.98999999999899</v>
      </c>
      <c r="V662" s="173">
        <v>7.952</v>
      </c>
      <c r="X662" s="30">
        <v>65.2</v>
      </c>
      <c r="Y662" s="34">
        <v>2.6732999999999998</v>
      </c>
      <c r="Z662" s="35">
        <v>0.11228</v>
      </c>
      <c r="AA662" s="36"/>
      <c r="AB662" s="30">
        <v>65.2</v>
      </c>
      <c r="AC662" s="44">
        <v>374.07</v>
      </c>
      <c r="AD662" s="35">
        <v>8.9060000000000006</v>
      </c>
      <c r="AE662" s="36"/>
      <c r="AF662" s="30">
        <v>65.2</v>
      </c>
      <c r="AG662" s="34">
        <v>2.7162000000000002</v>
      </c>
      <c r="AH662" s="35">
        <v>0.11408</v>
      </c>
      <c r="AI662" s="35"/>
      <c r="AJ662" s="35">
        <v>0.14837</v>
      </c>
      <c r="AK662" s="998">
        <v>19.8</v>
      </c>
      <c r="AM662" s="30">
        <v>65.2</v>
      </c>
      <c r="AN662" s="34">
        <v>1.2634000000000001</v>
      </c>
      <c r="AO662" s="35">
        <v>1.415</v>
      </c>
      <c r="BX662" s="43"/>
      <c r="BY662" s="34"/>
      <c r="BZ662" s="59"/>
      <c r="CB662" s="43"/>
      <c r="CC662" s="34"/>
      <c r="CD662" s="59"/>
      <c r="CL662" s="43"/>
      <c r="CM662" s="34"/>
      <c r="CN662" s="59"/>
      <c r="CP662" s="43"/>
      <c r="CQ662" s="34"/>
      <c r="CR662" s="59"/>
      <c r="CT662" s="43"/>
      <c r="CU662" s="34"/>
      <c r="CV662" s="59"/>
    </row>
    <row r="663" spans="4:100">
      <c r="D663" s="30">
        <v>65.3</v>
      </c>
      <c r="E663" s="31">
        <v>0.71899999999999997</v>
      </c>
      <c r="F663" s="32">
        <v>718.8</v>
      </c>
      <c r="G663" s="33"/>
      <c r="H663" s="30">
        <v>65.3</v>
      </c>
      <c r="I663" s="34">
        <v>3.7827000000000002</v>
      </c>
      <c r="J663" s="35">
        <v>0.15887000000000001</v>
      </c>
      <c r="L663" s="30">
        <v>65.3</v>
      </c>
      <c r="M663" s="172">
        <v>5.9850000000000003</v>
      </c>
      <c r="N663" s="173">
        <v>0.16708000000000001</v>
      </c>
      <c r="P663" s="30">
        <v>65.3</v>
      </c>
      <c r="Q663" s="172">
        <v>2.9925999999999999</v>
      </c>
      <c r="R663" s="173">
        <v>0.12569</v>
      </c>
      <c r="T663" s="30">
        <v>65.3</v>
      </c>
      <c r="U663" s="172">
        <v>334.159999999999</v>
      </c>
      <c r="V663" s="173">
        <v>7.9560000000000004</v>
      </c>
      <c r="X663" s="30">
        <v>65.3</v>
      </c>
      <c r="Y663" s="34">
        <v>2.6718999999999999</v>
      </c>
      <c r="Z663" s="35">
        <v>0.11222</v>
      </c>
      <c r="AA663" s="36"/>
      <c r="AB663" s="30">
        <v>65.3</v>
      </c>
      <c r="AC663" s="44">
        <v>374.26</v>
      </c>
      <c r="AD663" s="35">
        <v>8.9109999999999996</v>
      </c>
      <c r="AE663" s="36"/>
      <c r="AF663" s="30">
        <v>65.3</v>
      </c>
      <c r="AG663" s="34">
        <v>2.7147999999999999</v>
      </c>
      <c r="AH663" s="35">
        <v>0.11402</v>
      </c>
      <c r="AI663" s="35"/>
      <c r="AJ663" s="35">
        <v>0.14846999999999999</v>
      </c>
      <c r="AK663" s="998">
        <v>19.7</v>
      </c>
      <c r="AM663" s="30">
        <v>65.3</v>
      </c>
      <c r="AN663" s="34">
        <v>1.264</v>
      </c>
      <c r="AO663" s="35">
        <v>1.4157</v>
      </c>
      <c r="BX663" s="43"/>
      <c r="BY663" s="34"/>
      <c r="BZ663" s="59"/>
      <c r="CB663" s="43"/>
      <c r="CC663" s="34"/>
      <c r="CD663" s="59"/>
      <c r="CL663" s="43"/>
      <c r="CM663" s="34"/>
      <c r="CN663" s="59"/>
      <c r="CP663" s="43"/>
      <c r="CQ663" s="34"/>
      <c r="CR663" s="59"/>
      <c r="CT663" s="43"/>
      <c r="CU663" s="34"/>
      <c r="CV663" s="59"/>
    </row>
    <row r="664" spans="4:100">
      <c r="D664" s="30">
        <v>65.400000000000006</v>
      </c>
      <c r="E664" s="31">
        <v>0.71860000000000002</v>
      </c>
      <c r="F664" s="32">
        <v>718.4</v>
      </c>
      <c r="G664" s="33"/>
      <c r="H664" s="30">
        <v>65.400000000000006</v>
      </c>
      <c r="I664" s="34">
        <v>3.7827000000000002</v>
      </c>
      <c r="J664" s="35">
        <v>0.15887000000000001</v>
      </c>
      <c r="L664" s="30">
        <v>65.400000000000006</v>
      </c>
      <c r="M664" s="172">
        <v>5.9820000000000002</v>
      </c>
      <c r="N664" s="173">
        <v>0.16716</v>
      </c>
      <c r="P664" s="30">
        <v>65.400000000000006</v>
      </c>
      <c r="Q664" s="172">
        <v>2.9910999999999999</v>
      </c>
      <c r="R664" s="173">
        <v>0.12562000000000001</v>
      </c>
      <c r="T664" s="30">
        <v>65.400000000000006</v>
      </c>
      <c r="U664" s="172">
        <v>334.32999999999902</v>
      </c>
      <c r="V664" s="173">
        <v>7.96</v>
      </c>
      <c r="X664" s="30">
        <v>65.400000000000006</v>
      </c>
      <c r="Y664" s="34">
        <v>2.6705999999999999</v>
      </c>
      <c r="Z664" s="35">
        <v>0.11216</v>
      </c>
      <c r="AA664" s="36"/>
      <c r="AB664" s="30">
        <v>65.400000000000006</v>
      </c>
      <c r="AC664" s="44">
        <v>374.45</v>
      </c>
      <c r="AD664" s="35">
        <v>8.9149999999999991</v>
      </c>
      <c r="AE664" s="36"/>
      <c r="AF664" s="30">
        <v>65.400000000000006</v>
      </c>
      <c r="AG664" s="34">
        <v>2.7134</v>
      </c>
      <c r="AH664" s="35">
        <v>0.11396000000000001</v>
      </c>
      <c r="AI664" s="35"/>
      <c r="AJ664" s="35">
        <v>0.14857000000000001</v>
      </c>
      <c r="AK664" s="998">
        <v>19.600000000000001</v>
      </c>
      <c r="AM664" s="30">
        <v>65.400000000000006</v>
      </c>
      <c r="AN664" s="34">
        <v>1.2646999999999999</v>
      </c>
      <c r="AO664" s="35">
        <v>1.4164000000000001</v>
      </c>
      <c r="BX664" s="43"/>
      <c r="BY664" s="34"/>
      <c r="BZ664" s="59"/>
      <c r="CB664" s="43"/>
      <c r="CC664" s="34"/>
      <c r="CD664" s="59"/>
      <c r="CL664" s="43"/>
      <c r="CM664" s="34"/>
      <c r="CN664" s="59"/>
      <c r="CP664" s="43"/>
      <c r="CQ664" s="34"/>
      <c r="CR664" s="59"/>
      <c r="CT664" s="43"/>
      <c r="CU664" s="34"/>
      <c r="CV664" s="59"/>
    </row>
    <row r="665" spans="4:100">
      <c r="D665" s="30">
        <v>65.5</v>
      </c>
      <c r="E665" s="31">
        <v>0.71830000000000005</v>
      </c>
      <c r="F665" s="32">
        <v>718.1</v>
      </c>
      <c r="G665" s="33"/>
      <c r="H665" s="30">
        <v>65.5</v>
      </c>
      <c r="I665" s="34">
        <v>3.7827000000000002</v>
      </c>
      <c r="J665" s="35">
        <v>0.15887000000000001</v>
      </c>
      <c r="L665" s="30">
        <v>65.5</v>
      </c>
      <c r="M665" s="172">
        <v>5.9790000000000001</v>
      </c>
      <c r="N665" s="173">
        <v>0.16725000000000001</v>
      </c>
      <c r="P665" s="30">
        <v>65.5</v>
      </c>
      <c r="Q665" s="172">
        <v>2.9895</v>
      </c>
      <c r="R665" s="173">
        <v>0.12556</v>
      </c>
      <c r="T665" s="30">
        <v>65.5</v>
      </c>
      <c r="U665" s="172">
        <v>334.49999999999898</v>
      </c>
      <c r="V665" s="173">
        <v>7.9640000000000004</v>
      </c>
      <c r="X665" s="30">
        <v>65.5</v>
      </c>
      <c r="Y665" s="34">
        <v>2.6692</v>
      </c>
      <c r="Z665" s="35">
        <v>0.11211</v>
      </c>
      <c r="AA665" s="36"/>
      <c r="AB665" s="30">
        <v>65.5</v>
      </c>
      <c r="AC665" s="44">
        <v>374.64</v>
      </c>
      <c r="AD665" s="35">
        <v>8.92</v>
      </c>
      <c r="AE665" s="36"/>
      <c r="AF665" s="30">
        <v>65.5</v>
      </c>
      <c r="AG665" s="34">
        <v>2.7121</v>
      </c>
      <c r="AH665" s="35">
        <v>0.11391</v>
      </c>
      <c r="AI665" s="35"/>
      <c r="AJ665" s="35">
        <v>0.14867</v>
      </c>
      <c r="AK665" s="998">
        <v>19.5</v>
      </c>
      <c r="AM665" s="30">
        <v>65.5</v>
      </c>
      <c r="AN665" s="34">
        <v>1.2653000000000001</v>
      </c>
      <c r="AO665" s="35">
        <v>1.4172</v>
      </c>
      <c r="BX665" s="43"/>
      <c r="BY665" s="34"/>
      <c r="BZ665" s="59"/>
      <c r="CB665" s="43"/>
      <c r="CC665" s="34"/>
      <c r="CD665" s="59"/>
      <c r="CL665" s="43"/>
      <c r="CM665" s="34"/>
      <c r="CN665" s="59"/>
      <c r="CP665" s="43"/>
      <c r="CQ665" s="34"/>
      <c r="CR665" s="59"/>
      <c r="CT665" s="43"/>
      <c r="CU665" s="34"/>
      <c r="CV665" s="59"/>
    </row>
    <row r="666" spans="4:100">
      <c r="D666" s="30">
        <v>65.599999999999994</v>
      </c>
      <c r="E666" s="31">
        <v>0.71789999999999998</v>
      </c>
      <c r="F666" s="32">
        <v>717.7</v>
      </c>
      <c r="G666" s="33"/>
      <c r="H666" s="30">
        <v>65.599999999999994</v>
      </c>
      <c r="I666" s="34">
        <v>3.7827000000000002</v>
      </c>
      <c r="J666" s="35">
        <v>0.15887000000000001</v>
      </c>
      <c r="L666" s="30">
        <v>65.599999999999994</v>
      </c>
      <c r="M666" s="172">
        <v>5.976</v>
      </c>
      <c r="N666" s="173">
        <v>0.16733000000000001</v>
      </c>
      <c r="P666" s="30">
        <v>65.599999999999994</v>
      </c>
      <c r="Q666" s="172">
        <v>2.988</v>
      </c>
      <c r="R666" s="173">
        <v>0.1255</v>
      </c>
      <c r="T666" s="30">
        <v>65.599999999999994</v>
      </c>
      <c r="U666" s="172">
        <v>334.66999999999899</v>
      </c>
      <c r="V666" s="173">
        <v>7.968</v>
      </c>
      <c r="X666" s="30">
        <v>65.599999999999994</v>
      </c>
      <c r="Y666" s="34">
        <v>2.6678999999999999</v>
      </c>
      <c r="Z666" s="35">
        <v>0.11205</v>
      </c>
      <c r="AA666" s="36"/>
      <c r="AB666" s="30">
        <v>65.599999999999994</v>
      </c>
      <c r="AC666" s="44">
        <v>374.83</v>
      </c>
      <c r="AD666" s="35">
        <v>8.9250000000000007</v>
      </c>
      <c r="AE666" s="36"/>
      <c r="AF666" s="30">
        <v>65.599999999999994</v>
      </c>
      <c r="AG666" s="34">
        <v>2.7107000000000001</v>
      </c>
      <c r="AH666" s="35">
        <v>0.11385000000000001</v>
      </c>
      <c r="AI666" s="35"/>
      <c r="AJ666" s="35">
        <v>0.14876</v>
      </c>
      <c r="AK666" s="998">
        <v>19.399999999999999</v>
      </c>
      <c r="AM666" s="30">
        <v>65.599999999999994</v>
      </c>
      <c r="AN666" s="34">
        <v>1.266</v>
      </c>
      <c r="AO666" s="35">
        <v>1.4178999999999999</v>
      </c>
      <c r="BX666" s="43"/>
      <c r="BY666" s="34"/>
      <c r="BZ666" s="59"/>
      <c r="CB666" s="43"/>
      <c r="CC666" s="34"/>
      <c r="CD666" s="59"/>
      <c r="CL666" s="43"/>
      <c r="CM666" s="34"/>
      <c r="CN666" s="59"/>
      <c r="CP666" s="43"/>
      <c r="CQ666" s="34"/>
      <c r="CR666" s="59"/>
      <c r="CT666" s="43"/>
      <c r="CU666" s="34"/>
      <c r="CV666" s="59"/>
    </row>
    <row r="667" spans="4:100">
      <c r="D667" s="30">
        <v>65.7</v>
      </c>
      <c r="E667" s="31">
        <v>0.71750000000000003</v>
      </c>
      <c r="F667" s="32">
        <v>717.3</v>
      </c>
      <c r="G667" s="33"/>
      <c r="H667" s="30">
        <v>65.7</v>
      </c>
      <c r="I667" s="34">
        <v>3.7827000000000002</v>
      </c>
      <c r="J667" s="35">
        <v>0.15887000000000001</v>
      </c>
      <c r="L667" s="30">
        <v>65.7</v>
      </c>
      <c r="M667" s="172">
        <v>5.9729999999999999</v>
      </c>
      <c r="N667" s="173">
        <v>0.16742000000000001</v>
      </c>
      <c r="P667" s="30">
        <v>65.7</v>
      </c>
      <c r="Q667" s="172">
        <v>2.9864999999999999</v>
      </c>
      <c r="R667" s="173">
        <v>0.12543000000000001</v>
      </c>
      <c r="T667" s="30">
        <v>65.7</v>
      </c>
      <c r="U667" s="172">
        <v>334.83999999999901</v>
      </c>
      <c r="V667" s="173">
        <v>7.9720000000000004</v>
      </c>
      <c r="X667" s="30">
        <v>65.7</v>
      </c>
      <c r="Y667" s="34">
        <v>2.6665000000000001</v>
      </c>
      <c r="Z667" s="35">
        <v>0.11199000000000001</v>
      </c>
      <c r="AA667" s="36"/>
      <c r="AB667" s="30">
        <v>65.7</v>
      </c>
      <c r="AC667" s="44">
        <v>375.02</v>
      </c>
      <c r="AD667" s="35">
        <v>8.9290000000000003</v>
      </c>
      <c r="AE667" s="36"/>
      <c r="AF667" s="30">
        <v>65.7</v>
      </c>
      <c r="AG667" s="34">
        <v>2.7092999999999998</v>
      </c>
      <c r="AH667" s="35">
        <v>0.11379</v>
      </c>
      <c r="AI667" s="35"/>
      <c r="AJ667" s="35">
        <v>0.14885999999999999</v>
      </c>
      <c r="AK667" s="998">
        <v>19.3</v>
      </c>
      <c r="AM667" s="30">
        <v>65.7</v>
      </c>
      <c r="AN667" s="34">
        <v>1.2665999999999999</v>
      </c>
      <c r="AO667" s="35">
        <v>1.4186000000000001</v>
      </c>
      <c r="BX667" s="43"/>
      <c r="BY667" s="34"/>
      <c r="BZ667" s="59"/>
      <c r="CB667" s="43"/>
      <c r="CC667" s="34"/>
      <c r="CD667" s="59"/>
      <c r="CL667" s="43"/>
      <c r="CM667" s="34"/>
      <c r="CN667" s="59"/>
      <c r="CP667" s="43"/>
      <c r="CQ667" s="34"/>
      <c r="CR667" s="59"/>
      <c r="CT667" s="43"/>
      <c r="CU667" s="34"/>
      <c r="CV667" s="59"/>
    </row>
    <row r="668" spans="4:100">
      <c r="D668" s="30">
        <v>65.8</v>
      </c>
      <c r="E668" s="31">
        <v>0.71719999999999995</v>
      </c>
      <c r="F668" s="32">
        <v>717</v>
      </c>
      <c r="G668" s="33"/>
      <c r="H668" s="30">
        <v>65.8</v>
      </c>
      <c r="I668" s="34">
        <v>3.7827000000000002</v>
      </c>
      <c r="J668" s="35">
        <v>0.15887000000000001</v>
      </c>
      <c r="L668" s="30">
        <v>65.8</v>
      </c>
      <c r="M668" s="172">
        <v>5.97</v>
      </c>
      <c r="N668" s="173">
        <v>0.16750999999999999</v>
      </c>
      <c r="P668" s="30">
        <v>65.8</v>
      </c>
      <c r="Q668" s="172">
        <v>2.9849999999999999</v>
      </c>
      <c r="R668" s="173">
        <v>0.12537000000000001</v>
      </c>
      <c r="T668" s="30">
        <v>65.8</v>
      </c>
      <c r="U668" s="172">
        <v>335.00999999999902</v>
      </c>
      <c r="V668" s="173">
        <v>7.9759999999999902</v>
      </c>
      <c r="X668" s="30">
        <v>65.8</v>
      </c>
      <c r="Y668" s="34">
        <v>2.6652</v>
      </c>
      <c r="Z668" s="35">
        <v>0.11194</v>
      </c>
      <c r="AA668" s="36"/>
      <c r="AB668" s="30">
        <v>65.8</v>
      </c>
      <c r="AC668" s="44">
        <v>375.21</v>
      </c>
      <c r="AD668" s="35">
        <v>8.9339999999999993</v>
      </c>
      <c r="AE668" s="36"/>
      <c r="AF668" s="30">
        <v>65.8</v>
      </c>
      <c r="AG668" s="34">
        <v>2.7079</v>
      </c>
      <c r="AH668" s="35">
        <v>0.11373</v>
      </c>
      <c r="AI668" s="35"/>
      <c r="AJ668" s="35">
        <v>0.14896000000000001</v>
      </c>
      <c r="AK668" s="998">
        <v>19.2</v>
      </c>
      <c r="AM668" s="30">
        <v>65.8</v>
      </c>
      <c r="AN668" s="34">
        <v>1.2672000000000001</v>
      </c>
      <c r="AO668" s="35">
        <v>1.4193</v>
      </c>
      <c r="BX668" s="43"/>
      <c r="BY668" s="34"/>
      <c r="BZ668" s="59"/>
      <c r="CB668" s="43"/>
      <c r="CC668" s="34"/>
      <c r="CD668" s="59"/>
      <c r="CL668" s="43"/>
      <c r="CM668" s="34"/>
      <c r="CN668" s="59"/>
      <c r="CP668" s="43"/>
      <c r="CQ668" s="34"/>
      <c r="CR668" s="59"/>
      <c r="CT668" s="43"/>
      <c r="CU668" s="34"/>
      <c r="CV668" s="59"/>
    </row>
    <row r="669" spans="4:100">
      <c r="D669" s="30">
        <v>65.900000000000006</v>
      </c>
      <c r="E669" s="31">
        <v>0.71679999999999999</v>
      </c>
      <c r="F669" s="32">
        <v>716.6</v>
      </c>
      <c r="G669" s="33"/>
      <c r="H669" s="30">
        <v>65.900000000000006</v>
      </c>
      <c r="I669" s="34">
        <v>3.7827000000000002</v>
      </c>
      <c r="J669" s="35">
        <v>0.15887000000000001</v>
      </c>
      <c r="L669" s="30">
        <v>65.900000000000006</v>
      </c>
      <c r="M669" s="172">
        <v>5.9669999999999996</v>
      </c>
      <c r="N669" s="173">
        <v>0.16758999999999999</v>
      </c>
      <c r="P669" s="30">
        <v>65.900000000000006</v>
      </c>
      <c r="Q669" s="172">
        <v>2.9834999999999998</v>
      </c>
      <c r="R669" s="173">
        <v>0.12531</v>
      </c>
      <c r="T669" s="30">
        <v>65.900000000000006</v>
      </c>
      <c r="U669" s="172">
        <v>335.17999999999898</v>
      </c>
      <c r="V669" s="173">
        <v>7.9799999999999898</v>
      </c>
      <c r="X669" s="30">
        <v>65.900000000000006</v>
      </c>
      <c r="Y669" s="34">
        <v>2.6638000000000002</v>
      </c>
      <c r="Z669" s="35">
        <v>0.11187999999999999</v>
      </c>
      <c r="AA669" s="36"/>
      <c r="AB669" s="30">
        <v>65.900000000000006</v>
      </c>
      <c r="AC669" s="44">
        <v>375.4</v>
      </c>
      <c r="AD669" s="35">
        <v>8.9380000000000006</v>
      </c>
      <c r="AE669" s="36"/>
      <c r="AF669" s="30">
        <v>65.900000000000006</v>
      </c>
      <c r="AG669" s="34">
        <v>2.7065999999999999</v>
      </c>
      <c r="AH669" s="35">
        <v>0.11368</v>
      </c>
      <c r="AI669" s="35"/>
      <c r="AJ669" s="35">
        <v>0.14906</v>
      </c>
      <c r="AK669" s="998">
        <v>19.100000000000001</v>
      </c>
      <c r="AM669" s="30">
        <v>65.900000000000006</v>
      </c>
      <c r="AN669" s="34">
        <v>1.2679</v>
      </c>
      <c r="AO669" s="35">
        <v>1.42</v>
      </c>
      <c r="BX669" s="43"/>
      <c r="BY669" s="34"/>
      <c r="BZ669" s="59"/>
      <c r="CB669" s="43"/>
      <c r="CC669" s="34"/>
      <c r="CD669" s="59"/>
      <c r="CL669" s="43"/>
      <c r="CM669" s="34"/>
      <c r="CN669" s="59"/>
      <c r="CP669" s="43"/>
      <c r="CQ669" s="34"/>
      <c r="CR669" s="59"/>
      <c r="CT669" s="43"/>
      <c r="CU669" s="34"/>
      <c r="CV669" s="59"/>
    </row>
    <row r="670" spans="4:100">
      <c r="D670" s="30">
        <v>66</v>
      </c>
      <c r="E670" s="31">
        <v>0.71650000000000003</v>
      </c>
      <c r="F670" s="32">
        <v>716.3</v>
      </c>
      <c r="G670" s="33"/>
      <c r="H670" s="30">
        <v>66</v>
      </c>
      <c r="I670" s="34">
        <v>3.7827000000000002</v>
      </c>
      <c r="J670" s="35">
        <v>0.15887000000000001</v>
      </c>
      <c r="L670" s="30">
        <v>66</v>
      </c>
      <c r="M670" s="172">
        <v>5.9640000000000004</v>
      </c>
      <c r="N670" s="173">
        <v>0.16768</v>
      </c>
      <c r="P670" s="30">
        <v>66</v>
      </c>
      <c r="Q670" s="172">
        <v>2.9820000000000002</v>
      </c>
      <c r="R670" s="173">
        <v>0.12523999999999999</v>
      </c>
      <c r="T670" s="30">
        <v>66</v>
      </c>
      <c r="U670" s="172">
        <v>335.349999999999</v>
      </c>
      <c r="V670" s="173">
        <v>7.9850000000000003</v>
      </c>
      <c r="X670" s="30">
        <v>66</v>
      </c>
      <c r="Y670" s="34">
        <v>2.6625000000000001</v>
      </c>
      <c r="Z670" s="35">
        <v>0.11182</v>
      </c>
      <c r="AA670" s="36"/>
      <c r="AB670" s="30">
        <v>66</v>
      </c>
      <c r="AC670" s="44">
        <v>375.59</v>
      </c>
      <c r="AD670" s="35">
        <v>8.9429999999999996</v>
      </c>
      <c r="AE670" s="36"/>
      <c r="AF670" s="30">
        <v>66</v>
      </c>
      <c r="AG670" s="34">
        <v>2.7052</v>
      </c>
      <c r="AH670" s="35">
        <v>0.11362</v>
      </c>
      <c r="AI670" s="35"/>
      <c r="AJ670" s="35">
        <v>0.14915999999999999</v>
      </c>
      <c r="AK670" s="998">
        <v>19</v>
      </c>
      <c r="AM670" s="30">
        <v>66</v>
      </c>
      <c r="AN670" s="34">
        <v>1.2685</v>
      </c>
      <c r="AO670" s="35">
        <v>1.4208000000000001</v>
      </c>
      <c r="BX670" s="43"/>
      <c r="BY670" s="34"/>
      <c r="BZ670" s="59"/>
      <c r="CB670" s="43"/>
      <c r="CC670" s="34"/>
      <c r="CD670" s="59"/>
      <c r="CL670" s="43"/>
      <c r="CM670" s="34"/>
      <c r="CN670" s="59"/>
      <c r="CP670" s="43"/>
      <c r="CQ670" s="34"/>
      <c r="CR670" s="59"/>
      <c r="CT670" s="43"/>
      <c r="CU670" s="34"/>
      <c r="CV670" s="59"/>
    </row>
    <row r="671" spans="4:100">
      <c r="D671" s="30">
        <v>66.099999999999994</v>
      </c>
      <c r="E671" s="31">
        <v>0.71609999999999996</v>
      </c>
      <c r="F671" s="32">
        <v>715.9</v>
      </c>
      <c r="G671" s="33"/>
      <c r="H671" s="30">
        <v>66.099999999999994</v>
      </c>
      <c r="I671" s="34">
        <v>3.7827000000000002</v>
      </c>
      <c r="J671" s="35">
        <v>0.15887000000000001</v>
      </c>
      <c r="L671" s="30">
        <v>66.099999999999994</v>
      </c>
      <c r="M671" s="172">
        <v>5.9610000000000003</v>
      </c>
      <c r="N671" s="173">
        <v>0.16775999999999999</v>
      </c>
      <c r="P671" s="30">
        <v>66.099999999999994</v>
      </c>
      <c r="Q671" s="172">
        <v>2.9803999999999999</v>
      </c>
      <c r="R671" s="173">
        <v>0.12518000000000001</v>
      </c>
      <c r="T671" s="30">
        <v>66.099999999999994</v>
      </c>
      <c r="U671" s="172">
        <v>335.51999999999902</v>
      </c>
      <c r="V671" s="173">
        <v>7.9889999999999999</v>
      </c>
      <c r="X671" s="30">
        <v>66.099999999999994</v>
      </c>
      <c r="Y671" s="34">
        <v>2.6610999999999998</v>
      </c>
      <c r="Z671" s="35">
        <v>0.11176999999999999</v>
      </c>
      <c r="AA671" s="36"/>
      <c r="AB671" s="30">
        <v>66.099999999999994</v>
      </c>
      <c r="AC671" s="44">
        <v>375.78</v>
      </c>
      <c r="AD671" s="35">
        <v>8.9469999999999992</v>
      </c>
      <c r="AE671" s="36"/>
      <c r="AF671" s="30">
        <v>66.099999999999994</v>
      </c>
      <c r="AG671" s="34">
        <v>2.7038000000000002</v>
      </c>
      <c r="AH671" s="35">
        <v>0.11355999999999999</v>
      </c>
      <c r="AI671" s="35"/>
      <c r="AJ671" s="35">
        <v>0.14926</v>
      </c>
      <c r="AK671" s="998">
        <v>18.899999999999999</v>
      </c>
      <c r="AM671" s="30">
        <v>66.099999999999994</v>
      </c>
      <c r="AN671" s="34">
        <v>1.2692000000000001</v>
      </c>
      <c r="AO671" s="35">
        <v>1.4215</v>
      </c>
      <c r="BX671" s="43"/>
      <c r="BY671" s="34"/>
      <c r="BZ671" s="59"/>
      <c r="CB671" s="43"/>
      <c r="CC671" s="34"/>
      <c r="CD671" s="59"/>
      <c r="CL671" s="43"/>
      <c r="CM671" s="34"/>
      <c r="CN671" s="59"/>
      <c r="CP671" s="43"/>
      <c r="CQ671" s="34"/>
      <c r="CR671" s="59"/>
      <c r="CT671" s="43"/>
      <c r="CU671" s="34"/>
      <c r="CV671" s="59"/>
    </row>
    <row r="672" spans="4:100">
      <c r="D672" s="30">
        <v>66.2</v>
      </c>
      <c r="E672" s="31">
        <v>0.7157</v>
      </c>
      <c r="F672" s="32">
        <v>715.5</v>
      </c>
      <c r="G672" s="33"/>
      <c r="H672" s="30">
        <v>66.2</v>
      </c>
      <c r="I672" s="34">
        <v>3.7827000000000002</v>
      </c>
      <c r="J672" s="35">
        <v>0.15887000000000001</v>
      </c>
      <c r="L672" s="30">
        <v>66.2</v>
      </c>
      <c r="M672" s="172">
        <v>5.9580000000000002</v>
      </c>
      <c r="N672" s="173">
        <v>0.16785</v>
      </c>
      <c r="P672" s="30">
        <v>66.2</v>
      </c>
      <c r="Q672" s="172">
        <v>2.9788999999999999</v>
      </c>
      <c r="R672" s="173">
        <v>0.12512000000000001</v>
      </c>
      <c r="T672" s="30">
        <v>66.2</v>
      </c>
      <c r="U672" s="172">
        <v>335.68999999999801</v>
      </c>
      <c r="V672" s="173">
        <v>7.9930000000000003</v>
      </c>
      <c r="X672" s="30">
        <v>66.2</v>
      </c>
      <c r="Y672" s="34">
        <v>2.6598000000000002</v>
      </c>
      <c r="Z672" s="35">
        <v>0.11171</v>
      </c>
      <c r="AA672" s="36"/>
      <c r="AB672" s="30">
        <v>66.2</v>
      </c>
      <c r="AC672" s="44">
        <v>375.97</v>
      </c>
      <c r="AD672" s="35">
        <v>8.952</v>
      </c>
      <c r="AE672" s="36"/>
      <c r="AF672" s="30">
        <v>66.2</v>
      </c>
      <c r="AG672" s="34">
        <v>2.7023999999999999</v>
      </c>
      <c r="AH672" s="35">
        <v>0.1135</v>
      </c>
      <c r="AI672" s="35"/>
      <c r="AJ672" s="35">
        <v>0.14935999999999999</v>
      </c>
      <c r="AK672" s="998">
        <v>18.8</v>
      </c>
      <c r="AM672" s="30">
        <v>66.2</v>
      </c>
      <c r="AN672" s="34">
        <v>1.2698</v>
      </c>
      <c r="AO672" s="35">
        <v>1.4221999999999999</v>
      </c>
      <c r="BX672" s="43"/>
      <c r="BY672" s="34"/>
      <c r="BZ672" s="59"/>
      <c r="CB672" s="43"/>
      <c r="CC672" s="34"/>
      <c r="CD672" s="59"/>
      <c r="CL672" s="43"/>
      <c r="CM672" s="34"/>
      <c r="CN672" s="59"/>
      <c r="CP672" s="43"/>
      <c r="CQ672" s="34"/>
      <c r="CR672" s="59"/>
      <c r="CT672" s="43"/>
      <c r="CU672" s="34"/>
      <c r="CV672" s="59"/>
    </row>
    <row r="673" spans="4:100">
      <c r="D673" s="30">
        <v>66.3</v>
      </c>
      <c r="E673" s="31">
        <v>0.71540000000000004</v>
      </c>
      <c r="F673" s="32">
        <v>715.2</v>
      </c>
      <c r="G673" s="33"/>
      <c r="H673" s="30">
        <v>66.3</v>
      </c>
      <c r="I673" s="34">
        <v>3.7827000000000002</v>
      </c>
      <c r="J673" s="35">
        <v>0.15887000000000001</v>
      </c>
      <c r="L673" s="30">
        <v>66.3</v>
      </c>
      <c r="M673" s="172">
        <v>5.9550000000000001</v>
      </c>
      <c r="N673" s="173">
        <v>0.16793</v>
      </c>
      <c r="P673" s="30">
        <v>66.3</v>
      </c>
      <c r="Q673" s="172">
        <v>2.9773999999999998</v>
      </c>
      <c r="R673" s="173">
        <v>0.12504999999999999</v>
      </c>
      <c r="T673" s="30">
        <v>66.3</v>
      </c>
      <c r="U673" s="172">
        <v>335.85999999999802</v>
      </c>
      <c r="V673" s="173">
        <v>7.9969999999999999</v>
      </c>
      <c r="X673" s="30">
        <v>66.3</v>
      </c>
      <c r="Y673" s="34">
        <v>2.6583999999999999</v>
      </c>
      <c r="Z673" s="35">
        <v>0.11165</v>
      </c>
      <c r="AA673" s="36"/>
      <c r="AB673" s="30">
        <v>66.3</v>
      </c>
      <c r="AC673" s="44">
        <v>376.16</v>
      </c>
      <c r="AD673" s="35">
        <v>8.9559999999999995</v>
      </c>
      <c r="AE673" s="36"/>
      <c r="AF673" s="30">
        <v>66.3</v>
      </c>
      <c r="AG673" s="34">
        <v>2.7010999999999998</v>
      </c>
      <c r="AH673" s="35">
        <v>0.11345</v>
      </c>
      <c r="AI673" s="35"/>
      <c r="AJ673" s="35">
        <v>0.14946000000000001</v>
      </c>
      <c r="AK673" s="998">
        <v>18.7</v>
      </c>
      <c r="AM673" s="30">
        <v>66.3</v>
      </c>
      <c r="AN673" s="34">
        <v>1.2705</v>
      </c>
      <c r="AO673" s="35">
        <v>1.4229000000000001</v>
      </c>
      <c r="BX673" s="43"/>
      <c r="BY673" s="34"/>
      <c r="BZ673" s="59"/>
      <c r="CB673" s="43"/>
      <c r="CC673" s="34"/>
      <c r="CD673" s="59"/>
      <c r="CL673" s="43"/>
      <c r="CM673" s="34"/>
      <c r="CN673" s="59"/>
      <c r="CP673" s="43"/>
      <c r="CQ673" s="34"/>
      <c r="CR673" s="59"/>
      <c r="CT673" s="43"/>
      <c r="CU673" s="34"/>
      <c r="CV673" s="59"/>
    </row>
    <row r="674" spans="4:100">
      <c r="D674" s="30">
        <v>66.400000000000006</v>
      </c>
      <c r="E674" s="31">
        <v>0.71499999999999997</v>
      </c>
      <c r="F674" s="32">
        <v>714.8</v>
      </c>
      <c r="G674" s="33"/>
      <c r="H674" s="30">
        <v>66.400000000000006</v>
      </c>
      <c r="I674" s="34">
        <v>3.7827000000000002</v>
      </c>
      <c r="J674" s="35">
        <v>0.15887000000000001</v>
      </c>
      <c r="L674" s="30">
        <v>66.400000000000006</v>
      </c>
      <c r="M674" s="172">
        <v>5.952</v>
      </c>
      <c r="N674" s="173">
        <v>0.16802</v>
      </c>
      <c r="P674" s="30">
        <v>66.400000000000006</v>
      </c>
      <c r="Q674" s="172">
        <v>2.9759000000000002</v>
      </c>
      <c r="R674" s="173">
        <v>0.12499</v>
      </c>
      <c r="T674" s="30">
        <v>66.400000000000006</v>
      </c>
      <c r="U674" s="172">
        <v>336.02999999999798</v>
      </c>
      <c r="V674" s="173">
        <v>8.0009999999999994</v>
      </c>
      <c r="X674" s="30">
        <v>66.400000000000006</v>
      </c>
      <c r="Y674" s="34">
        <v>2.6570999999999998</v>
      </c>
      <c r="Z674" s="35">
        <v>0.1116</v>
      </c>
      <c r="AA674" s="36"/>
      <c r="AB674" s="30">
        <v>66.400000000000006</v>
      </c>
      <c r="AC674" s="44">
        <v>376.35</v>
      </c>
      <c r="AD674" s="35">
        <v>8.9610000000000003</v>
      </c>
      <c r="AE674" s="36"/>
      <c r="AF674" s="30">
        <v>66.400000000000006</v>
      </c>
      <c r="AG674" s="34">
        <v>2.6997</v>
      </c>
      <c r="AH674" s="35">
        <v>0.11339</v>
      </c>
      <c r="AI674" s="35"/>
      <c r="AJ674" s="35">
        <v>0.14956</v>
      </c>
      <c r="AK674" s="998">
        <v>18.600000000000001</v>
      </c>
      <c r="AM674" s="30">
        <v>66.400000000000006</v>
      </c>
      <c r="AN674" s="34">
        <v>1.2710999999999999</v>
      </c>
      <c r="AO674" s="35">
        <v>1.4236</v>
      </c>
      <c r="BX674" s="43"/>
      <c r="BY674" s="34"/>
      <c r="BZ674" s="59"/>
      <c r="CB674" s="43"/>
      <c r="CC674" s="34"/>
      <c r="CD674" s="59"/>
      <c r="CL674" s="43"/>
      <c r="CM674" s="34"/>
      <c r="CN674" s="59"/>
      <c r="CP674" s="43"/>
      <c r="CQ674" s="34"/>
      <c r="CR674" s="59"/>
      <c r="CT674" s="43"/>
      <c r="CU674" s="34"/>
      <c r="CV674" s="59"/>
    </row>
    <row r="675" spans="4:100">
      <c r="D675" s="30">
        <v>66.5</v>
      </c>
      <c r="E675" s="31">
        <v>0.71460000000000001</v>
      </c>
      <c r="F675" s="32">
        <v>714.5</v>
      </c>
      <c r="G675" s="33"/>
      <c r="H675" s="30">
        <v>66.5</v>
      </c>
      <c r="I675" s="34">
        <v>3.7827000000000002</v>
      </c>
      <c r="J675" s="35">
        <v>0.15887000000000001</v>
      </c>
      <c r="L675" s="30">
        <v>66.5</v>
      </c>
      <c r="M675" s="172">
        <v>5.9489999999999998</v>
      </c>
      <c r="N675" s="173">
        <v>0.1681</v>
      </c>
      <c r="P675" s="30">
        <v>66.5</v>
      </c>
      <c r="Q675" s="172">
        <v>2.9744000000000002</v>
      </c>
      <c r="R675" s="173">
        <v>0.12493</v>
      </c>
      <c r="T675" s="30">
        <v>66.5</v>
      </c>
      <c r="U675" s="172">
        <v>336.199999999998</v>
      </c>
      <c r="V675" s="173">
        <v>8.0050000000000008</v>
      </c>
      <c r="X675" s="30">
        <v>66.5</v>
      </c>
      <c r="Y675" s="34">
        <v>2.6556999999999999</v>
      </c>
      <c r="Z675" s="35">
        <v>0.11154</v>
      </c>
      <c r="AA675" s="36"/>
      <c r="AB675" s="30">
        <v>66.5</v>
      </c>
      <c r="AC675" s="44">
        <v>376.54</v>
      </c>
      <c r="AD675" s="35">
        <v>8.9649999999999999</v>
      </c>
      <c r="AE675" s="36"/>
      <c r="AF675" s="30">
        <v>66.5</v>
      </c>
      <c r="AG675" s="34">
        <v>2.6983000000000001</v>
      </c>
      <c r="AH675" s="35">
        <v>0.11333</v>
      </c>
      <c r="AI675" s="35"/>
      <c r="AJ675" s="35">
        <v>0.14965999999999999</v>
      </c>
      <c r="AK675" s="998">
        <v>18.5</v>
      </c>
      <c r="AM675" s="30">
        <v>66.5</v>
      </c>
      <c r="AN675" s="34">
        <v>1.2717000000000001</v>
      </c>
      <c r="AO675" s="35">
        <v>1.4244000000000001</v>
      </c>
      <c r="BX675" s="43"/>
      <c r="BY675" s="34"/>
      <c r="BZ675" s="59"/>
      <c r="CB675" s="43"/>
      <c r="CC675" s="34"/>
      <c r="CD675" s="59"/>
      <c r="CL675" s="43"/>
      <c r="CM675" s="34"/>
      <c r="CN675" s="59"/>
      <c r="CP675" s="43"/>
      <c r="CQ675" s="34"/>
      <c r="CR675" s="59"/>
      <c r="CT675" s="43"/>
      <c r="CU675" s="34"/>
      <c r="CV675" s="59"/>
    </row>
    <row r="676" spans="4:100">
      <c r="D676" s="30">
        <v>66.599999999999994</v>
      </c>
      <c r="E676" s="31">
        <v>0.71430000000000005</v>
      </c>
      <c r="F676" s="32">
        <v>714.1</v>
      </c>
      <c r="G676" s="33"/>
      <c r="H676" s="30">
        <v>66.599999999999994</v>
      </c>
      <c r="I676" s="34">
        <v>3.7827000000000002</v>
      </c>
      <c r="J676" s="35">
        <v>0.15887000000000001</v>
      </c>
      <c r="L676" s="30">
        <v>66.599999999999994</v>
      </c>
      <c r="M676" s="172">
        <v>5.9459999999999997</v>
      </c>
      <c r="N676" s="173">
        <v>0.16819000000000001</v>
      </c>
      <c r="P676" s="30">
        <v>66.599999999999994</v>
      </c>
      <c r="Q676" s="172">
        <v>2.9729000000000001</v>
      </c>
      <c r="R676" s="173">
        <v>0.12486</v>
      </c>
      <c r="T676" s="30">
        <v>66.599999999999994</v>
      </c>
      <c r="U676" s="172">
        <v>336.36999999999802</v>
      </c>
      <c r="V676" s="173">
        <v>8.0090000000000003</v>
      </c>
      <c r="X676" s="30">
        <v>66.599999999999994</v>
      </c>
      <c r="Y676" s="34">
        <v>2.6543999999999999</v>
      </c>
      <c r="Z676" s="35">
        <v>0.11148</v>
      </c>
      <c r="AA676" s="36"/>
      <c r="AB676" s="30">
        <v>66.599999999999994</v>
      </c>
      <c r="AC676" s="44">
        <v>376.74</v>
      </c>
      <c r="AD676" s="35">
        <v>8.9700000000000006</v>
      </c>
      <c r="AE676" s="36"/>
      <c r="AF676" s="30">
        <v>66.599999999999994</v>
      </c>
      <c r="AG676" s="34">
        <v>2.6970000000000001</v>
      </c>
      <c r="AH676" s="35">
        <v>0.11327</v>
      </c>
      <c r="AI676" s="35"/>
      <c r="AJ676" s="35">
        <v>0.14976</v>
      </c>
      <c r="AK676" s="998">
        <v>18.399999999999999</v>
      </c>
      <c r="AM676" s="30">
        <v>66.599999999999994</v>
      </c>
      <c r="AN676" s="34">
        <v>1.2724</v>
      </c>
      <c r="AO676" s="35">
        <v>1.4251</v>
      </c>
      <c r="BX676" s="43"/>
      <c r="BY676" s="34"/>
      <c r="BZ676" s="59"/>
      <c r="CB676" s="43"/>
      <c r="CC676" s="34"/>
      <c r="CD676" s="59"/>
      <c r="CL676" s="43"/>
      <c r="CM676" s="34"/>
      <c r="CN676" s="59"/>
      <c r="CP676" s="43"/>
      <c r="CQ676" s="34"/>
      <c r="CR676" s="59"/>
      <c r="CT676" s="43"/>
      <c r="CU676" s="34"/>
      <c r="CV676" s="59"/>
    </row>
    <row r="677" spans="4:100">
      <c r="D677" s="30">
        <v>66.7</v>
      </c>
      <c r="E677" s="31">
        <v>0.71389999999999998</v>
      </c>
      <c r="F677" s="32">
        <v>713.7</v>
      </c>
      <c r="G677" s="33"/>
      <c r="H677" s="30">
        <v>66.7</v>
      </c>
      <c r="I677" s="34">
        <v>3.7827000000000002</v>
      </c>
      <c r="J677" s="35">
        <v>0.15887000000000001</v>
      </c>
      <c r="L677" s="30">
        <v>66.7</v>
      </c>
      <c r="M677" s="172">
        <v>5.9429999999999996</v>
      </c>
      <c r="N677" s="173">
        <v>0.16827</v>
      </c>
      <c r="P677" s="30">
        <v>66.7</v>
      </c>
      <c r="Q677" s="172">
        <v>2.9714</v>
      </c>
      <c r="R677" s="173">
        <v>0.12479999999999999</v>
      </c>
      <c r="T677" s="30">
        <v>66.7</v>
      </c>
      <c r="U677" s="172">
        <v>336.53999999999797</v>
      </c>
      <c r="V677" s="173">
        <v>8.0129999999999999</v>
      </c>
      <c r="X677" s="30">
        <v>66.7</v>
      </c>
      <c r="Y677" s="34">
        <v>2.653</v>
      </c>
      <c r="Z677" s="35">
        <v>0.11143</v>
      </c>
      <c r="AA677" s="36"/>
      <c r="AB677" s="30">
        <v>66.7</v>
      </c>
      <c r="AC677" s="44">
        <v>376.93</v>
      </c>
      <c r="AD677" s="35">
        <v>8.9740000000000002</v>
      </c>
      <c r="AE677" s="36"/>
      <c r="AF677" s="30">
        <v>66.7</v>
      </c>
      <c r="AG677" s="34">
        <v>2.6956000000000002</v>
      </c>
      <c r="AH677" s="35">
        <v>0.11322</v>
      </c>
      <c r="AI677" s="35"/>
      <c r="AJ677" s="35">
        <v>0.14985999999999999</v>
      </c>
      <c r="AK677" s="998">
        <v>18.3</v>
      </c>
      <c r="AM677" s="30">
        <v>66.7</v>
      </c>
      <c r="AN677" s="34">
        <v>1.2729999999999999</v>
      </c>
      <c r="AO677" s="35">
        <v>1.4258</v>
      </c>
      <c r="BX677" s="43"/>
      <c r="BY677" s="34"/>
      <c r="BZ677" s="59"/>
      <c r="CB677" s="43"/>
      <c r="CC677" s="34"/>
      <c r="CD677" s="59"/>
      <c r="CL677" s="43"/>
      <c r="CM677" s="34"/>
      <c r="CN677" s="59"/>
      <c r="CP677" s="43"/>
      <c r="CQ677" s="34"/>
      <c r="CR677" s="59"/>
      <c r="CT677" s="43"/>
      <c r="CU677" s="34"/>
      <c r="CV677" s="59"/>
    </row>
    <row r="678" spans="4:100">
      <c r="D678" s="30">
        <v>66.8</v>
      </c>
      <c r="E678" s="31">
        <v>0.71360000000000001</v>
      </c>
      <c r="F678" s="32">
        <v>713.4</v>
      </c>
      <c r="G678" s="33"/>
      <c r="H678" s="30">
        <v>66.8</v>
      </c>
      <c r="I678" s="34">
        <v>3.7827000000000002</v>
      </c>
      <c r="J678" s="35">
        <v>0.15887000000000001</v>
      </c>
      <c r="L678" s="30">
        <v>66.8</v>
      </c>
      <c r="M678" s="172">
        <v>5.94</v>
      </c>
      <c r="N678" s="173">
        <v>0.16836000000000001</v>
      </c>
      <c r="P678" s="30">
        <v>66.8</v>
      </c>
      <c r="Q678" s="172">
        <v>2.9699</v>
      </c>
      <c r="R678" s="173">
        <v>0.12474</v>
      </c>
      <c r="T678" s="30">
        <v>66.8</v>
      </c>
      <c r="U678" s="172">
        <v>336.70999999999799</v>
      </c>
      <c r="V678" s="173">
        <v>8.0169999999999995</v>
      </c>
      <c r="X678" s="30">
        <v>66.8</v>
      </c>
      <c r="Y678" s="34">
        <v>2.6516999999999999</v>
      </c>
      <c r="Z678" s="35">
        <v>0.11137</v>
      </c>
      <c r="AA678" s="36"/>
      <c r="AB678" s="30">
        <v>66.8</v>
      </c>
      <c r="AC678" s="44">
        <v>377.12</v>
      </c>
      <c r="AD678" s="35">
        <v>8.9789999999999992</v>
      </c>
      <c r="AE678" s="36"/>
      <c r="AF678" s="30">
        <v>66.8</v>
      </c>
      <c r="AG678" s="34">
        <v>2.6943000000000001</v>
      </c>
      <c r="AH678" s="35">
        <v>0.11316</v>
      </c>
      <c r="AI678" s="35"/>
      <c r="AJ678" s="35">
        <v>0.14996000000000001</v>
      </c>
      <c r="AK678" s="998">
        <v>18.2</v>
      </c>
      <c r="AM678" s="30">
        <v>66.8</v>
      </c>
      <c r="AN678" s="34">
        <v>1.2737000000000001</v>
      </c>
      <c r="AO678" s="35">
        <v>1.4265000000000001</v>
      </c>
      <c r="BX678" s="43"/>
      <c r="BY678" s="34"/>
      <c r="BZ678" s="59"/>
      <c r="CB678" s="43"/>
      <c r="CC678" s="34"/>
      <c r="CD678" s="59"/>
      <c r="CL678" s="43"/>
      <c r="CM678" s="34"/>
      <c r="CN678" s="59"/>
      <c r="CP678" s="43"/>
      <c r="CQ678" s="34"/>
      <c r="CR678" s="59"/>
      <c r="CT678" s="43"/>
      <c r="CU678" s="34"/>
      <c r="CV678" s="59"/>
    </row>
    <row r="679" spans="4:100">
      <c r="D679" s="30">
        <v>66.900000000000006</v>
      </c>
      <c r="E679" s="31">
        <v>0.71319999999999995</v>
      </c>
      <c r="F679" s="32">
        <v>713</v>
      </c>
      <c r="G679" s="33"/>
      <c r="H679" s="30">
        <v>66.900000000000006</v>
      </c>
      <c r="I679" s="34">
        <v>3.7827000000000002</v>
      </c>
      <c r="J679" s="35">
        <v>0.15887000000000001</v>
      </c>
      <c r="L679" s="30">
        <v>66.900000000000006</v>
      </c>
      <c r="M679" s="172">
        <v>5.9370000000000003</v>
      </c>
      <c r="N679" s="173">
        <v>0.16844000000000001</v>
      </c>
      <c r="P679" s="30">
        <v>66.900000000000006</v>
      </c>
      <c r="Q679" s="172">
        <v>2.9683999999999999</v>
      </c>
      <c r="R679" s="173">
        <v>0.12467</v>
      </c>
      <c r="T679" s="30">
        <v>66.900000000000006</v>
      </c>
      <c r="U679" s="172">
        <v>336.87999999999801</v>
      </c>
      <c r="V679" s="173">
        <v>8.0210000000000097</v>
      </c>
      <c r="X679" s="30">
        <v>66.900000000000006</v>
      </c>
      <c r="Y679" s="34">
        <v>2.6503999999999999</v>
      </c>
      <c r="Z679" s="35">
        <v>0.11132</v>
      </c>
      <c r="AA679" s="36"/>
      <c r="AB679" s="30">
        <v>66.900000000000006</v>
      </c>
      <c r="AC679" s="44">
        <v>377.31</v>
      </c>
      <c r="AD679" s="35">
        <v>8.9830000000000005</v>
      </c>
      <c r="AE679" s="36"/>
      <c r="AF679" s="30">
        <v>66.900000000000006</v>
      </c>
      <c r="AG679" s="34">
        <v>2.6928999999999998</v>
      </c>
      <c r="AH679" s="35">
        <v>0.11310000000000001</v>
      </c>
      <c r="AI679" s="35"/>
      <c r="AJ679" s="35">
        <v>0.15006</v>
      </c>
      <c r="AK679" s="998">
        <v>18.100000000000001</v>
      </c>
      <c r="AM679" s="30">
        <v>66.900000000000006</v>
      </c>
      <c r="AN679" s="34">
        <v>1.2743</v>
      </c>
      <c r="AO679" s="35">
        <v>1.4272</v>
      </c>
      <c r="BX679" s="43"/>
      <c r="BY679" s="34"/>
      <c r="BZ679" s="59"/>
      <c r="CB679" s="43"/>
      <c r="CC679" s="34"/>
      <c r="CD679" s="59"/>
      <c r="CL679" s="43"/>
      <c r="CM679" s="34"/>
      <c r="CN679" s="59"/>
      <c r="CP679" s="43"/>
      <c r="CQ679" s="34"/>
      <c r="CR679" s="59"/>
      <c r="CT679" s="43"/>
      <c r="CU679" s="34"/>
      <c r="CV679" s="59"/>
    </row>
    <row r="680" spans="4:100">
      <c r="D680" s="30">
        <v>67</v>
      </c>
      <c r="E680" s="31">
        <v>0.71279999999999999</v>
      </c>
      <c r="F680" s="32">
        <v>712.7</v>
      </c>
      <c r="G680" s="33"/>
      <c r="H680" s="30">
        <v>67</v>
      </c>
      <c r="I680" s="34">
        <v>3.7827000000000002</v>
      </c>
      <c r="J680" s="35">
        <v>0.15887000000000001</v>
      </c>
      <c r="L680" s="30">
        <v>67</v>
      </c>
      <c r="M680" s="172">
        <v>5.9340000000000002</v>
      </c>
      <c r="N680" s="173">
        <v>0.16853000000000001</v>
      </c>
      <c r="P680" s="30">
        <v>67</v>
      </c>
      <c r="Q680" s="172">
        <v>2.9668999999999999</v>
      </c>
      <c r="R680" s="173">
        <v>0.12461</v>
      </c>
      <c r="T680" s="30">
        <v>67</v>
      </c>
      <c r="U680" s="172">
        <v>337.04999999999802</v>
      </c>
      <c r="V680" s="173">
        <v>8.0250000000000092</v>
      </c>
      <c r="X680" s="30">
        <v>67</v>
      </c>
      <c r="Y680" s="34">
        <v>2.649</v>
      </c>
      <c r="Z680" s="35">
        <v>0.11126</v>
      </c>
      <c r="AA680" s="36"/>
      <c r="AB680" s="30">
        <v>67</v>
      </c>
      <c r="AC680" s="44">
        <v>377.5</v>
      </c>
      <c r="AD680" s="35">
        <v>8.9879999999999995</v>
      </c>
      <c r="AE680" s="36"/>
      <c r="AF680" s="30">
        <v>67</v>
      </c>
      <c r="AG680" s="34">
        <v>2.6915</v>
      </c>
      <c r="AH680" s="35">
        <v>0.11304</v>
      </c>
      <c r="AI680" s="35"/>
      <c r="AJ680" s="35">
        <v>0.15015999999999999</v>
      </c>
      <c r="AK680" s="998">
        <v>18</v>
      </c>
      <c r="AM680" s="30">
        <v>67</v>
      </c>
      <c r="AN680" s="34">
        <v>1.2749999999999999</v>
      </c>
      <c r="AO680" s="35">
        <v>1.4279999999999999</v>
      </c>
      <c r="BX680" s="43"/>
      <c r="BY680" s="34"/>
      <c r="BZ680" s="59"/>
      <c r="CB680" s="43"/>
      <c r="CC680" s="34"/>
      <c r="CD680" s="59"/>
      <c r="CL680" s="43"/>
      <c r="CM680" s="34"/>
      <c r="CN680" s="59"/>
      <c r="CP680" s="43"/>
      <c r="CQ680" s="34"/>
      <c r="CR680" s="59"/>
      <c r="CT680" s="43"/>
      <c r="CU680" s="34"/>
      <c r="CV680" s="59"/>
    </row>
    <row r="681" spans="4:100">
      <c r="D681" s="30">
        <v>67.099999999999994</v>
      </c>
      <c r="E681" s="31">
        <v>0.71250000000000002</v>
      </c>
      <c r="F681" s="32">
        <v>712.3</v>
      </c>
      <c r="G681" s="33"/>
      <c r="H681" s="30">
        <v>67.099999999999994</v>
      </c>
      <c r="I681" s="34">
        <v>3.7827000000000002</v>
      </c>
      <c r="J681" s="35">
        <v>0.15887000000000001</v>
      </c>
      <c r="L681" s="30">
        <v>67.099999999999994</v>
      </c>
      <c r="M681" s="172">
        <v>5.931</v>
      </c>
      <c r="N681" s="173">
        <v>0.16861000000000001</v>
      </c>
      <c r="P681" s="30">
        <v>67.099999999999994</v>
      </c>
      <c r="Q681" s="172">
        <v>2.9653999999999998</v>
      </c>
      <c r="R681" s="173">
        <v>0.12454999999999999</v>
      </c>
      <c r="T681" s="30">
        <v>67.099999999999994</v>
      </c>
      <c r="U681" s="172">
        <v>337.21999999999798</v>
      </c>
      <c r="V681" s="173">
        <v>8.0290000000000106</v>
      </c>
      <c r="X681" s="30">
        <v>67.099999999999994</v>
      </c>
      <c r="Y681" s="34">
        <v>2.6476999999999999</v>
      </c>
      <c r="Z681" s="35">
        <v>0.11119999999999999</v>
      </c>
      <c r="AA681" s="36"/>
      <c r="AB681" s="30">
        <v>67.099999999999994</v>
      </c>
      <c r="AC681" s="44">
        <v>377.69</v>
      </c>
      <c r="AD681" s="35">
        <v>8.9930000000000003</v>
      </c>
      <c r="AE681" s="36"/>
      <c r="AF681" s="30">
        <v>67.099999999999994</v>
      </c>
      <c r="AG681" s="34">
        <v>2.6901999999999999</v>
      </c>
      <c r="AH681" s="35">
        <v>0.11298999999999999</v>
      </c>
      <c r="AI681" s="35"/>
      <c r="AJ681" s="35">
        <v>0.15026</v>
      </c>
      <c r="AK681" s="998">
        <v>17.899999999999999</v>
      </c>
      <c r="AM681" s="30">
        <v>67.099999999999994</v>
      </c>
      <c r="AN681" s="34">
        <v>1.2756000000000001</v>
      </c>
      <c r="AO681" s="35">
        <v>1.4287000000000001</v>
      </c>
      <c r="BX681" s="43"/>
      <c r="BY681" s="34"/>
      <c r="BZ681" s="59"/>
      <c r="CB681" s="43"/>
      <c r="CC681" s="34"/>
      <c r="CD681" s="59"/>
      <c r="CL681" s="43"/>
      <c r="CM681" s="34"/>
      <c r="CN681" s="59"/>
      <c r="CP681" s="43"/>
      <c r="CQ681" s="34"/>
      <c r="CR681" s="59"/>
      <c r="CT681" s="43"/>
      <c r="CU681" s="34"/>
      <c r="CV681" s="59"/>
    </row>
    <row r="682" spans="4:100">
      <c r="D682" s="30">
        <v>67.2</v>
      </c>
      <c r="E682" s="31">
        <v>0.71209999999999996</v>
      </c>
      <c r="F682" s="32">
        <v>711.9</v>
      </c>
      <c r="G682" s="33"/>
      <c r="H682" s="30">
        <v>67.2</v>
      </c>
      <c r="I682" s="34">
        <v>3.7827000000000002</v>
      </c>
      <c r="J682" s="35">
        <v>0.15887000000000001</v>
      </c>
      <c r="L682" s="30">
        <v>67.2</v>
      </c>
      <c r="M682" s="172">
        <v>5.9279999999999999</v>
      </c>
      <c r="N682" s="173">
        <v>0.16869999999999999</v>
      </c>
      <c r="P682" s="30">
        <v>67.2</v>
      </c>
      <c r="Q682" s="172">
        <v>2.9639000000000002</v>
      </c>
      <c r="R682" s="173">
        <v>0.12447999999999999</v>
      </c>
      <c r="T682" s="30">
        <v>67.2</v>
      </c>
      <c r="U682" s="172">
        <v>337.389999999998</v>
      </c>
      <c r="V682" s="173">
        <v>8.0330000000000101</v>
      </c>
      <c r="X682" s="30">
        <v>67.2</v>
      </c>
      <c r="Y682" s="34">
        <v>2.6463999999999999</v>
      </c>
      <c r="Z682" s="35">
        <v>0.11115</v>
      </c>
      <c r="AA682" s="36"/>
      <c r="AB682" s="30">
        <v>67.2</v>
      </c>
      <c r="AC682" s="44">
        <v>377.88</v>
      </c>
      <c r="AD682" s="35">
        <v>8.9969999999999999</v>
      </c>
      <c r="AE682" s="36"/>
      <c r="AF682" s="30">
        <v>67.2</v>
      </c>
      <c r="AG682" s="34">
        <v>2.6888000000000001</v>
      </c>
      <c r="AH682" s="35">
        <v>0.11293</v>
      </c>
      <c r="AI682" s="35"/>
      <c r="AJ682" s="35">
        <v>0.15035999999999999</v>
      </c>
      <c r="AK682" s="998">
        <v>17.8</v>
      </c>
      <c r="AM682" s="30">
        <v>67.2</v>
      </c>
      <c r="AN682" s="34">
        <v>1.2762</v>
      </c>
      <c r="AO682" s="35">
        <v>1.4294</v>
      </c>
      <c r="BX682" s="43"/>
      <c r="BY682" s="34"/>
      <c r="BZ682" s="59"/>
      <c r="CB682" s="43"/>
      <c r="CC682" s="34"/>
      <c r="CD682" s="59"/>
      <c r="CL682" s="43"/>
      <c r="CM682" s="34"/>
      <c r="CN682" s="59"/>
      <c r="CP682" s="43"/>
      <c r="CQ682" s="34"/>
      <c r="CR682" s="59"/>
      <c r="CT682" s="43"/>
      <c r="CU682" s="34"/>
      <c r="CV682" s="59"/>
    </row>
    <row r="683" spans="4:100">
      <c r="D683" s="30">
        <v>67.3</v>
      </c>
      <c r="E683" s="31">
        <v>0.71179999999999999</v>
      </c>
      <c r="F683" s="32">
        <v>711.6</v>
      </c>
      <c r="G683" s="33"/>
      <c r="H683" s="30">
        <v>67.3</v>
      </c>
      <c r="I683" s="34">
        <v>3.7827000000000002</v>
      </c>
      <c r="J683" s="35">
        <v>0.15887000000000001</v>
      </c>
      <c r="L683" s="30">
        <v>67.3</v>
      </c>
      <c r="M683" s="172">
        <v>5.9249999999999998</v>
      </c>
      <c r="N683" s="173">
        <v>0.16878000000000001</v>
      </c>
      <c r="P683" s="30">
        <v>67.3</v>
      </c>
      <c r="Q683" s="172">
        <v>2.9624000000000001</v>
      </c>
      <c r="R683" s="173">
        <v>0.12442</v>
      </c>
      <c r="T683" s="30">
        <v>67.3</v>
      </c>
      <c r="U683" s="172">
        <v>337.55999999999801</v>
      </c>
      <c r="V683" s="173">
        <v>8.0370000000000097</v>
      </c>
      <c r="X683" s="30">
        <v>67.3</v>
      </c>
      <c r="Y683" s="34">
        <v>2.645</v>
      </c>
      <c r="Z683" s="35">
        <v>0.11108999999999999</v>
      </c>
      <c r="AA683" s="36"/>
      <c r="AB683" s="30">
        <v>67.3</v>
      </c>
      <c r="AC683" s="44">
        <v>378.07</v>
      </c>
      <c r="AD683" s="35">
        <v>9.0020000000000007</v>
      </c>
      <c r="AE683" s="36"/>
      <c r="AF683" s="30">
        <v>67.3</v>
      </c>
      <c r="AG683" s="34">
        <v>2.6875</v>
      </c>
      <c r="AH683" s="35">
        <v>0.11287</v>
      </c>
      <c r="AI683" s="35"/>
      <c r="AJ683" s="35">
        <v>0.15046000000000001</v>
      </c>
      <c r="AK683" s="998">
        <v>17.7</v>
      </c>
      <c r="AM683" s="30">
        <v>67.3</v>
      </c>
      <c r="AN683" s="34">
        <v>1.2768999999999999</v>
      </c>
      <c r="AO683" s="35">
        <v>1.4300999999999999</v>
      </c>
      <c r="BX683" s="43"/>
      <c r="BY683" s="34"/>
      <c r="BZ683" s="59"/>
      <c r="CB683" s="43"/>
      <c r="CC683" s="34"/>
      <c r="CD683" s="59"/>
      <c r="CL683" s="43"/>
      <c r="CM683" s="34"/>
      <c r="CN683" s="59"/>
      <c r="CP683" s="43"/>
      <c r="CQ683" s="34"/>
      <c r="CR683" s="59"/>
      <c r="CT683" s="43"/>
      <c r="CU683" s="34"/>
      <c r="CV683" s="59"/>
    </row>
    <row r="684" spans="4:100">
      <c r="D684" s="30">
        <v>67.400000000000006</v>
      </c>
      <c r="E684" s="31">
        <v>0.71140000000000003</v>
      </c>
      <c r="F684" s="32">
        <v>711.2</v>
      </c>
      <c r="G684" s="33"/>
      <c r="H684" s="30">
        <v>67.400000000000006</v>
      </c>
      <c r="I684" s="34">
        <v>3.7827000000000002</v>
      </c>
      <c r="J684" s="35">
        <v>0.15887000000000001</v>
      </c>
      <c r="L684" s="30">
        <v>67.400000000000006</v>
      </c>
      <c r="M684" s="172">
        <v>5.9219999999999997</v>
      </c>
      <c r="N684" s="173">
        <v>0.16886999999999999</v>
      </c>
      <c r="P684" s="30">
        <v>67.400000000000006</v>
      </c>
      <c r="Q684" s="172">
        <v>2.9609000000000001</v>
      </c>
      <c r="R684" s="173">
        <v>0.12436</v>
      </c>
      <c r="T684" s="30">
        <v>67.400000000000006</v>
      </c>
      <c r="U684" s="172">
        <v>337.72999999999797</v>
      </c>
      <c r="V684" s="173">
        <v>8.0410000000000093</v>
      </c>
      <c r="X684" s="30">
        <v>67.400000000000006</v>
      </c>
      <c r="Y684" s="34">
        <v>2.6436999999999999</v>
      </c>
      <c r="Z684" s="35">
        <v>0.11103</v>
      </c>
      <c r="AA684" s="36"/>
      <c r="AB684" s="30">
        <v>67.400000000000006</v>
      </c>
      <c r="AC684" s="44">
        <v>378.26</v>
      </c>
      <c r="AD684" s="35">
        <v>9.0060000000000002</v>
      </c>
      <c r="AE684" s="36"/>
      <c r="AF684" s="30">
        <v>67.400000000000006</v>
      </c>
      <c r="AG684" s="34">
        <v>2.6861000000000002</v>
      </c>
      <c r="AH684" s="35">
        <v>0.11282</v>
      </c>
      <c r="AI684" s="35"/>
      <c r="AJ684" s="35">
        <v>0.15056</v>
      </c>
      <c r="AK684" s="998">
        <v>17.600000000000001</v>
      </c>
      <c r="AM684" s="30">
        <v>67.400000000000006</v>
      </c>
      <c r="AN684" s="34">
        <v>1.2775000000000001</v>
      </c>
      <c r="AO684" s="35">
        <v>1.4308000000000001</v>
      </c>
      <c r="BX684" s="43"/>
      <c r="BY684" s="34"/>
      <c r="BZ684" s="59"/>
      <c r="CB684" s="43"/>
      <c r="CC684" s="34"/>
      <c r="CD684" s="59"/>
      <c r="CL684" s="43"/>
      <c r="CM684" s="34"/>
      <c r="CN684" s="59"/>
      <c r="CP684" s="43"/>
      <c r="CQ684" s="34"/>
      <c r="CR684" s="59"/>
      <c r="CT684" s="43"/>
      <c r="CU684" s="34"/>
      <c r="CV684" s="59"/>
    </row>
    <row r="685" spans="4:100">
      <c r="D685" s="30">
        <v>67.5</v>
      </c>
      <c r="E685" s="31">
        <v>0.71109999999999995</v>
      </c>
      <c r="F685" s="32">
        <v>710.9</v>
      </c>
      <c r="G685" s="33"/>
      <c r="H685" s="30">
        <v>67.5</v>
      </c>
      <c r="I685" s="34">
        <v>3.7827000000000002</v>
      </c>
      <c r="J685" s="35">
        <v>0.15887000000000001</v>
      </c>
      <c r="L685" s="30">
        <v>67.5</v>
      </c>
      <c r="M685" s="172">
        <v>5.9189999999999996</v>
      </c>
      <c r="N685" s="173">
        <v>0.16894999999999999</v>
      </c>
      <c r="P685" s="30">
        <v>67.5</v>
      </c>
      <c r="Q685" s="172">
        <v>2.9594</v>
      </c>
      <c r="R685" s="173">
        <v>0.12429999999999999</v>
      </c>
      <c r="T685" s="30">
        <v>67.5</v>
      </c>
      <c r="U685" s="172">
        <v>337.89999999999799</v>
      </c>
      <c r="V685" s="173">
        <v>8.0450000000000106</v>
      </c>
      <c r="X685" s="30">
        <v>67.5</v>
      </c>
      <c r="Y685" s="34">
        <v>2.6423999999999999</v>
      </c>
      <c r="Z685" s="35">
        <v>0.11098</v>
      </c>
      <c r="AA685" s="36"/>
      <c r="AB685" s="30">
        <v>67.5</v>
      </c>
      <c r="AC685" s="44">
        <v>378.45</v>
      </c>
      <c r="AD685" s="35">
        <v>9.0109999999999992</v>
      </c>
      <c r="AE685" s="36"/>
      <c r="AF685" s="30">
        <v>67.5</v>
      </c>
      <c r="AG685" s="34">
        <v>2.6848000000000001</v>
      </c>
      <c r="AH685" s="35">
        <v>0.11276</v>
      </c>
      <c r="AI685" s="35"/>
      <c r="AJ685" s="35">
        <v>0.15065999999999999</v>
      </c>
      <c r="AK685" s="998">
        <v>17.5</v>
      </c>
      <c r="AM685" s="30">
        <v>67.5</v>
      </c>
      <c r="AN685" s="34">
        <v>1.2782</v>
      </c>
      <c r="AO685" s="35">
        <v>1.4316</v>
      </c>
      <c r="BX685" s="43"/>
      <c r="BY685" s="34"/>
      <c r="BZ685" s="59"/>
      <c r="CB685" s="43"/>
      <c r="CC685" s="34"/>
      <c r="CD685" s="59"/>
      <c r="CL685" s="43"/>
      <c r="CM685" s="34"/>
      <c r="CN685" s="59"/>
      <c r="CP685" s="43"/>
      <c r="CQ685" s="34"/>
      <c r="CR685" s="59"/>
      <c r="CT685" s="43"/>
      <c r="CU685" s="34"/>
      <c r="CV685" s="59"/>
    </row>
    <row r="686" spans="4:100">
      <c r="D686" s="30">
        <v>67.599999999999994</v>
      </c>
      <c r="E686" s="31">
        <v>0.7107</v>
      </c>
      <c r="F686" s="32">
        <v>710.5</v>
      </c>
      <c r="G686" s="33"/>
      <c r="H686" s="30">
        <v>67.599999999999994</v>
      </c>
      <c r="I686" s="34">
        <v>3.7827000000000002</v>
      </c>
      <c r="J686" s="35">
        <v>0.15887000000000001</v>
      </c>
      <c r="L686" s="30">
        <v>67.599999999999994</v>
      </c>
      <c r="M686" s="172">
        <v>5.9160000000000004</v>
      </c>
      <c r="N686" s="173">
        <v>0.16904</v>
      </c>
      <c r="P686" s="30">
        <v>67.599999999999994</v>
      </c>
      <c r="Q686" s="172">
        <v>2.9580000000000002</v>
      </c>
      <c r="R686" s="173">
        <v>0.12422999999999999</v>
      </c>
      <c r="T686" s="30">
        <v>67.599999999999994</v>
      </c>
      <c r="U686" s="172">
        <v>338.069999999998</v>
      </c>
      <c r="V686" s="173">
        <v>8.0490000000000208</v>
      </c>
      <c r="X686" s="30">
        <v>67.599999999999994</v>
      </c>
      <c r="Y686" s="34">
        <v>2.641</v>
      </c>
      <c r="Z686" s="35">
        <v>0.11092</v>
      </c>
      <c r="AA686" s="36"/>
      <c r="AB686" s="30">
        <v>67.599999999999994</v>
      </c>
      <c r="AC686" s="44">
        <v>378.64</v>
      </c>
      <c r="AD686" s="35">
        <v>9.0150000000000006</v>
      </c>
      <c r="AE686" s="36"/>
      <c r="AF686" s="30">
        <v>67.599999999999994</v>
      </c>
      <c r="AG686" s="34">
        <v>2.6833999999999998</v>
      </c>
      <c r="AH686" s="35">
        <v>0.11269999999999999</v>
      </c>
      <c r="AI686" s="35"/>
      <c r="AJ686" s="35">
        <v>0.15076999999999999</v>
      </c>
      <c r="AK686" s="998">
        <v>17.399999999999999</v>
      </c>
      <c r="AM686" s="30">
        <v>67.599999999999994</v>
      </c>
      <c r="AN686" s="34">
        <v>1.2787999999999999</v>
      </c>
      <c r="AO686" s="35">
        <v>1.4322999999999999</v>
      </c>
      <c r="BX686" s="43"/>
      <c r="BY686" s="34"/>
      <c r="BZ686" s="59"/>
      <c r="CB686" s="43"/>
      <c r="CC686" s="34"/>
      <c r="CD686" s="59"/>
      <c r="CL686" s="43"/>
      <c r="CM686" s="34"/>
      <c r="CN686" s="59"/>
      <c r="CP686" s="43"/>
      <c r="CQ686" s="34"/>
      <c r="CR686" s="59"/>
      <c r="CT686" s="43"/>
      <c r="CU686" s="34"/>
      <c r="CV686" s="59"/>
    </row>
    <row r="687" spans="4:100">
      <c r="D687" s="30">
        <v>67.7</v>
      </c>
      <c r="E687" s="31">
        <v>0.71030000000000004</v>
      </c>
      <c r="F687" s="32">
        <v>710.2</v>
      </c>
      <c r="G687" s="33"/>
      <c r="H687" s="30">
        <v>67.7</v>
      </c>
      <c r="I687" s="34">
        <v>3.7827000000000002</v>
      </c>
      <c r="J687" s="35">
        <v>0.15887000000000001</v>
      </c>
      <c r="L687" s="30">
        <v>67.7</v>
      </c>
      <c r="M687" s="172">
        <v>5.9130000000000003</v>
      </c>
      <c r="N687" s="173">
        <v>0.16911999999999999</v>
      </c>
      <c r="P687" s="30">
        <v>67.7</v>
      </c>
      <c r="Q687" s="172">
        <v>2.9565000000000001</v>
      </c>
      <c r="R687" s="173">
        <v>0.12417</v>
      </c>
      <c r="T687" s="30">
        <v>67.7</v>
      </c>
      <c r="U687" s="172">
        <v>338.23999999999802</v>
      </c>
      <c r="V687" s="173">
        <v>8.0530000000000204</v>
      </c>
      <c r="X687" s="30">
        <v>67.7</v>
      </c>
      <c r="Y687" s="34">
        <v>2.6396999999999999</v>
      </c>
      <c r="Z687" s="35">
        <v>0.11087</v>
      </c>
      <c r="AA687" s="36"/>
      <c r="AB687" s="30">
        <v>67.7</v>
      </c>
      <c r="AC687" s="44">
        <v>378.83</v>
      </c>
      <c r="AD687" s="35">
        <v>9.02</v>
      </c>
      <c r="AE687" s="36"/>
      <c r="AF687" s="30">
        <v>67.7</v>
      </c>
      <c r="AG687" s="34">
        <v>2.6821000000000002</v>
      </c>
      <c r="AH687" s="35">
        <v>0.11265</v>
      </c>
      <c r="AI687" s="35"/>
      <c r="AJ687" s="35">
        <v>0.15087</v>
      </c>
      <c r="AK687" s="998">
        <v>17.3</v>
      </c>
      <c r="AM687" s="30">
        <v>67.7</v>
      </c>
      <c r="AN687" s="34">
        <v>1.2795000000000001</v>
      </c>
      <c r="AO687" s="35">
        <v>1.4330000000000001</v>
      </c>
      <c r="BX687" s="43"/>
      <c r="BY687" s="34"/>
      <c r="BZ687" s="59"/>
      <c r="CB687" s="43"/>
      <c r="CC687" s="34"/>
      <c r="CD687" s="59"/>
      <c r="CL687" s="43"/>
      <c r="CM687" s="34"/>
      <c r="CN687" s="59"/>
      <c r="CP687" s="43"/>
      <c r="CQ687" s="34"/>
      <c r="CR687" s="59"/>
      <c r="CT687" s="43"/>
      <c r="CU687" s="34"/>
      <c r="CV687" s="59"/>
    </row>
    <row r="688" spans="4:100">
      <c r="D688" s="30">
        <v>67.8</v>
      </c>
      <c r="E688" s="31">
        <v>0.71</v>
      </c>
      <c r="F688" s="32">
        <v>709.8</v>
      </c>
      <c r="G688" s="33"/>
      <c r="H688" s="30">
        <v>67.8</v>
      </c>
      <c r="I688" s="34">
        <v>3.7827000000000002</v>
      </c>
      <c r="J688" s="35">
        <v>0.15887000000000001</v>
      </c>
      <c r="L688" s="30">
        <v>67.8</v>
      </c>
      <c r="M688" s="172">
        <v>5.91</v>
      </c>
      <c r="N688" s="173">
        <v>0.16921</v>
      </c>
      <c r="P688" s="30">
        <v>67.8</v>
      </c>
      <c r="Q688" s="172">
        <v>2.9550000000000001</v>
      </c>
      <c r="R688" s="173">
        <v>0.12411</v>
      </c>
      <c r="T688" s="30">
        <v>67.8</v>
      </c>
      <c r="U688" s="172">
        <v>338.40999999999798</v>
      </c>
      <c r="V688" s="173">
        <v>8.0570000000000199</v>
      </c>
      <c r="X688" s="30">
        <v>67.8</v>
      </c>
      <c r="Y688" s="34">
        <v>2.6383999999999999</v>
      </c>
      <c r="Z688" s="35">
        <v>0.11081000000000001</v>
      </c>
      <c r="AA688" s="36"/>
      <c r="AB688" s="30">
        <v>67.8</v>
      </c>
      <c r="AC688" s="44">
        <v>379.02</v>
      </c>
      <c r="AD688" s="35">
        <v>9.0239999999999991</v>
      </c>
      <c r="AE688" s="36"/>
      <c r="AF688" s="30">
        <v>67.8</v>
      </c>
      <c r="AG688" s="34">
        <v>2.6806999999999999</v>
      </c>
      <c r="AH688" s="35">
        <v>0.11259</v>
      </c>
      <c r="AI688" s="35"/>
      <c r="AJ688" s="35">
        <v>0.15096999999999999</v>
      </c>
      <c r="AK688" s="998">
        <v>17.2</v>
      </c>
      <c r="AM688" s="30">
        <v>67.8</v>
      </c>
      <c r="AN688" s="34">
        <v>1.2801</v>
      </c>
      <c r="AO688" s="35">
        <v>1.4337</v>
      </c>
      <c r="BX688" s="43"/>
      <c r="BY688" s="34"/>
      <c r="BZ688" s="59"/>
      <c r="CB688" s="43"/>
      <c r="CC688" s="34"/>
      <c r="CD688" s="59"/>
      <c r="CL688" s="43"/>
      <c r="CM688" s="34"/>
      <c r="CN688" s="59"/>
      <c r="CP688" s="43"/>
      <c r="CQ688" s="34"/>
      <c r="CR688" s="59"/>
      <c r="CT688" s="43"/>
      <c r="CU688" s="34"/>
      <c r="CV688" s="59"/>
    </row>
    <row r="689" spans="4:100">
      <c r="D689" s="30">
        <v>67.900000000000006</v>
      </c>
      <c r="E689" s="31">
        <v>0.70960000000000001</v>
      </c>
      <c r="F689" s="32">
        <v>709.4</v>
      </c>
      <c r="G689" s="33"/>
      <c r="H689" s="30">
        <v>67.900000000000006</v>
      </c>
      <c r="I689" s="34">
        <v>3.7827000000000002</v>
      </c>
      <c r="J689" s="35">
        <v>0.15887000000000001</v>
      </c>
      <c r="L689" s="30">
        <v>67.900000000000006</v>
      </c>
      <c r="M689" s="172">
        <v>5.907</v>
      </c>
      <c r="N689" s="173">
        <v>0.16929</v>
      </c>
      <c r="P689" s="30">
        <v>67.900000000000006</v>
      </c>
      <c r="Q689" s="172">
        <v>2.9535</v>
      </c>
      <c r="R689" s="173">
        <v>0.12404999999999999</v>
      </c>
      <c r="T689" s="30">
        <v>67.900000000000006</v>
      </c>
      <c r="U689" s="172">
        <v>338.57999999999799</v>
      </c>
      <c r="V689" s="173">
        <v>8.0610000000000195</v>
      </c>
      <c r="X689" s="30">
        <v>67.900000000000006</v>
      </c>
      <c r="Y689" s="34">
        <v>2.637</v>
      </c>
      <c r="Z689" s="35">
        <v>0.11076</v>
      </c>
      <c r="AA689" s="36"/>
      <c r="AB689" s="30">
        <v>67.900000000000006</v>
      </c>
      <c r="AC689" s="44">
        <v>379.21</v>
      </c>
      <c r="AD689" s="35">
        <v>9.0289999999999999</v>
      </c>
      <c r="AE689" s="36"/>
      <c r="AF689" s="30">
        <v>67.900000000000006</v>
      </c>
      <c r="AG689" s="34">
        <v>2.6793999999999998</v>
      </c>
      <c r="AH689" s="35">
        <v>0.11253000000000001</v>
      </c>
      <c r="AI689" s="35"/>
      <c r="AJ689" s="35">
        <v>0.15107000000000001</v>
      </c>
      <c r="AK689" s="998">
        <v>17.100000000000001</v>
      </c>
      <c r="AM689" s="30">
        <v>67.900000000000006</v>
      </c>
      <c r="AN689" s="34">
        <v>1.2806999999999999</v>
      </c>
      <c r="AO689" s="35">
        <v>1.4343999999999999</v>
      </c>
      <c r="BX689" s="43"/>
      <c r="BY689" s="34"/>
      <c r="BZ689" s="59"/>
      <c r="CB689" s="43"/>
      <c r="CC689" s="34"/>
      <c r="CD689" s="59"/>
      <c r="CL689" s="43"/>
      <c r="CM689" s="34"/>
      <c r="CN689" s="59"/>
      <c r="CP689" s="43"/>
      <c r="CQ689" s="34"/>
      <c r="CR689" s="59"/>
      <c r="CT689" s="43"/>
      <c r="CU689" s="34"/>
      <c r="CV689" s="59"/>
    </row>
    <row r="690" spans="4:100">
      <c r="D690" s="30">
        <v>68</v>
      </c>
      <c r="E690" s="31">
        <v>0.70930000000000004</v>
      </c>
      <c r="F690" s="32">
        <v>709.1</v>
      </c>
      <c r="G690" s="33"/>
      <c r="H690" s="30">
        <v>68</v>
      </c>
      <c r="I690" s="34">
        <v>3.7827000000000002</v>
      </c>
      <c r="J690" s="35">
        <v>0.15887000000000001</v>
      </c>
      <c r="L690" s="30">
        <v>68</v>
      </c>
      <c r="M690" s="172">
        <v>5.9039999999999999</v>
      </c>
      <c r="N690" s="173">
        <v>0.16938</v>
      </c>
      <c r="P690" s="30">
        <v>68</v>
      </c>
      <c r="Q690" s="172">
        <v>2.952</v>
      </c>
      <c r="R690" s="173">
        <v>0.12398000000000001</v>
      </c>
      <c r="T690" s="30">
        <v>68</v>
      </c>
      <c r="U690" s="172">
        <v>338.74999999999801</v>
      </c>
      <c r="V690" s="173">
        <v>8.0660000000000007</v>
      </c>
      <c r="X690" s="30">
        <v>68</v>
      </c>
      <c r="Y690" s="34">
        <v>2.6356999999999999</v>
      </c>
      <c r="Z690" s="35">
        <v>0.11070000000000001</v>
      </c>
      <c r="AA690" s="36"/>
      <c r="AB690" s="30">
        <v>68</v>
      </c>
      <c r="AC690" s="44">
        <v>379.4</v>
      </c>
      <c r="AD690" s="35">
        <v>9.0329999999999995</v>
      </c>
      <c r="AE690" s="36"/>
      <c r="AF690" s="30">
        <v>68</v>
      </c>
      <c r="AG690" s="34">
        <v>2.6779999999999999</v>
      </c>
      <c r="AH690" s="35">
        <v>0.11248</v>
      </c>
      <c r="AI690" s="35"/>
      <c r="AJ690" s="35">
        <v>0.15117</v>
      </c>
      <c r="AK690" s="998">
        <v>17</v>
      </c>
      <c r="AM690" s="30">
        <v>68</v>
      </c>
      <c r="AN690" s="34">
        <v>1.2814000000000001</v>
      </c>
      <c r="AO690" s="35">
        <v>1.4352</v>
      </c>
      <c r="BX690" s="43"/>
      <c r="BY690" s="34"/>
      <c r="BZ690" s="59"/>
      <c r="CB690" s="43"/>
      <c r="CC690" s="34"/>
      <c r="CD690" s="59"/>
      <c r="CL690" s="43"/>
      <c r="CM690" s="34"/>
      <c r="CN690" s="59"/>
      <c r="CP690" s="43"/>
      <c r="CQ690" s="34"/>
      <c r="CR690" s="59"/>
      <c r="CT690" s="43"/>
      <c r="CU690" s="34"/>
      <c r="CV690" s="59"/>
    </row>
    <row r="691" spans="4:100">
      <c r="D691" s="30">
        <v>68.099999999999994</v>
      </c>
      <c r="E691" s="31">
        <v>0.70889999999999997</v>
      </c>
      <c r="F691" s="32">
        <v>708.7</v>
      </c>
      <c r="G691" s="33"/>
      <c r="H691" s="30">
        <v>68.099999999999994</v>
      </c>
      <c r="I691" s="34">
        <v>3.7827000000000002</v>
      </c>
      <c r="J691" s="35">
        <v>0.15887000000000001</v>
      </c>
      <c r="L691" s="30">
        <v>68.099999999999994</v>
      </c>
      <c r="M691" s="172">
        <v>5.9009999999999998</v>
      </c>
      <c r="N691" s="173">
        <v>0.16946</v>
      </c>
      <c r="P691" s="30">
        <v>68.099999999999994</v>
      </c>
      <c r="Q691" s="172">
        <v>2.9504999999999999</v>
      </c>
      <c r="R691" s="173">
        <v>0.12392</v>
      </c>
      <c r="T691" s="30">
        <v>68.099999999999994</v>
      </c>
      <c r="U691" s="172">
        <v>338.91999999999803</v>
      </c>
      <c r="V691" s="173">
        <v>8.07</v>
      </c>
      <c r="X691" s="30">
        <v>68.099999999999994</v>
      </c>
      <c r="Y691" s="34">
        <v>2.6343999999999999</v>
      </c>
      <c r="Z691" s="35">
        <v>0.11064</v>
      </c>
      <c r="AA691" s="36"/>
      <c r="AB691" s="30">
        <v>68.099999999999994</v>
      </c>
      <c r="AC691" s="44">
        <v>379.59</v>
      </c>
      <c r="AD691" s="35">
        <v>9.0380000000000003</v>
      </c>
      <c r="AE691" s="36"/>
      <c r="AF691" s="30">
        <v>68.099999999999994</v>
      </c>
      <c r="AG691" s="34">
        <v>2.6766999999999999</v>
      </c>
      <c r="AH691" s="35">
        <v>0.11242000000000001</v>
      </c>
      <c r="AI691" s="35"/>
      <c r="AJ691" s="35">
        <v>0.15126999999999999</v>
      </c>
      <c r="AK691" s="998">
        <v>16.899999999999999</v>
      </c>
      <c r="AM691" s="30">
        <v>68.099999999999994</v>
      </c>
      <c r="AN691" s="34">
        <v>1.282</v>
      </c>
      <c r="AO691" s="35">
        <v>1.4359</v>
      </c>
      <c r="BX691" s="43"/>
      <c r="BY691" s="34"/>
      <c r="BZ691" s="59"/>
      <c r="CB691" s="43"/>
      <c r="CC691" s="34"/>
      <c r="CD691" s="59"/>
      <c r="CL691" s="43"/>
      <c r="CM691" s="34"/>
      <c r="CN691" s="59"/>
      <c r="CP691" s="43"/>
      <c r="CQ691" s="34"/>
      <c r="CR691" s="59"/>
      <c r="CT691" s="43"/>
      <c r="CU691" s="34"/>
      <c r="CV691" s="59"/>
    </row>
    <row r="692" spans="4:100">
      <c r="D692" s="30">
        <v>68.2</v>
      </c>
      <c r="E692" s="31">
        <v>0.70860000000000001</v>
      </c>
      <c r="F692" s="32">
        <v>708.4</v>
      </c>
      <c r="G692" s="33"/>
      <c r="H692" s="30">
        <v>68.2</v>
      </c>
      <c r="I692" s="34">
        <v>3.7827000000000002</v>
      </c>
      <c r="J692" s="35">
        <v>0.15887000000000001</v>
      </c>
      <c r="L692" s="30">
        <v>68.2</v>
      </c>
      <c r="M692" s="172">
        <v>5.8979999999999997</v>
      </c>
      <c r="N692" s="173">
        <v>0.16955000000000001</v>
      </c>
      <c r="P692" s="30">
        <v>68.2</v>
      </c>
      <c r="Q692" s="172">
        <v>2.9489999999999998</v>
      </c>
      <c r="R692" s="173">
        <v>0.12386</v>
      </c>
      <c r="T692" s="30">
        <v>68.2</v>
      </c>
      <c r="U692" s="172">
        <v>339.08999999999799</v>
      </c>
      <c r="V692" s="173">
        <v>8.0739999999999998</v>
      </c>
      <c r="X692" s="30">
        <v>68.2</v>
      </c>
      <c r="Y692" s="34">
        <v>2.6331000000000002</v>
      </c>
      <c r="Z692" s="35">
        <v>0.11058999999999999</v>
      </c>
      <c r="AA692" s="36"/>
      <c r="AB692" s="30">
        <v>68.2</v>
      </c>
      <c r="AC692" s="44">
        <v>379.78</v>
      </c>
      <c r="AD692" s="35">
        <v>9.0419999999999998</v>
      </c>
      <c r="AE692" s="36"/>
      <c r="AF692" s="30">
        <v>68.2</v>
      </c>
      <c r="AG692" s="34">
        <v>2.6753</v>
      </c>
      <c r="AH692" s="35">
        <v>0.11236</v>
      </c>
      <c r="AI692" s="35"/>
      <c r="AJ692" s="35">
        <v>0.15137999999999999</v>
      </c>
      <c r="AK692" s="998">
        <v>16.8</v>
      </c>
      <c r="AM692" s="30">
        <v>68.2</v>
      </c>
      <c r="AN692" s="34">
        <v>1.2827</v>
      </c>
      <c r="AO692" s="35">
        <v>1.4366000000000001</v>
      </c>
      <c r="BX692" s="43"/>
      <c r="BY692" s="34"/>
      <c r="BZ692" s="59"/>
      <c r="CB692" s="43"/>
      <c r="CC692" s="34"/>
      <c r="CD692" s="59"/>
      <c r="CL692" s="43"/>
      <c r="CM692" s="34"/>
      <c r="CN692" s="59"/>
      <c r="CP692" s="43"/>
      <c r="CQ692" s="34"/>
      <c r="CR692" s="59"/>
      <c r="CT692" s="43"/>
      <c r="CU692" s="34"/>
      <c r="CV692" s="59"/>
    </row>
    <row r="693" spans="4:100">
      <c r="D693" s="30">
        <v>68.3</v>
      </c>
      <c r="E693" s="31">
        <v>0.70820000000000005</v>
      </c>
      <c r="F693" s="32">
        <v>708</v>
      </c>
      <c r="G693" s="33"/>
      <c r="H693" s="30">
        <v>68.3</v>
      </c>
      <c r="I693" s="34">
        <v>3.7827000000000002</v>
      </c>
      <c r="J693" s="35">
        <v>0.15887000000000001</v>
      </c>
      <c r="L693" s="30">
        <v>68.3</v>
      </c>
      <c r="M693" s="172">
        <v>5.8949999999999996</v>
      </c>
      <c r="N693" s="173">
        <v>0.16963</v>
      </c>
      <c r="P693" s="30">
        <v>68.3</v>
      </c>
      <c r="Q693" s="172">
        <v>2.9476</v>
      </c>
      <c r="R693" s="173">
        <v>0.12379999999999999</v>
      </c>
      <c r="T693" s="30">
        <v>68.3</v>
      </c>
      <c r="U693" s="172">
        <v>339.259999999998</v>
      </c>
      <c r="V693" s="173">
        <v>8.0779999999999994</v>
      </c>
      <c r="X693" s="30">
        <v>68.3</v>
      </c>
      <c r="Y693" s="34">
        <v>2.6318000000000001</v>
      </c>
      <c r="Z693" s="35">
        <v>0.11053</v>
      </c>
      <c r="AA693" s="36"/>
      <c r="AB693" s="30">
        <v>68.3</v>
      </c>
      <c r="AC693" s="44">
        <v>379.97</v>
      </c>
      <c r="AD693" s="35">
        <v>9.0470000000000006</v>
      </c>
      <c r="AE693" s="36"/>
      <c r="AF693" s="30">
        <v>68.3</v>
      </c>
      <c r="AG693" s="34">
        <v>2.6739999999999999</v>
      </c>
      <c r="AH693" s="35">
        <v>0.11230999999999999</v>
      </c>
      <c r="AI693" s="35"/>
      <c r="AJ693" s="35">
        <v>0.15148</v>
      </c>
      <c r="AK693" s="998">
        <v>16.7</v>
      </c>
      <c r="AM693" s="30">
        <v>68.3</v>
      </c>
      <c r="AN693" s="34">
        <v>1.2833000000000001</v>
      </c>
      <c r="AO693" s="35">
        <v>1.4373</v>
      </c>
      <c r="BX693" s="43"/>
      <c r="BY693" s="34"/>
      <c r="BZ693" s="59"/>
      <c r="CB693" s="43"/>
      <c r="CC693" s="34"/>
      <c r="CD693" s="59"/>
      <c r="CL693" s="43"/>
      <c r="CM693" s="34"/>
      <c r="CN693" s="59"/>
      <c r="CP693" s="43"/>
      <c r="CQ693" s="34"/>
      <c r="CR693" s="59"/>
      <c r="CT693" s="43"/>
      <c r="CU693" s="34"/>
      <c r="CV693" s="59"/>
    </row>
    <row r="694" spans="4:100">
      <c r="D694" s="30">
        <v>68.400000000000006</v>
      </c>
      <c r="E694" s="31">
        <v>0.70789999999999997</v>
      </c>
      <c r="F694" s="32">
        <v>707.7</v>
      </c>
      <c r="G694" s="33"/>
      <c r="H694" s="30">
        <v>68.400000000000006</v>
      </c>
      <c r="I694" s="34">
        <v>3.7827000000000002</v>
      </c>
      <c r="J694" s="35">
        <v>0.15887000000000001</v>
      </c>
      <c r="L694" s="30">
        <v>68.400000000000006</v>
      </c>
      <c r="M694" s="172">
        <v>5.8920000000000003</v>
      </c>
      <c r="N694" s="173">
        <v>0.16972000000000001</v>
      </c>
      <c r="P694" s="30">
        <v>68.400000000000006</v>
      </c>
      <c r="Q694" s="172">
        <v>2.9460999999999999</v>
      </c>
      <c r="R694" s="173">
        <v>0.12374</v>
      </c>
      <c r="T694" s="30">
        <v>68.400000000000006</v>
      </c>
      <c r="U694" s="172">
        <v>339.42999999999802</v>
      </c>
      <c r="V694" s="173">
        <v>8.0820000000000007</v>
      </c>
      <c r="X694" s="30">
        <v>68.400000000000006</v>
      </c>
      <c r="Y694" s="34">
        <v>2.6303999999999998</v>
      </c>
      <c r="Z694" s="35">
        <v>0.11047999999999999</v>
      </c>
      <c r="AA694" s="36"/>
      <c r="AB694" s="30">
        <v>68.400000000000006</v>
      </c>
      <c r="AC694" s="44">
        <v>380.16</v>
      </c>
      <c r="AD694" s="35">
        <v>9.0519999999999996</v>
      </c>
      <c r="AE694" s="36"/>
      <c r="AF694" s="30">
        <v>68.400000000000006</v>
      </c>
      <c r="AG694" s="34">
        <v>2.6726999999999999</v>
      </c>
      <c r="AH694" s="35">
        <v>0.11225</v>
      </c>
      <c r="AI694" s="35"/>
      <c r="AJ694" s="35">
        <v>0.15157999999999999</v>
      </c>
      <c r="AK694" s="998">
        <v>16.600000000000001</v>
      </c>
      <c r="AM694" s="30">
        <v>68.400000000000006</v>
      </c>
      <c r="AN694" s="34">
        <v>1.284</v>
      </c>
      <c r="AO694" s="35">
        <v>1.4379999999999999</v>
      </c>
      <c r="BX694" s="43"/>
      <c r="BY694" s="34"/>
      <c r="BZ694" s="59"/>
      <c r="CB694" s="43"/>
      <c r="CC694" s="34"/>
      <c r="CD694" s="59"/>
      <c r="CL694" s="43"/>
      <c r="CM694" s="34"/>
      <c r="CN694" s="59"/>
      <c r="CP694" s="43"/>
      <c r="CQ694" s="34"/>
      <c r="CR694" s="59"/>
      <c r="CT694" s="43"/>
      <c r="CU694" s="34"/>
      <c r="CV694" s="59"/>
    </row>
    <row r="695" spans="4:100">
      <c r="D695" s="30">
        <v>68.5</v>
      </c>
      <c r="E695" s="31">
        <v>0.70750000000000002</v>
      </c>
      <c r="F695" s="32">
        <v>707.3</v>
      </c>
      <c r="G695" s="33"/>
      <c r="H695" s="30">
        <v>68.5</v>
      </c>
      <c r="I695" s="34">
        <v>3.7827000000000002</v>
      </c>
      <c r="J695" s="35">
        <v>0.15887000000000001</v>
      </c>
      <c r="L695" s="30">
        <v>68.5</v>
      </c>
      <c r="M695" s="172">
        <v>5.8890000000000002</v>
      </c>
      <c r="N695" s="173">
        <v>0.16980000000000001</v>
      </c>
      <c r="P695" s="30">
        <v>68.5</v>
      </c>
      <c r="Q695" s="172">
        <v>2.9445999999999999</v>
      </c>
      <c r="R695" s="173">
        <v>0.12367</v>
      </c>
      <c r="T695" s="30">
        <v>68.5</v>
      </c>
      <c r="U695" s="172">
        <v>339.59999999999798</v>
      </c>
      <c r="V695" s="173">
        <v>8.0860000000000003</v>
      </c>
      <c r="X695" s="30">
        <v>68.5</v>
      </c>
      <c r="Y695" s="34">
        <v>2.6291000000000002</v>
      </c>
      <c r="Z695" s="35">
        <v>0.11042</v>
      </c>
      <c r="AA695" s="36"/>
      <c r="AB695" s="30">
        <v>68.5</v>
      </c>
      <c r="AC695" s="44">
        <v>380.35</v>
      </c>
      <c r="AD695" s="35">
        <v>9.0559999999999992</v>
      </c>
      <c r="AE695" s="36"/>
      <c r="AF695" s="30">
        <v>68.5</v>
      </c>
      <c r="AG695" s="34">
        <v>2.6713</v>
      </c>
      <c r="AH695" s="35">
        <v>0.11219999999999999</v>
      </c>
      <c r="AI695" s="35"/>
      <c r="AJ695" s="35">
        <v>0.15168000000000001</v>
      </c>
      <c r="AK695" s="998">
        <v>16.5</v>
      </c>
      <c r="AM695" s="30">
        <v>68.5</v>
      </c>
      <c r="AN695" s="34">
        <v>1.2846</v>
      </c>
      <c r="AO695" s="35">
        <v>1.4387000000000001</v>
      </c>
      <c r="BX695" s="43"/>
      <c r="BY695" s="34"/>
      <c r="BZ695" s="59"/>
      <c r="CB695" s="43"/>
      <c r="CC695" s="34"/>
      <c r="CD695" s="59"/>
      <c r="CL695" s="43"/>
      <c r="CM695" s="34"/>
      <c r="CN695" s="59"/>
      <c r="CP695" s="43"/>
      <c r="CQ695" s="34"/>
      <c r="CR695" s="59"/>
      <c r="CT695" s="43"/>
      <c r="CU695" s="34"/>
      <c r="CV695" s="59"/>
    </row>
    <row r="696" spans="4:100">
      <c r="D696" s="30">
        <v>68.599999999999994</v>
      </c>
      <c r="E696" s="31">
        <v>0.70709999999999995</v>
      </c>
      <c r="F696" s="32">
        <v>707</v>
      </c>
      <c r="G696" s="33"/>
      <c r="H696" s="30">
        <v>68.599999999999994</v>
      </c>
      <c r="I696" s="34">
        <v>3.7826</v>
      </c>
      <c r="J696" s="35">
        <v>0.15887000000000001</v>
      </c>
      <c r="L696" s="30">
        <v>68.599999999999994</v>
      </c>
      <c r="M696" s="172">
        <v>5.8860000000000001</v>
      </c>
      <c r="N696" s="173">
        <v>0.16989000000000001</v>
      </c>
      <c r="P696" s="30">
        <v>68.599999999999994</v>
      </c>
      <c r="Q696" s="172">
        <v>2.9430999999999998</v>
      </c>
      <c r="R696" s="173">
        <v>0.12361</v>
      </c>
      <c r="T696" s="30">
        <v>68.599999999999994</v>
      </c>
      <c r="U696" s="172">
        <v>339.76999999999799</v>
      </c>
      <c r="V696" s="173">
        <v>8.09</v>
      </c>
      <c r="X696" s="30">
        <v>68.599999999999994</v>
      </c>
      <c r="Y696" s="34">
        <v>2.6278000000000001</v>
      </c>
      <c r="Z696" s="35">
        <v>0.11037</v>
      </c>
      <c r="AA696" s="36"/>
      <c r="AB696" s="30">
        <v>68.599999999999994</v>
      </c>
      <c r="AC696" s="44">
        <v>380.55</v>
      </c>
      <c r="AD696" s="35">
        <v>9.0609999999999999</v>
      </c>
      <c r="AE696" s="36"/>
      <c r="AF696" s="30">
        <v>68.599999999999994</v>
      </c>
      <c r="AG696" s="34">
        <v>2.67</v>
      </c>
      <c r="AH696" s="35">
        <v>0.11214</v>
      </c>
      <c r="AI696" s="35"/>
      <c r="AJ696" s="35">
        <v>0.15179000000000001</v>
      </c>
      <c r="AK696" s="998">
        <v>16.399999999999999</v>
      </c>
      <c r="AM696" s="30">
        <v>68.599999999999994</v>
      </c>
      <c r="AN696" s="34">
        <v>1.2851999999999999</v>
      </c>
      <c r="AO696" s="35">
        <v>1.4395</v>
      </c>
      <c r="BX696" s="43"/>
      <c r="BY696" s="34"/>
      <c r="BZ696" s="59"/>
      <c r="CB696" s="43"/>
      <c r="CC696" s="34"/>
      <c r="CD696" s="59"/>
      <c r="CL696" s="43"/>
      <c r="CM696" s="34"/>
      <c r="CN696" s="59"/>
      <c r="CP696" s="43"/>
      <c r="CQ696" s="34"/>
      <c r="CR696" s="59"/>
      <c r="CT696" s="43"/>
      <c r="CU696" s="34"/>
      <c r="CV696" s="59"/>
    </row>
    <row r="697" spans="4:100">
      <c r="D697" s="30">
        <v>68.7</v>
      </c>
      <c r="E697" s="31">
        <v>0.70679999999999998</v>
      </c>
      <c r="F697" s="32">
        <v>706.6</v>
      </c>
      <c r="G697" s="33"/>
      <c r="H697" s="30">
        <v>68.7</v>
      </c>
      <c r="I697" s="34">
        <v>3.7826</v>
      </c>
      <c r="J697" s="35">
        <v>0.15887000000000001</v>
      </c>
      <c r="L697" s="30">
        <v>68.7</v>
      </c>
      <c r="M697" s="172">
        <v>5.883</v>
      </c>
      <c r="N697" s="173">
        <v>0.16997000000000001</v>
      </c>
      <c r="P697" s="30">
        <v>68.7</v>
      </c>
      <c r="Q697" s="172">
        <v>2.9417</v>
      </c>
      <c r="R697" s="173">
        <v>0.12354999999999999</v>
      </c>
      <c r="T697" s="30">
        <v>68.7</v>
      </c>
      <c r="U697" s="172">
        <v>339.93999999999699</v>
      </c>
      <c r="V697" s="173">
        <v>8.0939999999999994</v>
      </c>
      <c r="X697" s="30">
        <v>68.7</v>
      </c>
      <c r="Y697" s="34">
        <v>2.6265000000000001</v>
      </c>
      <c r="Z697" s="35">
        <v>0.11031000000000001</v>
      </c>
      <c r="AA697" s="36"/>
      <c r="AB697" s="30">
        <v>68.7</v>
      </c>
      <c r="AC697" s="44">
        <v>380.74</v>
      </c>
      <c r="AD697" s="35">
        <v>9.0649999999999995</v>
      </c>
      <c r="AE697" s="36"/>
      <c r="AF697" s="30">
        <v>68.7</v>
      </c>
      <c r="AG697" s="34">
        <v>2.6686000000000001</v>
      </c>
      <c r="AH697" s="35">
        <v>0.11208</v>
      </c>
      <c r="AI697" s="35"/>
      <c r="AJ697" s="35">
        <v>0.15189</v>
      </c>
      <c r="AK697" s="998">
        <v>16.3</v>
      </c>
      <c r="AM697" s="30">
        <v>68.7</v>
      </c>
      <c r="AN697" s="34">
        <v>1.2859</v>
      </c>
      <c r="AO697" s="35">
        <v>1.4401999999999999</v>
      </c>
      <c r="BX697" s="43"/>
      <c r="BY697" s="34"/>
      <c r="BZ697" s="59"/>
      <c r="CB697" s="43"/>
      <c r="CC697" s="34"/>
      <c r="CD697" s="59"/>
      <c r="CL697" s="43"/>
      <c r="CM697" s="34"/>
      <c r="CN697" s="59"/>
      <c r="CP697" s="43"/>
      <c r="CQ697" s="34"/>
      <c r="CR697" s="59"/>
      <c r="CT697" s="43"/>
      <c r="CU697" s="34"/>
      <c r="CV697" s="59"/>
    </row>
    <row r="698" spans="4:100">
      <c r="D698" s="30">
        <v>68.8</v>
      </c>
      <c r="E698" s="31">
        <v>0.70640000000000003</v>
      </c>
      <c r="F698" s="32">
        <v>706.3</v>
      </c>
      <c r="G698" s="33"/>
      <c r="H698" s="30">
        <v>68.8</v>
      </c>
      <c r="I698" s="34">
        <v>3.7826</v>
      </c>
      <c r="J698" s="35">
        <v>0.15887000000000001</v>
      </c>
      <c r="L698" s="30">
        <v>68.8</v>
      </c>
      <c r="M698" s="172">
        <v>5.88</v>
      </c>
      <c r="N698" s="173">
        <v>0.17005999999999999</v>
      </c>
      <c r="P698" s="30">
        <v>68.8</v>
      </c>
      <c r="Q698" s="172">
        <v>2.9401999999999999</v>
      </c>
      <c r="R698" s="173">
        <v>0.12349</v>
      </c>
      <c r="T698" s="30">
        <v>68.8</v>
      </c>
      <c r="U698" s="172">
        <v>340.109999999997</v>
      </c>
      <c r="V698" s="173">
        <v>8.0980000000000008</v>
      </c>
      <c r="X698" s="30">
        <v>68.8</v>
      </c>
      <c r="Y698" s="34">
        <v>2.6252</v>
      </c>
      <c r="Z698" s="35">
        <v>0.11026</v>
      </c>
      <c r="AA698" s="36"/>
      <c r="AB698" s="30">
        <v>68.8</v>
      </c>
      <c r="AC698" s="44">
        <v>380.93</v>
      </c>
      <c r="AD698" s="35">
        <v>9.07</v>
      </c>
      <c r="AE698" s="36"/>
      <c r="AF698" s="30">
        <v>68.8</v>
      </c>
      <c r="AG698" s="34">
        <v>2.6673</v>
      </c>
      <c r="AH698" s="35">
        <v>0.11203</v>
      </c>
      <c r="AI698" s="35"/>
      <c r="AJ698" s="35">
        <v>0.15198999999999999</v>
      </c>
      <c r="AK698" s="998">
        <v>16.2</v>
      </c>
      <c r="AM698" s="30">
        <v>68.8</v>
      </c>
      <c r="AN698" s="34">
        <v>1.2865</v>
      </c>
      <c r="AO698" s="35">
        <v>1.4409000000000001</v>
      </c>
      <c r="BX698" s="43"/>
      <c r="BY698" s="34"/>
      <c r="BZ698" s="59"/>
      <c r="CB698" s="43"/>
      <c r="CC698" s="34"/>
      <c r="CD698" s="59"/>
      <c r="CL698" s="43"/>
      <c r="CM698" s="34"/>
      <c r="CN698" s="59"/>
      <c r="CP698" s="43"/>
      <c r="CQ698" s="34"/>
      <c r="CR698" s="59"/>
      <c r="CT698" s="43"/>
      <c r="CU698" s="34"/>
      <c r="CV698" s="59"/>
    </row>
    <row r="699" spans="4:100">
      <c r="D699" s="30">
        <v>68.900000000000006</v>
      </c>
      <c r="E699" s="31">
        <v>0.70609999999999995</v>
      </c>
      <c r="F699" s="32">
        <v>705.9</v>
      </c>
      <c r="G699" s="33"/>
      <c r="H699" s="30">
        <v>68.900000000000006</v>
      </c>
      <c r="I699" s="34">
        <v>3.7826</v>
      </c>
      <c r="J699" s="35">
        <v>0.15887000000000001</v>
      </c>
      <c r="L699" s="30">
        <v>68.900000000000006</v>
      </c>
      <c r="M699" s="172">
        <v>5.8769999999999998</v>
      </c>
      <c r="N699" s="173">
        <v>0.17014000000000001</v>
      </c>
      <c r="P699" s="30">
        <v>68.900000000000006</v>
      </c>
      <c r="Q699" s="172">
        <v>2.9386999999999999</v>
      </c>
      <c r="R699" s="173">
        <v>0.12343</v>
      </c>
      <c r="T699" s="30">
        <v>68.900000000000006</v>
      </c>
      <c r="U699" s="172">
        <v>340.27999999999702</v>
      </c>
      <c r="V699" s="173">
        <v>8.1020000000000003</v>
      </c>
      <c r="X699" s="30">
        <v>68.900000000000006</v>
      </c>
      <c r="Y699" s="34">
        <v>2.6238999999999999</v>
      </c>
      <c r="Z699" s="35">
        <v>0.11020000000000001</v>
      </c>
      <c r="AA699" s="36"/>
      <c r="AB699" s="30">
        <v>68.900000000000006</v>
      </c>
      <c r="AC699" s="44">
        <v>381.12</v>
      </c>
      <c r="AD699" s="35">
        <v>9.0739999999999998</v>
      </c>
      <c r="AE699" s="36"/>
      <c r="AF699" s="30">
        <v>68.900000000000006</v>
      </c>
      <c r="AG699" s="34">
        <v>2.6659999999999999</v>
      </c>
      <c r="AH699" s="35">
        <v>0.11197</v>
      </c>
      <c r="AI699" s="35"/>
      <c r="AJ699" s="35">
        <v>0.15209</v>
      </c>
      <c r="AK699" s="998">
        <v>16.100000000000001</v>
      </c>
      <c r="AM699" s="30">
        <v>68.900000000000006</v>
      </c>
      <c r="AN699" s="34">
        <v>1.2871999999999999</v>
      </c>
      <c r="AO699" s="35">
        <v>1.4416</v>
      </c>
      <c r="BX699" s="43"/>
      <c r="BY699" s="34"/>
      <c r="BZ699" s="59"/>
      <c r="CB699" s="43"/>
      <c r="CC699" s="34"/>
      <c r="CD699" s="59"/>
      <c r="CL699" s="43"/>
      <c r="CM699" s="34"/>
      <c r="CN699" s="59"/>
      <c r="CP699" s="43"/>
      <c r="CQ699" s="34"/>
      <c r="CR699" s="59"/>
      <c r="CT699" s="43"/>
      <c r="CU699" s="34"/>
      <c r="CV699" s="59"/>
    </row>
    <row r="700" spans="4:100">
      <c r="D700" s="30">
        <v>69</v>
      </c>
      <c r="E700" s="31">
        <v>0.70569999999999999</v>
      </c>
      <c r="F700" s="32">
        <v>705.6</v>
      </c>
      <c r="G700" s="33"/>
      <c r="H700" s="30">
        <v>69</v>
      </c>
      <c r="I700" s="34">
        <v>3.7826</v>
      </c>
      <c r="J700" s="35">
        <v>0.15887000000000001</v>
      </c>
      <c r="L700" s="30">
        <v>69</v>
      </c>
      <c r="M700" s="172">
        <v>5.875</v>
      </c>
      <c r="N700" s="173">
        <v>0.17022999999999999</v>
      </c>
      <c r="P700" s="30">
        <v>69</v>
      </c>
      <c r="Q700" s="172">
        <v>2.9373</v>
      </c>
      <c r="R700" s="173">
        <v>0.12336999999999999</v>
      </c>
      <c r="T700" s="30">
        <v>69</v>
      </c>
      <c r="U700" s="172">
        <v>340.44999999999698</v>
      </c>
      <c r="V700" s="173">
        <v>8.1059999999999999</v>
      </c>
      <c r="X700" s="30">
        <v>69</v>
      </c>
      <c r="Y700" s="34">
        <v>2.6225999999999998</v>
      </c>
      <c r="Z700" s="35">
        <v>0.11015</v>
      </c>
      <c r="AA700" s="36"/>
      <c r="AB700" s="30">
        <v>69</v>
      </c>
      <c r="AC700" s="44">
        <v>381.31</v>
      </c>
      <c r="AD700" s="35">
        <v>9.0790000000000006</v>
      </c>
      <c r="AE700" s="36"/>
      <c r="AF700" s="30">
        <v>69</v>
      </c>
      <c r="AG700" s="34">
        <v>2.6646000000000001</v>
      </c>
      <c r="AH700" s="35">
        <v>0.11191</v>
      </c>
      <c r="AI700" s="35"/>
      <c r="AJ700" s="35">
        <v>0.1522</v>
      </c>
      <c r="AK700" s="998">
        <v>16</v>
      </c>
      <c r="AM700" s="30">
        <v>69</v>
      </c>
      <c r="AN700" s="34">
        <v>1.2878000000000001</v>
      </c>
      <c r="AO700" s="35">
        <v>1.4422999999999999</v>
      </c>
      <c r="BX700" s="43"/>
      <c r="BY700" s="34"/>
      <c r="BZ700" s="59"/>
      <c r="CB700" s="43"/>
      <c r="CC700" s="34"/>
      <c r="CD700" s="59"/>
      <c r="CL700" s="43"/>
      <c r="CM700" s="34"/>
      <c r="CN700" s="59"/>
      <c r="CP700" s="43"/>
      <c r="CQ700" s="34"/>
      <c r="CR700" s="59"/>
      <c r="CT700" s="43"/>
      <c r="CU700" s="34"/>
      <c r="CV700" s="59"/>
    </row>
    <row r="701" spans="4:100">
      <c r="D701" s="30">
        <v>69.099999999999994</v>
      </c>
      <c r="E701" s="31">
        <v>0.70540000000000003</v>
      </c>
      <c r="F701" s="32">
        <v>705.2</v>
      </c>
      <c r="G701" s="33"/>
      <c r="H701" s="30">
        <v>69.099999999999994</v>
      </c>
      <c r="I701" s="34">
        <v>3.7826</v>
      </c>
      <c r="J701" s="35">
        <v>0.15887000000000001</v>
      </c>
      <c r="L701" s="30">
        <v>69.099999999999994</v>
      </c>
      <c r="M701" s="172">
        <v>5.8719999999999999</v>
      </c>
      <c r="N701" s="173">
        <v>0.17030999999999999</v>
      </c>
      <c r="P701" s="30">
        <v>69.099999999999994</v>
      </c>
      <c r="Q701" s="172">
        <v>2.9358</v>
      </c>
      <c r="R701" s="173">
        <v>0.12330000000000001</v>
      </c>
      <c r="T701" s="30">
        <v>69.099999999999994</v>
      </c>
      <c r="U701" s="172">
        <v>340.61999999999699</v>
      </c>
      <c r="V701" s="173">
        <v>8.11</v>
      </c>
      <c r="X701" s="30">
        <v>69.099999999999994</v>
      </c>
      <c r="Y701" s="34">
        <v>2.6212</v>
      </c>
      <c r="Z701" s="35">
        <v>0.11008999999999999</v>
      </c>
      <c r="AA701" s="36"/>
      <c r="AB701" s="30">
        <v>69.099999999999994</v>
      </c>
      <c r="AC701" s="44">
        <v>381.5</v>
      </c>
      <c r="AD701" s="35">
        <v>9.0830000000000002</v>
      </c>
      <c r="AE701" s="36"/>
      <c r="AF701" s="30">
        <v>69.099999999999994</v>
      </c>
      <c r="AG701" s="34">
        <v>2.6633</v>
      </c>
      <c r="AH701" s="35">
        <v>0.11186</v>
      </c>
      <c r="AI701" s="35"/>
      <c r="AJ701" s="35">
        <v>0.15229999999999999</v>
      </c>
      <c r="AK701" s="998">
        <v>15.9</v>
      </c>
      <c r="AM701" s="30">
        <v>69.099999999999994</v>
      </c>
      <c r="AN701" s="34">
        <v>1.2885</v>
      </c>
      <c r="AO701" s="35">
        <v>1.4431</v>
      </c>
      <c r="BX701" s="43"/>
      <c r="BY701" s="34"/>
      <c r="BZ701" s="59"/>
      <c r="CB701" s="43"/>
      <c r="CC701" s="34"/>
      <c r="CD701" s="59"/>
      <c r="CL701" s="43"/>
      <c r="CM701" s="34"/>
      <c r="CN701" s="59"/>
      <c r="CP701" s="43"/>
      <c r="CQ701" s="34"/>
      <c r="CR701" s="59"/>
      <c r="CT701" s="43"/>
      <c r="CU701" s="34"/>
      <c r="CV701" s="59"/>
    </row>
    <row r="702" spans="4:100">
      <c r="D702" s="30">
        <v>69.2</v>
      </c>
      <c r="E702" s="31">
        <v>0.70499999999999996</v>
      </c>
      <c r="F702" s="32">
        <v>704.9</v>
      </c>
      <c r="G702" s="33"/>
      <c r="H702" s="30">
        <v>69.2</v>
      </c>
      <c r="I702" s="34">
        <v>3.7826</v>
      </c>
      <c r="J702" s="35">
        <v>0.15887000000000001</v>
      </c>
      <c r="L702" s="30">
        <v>69.2</v>
      </c>
      <c r="M702" s="172">
        <v>5.8689999999999998</v>
      </c>
      <c r="N702" s="173">
        <v>0.1704</v>
      </c>
      <c r="P702" s="30">
        <v>69.2</v>
      </c>
      <c r="Q702" s="172">
        <v>2.9342999999999999</v>
      </c>
      <c r="R702" s="173">
        <v>0.12324</v>
      </c>
      <c r="T702" s="30">
        <v>69.2</v>
      </c>
      <c r="U702" s="172">
        <v>340.78999999999701</v>
      </c>
      <c r="V702" s="173">
        <v>8.1140000000000008</v>
      </c>
      <c r="X702" s="30">
        <v>69.2</v>
      </c>
      <c r="Y702" s="34">
        <v>2.6198999999999999</v>
      </c>
      <c r="Z702" s="35">
        <v>0.11004</v>
      </c>
      <c r="AA702" s="36"/>
      <c r="AB702" s="30">
        <v>69.2</v>
      </c>
      <c r="AC702" s="44">
        <v>381.69</v>
      </c>
      <c r="AD702" s="35">
        <v>9.0879999999999992</v>
      </c>
      <c r="AE702" s="36"/>
      <c r="AF702" s="30">
        <v>69.2</v>
      </c>
      <c r="AG702" s="34">
        <v>2.6619999999999999</v>
      </c>
      <c r="AH702" s="35">
        <v>0.1118</v>
      </c>
      <c r="AI702" s="35"/>
      <c r="AJ702" s="35">
        <v>0.15240000000000001</v>
      </c>
      <c r="AK702" s="998">
        <v>15.8</v>
      </c>
      <c r="AM702" s="30">
        <v>69.2</v>
      </c>
      <c r="AN702" s="34">
        <v>1.2890999999999999</v>
      </c>
      <c r="AO702" s="35">
        <v>1.4438</v>
      </c>
      <c r="BX702" s="43"/>
      <c r="BY702" s="34"/>
      <c r="BZ702" s="59"/>
      <c r="CB702" s="43"/>
      <c r="CC702" s="34"/>
      <c r="CD702" s="59"/>
      <c r="CL702" s="43"/>
      <c r="CM702" s="34"/>
      <c r="CN702" s="59"/>
      <c r="CP702" s="43"/>
      <c r="CQ702" s="34"/>
      <c r="CR702" s="59"/>
      <c r="CT702" s="43"/>
      <c r="CU702" s="34"/>
      <c r="CV702" s="59"/>
    </row>
    <row r="703" spans="4:100">
      <c r="D703" s="30">
        <v>69.3</v>
      </c>
      <c r="E703" s="31">
        <v>0.70469999999999999</v>
      </c>
      <c r="F703" s="32">
        <v>704.5</v>
      </c>
      <c r="G703" s="33"/>
      <c r="H703" s="30">
        <v>69.3</v>
      </c>
      <c r="I703" s="34">
        <v>3.7826</v>
      </c>
      <c r="J703" s="35">
        <v>0.15887000000000001</v>
      </c>
      <c r="L703" s="30">
        <v>69.3</v>
      </c>
      <c r="M703" s="172">
        <v>5.8659999999999997</v>
      </c>
      <c r="N703" s="173">
        <v>0.17047999999999999</v>
      </c>
      <c r="P703" s="30">
        <v>69.3</v>
      </c>
      <c r="Q703" s="172">
        <v>2.9329000000000001</v>
      </c>
      <c r="R703" s="173">
        <v>0.12318</v>
      </c>
      <c r="T703" s="30">
        <v>69.3</v>
      </c>
      <c r="U703" s="172">
        <v>340.95999999999702</v>
      </c>
      <c r="V703" s="173">
        <v>8.1180000000000003</v>
      </c>
      <c r="X703" s="30">
        <v>69.3</v>
      </c>
      <c r="Y703" s="34">
        <v>2.6185999999999998</v>
      </c>
      <c r="Z703" s="35">
        <v>0.10997999999999999</v>
      </c>
      <c r="AA703" s="36"/>
      <c r="AB703" s="30">
        <v>69.3</v>
      </c>
      <c r="AC703" s="44">
        <v>381.88</v>
      </c>
      <c r="AD703" s="35">
        <v>9.0920000000000005</v>
      </c>
      <c r="AE703" s="36"/>
      <c r="AF703" s="30">
        <v>69.3</v>
      </c>
      <c r="AG703" s="34">
        <v>2.6606999999999998</v>
      </c>
      <c r="AH703" s="35">
        <v>0.11175</v>
      </c>
      <c r="AI703" s="35"/>
      <c r="AJ703" s="35">
        <v>0.15251000000000001</v>
      </c>
      <c r="AK703" s="998">
        <v>15.7</v>
      </c>
      <c r="AM703" s="30">
        <v>69.3</v>
      </c>
      <c r="AN703" s="34">
        <v>1.2897000000000001</v>
      </c>
      <c r="AO703" s="35">
        <v>1.4444999999999999</v>
      </c>
      <c r="BX703" s="43"/>
      <c r="BY703" s="34"/>
      <c r="BZ703" s="59"/>
      <c r="CB703" s="43"/>
      <c r="CC703" s="34"/>
      <c r="CD703" s="59"/>
      <c r="CL703" s="43"/>
      <c r="CM703" s="34"/>
      <c r="CN703" s="59"/>
      <c r="CP703" s="43"/>
      <c r="CQ703" s="34"/>
      <c r="CR703" s="59"/>
      <c r="CT703" s="43"/>
      <c r="CU703" s="34"/>
      <c r="CV703" s="59"/>
    </row>
    <row r="704" spans="4:100">
      <c r="D704" s="30">
        <v>69.400000000000006</v>
      </c>
      <c r="E704" s="31">
        <v>0.70430000000000004</v>
      </c>
      <c r="F704" s="32">
        <v>704.2</v>
      </c>
      <c r="G704" s="33"/>
      <c r="H704" s="30">
        <v>69.400000000000006</v>
      </c>
      <c r="I704" s="34">
        <v>3.7826</v>
      </c>
      <c r="J704" s="35">
        <v>0.15887000000000001</v>
      </c>
      <c r="L704" s="30">
        <v>69.400000000000006</v>
      </c>
      <c r="M704" s="172">
        <v>5.8630000000000004</v>
      </c>
      <c r="N704" s="173">
        <v>0.17057</v>
      </c>
      <c r="P704" s="30">
        <v>69.400000000000006</v>
      </c>
      <c r="Q704" s="172">
        <v>2.9314</v>
      </c>
      <c r="R704" s="173">
        <v>0.12311999999999999</v>
      </c>
      <c r="T704" s="30">
        <v>69.400000000000006</v>
      </c>
      <c r="U704" s="172">
        <v>341.12999999999698</v>
      </c>
      <c r="V704" s="173">
        <v>8.1219999999999999</v>
      </c>
      <c r="X704" s="30">
        <v>69.400000000000006</v>
      </c>
      <c r="Y704" s="34">
        <v>2.6173000000000002</v>
      </c>
      <c r="Z704" s="35">
        <v>0.10993</v>
      </c>
      <c r="AA704" s="36"/>
      <c r="AB704" s="30">
        <v>69.400000000000006</v>
      </c>
      <c r="AC704" s="44">
        <v>382.07</v>
      </c>
      <c r="AD704" s="35">
        <v>9.0969999999999995</v>
      </c>
      <c r="AE704" s="36"/>
      <c r="AF704" s="30">
        <v>69.400000000000006</v>
      </c>
      <c r="AG704" s="34">
        <v>2.6593</v>
      </c>
      <c r="AH704" s="35">
        <v>0.11169</v>
      </c>
      <c r="AI704" s="35"/>
      <c r="AJ704" s="35">
        <v>0.15261</v>
      </c>
      <c r="AK704" s="998">
        <v>15.6</v>
      </c>
      <c r="AM704" s="30">
        <v>69.400000000000006</v>
      </c>
      <c r="AN704" s="34">
        <v>1.2904</v>
      </c>
      <c r="AO704" s="35">
        <v>1.4452</v>
      </c>
      <c r="BX704" s="43"/>
      <c r="BY704" s="34"/>
      <c r="BZ704" s="59"/>
      <c r="CB704" s="43"/>
      <c r="CC704" s="34"/>
      <c r="CD704" s="59"/>
      <c r="CL704" s="43"/>
      <c r="CM704" s="34"/>
      <c r="CN704" s="59"/>
      <c r="CP704" s="43"/>
      <c r="CQ704" s="34"/>
      <c r="CR704" s="59"/>
      <c r="CT704" s="43"/>
      <c r="CU704" s="34"/>
      <c r="CV704" s="59"/>
    </row>
    <row r="705" spans="4:100">
      <c r="D705" s="30">
        <v>69.5</v>
      </c>
      <c r="E705" s="31">
        <v>0.70399999999999996</v>
      </c>
      <c r="F705" s="32">
        <v>703.8</v>
      </c>
      <c r="G705" s="33"/>
      <c r="H705" s="30">
        <v>69.5</v>
      </c>
      <c r="I705" s="34">
        <v>3.7826</v>
      </c>
      <c r="J705" s="35">
        <v>0.15887000000000001</v>
      </c>
      <c r="L705" s="30">
        <v>69.5</v>
      </c>
      <c r="M705" s="172">
        <v>5.86</v>
      </c>
      <c r="N705" s="173">
        <v>0.17065</v>
      </c>
      <c r="P705" s="30">
        <v>69.5</v>
      </c>
      <c r="Q705" s="172">
        <v>2.9298999999999999</v>
      </c>
      <c r="R705" s="173">
        <v>0.12306</v>
      </c>
      <c r="T705" s="30">
        <v>69.5</v>
      </c>
      <c r="U705" s="172">
        <v>341.299999999997</v>
      </c>
      <c r="V705" s="173">
        <v>8.1259999999999994</v>
      </c>
      <c r="X705" s="30">
        <v>69.5</v>
      </c>
      <c r="Y705" s="34">
        <v>2.6160000000000001</v>
      </c>
      <c r="Z705" s="35">
        <v>0.10987</v>
      </c>
      <c r="AA705" s="36"/>
      <c r="AB705" s="30">
        <v>69.5</v>
      </c>
      <c r="AC705" s="44">
        <v>382.26</v>
      </c>
      <c r="AD705" s="35">
        <v>9.1010000000000009</v>
      </c>
      <c r="AE705" s="36"/>
      <c r="AF705" s="30">
        <v>69.5</v>
      </c>
      <c r="AG705" s="34">
        <v>2.6579999999999999</v>
      </c>
      <c r="AH705" s="35">
        <v>0.11164</v>
      </c>
      <c r="AI705" s="35"/>
      <c r="AJ705" s="35">
        <v>0.15271999999999999</v>
      </c>
      <c r="AK705" s="998">
        <v>15.5</v>
      </c>
      <c r="AM705" s="30">
        <v>69.5</v>
      </c>
      <c r="AN705" s="34">
        <v>1.2909999999999999</v>
      </c>
      <c r="AO705" s="35">
        <v>1.4459</v>
      </c>
      <c r="BX705" s="43"/>
      <c r="BY705" s="34"/>
      <c r="BZ705" s="59"/>
      <c r="CB705" s="43"/>
      <c r="CC705" s="34"/>
      <c r="CD705" s="59"/>
      <c r="CL705" s="43"/>
      <c r="CM705" s="34"/>
      <c r="CN705" s="59"/>
      <c r="CP705" s="43"/>
      <c r="CQ705" s="34"/>
      <c r="CR705" s="59"/>
      <c r="CT705" s="43"/>
      <c r="CU705" s="34"/>
      <c r="CV705" s="59"/>
    </row>
    <row r="706" spans="4:100">
      <c r="D706" s="30">
        <v>69.599999999999994</v>
      </c>
      <c r="E706" s="31">
        <v>0.7036</v>
      </c>
      <c r="F706" s="32">
        <v>703.5</v>
      </c>
      <c r="G706" s="33"/>
      <c r="H706" s="30">
        <v>69.599999999999994</v>
      </c>
      <c r="I706" s="34">
        <v>3.7826</v>
      </c>
      <c r="J706" s="35">
        <v>0.15887000000000001</v>
      </c>
      <c r="L706" s="30">
        <v>69.599999999999994</v>
      </c>
      <c r="M706" s="172">
        <v>5.8570000000000002</v>
      </c>
      <c r="N706" s="173">
        <v>0.17074</v>
      </c>
      <c r="P706" s="30">
        <v>69.599999999999994</v>
      </c>
      <c r="Q706" s="172">
        <v>2.9285000000000001</v>
      </c>
      <c r="R706" s="173">
        <v>0.123</v>
      </c>
      <c r="T706" s="30">
        <v>69.599999999999994</v>
      </c>
      <c r="U706" s="172">
        <v>341.46999999999701</v>
      </c>
      <c r="V706" s="173">
        <v>8.1300000000000008</v>
      </c>
      <c r="X706" s="30">
        <v>69.599999999999994</v>
      </c>
      <c r="Y706" s="34">
        <v>2.6147</v>
      </c>
      <c r="Z706" s="35">
        <v>0.10982</v>
      </c>
      <c r="AA706" s="36"/>
      <c r="AB706" s="30">
        <v>69.599999999999994</v>
      </c>
      <c r="AC706" s="44">
        <v>382.45</v>
      </c>
      <c r="AD706" s="35">
        <v>9.1059999999999999</v>
      </c>
      <c r="AE706" s="36"/>
      <c r="AF706" s="30">
        <v>69.599999999999994</v>
      </c>
      <c r="AG706" s="34">
        <v>2.6566999999999998</v>
      </c>
      <c r="AH706" s="35">
        <v>0.11158</v>
      </c>
      <c r="AI706" s="35"/>
      <c r="AJ706" s="35">
        <v>0.15282000000000001</v>
      </c>
      <c r="AK706" s="998">
        <v>15.4</v>
      </c>
      <c r="AM706" s="30">
        <v>69.599999999999994</v>
      </c>
      <c r="AN706" s="34">
        <v>1.2917000000000001</v>
      </c>
      <c r="AO706" s="35">
        <v>1.4467000000000001</v>
      </c>
      <c r="BX706" s="43"/>
      <c r="BY706" s="34"/>
      <c r="BZ706" s="59"/>
      <c r="CB706" s="43"/>
      <c r="CC706" s="34"/>
      <c r="CD706" s="59"/>
      <c r="CL706" s="43"/>
      <c r="CM706" s="34"/>
      <c r="CN706" s="59"/>
      <c r="CP706" s="43"/>
      <c r="CQ706" s="34"/>
      <c r="CR706" s="59"/>
      <c r="CT706" s="43"/>
      <c r="CU706" s="34"/>
      <c r="CV706" s="59"/>
    </row>
    <row r="707" spans="4:100">
      <c r="D707" s="30">
        <v>69.7</v>
      </c>
      <c r="E707" s="31">
        <v>0.70330000000000004</v>
      </c>
      <c r="F707" s="32">
        <v>703.1</v>
      </c>
      <c r="G707" s="33"/>
      <c r="H707" s="30">
        <v>69.7</v>
      </c>
      <c r="I707" s="34">
        <v>3.7826</v>
      </c>
      <c r="J707" s="35">
        <v>0.15887000000000001</v>
      </c>
      <c r="L707" s="30">
        <v>69.7</v>
      </c>
      <c r="M707" s="172">
        <v>5.8540000000000001</v>
      </c>
      <c r="N707" s="173">
        <v>0.17082</v>
      </c>
      <c r="P707" s="30">
        <v>69.7</v>
      </c>
      <c r="Q707" s="172">
        <v>2.927</v>
      </c>
      <c r="R707" s="173">
        <v>0.12293999999999999</v>
      </c>
      <c r="T707" s="30">
        <v>69.7</v>
      </c>
      <c r="U707" s="172">
        <v>341.63999999999697</v>
      </c>
      <c r="V707" s="173">
        <v>8.1340000000000003</v>
      </c>
      <c r="X707" s="30">
        <v>69.7</v>
      </c>
      <c r="Y707" s="34">
        <v>2.6133999999999999</v>
      </c>
      <c r="Z707" s="35">
        <v>0.10976</v>
      </c>
      <c r="AA707" s="36"/>
      <c r="AB707" s="30">
        <v>69.7</v>
      </c>
      <c r="AC707" s="44">
        <v>382.64</v>
      </c>
      <c r="AD707" s="35">
        <v>9.11</v>
      </c>
      <c r="AE707" s="36"/>
      <c r="AF707" s="30">
        <v>69.7</v>
      </c>
      <c r="AG707" s="34">
        <v>2.6554000000000002</v>
      </c>
      <c r="AH707" s="35">
        <v>0.11151999999999999</v>
      </c>
      <c r="AI707" s="35"/>
      <c r="AJ707" s="35">
        <v>0.15292</v>
      </c>
      <c r="AK707" s="998">
        <v>15.3</v>
      </c>
      <c r="AM707" s="30">
        <v>69.7</v>
      </c>
      <c r="AN707" s="34">
        <v>1.2923</v>
      </c>
      <c r="AO707" s="35">
        <v>1.4474</v>
      </c>
      <c r="BX707" s="43"/>
      <c r="BY707" s="34"/>
      <c r="BZ707" s="59"/>
      <c r="CB707" s="43"/>
      <c r="CC707" s="34"/>
      <c r="CD707" s="59"/>
      <c r="CL707" s="43"/>
      <c r="CM707" s="34"/>
      <c r="CN707" s="59"/>
      <c r="CP707" s="43"/>
      <c r="CQ707" s="34"/>
      <c r="CR707" s="59"/>
      <c r="CT707" s="43"/>
      <c r="CU707" s="34"/>
      <c r="CV707" s="59"/>
    </row>
    <row r="708" spans="4:100">
      <c r="D708" s="30">
        <v>69.8</v>
      </c>
      <c r="E708" s="31">
        <v>0.70289999999999997</v>
      </c>
      <c r="F708" s="32">
        <v>702.8</v>
      </c>
      <c r="G708" s="33"/>
      <c r="H708" s="30">
        <v>69.8</v>
      </c>
      <c r="I708" s="34">
        <v>3.7826</v>
      </c>
      <c r="J708" s="35">
        <v>0.15887000000000001</v>
      </c>
      <c r="L708" s="30">
        <v>69.8</v>
      </c>
      <c r="M708" s="172">
        <v>5.851</v>
      </c>
      <c r="N708" s="173">
        <v>0.17091000000000001</v>
      </c>
      <c r="P708" s="30">
        <v>69.8</v>
      </c>
      <c r="Q708" s="172">
        <v>2.9256000000000002</v>
      </c>
      <c r="R708" s="173">
        <v>0.12286999999999999</v>
      </c>
      <c r="T708" s="30">
        <v>69.8</v>
      </c>
      <c r="U708" s="172">
        <v>341.80999999999699</v>
      </c>
      <c r="V708" s="173">
        <v>8.1379999999999892</v>
      </c>
      <c r="X708" s="30">
        <v>69.8</v>
      </c>
      <c r="Y708" s="34">
        <v>2.6120999999999999</v>
      </c>
      <c r="Z708" s="35">
        <v>0.10971</v>
      </c>
      <c r="AA708" s="36"/>
      <c r="AB708" s="30">
        <v>69.8</v>
      </c>
      <c r="AC708" s="44">
        <v>382.83</v>
      </c>
      <c r="AD708" s="35">
        <v>9.1150000000000002</v>
      </c>
      <c r="AE708" s="36"/>
      <c r="AF708" s="30">
        <v>69.8</v>
      </c>
      <c r="AG708" s="34">
        <v>2.6539999999999999</v>
      </c>
      <c r="AH708" s="35">
        <v>0.11147</v>
      </c>
      <c r="AI708" s="35"/>
      <c r="AJ708" s="35">
        <v>0.15303</v>
      </c>
      <c r="AK708" s="998">
        <v>15.2</v>
      </c>
      <c r="AM708" s="30">
        <v>69.8</v>
      </c>
      <c r="AN708" s="34">
        <v>1.2929999999999999</v>
      </c>
      <c r="AO708" s="35">
        <v>1.4480999999999999</v>
      </c>
      <c r="BX708" s="43"/>
      <c r="BY708" s="34"/>
      <c r="BZ708" s="59"/>
      <c r="CB708" s="43"/>
      <c r="CC708" s="34"/>
      <c r="CD708" s="59"/>
      <c r="CL708" s="43"/>
      <c r="CM708" s="34"/>
      <c r="CN708" s="59"/>
      <c r="CP708" s="43"/>
      <c r="CQ708" s="34"/>
      <c r="CR708" s="59"/>
      <c r="CT708" s="43"/>
      <c r="CU708" s="34"/>
      <c r="CV708" s="59"/>
    </row>
    <row r="709" spans="4:100">
      <c r="D709" s="30">
        <v>69.900000000000006</v>
      </c>
      <c r="E709" s="31">
        <v>0.7026</v>
      </c>
      <c r="F709" s="32">
        <v>702.4</v>
      </c>
      <c r="G709" s="33"/>
      <c r="H709" s="30">
        <v>69.900000000000006</v>
      </c>
      <c r="I709" s="34">
        <v>3.7826</v>
      </c>
      <c r="J709" s="35">
        <v>0.15887000000000001</v>
      </c>
      <c r="L709" s="30">
        <v>69.900000000000006</v>
      </c>
      <c r="M709" s="172">
        <v>5.8479999999999999</v>
      </c>
      <c r="N709" s="173">
        <v>0.17099</v>
      </c>
      <c r="P709" s="30">
        <v>69.900000000000006</v>
      </c>
      <c r="Q709" s="172">
        <v>2.9241000000000001</v>
      </c>
      <c r="R709" s="173">
        <v>0.12281</v>
      </c>
      <c r="T709" s="30">
        <v>69.900000000000006</v>
      </c>
      <c r="U709" s="172">
        <v>341.97999999999701</v>
      </c>
      <c r="V709" s="173">
        <v>8.1419999999999906</v>
      </c>
      <c r="X709" s="30">
        <v>69.900000000000006</v>
      </c>
      <c r="Y709" s="34">
        <v>2.6107999999999998</v>
      </c>
      <c r="Z709" s="35">
        <v>0.10965</v>
      </c>
      <c r="AA709" s="36"/>
      <c r="AB709" s="30">
        <v>69.900000000000006</v>
      </c>
      <c r="AC709" s="44">
        <v>383.02</v>
      </c>
      <c r="AD709" s="35">
        <v>9.1199999999999992</v>
      </c>
      <c r="AE709" s="36"/>
      <c r="AF709" s="30">
        <v>69.900000000000006</v>
      </c>
      <c r="AG709" s="34">
        <v>2.6526999999999998</v>
      </c>
      <c r="AH709" s="35">
        <v>0.11141</v>
      </c>
      <c r="AI709" s="35"/>
      <c r="AJ709" s="35">
        <v>0.15312999999999999</v>
      </c>
      <c r="AK709" s="998">
        <v>15.1</v>
      </c>
      <c r="AM709" s="30">
        <v>69.900000000000006</v>
      </c>
      <c r="AN709" s="34">
        <v>1.2936000000000001</v>
      </c>
      <c r="AO709" s="35">
        <v>1.4488000000000001</v>
      </c>
      <c r="BX709" s="43"/>
      <c r="BY709" s="34"/>
      <c r="BZ709" s="59"/>
      <c r="CB709" s="43"/>
      <c r="CC709" s="34"/>
      <c r="CD709" s="59"/>
      <c r="CL709" s="43"/>
      <c r="CM709" s="34"/>
      <c r="CN709" s="59"/>
      <c r="CP709" s="43"/>
      <c r="CQ709" s="34"/>
      <c r="CR709" s="59"/>
      <c r="CT709" s="43"/>
      <c r="CU709" s="34"/>
      <c r="CV709" s="59"/>
    </row>
    <row r="710" spans="4:100">
      <c r="D710" s="30">
        <v>70</v>
      </c>
      <c r="E710" s="31">
        <v>0.70220000000000005</v>
      </c>
      <c r="F710" s="32">
        <v>702.1</v>
      </c>
      <c r="G710" s="33"/>
      <c r="H710" s="30">
        <v>70</v>
      </c>
      <c r="I710" s="34">
        <v>3.7826</v>
      </c>
      <c r="J710" s="35">
        <v>0.15887000000000001</v>
      </c>
      <c r="L710" s="30">
        <v>70</v>
      </c>
      <c r="M710" s="172">
        <v>5.8449999999999998</v>
      </c>
      <c r="N710" s="173">
        <v>0.17108000000000001</v>
      </c>
      <c r="P710" s="30">
        <v>70</v>
      </c>
      <c r="Q710" s="172">
        <v>2.9226999999999999</v>
      </c>
      <c r="R710" s="173">
        <v>0.12275</v>
      </c>
      <c r="T710" s="30">
        <v>70</v>
      </c>
      <c r="U710" s="172">
        <v>342.14999999999702</v>
      </c>
      <c r="V710" s="173">
        <v>8.1470000000000002</v>
      </c>
      <c r="X710" s="30">
        <v>70</v>
      </c>
      <c r="Y710" s="34">
        <v>2.6095000000000002</v>
      </c>
      <c r="Z710" s="35">
        <v>0.1096</v>
      </c>
      <c r="AA710" s="36"/>
      <c r="AB710" s="30">
        <v>70</v>
      </c>
      <c r="AC710" s="44">
        <v>383.21</v>
      </c>
      <c r="AD710" s="35">
        <v>9.1240000000000006</v>
      </c>
      <c r="AE710" s="36"/>
      <c r="AF710" s="30">
        <v>70</v>
      </c>
      <c r="AG710" s="34">
        <v>2.6514000000000002</v>
      </c>
      <c r="AH710" s="35">
        <v>0.11136</v>
      </c>
      <c r="AI710" s="35"/>
      <c r="AJ710" s="35">
        <v>0.15323999999999999</v>
      </c>
      <c r="AK710" s="998">
        <v>15</v>
      </c>
      <c r="AM710" s="30">
        <v>70</v>
      </c>
      <c r="AN710" s="34">
        <v>1.2942</v>
      </c>
      <c r="AO710" s="35">
        <v>1.4495</v>
      </c>
      <c r="BX710" s="43"/>
      <c r="BY710" s="34"/>
      <c r="BZ710" s="59"/>
      <c r="CB710" s="43"/>
      <c r="CC710" s="34"/>
      <c r="CD710" s="59"/>
      <c r="CL710" s="43"/>
      <c r="CM710" s="34"/>
      <c r="CN710" s="59"/>
      <c r="CP710" s="43"/>
      <c r="CQ710" s="34"/>
      <c r="CR710" s="59"/>
      <c r="CT710" s="43"/>
      <c r="CU710" s="34"/>
      <c r="CV710" s="59"/>
    </row>
    <row r="711" spans="4:100">
      <c r="D711" s="30">
        <v>70.099999999999994</v>
      </c>
      <c r="E711" s="31">
        <v>0.70189999999999997</v>
      </c>
      <c r="F711" s="32">
        <v>701.7</v>
      </c>
      <c r="G711" s="33"/>
      <c r="H711" s="30">
        <v>70.099999999999994</v>
      </c>
      <c r="I711" s="34">
        <v>3.7826</v>
      </c>
      <c r="J711" s="35">
        <v>0.15887000000000001</v>
      </c>
      <c r="L711" s="30">
        <v>70.099999999999994</v>
      </c>
      <c r="M711" s="172">
        <v>5.8419999999999996</v>
      </c>
      <c r="N711" s="173">
        <v>0.17116000000000001</v>
      </c>
      <c r="P711" s="30">
        <v>70.099999999999994</v>
      </c>
      <c r="Q711" s="172">
        <v>2.9211999999999998</v>
      </c>
      <c r="R711" s="173">
        <v>0.12268999999999999</v>
      </c>
      <c r="T711" s="30">
        <v>70.099999999999994</v>
      </c>
      <c r="U711" s="172">
        <v>342.31999999999698</v>
      </c>
      <c r="V711" s="173">
        <v>8.1509999999999998</v>
      </c>
      <c r="X711" s="30">
        <v>70.099999999999994</v>
      </c>
      <c r="Y711" s="34">
        <v>2.6082000000000001</v>
      </c>
      <c r="Z711" s="35">
        <v>0.10954999999999999</v>
      </c>
      <c r="AA711" s="36"/>
      <c r="AB711" s="30">
        <v>70.099999999999994</v>
      </c>
      <c r="AC711" s="44">
        <v>383.4</v>
      </c>
      <c r="AD711" s="35">
        <v>9.1289999999999996</v>
      </c>
      <c r="AE711" s="36"/>
      <c r="AF711" s="30">
        <v>70.099999999999994</v>
      </c>
      <c r="AG711" s="34">
        <v>2.6501000000000001</v>
      </c>
      <c r="AH711" s="35">
        <v>0.1113</v>
      </c>
      <c r="AI711" s="35"/>
      <c r="AJ711" s="35">
        <v>0.15334</v>
      </c>
      <c r="AK711" s="998">
        <v>14.9</v>
      </c>
      <c r="AM711" s="30">
        <v>70.099999999999994</v>
      </c>
      <c r="AN711" s="34">
        <v>1.2948999999999999</v>
      </c>
      <c r="AO711" s="35">
        <v>1.4502999999999999</v>
      </c>
      <c r="BX711" s="43"/>
      <c r="BY711" s="34"/>
      <c r="BZ711" s="59"/>
      <c r="CB711" s="43"/>
      <c r="CC711" s="34"/>
      <c r="CD711" s="59"/>
      <c r="CL711" s="43"/>
      <c r="CM711" s="34"/>
      <c r="CN711" s="59"/>
      <c r="CP711" s="43"/>
      <c r="CQ711" s="34"/>
      <c r="CR711" s="59"/>
      <c r="CT711" s="43"/>
      <c r="CU711" s="34"/>
      <c r="CV711" s="59"/>
    </row>
    <row r="712" spans="4:100">
      <c r="D712" s="30">
        <v>70.2</v>
      </c>
      <c r="E712" s="31">
        <v>0.70150000000000001</v>
      </c>
      <c r="F712" s="32">
        <v>701.4</v>
      </c>
      <c r="G712" s="33"/>
      <c r="H712" s="30">
        <v>70.2</v>
      </c>
      <c r="I712" s="34">
        <v>3.7826</v>
      </c>
      <c r="J712" s="35">
        <v>0.15887000000000001</v>
      </c>
      <c r="L712" s="30">
        <v>70.2</v>
      </c>
      <c r="M712" s="172">
        <v>5.84</v>
      </c>
      <c r="N712" s="173">
        <v>0.17125000000000001</v>
      </c>
      <c r="P712" s="30">
        <v>70.2</v>
      </c>
      <c r="Q712" s="172">
        <v>2.9198</v>
      </c>
      <c r="R712" s="173">
        <v>0.12263</v>
      </c>
      <c r="T712" s="30">
        <v>70.2</v>
      </c>
      <c r="U712" s="172">
        <v>342.489999999997</v>
      </c>
      <c r="V712" s="173">
        <v>8.1549999999999994</v>
      </c>
      <c r="X712" s="30">
        <v>70.2</v>
      </c>
      <c r="Y712" s="34">
        <v>2.6069</v>
      </c>
      <c r="Z712" s="35">
        <v>0.10949</v>
      </c>
      <c r="AA712" s="36"/>
      <c r="AB712" s="30">
        <v>70.2</v>
      </c>
      <c r="AC712" s="44">
        <v>383.59</v>
      </c>
      <c r="AD712" s="35">
        <v>9.1329999999999991</v>
      </c>
      <c r="AE712" s="36"/>
      <c r="AF712" s="30">
        <v>70.2</v>
      </c>
      <c r="AG712" s="34">
        <v>2.6488</v>
      </c>
      <c r="AH712" s="35">
        <v>0.11125</v>
      </c>
      <c r="AI712" s="35"/>
      <c r="AJ712" s="35">
        <v>0.15345</v>
      </c>
      <c r="AK712" s="998">
        <v>14.8</v>
      </c>
      <c r="AM712" s="30">
        <v>70.2</v>
      </c>
      <c r="AN712" s="34">
        <v>1.2955000000000001</v>
      </c>
      <c r="AO712" s="35">
        <v>1.4510000000000001</v>
      </c>
      <c r="BX712" s="43"/>
      <c r="BY712" s="34"/>
      <c r="BZ712" s="59"/>
      <c r="CB712" s="43"/>
      <c r="CC712" s="34"/>
      <c r="CD712" s="59"/>
      <c r="CL712" s="43"/>
      <c r="CM712" s="34"/>
      <c r="CN712" s="59"/>
      <c r="CP712" s="43"/>
      <c r="CQ712" s="34"/>
      <c r="CR712" s="59"/>
      <c r="CT712" s="43"/>
      <c r="CU712" s="34"/>
      <c r="CV712" s="59"/>
    </row>
    <row r="713" spans="4:100">
      <c r="D713" s="30">
        <v>70.3</v>
      </c>
      <c r="E713" s="31">
        <v>0.70120000000000005</v>
      </c>
      <c r="F713" s="32">
        <v>701</v>
      </c>
      <c r="G713" s="33"/>
      <c r="H713" s="30">
        <v>70.3</v>
      </c>
      <c r="I713" s="34">
        <v>3.7826</v>
      </c>
      <c r="J713" s="35">
        <v>0.15887000000000001</v>
      </c>
      <c r="L713" s="30">
        <v>70.3</v>
      </c>
      <c r="M713" s="172">
        <v>5.8369999999999997</v>
      </c>
      <c r="N713" s="173">
        <v>0.17133000000000001</v>
      </c>
      <c r="P713" s="30">
        <v>70.3</v>
      </c>
      <c r="Q713" s="172">
        <v>2.9182999999999999</v>
      </c>
      <c r="R713" s="173">
        <v>0.12257</v>
      </c>
      <c r="T713" s="30">
        <v>70.3</v>
      </c>
      <c r="U713" s="172">
        <v>342.65999999999701</v>
      </c>
      <c r="V713" s="173">
        <v>8.1590000000000007</v>
      </c>
      <c r="X713" s="30">
        <v>70.3</v>
      </c>
      <c r="Y713" s="34">
        <v>2.6055999999999999</v>
      </c>
      <c r="Z713" s="35">
        <v>0.10944</v>
      </c>
      <c r="AA713" s="36"/>
      <c r="AB713" s="30">
        <v>70.3</v>
      </c>
      <c r="AC713" s="44">
        <v>383.78</v>
      </c>
      <c r="AD713" s="35">
        <v>9.1379999999999999</v>
      </c>
      <c r="AE713" s="36"/>
      <c r="AF713" s="30">
        <v>70.3</v>
      </c>
      <c r="AG713" s="34">
        <v>2.6474000000000002</v>
      </c>
      <c r="AH713" s="35">
        <v>0.11119</v>
      </c>
      <c r="AI713" s="35"/>
      <c r="AJ713" s="35">
        <v>0.15354999999999999</v>
      </c>
      <c r="AK713" s="998">
        <v>14.7</v>
      </c>
      <c r="AM713" s="30">
        <v>70.3</v>
      </c>
      <c r="AN713" s="34">
        <v>1.2962</v>
      </c>
      <c r="AO713" s="35">
        <v>1.4517</v>
      </c>
      <c r="BX713" s="43"/>
      <c r="BY713" s="34"/>
      <c r="BZ713" s="59"/>
      <c r="CB713" s="43"/>
      <c r="CC713" s="34"/>
      <c r="CD713" s="59"/>
      <c r="CL713" s="43"/>
      <c r="CM713" s="34"/>
      <c r="CN713" s="59"/>
      <c r="CP713" s="43"/>
      <c r="CQ713" s="34"/>
      <c r="CR713" s="59"/>
      <c r="CT713" s="43"/>
      <c r="CU713" s="34"/>
      <c r="CV713" s="59"/>
    </row>
    <row r="714" spans="4:100">
      <c r="D714" s="30">
        <v>70.400000000000006</v>
      </c>
      <c r="E714" s="31">
        <v>0.70079999999999998</v>
      </c>
      <c r="F714" s="32">
        <v>700.7</v>
      </c>
      <c r="G714" s="33"/>
      <c r="H714" s="30">
        <v>70.400000000000006</v>
      </c>
      <c r="I714" s="34">
        <v>3.7826</v>
      </c>
      <c r="J714" s="35">
        <v>0.15887000000000001</v>
      </c>
      <c r="L714" s="30">
        <v>70.400000000000006</v>
      </c>
      <c r="M714" s="172">
        <v>5.8339999999999996</v>
      </c>
      <c r="N714" s="173">
        <v>0.17141999999999999</v>
      </c>
      <c r="P714" s="30">
        <v>70.400000000000006</v>
      </c>
      <c r="Q714" s="172">
        <v>2.9169</v>
      </c>
      <c r="R714" s="173">
        <v>0.12250999999999999</v>
      </c>
      <c r="T714" s="30">
        <v>70.400000000000006</v>
      </c>
      <c r="U714" s="172">
        <v>342.82999999999703</v>
      </c>
      <c r="V714" s="173">
        <v>8.1630000000000003</v>
      </c>
      <c r="X714" s="30">
        <v>70.400000000000006</v>
      </c>
      <c r="Y714" s="34">
        <v>2.6042999999999998</v>
      </c>
      <c r="Z714" s="35">
        <v>0.10938000000000001</v>
      </c>
      <c r="AA714" s="36"/>
      <c r="AB714" s="30">
        <v>70.400000000000006</v>
      </c>
      <c r="AC714" s="44">
        <v>383.97</v>
      </c>
      <c r="AD714" s="35">
        <v>9.1419999999999995</v>
      </c>
      <c r="AE714" s="36"/>
      <c r="AF714" s="30">
        <v>70.400000000000006</v>
      </c>
      <c r="AG714" s="34">
        <v>2.6461000000000001</v>
      </c>
      <c r="AH714" s="35">
        <v>0.11114</v>
      </c>
      <c r="AI714" s="35"/>
      <c r="AJ714" s="35">
        <v>0.15365999999999999</v>
      </c>
      <c r="AK714" s="998">
        <v>14.6</v>
      </c>
      <c r="AM714" s="30">
        <v>70.400000000000006</v>
      </c>
      <c r="AN714" s="34">
        <v>1.2968</v>
      </c>
      <c r="AO714" s="35">
        <v>1.4523999999999999</v>
      </c>
      <c r="BX714" s="43"/>
      <c r="BY714" s="34"/>
      <c r="BZ714" s="59"/>
      <c r="CB714" s="43"/>
      <c r="CC714" s="34"/>
      <c r="CD714" s="59"/>
      <c r="CL714" s="43"/>
      <c r="CM714" s="34"/>
      <c r="CN714" s="59"/>
      <c r="CP714" s="43"/>
      <c r="CQ714" s="34"/>
      <c r="CR714" s="59"/>
      <c r="CT714" s="43"/>
      <c r="CU714" s="34"/>
      <c r="CV714" s="59"/>
    </row>
    <row r="715" spans="4:100">
      <c r="D715" s="30">
        <v>70.5</v>
      </c>
      <c r="E715" s="31">
        <v>0.70050000000000001</v>
      </c>
      <c r="F715" s="32">
        <v>700.3</v>
      </c>
      <c r="G715" s="33"/>
      <c r="H715" s="30">
        <v>70.5</v>
      </c>
      <c r="I715" s="34">
        <v>3.7826</v>
      </c>
      <c r="J715" s="35">
        <v>0.15887000000000001</v>
      </c>
      <c r="L715" s="30">
        <v>70.5</v>
      </c>
      <c r="M715" s="172">
        <v>5.8310000000000004</v>
      </c>
      <c r="N715" s="173">
        <v>0.17150000000000001</v>
      </c>
      <c r="P715" s="30">
        <v>70.5</v>
      </c>
      <c r="Q715" s="172">
        <v>2.9154</v>
      </c>
      <c r="R715" s="173">
        <v>0.12245</v>
      </c>
      <c r="T715" s="30">
        <v>70.5</v>
      </c>
      <c r="U715" s="172">
        <v>342.99999999999699</v>
      </c>
      <c r="V715" s="173">
        <v>8.1669999999999998</v>
      </c>
      <c r="X715" s="30">
        <v>70.5</v>
      </c>
      <c r="Y715" s="34">
        <v>2.6030000000000002</v>
      </c>
      <c r="Z715" s="35">
        <v>0.10933</v>
      </c>
      <c r="AA715" s="36"/>
      <c r="AB715" s="30">
        <v>70.5</v>
      </c>
      <c r="AC715" s="44">
        <v>384.17</v>
      </c>
      <c r="AD715" s="35">
        <v>9.1470000000000002</v>
      </c>
      <c r="AE715" s="36"/>
      <c r="AF715" s="30">
        <v>70.5</v>
      </c>
      <c r="AG715" s="34">
        <v>2.6448</v>
      </c>
      <c r="AH715" s="35">
        <v>0.11108</v>
      </c>
      <c r="AI715" s="35"/>
      <c r="AJ715" s="35">
        <v>0.15376000000000001</v>
      </c>
      <c r="AK715" s="998">
        <v>14.5</v>
      </c>
      <c r="AM715" s="30">
        <v>70.5</v>
      </c>
      <c r="AN715" s="34">
        <v>1.2975000000000001</v>
      </c>
      <c r="AO715" s="35">
        <v>1.4531000000000001</v>
      </c>
      <c r="BX715" s="43"/>
      <c r="BY715" s="34"/>
      <c r="BZ715" s="59"/>
      <c r="CB715" s="43"/>
      <c r="CC715" s="34"/>
      <c r="CD715" s="59"/>
      <c r="CL715" s="43"/>
      <c r="CM715" s="34"/>
      <c r="CN715" s="59"/>
      <c r="CP715" s="43"/>
      <c r="CQ715" s="34"/>
      <c r="CR715" s="59"/>
      <c r="CT715" s="43"/>
      <c r="CU715" s="34"/>
      <c r="CV715" s="59"/>
    </row>
    <row r="716" spans="4:100">
      <c r="D716" s="30">
        <v>70.599999999999994</v>
      </c>
      <c r="E716" s="31">
        <v>0.70009999999999994</v>
      </c>
      <c r="F716" s="32">
        <v>700</v>
      </c>
      <c r="G716" s="33"/>
      <c r="H716" s="30">
        <v>70.599999999999994</v>
      </c>
      <c r="I716" s="34">
        <v>3.7826</v>
      </c>
      <c r="J716" s="35">
        <v>0.15887000000000001</v>
      </c>
      <c r="L716" s="30">
        <v>70.599999999999994</v>
      </c>
      <c r="M716" s="172">
        <v>5.8280000000000003</v>
      </c>
      <c r="N716" s="173">
        <v>0.17158999999999999</v>
      </c>
      <c r="P716" s="30">
        <v>70.599999999999994</v>
      </c>
      <c r="Q716" s="172">
        <v>2.9140000000000001</v>
      </c>
      <c r="R716" s="173">
        <v>0.12239</v>
      </c>
      <c r="T716" s="30">
        <v>70.599999999999994</v>
      </c>
      <c r="U716" s="172">
        <v>343.169999999997</v>
      </c>
      <c r="V716" s="173">
        <v>8.1709999999999994</v>
      </c>
      <c r="X716" s="30">
        <v>70.599999999999994</v>
      </c>
      <c r="Y716" s="34">
        <v>2.6017999999999999</v>
      </c>
      <c r="Z716" s="35">
        <v>0.10927000000000001</v>
      </c>
      <c r="AA716" s="36"/>
      <c r="AB716" s="30">
        <v>70.599999999999994</v>
      </c>
      <c r="AC716" s="44">
        <v>384.36</v>
      </c>
      <c r="AD716" s="35">
        <v>9.1509999999999998</v>
      </c>
      <c r="AE716" s="36"/>
      <c r="AF716" s="30">
        <v>70.599999999999994</v>
      </c>
      <c r="AG716" s="34">
        <v>2.6435</v>
      </c>
      <c r="AH716" s="35">
        <v>0.11103</v>
      </c>
      <c r="AI716" s="35"/>
      <c r="AJ716" s="35">
        <v>0.15387000000000001</v>
      </c>
      <c r="AK716" s="998">
        <v>14.4</v>
      </c>
      <c r="AM716" s="30">
        <v>70.599999999999994</v>
      </c>
      <c r="AN716" s="34">
        <v>1.2981</v>
      </c>
      <c r="AO716" s="35">
        <v>1.4539</v>
      </c>
      <c r="BX716" s="43"/>
      <c r="BY716" s="34"/>
      <c r="BZ716" s="59"/>
      <c r="CB716" s="43"/>
      <c r="CC716" s="34"/>
      <c r="CD716" s="59"/>
      <c r="CL716" s="43"/>
      <c r="CM716" s="34"/>
      <c r="CN716" s="59"/>
      <c r="CP716" s="43"/>
      <c r="CQ716" s="34"/>
      <c r="CR716" s="59"/>
      <c r="CT716" s="43"/>
      <c r="CU716" s="34"/>
      <c r="CV716" s="59"/>
    </row>
    <row r="717" spans="4:100">
      <c r="D717" s="30">
        <v>70.7</v>
      </c>
      <c r="E717" s="31">
        <v>0.69979999999999998</v>
      </c>
      <c r="F717" s="32">
        <v>699.6</v>
      </c>
      <c r="G717" s="33"/>
      <c r="H717" s="30">
        <v>70.7</v>
      </c>
      <c r="I717" s="34">
        <v>3.7826</v>
      </c>
      <c r="J717" s="35">
        <v>0.15887000000000001</v>
      </c>
      <c r="L717" s="30">
        <v>70.7</v>
      </c>
      <c r="M717" s="172">
        <v>5.8250000000000002</v>
      </c>
      <c r="N717" s="173">
        <v>0.17166999999999999</v>
      </c>
      <c r="P717" s="30">
        <v>70.7</v>
      </c>
      <c r="Q717" s="172">
        <v>2.9125000000000001</v>
      </c>
      <c r="R717" s="173">
        <v>0.12232999999999999</v>
      </c>
      <c r="T717" s="30">
        <v>70.7</v>
      </c>
      <c r="U717" s="172">
        <v>343.33999999999702</v>
      </c>
      <c r="V717" s="173">
        <v>8.1750000000000007</v>
      </c>
      <c r="X717" s="30">
        <v>70.7</v>
      </c>
      <c r="Y717" s="34">
        <v>2.6004999999999998</v>
      </c>
      <c r="Z717" s="35">
        <v>0.10922</v>
      </c>
      <c r="AA717" s="36"/>
      <c r="AB717" s="30">
        <v>70.7</v>
      </c>
      <c r="AC717" s="44">
        <v>384.55</v>
      </c>
      <c r="AD717" s="35">
        <v>9.1560000000000006</v>
      </c>
      <c r="AE717" s="36"/>
      <c r="AF717" s="30">
        <v>70.7</v>
      </c>
      <c r="AG717" s="34">
        <v>2.6421999999999999</v>
      </c>
      <c r="AH717" s="35">
        <v>0.11097</v>
      </c>
      <c r="AI717" s="35"/>
      <c r="AJ717" s="35">
        <v>0.15397</v>
      </c>
      <c r="AK717" s="998">
        <v>14.3</v>
      </c>
      <c r="AM717" s="30">
        <v>70.7</v>
      </c>
      <c r="AN717" s="34">
        <v>1.2987</v>
      </c>
      <c r="AO717" s="35">
        <v>1.4545999999999999</v>
      </c>
      <c r="BX717" s="43"/>
      <c r="BY717" s="34"/>
      <c r="BZ717" s="59"/>
      <c r="CB717" s="43"/>
      <c r="CC717" s="34"/>
      <c r="CD717" s="59"/>
      <c r="CL717" s="43"/>
      <c r="CM717" s="34"/>
      <c r="CN717" s="59"/>
      <c r="CP717" s="43"/>
      <c r="CQ717" s="34"/>
      <c r="CR717" s="59"/>
      <c r="CT717" s="43"/>
      <c r="CU717" s="34"/>
      <c r="CV717" s="59"/>
    </row>
    <row r="718" spans="4:100">
      <c r="D718" s="30">
        <v>70.8</v>
      </c>
      <c r="E718" s="31">
        <v>0.69950000000000001</v>
      </c>
      <c r="F718" s="32">
        <v>699.3</v>
      </c>
      <c r="G718" s="33"/>
      <c r="H718" s="30">
        <v>70.8</v>
      </c>
      <c r="I718" s="34">
        <v>3.7826</v>
      </c>
      <c r="J718" s="35">
        <v>0.15887000000000001</v>
      </c>
      <c r="L718" s="30">
        <v>70.8</v>
      </c>
      <c r="M718" s="172">
        <v>5.8220000000000001</v>
      </c>
      <c r="N718" s="173">
        <v>0.17176</v>
      </c>
      <c r="P718" s="30">
        <v>70.8</v>
      </c>
      <c r="Q718" s="172">
        <v>2.9110999999999998</v>
      </c>
      <c r="R718" s="173">
        <v>0.12227</v>
      </c>
      <c r="T718" s="30">
        <v>70.8</v>
      </c>
      <c r="U718" s="172">
        <v>343.50999999999698</v>
      </c>
      <c r="V718" s="173">
        <v>8.1790000000000003</v>
      </c>
      <c r="X718" s="30">
        <v>70.8</v>
      </c>
      <c r="Y718" s="34">
        <v>2.5992000000000002</v>
      </c>
      <c r="Z718" s="35">
        <v>0.10917</v>
      </c>
      <c r="AA718" s="36"/>
      <c r="AB718" s="30">
        <v>70.8</v>
      </c>
      <c r="AC718" s="44">
        <v>384.74</v>
      </c>
      <c r="AD718" s="35">
        <v>9.16</v>
      </c>
      <c r="AE718" s="36"/>
      <c r="AF718" s="30">
        <v>70.8</v>
      </c>
      <c r="AG718" s="34">
        <v>2.6408999999999998</v>
      </c>
      <c r="AH718" s="35">
        <v>0.11092</v>
      </c>
      <c r="AI718" s="35"/>
      <c r="AJ718" s="35">
        <v>0.15407999999999999</v>
      </c>
      <c r="AK718" s="998">
        <v>14.2</v>
      </c>
      <c r="AM718" s="30">
        <v>70.8</v>
      </c>
      <c r="AN718" s="34">
        <v>1.2994000000000001</v>
      </c>
      <c r="AO718" s="35">
        <v>1.4553</v>
      </c>
      <c r="BX718" s="43"/>
      <c r="BY718" s="34"/>
      <c r="BZ718" s="59"/>
      <c r="CB718" s="43"/>
      <c r="CC718" s="34"/>
      <c r="CD718" s="59"/>
      <c r="CL718" s="43"/>
      <c r="CM718" s="34"/>
      <c r="CN718" s="59"/>
      <c r="CP718" s="43"/>
      <c r="CQ718" s="34"/>
      <c r="CR718" s="59"/>
      <c r="CT718" s="43"/>
      <c r="CU718" s="34"/>
      <c r="CV718" s="59"/>
    </row>
    <row r="719" spans="4:100">
      <c r="D719" s="30">
        <v>70.900000000000006</v>
      </c>
      <c r="E719" s="31">
        <v>0.69910000000000005</v>
      </c>
      <c r="F719" s="32">
        <v>698.9</v>
      </c>
      <c r="G719" s="33"/>
      <c r="H719" s="30">
        <v>70.900000000000006</v>
      </c>
      <c r="I719" s="34">
        <v>3.7826</v>
      </c>
      <c r="J719" s="35">
        <v>0.15887000000000001</v>
      </c>
      <c r="L719" s="30">
        <v>70.900000000000006</v>
      </c>
      <c r="M719" s="172">
        <v>5.819</v>
      </c>
      <c r="N719" s="173">
        <v>0.17183999999999999</v>
      </c>
      <c r="P719" s="30">
        <v>70.900000000000006</v>
      </c>
      <c r="Q719" s="172">
        <v>2.9096000000000002</v>
      </c>
      <c r="R719" s="173">
        <v>0.1222</v>
      </c>
      <c r="T719" s="30">
        <v>70.900000000000006</v>
      </c>
      <c r="U719" s="172">
        <v>343.67999999999699</v>
      </c>
      <c r="V719" s="173">
        <v>8.1829999999999998</v>
      </c>
      <c r="X719" s="30">
        <v>70.900000000000006</v>
      </c>
      <c r="Y719" s="34">
        <v>2.5979000000000001</v>
      </c>
      <c r="Z719" s="35">
        <v>0.10911</v>
      </c>
      <c r="AA719" s="36"/>
      <c r="AB719" s="30">
        <v>70.900000000000006</v>
      </c>
      <c r="AC719" s="44">
        <v>384.93</v>
      </c>
      <c r="AD719" s="35">
        <v>9.1649999999999991</v>
      </c>
      <c r="AE719" s="36"/>
      <c r="AF719" s="30">
        <v>70.900000000000006</v>
      </c>
      <c r="AG719" s="34">
        <v>2.6396000000000002</v>
      </c>
      <c r="AH719" s="35">
        <v>0.11086</v>
      </c>
      <c r="AI719" s="35"/>
      <c r="AJ719" s="35">
        <v>0.15418999999999999</v>
      </c>
      <c r="AK719" s="998">
        <v>14.1</v>
      </c>
      <c r="AM719" s="30">
        <v>70.900000000000006</v>
      </c>
      <c r="AN719" s="34">
        <v>1.3</v>
      </c>
      <c r="AO719" s="35">
        <v>1.456</v>
      </c>
      <c r="BX719" s="43"/>
      <c r="BY719" s="34"/>
      <c r="BZ719" s="59"/>
      <c r="CB719" s="43"/>
      <c r="CC719" s="34"/>
      <c r="CD719" s="59"/>
      <c r="CL719" s="43"/>
      <c r="CM719" s="34"/>
      <c r="CN719" s="59"/>
      <c r="CP719" s="43"/>
      <c r="CQ719" s="34"/>
      <c r="CR719" s="59"/>
      <c r="CT719" s="43"/>
      <c r="CU719" s="34"/>
      <c r="CV719" s="59"/>
    </row>
    <row r="720" spans="4:100">
      <c r="D720" s="30">
        <v>71</v>
      </c>
      <c r="E720" s="31">
        <v>0.69879999999999998</v>
      </c>
      <c r="F720" s="32">
        <v>698.6</v>
      </c>
      <c r="G720" s="33"/>
      <c r="H720" s="30">
        <v>71</v>
      </c>
      <c r="I720" s="34">
        <v>3.7826</v>
      </c>
      <c r="J720" s="35">
        <v>0.15887000000000001</v>
      </c>
      <c r="L720" s="30">
        <v>71</v>
      </c>
      <c r="M720" s="172">
        <v>5.8159999999999998</v>
      </c>
      <c r="N720" s="173">
        <v>0.17193</v>
      </c>
      <c r="P720" s="30">
        <v>71</v>
      </c>
      <c r="Q720" s="172">
        <v>2.9081999999999999</v>
      </c>
      <c r="R720" s="173">
        <v>0.12214</v>
      </c>
      <c r="T720" s="30">
        <v>71</v>
      </c>
      <c r="U720" s="172">
        <v>343.86</v>
      </c>
      <c r="V720" s="173">
        <v>8.1869999999999994</v>
      </c>
      <c r="X720" s="30">
        <v>71</v>
      </c>
      <c r="Y720" s="34">
        <v>2.5966</v>
      </c>
      <c r="Z720" s="35">
        <v>0.10906</v>
      </c>
      <c r="AA720" s="36"/>
      <c r="AB720" s="30">
        <v>71</v>
      </c>
      <c r="AC720" s="44">
        <v>385.12</v>
      </c>
      <c r="AD720" s="35">
        <v>9.1690000000000005</v>
      </c>
      <c r="AE720" s="36"/>
      <c r="AF720" s="30">
        <v>71</v>
      </c>
      <c r="AG720" s="34">
        <v>2.6383000000000001</v>
      </c>
      <c r="AH720" s="35">
        <v>0.11081000000000001</v>
      </c>
      <c r="AI720" s="35"/>
      <c r="AJ720" s="35">
        <v>0.15429000000000001</v>
      </c>
      <c r="AK720" s="998">
        <v>14</v>
      </c>
      <c r="AM720" s="30">
        <v>71</v>
      </c>
      <c r="AN720" s="34">
        <v>1.3007</v>
      </c>
      <c r="AO720" s="35">
        <v>1.4567000000000001</v>
      </c>
      <c r="BX720" s="43"/>
      <c r="BY720" s="34"/>
      <c r="BZ720" s="59"/>
      <c r="CB720" s="43"/>
      <c r="CC720" s="34"/>
      <c r="CD720" s="59"/>
      <c r="CL720" s="43"/>
      <c r="CM720" s="34"/>
      <c r="CN720" s="59"/>
      <c r="CP720" s="43"/>
      <c r="CQ720" s="34"/>
      <c r="CR720" s="59"/>
      <c r="CT720" s="43"/>
      <c r="CU720" s="34"/>
      <c r="CV720" s="59"/>
    </row>
    <row r="721" spans="4:100">
      <c r="D721" s="30">
        <v>71.099999999999994</v>
      </c>
      <c r="E721" s="31">
        <v>0.69840000000000002</v>
      </c>
      <c r="F721" s="32">
        <v>698.2</v>
      </c>
      <c r="G721" s="33"/>
      <c r="H721" s="30">
        <v>71.099999999999994</v>
      </c>
      <c r="I721" s="34">
        <v>3.7826</v>
      </c>
      <c r="J721" s="35">
        <v>0.15887000000000001</v>
      </c>
      <c r="L721" s="30">
        <v>71.099999999999994</v>
      </c>
      <c r="M721" s="172">
        <v>5.8140000000000001</v>
      </c>
      <c r="N721" s="173">
        <v>0.17201</v>
      </c>
      <c r="P721" s="30">
        <v>71.099999999999994</v>
      </c>
      <c r="Q721" s="172">
        <v>2.9068000000000001</v>
      </c>
      <c r="R721" s="173">
        <v>0.12207999999999999</v>
      </c>
      <c r="T721" s="30">
        <v>71.099999999999994</v>
      </c>
      <c r="U721" s="172">
        <v>344.03</v>
      </c>
      <c r="V721" s="173">
        <v>8.1910000000000007</v>
      </c>
      <c r="X721" s="30">
        <v>71.099999999999994</v>
      </c>
      <c r="Y721" s="34">
        <v>2.5952999999999999</v>
      </c>
      <c r="Z721" s="35">
        <v>0.109</v>
      </c>
      <c r="AA721" s="36"/>
      <c r="AB721" s="30">
        <v>71.099999999999994</v>
      </c>
      <c r="AC721" s="44">
        <v>385.31</v>
      </c>
      <c r="AD721" s="35">
        <v>9.1739999999999995</v>
      </c>
      <c r="AE721" s="36"/>
      <c r="AF721" s="30">
        <v>71.099999999999994</v>
      </c>
      <c r="AG721" s="34">
        <v>2.637</v>
      </c>
      <c r="AH721" s="35">
        <v>0.11075</v>
      </c>
      <c r="AI721" s="35"/>
      <c r="AJ721" s="35">
        <v>0.15440000000000001</v>
      </c>
      <c r="AK721" s="998">
        <v>13.9</v>
      </c>
      <c r="AM721" s="30">
        <v>71.099999999999994</v>
      </c>
      <c r="AN721" s="34">
        <v>1.3012999999999999</v>
      </c>
      <c r="AO721" s="35">
        <v>1.4575</v>
      </c>
      <c r="BX721" s="43"/>
      <c r="BY721" s="34"/>
      <c r="BZ721" s="59"/>
      <c r="CB721" s="43"/>
      <c r="CC721" s="34"/>
      <c r="CD721" s="59"/>
      <c r="CL721" s="43"/>
      <c r="CM721" s="34"/>
      <c r="CN721" s="59"/>
      <c r="CP721" s="43"/>
      <c r="CQ721" s="34"/>
      <c r="CR721" s="59"/>
      <c r="CT721" s="43"/>
      <c r="CU721" s="34"/>
      <c r="CV721" s="59"/>
    </row>
    <row r="722" spans="4:100">
      <c r="D722" s="30">
        <v>71.2</v>
      </c>
      <c r="E722" s="31">
        <v>0.69810000000000005</v>
      </c>
      <c r="F722" s="32">
        <v>697.9</v>
      </c>
      <c r="G722" s="33"/>
      <c r="H722" s="30">
        <v>71.2</v>
      </c>
      <c r="I722" s="34">
        <v>3.7826</v>
      </c>
      <c r="J722" s="35">
        <v>0.15887000000000001</v>
      </c>
      <c r="L722" s="30">
        <v>71.2</v>
      </c>
      <c r="M722" s="172">
        <v>5.8109999999999999</v>
      </c>
      <c r="N722" s="173">
        <v>0.1721</v>
      </c>
      <c r="P722" s="30">
        <v>71.2</v>
      </c>
      <c r="Q722" s="172">
        <v>2.9053</v>
      </c>
      <c r="R722" s="173">
        <v>0.12202</v>
      </c>
      <c r="T722" s="30">
        <v>71.2</v>
      </c>
      <c r="U722" s="172">
        <v>344.2</v>
      </c>
      <c r="V722" s="173">
        <v>8.1950000000000003</v>
      </c>
      <c r="X722" s="30">
        <v>71.2</v>
      </c>
      <c r="Y722" s="34">
        <v>2.5939999999999999</v>
      </c>
      <c r="Z722" s="35">
        <v>0.10895000000000001</v>
      </c>
      <c r="AA722" s="36"/>
      <c r="AB722" s="30">
        <v>71.2</v>
      </c>
      <c r="AC722" s="44">
        <v>385.5</v>
      </c>
      <c r="AD722" s="35">
        <v>9.1790000000000003</v>
      </c>
      <c r="AE722" s="36"/>
      <c r="AF722" s="30">
        <v>71.2</v>
      </c>
      <c r="AG722" s="34">
        <v>2.6356999999999999</v>
      </c>
      <c r="AH722" s="35">
        <v>0.11070000000000001</v>
      </c>
      <c r="AI722" s="35"/>
      <c r="AJ722" s="35">
        <v>0.15451000000000001</v>
      </c>
      <c r="AK722" s="998">
        <v>13.8</v>
      </c>
      <c r="AM722" s="30">
        <v>71.2</v>
      </c>
      <c r="AN722" s="34">
        <v>1.302</v>
      </c>
      <c r="AO722" s="35">
        <v>1.4581999999999999</v>
      </c>
      <c r="BX722" s="43"/>
      <c r="BY722" s="34"/>
      <c r="BZ722" s="59"/>
      <c r="CB722" s="43"/>
      <c r="CC722" s="34"/>
      <c r="CD722" s="59"/>
      <c r="CL722" s="43"/>
      <c r="CM722" s="34"/>
      <c r="CN722" s="59"/>
      <c r="CP722" s="43"/>
      <c r="CQ722" s="34"/>
      <c r="CR722" s="59"/>
      <c r="CT722" s="43"/>
      <c r="CU722" s="34"/>
      <c r="CV722" s="59"/>
    </row>
    <row r="723" spans="4:100">
      <c r="D723" s="30">
        <v>71.3</v>
      </c>
      <c r="E723" s="31">
        <v>0.69769999999999999</v>
      </c>
      <c r="F723" s="32">
        <v>697.6</v>
      </c>
      <c r="G723" s="33"/>
      <c r="H723" s="30">
        <v>71.3</v>
      </c>
      <c r="I723" s="34">
        <v>3.7826</v>
      </c>
      <c r="J723" s="35">
        <v>0.15887000000000001</v>
      </c>
      <c r="L723" s="30">
        <v>71.3</v>
      </c>
      <c r="M723" s="172">
        <v>5.8079999999999998</v>
      </c>
      <c r="N723" s="173">
        <v>0.17218</v>
      </c>
      <c r="P723" s="30">
        <v>71.3</v>
      </c>
      <c r="Q723" s="172">
        <v>2.9039000000000001</v>
      </c>
      <c r="R723" s="173">
        <v>0.12196</v>
      </c>
      <c r="T723" s="30">
        <v>71.3</v>
      </c>
      <c r="U723" s="172">
        <v>344.37</v>
      </c>
      <c r="V723" s="173">
        <v>8.1989999999999998</v>
      </c>
      <c r="X723" s="30">
        <v>71.3</v>
      </c>
      <c r="Y723" s="34">
        <v>2.5928</v>
      </c>
      <c r="Z723" s="35">
        <v>0.1089</v>
      </c>
      <c r="AA723" s="36"/>
      <c r="AB723" s="30">
        <v>71.3</v>
      </c>
      <c r="AC723" s="44">
        <v>385.69</v>
      </c>
      <c r="AD723" s="35">
        <v>9.1829999999999998</v>
      </c>
      <c r="AE723" s="36"/>
      <c r="AF723" s="30">
        <v>71.3</v>
      </c>
      <c r="AG723" s="34">
        <v>2.6343999999999999</v>
      </c>
      <c r="AH723" s="35">
        <v>0.11064</v>
      </c>
      <c r="AI723" s="35"/>
      <c r="AJ723" s="35">
        <v>0.15461</v>
      </c>
      <c r="AK723" s="998">
        <v>13.7</v>
      </c>
      <c r="AM723" s="30">
        <v>71.3</v>
      </c>
      <c r="AN723" s="34">
        <v>1.3026</v>
      </c>
      <c r="AO723" s="35">
        <v>1.4589000000000001</v>
      </c>
      <c r="BX723" s="43"/>
      <c r="BY723" s="34"/>
      <c r="BZ723" s="59"/>
      <c r="CB723" s="43"/>
      <c r="CC723" s="34"/>
      <c r="CD723" s="59"/>
      <c r="CL723" s="43"/>
      <c r="CM723" s="34"/>
      <c r="CN723" s="59"/>
      <c r="CP723" s="43"/>
      <c r="CQ723" s="34"/>
      <c r="CR723" s="59"/>
      <c r="CT723" s="43"/>
      <c r="CU723" s="34"/>
      <c r="CV723" s="59"/>
    </row>
    <row r="724" spans="4:100">
      <c r="D724" s="30">
        <v>71.400000000000006</v>
      </c>
      <c r="E724" s="31">
        <v>0.69740000000000002</v>
      </c>
      <c r="F724" s="32">
        <v>697.2</v>
      </c>
      <c r="G724" s="33"/>
      <c r="H724" s="30">
        <v>71.400000000000006</v>
      </c>
      <c r="I724" s="34">
        <v>3.7826</v>
      </c>
      <c r="J724" s="35">
        <v>0.15887000000000001</v>
      </c>
      <c r="L724" s="30">
        <v>71.400000000000006</v>
      </c>
      <c r="M724" s="172">
        <v>5.8049999999999997</v>
      </c>
      <c r="N724" s="173">
        <v>0.17227000000000001</v>
      </c>
      <c r="P724" s="30">
        <v>71.400000000000006</v>
      </c>
      <c r="Q724" s="172">
        <v>2.9024999999999999</v>
      </c>
      <c r="R724" s="173">
        <v>0.12189999999999999</v>
      </c>
      <c r="T724" s="30">
        <v>71.400000000000006</v>
      </c>
      <c r="U724" s="172">
        <v>344.54</v>
      </c>
      <c r="V724" s="173">
        <v>8.2029999999999994</v>
      </c>
      <c r="X724" s="30">
        <v>71.400000000000006</v>
      </c>
      <c r="Y724" s="34">
        <v>2.5914999999999999</v>
      </c>
      <c r="Z724" s="35">
        <v>0.10884000000000001</v>
      </c>
      <c r="AA724" s="36"/>
      <c r="AB724" s="30">
        <v>71.400000000000006</v>
      </c>
      <c r="AC724" s="44">
        <v>385.88</v>
      </c>
      <c r="AD724" s="35">
        <v>9.1880000000000006</v>
      </c>
      <c r="AE724" s="36"/>
      <c r="AF724" s="30">
        <v>71.400000000000006</v>
      </c>
      <c r="AG724" s="34">
        <v>2.6331000000000002</v>
      </c>
      <c r="AH724" s="35">
        <v>0.11058999999999999</v>
      </c>
      <c r="AI724" s="35"/>
      <c r="AJ724" s="35">
        <v>0.15472</v>
      </c>
      <c r="AK724" s="998">
        <v>13.6</v>
      </c>
      <c r="AM724" s="30">
        <v>71.400000000000006</v>
      </c>
      <c r="AN724" s="34">
        <v>1.3031999999999999</v>
      </c>
      <c r="AO724" s="35">
        <v>1.4596</v>
      </c>
      <c r="BX724" s="43"/>
      <c r="BY724" s="34"/>
      <c r="BZ724" s="59"/>
      <c r="CB724" s="43"/>
      <c r="CC724" s="34"/>
      <c r="CD724" s="59"/>
      <c r="CL724" s="43"/>
      <c r="CM724" s="34"/>
      <c r="CN724" s="59"/>
      <c r="CP724" s="43"/>
      <c r="CQ724" s="34"/>
      <c r="CR724" s="59"/>
      <c r="CT724" s="43"/>
      <c r="CU724" s="34"/>
      <c r="CV724" s="59"/>
    </row>
    <row r="725" spans="4:100">
      <c r="D725" s="30">
        <v>71.5</v>
      </c>
      <c r="E725" s="31">
        <v>0.69699999999999995</v>
      </c>
      <c r="F725" s="32">
        <v>696.9</v>
      </c>
      <c r="G725" s="33"/>
      <c r="H725" s="30">
        <v>71.5</v>
      </c>
      <c r="I725" s="34">
        <v>3.7826</v>
      </c>
      <c r="J725" s="35">
        <v>0.15887000000000001</v>
      </c>
      <c r="L725" s="30">
        <v>71.5</v>
      </c>
      <c r="M725" s="172">
        <v>5.8019999999999996</v>
      </c>
      <c r="N725" s="173">
        <v>0.17235</v>
      </c>
      <c r="P725" s="30">
        <v>71.5</v>
      </c>
      <c r="Q725" s="172">
        <v>2.9009999999999998</v>
      </c>
      <c r="R725" s="173">
        <v>0.12184</v>
      </c>
      <c r="T725" s="30">
        <v>71.5</v>
      </c>
      <c r="U725" s="172">
        <v>344.71</v>
      </c>
      <c r="V725" s="173">
        <v>8.2070000000000007</v>
      </c>
      <c r="X725" s="30">
        <v>71.5</v>
      </c>
      <c r="Y725" s="34">
        <v>2.5901999999999998</v>
      </c>
      <c r="Z725" s="35">
        <v>0.10879</v>
      </c>
      <c r="AA725" s="36"/>
      <c r="AB725" s="30">
        <v>71.5</v>
      </c>
      <c r="AC725" s="44">
        <v>386.07</v>
      </c>
      <c r="AD725" s="35">
        <v>9.1920000000000002</v>
      </c>
      <c r="AE725" s="36"/>
      <c r="AF725" s="30">
        <v>71.5</v>
      </c>
      <c r="AG725" s="34">
        <v>2.6318000000000001</v>
      </c>
      <c r="AH725" s="35">
        <v>0.11053</v>
      </c>
      <c r="AI725" s="35"/>
      <c r="AJ725" s="35">
        <v>0.15483</v>
      </c>
      <c r="AK725" s="998">
        <v>13.5</v>
      </c>
      <c r="AM725" s="30">
        <v>71.5</v>
      </c>
      <c r="AN725" s="34">
        <v>1.3039000000000001</v>
      </c>
      <c r="AO725" s="35">
        <v>1.4602999999999999</v>
      </c>
      <c r="BX725" s="43"/>
      <c r="BY725" s="34"/>
      <c r="BZ725" s="59"/>
      <c r="CB725" s="43"/>
      <c r="CC725" s="34"/>
      <c r="CD725" s="59"/>
      <c r="CL725" s="43"/>
      <c r="CM725" s="34"/>
      <c r="CN725" s="59"/>
      <c r="CP725" s="43"/>
      <c r="CQ725" s="34"/>
      <c r="CR725" s="59"/>
      <c r="CT725" s="43"/>
      <c r="CU725" s="34"/>
      <c r="CV725" s="59"/>
    </row>
    <row r="726" spans="4:100">
      <c r="D726" s="30">
        <v>71.599999999999994</v>
      </c>
      <c r="E726" s="31">
        <v>0.69669999999999999</v>
      </c>
      <c r="F726" s="32">
        <v>696.5</v>
      </c>
      <c r="G726" s="33"/>
      <c r="H726" s="30">
        <v>71.599999999999994</v>
      </c>
      <c r="I726" s="34">
        <v>3.7826</v>
      </c>
      <c r="J726" s="35">
        <v>0.15887000000000001</v>
      </c>
      <c r="L726" s="30">
        <v>71.599999999999994</v>
      </c>
      <c r="M726" s="172">
        <v>5.7990000000000004</v>
      </c>
      <c r="N726" s="173">
        <v>0.17244000000000001</v>
      </c>
      <c r="P726" s="30">
        <v>71.599999999999994</v>
      </c>
      <c r="Q726" s="172">
        <v>2.8996</v>
      </c>
      <c r="R726" s="173">
        <v>0.12178</v>
      </c>
      <c r="T726" s="30">
        <v>71.599999999999994</v>
      </c>
      <c r="U726" s="172">
        <v>344.88</v>
      </c>
      <c r="V726" s="173">
        <v>8.2109999999999896</v>
      </c>
      <c r="X726" s="30">
        <v>71.599999999999994</v>
      </c>
      <c r="Y726" s="34">
        <v>2.5889000000000002</v>
      </c>
      <c r="Z726" s="35">
        <v>0.10872999999999999</v>
      </c>
      <c r="AA726" s="36"/>
      <c r="AB726" s="30">
        <v>71.599999999999994</v>
      </c>
      <c r="AC726" s="44">
        <v>386.26</v>
      </c>
      <c r="AD726" s="35">
        <v>9.1969999999999992</v>
      </c>
      <c r="AE726" s="36"/>
      <c r="AF726" s="30">
        <v>71.599999999999994</v>
      </c>
      <c r="AG726" s="34">
        <v>2.6305000000000001</v>
      </c>
      <c r="AH726" s="35">
        <v>0.11047999999999999</v>
      </c>
      <c r="AI726" s="35"/>
      <c r="AJ726" s="35">
        <v>0.15493000000000001</v>
      </c>
      <c r="AK726" s="998">
        <v>13.4</v>
      </c>
      <c r="AM726" s="30">
        <v>71.599999999999994</v>
      </c>
      <c r="AN726" s="34">
        <v>1.3045</v>
      </c>
      <c r="AO726" s="35">
        <v>1.4611000000000001</v>
      </c>
      <c r="BX726" s="43"/>
      <c r="BY726" s="34"/>
      <c r="BZ726" s="59"/>
      <c r="CB726" s="43"/>
      <c r="CC726" s="34"/>
      <c r="CD726" s="59"/>
      <c r="CL726" s="43"/>
      <c r="CM726" s="34"/>
      <c r="CN726" s="59"/>
      <c r="CP726" s="43"/>
      <c r="CQ726" s="34"/>
      <c r="CR726" s="59"/>
      <c r="CT726" s="43"/>
      <c r="CU726" s="34"/>
      <c r="CV726" s="59"/>
    </row>
    <row r="727" spans="4:100">
      <c r="D727" s="30">
        <v>71.7</v>
      </c>
      <c r="E727" s="31">
        <v>0.69640000000000002</v>
      </c>
      <c r="F727" s="32">
        <v>696.2</v>
      </c>
      <c r="G727" s="33"/>
      <c r="H727" s="30">
        <v>71.7</v>
      </c>
      <c r="I727" s="34">
        <v>3.7826</v>
      </c>
      <c r="J727" s="35">
        <v>0.15887000000000001</v>
      </c>
      <c r="L727" s="30">
        <v>71.7</v>
      </c>
      <c r="M727" s="172">
        <v>5.7960000000000003</v>
      </c>
      <c r="N727" s="173">
        <v>0.17252000000000001</v>
      </c>
      <c r="P727" s="30">
        <v>71.7</v>
      </c>
      <c r="Q727" s="172">
        <v>2.8982000000000001</v>
      </c>
      <c r="R727" s="173">
        <v>0.12171999999999999</v>
      </c>
      <c r="T727" s="30">
        <v>71.7</v>
      </c>
      <c r="U727" s="172">
        <v>345.05</v>
      </c>
      <c r="V727" s="173">
        <v>8.2149999999999892</v>
      </c>
      <c r="X727" s="30">
        <v>71.7</v>
      </c>
      <c r="Y727" s="34">
        <v>2.5876000000000001</v>
      </c>
      <c r="Z727" s="35">
        <v>0.10868</v>
      </c>
      <c r="AA727" s="36"/>
      <c r="AB727" s="30">
        <v>71.7</v>
      </c>
      <c r="AC727" s="44">
        <v>386.45</v>
      </c>
      <c r="AD727" s="35">
        <v>9.2010000000000005</v>
      </c>
      <c r="AE727" s="36"/>
      <c r="AF727" s="30">
        <v>71.7</v>
      </c>
      <c r="AG727" s="34">
        <v>2.6292</v>
      </c>
      <c r="AH727" s="35">
        <v>0.11043</v>
      </c>
      <c r="AI727" s="35"/>
      <c r="AJ727" s="35">
        <v>0.15504000000000001</v>
      </c>
      <c r="AK727" s="998">
        <v>13.3</v>
      </c>
      <c r="AM727" s="30">
        <v>71.7</v>
      </c>
      <c r="AN727" s="34">
        <v>1.3051999999999999</v>
      </c>
      <c r="AO727" s="35">
        <v>1.4618</v>
      </c>
      <c r="BX727" s="43"/>
      <c r="BY727" s="34"/>
      <c r="BZ727" s="59"/>
      <c r="CB727" s="43"/>
      <c r="CC727" s="34"/>
      <c r="CD727" s="59"/>
      <c r="CL727" s="43"/>
      <c r="CM727" s="34"/>
      <c r="CN727" s="59"/>
      <c r="CP727" s="43"/>
      <c r="CQ727" s="34"/>
      <c r="CR727" s="59"/>
      <c r="CT727" s="43"/>
      <c r="CU727" s="34"/>
      <c r="CV727" s="59"/>
    </row>
    <row r="728" spans="4:100">
      <c r="D728" s="30">
        <v>71.8</v>
      </c>
      <c r="E728" s="31">
        <v>0.69599999999999995</v>
      </c>
      <c r="F728" s="32">
        <v>695.8</v>
      </c>
      <c r="G728" s="33"/>
      <c r="H728" s="30">
        <v>71.8</v>
      </c>
      <c r="I728" s="34">
        <v>3.7826</v>
      </c>
      <c r="J728" s="35">
        <v>0.15887000000000001</v>
      </c>
      <c r="L728" s="30">
        <v>71.8</v>
      </c>
      <c r="M728" s="172">
        <v>5.7930000000000001</v>
      </c>
      <c r="N728" s="173">
        <v>0.17261000000000001</v>
      </c>
      <c r="P728" s="30">
        <v>71.8</v>
      </c>
      <c r="Q728" s="172">
        <v>2.8967000000000001</v>
      </c>
      <c r="R728" s="173">
        <v>0.12166</v>
      </c>
      <c r="T728" s="30">
        <v>71.8</v>
      </c>
      <c r="U728" s="172">
        <v>345.22</v>
      </c>
      <c r="V728" s="173">
        <v>8.2189999999999905</v>
      </c>
      <c r="X728" s="30">
        <v>71.8</v>
      </c>
      <c r="Y728" s="34">
        <v>2.5863999999999998</v>
      </c>
      <c r="Z728" s="35">
        <v>0.10863</v>
      </c>
      <c r="AA728" s="36"/>
      <c r="AB728" s="30">
        <v>71.8</v>
      </c>
      <c r="AC728" s="44">
        <v>386.64</v>
      </c>
      <c r="AD728" s="35">
        <v>9.2059999999999995</v>
      </c>
      <c r="AE728" s="36"/>
      <c r="AF728" s="30">
        <v>71.8</v>
      </c>
      <c r="AG728" s="34">
        <v>2.6278999999999999</v>
      </c>
      <c r="AH728" s="35">
        <v>0.11037</v>
      </c>
      <c r="AI728" s="35"/>
      <c r="AJ728" s="35">
        <v>0.15515000000000001</v>
      </c>
      <c r="AK728" s="998">
        <v>13.2</v>
      </c>
      <c r="AM728" s="30">
        <v>71.8</v>
      </c>
      <c r="AN728" s="34">
        <v>1.3058000000000001</v>
      </c>
      <c r="AO728" s="35">
        <v>1.4624999999999999</v>
      </c>
      <c r="BX728" s="43"/>
      <c r="BY728" s="34"/>
      <c r="BZ728" s="59"/>
      <c r="CB728" s="43"/>
      <c r="CC728" s="34"/>
      <c r="CD728" s="59"/>
      <c r="CL728" s="43"/>
      <c r="CM728" s="34"/>
      <c r="CN728" s="59"/>
      <c r="CP728" s="43"/>
      <c r="CQ728" s="34"/>
      <c r="CR728" s="59"/>
      <c r="CT728" s="43"/>
      <c r="CU728" s="34"/>
      <c r="CV728" s="59"/>
    </row>
    <row r="729" spans="4:100">
      <c r="D729" s="30">
        <v>71.900000000000006</v>
      </c>
      <c r="E729" s="31">
        <v>0.69569999999999999</v>
      </c>
      <c r="F729" s="32">
        <v>695.5</v>
      </c>
      <c r="G729" s="33"/>
      <c r="H729" s="30">
        <v>71.900000000000006</v>
      </c>
      <c r="I729" s="34">
        <v>3.7826</v>
      </c>
      <c r="J729" s="35">
        <v>0.15887000000000001</v>
      </c>
      <c r="L729" s="30">
        <v>71.900000000000006</v>
      </c>
      <c r="M729" s="172">
        <v>5.7910000000000004</v>
      </c>
      <c r="N729" s="173">
        <v>0.17269000000000001</v>
      </c>
      <c r="P729" s="30">
        <v>71.900000000000006</v>
      </c>
      <c r="Q729" s="172">
        <v>2.8953000000000002</v>
      </c>
      <c r="R729" s="173">
        <v>0.1216</v>
      </c>
      <c r="T729" s="30">
        <v>71.900000000000006</v>
      </c>
      <c r="U729" s="172">
        <v>345.39</v>
      </c>
      <c r="V729" s="173">
        <v>8.2229999999999901</v>
      </c>
      <c r="X729" s="30">
        <v>71.900000000000006</v>
      </c>
      <c r="Y729" s="34">
        <v>2.5851000000000002</v>
      </c>
      <c r="Z729" s="35">
        <v>0.10857</v>
      </c>
      <c r="AA729" s="36"/>
      <c r="AB729" s="30">
        <v>71.900000000000006</v>
      </c>
      <c r="AC729" s="44">
        <v>386.83</v>
      </c>
      <c r="AD729" s="35">
        <v>9.2100000000000009</v>
      </c>
      <c r="AE729" s="36"/>
      <c r="AF729" s="30">
        <v>71.900000000000006</v>
      </c>
      <c r="AG729" s="34">
        <v>2.6265999999999998</v>
      </c>
      <c r="AH729" s="35">
        <v>0.11032</v>
      </c>
      <c r="AI729" s="35"/>
      <c r="AJ729" s="35">
        <v>0.15525</v>
      </c>
      <c r="AK729" s="998">
        <v>13.1</v>
      </c>
      <c r="AM729" s="30">
        <v>71.900000000000006</v>
      </c>
      <c r="AN729" s="34">
        <v>1.3064</v>
      </c>
      <c r="AO729" s="35">
        <v>1.4632000000000001</v>
      </c>
      <c r="BX729" s="43"/>
      <c r="BY729" s="34"/>
      <c r="BZ729" s="59"/>
      <c r="CB729" s="43"/>
      <c r="CC729" s="34"/>
      <c r="CD729" s="59"/>
      <c r="CL729" s="43"/>
      <c r="CM729" s="34"/>
      <c r="CN729" s="59"/>
      <c r="CP729" s="43"/>
      <c r="CQ729" s="34"/>
      <c r="CR729" s="59"/>
      <c r="CT729" s="43"/>
      <c r="CU729" s="34"/>
      <c r="CV729" s="59"/>
    </row>
    <row r="730" spans="4:100">
      <c r="D730" s="30">
        <v>72</v>
      </c>
      <c r="E730" s="31">
        <v>0.69530000000000003</v>
      </c>
      <c r="F730" s="32">
        <v>695.2</v>
      </c>
      <c r="G730" s="33"/>
      <c r="H730" s="30">
        <v>72</v>
      </c>
      <c r="I730" s="34">
        <v>3.7826</v>
      </c>
      <c r="J730" s="35">
        <v>0.15887000000000001</v>
      </c>
      <c r="L730" s="30">
        <v>72</v>
      </c>
      <c r="M730" s="172">
        <v>5.7880000000000003</v>
      </c>
      <c r="N730" s="173">
        <v>0.17277999999999999</v>
      </c>
      <c r="P730" s="30">
        <v>72</v>
      </c>
      <c r="Q730" s="172">
        <v>2.8938999999999999</v>
      </c>
      <c r="R730" s="173">
        <v>0.12154</v>
      </c>
      <c r="T730" s="30">
        <v>72</v>
      </c>
      <c r="U730" s="172">
        <v>345.56</v>
      </c>
      <c r="V730" s="173">
        <v>8.2279999999999998</v>
      </c>
      <c r="X730" s="30">
        <v>72</v>
      </c>
      <c r="Y730" s="34">
        <v>2.5838000000000001</v>
      </c>
      <c r="Z730" s="35">
        <v>0.10852000000000001</v>
      </c>
      <c r="AA730" s="36"/>
      <c r="AB730" s="30">
        <v>72</v>
      </c>
      <c r="AC730" s="44">
        <v>387.02</v>
      </c>
      <c r="AD730" s="35">
        <v>9.2149999999999999</v>
      </c>
      <c r="AE730" s="36"/>
      <c r="AF730" s="30">
        <v>72</v>
      </c>
      <c r="AG730" s="34">
        <v>2.6253000000000002</v>
      </c>
      <c r="AH730" s="35">
        <v>0.11026</v>
      </c>
      <c r="AI730" s="35"/>
      <c r="AJ730" s="35">
        <v>0.15536</v>
      </c>
      <c r="AK730" s="998">
        <v>13</v>
      </c>
      <c r="AM730" s="30">
        <v>72</v>
      </c>
      <c r="AN730" s="34">
        <v>1.3070999999999999</v>
      </c>
      <c r="AO730" s="35">
        <v>1.4639</v>
      </c>
      <c r="BX730" s="43"/>
      <c r="BY730" s="34"/>
      <c r="BZ730" s="59"/>
      <c r="CB730" s="43"/>
      <c r="CC730" s="34"/>
      <c r="CD730" s="59"/>
      <c r="CL730" s="43"/>
      <c r="CM730" s="34"/>
      <c r="CN730" s="59"/>
      <c r="CP730" s="43"/>
      <c r="CQ730" s="34"/>
      <c r="CR730" s="59"/>
      <c r="CT730" s="43"/>
      <c r="CU730" s="34"/>
      <c r="CV730" s="59"/>
    </row>
    <row r="731" spans="4:100">
      <c r="D731" s="30">
        <v>72.099999999999994</v>
      </c>
      <c r="E731" s="31">
        <v>0.69499999999999995</v>
      </c>
      <c r="F731" s="32">
        <v>694.8</v>
      </c>
      <c r="G731" s="33"/>
      <c r="H731" s="30">
        <v>72.099999999999994</v>
      </c>
      <c r="I731" s="34">
        <v>3.7826</v>
      </c>
      <c r="J731" s="35">
        <v>0.15887000000000001</v>
      </c>
      <c r="L731" s="30">
        <v>72.099999999999994</v>
      </c>
      <c r="M731" s="172">
        <v>5.7850000000000001</v>
      </c>
      <c r="N731" s="173">
        <v>0.17286000000000001</v>
      </c>
      <c r="P731" s="30">
        <v>72.099999999999994</v>
      </c>
      <c r="Q731" s="172">
        <v>2.8925000000000001</v>
      </c>
      <c r="R731" s="173">
        <v>0.12148</v>
      </c>
      <c r="T731" s="30">
        <v>72.099999999999994</v>
      </c>
      <c r="U731" s="172">
        <v>345.73</v>
      </c>
      <c r="V731" s="173">
        <v>8.2319999999999993</v>
      </c>
      <c r="X731" s="30">
        <v>72.099999999999994</v>
      </c>
      <c r="Y731" s="34">
        <v>2.5825999999999998</v>
      </c>
      <c r="Z731" s="35">
        <v>0.10847</v>
      </c>
      <c r="AA731" s="36"/>
      <c r="AB731" s="30">
        <v>72.099999999999994</v>
      </c>
      <c r="AC731" s="44">
        <v>387.21</v>
      </c>
      <c r="AD731" s="35">
        <v>9.2189999999999994</v>
      </c>
      <c r="AE731" s="36"/>
      <c r="AF731" s="30">
        <v>72.099999999999994</v>
      </c>
      <c r="AG731" s="34">
        <v>2.6240000000000001</v>
      </c>
      <c r="AH731" s="35">
        <v>0.11021</v>
      </c>
      <c r="AI731" s="35"/>
      <c r="AJ731" s="35">
        <v>0.15547</v>
      </c>
      <c r="AK731" s="998">
        <v>12.9</v>
      </c>
      <c r="AM731" s="30">
        <v>72.099999999999994</v>
      </c>
      <c r="AN731" s="34">
        <v>1.3077000000000001</v>
      </c>
      <c r="AO731" s="35">
        <v>1.4646999999999999</v>
      </c>
      <c r="BX731" s="43"/>
      <c r="BY731" s="34"/>
      <c r="BZ731" s="59"/>
      <c r="CB731" s="43"/>
      <c r="CC731" s="34"/>
      <c r="CD731" s="59"/>
      <c r="CL731" s="43"/>
      <c r="CM731" s="34"/>
      <c r="CN731" s="59"/>
      <c r="CP731" s="43"/>
      <c r="CQ731" s="34"/>
      <c r="CR731" s="59"/>
      <c r="CT731" s="43"/>
      <c r="CU731" s="34"/>
      <c r="CV731" s="59"/>
    </row>
    <row r="732" spans="4:100">
      <c r="D732" s="30">
        <v>72.2</v>
      </c>
      <c r="E732" s="31">
        <v>0.6946</v>
      </c>
      <c r="F732" s="32">
        <v>694.5</v>
      </c>
      <c r="G732" s="33"/>
      <c r="H732" s="30">
        <v>72.2</v>
      </c>
      <c r="I732" s="34">
        <v>3.7826</v>
      </c>
      <c r="J732" s="35">
        <v>0.15887000000000001</v>
      </c>
      <c r="L732" s="30">
        <v>72.2</v>
      </c>
      <c r="M732" s="172">
        <v>5.782</v>
      </c>
      <c r="N732" s="173">
        <v>0.17294999999999999</v>
      </c>
      <c r="P732" s="30">
        <v>72.2</v>
      </c>
      <c r="Q732" s="172">
        <v>2.891</v>
      </c>
      <c r="R732" s="173">
        <v>0.12142</v>
      </c>
      <c r="T732" s="30">
        <v>72.2</v>
      </c>
      <c r="U732" s="172">
        <v>345.9</v>
      </c>
      <c r="V732" s="173">
        <v>8.2360000000000007</v>
      </c>
      <c r="X732" s="30">
        <v>72.2</v>
      </c>
      <c r="Y732" s="34">
        <v>2.5813000000000001</v>
      </c>
      <c r="Z732" s="35">
        <v>0.10841000000000001</v>
      </c>
      <c r="AA732" s="36"/>
      <c r="AB732" s="30">
        <v>72.2</v>
      </c>
      <c r="AC732" s="44">
        <v>387.4</v>
      </c>
      <c r="AD732" s="35">
        <v>9.2240000000000002</v>
      </c>
      <c r="AE732" s="36"/>
      <c r="AF732" s="30">
        <v>72.2</v>
      </c>
      <c r="AG732" s="34">
        <v>2.6227</v>
      </c>
      <c r="AH732" s="35">
        <v>0.11015</v>
      </c>
      <c r="AI732" s="35"/>
      <c r="AJ732" s="35">
        <v>0.15558</v>
      </c>
      <c r="AK732" s="998">
        <v>12.8</v>
      </c>
      <c r="AM732" s="30">
        <v>72.2</v>
      </c>
      <c r="AN732" s="34">
        <v>1.3084</v>
      </c>
      <c r="AO732" s="35">
        <v>1.4654</v>
      </c>
      <c r="BX732" s="43"/>
      <c r="BY732" s="34"/>
      <c r="BZ732" s="59"/>
      <c r="CB732" s="43"/>
      <c r="CC732" s="34"/>
      <c r="CD732" s="59"/>
      <c r="CL732" s="43"/>
      <c r="CM732" s="34"/>
      <c r="CN732" s="59"/>
      <c r="CP732" s="43"/>
      <c r="CQ732" s="34"/>
      <c r="CR732" s="59"/>
      <c r="CT732" s="43"/>
      <c r="CU732" s="34"/>
      <c r="CV732" s="59"/>
    </row>
    <row r="733" spans="4:100">
      <c r="D733" s="30">
        <v>72.3</v>
      </c>
      <c r="E733" s="31">
        <v>0.69430000000000003</v>
      </c>
      <c r="F733" s="32">
        <v>694.1</v>
      </c>
      <c r="G733" s="33"/>
      <c r="H733" s="30">
        <v>72.3</v>
      </c>
      <c r="I733" s="34">
        <v>3.7826</v>
      </c>
      <c r="J733" s="35">
        <v>0.15887000000000001</v>
      </c>
      <c r="L733" s="30">
        <v>72.3</v>
      </c>
      <c r="M733" s="172">
        <v>5.7789999999999999</v>
      </c>
      <c r="N733" s="173">
        <v>0.17302999999999999</v>
      </c>
      <c r="P733" s="30">
        <v>72.3</v>
      </c>
      <c r="Q733" s="172">
        <v>2.8896000000000002</v>
      </c>
      <c r="R733" s="173">
        <v>0.12136</v>
      </c>
      <c r="T733" s="30">
        <v>72.3</v>
      </c>
      <c r="U733" s="172">
        <v>346.07</v>
      </c>
      <c r="V733" s="173">
        <v>8.24</v>
      </c>
      <c r="X733" s="30">
        <v>72.3</v>
      </c>
      <c r="Y733" s="34">
        <v>2.58</v>
      </c>
      <c r="Z733" s="35">
        <v>0.10836</v>
      </c>
      <c r="AA733" s="36"/>
      <c r="AB733" s="30">
        <v>72.3</v>
      </c>
      <c r="AC733" s="44">
        <v>387.59</v>
      </c>
      <c r="AD733" s="35">
        <v>9.2279999999999998</v>
      </c>
      <c r="AE733" s="36"/>
      <c r="AF733" s="30">
        <v>72.3</v>
      </c>
      <c r="AG733" s="34">
        <v>2.6214</v>
      </c>
      <c r="AH733" s="35">
        <v>0.1101</v>
      </c>
      <c r="AI733" s="35"/>
      <c r="AJ733" s="35">
        <v>0.15569</v>
      </c>
      <c r="AK733" s="998">
        <v>12.7</v>
      </c>
      <c r="AM733" s="30">
        <v>72.3</v>
      </c>
      <c r="AN733" s="34">
        <v>1.3089999999999999</v>
      </c>
      <c r="AO733" s="35">
        <v>1.4661</v>
      </c>
      <c r="BX733" s="43"/>
      <c r="BY733" s="34"/>
      <c r="BZ733" s="59"/>
      <c r="CB733" s="43"/>
      <c r="CC733" s="34"/>
      <c r="CD733" s="59"/>
      <c r="CL733" s="43"/>
      <c r="CM733" s="34"/>
      <c r="CN733" s="59"/>
      <c r="CP733" s="43"/>
      <c r="CQ733" s="34"/>
      <c r="CR733" s="59"/>
      <c r="CT733" s="43"/>
      <c r="CU733" s="34"/>
      <c r="CV733" s="59"/>
    </row>
    <row r="734" spans="4:100">
      <c r="D734" s="30">
        <v>72.400000000000006</v>
      </c>
      <c r="E734" s="31">
        <v>0.69399999999999995</v>
      </c>
      <c r="F734" s="32">
        <v>693.8</v>
      </c>
      <c r="G734" s="33"/>
      <c r="H734" s="30">
        <v>72.400000000000006</v>
      </c>
      <c r="I734" s="34">
        <v>3.7826</v>
      </c>
      <c r="J734" s="35">
        <v>0.15887000000000001</v>
      </c>
      <c r="L734" s="30">
        <v>72.400000000000006</v>
      </c>
      <c r="M734" s="172">
        <v>5.7759999999999998</v>
      </c>
      <c r="N734" s="173">
        <v>0.17312</v>
      </c>
      <c r="P734" s="30">
        <v>72.400000000000006</v>
      </c>
      <c r="Q734" s="172">
        <v>2.8881999999999999</v>
      </c>
      <c r="R734" s="173">
        <v>0.12130000000000001</v>
      </c>
      <c r="T734" s="30">
        <v>72.400000000000006</v>
      </c>
      <c r="U734" s="172">
        <v>346.24</v>
      </c>
      <c r="V734" s="173">
        <v>8.2439999999999998</v>
      </c>
      <c r="X734" s="30">
        <v>72.400000000000006</v>
      </c>
      <c r="Y734" s="34">
        <v>2.5787</v>
      </c>
      <c r="Z734" s="35">
        <v>0.10831</v>
      </c>
      <c r="AA734" s="36"/>
      <c r="AB734" s="30">
        <v>72.400000000000006</v>
      </c>
      <c r="AC734" s="44">
        <v>387.78</v>
      </c>
      <c r="AD734" s="35">
        <v>9.2330000000000005</v>
      </c>
      <c r="AE734" s="36"/>
      <c r="AF734" s="30">
        <v>72.400000000000006</v>
      </c>
      <c r="AG734" s="34">
        <v>2.6200999999999999</v>
      </c>
      <c r="AH734" s="35">
        <v>0.11005</v>
      </c>
      <c r="AI734" s="35"/>
      <c r="AJ734" s="35">
        <v>0.15579000000000001</v>
      </c>
      <c r="AK734" s="998">
        <v>12.6</v>
      </c>
      <c r="AM734" s="30">
        <v>72.400000000000006</v>
      </c>
      <c r="AN734" s="34">
        <v>1.3097000000000001</v>
      </c>
      <c r="AO734" s="35">
        <v>1.4668000000000001</v>
      </c>
      <c r="BX734" s="43"/>
      <c r="BY734" s="34"/>
      <c r="BZ734" s="59"/>
      <c r="CB734" s="43"/>
      <c r="CC734" s="34"/>
      <c r="CD734" s="59"/>
      <c r="CL734" s="43"/>
      <c r="CM734" s="34"/>
      <c r="CN734" s="59"/>
      <c r="CP734" s="43"/>
      <c r="CQ734" s="34"/>
      <c r="CR734" s="59"/>
      <c r="CT734" s="43"/>
      <c r="CU734" s="34"/>
      <c r="CV734" s="59"/>
    </row>
    <row r="735" spans="4:100">
      <c r="D735" s="30">
        <v>72.5</v>
      </c>
      <c r="E735" s="31">
        <v>0.69359999999999999</v>
      </c>
      <c r="F735" s="32">
        <v>693.5</v>
      </c>
      <c r="G735" s="33"/>
      <c r="H735" s="30">
        <v>72.5</v>
      </c>
      <c r="I735" s="34">
        <v>3.7826</v>
      </c>
      <c r="J735" s="35">
        <v>0.15887000000000001</v>
      </c>
      <c r="L735" s="30">
        <v>72.5</v>
      </c>
      <c r="M735" s="172">
        <v>5.774</v>
      </c>
      <c r="N735" s="173">
        <v>0.17319999999999999</v>
      </c>
      <c r="P735" s="30">
        <v>72.5</v>
      </c>
      <c r="Q735" s="172">
        <v>2.8868</v>
      </c>
      <c r="R735" s="173">
        <v>0.12124</v>
      </c>
      <c r="T735" s="30">
        <v>72.5</v>
      </c>
      <c r="U735" s="172">
        <v>346.41</v>
      </c>
      <c r="V735" s="173">
        <v>8.2479999999999993</v>
      </c>
      <c r="X735" s="30">
        <v>72.5</v>
      </c>
      <c r="Y735" s="34">
        <v>2.5775000000000001</v>
      </c>
      <c r="Z735" s="35">
        <v>0.10825</v>
      </c>
      <c r="AA735" s="36"/>
      <c r="AB735" s="30">
        <v>72.5</v>
      </c>
      <c r="AC735" s="44">
        <v>387.98</v>
      </c>
      <c r="AD735" s="35">
        <v>9.2379999999999995</v>
      </c>
      <c r="AE735" s="36"/>
      <c r="AF735" s="30">
        <v>72.5</v>
      </c>
      <c r="AG735" s="34">
        <v>2.6187999999999998</v>
      </c>
      <c r="AH735" s="35">
        <v>0.10999</v>
      </c>
      <c r="AI735" s="35"/>
      <c r="AJ735" s="35">
        <v>0.15590000000000001</v>
      </c>
      <c r="AK735" s="998">
        <v>12.5</v>
      </c>
      <c r="AM735" s="30">
        <v>72.5</v>
      </c>
      <c r="AN735" s="34">
        <v>1.3103</v>
      </c>
      <c r="AO735" s="35">
        <v>1.4675</v>
      </c>
      <c r="BX735" s="43"/>
      <c r="BY735" s="34"/>
      <c r="BZ735" s="59"/>
      <c r="CB735" s="43"/>
      <c r="CC735" s="34"/>
      <c r="CD735" s="59"/>
      <c r="CL735" s="43"/>
      <c r="CM735" s="34"/>
      <c r="CN735" s="59"/>
      <c r="CP735" s="43"/>
      <c r="CQ735" s="34"/>
      <c r="CR735" s="59"/>
      <c r="CT735" s="43"/>
      <c r="CU735" s="34"/>
      <c r="CV735" s="59"/>
    </row>
    <row r="736" spans="4:100">
      <c r="D736" s="30">
        <v>72.599999999999994</v>
      </c>
      <c r="E736" s="31">
        <v>0.69330000000000003</v>
      </c>
      <c r="F736" s="32">
        <v>693.1</v>
      </c>
      <c r="G736" s="33"/>
      <c r="H736" s="30">
        <v>72.599999999999994</v>
      </c>
      <c r="I736" s="34">
        <v>3.7826</v>
      </c>
      <c r="J736" s="35">
        <v>0.15887000000000001</v>
      </c>
      <c r="L736" s="30">
        <v>72.599999999999994</v>
      </c>
      <c r="M736" s="172">
        <v>5.7709999999999999</v>
      </c>
      <c r="N736" s="173">
        <v>0.17329</v>
      </c>
      <c r="P736" s="30">
        <v>72.599999999999994</v>
      </c>
      <c r="Q736" s="172">
        <v>2.8854000000000002</v>
      </c>
      <c r="R736" s="173">
        <v>0.12119000000000001</v>
      </c>
      <c r="T736" s="30">
        <v>72.599999999999994</v>
      </c>
      <c r="U736" s="172">
        <v>346.58</v>
      </c>
      <c r="V736" s="173">
        <v>8.2520000000000007</v>
      </c>
      <c r="X736" s="30">
        <v>72.599999999999994</v>
      </c>
      <c r="Y736" s="34">
        <v>2.5762</v>
      </c>
      <c r="Z736" s="35">
        <v>0.1082</v>
      </c>
      <c r="AA736" s="36"/>
      <c r="AB736" s="30">
        <v>72.599999999999994</v>
      </c>
      <c r="AC736" s="44">
        <v>388.17</v>
      </c>
      <c r="AD736" s="35">
        <v>9.2420000000000009</v>
      </c>
      <c r="AE736" s="36"/>
      <c r="AF736" s="30">
        <v>72.599999999999994</v>
      </c>
      <c r="AG736" s="34">
        <v>2.6175999999999999</v>
      </c>
      <c r="AH736" s="35">
        <v>0.10994</v>
      </c>
      <c r="AI736" s="35"/>
      <c r="AJ736" s="35">
        <v>0.15601000000000001</v>
      </c>
      <c r="AK736" s="998">
        <v>12.4</v>
      </c>
      <c r="AM736" s="30">
        <v>72.599999999999994</v>
      </c>
      <c r="AN736" s="34">
        <v>1.3109</v>
      </c>
      <c r="AO736" s="35">
        <v>1.4682999999999999</v>
      </c>
      <c r="BX736" s="43"/>
      <c r="BY736" s="34"/>
      <c r="BZ736" s="59"/>
      <c r="CB736" s="43"/>
      <c r="CC736" s="34"/>
      <c r="CD736" s="59"/>
      <c r="CL736" s="43"/>
      <c r="CM736" s="34"/>
      <c r="CN736" s="59"/>
      <c r="CP736" s="43"/>
      <c r="CQ736" s="34"/>
      <c r="CR736" s="59"/>
      <c r="CT736" s="43"/>
      <c r="CU736" s="34"/>
      <c r="CV736" s="59"/>
    </row>
    <row r="737" spans="4:100">
      <c r="D737" s="30">
        <v>72.7</v>
      </c>
      <c r="E737" s="31">
        <v>0.69289999999999996</v>
      </c>
      <c r="F737" s="32">
        <v>692.8</v>
      </c>
      <c r="G737" s="33"/>
      <c r="H737" s="30">
        <v>72.7</v>
      </c>
      <c r="I737" s="34">
        <v>3.7826</v>
      </c>
      <c r="J737" s="35">
        <v>0.15887000000000001</v>
      </c>
      <c r="L737" s="30">
        <v>72.7</v>
      </c>
      <c r="M737" s="172">
        <v>5.7679999999999998</v>
      </c>
      <c r="N737" s="173">
        <v>0.17337</v>
      </c>
      <c r="P737" s="30">
        <v>72.7</v>
      </c>
      <c r="Q737" s="172">
        <v>2.8839000000000001</v>
      </c>
      <c r="R737" s="173">
        <v>0.12113</v>
      </c>
      <c r="T737" s="30">
        <v>72.7</v>
      </c>
      <c r="U737" s="172">
        <v>346.75</v>
      </c>
      <c r="V737" s="173">
        <v>8.2560000000000002</v>
      </c>
      <c r="X737" s="30">
        <v>72.7</v>
      </c>
      <c r="Y737" s="34">
        <v>2.5750000000000002</v>
      </c>
      <c r="Z737" s="35">
        <v>0.10815</v>
      </c>
      <c r="AA737" s="36"/>
      <c r="AB737" s="30">
        <v>72.7</v>
      </c>
      <c r="AC737" s="44">
        <v>388.36</v>
      </c>
      <c r="AD737" s="35">
        <v>9.2469999999999999</v>
      </c>
      <c r="AE737" s="36"/>
      <c r="AF737" s="30">
        <v>72.7</v>
      </c>
      <c r="AG737" s="34">
        <v>2.6162999999999998</v>
      </c>
      <c r="AH737" s="35">
        <v>0.10988000000000001</v>
      </c>
      <c r="AI737" s="35"/>
      <c r="AJ737" s="35">
        <v>0.15612000000000001</v>
      </c>
      <c r="AK737" s="998">
        <v>12.3</v>
      </c>
      <c r="AM737" s="30">
        <v>72.7</v>
      </c>
      <c r="AN737" s="34">
        <v>1.3116000000000001</v>
      </c>
      <c r="AO737" s="35">
        <v>1.4690000000000001</v>
      </c>
      <c r="BX737" s="43"/>
      <c r="BY737" s="34"/>
      <c r="BZ737" s="59"/>
      <c r="CB737" s="43"/>
      <c r="CC737" s="34"/>
      <c r="CD737" s="59"/>
      <c r="CL737" s="43"/>
      <c r="CM737" s="34"/>
      <c r="CN737" s="59"/>
      <c r="CP737" s="43"/>
      <c r="CQ737" s="34"/>
      <c r="CR737" s="59"/>
      <c r="CT737" s="43"/>
      <c r="CU737" s="34"/>
      <c r="CV737" s="59"/>
    </row>
    <row r="738" spans="4:100">
      <c r="D738" s="30">
        <v>72.8</v>
      </c>
      <c r="E738" s="31">
        <v>0.69259999999999999</v>
      </c>
      <c r="F738" s="32">
        <v>692.4</v>
      </c>
      <c r="G738" s="33"/>
      <c r="H738" s="30">
        <v>72.8</v>
      </c>
      <c r="I738" s="34">
        <v>3.7826</v>
      </c>
      <c r="J738" s="35">
        <v>0.15887000000000001</v>
      </c>
      <c r="L738" s="30">
        <v>72.8</v>
      </c>
      <c r="M738" s="172">
        <v>5.7649999999999997</v>
      </c>
      <c r="N738" s="173">
        <v>0.17346</v>
      </c>
      <c r="P738" s="30">
        <v>72.8</v>
      </c>
      <c r="Q738" s="172">
        <v>2.8824999999999998</v>
      </c>
      <c r="R738" s="173">
        <v>0.12107</v>
      </c>
      <c r="T738" s="30">
        <v>72.8</v>
      </c>
      <c r="U738" s="172">
        <v>346.92</v>
      </c>
      <c r="V738" s="173">
        <v>8.26</v>
      </c>
      <c r="X738" s="30">
        <v>72.8</v>
      </c>
      <c r="Y738" s="34">
        <v>2.5737000000000001</v>
      </c>
      <c r="Z738" s="35">
        <v>0.1081</v>
      </c>
      <c r="AA738" s="36"/>
      <c r="AB738" s="30">
        <v>72.8</v>
      </c>
      <c r="AC738" s="44">
        <v>388.55</v>
      </c>
      <c r="AD738" s="35">
        <v>9.2509999999999994</v>
      </c>
      <c r="AE738" s="36"/>
      <c r="AF738" s="30">
        <v>72.8</v>
      </c>
      <c r="AG738" s="34">
        <v>2.6150000000000002</v>
      </c>
      <c r="AH738" s="35">
        <v>0.10983</v>
      </c>
      <c r="AI738" s="35"/>
      <c r="AJ738" s="35">
        <v>0.15623000000000001</v>
      </c>
      <c r="AK738" s="998">
        <v>12.2</v>
      </c>
      <c r="AM738" s="30">
        <v>72.8</v>
      </c>
      <c r="AN738" s="34">
        <v>1.3122</v>
      </c>
      <c r="AO738" s="35">
        <v>1.4697</v>
      </c>
      <c r="BX738" s="43"/>
      <c r="BY738" s="34"/>
      <c r="BZ738" s="59"/>
      <c r="CB738" s="43"/>
      <c r="CC738" s="34"/>
      <c r="CD738" s="59"/>
      <c r="CL738" s="43"/>
      <c r="CM738" s="34"/>
      <c r="CN738" s="59"/>
      <c r="CP738" s="43"/>
      <c r="CQ738" s="34"/>
      <c r="CR738" s="59"/>
      <c r="CT738" s="43"/>
      <c r="CU738" s="34"/>
      <c r="CV738" s="59"/>
    </row>
    <row r="739" spans="4:100">
      <c r="D739" s="30">
        <v>72.900000000000006</v>
      </c>
      <c r="E739" s="31">
        <v>0.69230000000000003</v>
      </c>
      <c r="F739" s="32">
        <v>692.1</v>
      </c>
      <c r="G739" s="33"/>
      <c r="H739" s="30">
        <v>72.900000000000006</v>
      </c>
      <c r="I739" s="34">
        <v>3.7826</v>
      </c>
      <c r="J739" s="35">
        <v>0.15887000000000001</v>
      </c>
      <c r="L739" s="30">
        <v>72.900000000000006</v>
      </c>
      <c r="M739" s="172">
        <v>5.7619999999999996</v>
      </c>
      <c r="N739" s="173">
        <v>0.17354</v>
      </c>
      <c r="P739" s="30">
        <v>72.900000000000006</v>
      </c>
      <c r="Q739" s="172">
        <v>2.8811</v>
      </c>
      <c r="R739" s="173">
        <v>0.12101000000000001</v>
      </c>
      <c r="T739" s="30">
        <v>72.900000000000006</v>
      </c>
      <c r="U739" s="172">
        <v>347.09</v>
      </c>
      <c r="V739" s="173">
        <v>8.2639999999999993</v>
      </c>
      <c r="X739" s="30">
        <v>72.900000000000006</v>
      </c>
      <c r="Y739" s="34">
        <v>2.5724</v>
      </c>
      <c r="Z739" s="35">
        <v>0.10804</v>
      </c>
      <c r="AA739" s="36"/>
      <c r="AB739" s="30">
        <v>72.900000000000006</v>
      </c>
      <c r="AC739" s="44">
        <v>388.74</v>
      </c>
      <c r="AD739" s="35">
        <v>9.2560000000000002</v>
      </c>
      <c r="AE739" s="36"/>
      <c r="AF739" s="30">
        <v>72.900000000000006</v>
      </c>
      <c r="AG739" s="34">
        <v>2.6137000000000001</v>
      </c>
      <c r="AH739" s="35">
        <v>0.10978</v>
      </c>
      <c r="AI739" s="35"/>
      <c r="AJ739" s="35">
        <v>0.15634000000000001</v>
      </c>
      <c r="AK739" s="998">
        <v>12.1</v>
      </c>
      <c r="AM739" s="30">
        <v>72.900000000000006</v>
      </c>
      <c r="AN739" s="34">
        <v>1.3129</v>
      </c>
      <c r="AO739" s="35">
        <v>1.4703999999999999</v>
      </c>
      <c r="BX739" s="43"/>
      <c r="BY739" s="34"/>
      <c r="BZ739" s="59"/>
      <c r="CB739" s="43"/>
      <c r="CC739" s="34"/>
      <c r="CD739" s="59"/>
      <c r="CL739" s="43"/>
      <c r="CM739" s="34"/>
      <c r="CN739" s="59"/>
      <c r="CP739" s="43"/>
      <c r="CQ739" s="34"/>
      <c r="CR739" s="59"/>
      <c r="CT739" s="43"/>
      <c r="CU739" s="34"/>
      <c r="CV739" s="59"/>
    </row>
    <row r="740" spans="4:100">
      <c r="D740" s="30">
        <v>73</v>
      </c>
      <c r="E740" s="31">
        <v>0.69189999999999996</v>
      </c>
      <c r="F740" s="32">
        <v>691.8</v>
      </c>
      <c r="G740" s="33"/>
      <c r="H740" s="30">
        <v>73</v>
      </c>
      <c r="I740" s="34">
        <v>3.7826</v>
      </c>
      <c r="J740" s="35">
        <v>0.15887000000000001</v>
      </c>
      <c r="L740" s="30">
        <v>73</v>
      </c>
      <c r="M740" s="172">
        <v>5.7590000000000003</v>
      </c>
      <c r="N740" s="173">
        <v>0.17363000000000001</v>
      </c>
      <c r="P740" s="30">
        <v>73</v>
      </c>
      <c r="Q740" s="172">
        <v>2.8797000000000001</v>
      </c>
      <c r="R740" s="173">
        <v>0.12095</v>
      </c>
      <c r="T740" s="30">
        <v>73</v>
      </c>
      <c r="U740" s="172">
        <v>347.26</v>
      </c>
      <c r="V740" s="173">
        <v>8.2680000000000007</v>
      </c>
      <c r="X740" s="30">
        <v>73</v>
      </c>
      <c r="Y740" s="34">
        <v>2.5712000000000002</v>
      </c>
      <c r="Z740" s="35">
        <v>0.10799</v>
      </c>
      <c r="AA740" s="36"/>
      <c r="AB740" s="30">
        <v>73</v>
      </c>
      <c r="AC740" s="44">
        <v>388.93</v>
      </c>
      <c r="AD740" s="35">
        <v>9.26</v>
      </c>
      <c r="AE740" s="36"/>
      <c r="AF740" s="30">
        <v>73</v>
      </c>
      <c r="AG740" s="34">
        <v>2.6124000000000001</v>
      </c>
      <c r="AH740" s="35">
        <v>0.10972</v>
      </c>
      <c r="AI740" s="35"/>
      <c r="AJ740" s="35">
        <v>0.15645000000000001</v>
      </c>
      <c r="AK740" s="998">
        <v>12</v>
      </c>
      <c r="AM740" s="30">
        <v>73</v>
      </c>
      <c r="AN740" s="34">
        <v>1.3134999999999999</v>
      </c>
      <c r="AO740" s="35">
        <v>1.4711000000000001</v>
      </c>
      <c r="BX740" s="43"/>
      <c r="BY740" s="34"/>
      <c r="BZ740" s="59"/>
      <c r="CB740" s="43"/>
      <c r="CC740" s="34"/>
      <c r="CD740" s="59"/>
      <c r="CL740" s="43"/>
      <c r="CM740" s="34"/>
      <c r="CN740" s="59"/>
      <c r="CP740" s="43"/>
      <c r="CQ740" s="34"/>
      <c r="CR740" s="59"/>
      <c r="CT740" s="43"/>
      <c r="CU740" s="34"/>
      <c r="CV740" s="59"/>
    </row>
    <row r="741" spans="4:100">
      <c r="D741" s="30">
        <v>73.099999999999994</v>
      </c>
      <c r="E741" s="31">
        <v>0.69159999999999999</v>
      </c>
      <c r="F741" s="32">
        <v>691.4</v>
      </c>
      <c r="G741" s="33"/>
      <c r="H741" s="30">
        <v>73.099999999999994</v>
      </c>
      <c r="I741" s="34">
        <v>3.7826</v>
      </c>
      <c r="J741" s="35">
        <v>0.15887000000000001</v>
      </c>
      <c r="L741" s="30">
        <v>73.099999999999994</v>
      </c>
      <c r="M741" s="172">
        <v>5.7569999999999997</v>
      </c>
      <c r="N741" s="173">
        <v>0.17371</v>
      </c>
      <c r="P741" s="30">
        <v>73.099999999999994</v>
      </c>
      <c r="Q741" s="172">
        <v>2.8782999999999999</v>
      </c>
      <c r="R741" s="173">
        <v>0.12089</v>
      </c>
      <c r="T741" s="30">
        <v>73.099999999999994</v>
      </c>
      <c r="U741" s="172">
        <v>347.43</v>
      </c>
      <c r="V741" s="173">
        <v>8.2720000000000002</v>
      </c>
      <c r="X741" s="30">
        <v>73.099999999999994</v>
      </c>
      <c r="Y741" s="34">
        <v>2.5699000000000001</v>
      </c>
      <c r="Z741" s="35">
        <v>0.10793999999999999</v>
      </c>
      <c r="AA741" s="36"/>
      <c r="AB741" s="30">
        <v>73.099999999999994</v>
      </c>
      <c r="AC741" s="44">
        <v>389.12</v>
      </c>
      <c r="AD741" s="35">
        <v>9.2650000000000006</v>
      </c>
      <c r="AE741" s="36"/>
      <c r="AF741" s="30">
        <v>73.099999999999994</v>
      </c>
      <c r="AG741" s="34">
        <v>2.6112000000000002</v>
      </c>
      <c r="AH741" s="35">
        <v>0.10967</v>
      </c>
      <c r="AI741" s="35"/>
      <c r="AJ741" s="35">
        <v>0.15654999999999999</v>
      </c>
      <c r="AK741" s="998">
        <v>11.9</v>
      </c>
      <c r="AM741" s="30">
        <v>73.099999999999994</v>
      </c>
      <c r="AN741" s="34">
        <v>1.3142</v>
      </c>
      <c r="AO741" s="35">
        <v>1.4719</v>
      </c>
      <c r="BX741" s="43"/>
      <c r="BY741" s="34"/>
      <c r="BZ741" s="59"/>
      <c r="CB741" s="43"/>
      <c r="CC741" s="34"/>
      <c r="CD741" s="59"/>
      <c r="CL741" s="43"/>
      <c r="CM741" s="34"/>
      <c r="CN741" s="59"/>
      <c r="CP741" s="43"/>
      <c r="CQ741" s="34"/>
      <c r="CR741" s="59"/>
      <c r="CT741" s="43"/>
      <c r="CU741" s="34"/>
      <c r="CV741" s="59"/>
    </row>
    <row r="742" spans="4:100">
      <c r="D742" s="30">
        <v>73.2</v>
      </c>
      <c r="E742" s="31">
        <v>0.69130000000000003</v>
      </c>
      <c r="F742" s="32">
        <v>691.1</v>
      </c>
      <c r="G742" s="33"/>
      <c r="H742" s="30">
        <v>73.2</v>
      </c>
      <c r="I742" s="34">
        <v>3.7826</v>
      </c>
      <c r="J742" s="35">
        <v>0.15887000000000001</v>
      </c>
      <c r="L742" s="30">
        <v>73.2</v>
      </c>
      <c r="M742" s="172">
        <v>5.7539999999999996</v>
      </c>
      <c r="N742" s="173">
        <v>0.17380000000000001</v>
      </c>
      <c r="P742" s="30">
        <v>73.2</v>
      </c>
      <c r="Q742" s="172">
        <v>2.8769</v>
      </c>
      <c r="R742" s="173">
        <v>0.12083000000000001</v>
      </c>
      <c r="T742" s="30">
        <v>73.2</v>
      </c>
      <c r="U742" s="172">
        <v>347.6</v>
      </c>
      <c r="V742" s="173">
        <v>8.2759999999999998</v>
      </c>
      <c r="X742" s="30">
        <v>73.2</v>
      </c>
      <c r="Y742" s="34">
        <v>2.5687000000000002</v>
      </c>
      <c r="Z742" s="35">
        <v>0.10788</v>
      </c>
      <c r="AA742" s="36"/>
      <c r="AB742" s="30">
        <v>73.2</v>
      </c>
      <c r="AC742" s="44">
        <v>389.31</v>
      </c>
      <c r="AD742" s="35">
        <v>9.2690000000000001</v>
      </c>
      <c r="AE742" s="36"/>
      <c r="AF742" s="30">
        <v>73.2</v>
      </c>
      <c r="AG742" s="34">
        <v>2.6099000000000001</v>
      </c>
      <c r="AH742" s="35">
        <v>0.10961</v>
      </c>
      <c r="AI742" s="35"/>
      <c r="AJ742" s="35">
        <v>0.15665999999999999</v>
      </c>
      <c r="AK742" s="998">
        <v>11.8</v>
      </c>
      <c r="AM742" s="30">
        <v>73.2</v>
      </c>
      <c r="AN742" s="34">
        <v>1.3148</v>
      </c>
      <c r="AO742" s="35">
        <v>1.4725999999999999</v>
      </c>
      <c r="BX742" s="43"/>
      <c r="BY742" s="34"/>
      <c r="BZ742" s="59"/>
      <c r="CB742" s="43"/>
      <c r="CC742" s="34"/>
      <c r="CD742" s="59"/>
      <c r="CL742" s="43"/>
      <c r="CM742" s="34"/>
      <c r="CN742" s="59"/>
      <c r="CP742" s="43"/>
      <c r="CQ742" s="34"/>
      <c r="CR742" s="59"/>
      <c r="CT742" s="43"/>
      <c r="CU742" s="34"/>
      <c r="CV742" s="59"/>
    </row>
    <row r="743" spans="4:100">
      <c r="D743" s="30">
        <v>73.3</v>
      </c>
      <c r="E743" s="31">
        <v>0.69089999999999996</v>
      </c>
      <c r="F743" s="32">
        <v>690.8</v>
      </c>
      <c r="G743" s="33"/>
      <c r="H743" s="30">
        <v>73.3</v>
      </c>
      <c r="I743" s="34">
        <v>3.7825000000000002</v>
      </c>
      <c r="J743" s="35">
        <v>0.15887000000000001</v>
      </c>
      <c r="L743" s="30">
        <v>73.3</v>
      </c>
      <c r="M743" s="172">
        <v>5.7510000000000003</v>
      </c>
      <c r="N743" s="173">
        <v>0.17388000000000001</v>
      </c>
      <c r="P743" s="30">
        <v>73.3</v>
      </c>
      <c r="Q743" s="172">
        <v>2.8755000000000002</v>
      </c>
      <c r="R743" s="173">
        <v>0.12077</v>
      </c>
      <c r="T743" s="30">
        <v>73.3</v>
      </c>
      <c r="U743" s="172">
        <v>347.77</v>
      </c>
      <c r="V743" s="173">
        <v>8.2799999999999994</v>
      </c>
      <c r="X743" s="30">
        <v>73.3</v>
      </c>
      <c r="Y743" s="34">
        <v>2.5674000000000001</v>
      </c>
      <c r="Z743" s="35">
        <v>0.10783</v>
      </c>
      <c r="AA743" s="36"/>
      <c r="AB743" s="30">
        <v>73.3</v>
      </c>
      <c r="AC743" s="44">
        <v>389.5</v>
      </c>
      <c r="AD743" s="35">
        <v>9.2739999999999991</v>
      </c>
      <c r="AE743" s="36"/>
      <c r="AF743" s="30">
        <v>73.3</v>
      </c>
      <c r="AG743" s="34">
        <v>2.6086</v>
      </c>
      <c r="AH743" s="35">
        <v>0.10956</v>
      </c>
      <c r="AI743" s="35"/>
      <c r="AJ743" s="35">
        <v>0.15676999999999999</v>
      </c>
      <c r="AK743" s="998">
        <v>11.7</v>
      </c>
      <c r="AM743" s="30">
        <v>73.3</v>
      </c>
      <c r="AN743" s="34">
        <v>1.3153999999999999</v>
      </c>
      <c r="AO743" s="35">
        <v>1.4733000000000001</v>
      </c>
      <c r="BX743" s="43"/>
      <c r="BY743" s="34"/>
      <c r="BZ743" s="59"/>
      <c r="CB743" s="43"/>
      <c r="CC743" s="34"/>
      <c r="CD743" s="59"/>
      <c r="CL743" s="43"/>
      <c r="CM743" s="34"/>
      <c r="CN743" s="59"/>
      <c r="CP743" s="43"/>
      <c r="CQ743" s="34"/>
      <c r="CR743" s="59"/>
      <c r="CT743" s="43"/>
      <c r="CU743" s="34"/>
      <c r="CV743" s="59"/>
    </row>
    <row r="744" spans="4:100">
      <c r="D744" s="30">
        <v>73.400000000000006</v>
      </c>
      <c r="E744" s="31">
        <v>0.69059999999999999</v>
      </c>
      <c r="F744" s="32">
        <v>690.4</v>
      </c>
      <c r="G744" s="33"/>
      <c r="H744" s="30">
        <v>73.400000000000006</v>
      </c>
      <c r="I744" s="34">
        <v>3.7825000000000002</v>
      </c>
      <c r="J744" s="35">
        <v>0.15887000000000001</v>
      </c>
      <c r="L744" s="30">
        <v>73.400000000000006</v>
      </c>
      <c r="M744" s="172">
        <v>5.7480000000000002</v>
      </c>
      <c r="N744" s="173">
        <v>0.17397000000000001</v>
      </c>
      <c r="P744" s="30">
        <v>73.400000000000006</v>
      </c>
      <c r="Q744" s="172">
        <v>2.8740999999999999</v>
      </c>
      <c r="R744" s="173">
        <v>0.12071</v>
      </c>
      <c r="T744" s="30">
        <v>73.400000000000006</v>
      </c>
      <c r="U744" s="172">
        <v>347.94</v>
      </c>
      <c r="V744" s="173">
        <v>8.2840000000000007</v>
      </c>
      <c r="X744" s="30">
        <v>73.400000000000006</v>
      </c>
      <c r="Y744" s="34">
        <v>2.5661</v>
      </c>
      <c r="Z744" s="35">
        <v>0.10778</v>
      </c>
      <c r="AA744" s="36"/>
      <c r="AB744" s="30">
        <v>73.400000000000006</v>
      </c>
      <c r="AC744" s="44">
        <v>389.69</v>
      </c>
      <c r="AD744" s="35">
        <v>9.2780000000000005</v>
      </c>
      <c r="AE744" s="36"/>
      <c r="AF744" s="30">
        <v>73.400000000000006</v>
      </c>
      <c r="AG744" s="34">
        <v>2.6073</v>
      </c>
      <c r="AH744" s="35">
        <v>0.10951</v>
      </c>
      <c r="AI744" s="35"/>
      <c r="AJ744" s="35">
        <v>0.15687999999999999</v>
      </c>
      <c r="AK744" s="998">
        <v>11.6</v>
      </c>
      <c r="AM744" s="30">
        <v>73.400000000000006</v>
      </c>
      <c r="AN744" s="34">
        <v>1.3161</v>
      </c>
      <c r="AO744" s="35">
        <v>1.474</v>
      </c>
      <c r="BX744" s="43"/>
      <c r="BY744" s="34"/>
      <c r="BZ744" s="59"/>
      <c r="CB744" s="43"/>
      <c r="CC744" s="34"/>
      <c r="CD744" s="59"/>
      <c r="CL744" s="43"/>
      <c r="CM744" s="34"/>
      <c r="CN744" s="59"/>
      <c r="CP744" s="43"/>
      <c r="CQ744" s="34"/>
      <c r="CR744" s="59"/>
      <c r="CT744" s="43"/>
      <c r="CU744" s="34"/>
      <c r="CV744" s="59"/>
    </row>
    <row r="745" spans="4:100">
      <c r="D745" s="30">
        <v>73.5</v>
      </c>
      <c r="E745" s="31">
        <v>0.69020000000000004</v>
      </c>
      <c r="F745" s="32">
        <v>690.1</v>
      </c>
      <c r="G745" s="33"/>
      <c r="H745" s="30">
        <v>73.5</v>
      </c>
      <c r="I745" s="34">
        <v>3.7825000000000002</v>
      </c>
      <c r="J745" s="35">
        <v>0.15887000000000001</v>
      </c>
      <c r="L745" s="30">
        <v>73.5</v>
      </c>
      <c r="M745" s="172">
        <v>5.7450000000000001</v>
      </c>
      <c r="N745" s="173">
        <v>0.17405000000000001</v>
      </c>
      <c r="P745" s="30">
        <v>73.5</v>
      </c>
      <c r="Q745" s="172">
        <v>2.8727</v>
      </c>
      <c r="R745" s="173">
        <v>0.12064999999999999</v>
      </c>
      <c r="T745" s="30">
        <v>73.5</v>
      </c>
      <c r="U745" s="172">
        <v>348.11</v>
      </c>
      <c r="V745" s="173">
        <v>8.2879999999999896</v>
      </c>
      <c r="X745" s="30">
        <v>73.5</v>
      </c>
      <c r="Y745" s="34">
        <v>2.5649000000000002</v>
      </c>
      <c r="Z745" s="35">
        <v>0.10773000000000001</v>
      </c>
      <c r="AA745" s="36"/>
      <c r="AB745" s="30">
        <v>73.5</v>
      </c>
      <c r="AC745" s="44">
        <v>389.88</v>
      </c>
      <c r="AD745" s="35">
        <v>9.2829999999999995</v>
      </c>
      <c r="AE745" s="36"/>
      <c r="AF745" s="30">
        <v>73.5</v>
      </c>
      <c r="AG745" s="34">
        <v>2.6059999999999999</v>
      </c>
      <c r="AH745" s="35">
        <v>0.10945000000000001</v>
      </c>
      <c r="AI745" s="35"/>
      <c r="AJ745" s="35">
        <v>0.15698999999999999</v>
      </c>
      <c r="AK745" s="998">
        <v>11.5</v>
      </c>
      <c r="AM745" s="30">
        <v>73.5</v>
      </c>
      <c r="AN745" s="34">
        <v>1.3167</v>
      </c>
      <c r="AO745" s="35">
        <v>1.4746999999999999</v>
      </c>
      <c r="BX745" s="43"/>
      <c r="BY745" s="34"/>
      <c r="BZ745" s="59"/>
      <c r="CB745" s="43"/>
      <c r="CC745" s="34"/>
      <c r="CD745" s="59"/>
      <c r="CL745" s="43"/>
      <c r="CM745" s="34"/>
      <c r="CN745" s="59"/>
      <c r="CP745" s="43"/>
      <c r="CQ745" s="34"/>
      <c r="CR745" s="59"/>
      <c r="CT745" s="43"/>
      <c r="CU745" s="34"/>
      <c r="CV745" s="59"/>
    </row>
    <row r="746" spans="4:100">
      <c r="D746" s="30">
        <v>73.599999999999994</v>
      </c>
      <c r="E746" s="31">
        <v>0.68989999999999996</v>
      </c>
      <c r="F746" s="32">
        <v>689.7</v>
      </c>
      <c r="G746" s="33"/>
      <c r="H746" s="30">
        <v>73.599999999999994</v>
      </c>
      <c r="I746" s="34">
        <v>3.7825000000000002</v>
      </c>
      <c r="J746" s="35">
        <v>0.15887000000000001</v>
      </c>
      <c r="L746" s="30">
        <v>73.599999999999994</v>
      </c>
      <c r="M746" s="172">
        <v>5.7430000000000003</v>
      </c>
      <c r="N746" s="173">
        <v>0.17413999999999999</v>
      </c>
      <c r="P746" s="30">
        <v>73.599999999999994</v>
      </c>
      <c r="Q746" s="172">
        <v>2.8713000000000002</v>
      </c>
      <c r="R746" s="173">
        <v>0.12059</v>
      </c>
      <c r="T746" s="30">
        <v>73.599999999999994</v>
      </c>
      <c r="U746" s="172">
        <v>348.28</v>
      </c>
      <c r="V746" s="173">
        <v>8.2919999999999892</v>
      </c>
      <c r="X746" s="30">
        <v>73.599999999999994</v>
      </c>
      <c r="Y746" s="34">
        <v>2.5636000000000001</v>
      </c>
      <c r="Z746" s="35">
        <v>0.10767</v>
      </c>
      <c r="AA746" s="36"/>
      <c r="AB746" s="30">
        <v>73.599999999999994</v>
      </c>
      <c r="AC746" s="44">
        <v>390.07</v>
      </c>
      <c r="AD746" s="35">
        <v>9.2870000000000008</v>
      </c>
      <c r="AE746" s="36"/>
      <c r="AF746" s="30">
        <v>73.599999999999994</v>
      </c>
      <c r="AG746" s="34">
        <v>2.6048</v>
      </c>
      <c r="AH746" s="35">
        <v>0.1094</v>
      </c>
      <c r="AI746" s="35"/>
      <c r="AJ746" s="35">
        <v>0.15709999999999999</v>
      </c>
      <c r="AK746" s="998">
        <v>11.4</v>
      </c>
      <c r="AM746" s="30">
        <v>73.599999999999994</v>
      </c>
      <c r="AN746" s="34">
        <v>1.3173999999999999</v>
      </c>
      <c r="AO746" s="35">
        <v>1.4755</v>
      </c>
      <c r="BX746" s="43"/>
      <c r="BY746" s="34"/>
      <c r="BZ746" s="59"/>
      <c r="CB746" s="43"/>
      <c r="CC746" s="34"/>
      <c r="CD746" s="59"/>
      <c r="CL746" s="43"/>
      <c r="CM746" s="34"/>
      <c r="CN746" s="59"/>
      <c r="CP746" s="43"/>
      <c r="CQ746" s="34"/>
      <c r="CR746" s="59"/>
      <c r="CT746" s="43"/>
      <c r="CU746" s="34"/>
      <c r="CV746" s="59"/>
    </row>
    <row r="747" spans="4:100">
      <c r="D747" s="30">
        <v>73.7</v>
      </c>
      <c r="E747" s="31">
        <v>0.68959999999999999</v>
      </c>
      <c r="F747" s="32">
        <v>689.4</v>
      </c>
      <c r="G747" s="33"/>
      <c r="H747" s="30">
        <v>73.7</v>
      </c>
      <c r="I747" s="34">
        <v>3.7825000000000002</v>
      </c>
      <c r="J747" s="35">
        <v>0.15887000000000001</v>
      </c>
      <c r="L747" s="30">
        <v>73.7</v>
      </c>
      <c r="M747" s="172">
        <v>5.74</v>
      </c>
      <c r="N747" s="173">
        <v>0.17422000000000001</v>
      </c>
      <c r="P747" s="30">
        <v>73.7</v>
      </c>
      <c r="Q747" s="172">
        <v>2.8698999999999999</v>
      </c>
      <c r="R747" s="173">
        <v>0.12053</v>
      </c>
      <c r="T747" s="30">
        <v>73.7</v>
      </c>
      <c r="U747" s="172">
        <v>348.45</v>
      </c>
      <c r="V747" s="173">
        <v>8.2959999999999905</v>
      </c>
      <c r="X747" s="30">
        <v>73.7</v>
      </c>
      <c r="Y747" s="34">
        <v>2.5623999999999998</v>
      </c>
      <c r="Z747" s="35">
        <v>0.10761999999999999</v>
      </c>
      <c r="AA747" s="36"/>
      <c r="AB747" s="30">
        <v>73.7</v>
      </c>
      <c r="AC747" s="44">
        <v>390.26</v>
      </c>
      <c r="AD747" s="35">
        <v>9.2919999999999998</v>
      </c>
      <c r="AE747" s="36"/>
      <c r="AF747" s="30">
        <v>73.7</v>
      </c>
      <c r="AG747" s="34">
        <v>2.6034999999999999</v>
      </c>
      <c r="AH747" s="35">
        <v>0.10935</v>
      </c>
      <c r="AI747" s="35"/>
      <c r="AJ747" s="35">
        <v>0.15720999999999999</v>
      </c>
      <c r="AK747" s="998">
        <v>11.3</v>
      </c>
      <c r="AM747" s="30">
        <v>73.7</v>
      </c>
      <c r="AN747" s="34">
        <v>1.3180000000000001</v>
      </c>
      <c r="AO747" s="35">
        <v>1.4762</v>
      </c>
      <c r="BX747" s="43"/>
      <c r="BY747" s="34"/>
      <c r="BZ747" s="59"/>
      <c r="CB747" s="43"/>
      <c r="CC747" s="34"/>
      <c r="CD747" s="59"/>
      <c r="CL747" s="43"/>
      <c r="CM747" s="34"/>
      <c r="CN747" s="59"/>
      <c r="CP747" s="43"/>
      <c r="CQ747" s="34"/>
      <c r="CR747" s="59"/>
      <c r="CT747" s="43"/>
      <c r="CU747" s="34"/>
      <c r="CV747" s="59"/>
    </row>
    <row r="748" spans="4:100">
      <c r="D748" s="30">
        <v>73.8</v>
      </c>
      <c r="E748" s="31">
        <v>0.68920000000000003</v>
      </c>
      <c r="F748" s="32">
        <v>689.1</v>
      </c>
      <c r="G748" s="33"/>
      <c r="H748" s="30">
        <v>73.8</v>
      </c>
      <c r="I748" s="34">
        <v>3.7825000000000002</v>
      </c>
      <c r="J748" s="35">
        <v>0.15887000000000001</v>
      </c>
      <c r="L748" s="30">
        <v>73.8</v>
      </c>
      <c r="M748" s="172">
        <v>5.7370000000000001</v>
      </c>
      <c r="N748" s="173">
        <v>0.17430999999999999</v>
      </c>
      <c r="P748" s="30">
        <v>73.8</v>
      </c>
      <c r="Q748" s="172">
        <v>2.8685</v>
      </c>
      <c r="R748" s="173">
        <v>0.12048</v>
      </c>
      <c r="T748" s="30">
        <v>73.8</v>
      </c>
      <c r="U748" s="172">
        <v>348.62</v>
      </c>
      <c r="V748" s="173">
        <v>8.2999999999999901</v>
      </c>
      <c r="X748" s="30">
        <v>73.8</v>
      </c>
      <c r="Y748" s="34">
        <v>2.5611000000000002</v>
      </c>
      <c r="Z748" s="35">
        <v>0.10757</v>
      </c>
      <c r="AA748" s="36"/>
      <c r="AB748" s="30">
        <v>73.8</v>
      </c>
      <c r="AC748" s="44">
        <v>390.45</v>
      </c>
      <c r="AD748" s="35">
        <v>9.2959999999999994</v>
      </c>
      <c r="AE748" s="36"/>
      <c r="AF748" s="30">
        <v>73.8</v>
      </c>
      <c r="AG748" s="34">
        <v>2.6021999999999998</v>
      </c>
      <c r="AH748" s="35">
        <v>0.10929</v>
      </c>
      <c r="AI748" s="35"/>
      <c r="AJ748" s="35">
        <v>0.15731999999999999</v>
      </c>
      <c r="AK748" s="998">
        <v>11.2</v>
      </c>
      <c r="AM748" s="30">
        <v>73.8</v>
      </c>
      <c r="AN748" s="34">
        <v>1.3187</v>
      </c>
      <c r="AO748" s="35">
        <v>1.4769000000000001</v>
      </c>
      <c r="BX748" s="43"/>
      <c r="BY748" s="34"/>
      <c r="BZ748" s="59"/>
      <c r="CB748" s="43"/>
      <c r="CC748" s="34"/>
      <c r="CD748" s="59"/>
      <c r="CL748" s="43"/>
      <c r="CM748" s="34"/>
      <c r="CN748" s="59"/>
      <c r="CP748" s="43"/>
      <c r="CQ748" s="34"/>
      <c r="CR748" s="59"/>
      <c r="CT748" s="43"/>
      <c r="CU748" s="34"/>
      <c r="CV748" s="59"/>
    </row>
    <row r="749" spans="4:100">
      <c r="D749" s="30">
        <v>73.900000000000006</v>
      </c>
      <c r="E749" s="31">
        <v>0.68889999999999996</v>
      </c>
      <c r="F749" s="32">
        <v>688.7</v>
      </c>
      <c r="G749" s="33"/>
      <c r="H749" s="30">
        <v>73.900000000000006</v>
      </c>
      <c r="I749" s="34">
        <v>3.7825000000000002</v>
      </c>
      <c r="J749" s="35">
        <v>0.15887000000000001</v>
      </c>
      <c r="L749" s="30">
        <v>73.900000000000006</v>
      </c>
      <c r="M749" s="172">
        <v>5.734</v>
      </c>
      <c r="N749" s="173">
        <v>0.17438999999999999</v>
      </c>
      <c r="P749" s="30">
        <v>73.900000000000006</v>
      </c>
      <c r="Q749" s="172">
        <v>2.8671000000000002</v>
      </c>
      <c r="R749" s="173">
        <v>0.12042</v>
      </c>
      <c r="T749" s="30">
        <v>73.900000000000006</v>
      </c>
      <c r="U749" s="172">
        <v>348.79</v>
      </c>
      <c r="V749" s="173">
        <v>8.3039999999999896</v>
      </c>
      <c r="X749" s="30">
        <v>73.900000000000006</v>
      </c>
      <c r="Y749" s="34">
        <v>2.5598999999999998</v>
      </c>
      <c r="Z749" s="35">
        <v>0.10752</v>
      </c>
      <c r="AA749" s="36"/>
      <c r="AB749" s="30">
        <v>73.900000000000006</v>
      </c>
      <c r="AC749" s="44">
        <v>390.64</v>
      </c>
      <c r="AD749" s="35">
        <v>9.3010000000000002</v>
      </c>
      <c r="AE749" s="36"/>
      <c r="AF749" s="30">
        <v>73.900000000000006</v>
      </c>
      <c r="AG749" s="34">
        <v>2.601</v>
      </c>
      <c r="AH749" s="35">
        <v>0.10924</v>
      </c>
      <c r="AI749" s="35"/>
      <c r="AJ749" s="35">
        <v>0.15742999999999999</v>
      </c>
      <c r="AK749" s="998">
        <v>11.1</v>
      </c>
      <c r="AM749" s="30">
        <v>73.900000000000006</v>
      </c>
      <c r="AN749" s="34">
        <v>1.3192999999999999</v>
      </c>
      <c r="AO749" s="35">
        <v>1.4776</v>
      </c>
      <c r="BX749" s="43"/>
      <c r="BY749" s="34"/>
      <c r="BZ749" s="59"/>
      <c r="CB749" s="43"/>
      <c r="CC749" s="34"/>
      <c r="CD749" s="59"/>
      <c r="CL749" s="43"/>
      <c r="CM749" s="34"/>
      <c r="CN749" s="59"/>
      <c r="CP749" s="43"/>
      <c r="CQ749" s="34"/>
      <c r="CR749" s="59"/>
      <c r="CT749" s="43"/>
      <c r="CU749" s="34"/>
      <c r="CV749" s="59"/>
    </row>
    <row r="750" spans="4:100">
      <c r="D750" s="30">
        <v>74</v>
      </c>
      <c r="E750" s="31">
        <v>0.68859999999999999</v>
      </c>
      <c r="F750" s="32">
        <v>688.4</v>
      </c>
      <c r="G750" s="33"/>
      <c r="H750" s="30">
        <v>74</v>
      </c>
      <c r="I750" s="34">
        <v>3.7825000000000002</v>
      </c>
      <c r="J750" s="35">
        <v>0.15887000000000001</v>
      </c>
      <c r="L750" s="30">
        <v>74</v>
      </c>
      <c r="M750" s="172">
        <v>5.7309999999999999</v>
      </c>
      <c r="N750" s="173">
        <v>0.17448</v>
      </c>
      <c r="P750" s="30">
        <v>74</v>
      </c>
      <c r="Q750" s="172">
        <v>2.8656999999999999</v>
      </c>
      <c r="R750" s="173">
        <v>0.12035999999999999</v>
      </c>
      <c r="T750" s="30">
        <v>74</v>
      </c>
      <c r="U750" s="172">
        <v>348.96</v>
      </c>
      <c r="V750" s="173">
        <v>8.3089999999999993</v>
      </c>
      <c r="X750" s="30">
        <v>74</v>
      </c>
      <c r="Y750" s="34">
        <v>2.5586000000000002</v>
      </c>
      <c r="Z750" s="35">
        <v>0.10746</v>
      </c>
      <c r="AA750" s="36"/>
      <c r="AB750" s="30">
        <v>74</v>
      </c>
      <c r="AC750" s="44">
        <v>390.83</v>
      </c>
      <c r="AD750" s="35">
        <v>9.3059999999999992</v>
      </c>
      <c r="AE750" s="36"/>
      <c r="AF750" s="30">
        <v>74</v>
      </c>
      <c r="AG750" s="34">
        <v>2.5996999999999999</v>
      </c>
      <c r="AH750" s="35">
        <v>0.10919</v>
      </c>
      <c r="AI750" s="35"/>
      <c r="AJ750" s="35">
        <v>0.15754000000000001</v>
      </c>
      <c r="AK750" s="998">
        <v>11</v>
      </c>
      <c r="AM750" s="30">
        <v>74</v>
      </c>
      <c r="AN750" s="34">
        <v>1.3199000000000001</v>
      </c>
      <c r="AO750" s="35">
        <v>1.4782999999999999</v>
      </c>
      <c r="BX750" s="43"/>
      <c r="BY750" s="34"/>
      <c r="BZ750" s="59"/>
      <c r="CB750" s="43"/>
      <c r="CC750" s="34"/>
      <c r="CD750" s="59"/>
      <c r="CL750" s="43"/>
      <c r="CM750" s="34"/>
      <c r="CN750" s="59"/>
      <c r="CP750" s="43"/>
      <c r="CQ750" s="34"/>
      <c r="CR750" s="59"/>
      <c r="CT750" s="43"/>
      <c r="CU750" s="34"/>
      <c r="CV750" s="59"/>
    </row>
    <row r="751" spans="4:100">
      <c r="D751" s="30">
        <v>74.099999999999994</v>
      </c>
      <c r="E751" s="31">
        <v>0.68820000000000003</v>
      </c>
      <c r="F751" s="32">
        <v>688.1</v>
      </c>
      <c r="G751" s="33"/>
      <c r="H751" s="30">
        <v>74.099999999999994</v>
      </c>
      <c r="I751" s="34">
        <v>3.7825000000000002</v>
      </c>
      <c r="J751" s="35">
        <v>0.15887000000000001</v>
      </c>
      <c r="L751" s="30">
        <v>74.099999999999994</v>
      </c>
      <c r="M751" s="172">
        <v>5.7290000000000001</v>
      </c>
      <c r="N751" s="173">
        <v>0.17455999999999999</v>
      </c>
      <c r="P751" s="30">
        <v>74.099999999999994</v>
      </c>
      <c r="Q751" s="172">
        <v>2.8643000000000001</v>
      </c>
      <c r="R751" s="173">
        <v>0.1203</v>
      </c>
      <c r="T751" s="30">
        <v>74.099999999999994</v>
      </c>
      <c r="U751" s="172">
        <v>349.13</v>
      </c>
      <c r="V751" s="173">
        <v>8.3130000000000006</v>
      </c>
      <c r="X751" s="30">
        <v>74.099999999999994</v>
      </c>
      <c r="Y751" s="34">
        <v>2.5573999999999999</v>
      </c>
      <c r="Z751" s="35">
        <v>0.10741000000000001</v>
      </c>
      <c r="AA751" s="36"/>
      <c r="AB751" s="30">
        <v>74.099999999999994</v>
      </c>
      <c r="AC751" s="44">
        <v>391.02</v>
      </c>
      <c r="AD751" s="35">
        <v>9.31</v>
      </c>
      <c r="AE751" s="36"/>
      <c r="AF751" s="30">
        <v>74.099999999999994</v>
      </c>
      <c r="AG751" s="34">
        <v>2.5983999999999998</v>
      </c>
      <c r="AH751" s="35">
        <v>0.10913</v>
      </c>
      <c r="AI751" s="35"/>
      <c r="AJ751" s="35">
        <v>0.15765999999999999</v>
      </c>
      <c r="AK751" s="998">
        <v>10.9</v>
      </c>
      <c r="AM751" s="30">
        <v>74.099999999999994</v>
      </c>
      <c r="AN751" s="34">
        <v>1.3205</v>
      </c>
      <c r="AO751" s="35">
        <v>1.4791000000000001</v>
      </c>
      <c r="BX751" s="43"/>
      <c r="BY751" s="34"/>
      <c r="BZ751" s="59"/>
      <c r="CB751" s="43"/>
      <c r="CC751" s="34"/>
      <c r="CD751" s="59"/>
      <c r="CL751" s="43"/>
      <c r="CM751" s="34"/>
      <c r="CN751" s="59"/>
      <c r="CP751" s="43"/>
      <c r="CQ751" s="34"/>
      <c r="CR751" s="59"/>
      <c r="CT751" s="43"/>
      <c r="CU751" s="34"/>
      <c r="CV751" s="59"/>
    </row>
    <row r="752" spans="4:100">
      <c r="D752" s="30">
        <v>74.2</v>
      </c>
      <c r="E752" s="31">
        <v>0.68789999999999996</v>
      </c>
      <c r="F752" s="32">
        <v>687.7</v>
      </c>
      <c r="G752" s="33"/>
      <c r="H752" s="30">
        <v>74.2</v>
      </c>
      <c r="I752" s="34">
        <v>3.7825000000000002</v>
      </c>
      <c r="J752" s="35">
        <v>0.15887000000000001</v>
      </c>
      <c r="L752" s="30">
        <v>74.2</v>
      </c>
      <c r="M752" s="172">
        <v>5.726</v>
      </c>
      <c r="N752" s="173">
        <v>0.17465</v>
      </c>
      <c r="P752" s="30">
        <v>74.2</v>
      </c>
      <c r="Q752" s="172">
        <v>2.8628999999999998</v>
      </c>
      <c r="R752" s="173">
        <v>0.12024</v>
      </c>
      <c r="T752" s="30">
        <v>74.2</v>
      </c>
      <c r="U752" s="172">
        <v>349.3</v>
      </c>
      <c r="V752" s="173">
        <v>8.3170000000000002</v>
      </c>
      <c r="X752" s="30">
        <v>74.2</v>
      </c>
      <c r="Y752" s="34">
        <v>2.5560999999999998</v>
      </c>
      <c r="Z752" s="35">
        <v>0.10736</v>
      </c>
      <c r="AA752" s="36"/>
      <c r="AB752" s="30">
        <v>74.2</v>
      </c>
      <c r="AC752" s="44">
        <v>391.21</v>
      </c>
      <c r="AD752" s="35">
        <v>9.3149999999999995</v>
      </c>
      <c r="AE752" s="36"/>
      <c r="AF752" s="30">
        <v>74.2</v>
      </c>
      <c r="AG752" s="34">
        <v>2.5972</v>
      </c>
      <c r="AH752" s="35">
        <v>0.10908</v>
      </c>
      <c r="AI752" s="35"/>
      <c r="AJ752" s="35">
        <v>0.15776999999999999</v>
      </c>
      <c r="AK752" s="998">
        <v>10.8</v>
      </c>
      <c r="AM752" s="30">
        <v>74.2</v>
      </c>
      <c r="AN752" s="34">
        <v>1.3211999999999999</v>
      </c>
      <c r="AO752" s="35">
        <v>1.4798</v>
      </c>
      <c r="BX752" s="43"/>
      <c r="BY752" s="34"/>
      <c r="BZ752" s="59"/>
      <c r="CB752" s="43"/>
      <c r="CC752" s="34"/>
      <c r="CD752" s="59"/>
      <c r="CL752" s="43"/>
      <c r="CM752" s="34"/>
      <c r="CN752" s="59"/>
      <c r="CP752" s="43"/>
      <c r="CQ752" s="34"/>
      <c r="CR752" s="59"/>
      <c r="CT752" s="43"/>
      <c r="CU752" s="34"/>
      <c r="CV752" s="59"/>
    </row>
    <row r="753" spans="4:100">
      <c r="D753" s="30">
        <v>74.3</v>
      </c>
      <c r="E753" s="31">
        <v>0.68759999999999999</v>
      </c>
      <c r="F753" s="32">
        <v>687.4</v>
      </c>
      <c r="G753" s="33"/>
      <c r="H753" s="30">
        <v>74.3</v>
      </c>
      <c r="I753" s="34">
        <v>3.7825000000000002</v>
      </c>
      <c r="J753" s="35">
        <v>0.15887000000000001</v>
      </c>
      <c r="L753" s="30">
        <v>74.3</v>
      </c>
      <c r="M753" s="172">
        <v>5.7229999999999999</v>
      </c>
      <c r="N753" s="173">
        <v>0.17473</v>
      </c>
      <c r="P753" s="30">
        <v>74.3</v>
      </c>
      <c r="Q753" s="172">
        <v>2.8614999999999999</v>
      </c>
      <c r="R753" s="173">
        <v>0.12018</v>
      </c>
      <c r="T753" s="30">
        <v>74.3</v>
      </c>
      <c r="U753" s="172">
        <v>349.47</v>
      </c>
      <c r="V753" s="173">
        <v>8.3209999999999997</v>
      </c>
      <c r="X753" s="30">
        <v>74.3</v>
      </c>
      <c r="Y753" s="34">
        <v>2.5548999999999999</v>
      </c>
      <c r="Z753" s="35">
        <v>0.10731</v>
      </c>
      <c r="AA753" s="36"/>
      <c r="AB753" s="30">
        <v>74.3</v>
      </c>
      <c r="AC753" s="44">
        <v>391.4</v>
      </c>
      <c r="AD753" s="35">
        <v>9.3190000000000008</v>
      </c>
      <c r="AE753" s="36"/>
      <c r="AF753" s="30">
        <v>74.3</v>
      </c>
      <c r="AG753" s="34">
        <v>2.5958999999999999</v>
      </c>
      <c r="AH753" s="35">
        <v>0.10903</v>
      </c>
      <c r="AI753" s="35"/>
      <c r="AJ753" s="35">
        <v>0.15787999999999999</v>
      </c>
      <c r="AK753" s="998">
        <v>10.7</v>
      </c>
      <c r="AM753" s="30">
        <v>74.3</v>
      </c>
      <c r="AN753" s="34">
        <v>1.3219000000000001</v>
      </c>
      <c r="AO753" s="35">
        <v>1.4804999999999999</v>
      </c>
      <c r="BX753" s="43"/>
      <c r="BY753" s="34"/>
      <c r="BZ753" s="59"/>
      <c r="CB753" s="43"/>
      <c r="CC753" s="34"/>
      <c r="CD753" s="59"/>
      <c r="CL753" s="43"/>
      <c r="CM753" s="34"/>
      <c r="CN753" s="59"/>
      <c r="CP753" s="43"/>
      <c r="CQ753" s="34"/>
      <c r="CR753" s="59"/>
      <c r="CT753" s="43"/>
      <c r="CU753" s="34"/>
      <c r="CV753" s="59"/>
    </row>
    <row r="754" spans="4:100">
      <c r="D754" s="30">
        <v>74.400000000000006</v>
      </c>
      <c r="E754" s="31">
        <v>0.68720000000000003</v>
      </c>
      <c r="F754" s="32">
        <v>687.1</v>
      </c>
      <c r="G754" s="33"/>
      <c r="H754" s="30">
        <v>74.400000000000006</v>
      </c>
      <c r="I754" s="34">
        <v>3.7825000000000002</v>
      </c>
      <c r="J754" s="35">
        <v>0.15887000000000001</v>
      </c>
      <c r="L754" s="30">
        <v>74.400000000000006</v>
      </c>
      <c r="M754" s="172">
        <v>5.72</v>
      </c>
      <c r="N754" s="173">
        <v>0.17482</v>
      </c>
      <c r="P754" s="30">
        <v>74.400000000000006</v>
      </c>
      <c r="Q754" s="172">
        <v>2.8601000000000001</v>
      </c>
      <c r="R754" s="173">
        <v>0.12012</v>
      </c>
      <c r="T754" s="30">
        <v>74.400000000000006</v>
      </c>
      <c r="U754" s="172">
        <v>349.64</v>
      </c>
      <c r="V754" s="173">
        <v>8.3249999999999993</v>
      </c>
      <c r="X754" s="30">
        <v>74.400000000000006</v>
      </c>
      <c r="Y754" s="34">
        <v>2.5537000000000001</v>
      </c>
      <c r="Z754" s="35">
        <v>0.10725</v>
      </c>
      <c r="AA754" s="36"/>
      <c r="AB754" s="30">
        <v>74.400000000000006</v>
      </c>
      <c r="AC754" s="44">
        <v>391.6</v>
      </c>
      <c r="AD754" s="35">
        <v>9.3239999999999998</v>
      </c>
      <c r="AE754" s="36"/>
      <c r="AF754" s="30">
        <v>74.400000000000006</v>
      </c>
      <c r="AG754" s="34">
        <v>2.5945999999999998</v>
      </c>
      <c r="AH754" s="35">
        <v>0.10897</v>
      </c>
      <c r="AI754" s="35"/>
      <c r="AJ754" s="35">
        <v>0.15798999999999999</v>
      </c>
      <c r="AK754" s="998">
        <v>10.6</v>
      </c>
      <c r="AM754" s="30">
        <v>74.400000000000006</v>
      </c>
      <c r="AN754" s="34">
        <v>1.3225</v>
      </c>
      <c r="AO754" s="35">
        <v>1.4812000000000001</v>
      </c>
      <c r="BX754" s="43"/>
      <c r="BY754" s="34"/>
      <c r="BZ754" s="59"/>
      <c r="CB754" s="43"/>
      <c r="CC754" s="34"/>
      <c r="CD754" s="59"/>
      <c r="CL754" s="43"/>
      <c r="CM754" s="34"/>
      <c r="CN754" s="59"/>
      <c r="CP754" s="43"/>
      <c r="CQ754" s="34"/>
      <c r="CR754" s="59"/>
      <c r="CT754" s="43"/>
      <c r="CU754" s="34"/>
      <c r="CV754" s="59"/>
    </row>
    <row r="755" spans="4:100">
      <c r="D755" s="30">
        <v>74.5</v>
      </c>
      <c r="E755" s="31">
        <v>0.68689999999999996</v>
      </c>
      <c r="F755" s="32">
        <v>686.7</v>
      </c>
      <c r="G755" s="33"/>
      <c r="H755" s="30">
        <v>74.5</v>
      </c>
      <c r="I755" s="34">
        <v>3.7825000000000002</v>
      </c>
      <c r="J755" s="35">
        <v>0.15887000000000001</v>
      </c>
      <c r="L755" s="30">
        <v>74.5</v>
      </c>
      <c r="M755" s="172">
        <v>5.7169999999999996</v>
      </c>
      <c r="N755" s="173">
        <v>0.1749</v>
      </c>
      <c r="P755" s="30">
        <v>74.5</v>
      </c>
      <c r="Q755" s="172">
        <v>2.8586999999999998</v>
      </c>
      <c r="R755" s="173">
        <v>0.12007</v>
      </c>
      <c r="T755" s="30">
        <v>74.5</v>
      </c>
      <c r="U755" s="172">
        <v>349.80999999999898</v>
      </c>
      <c r="V755" s="173">
        <v>8.3290000000000006</v>
      </c>
      <c r="X755" s="30">
        <v>74.5</v>
      </c>
      <c r="Y755" s="34">
        <v>2.5524</v>
      </c>
      <c r="Z755" s="35">
        <v>0.1072</v>
      </c>
      <c r="AA755" s="36"/>
      <c r="AB755" s="30">
        <v>74.5</v>
      </c>
      <c r="AC755" s="44">
        <v>391.79</v>
      </c>
      <c r="AD755" s="35">
        <v>9.3279999999999994</v>
      </c>
      <c r="AE755" s="36"/>
      <c r="AF755" s="30">
        <v>74.5</v>
      </c>
      <c r="AG755" s="34">
        <v>2.5933999999999999</v>
      </c>
      <c r="AH755" s="35">
        <v>0.10892</v>
      </c>
      <c r="AI755" s="35"/>
      <c r="AJ755" s="35">
        <v>0.15809999999999999</v>
      </c>
      <c r="AK755" s="998">
        <v>10.5</v>
      </c>
      <c r="AM755" s="30">
        <v>74.5</v>
      </c>
      <c r="AN755" s="34">
        <v>1.3231999999999999</v>
      </c>
      <c r="AO755" s="35">
        <v>1.4819</v>
      </c>
      <c r="BX755" s="43"/>
      <c r="BY755" s="34"/>
      <c r="BZ755" s="59"/>
      <c r="CB755" s="43"/>
      <c r="CC755" s="34"/>
      <c r="CD755" s="59"/>
      <c r="CL755" s="43"/>
      <c r="CM755" s="34"/>
      <c r="CN755" s="59"/>
      <c r="CP755" s="43"/>
      <c r="CQ755" s="34"/>
      <c r="CR755" s="59"/>
      <c r="CT755" s="43"/>
      <c r="CU755" s="34"/>
      <c r="CV755" s="59"/>
    </row>
    <row r="756" spans="4:100">
      <c r="D756" s="30">
        <v>74.599999999999994</v>
      </c>
      <c r="E756" s="31">
        <v>0.68659999999999999</v>
      </c>
      <c r="F756" s="32">
        <v>686.4</v>
      </c>
      <c r="G756" s="33"/>
      <c r="H756" s="30">
        <v>74.599999999999994</v>
      </c>
      <c r="I756" s="34">
        <v>3.7825000000000002</v>
      </c>
      <c r="J756" s="35">
        <v>0.15887000000000001</v>
      </c>
      <c r="L756" s="30">
        <v>74.599999999999994</v>
      </c>
      <c r="M756" s="172">
        <v>5.7149999999999999</v>
      </c>
      <c r="N756" s="173">
        <v>0.17499000000000001</v>
      </c>
      <c r="P756" s="30">
        <v>74.599999999999994</v>
      </c>
      <c r="Q756" s="172">
        <v>2.8573</v>
      </c>
      <c r="R756" s="173">
        <v>0.12001000000000001</v>
      </c>
      <c r="T756" s="30">
        <v>74.599999999999994</v>
      </c>
      <c r="U756" s="172">
        <v>349.979999999999</v>
      </c>
      <c r="V756" s="173">
        <v>8.3330000000000002</v>
      </c>
      <c r="X756" s="30">
        <v>74.599999999999994</v>
      </c>
      <c r="Y756" s="34">
        <v>2.5512000000000001</v>
      </c>
      <c r="Z756" s="35">
        <v>0.10715</v>
      </c>
      <c r="AA756" s="36"/>
      <c r="AB756" s="30">
        <v>74.599999999999994</v>
      </c>
      <c r="AC756" s="44">
        <v>391.98</v>
      </c>
      <c r="AD756" s="35">
        <v>9.3330000000000002</v>
      </c>
      <c r="AE756" s="36"/>
      <c r="AF756" s="30">
        <v>74.599999999999994</v>
      </c>
      <c r="AG756" s="34">
        <v>2.5920999999999998</v>
      </c>
      <c r="AH756" s="35">
        <v>0.10886999999999999</v>
      </c>
      <c r="AI756" s="35"/>
      <c r="AJ756" s="35">
        <v>0.15820999999999999</v>
      </c>
      <c r="AK756" s="998">
        <v>10.4</v>
      </c>
      <c r="AM756" s="30">
        <v>74.599999999999994</v>
      </c>
      <c r="AN756" s="34">
        <v>1.3238000000000001</v>
      </c>
      <c r="AO756" s="35">
        <v>1.4826999999999999</v>
      </c>
      <c r="BX756" s="43"/>
      <c r="BY756" s="34"/>
      <c r="BZ756" s="59"/>
      <c r="CB756" s="43"/>
      <c r="CC756" s="34"/>
      <c r="CD756" s="59"/>
      <c r="CL756" s="43"/>
      <c r="CM756" s="34"/>
      <c r="CN756" s="59"/>
      <c r="CP756" s="43"/>
      <c r="CQ756" s="34"/>
      <c r="CR756" s="59"/>
      <c r="CT756" s="43"/>
      <c r="CU756" s="34"/>
      <c r="CV756" s="59"/>
    </row>
    <row r="757" spans="4:100">
      <c r="D757" s="30">
        <v>74.7</v>
      </c>
      <c r="E757" s="31">
        <v>0.68620000000000003</v>
      </c>
      <c r="F757" s="32">
        <v>686.1</v>
      </c>
      <c r="G757" s="33"/>
      <c r="H757" s="30">
        <v>74.7</v>
      </c>
      <c r="I757" s="34">
        <v>3.7825000000000002</v>
      </c>
      <c r="J757" s="35">
        <v>0.15887000000000001</v>
      </c>
      <c r="L757" s="30">
        <v>74.7</v>
      </c>
      <c r="M757" s="172">
        <v>5.7119999999999997</v>
      </c>
      <c r="N757" s="173">
        <v>0.17507</v>
      </c>
      <c r="P757" s="30">
        <v>74.7</v>
      </c>
      <c r="Q757" s="172">
        <v>2.8559000000000001</v>
      </c>
      <c r="R757" s="173">
        <v>0.11995</v>
      </c>
      <c r="T757" s="30">
        <v>74.7</v>
      </c>
      <c r="U757" s="172">
        <v>350.14999999999702</v>
      </c>
      <c r="V757" s="173">
        <v>8.3369999999999997</v>
      </c>
      <c r="X757" s="30">
        <v>74.7</v>
      </c>
      <c r="Y757" s="34">
        <v>2.5499000000000001</v>
      </c>
      <c r="Z757" s="35">
        <v>0.1071</v>
      </c>
      <c r="AA757" s="36"/>
      <c r="AB757" s="30">
        <v>74.7</v>
      </c>
      <c r="AC757" s="44">
        <v>392.17</v>
      </c>
      <c r="AD757" s="35">
        <v>9.3369999999999997</v>
      </c>
      <c r="AE757" s="36"/>
      <c r="AF757" s="30">
        <v>74.7</v>
      </c>
      <c r="AG757" s="34">
        <v>2.5909</v>
      </c>
      <c r="AH757" s="35">
        <v>0.10882</v>
      </c>
      <c r="AI757" s="35"/>
      <c r="AJ757" s="35">
        <v>0.15831999999999999</v>
      </c>
      <c r="AK757" s="998">
        <v>10.3</v>
      </c>
      <c r="AM757" s="30">
        <v>74.7</v>
      </c>
      <c r="AN757" s="34">
        <v>1.3244</v>
      </c>
      <c r="AO757" s="35">
        <v>1.4834000000000001</v>
      </c>
      <c r="BX757" s="43"/>
      <c r="BY757" s="34"/>
      <c r="BZ757" s="59"/>
      <c r="CB757" s="43"/>
      <c r="CC757" s="34"/>
      <c r="CD757" s="59"/>
      <c r="CL757" s="43"/>
      <c r="CM757" s="34"/>
      <c r="CN757" s="59"/>
      <c r="CP757" s="43"/>
      <c r="CQ757" s="34"/>
      <c r="CR757" s="59"/>
      <c r="CT757" s="43"/>
      <c r="CU757" s="34"/>
      <c r="CV757" s="59"/>
    </row>
    <row r="758" spans="4:100">
      <c r="D758" s="30">
        <v>74.8</v>
      </c>
      <c r="E758" s="31">
        <v>0.68589999999999995</v>
      </c>
      <c r="F758" s="32">
        <v>685.7</v>
      </c>
      <c r="G758" s="33"/>
      <c r="H758" s="30">
        <v>74.8</v>
      </c>
      <c r="I758" s="34">
        <v>3.7825000000000002</v>
      </c>
      <c r="J758" s="35">
        <v>0.15887000000000001</v>
      </c>
      <c r="L758" s="30">
        <v>74.8</v>
      </c>
      <c r="M758" s="172">
        <v>5.7089999999999996</v>
      </c>
      <c r="N758" s="173">
        <v>0.17516000000000001</v>
      </c>
      <c r="P758" s="30">
        <v>74.8</v>
      </c>
      <c r="Q758" s="172">
        <v>2.8544999999999998</v>
      </c>
      <c r="R758" s="173">
        <v>0.11989</v>
      </c>
      <c r="T758" s="30">
        <v>74.8</v>
      </c>
      <c r="U758" s="172">
        <v>350.31999999999601</v>
      </c>
      <c r="V758" s="173">
        <v>8.3409999999999993</v>
      </c>
      <c r="X758" s="30">
        <v>74.8</v>
      </c>
      <c r="Y758" s="34">
        <v>2.5487000000000002</v>
      </c>
      <c r="Z758" s="35">
        <v>0.10705000000000001</v>
      </c>
      <c r="AA758" s="36"/>
      <c r="AB758" s="30">
        <v>74.8</v>
      </c>
      <c r="AC758" s="44">
        <v>392.36</v>
      </c>
      <c r="AD758" s="35">
        <v>9.3420000000000005</v>
      </c>
      <c r="AE758" s="36"/>
      <c r="AF758" s="30">
        <v>74.8</v>
      </c>
      <c r="AG758" s="34">
        <v>2.5895999999999999</v>
      </c>
      <c r="AH758" s="35">
        <v>0.10876</v>
      </c>
      <c r="AI758" s="35"/>
      <c r="AJ758" s="35">
        <v>0.15844</v>
      </c>
      <c r="AK758" s="998">
        <v>10.199999999999999</v>
      </c>
      <c r="AM758" s="30">
        <v>74.8</v>
      </c>
      <c r="AN758" s="34">
        <v>1.3250999999999999</v>
      </c>
      <c r="AO758" s="35">
        <v>1.4841</v>
      </c>
      <c r="BX758" s="43"/>
      <c r="BY758" s="34"/>
      <c r="BZ758" s="59"/>
      <c r="CB758" s="43"/>
      <c r="CC758" s="34"/>
      <c r="CD758" s="59"/>
      <c r="CL758" s="43"/>
      <c r="CM758" s="34"/>
      <c r="CN758" s="59"/>
      <c r="CP758" s="43"/>
      <c r="CQ758" s="34"/>
      <c r="CR758" s="59"/>
      <c r="CT758" s="43"/>
      <c r="CU758" s="34"/>
      <c r="CV758" s="59"/>
    </row>
    <row r="759" spans="4:100">
      <c r="D759" s="30">
        <v>74.900000000000006</v>
      </c>
      <c r="E759" s="31">
        <v>0.68559999999999999</v>
      </c>
      <c r="F759" s="32">
        <v>685.4</v>
      </c>
      <c r="G759" s="33"/>
      <c r="H759" s="30">
        <v>74.900000000000006</v>
      </c>
      <c r="I759" s="34">
        <v>3.7825000000000002</v>
      </c>
      <c r="J759" s="35">
        <v>0.15887000000000001</v>
      </c>
      <c r="L759" s="30">
        <v>74.900000000000006</v>
      </c>
      <c r="M759" s="172">
        <v>5.7060000000000004</v>
      </c>
      <c r="N759" s="173">
        <v>0.17524000000000001</v>
      </c>
      <c r="P759" s="30">
        <v>74.900000000000006</v>
      </c>
      <c r="Q759" s="172">
        <v>2.8532000000000002</v>
      </c>
      <c r="R759" s="173">
        <v>0.11983000000000001</v>
      </c>
      <c r="T759" s="30">
        <v>74.900000000000006</v>
      </c>
      <c r="U759" s="172">
        <v>350.48999999999501</v>
      </c>
      <c r="V759" s="173">
        <v>8.3450000000000095</v>
      </c>
      <c r="X759" s="30">
        <v>74.900000000000006</v>
      </c>
      <c r="Y759" s="34">
        <v>2.5474999999999999</v>
      </c>
      <c r="Z759" s="35">
        <v>0.10699</v>
      </c>
      <c r="AA759" s="36"/>
      <c r="AB759" s="30">
        <v>74.900000000000006</v>
      </c>
      <c r="AC759" s="44">
        <v>392.55</v>
      </c>
      <c r="AD759" s="35">
        <v>9.3460000000000001</v>
      </c>
      <c r="AE759" s="36"/>
      <c r="AF759" s="30">
        <v>74.900000000000006</v>
      </c>
      <c r="AG759" s="34">
        <v>2.5882999999999998</v>
      </c>
      <c r="AH759" s="35">
        <v>0.10871</v>
      </c>
      <c r="AI759" s="35"/>
      <c r="AJ759" s="35">
        <v>0.15855</v>
      </c>
      <c r="AK759" s="998">
        <v>10.1</v>
      </c>
      <c r="AM759" s="30">
        <v>74.900000000000006</v>
      </c>
      <c r="AN759" s="34">
        <v>1.3257000000000001</v>
      </c>
      <c r="AO759" s="35">
        <v>1.4847999999999999</v>
      </c>
      <c r="BX759" s="43"/>
      <c r="BY759" s="34"/>
      <c r="BZ759" s="59"/>
      <c r="CB759" s="43"/>
      <c r="CC759" s="34"/>
      <c r="CD759" s="59"/>
      <c r="CL759" s="43"/>
      <c r="CM759" s="34"/>
      <c r="CN759" s="59"/>
      <c r="CP759" s="43"/>
      <c r="CQ759" s="34"/>
      <c r="CR759" s="59"/>
      <c r="CT759" s="43"/>
      <c r="CU759" s="34"/>
      <c r="CV759" s="59"/>
    </row>
    <row r="760" spans="4:100">
      <c r="D760" s="30">
        <v>75</v>
      </c>
      <c r="E760" s="31">
        <v>0.68520000000000003</v>
      </c>
      <c r="F760" s="32">
        <v>685.1</v>
      </c>
      <c r="G760" s="33"/>
      <c r="H760" s="30">
        <v>75</v>
      </c>
      <c r="I760" s="34">
        <v>3.7825000000000002</v>
      </c>
      <c r="J760" s="35">
        <v>0.15887000000000001</v>
      </c>
      <c r="L760" s="30">
        <v>75</v>
      </c>
      <c r="M760" s="172">
        <v>5.7039999999999997</v>
      </c>
      <c r="N760" s="173">
        <v>0.17533000000000001</v>
      </c>
      <c r="P760" s="30">
        <v>75</v>
      </c>
      <c r="Q760" s="172">
        <v>2.8517999999999999</v>
      </c>
      <c r="R760" s="173">
        <v>0.11977</v>
      </c>
      <c r="T760" s="30">
        <v>75</v>
      </c>
      <c r="U760" s="172">
        <v>350.659999999994</v>
      </c>
      <c r="V760" s="173">
        <v>8.3490000000000109</v>
      </c>
      <c r="X760" s="30">
        <v>75</v>
      </c>
      <c r="Y760" s="34">
        <v>2.5461999999999998</v>
      </c>
      <c r="Z760" s="35">
        <v>0.10693999999999999</v>
      </c>
      <c r="AA760" s="36"/>
      <c r="AB760" s="30">
        <v>75</v>
      </c>
      <c r="AC760" s="44">
        <v>392.74</v>
      </c>
      <c r="AD760" s="35">
        <v>9.3510000000000009</v>
      </c>
      <c r="AE760" s="36"/>
      <c r="AF760" s="30">
        <v>75</v>
      </c>
      <c r="AG760" s="34">
        <v>2.5871</v>
      </c>
      <c r="AH760" s="35">
        <v>0.10866000000000001</v>
      </c>
      <c r="AI760" s="35"/>
      <c r="AJ760" s="35">
        <v>0.15866</v>
      </c>
      <c r="AK760" s="998">
        <v>10</v>
      </c>
      <c r="AM760" s="30">
        <v>75</v>
      </c>
      <c r="AN760" s="34">
        <v>1.3264</v>
      </c>
      <c r="AO760" s="35">
        <v>1.4855</v>
      </c>
      <c r="BX760" s="43"/>
      <c r="BY760" s="34"/>
      <c r="BZ760" s="59"/>
      <c r="CB760" s="43"/>
      <c r="CC760" s="34"/>
      <c r="CD760" s="59"/>
      <c r="CL760" s="43"/>
      <c r="CM760" s="34"/>
      <c r="CN760" s="59"/>
      <c r="CP760" s="43"/>
      <c r="CQ760" s="34"/>
      <c r="CR760" s="59"/>
      <c r="CT760" s="43"/>
      <c r="CU760" s="34"/>
      <c r="CV760" s="59"/>
    </row>
    <row r="761" spans="4:100">
      <c r="D761" s="30">
        <v>75.099999999999994</v>
      </c>
      <c r="E761" s="31">
        <v>0.68489999999999995</v>
      </c>
      <c r="F761" s="32">
        <v>684.7</v>
      </c>
      <c r="G761" s="33"/>
      <c r="H761" s="30">
        <v>75.099999999999994</v>
      </c>
      <c r="I761" s="34">
        <v>3.7825000000000002</v>
      </c>
      <c r="J761" s="35">
        <v>0.15887000000000001</v>
      </c>
      <c r="L761" s="30">
        <v>75.099999999999994</v>
      </c>
      <c r="M761" s="172">
        <v>5.7009999999999996</v>
      </c>
      <c r="N761" s="173">
        <v>0.17541000000000001</v>
      </c>
      <c r="P761" s="30">
        <v>75.099999999999994</v>
      </c>
      <c r="Q761" s="172">
        <v>2.8504</v>
      </c>
      <c r="R761" s="173">
        <v>0.11971999999999999</v>
      </c>
      <c r="T761" s="30">
        <v>75.099999999999994</v>
      </c>
      <c r="U761" s="172">
        <v>350.82999999999299</v>
      </c>
      <c r="V761" s="173">
        <v>8.3530000000000104</v>
      </c>
      <c r="X761" s="30">
        <v>75.099999999999994</v>
      </c>
      <c r="Y761" s="34">
        <v>2.5449999999999999</v>
      </c>
      <c r="Z761" s="35">
        <v>0.10689</v>
      </c>
      <c r="AA761" s="36"/>
      <c r="AB761" s="30">
        <v>75.099999999999994</v>
      </c>
      <c r="AC761" s="44">
        <v>392.93</v>
      </c>
      <c r="AD761" s="35">
        <v>9.3550000000000004</v>
      </c>
      <c r="AE761" s="36"/>
      <c r="AF761" s="30">
        <v>75.099999999999994</v>
      </c>
      <c r="AG761" s="34">
        <v>2.5857999999999999</v>
      </c>
      <c r="AH761" s="35">
        <v>0.1086</v>
      </c>
      <c r="AI761" s="35"/>
      <c r="AJ761" s="35">
        <v>0.15876999999999999</v>
      </c>
      <c r="AK761" s="998">
        <v>9.9</v>
      </c>
      <c r="AM761" s="30">
        <v>75.099999999999994</v>
      </c>
      <c r="AN761" s="34">
        <v>1.327</v>
      </c>
      <c r="AO761" s="35">
        <v>1.4863</v>
      </c>
      <c r="BX761" s="43"/>
      <c r="BY761" s="34"/>
      <c r="BZ761" s="59"/>
      <c r="CB761" s="43"/>
      <c r="CC761" s="34"/>
      <c r="CD761" s="59"/>
      <c r="CL761" s="43"/>
      <c r="CM761" s="34"/>
      <c r="CN761" s="59"/>
      <c r="CP761" s="43"/>
      <c r="CQ761" s="34"/>
      <c r="CR761" s="59"/>
      <c r="CT761" s="43"/>
      <c r="CU761" s="34"/>
      <c r="CV761" s="59"/>
    </row>
    <row r="762" spans="4:100">
      <c r="D762" s="30">
        <v>75.2</v>
      </c>
      <c r="E762" s="31">
        <v>0.68459999999999999</v>
      </c>
      <c r="F762" s="32">
        <v>684.4</v>
      </c>
      <c r="G762" s="33"/>
      <c r="H762" s="30">
        <v>75.2</v>
      </c>
      <c r="I762" s="34">
        <v>3.7825000000000002</v>
      </c>
      <c r="J762" s="35">
        <v>0.15887000000000001</v>
      </c>
      <c r="L762" s="30">
        <v>75.2</v>
      </c>
      <c r="M762" s="172">
        <v>5.6980000000000004</v>
      </c>
      <c r="N762" s="173">
        <v>0.17549999999999999</v>
      </c>
      <c r="P762" s="30">
        <v>75.2</v>
      </c>
      <c r="Q762" s="172">
        <v>2.8490000000000002</v>
      </c>
      <c r="R762" s="173">
        <v>0.11966</v>
      </c>
      <c r="T762" s="30">
        <v>75.2</v>
      </c>
      <c r="U762" s="172">
        <v>350.99999999999199</v>
      </c>
      <c r="V762" s="173">
        <v>8.35700000000001</v>
      </c>
      <c r="X762" s="30">
        <v>75.2</v>
      </c>
      <c r="Y762" s="34">
        <v>2.5438000000000001</v>
      </c>
      <c r="Z762" s="35">
        <v>0.10684</v>
      </c>
      <c r="AA762" s="36"/>
      <c r="AB762" s="30">
        <v>75.2</v>
      </c>
      <c r="AC762" s="44">
        <v>393.12</v>
      </c>
      <c r="AD762" s="35">
        <v>9.36</v>
      </c>
      <c r="AE762" s="36"/>
      <c r="AF762" s="30">
        <v>75.2</v>
      </c>
      <c r="AG762" s="34">
        <v>2.5846</v>
      </c>
      <c r="AH762" s="35">
        <v>0.10854999999999999</v>
      </c>
      <c r="AI762" s="35"/>
      <c r="AJ762" s="35">
        <v>0.15887999999999999</v>
      </c>
      <c r="AK762" s="998">
        <v>9.8000000000000007</v>
      </c>
      <c r="AM762" s="30">
        <v>75.2</v>
      </c>
      <c r="AN762" s="34">
        <v>1.3277000000000001</v>
      </c>
      <c r="AO762" s="35">
        <v>1.4870000000000001</v>
      </c>
      <c r="BX762" s="43"/>
      <c r="BY762" s="34"/>
      <c r="BZ762" s="59"/>
      <c r="CB762" s="43"/>
      <c r="CC762" s="34"/>
      <c r="CD762" s="59"/>
      <c r="CL762" s="43"/>
      <c r="CM762" s="34"/>
      <c r="CN762" s="59"/>
      <c r="CP762" s="43"/>
      <c r="CQ762" s="34"/>
      <c r="CR762" s="59"/>
      <c r="CT762" s="43"/>
      <c r="CU762" s="34"/>
      <c r="CV762" s="59"/>
    </row>
    <row r="763" spans="4:100">
      <c r="D763" s="30">
        <v>75.3</v>
      </c>
      <c r="E763" s="31">
        <v>0.68420000000000003</v>
      </c>
      <c r="F763" s="32">
        <v>684.1</v>
      </c>
      <c r="G763" s="33"/>
      <c r="H763" s="30">
        <v>75.3</v>
      </c>
      <c r="I763" s="34">
        <v>3.7825000000000002</v>
      </c>
      <c r="J763" s="35">
        <v>0.15887000000000001</v>
      </c>
      <c r="L763" s="30">
        <v>75.3</v>
      </c>
      <c r="M763" s="172">
        <v>5.6950000000000003</v>
      </c>
      <c r="N763" s="173">
        <v>0.17558000000000001</v>
      </c>
      <c r="P763" s="30">
        <v>75.3</v>
      </c>
      <c r="Q763" s="172">
        <v>2.8475999999999999</v>
      </c>
      <c r="R763" s="173">
        <v>0.1196</v>
      </c>
      <c r="T763" s="30">
        <v>75.3</v>
      </c>
      <c r="U763" s="172">
        <v>351.16999999999098</v>
      </c>
      <c r="V763" s="173">
        <v>8.3610000000000095</v>
      </c>
      <c r="X763" s="30">
        <v>75.3</v>
      </c>
      <c r="Y763" s="34">
        <v>2.5425</v>
      </c>
      <c r="Z763" s="35">
        <v>0.10679</v>
      </c>
      <c r="AA763" s="36"/>
      <c r="AB763" s="30">
        <v>75.3</v>
      </c>
      <c r="AC763" s="44">
        <v>393.31</v>
      </c>
      <c r="AD763" s="35">
        <v>9.3650000000000002</v>
      </c>
      <c r="AE763" s="36"/>
      <c r="AF763" s="30">
        <v>75.3</v>
      </c>
      <c r="AG763" s="34">
        <v>2.5832999999999999</v>
      </c>
      <c r="AH763" s="35">
        <v>0.1085</v>
      </c>
      <c r="AI763" s="35"/>
      <c r="AJ763" s="35">
        <v>0.159</v>
      </c>
      <c r="AK763" s="998">
        <v>9.6999999999999993</v>
      </c>
      <c r="AM763" s="30">
        <v>75.3</v>
      </c>
      <c r="AN763" s="34">
        <v>1.3283</v>
      </c>
      <c r="AO763" s="35">
        <v>1.4877</v>
      </c>
      <c r="BX763" s="43"/>
      <c r="BY763" s="34"/>
      <c r="BZ763" s="59"/>
      <c r="CB763" s="43"/>
      <c r="CC763" s="34"/>
      <c r="CD763" s="59"/>
      <c r="CL763" s="43"/>
      <c r="CM763" s="34"/>
      <c r="CN763" s="59"/>
      <c r="CP763" s="43"/>
      <c r="CQ763" s="34"/>
      <c r="CR763" s="59"/>
      <c r="CT763" s="43"/>
      <c r="CU763" s="34"/>
      <c r="CV763" s="59"/>
    </row>
    <row r="764" spans="4:100">
      <c r="D764" s="30">
        <v>75.400000000000006</v>
      </c>
      <c r="E764" s="31">
        <v>0.68389999999999995</v>
      </c>
      <c r="F764" s="32">
        <v>683.8</v>
      </c>
      <c r="G764" s="33"/>
      <c r="H764" s="30">
        <v>75.400000000000006</v>
      </c>
      <c r="I764" s="34">
        <v>3.7825000000000002</v>
      </c>
      <c r="J764" s="35">
        <v>0.15887000000000001</v>
      </c>
      <c r="L764" s="30">
        <v>75.400000000000006</v>
      </c>
      <c r="M764" s="172">
        <v>5.6920000000000002</v>
      </c>
      <c r="N764" s="173">
        <v>0.17566999999999999</v>
      </c>
      <c r="P764" s="30">
        <v>75.400000000000006</v>
      </c>
      <c r="Q764" s="172">
        <v>2.8462000000000001</v>
      </c>
      <c r="R764" s="173">
        <v>0.11953999999999999</v>
      </c>
      <c r="T764" s="30">
        <v>75.400000000000006</v>
      </c>
      <c r="U764" s="172">
        <v>351.33999999999003</v>
      </c>
      <c r="V764" s="173">
        <v>8.3650000000000109</v>
      </c>
      <c r="X764" s="30">
        <v>75.400000000000006</v>
      </c>
      <c r="Y764" s="34">
        <v>2.5413000000000001</v>
      </c>
      <c r="Z764" s="35">
        <v>0.10673000000000001</v>
      </c>
      <c r="AA764" s="36"/>
      <c r="AB764" s="30">
        <v>75.400000000000006</v>
      </c>
      <c r="AC764" s="44">
        <v>393.5</v>
      </c>
      <c r="AD764" s="35">
        <v>9.3689999999999998</v>
      </c>
      <c r="AE764" s="36"/>
      <c r="AF764" s="30">
        <v>75.400000000000006</v>
      </c>
      <c r="AG764" s="34">
        <v>2.5821000000000001</v>
      </c>
      <c r="AH764" s="35">
        <v>0.10845</v>
      </c>
      <c r="AI764" s="35"/>
      <c r="AJ764" s="35">
        <v>0.15911</v>
      </c>
      <c r="AK764" s="998">
        <v>9.6</v>
      </c>
      <c r="AM764" s="30">
        <v>75.400000000000006</v>
      </c>
      <c r="AN764" s="34">
        <v>1.3289</v>
      </c>
      <c r="AO764" s="35">
        <v>1.4883999999999999</v>
      </c>
      <c r="BX764" s="43"/>
      <c r="BY764" s="34"/>
      <c r="BZ764" s="59"/>
      <c r="CB764" s="43"/>
      <c r="CC764" s="34"/>
      <c r="CD764" s="59"/>
      <c r="CL764" s="43"/>
      <c r="CM764" s="34"/>
      <c r="CN764" s="59"/>
      <c r="CP764" s="43"/>
      <c r="CQ764" s="34"/>
      <c r="CR764" s="59"/>
      <c r="CT764" s="43"/>
      <c r="CU764" s="34"/>
      <c r="CV764" s="59"/>
    </row>
    <row r="765" spans="4:100">
      <c r="D765" s="30">
        <v>75.5</v>
      </c>
      <c r="E765" s="31">
        <v>0.68359999999999999</v>
      </c>
      <c r="F765" s="32">
        <v>683.4</v>
      </c>
      <c r="G765" s="33"/>
      <c r="H765" s="30">
        <v>75.5</v>
      </c>
      <c r="I765" s="34">
        <v>3.7825000000000002</v>
      </c>
      <c r="J765" s="35">
        <v>0.15887000000000001</v>
      </c>
      <c r="L765" s="30">
        <v>75.5</v>
      </c>
      <c r="M765" s="172">
        <v>5.69</v>
      </c>
      <c r="N765" s="173">
        <v>0.17574999999999999</v>
      </c>
      <c r="P765" s="30">
        <v>75.5</v>
      </c>
      <c r="Q765" s="172">
        <v>2.8449</v>
      </c>
      <c r="R765" s="173">
        <v>0.11948</v>
      </c>
      <c r="T765" s="30">
        <v>75.5</v>
      </c>
      <c r="U765" s="172">
        <v>351.50999999998902</v>
      </c>
      <c r="V765" s="173">
        <v>8.3690000000000104</v>
      </c>
      <c r="X765" s="30">
        <v>75.5</v>
      </c>
      <c r="Y765" s="34">
        <v>2.5400999999999998</v>
      </c>
      <c r="Z765" s="35">
        <v>0.10668</v>
      </c>
      <c r="AA765" s="36"/>
      <c r="AB765" s="30">
        <v>75.5</v>
      </c>
      <c r="AC765" s="44">
        <v>393.69</v>
      </c>
      <c r="AD765" s="35">
        <v>9.3740000000000006</v>
      </c>
      <c r="AE765" s="36"/>
      <c r="AF765" s="30">
        <v>75.5</v>
      </c>
      <c r="AG765" s="34">
        <v>2.5808</v>
      </c>
      <c r="AH765" s="35">
        <v>0.10839</v>
      </c>
      <c r="AI765" s="35"/>
      <c r="AJ765" s="35">
        <v>0.15922</v>
      </c>
      <c r="AK765" s="998">
        <v>9.5</v>
      </c>
      <c r="AM765" s="30">
        <v>75.5</v>
      </c>
      <c r="AN765" s="34">
        <v>1.3295999999999999</v>
      </c>
      <c r="AO765" s="35">
        <v>1.4891000000000001</v>
      </c>
      <c r="BX765" s="43"/>
      <c r="BY765" s="34"/>
      <c r="BZ765" s="59"/>
      <c r="CB765" s="43"/>
      <c r="CC765" s="34"/>
      <c r="CD765" s="59"/>
      <c r="CL765" s="43"/>
      <c r="CM765" s="34"/>
      <c r="CN765" s="59"/>
      <c r="CP765" s="43"/>
      <c r="CQ765" s="34"/>
      <c r="CR765" s="59"/>
      <c r="CT765" s="43"/>
      <c r="CU765" s="34"/>
      <c r="CV765" s="59"/>
    </row>
    <row r="766" spans="4:100">
      <c r="D766" s="30">
        <v>75.599999999999994</v>
      </c>
      <c r="E766" s="31">
        <v>0.68320000000000003</v>
      </c>
      <c r="F766" s="32">
        <v>683.1</v>
      </c>
      <c r="G766" s="33"/>
      <c r="H766" s="30">
        <v>75.599999999999994</v>
      </c>
      <c r="I766" s="34">
        <v>3.7825000000000002</v>
      </c>
      <c r="J766" s="35">
        <v>0.15886</v>
      </c>
      <c r="L766" s="30">
        <v>75.599999999999994</v>
      </c>
      <c r="M766" s="172">
        <v>5.6870000000000003</v>
      </c>
      <c r="N766" s="173">
        <v>0.17584</v>
      </c>
      <c r="P766" s="30">
        <v>75.599999999999994</v>
      </c>
      <c r="Q766" s="172">
        <v>2.8435000000000001</v>
      </c>
      <c r="R766" s="173">
        <v>0.11942999999999999</v>
      </c>
      <c r="T766" s="30">
        <v>75.599999999999994</v>
      </c>
      <c r="U766" s="172">
        <v>351.67999999998801</v>
      </c>
      <c r="V766" s="173">
        <v>8.3730000000000206</v>
      </c>
      <c r="X766" s="30">
        <v>75.599999999999994</v>
      </c>
      <c r="Y766" s="34">
        <v>2.5388000000000002</v>
      </c>
      <c r="Z766" s="35">
        <v>0.10663</v>
      </c>
      <c r="AA766" s="36"/>
      <c r="AB766" s="30">
        <v>75.599999999999994</v>
      </c>
      <c r="AC766" s="44">
        <v>393.88</v>
      </c>
      <c r="AD766" s="35">
        <v>9.3780000000000001</v>
      </c>
      <c r="AE766" s="36"/>
      <c r="AF766" s="30">
        <v>75.599999999999994</v>
      </c>
      <c r="AG766" s="34">
        <v>2.5796000000000001</v>
      </c>
      <c r="AH766" s="35">
        <v>0.10834000000000001</v>
      </c>
      <c r="AI766" s="35"/>
      <c r="AJ766" s="35">
        <v>0.15934000000000001</v>
      </c>
      <c r="AK766" s="998">
        <v>9.4</v>
      </c>
      <c r="AM766" s="30">
        <v>75.599999999999994</v>
      </c>
      <c r="AN766" s="34">
        <v>1.3302</v>
      </c>
      <c r="AO766" s="35">
        <v>1.4899</v>
      </c>
      <c r="BX766" s="43"/>
      <c r="BY766" s="34"/>
      <c r="BZ766" s="59"/>
      <c r="CB766" s="43"/>
      <c r="CC766" s="34"/>
      <c r="CD766" s="59"/>
      <c r="CL766" s="43"/>
      <c r="CM766" s="34"/>
      <c r="CN766" s="59"/>
      <c r="CP766" s="43"/>
      <c r="CQ766" s="34"/>
      <c r="CR766" s="59"/>
      <c r="CT766" s="43"/>
      <c r="CU766" s="34"/>
      <c r="CV766" s="59"/>
    </row>
    <row r="767" spans="4:100">
      <c r="D767" s="30">
        <v>75.7</v>
      </c>
      <c r="E767" s="31">
        <v>0.68289999999999995</v>
      </c>
      <c r="F767" s="32">
        <v>682.8</v>
      </c>
      <c r="G767" s="33"/>
      <c r="H767" s="30">
        <v>75.7</v>
      </c>
      <c r="I767" s="34">
        <v>3.7825000000000002</v>
      </c>
      <c r="J767" s="35">
        <v>0.15886</v>
      </c>
      <c r="L767" s="30">
        <v>75.7</v>
      </c>
      <c r="M767" s="172">
        <v>5.6840000000000002</v>
      </c>
      <c r="N767" s="173">
        <v>0.17593</v>
      </c>
      <c r="P767" s="30">
        <v>75.7</v>
      </c>
      <c r="Q767" s="172">
        <v>2.8420999999999998</v>
      </c>
      <c r="R767" s="173">
        <v>0.11937</v>
      </c>
      <c r="T767" s="30">
        <v>75.7</v>
      </c>
      <c r="U767" s="172">
        <v>351.84999999998701</v>
      </c>
      <c r="V767" s="173">
        <v>8.3770000000000202</v>
      </c>
      <c r="X767" s="30">
        <v>75.7</v>
      </c>
      <c r="Y767" s="34">
        <v>2.5375999999999999</v>
      </c>
      <c r="Z767" s="35">
        <v>0.10657999999999999</v>
      </c>
      <c r="AA767" s="36"/>
      <c r="AB767" s="30">
        <v>75.7</v>
      </c>
      <c r="AC767" s="44">
        <v>394.07</v>
      </c>
      <c r="AD767" s="35">
        <v>9.3829999999999991</v>
      </c>
      <c r="AE767" s="36"/>
      <c r="AF767" s="30">
        <v>75.7</v>
      </c>
      <c r="AG767" s="34">
        <v>2.5783</v>
      </c>
      <c r="AH767" s="35">
        <v>0.10829</v>
      </c>
      <c r="AI767" s="35"/>
      <c r="AJ767" s="35">
        <v>0.15945000000000001</v>
      </c>
      <c r="AK767" s="998">
        <v>9.3000000000000007</v>
      </c>
      <c r="AM767" s="30">
        <v>75.7</v>
      </c>
      <c r="AN767" s="34">
        <v>1.3309</v>
      </c>
      <c r="AO767" s="35">
        <v>1.4905999999999999</v>
      </c>
      <c r="BX767" s="43"/>
      <c r="BY767" s="34"/>
      <c r="BZ767" s="59"/>
      <c r="CB767" s="43"/>
      <c r="CC767" s="34"/>
      <c r="CD767" s="59"/>
      <c r="CL767" s="43"/>
      <c r="CM767" s="34"/>
      <c r="CN767" s="59"/>
      <c r="CP767" s="43"/>
      <c r="CQ767" s="34"/>
      <c r="CR767" s="59"/>
      <c r="CT767" s="43"/>
      <c r="CU767" s="34"/>
      <c r="CV767" s="59"/>
    </row>
    <row r="768" spans="4:100">
      <c r="D768" s="30">
        <v>75.8</v>
      </c>
      <c r="E768" s="31">
        <v>0.68259999999999998</v>
      </c>
      <c r="F768" s="32">
        <v>682.4</v>
      </c>
      <c r="G768" s="33"/>
      <c r="H768" s="30">
        <v>75.8</v>
      </c>
      <c r="I768" s="34">
        <v>3.7825000000000002</v>
      </c>
      <c r="J768" s="35">
        <v>0.15886</v>
      </c>
      <c r="L768" s="30">
        <v>75.8</v>
      </c>
      <c r="M768" s="172">
        <v>5.681</v>
      </c>
      <c r="N768" s="173">
        <v>0.17601</v>
      </c>
      <c r="P768" s="30">
        <v>75.8</v>
      </c>
      <c r="Q768" s="172">
        <v>2.8407</v>
      </c>
      <c r="R768" s="173">
        <v>0.11931</v>
      </c>
      <c r="T768" s="30">
        <v>75.8</v>
      </c>
      <c r="U768" s="172">
        <v>352.019999999986</v>
      </c>
      <c r="V768" s="173">
        <v>8.3810000000000198</v>
      </c>
      <c r="X768" s="30">
        <v>75.8</v>
      </c>
      <c r="Y768" s="34">
        <v>2.5364</v>
      </c>
      <c r="Z768" s="35">
        <v>0.10653</v>
      </c>
      <c r="AA768" s="36"/>
      <c r="AB768" s="30">
        <v>75.8</v>
      </c>
      <c r="AC768" s="44">
        <v>394.26</v>
      </c>
      <c r="AD768" s="35">
        <v>9.3870000000000005</v>
      </c>
      <c r="AE768" s="36"/>
      <c r="AF768" s="30">
        <v>75.8</v>
      </c>
      <c r="AG768" s="34">
        <v>2.5771000000000002</v>
      </c>
      <c r="AH768" s="35">
        <v>0.10824</v>
      </c>
      <c r="AI768" s="35"/>
      <c r="AJ768" s="35">
        <v>0.15956000000000001</v>
      </c>
      <c r="AK768" s="998">
        <v>9.1999999999999993</v>
      </c>
      <c r="AM768" s="30">
        <v>75.8</v>
      </c>
      <c r="AN768" s="34">
        <v>1.3314999999999999</v>
      </c>
      <c r="AO768" s="35">
        <v>1.4913000000000001</v>
      </c>
      <c r="BX768" s="43"/>
      <c r="BY768" s="34"/>
      <c r="BZ768" s="59"/>
      <c r="CB768" s="43"/>
      <c r="CC768" s="34"/>
      <c r="CD768" s="59"/>
      <c r="CL768" s="43"/>
      <c r="CM768" s="34"/>
      <c r="CN768" s="59"/>
      <c r="CP768" s="43"/>
      <c r="CQ768" s="34"/>
      <c r="CR768" s="59"/>
      <c r="CT768" s="43"/>
      <c r="CU768" s="34"/>
      <c r="CV768" s="59"/>
    </row>
    <row r="769" spans="4:100">
      <c r="D769" s="30">
        <v>75.900000000000006</v>
      </c>
      <c r="E769" s="31">
        <v>0.68230000000000002</v>
      </c>
      <c r="F769" s="32">
        <v>682.1</v>
      </c>
      <c r="G769" s="33"/>
      <c r="H769" s="30">
        <v>75.900000000000006</v>
      </c>
      <c r="I769" s="34">
        <v>3.7825000000000002</v>
      </c>
      <c r="J769" s="35">
        <v>0.15886</v>
      </c>
      <c r="L769" s="30">
        <v>75.900000000000006</v>
      </c>
      <c r="M769" s="172">
        <v>5.6790000000000003</v>
      </c>
      <c r="N769" s="173">
        <v>0.17610000000000001</v>
      </c>
      <c r="P769" s="30">
        <v>75.900000000000006</v>
      </c>
      <c r="Q769" s="172">
        <v>2.8393999999999999</v>
      </c>
      <c r="R769" s="173">
        <v>0.11924999999999999</v>
      </c>
      <c r="T769" s="30">
        <v>75.900000000000006</v>
      </c>
      <c r="U769" s="172">
        <v>352.18999999998499</v>
      </c>
      <c r="V769" s="173">
        <v>8.3850000000000193</v>
      </c>
      <c r="X769" s="30">
        <v>75.900000000000006</v>
      </c>
      <c r="Y769" s="34">
        <v>2.5352000000000001</v>
      </c>
      <c r="Z769" s="35">
        <v>0.10648000000000001</v>
      </c>
      <c r="AA769" s="36"/>
      <c r="AB769" s="30">
        <v>75.900000000000006</v>
      </c>
      <c r="AC769" s="44">
        <v>394.45</v>
      </c>
      <c r="AD769" s="35">
        <v>9.3919999999999995</v>
      </c>
      <c r="AE769" s="36"/>
      <c r="AF769" s="30">
        <v>75.900000000000006</v>
      </c>
      <c r="AG769" s="34">
        <v>2.5758000000000001</v>
      </c>
      <c r="AH769" s="35">
        <v>0.10818999999999999</v>
      </c>
      <c r="AI769" s="35"/>
      <c r="AJ769" s="35">
        <v>0.15967999999999999</v>
      </c>
      <c r="AK769" s="998">
        <v>9.1</v>
      </c>
      <c r="AM769" s="30">
        <v>75.900000000000006</v>
      </c>
      <c r="AN769" s="34">
        <v>1.3322000000000001</v>
      </c>
      <c r="AO769" s="35">
        <v>1.492</v>
      </c>
      <c r="BX769" s="43"/>
      <c r="BY769" s="34"/>
      <c r="BZ769" s="59"/>
      <c r="CB769" s="43"/>
      <c r="CC769" s="34"/>
      <c r="CD769" s="59"/>
      <c r="CL769" s="43"/>
      <c r="CM769" s="34"/>
      <c r="CN769" s="59"/>
      <c r="CP769" s="43"/>
      <c r="CQ769" s="34"/>
      <c r="CR769" s="59"/>
      <c r="CT769" s="43"/>
      <c r="CU769" s="34"/>
      <c r="CV769" s="59"/>
    </row>
    <row r="770" spans="4:100">
      <c r="D770" s="30">
        <v>76</v>
      </c>
      <c r="E770" s="31">
        <v>0.68189999999999995</v>
      </c>
      <c r="F770" s="32">
        <v>681.8</v>
      </c>
      <c r="G770" s="33"/>
      <c r="H770" s="30">
        <v>76</v>
      </c>
      <c r="I770" s="34">
        <v>3.7825000000000002</v>
      </c>
      <c r="J770" s="35">
        <v>0.15886</v>
      </c>
      <c r="L770" s="30">
        <v>76</v>
      </c>
      <c r="M770" s="172">
        <v>5.6760000000000002</v>
      </c>
      <c r="N770" s="173">
        <v>0.17618</v>
      </c>
      <c r="P770" s="30">
        <v>76</v>
      </c>
      <c r="Q770" s="172">
        <v>2.8380000000000001</v>
      </c>
      <c r="R770" s="173">
        <v>0.1192</v>
      </c>
      <c r="T770" s="30">
        <v>76</v>
      </c>
      <c r="U770" s="172">
        <v>352.35999999998398</v>
      </c>
      <c r="V770" s="173">
        <v>8.39</v>
      </c>
      <c r="X770" s="30">
        <v>76</v>
      </c>
      <c r="Y770" s="34">
        <v>2.5339</v>
      </c>
      <c r="Z770" s="35">
        <v>0.10643</v>
      </c>
      <c r="AA770" s="36"/>
      <c r="AB770" s="30">
        <v>76</v>
      </c>
      <c r="AC770" s="44">
        <v>394.64</v>
      </c>
      <c r="AD770" s="35">
        <v>9.3960000000000008</v>
      </c>
      <c r="AE770" s="36"/>
      <c r="AF770" s="30">
        <v>76</v>
      </c>
      <c r="AG770" s="34">
        <v>2.5746000000000002</v>
      </c>
      <c r="AH770" s="35">
        <v>0.10813</v>
      </c>
      <c r="AI770" s="35"/>
      <c r="AJ770" s="35">
        <v>0.15978999999999999</v>
      </c>
      <c r="AK770" s="998">
        <v>9</v>
      </c>
      <c r="AM770" s="30">
        <v>76</v>
      </c>
      <c r="AN770" s="34">
        <v>1.3328</v>
      </c>
      <c r="AO770" s="35">
        <v>1.4926999999999999</v>
      </c>
      <c r="BX770" s="43"/>
      <c r="BY770" s="34"/>
      <c r="BZ770" s="59"/>
      <c r="CB770" s="43"/>
      <c r="CC770" s="34"/>
      <c r="CD770" s="59"/>
      <c r="CL770" s="43"/>
      <c r="CM770" s="34"/>
      <c r="CN770" s="59"/>
      <c r="CP770" s="43"/>
      <c r="CQ770" s="34"/>
      <c r="CR770" s="59"/>
      <c r="CT770" s="43"/>
      <c r="CU770" s="34"/>
      <c r="CV770" s="59"/>
    </row>
    <row r="771" spans="4:100">
      <c r="D771" s="30">
        <v>76.099999999999994</v>
      </c>
      <c r="E771" s="31">
        <v>0.68159999999999998</v>
      </c>
      <c r="F771" s="32">
        <v>681.5</v>
      </c>
      <c r="G771" s="33"/>
      <c r="H771" s="30">
        <v>76.099999999999994</v>
      </c>
      <c r="I771" s="34">
        <v>3.7825000000000002</v>
      </c>
      <c r="J771" s="35">
        <v>0.15886</v>
      </c>
      <c r="L771" s="30">
        <v>76.099999999999994</v>
      </c>
      <c r="M771" s="172">
        <v>5.673</v>
      </c>
      <c r="N771" s="173">
        <v>0.17627000000000001</v>
      </c>
      <c r="P771" s="30">
        <v>76.099999999999994</v>
      </c>
      <c r="Q771" s="172">
        <v>2.8365999999999998</v>
      </c>
      <c r="R771" s="173">
        <v>0.11914</v>
      </c>
      <c r="T771" s="30">
        <v>76.099999999999994</v>
      </c>
      <c r="U771" s="172">
        <v>352.52999999998298</v>
      </c>
      <c r="V771" s="173">
        <v>8.3940000000000001</v>
      </c>
      <c r="X771" s="30">
        <v>76.099999999999994</v>
      </c>
      <c r="Y771" s="34">
        <v>2.5327000000000002</v>
      </c>
      <c r="Z771" s="35">
        <v>0.10637000000000001</v>
      </c>
      <c r="AA771" s="36"/>
      <c r="AB771" s="30">
        <v>76.099999999999994</v>
      </c>
      <c r="AC771" s="44">
        <v>394.83</v>
      </c>
      <c r="AD771" s="35">
        <v>9.4009999999999998</v>
      </c>
      <c r="AE771" s="36"/>
      <c r="AF771" s="30">
        <v>76.099999999999994</v>
      </c>
      <c r="AG771" s="34">
        <v>2.5733999999999999</v>
      </c>
      <c r="AH771" s="35">
        <v>0.10808</v>
      </c>
      <c r="AI771" s="35"/>
      <c r="AJ771" s="35">
        <v>0.15989999999999999</v>
      </c>
      <c r="AK771" s="998">
        <v>8.9</v>
      </c>
      <c r="AM771" s="30">
        <v>76.099999999999994</v>
      </c>
      <c r="AN771" s="34">
        <v>1.3333999999999999</v>
      </c>
      <c r="AO771" s="35">
        <v>1.4935</v>
      </c>
      <c r="BX771" s="43"/>
      <c r="BY771" s="34"/>
      <c r="BZ771" s="59"/>
      <c r="CB771" s="43"/>
      <c r="CC771" s="34"/>
      <c r="CD771" s="59"/>
      <c r="CL771" s="43"/>
      <c r="CM771" s="34"/>
      <c r="CN771" s="59"/>
      <c r="CP771" s="43"/>
      <c r="CQ771" s="34"/>
      <c r="CR771" s="59"/>
      <c r="CT771" s="43"/>
      <c r="CU771" s="34"/>
      <c r="CV771" s="59"/>
    </row>
    <row r="772" spans="4:100">
      <c r="D772" s="30">
        <v>76.2</v>
      </c>
      <c r="E772" s="31">
        <v>0.68130000000000002</v>
      </c>
      <c r="F772" s="32">
        <v>681.1</v>
      </c>
      <c r="G772" s="33"/>
      <c r="H772" s="30">
        <v>76.2</v>
      </c>
      <c r="I772" s="34">
        <v>3.7825000000000002</v>
      </c>
      <c r="J772" s="35">
        <v>0.15886</v>
      </c>
      <c r="L772" s="30">
        <v>76.2</v>
      </c>
      <c r="M772" s="172">
        <v>5.6710000000000003</v>
      </c>
      <c r="N772" s="173">
        <v>0.17635000000000001</v>
      </c>
      <c r="P772" s="30">
        <v>76.2</v>
      </c>
      <c r="Q772" s="172">
        <v>2.8353000000000002</v>
      </c>
      <c r="R772" s="173">
        <v>0.11908000000000001</v>
      </c>
      <c r="T772" s="30">
        <v>76.2</v>
      </c>
      <c r="U772" s="172">
        <v>352.69999999998203</v>
      </c>
      <c r="V772" s="173">
        <v>8.3979999999999997</v>
      </c>
      <c r="X772" s="30">
        <v>76.2</v>
      </c>
      <c r="Y772" s="34">
        <v>2.5314999999999999</v>
      </c>
      <c r="Z772" s="35">
        <v>0.10632</v>
      </c>
      <c r="AA772" s="36"/>
      <c r="AB772" s="30">
        <v>76.2</v>
      </c>
      <c r="AC772" s="44">
        <v>395.02</v>
      </c>
      <c r="AD772" s="35">
        <v>9.4049999999999994</v>
      </c>
      <c r="AE772" s="36"/>
      <c r="AF772" s="30">
        <v>76.2</v>
      </c>
      <c r="AG772" s="34">
        <v>2.5720999999999998</v>
      </c>
      <c r="AH772" s="35">
        <v>0.10803</v>
      </c>
      <c r="AI772" s="35"/>
      <c r="AJ772" s="35">
        <v>0.16002</v>
      </c>
      <c r="AK772" s="998">
        <v>8.8000000000000007</v>
      </c>
      <c r="AM772" s="30">
        <v>76.2</v>
      </c>
      <c r="AN772" s="34">
        <v>1.3341000000000001</v>
      </c>
      <c r="AO772" s="35">
        <v>1.4942</v>
      </c>
      <c r="BX772" s="43"/>
      <c r="BY772" s="34"/>
      <c r="BZ772" s="59"/>
      <c r="CB772" s="43"/>
      <c r="CC772" s="34"/>
      <c r="CD772" s="59"/>
      <c r="CL772" s="43"/>
      <c r="CM772" s="34"/>
      <c r="CN772" s="59"/>
      <c r="CP772" s="43"/>
      <c r="CQ772" s="34"/>
      <c r="CR772" s="59"/>
      <c r="CT772" s="43"/>
      <c r="CU772" s="34"/>
      <c r="CV772" s="59"/>
    </row>
    <row r="773" spans="4:100">
      <c r="D773" s="30">
        <v>76.3</v>
      </c>
      <c r="E773" s="31">
        <v>0.68089999999999995</v>
      </c>
      <c r="F773" s="32">
        <v>680.8</v>
      </c>
      <c r="G773" s="33"/>
      <c r="H773" s="30">
        <v>76.3</v>
      </c>
      <c r="I773" s="34">
        <v>3.7825000000000002</v>
      </c>
      <c r="J773" s="35">
        <v>0.15886</v>
      </c>
      <c r="L773" s="30">
        <v>76.3</v>
      </c>
      <c r="M773" s="172">
        <v>5.6680000000000001</v>
      </c>
      <c r="N773" s="173">
        <v>0.17644000000000001</v>
      </c>
      <c r="P773" s="30">
        <v>76.3</v>
      </c>
      <c r="Q773" s="172">
        <v>2.8338999999999999</v>
      </c>
      <c r="R773" s="173">
        <v>0.11902</v>
      </c>
      <c r="T773" s="30">
        <v>76.3</v>
      </c>
      <c r="U773" s="172">
        <v>352.86999999998102</v>
      </c>
      <c r="V773" s="173">
        <v>8.4019999999999992</v>
      </c>
      <c r="X773" s="30">
        <v>76.3</v>
      </c>
      <c r="Y773" s="34">
        <v>2.5303</v>
      </c>
      <c r="Z773" s="35">
        <v>0.10627</v>
      </c>
      <c r="AA773" s="36"/>
      <c r="AB773" s="30">
        <v>76.3</v>
      </c>
      <c r="AC773" s="44">
        <v>395.22</v>
      </c>
      <c r="AD773" s="35">
        <v>9.41</v>
      </c>
      <c r="AE773" s="36"/>
      <c r="AF773" s="30">
        <v>76.3</v>
      </c>
      <c r="AG773" s="34">
        <v>2.5709</v>
      </c>
      <c r="AH773" s="35">
        <v>0.10798000000000001</v>
      </c>
      <c r="AI773" s="35"/>
      <c r="AJ773" s="35">
        <v>0.16012999999999999</v>
      </c>
      <c r="AK773" s="998">
        <v>8.6999999999999993</v>
      </c>
      <c r="AM773" s="30">
        <v>76.3</v>
      </c>
      <c r="AN773" s="34">
        <v>1.3347</v>
      </c>
      <c r="AO773" s="35">
        <v>1.4948999999999999</v>
      </c>
      <c r="BX773" s="43"/>
      <c r="BY773" s="34"/>
      <c r="BZ773" s="59"/>
      <c r="CB773" s="43"/>
      <c r="CC773" s="34"/>
      <c r="CD773" s="59"/>
      <c r="CL773" s="43"/>
      <c r="CM773" s="34"/>
      <c r="CN773" s="59"/>
      <c r="CP773" s="43"/>
      <c r="CQ773" s="34"/>
      <c r="CR773" s="59"/>
      <c r="CT773" s="43"/>
      <c r="CU773" s="34"/>
      <c r="CV773" s="59"/>
    </row>
    <row r="774" spans="4:100">
      <c r="D774" s="30">
        <v>76.400000000000006</v>
      </c>
      <c r="E774" s="31">
        <v>0.68059999999999998</v>
      </c>
      <c r="F774" s="32">
        <v>680.5</v>
      </c>
      <c r="G774" s="33"/>
      <c r="H774" s="30">
        <v>76.400000000000006</v>
      </c>
      <c r="I774" s="34">
        <v>3.7825000000000002</v>
      </c>
      <c r="J774" s="35">
        <v>0.15886</v>
      </c>
      <c r="L774" s="30">
        <v>76.400000000000006</v>
      </c>
      <c r="M774" s="172">
        <v>5.665</v>
      </c>
      <c r="N774" s="173">
        <v>0.17652000000000001</v>
      </c>
      <c r="P774" s="30">
        <v>76.400000000000006</v>
      </c>
      <c r="Q774" s="172">
        <v>2.8325</v>
      </c>
      <c r="R774" s="173">
        <v>0.11897000000000001</v>
      </c>
      <c r="T774" s="30">
        <v>76.400000000000006</v>
      </c>
      <c r="U774" s="172">
        <v>353.03999999998001</v>
      </c>
      <c r="V774" s="173">
        <v>8.4060000000000006</v>
      </c>
      <c r="X774" s="30">
        <v>76.400000000000006</v>
      </c>
      <c r="Y774" s="34">
        <v>2.5289999999999999</v>
      </c>
      <c r="Z774" s="35">
        <v>0.10621999999999999</v>
      </c>
      <c r="AA774" s="36"/>
      <c r="AB774" s="30">
        <v>76.400000000000006</v>
      </c>
      <c r="AC774" s="44">
        <v>395.41</v>
      </c>
      <c r="AD774" s="35">
        <v>9.4139999999999997</v>
      </c>
      <c r="AE774" s="36"/>
      <c r="AF774" s="30">
        <v>76.400000000000006</v>
      </c>
      <c r="AG774" s="34">
        <v>2.5695999999999999</v>
      </c>
      <c r="AH774" s="35">
        <v>0.10792</v>
      </c>
      <c r="AI774" s="35"/>
      <c r="AJ774" s="35">
        <v>0.16025</v>
      </c>
      <c r="AK774" s="998">
        <v>8.6</v>
      </c>
      <c r="AM774" s="30">
        <v>76.400000000000006</v>
      </c>
      <c r="AN774" s="34">
        <v>1.3353999999999999</v>
      </c>
      <c r="AO774" s="35">
        <v>1.4956</v>
      </c>
      <c r="BX774" s="43"/>
      <c r="BY774" s="34"/>
      <c r="BZ774" s="59"/>
      <c r="CB774" s="43"/>
      <c r="CC774" s="34"/>
      <c r="CD774" s="59"/>
      <c r="CL774" s="43"/>
      <c r="CM774" s="34"/>
      <c r="CN774" s="59"/>
      <c r="CP774" s="43"/>
      <c r="CQ774" s="34"/>
      <c r="CR774" s="59"/>
      <c r="CT774" s="43"/>
      <c r="CU774" s="34"/>
      <c r="CV774" s="59"/>
    </row>
    <row r="775" spans="4:100">
      <c r="D775" s="30">
        <v>76.5</v>
      </c>
      <c r="E775" s="31">
        <v>0.68030000000000002</v>
      </c>
      <c r="F775" s="32">
        <v>680.1</v>
      </c>
      <c r="G775" s="33"/>
      <c r="H775" s="30">
        <v>76.5</v>
      </c>
      <c r="I775" s="34">
        <v>3.7825000000000002</v>
      </c>
      <c r="J775" s="35">
        <v>0.15886</v>
      </c>
      <c r="L775" s="30">
        <v>76.5</v>
      </c>
      <c r="M775" s="172">
        <v>5.6619999999999999</v>
      </c>
      <c r="N775" s="173">
        <v>0.17660999999999999</v>
      </c>
      <c r="P775" s="30">
        <v>76.5</v>
      </c>
      <c r="Q775" s="172">
        <v>2.8311999999999999</v>
      </c>
      <c r="R775" s="173">
        <v>0.11891</v>
      </c>
      <c r="T775" s="30">
        <v>76.5</v>
      </c>
      <c r="U775" s="172">
        <v>353.209999999979</v>
      </c>
      <c r="V775" s="173">
        <v>8.41</v>
      </c>
      <c r="X775" s="30">
        <v>76.5</v>
      </c>
      <c r="Y775" s="34">
        <v>2.5276999999999998</v>
      </c>
      <c r="Z775" s="35">
        <v>0.10617</v>
      </c>
      <c r="AA775" s="36"/>
      <c r="AB775" s="30">
        <v>76.5</v>
      </c>
      <c r="AC775" s="44">
        <v>395.6</v>
      </c>
      <c r="AD775" s="35">
        <v>9.4190000000000005</v>
      </c>
      <c r="AE775" s="36"/>
      <c r="AF775" s="30">
        <v>76.5</v>
      </c>
      <c r="AG775" s="34">
        <v>2.5684</v>
      </c>
      <c r="AH775" s="35">
        <v>0.10786999999999999</v>
      </c>
      <c r="AI775" s="35"/>
      <c r="AJ775" s="35">
        <v>0.16036</v>
      </c>
      <c r="AK775" s="998">
        <v>8.5</v>
      </c>
      <c r="AM775" s="30">
        <v>76.5</v>
      </c>
      <c r="AN775" s="34">
        <v>1.3360000000000001</v>
      </c>
      <c r="AO775" s="35">
        <v>1.4963</v>
      </c>
      <c r="BX775" s="43"/>
      <c r="BY775" s="34"/>
      <c r="BZ775" s="59"/>
      <c r="CB775" s="43"/>
      <c r="CC775" s="34"/>
      <c r="CD775" s="59"/>
      <c r="CL775" s="43"/>
      <c r="CM775" s="34"/>
      <c r="CN775" s="59"/>
      <c r="CP775" s="43"/>
      <c r="CQ775" s="34"/>
      <c r="CR775" s="59"/>
      <c r="CT775" s="43"/>
      <c r="CU775" s="34"/>
      <c r="CV775" s="59"/>
    </row>
    <row r="776" spans="4:100">
      <c r="D776" s="30">
        <v>76.599999999999994</v>
      </c>
      <c r="E776" s="31">
        <v>0.68</v>
      </c>
      <c r="F776" s="32">
        <v>679.8</v>
      </c>
      <c r="G776" s="33"/>
      <c r="H776" s="30">
        <v>76.599999999999994</v>
      </c>
      <c r="I776" s="34">
        <v>3.7825000000000002</v>
      </c>
      <c r="J776" s="35">
        <v>0.15886</v>
      </c>
      <c r="L776" s="30">
        <v>76.599999999999994</v>
      </c>
      <c r="M776" s="172">
        <v>5.66</v>
      </c>
      <c r="N776" s="173">
        <v>0.17669000000000001</v>
      </c>
      <c r="P776" s="30">
        <v>76.599999999999994</v>
      </c>
      <c r="Q776" s="172">
        <v>2.8298000000000001</v>
      </c>
      <c r="R776" s="173">
        <v>0.11885</v>
      </c>
      <c r="T776" s="30">
        <v>76.599999999999994</v>
      </c>
      <c r="U776" s="172">
        <v>353.379999999978</v>
      </c>
      <c r="V776" s="173">
        <v>8.4139999999999997</v>
      </c>
      <c r="X776" s="30">
        <v>76.599999999999994</v>
      </c>
      <c r="Y776" s="34">
        <v>2.5266000000000002</v>
      </c>
      <c r="Z776" s="35">
        <v>0.10612000000000001</v>
      </c>
      <c r="AA776" s="36"/>
      <c r="AB776" s="30">
        <v>76.599999999999994</v>
      </c>
      <c r="AC776" s="44">
        <v>395.79</v>
      </c>
      <c r="AD776" s="35">
        <v>9.423</v>
      </c>
      <c r="AE776" s="36"/>
      <c r="AF776" s="30">
        <v>76.599999999999994</v>
      </c>
      <c r="AG776" s="34">
        <v>2.5672000000000001</v>
      </c>
      <c r="AH776" s="35">
        <v>0.10782</v>
      </c>
      <c r="AI776" s="35"/>
      <c r="AJ776" s="35">
        <v>0.16048000000000001</v>
      </c>
      <c r="AK776" s="998">
        <v>8.4</v>
      </c>
      <c r="AM776" s="30">
        <v>76.599999999999994</v>
      </c>
      <c r="AN776" s="34">
        <v>1.3367</v>
      </c>
      <c r="AO776" s="35">
        <v>1.4971000000000001</v>
      </c>
      <c r="BX776" s="43"/>
      <c r="BY776" s="34"/>
      <c r="BZ776" s="59"/>
      <c r="CB776" s="43"/>
      <c r="CC776" s="34"/>
      <c r="CD776" s="59"/>
      <c r="CL776" s="43"/>
      <c r="CM776" s="34"/>
      <c r="CN776" s="59"/>
      <c r="CP776" s="43"/>
      <c r="CQ776" s="34"/>
      <c r="CR776" s="59"/>
      <c r="CT776" s="43"/>
      <c r="CU776" s="34"/>
      <c r="CV776" s="59"/>
    </row>
    <row r="777" spans="4:100">
      <c r="D777" s="30">
        <v>76.7</v>
      </c>
      <c r="E777" s="31">
        <v>0.67959999999999998</v>
      </c>
      <c r="F777" s="32">
        <v>679.5</v>
      </c>
      <c r="G777" s="33"/>
      <c r="H777" s="30">
        <v>76.7</v>
      </c>
      <c r="I777" s="34">
        <v>3.7825000000000002</v>
      </c>
      <c r="J777" s="35">
        <v>0.15886</v>
      </c>
      <c r="L777" s="30">
        <v>76.7</v>
      </c>
      <c r="M777" s="172">
        <v>5.657</v>
      </c>
      <c r="N777" s="173">
        <v>0.17677999999999999</v>
      </c>
      <c r="P777" s="30">
        <v>76.7</v>
      </c>
      <c r="Q777" s="172">
        <v>2.8283999999999998</v>
      </c>
      <c r="R777" s="173">
        <v>0.11879000000000001</v>
      </c>
      <c r="T777" s="30">
        <v>76.7</v>
      </c>
      <c r="U777" s="172">
        <v>353.54999999997699</v>
      </c>
      <c r="V777" s="173">
        <v>8.4179999999999993</v>
      </c>
      <c r="X777" s="30">
        <v>76.7</v>
      </c>
      <c r="Y777" s="34">
        <v>2.5253999999999999</v>
      </c>
      <c r="Z777" s="35">
        <v>0.10607</v>
      </c>
      <c r="AA777" s="36"/>
      <c r="AB777" s="30">
        <v>76.7</v>
      </c>
      <c r="AC777" s="44">
        <v>395.98</v>
      </c>
      <c r="AD777" s="35">
        <v>9.4280000000000008</v>
      </c>
      <c r="AE777" s="36"/>
      <c r="AF777" s="30">
        <v>76.7</v>
      </c>
      <c r="AG777" s="34">
        <v>2.5659000000000001</v>
      </c>
      <c r="AH777" s="35">
        <v>0.10777</v>
      </c>
      <c r="AI777" s="35"/>
      <c r="AJ777" s="35">
        <v>0.16059000000000001</v>
      </c>
      <c r="AK777" s="998">
        <v>8.3000000000000007</v>
      </c>
      <c r="AM777" s="30">
        <v>76.7</v>
      </c>
      <c r="AN777" s="34">
        <v>1.3372999999999999</v>
      </c>
      <c r="AO777" s="35">
        <v>1.4978</v>
      </c>
      <c r="BX777" s="43"/>
      <c r="BY777" s="34"/>
      <c r="BZ777" s="59"/>
      <c r="CB777" s="43"/>
      <c r="CC777" s="34"/>
      <c r="CD777" s="59"/>
      <c r="CL777" s="43"/>
      <c r="CM777" s="34"/>
      <c r="CN777" s="59"/>
      <c r="CP777" s="43"/>
      <c r="CQ777" s="34"/>
      <c r="CR777" s="59"/>
      <c r="CT777" s="43"/>
      <c r="CU777" s="34"/>
      <c r="CV777" s="59"/>
    </row>
    <row r="778" spans="4:100">
      <c r="D778" s="30">
        <v>76.8</v>
      </c>
      <c r="E778" s="31">
        <v>0.67930000000000001</v>
      </c>
      <c r="F778" s="32">
        <v>679.2</v>
      </c>
      <c r="G778" s="33"/>
      <c r="H778" s="30">
        <v>76.8</v>
      </c>
      <c r="I778" s="34">
        <v>3.7825000000000002</v>
      </c>
      <c r="J778" s="35">
        <v>0.15886</v>
      </c>
      <c r="L778" s="30">
        <v>76.8</v>
      </c>
      <c r="M778" s="172">
        <v>5.6539999999999999</v>
      </c>
      <c r="N778" s="173">
        <v>0.17685999999999999</v>
      </c>
      <c r="P778" s="30">
        <v>76.8</v>
      </c>
      <c r="Q778" s="172">
        <v>2.8271000000000002</v>
      </c>
      <c r="R778" s="173">
        <v>0.11874</v>
      </c>
      <c r="T778" s="30">
        <v>76.8</v>
      </c>
      <c r="U778" s="172">
        <v>353.71999999997598</v>
      </c>
      <c r="V778" s="173">
        <v>8.4220000000000095</v>
      </c>
      <c r="X778" s="30">
        <v>76.8</v>
      </c>
      <c r="Y778" s="34">
        <v>2.5242</v>
      </c>
      <c r="Z778" s="35">
        <v>0.10602</v>
      </c>
      <c r="AA778" s="36"/>
      <c r="AB778" s="30">
        <v>76.8</v>
      </c>
      <c r="AC778" s="44">
        <v>396.17</v>
      </c>
      <c r="AD778" s="35">
        <v>9.4329999999999998</v>
      </c>
      <c r="AE778" s="36"/>
      <c r="AF778" s="30">
        <v>76.8</v>
      </c>
      <c r="AG778" s="34">
        <v>2.5647000000000002</v>
      </c>
      <c r="AH778" s="35">
        <v>0.10772</v>
      </c>
      <c r="AI778" s="35"/>
      <c r="AJ778" s="35">
        <v>0.16070999999999999</v>
      </c>
      <c r="AK778" s="998">
        <v>8.1999999999999993</v>
      </c>
      <c r="AM778" s="30">
        <v>76.8</v>
      </c>
      <c r="AN778" s="34">
        <v>1.3379000000000001</v>
      </c>
      <c r="AO778" s="35">
        <v>1.4984999999999999</v>
      </c>
      <c r="BX778" s="43"/>
      <c r="BY778" s="34"/>
      <c r="BZ778" s="59"/>
      <c r="CB778" s="43"/>
      <c r="CC778" s="34"/>
      <c r="CD778" s="59"/>
      <c r="CL778" s="43"/>
      <c r="CM778" s="34"/>
      <c r="CN778" s="59"/>
      <c r="CP778" s="43"/>
      <c r="CQ778" s="34"/>
      <c r="CR778" s="59"/>
      <c r="CT778" s="43"/>
      <c r="CU778" s="34"/>
      <c r="CV778" s="59"/>
    </row>
    <row r="779" spans="4:100">
      <c r="D779" s="30">
        <v>76.900000000000006</v>
      </c>
      <c r="E779" s="31">
        <v>0.67900000000000005</v>
      </c>
      <c r="F779" s="32">
        <v>678.8</v>
      </c>
      <c r="G779" s="33"/>
      <c r="H779" s="30">
        <v>76.900000000000006</v>
      </c>
      <c r="I779" s="34">
        <v>3.7825000000000002</v>
      </c>
      <c r="J779" s="35">
        <v>0.15886</v>
      </c>
      <c r="L779" s="30">
        <v>76.900000000000006</v>
      </c>
      <c r="M779" s="172">
        <v>5.6509999999999998</v>
      </c>
      <c r="N779" s="173">
        <v>0.17695</v>
      </c>
      <c r="P779" s="30">
        <v>76.900000000000006</v>
      </c>
      <c r="Q779" s="172">
        <v>2.8256999999999999</v>
      </c>
      <c r="R779" s="173">
        <v>0.11867999999999999</v>
      </c>
      <c r="T779" s="30">
        <v>76.900000000000006</v>
      </c>
      <c r="U779" s="172">
        <v>353.88999999997498</v>
      </c>
      <c r="V779" s="173">
        <v>8.4260000000000108</v>
      </c>
      <c r="X779" s="30">
        <v>76.900000000000006</v>
      </c>
      <c r="Y779" s="34">
        <v>2.5230000000000001</v>
      </c>
      <c r="Z779" s="35">
        <v>0.10596</v>
      </c>
      <c r="AA779" s="36"/>
      <c r="AB779" s="30">
        <v>76.900000000000006</v>
      </c>
      <c r="AC779" s="44">
        <v>396.36</v>
      </c>
      <c r="AD779" s="35">
        <v>9.4369999999999994</v>
      </c>
      <c r="AE779" s="36"/>
      <c r="AF779" s="30">
        <v>76.900000000000006</v>
      </c>
      <c r="AG779" s="34">
        <v>2.5634999999999999</v>
      </c>
      <c r="AH779" s="35">
        <v>0.10767</v>
      </c>
      <c r="AI779" s="35"/>
      <c r="AJ779" s="35">
        <v>0.16081999999999999</v>
      </c>
      <c r="AK779" s="998">
        <v>8.1</v>
      </c>
      <c r="AM779" s="30">
        <v>76.900000000000006</v>
      </c>
      <c r="AN779" s="34">
        <v>1.3386</v>
      </c>
      <c r="AO779" s="35">
        <v>1.4992000000000001</v>
      </c>
      <c r="BX779" s="43"/>
      <c r="BY779" s="34"/>
      <c r="BZ779" s="59"/>
      <c r="CB779" s="43"/>
      <c r="CC779" s="34"/>
      <c r="CD779" s="59"/>
      <c r="CL779" s="43"/>
      <c r="CM779" s="34"/>
      <c r="CN779" s="59"/>
      <c r="CP779" s="43"/>
      <c r="CQ779" s="34"/>
      <c r="CR779" s="59"/>
      <c r="CT779" s="43"/>
      <c r="CU779" s="34"/>
      <c r="CV779" s="59"/>
    </row>
    <row r="780" spans="4:100">
      <c r="D780" s="30">
        <v>77</v>
      </c>
      <c r="E780" s="31">
        <v>0.67869999999999997</v>
      </c>
      <c r="F780" s="32">
        <v>678.5</v>
      </c>
      <c r="G780" s="33"/>
      <c r="H780" s="30">
        <v>77</v>
      </c>
      <c r="I780" s="34">
        <v>3.7825000000000002</v>
      </c>
      <c r="J780" s="35">
        <v>0.15886</v>
      </c>
      <c r="L780" s="30">
        <v>77</v>
      </c>
      <c r="M780" s="172">
        <v>5.649</v>
      </c>
      <c r="N780" s="173">
        <v>0.17702999999999999</v>
      </c>
      <c r="P780" s="30">
        <v>77</v>
      </c>
      <c r="Q780" s="172">
        <v>2.8243999999999998</v>
      </c>
      <c r="R780" s="173">
        <v>0.11862</v>
      </c>
      <c r="T780" s="30">
        <v>77</v>
      </c>
      <c r="U780" s="172">
        <v>354.05999999997402</v>
      </c>
      <c r="V780" s="173">
        <v>8.4300000000000104</v>
      </c>
      <c r="X780" s="30">
        <v>77</v>
      </c>
      <c r="Y780" s="34">
        <v>2.5217999999999998</v>
      </c>
      <c r="Z780" s="35">
        <v>0.10591</v>
      </c>
      <c r="AA780" s="36"/>
      <c r="AB780" s="30">
        <v>77</v>
      </c>
      <c r="AC780" s="44">
        <v>396.55</v>
      </c>
      <c r="AD780" s="35">
        <v>9.4420000000000002</v>
      </c>
      <c r="AE780" s="36"/>
      <c r="AF780" s="30">
        <v>77</v>
      </c>
      <c r="AG780" s="34">
        <v>2.5621999999999998</v>
      </c>
      <c r="AH780" s="35">
        <v>0.10761</v>
      </c>
      <c r="AI780" s="35"/>
      <c r="AJ780" s="35">
        <v>0.16094</v>
      </c>
      <c r="AK780" s="998">
        <v>8</v>
      </c>
      <c r="AM780" s="30">
        <v>77</v>
      </c>
      <c r="AN780" s="34">
        <v>1.3391999999999999</v>
      </c>
      <c r="AO780" s="35">
        <v>1.4999</v>
      </c>
      <c r="BX780" s="43"/>
      <c r="BY780" s="34"/>
      <c r="BZ780" s="59"/>
      <c r="CB780" s="43"/>
      <c r="CC780" s="34"/>
      <c r="CD780" s="59"/>
      <c r="CL780" s="43"/>
      <c r="CM780" s="34"/>
      <c r="CN780" s="59"/>
      <c r="CP780" s="43"/>
      <c r="CQ780" s="34"/>
      <c r="CR780" s="59"/>
      <c r="CT780" s="43"/>
      <c r="CU780" s="34"/>
      <c r="CV780" s="59"/>
    </row>
    <row r="781" spans="4:100">
      <c r="D781" s="30">
        <v>77.099999999999994</v>
      </c>
      <c r="E781" s="31">
        <v>0.67830000000000001</v>
      </c>
      <c r="F781" s="32">
        <v>678.2</v>
      </c>
      <c r="G781" s="33"/>
      <c r="H781" s="30">
        <v>77.099999999999994</v>
      </c>
      <c r="I781" s="34">
        <v>3.7825000000000002</v>
      </c>
      <c r="J781" s="35">
        <v>0.15886</v>
      </c>
      <c r="L781" s="30">
        <v>77.099999999999994</v>
      </c>
      <c r="M781" s="172">
        <v>5.6459999999999999</v>
      </c>
      <c r="N781" s="173">
        <v>0.17712</v>
      </c>
      <c r="P781" s="30">
        <v>77.099999999999994</v>
      </c>
      <c r="Q781" s="172">
        <v>2.823</v>
      </c>
      <c r="R781" s="173">
        <v>0.11856999999999999</v>
      </c>
      <c r="T781" s="30">
        <v>77.099999999999994</v>
      </c>
      <c r="U781" s="172">
        <v>354.22999999997302</v>
      </c>
      <c r="V781" s="173">
        <v>8.4340000000000099</v>
      </c>
      <c r="X781" s="30">
        <v>77.099999999999994</v>
      </c>
      <c r="Y781" s="34">
        <v>2.5205000000000002</v>
      </c>
      <c r="Z781" s="35">
        <v>0.10586</v>
      </c>
      <c r="AA781" s="36"/>
      <c r="AB781" s="30">
        <v>77.099999999999994</v>
      </c>
      <c r="AC781" s="44">
        <v>396.74</v>
      </c>
      <c r="AD781" s="35">
        <v>9.4459999999999997</v>
      </c>
      <c r="AE781" s="36"/>
      <c r="AF781" s="30">
        <v>77.099999999999994</v>
      </c>
      <c r="AG781" s="34">
        <v>2.5609999999999999</v>
      </c>
      <c r="AH781" s="35">
        <v>0.10756</v>
      </c>
      <c r="AI781" s="35"/>
      <c r="AJ781" s="35">
        <v>0.16105</v>
      </c>
      <c r="AK781" s="998">
        <v>7.9</v>
      </c>
      <c r="AM781" s="30">
        <v>77.099999999999994</v>
      </c>
      <c r="AN781" s="34">
        <v>1.3399000000000001</v>
      </c>
      <c r="AO781" s="35">
        <v>1.5006999999999999</v>
      </c>
      <c r="BX781" s="43"/>
      <c r="BY781" s="34"/>
      <c r="BZ781" s="59"/>
      <c r="CB781" s="43"/>
      <c r="CC781" s="34"/>
      <c r="CD781" s="59"/>
      <c r="CL781" s="43"/>
      <c r="CM781" s="34"/>
      <c r="CN781" s="59"/>
      <c r="CP781" s="43"/>
      <c r="CQ781" s="34"/>
      <c r="CR781" s="59"/>
      <c r="CT781" s="43"/>
      <c r="CU781" s="34"/>
      <c r="CV781" s="59"/>
    </row>
    <row r="782" spans="4:100">
      <c r="D782" s="30">
        <v>77.2</v>
      </c>
      <c r="E782" s="31">
        <v>0.67800000000000005</v>
      </c>
      <c r="F782" s="32">
        <v>677.9</v>
      </c>
      <c r="G782" s="33"/>
      <c r="H782" s="30">
        <v>77.2</v>
      </c>
      <c r="I782" s="34">
        <v>3.7825000000000002</v>
      </c>
      <c r="J782" s="35">
        <v>0.15886</v>
      </c>
      <c r="L782" s="30">
        <v>77.2</v>
      </c>
      <c r="M782" s="172">
        <v>5.6429999999999998</v>
      </c>
      <c r="N782" s="173">
        <v>0.1772</v>
      </c>
      <c r="P782" s="30">
        <v>77.2</v>
      </c>
      <c r="Q782" s="172">
        <v>2.8216999999999999</v>
      </c>
      <c r="R782" s="173">
        <v>0.11851</v>
      </c>
      <c r="T782" s="30">
        <v>77.2</v>
      </c>
      <c r="U782" s="172">
        <v>354.39999999997201</v>
      </c>
      <c r="V782" s="173">
        <v>8.4380000000000095</v>
      </c>
      <c r="X782" s="30">
        <v>77.2</v>
      </c>
      <c r="Y782" s="34">
        <v>2.5192999999999999</v>
      </c>
      <c r="Z782" s="35">
        <v>0.10581</v>
      </c>
      <c r="AA782" s="36"/>
      <c r="AB782" s="30">
        <v>77.2</v>
      </c>
      <c r="AC782" s="44">
        <v>396.93</v>
      </c>
      <c r="AD782" s="35">
        <v>9.4510000000000005</v>
      </c>
      <c r="AE782" s="36"/>
      <c r="AF782" s="30">
        <v>77.2</v>
      </c>
      <c r="AG782" s="34">
        <v>2.5598000000000001</v>
      </c>
      <c r="AH782" s="35">
        <v>0.10750999999999999</v>
      </c>
      <c r="AI782" s="35"/>
      <c r="AJ782" s="35">
        <v>0.16117000000000001</v>
      </c>
      <c r="AK782" s="998">
        <v>7.8</v>
      </c>
      <c r="AM782" s="30">
        <v>77.2</v>
      </c>
      <c r="AN782" s="34">
        <v>1.3405</v>
      </c>
      <c r="AO782" s="35">
        <v>1.5014000000000001</v>
      </c>
      <c r="BX782" s="43"/>
      <c r="BY782" s="34"/>
      <c r="BZ782" s="59"/>
      <c r="CB782" s="43"/>
      <c r="CC782" s="34"/>
      <c r="CD782" s="59"/>
      <c r="CL782" s="43"/>
      <c r="CM782" s="34"/>
      <c r="CN782" s="59"/>
      <c r="CP782" s="43"/>
      <c r="CQ782" s="34"/>
      <c r="CR782" s="59"/>
      <c r="CT782" s="43"/>
      <c r="CU782" s="34"/>
      <c r="CV782" s="59"/>
    </row>
    <row r="783" spans="4:100">
      <c r="D783" s="30">
        <v>77.3</v>
      </c>
      <c r="E783" s="31">
        <v>0.67769999999999997</v>
      </c>
      <c r="F783" s="32">
        <v>677.5</v>
      </c>
      <c r="G783" s="33"/>
      <c r="H783" s="30">
        <v>77.3</v>
      </c>
      <c r="I783" s="34">
        <v>3.7825000000000002</v>
      </c>
      <c r="J783" s="35">
        <v>0.15886</v>
      </c>
      <c r="L783" s="30">
        <v>77.3</v>
      </c>
      <c r="M783" s="172">
        <v>5.641</v>
      </c>
      <c r="N783" s="173">
        <v>0.17729</v>
      </c>
      <c r="P783" s="30">
        <v>77.3</v>
      </c>
      <c r="Q783" s="172">
        <v>2.8203</v>
      </c>
      <c r="R783" s="173">
        <v>0.11845</v>
      </c>
      <c r="T783" s="30">
        <v>77.3</v>
      </c>
      <c r="U783" s="172">
        <v>354.569999999971</v>
      </c>
      <c r="V783" s="173">
        <v>8.4420000000000108</v>
      </c>
      <c r="X783" s="30">
        <v>77.3</v>
      </c>
      <c r="Y783" s="34">
        <v>2.5181</v>
      </c>
      <c r="Z783" s="35">
        <v>0.10576000000000001</v>
      </c>
      <c r="AA783" s="36"/>
      <c r="AB783" s="30">
        <v>77.3</v>
      </c>
      <c r="AC783" s="44">
        <v>397.12</v>
      </c>
      <c r="AD783" s="35">
        <v>9.4550000000000001</v>
      </c>
      <c r="AE783" s="36"/>
      <c r="AF783" s="30">
        <v>77.3</v>
      </c>
      <c r="AG783" s="34">
        <v>2.5585</v>
      </c>
      <c r="AH783" s="35">
        <v>0.10746</v>
      </c>
      <c r="AI783" s="35"/>
      <c r="AJ783" s="35">
        <v>0.16128000000000001</v>
      </c>
      <c r="AK783" s="998">
        <v>7.7</v>
      </c>
      <c r="AM783" s="30">
        <v>77.3</v>
      </c>
      <c r="AN783" s="34">
        <v>1.3411999999999999</v>
      </c>
      <c r="AO783" s="35">
        <v>1.5021</v>
      </c>
      <c r="BX783" s="43"/>
      <c r="BY783" s="34"/>
      <c r="BZ783" s="59"/>
      <c r="CB783" s="43"/>
      <c r="CC783" s="34"/>
      <c r="CD783" s="59"/>
      <c r="CL783" s="43"/>
      <c r="CM783" s="34"/>
      <c r="CN783" s="59"/>
      <c r="CP783" s="43"/>
      <c r="CQ783" s="34"/>
      <c r="CR783" s="59"/>
      <c r="CT783" s="43"/>
      <c r="CU783" s="34"/>
      <c r="CV783" s="59"/>
    </row>
    <row r="784" spans="4:100">
      <c r="D784" s="30">
        <v>77.400000000000006</v>
      </c>
      <c r="E784" s="31">
        <v>0.6774</v>
      </c>
      <c r="F784" s="32">
        <v>677.2</v>
      </c>
      <c r="G784" s="33"/>
      <c r="H784" s="30">
        <v>77.400000000000006</v>
      </c>
      <c r="I784" s="34">
        <v>3.7825000000000002</v>
      </c>
      <c r="J784" s="35">
        <v>0.15886</v>
      </c>
      <c r="L784" s="30">
        <v>77.400000000000006</v>
      </c>
      <c r="M784" s="172">
        <v>5.6379999999999999</v>
      </c>
      <c r="N784" s="173">
        <v>0.17737</v>
      </c>
      <c r="P784" s="30">
        <v>77.400000000000006</v>
      </c>
      <c r="Q784" s="172">
        <v>2.8189000000000002</v>
      </c>
      <c r="R784" s="173">
        <v>0.11840000000000001</v>
      </c>
      <c r="T784" s="30">
        <v>77.400000000000006</v>
      </c>
      <c r="U784" s="172">
        <v>354.73999999997</v>
      </c>
      <c r="V784" s="173">
        <v>8.4460000000000104</v>
      </c>
      <c r="X784" s="30">
        <v>77.400000000000006</v>
      </c>
      <c r="Y784" s="34">
        <v>2.5169000000000001</v>
      </c>
      <c r="Z784" s="35">
        <v>0.10571</v>
      </c>
      <c r="AA784" s="36"/>
      <c r="AB784" s="30">
        <v>77.400000000000006</v>
      </c>
      <c r="AC784" s="44">
        <v>397.31</v>
      </c>
      <c r="AD784" s="35">
        <v>9.4600000000000009</v>
      </c>
      <c r="AE784" s="36"/>
      <c r="AF784" s="30">
        <v>77.400000000000006</v>
      </c>
      <c r="AG784" s="34">
        <v>2.5573000000000001</v>
      </c>
      <c r="AH784" s="35">
        <v>0.10741000000000001</v>
      </c>
      <c r="AI784" s="35"/>
      <c r="AJ784" s="35">
        <v>0.16139999999999999</v>
      </c>
      <c r="AK784" s="998">
        <v>7.6</v>
      </c>
      <c r="AM784" s="30">
        <v>77.400000000000006</v>
      </c>
      <c r="AN784" s="34">
        <v>1.3418000000000001</v>
      </c>
      <c r="AO784" s="35">
        <v>1.5027999999999999</v>
      </c>
      <c r="BX784" s="43"/>
      <c r="BY784" s="34"/>
      <c r="BZ784" s="59"/>
      <c r="CB784" s="43"/>
      <c r="CC784" s="34"/>
      <c r="CD784" s="59"/>
      <c r="CL784" s="43"/>
      <c r="CM784" s="34"/>
      <c r="CN784" s="59"/>
      <c r="CP784" s="43"/>
      <c r="CQ784" s="34"/>
      <c r="CR784" s="59"/>
      <c r="CT784" s="43"/>
      <c r="CU784" s="34"/>
      <c r="CV784" s="59"/>
    </row>
    <row r="785" spans="4:100">
      <c r="D785" s="30">
        <v>77.5</v>
      </c>
      <c r="E785" s="31">
        <v>0.67700000000000005</v>
      </c>
      <c r="F785" s="32">
        <v>676.9</v>
      </c>
      <c r="G785" s="33"/>
      <c r="H785" s="30">
        <v>77.5</v>
      </c>
      <c r="I785" s="34">
        <v>3.7825000000000002</v>
      </c>
      <c r="J785" s="35">
        <v>0.15886</v>
      </c>
      <c r="L785" s="30">
        <v>77.5</v>
      </c>
      <c r="M785" s="172">
        <v>5.6349999999999998</v>
      </c>
      <c r="N785" s="173">
        <v>0.17746000000000001</v>
      </c>
      <c r="P785" s="30">
        <v>77.5</v>
      </c>
      <c r="Q785" s="172">
        <v>2.8176000000000001</v>
      </c>
      <c r="R785" s="173">
        <v>0.11834</v>
      </c>
      <c r="T785" s="30">
        <v>77.5</v>
      </c>
      <c r="U785" s="172">
        <v>354.90999999996899</v>
      </c>
      <c r="V785" s="173">
        <v>8.4500000000000206</v>
      </c>
      <c r="X785" s="30">
        <v>77.5</v>
      </c>
      <c r="Y785" s="34">
        <v>2.5156999999999998</v>
      </c>
      <c r="Z785" s="35">
        <v>0.10566</v>
      </c>
      <c r="AA785" s="36"/>
      <c r="AB785" s="30">
        <v>77.5</v>
      </c>
      <c r="AC785" s="44">
        <v>397.5</v>
      </c>
      <c r="AD785" s="35">
        <v>9.4640000000000004</v>
      </c>
      <c r="AE785" s="36"/>
      <c r="AF785" s="30">
        <v>77.5</v>
      </c>
      <c r="AG785" s="34">
        <v>2.5560999999999998</v>
      </c>
      <c r="AH785" s="35">
        <v>0.10736</v>
      </c>
      <c r="AI785" s="35"/>
      <c r="AJ785" s="35">
        <v>0.16152</v>
      </c>
      <c r="AK785" s="998">
        <v>7.5</v>
      </c>
      <c r="AM785" s="30">
        <v>77.5</v>
      </c>
      <c r="AN785" s="34">
        <v>1.3424</v>
      </c>
      <c r="AO785" s="35">
        <v>1.5035000000000001</v>
      </c>
      <c r="BX785" s="43"/>
      <c r="BY785" s="34"/>
      <c r="BZ785" s="59"/>
      <c r="CB785" s="43"/>
      <c r="CC785" s="34"/>
      <c r="CD785" s="59"/>
      <c r="CL785" s="43"/>
      <c r="CM785" s="34"/>
      <c r="CN785" s="59"/>
      <c r="CP785" s="43"/>
      <c r="CQ785" s="34"/>
      <c r="CR785" s="59"/>
      <c r="CT785" s="43"/>
      <c r="CU785" s="34"/>
      <c r="CV785" s="59"/>
    </row>
    <row r="786" spans="4:100">
      <c r="D786" s="30">
        <v>77.599999999999994</v>
      </c>
      <c r="E786" s="31">
        <v>0.67669999999999997</v>
      </c>
      <c r="F786" s="32">
        <v>676.6</v>
      </c>
      <c r="G786" s="33"/>
      <c r="H786" s="30">
        <v>77.599999999999994</v>
      </c>
      <c r="I786" s="34">
        <v>3.7825000000000002</v>
      </c>
      <c r="J786" s="35">
        <v>0.15886</v>
      </c>
      <c r="L786" s="30">
        <v>77.599999999999994</v>
      </c>
      <c r="M786" s="172">
        <v>5.6319999999999997</v>
      </c>
      <c r="N786" s="173">
        <v>0.17754</v>
      </c>
      <c r="P786" s="30">
        <v>77.599999999999994</v>
      </c>
      <c r="Q786" s="172">
        <v>2.8161999999999998</v>
      </c>
      <c r="R786" s="173">
        <v>0.11828</v>
      </c>
      <c r="T786" s="30">
        <v>77.599999999999994</v>
      </c>
      <c r="U786" s="172">
        <v>355.07999999996798</v>
      </c>
      <c r="V786" s="173">
        <v>8.4540000000000202</v>
      </c>
      <c r="X786" s="30">
        <v>77.599999999999994</v>
      </c>
      <c r="Y786" s="34">
        <v>2.5145</v>
      </c>
      <c r="Z786" s="35">
        <v>0.10561</v>
      </c>
      <c r="AA786" s="36"/>
      <c r="AB786" s="30">
        <v>77.599999999999994</v>
      </c>
      <c r="AC786" s="44">
        <v>397.69</v>
      </c>
      <c r="AD786" s="35">
        <v>9.4689999999999994</v>
      </c>
      <c r="AE786" s="36"/>
      <c r="AF786" s="30">
        <v>77.599999999999994</v>
      </c>
      <c r="AG786" s="34">
        <v>2.5548999999999999</v>
      </c>
      <c r="AH786" s="35">
        <v>0.10730000000000001</v>
      </c>
      <c r="AI786" s="35"/>
      <c r="AJ786" s="35">
        <v>0.16163</v>
      </c>
      <c r="AK786" s="998">
        <v>7.4</v>
      </c>
      <c r="AM786" s="30">
        <v>77.599999999999994</v>
      </c>
      <c r="AN786" s="34">
        <v>1.3431</v>
      </c>
      <c r="AO786" s="35">
        <v>1.5043</v>
      </c>
      <c r="BX786" s="43"/>
      <c r="BY786" s="34"/>
      <c r="BZ786" s="59"/>
      <c r="CB786" s="43"/>
      <c r="CC786" s="34"/>
      <c r="CD786" s="59"/>
      <c r="CL786" s="43"/>
      <c r="CM786" s="34"/>
      <c r="CN786" s="59"/>
      <c r="CP786" s="43"/>
      <c r="CQ786" s="34"/>
      <c r="CR786" s="59"/>
      <c r="CT786" s="43"/>
      <c r="CU786" s="34"/>
      <c r="CV786" s="59"/>
    </row>
    <row r="787" spans="4:100">
      <c r="D787" s="30">
        <v>77.7</v>
      </c>
      <c r="E787" s="31">
        <v>0.6764</v>
      </c>
      <c r="F787" s="32">
        <v>676.2</v>
      </c>
      <c r="G787" s="33"/>
      <c r="H787" s="30">
        <v>77.7</v>
      </c>
      <c r="I787" s="34">
        <v>3.7825000000000002</v>
      </c>
      <c r="J787" s="35">
        <v>0.15886</v>
      </c>
      <c r="L787" s="30">
        <v>77.7</v>
      </c>
      <c r="M787" s="172">
        <v>5.63</v>
      </c>
      <c r="N787" s="173">
        <v>0.17763000000000001</v>
      </c>
      <c r="P787" s="30">
        <v>77.7</v>
      </c>
      <c r="Q787" s="172">
        <v>2.8149000000000002</v>
      </c>
      <c r="R787" s="173">
        <v>0.11823</v>
      </c>
      <c r="T787" s="30">
        <v>77.7</v>
      </c>
      <c r="U787" s="172">
        <v>355.24999999996697</v>
      </c>
      <c r="V787" s="173">
        <v>8.4580000000000197</v>
      </c>
      <c r="X787" s="30">
        <v>77.7</v>
      </c>
      <c r="Y787" s="34">
        <v>2.5133000000000001</v>
      </c>
      <c r="Z787" s="35">
        <v>0.10556</v>
      </c>
      <c r="AA787" s="36"/>
      <c r="AB787" s="30">
        <v>77.7</v>
      </c>
      <c r="AC787" s="44">
        <v>397.88</v>
      </c>
      <c r="AD787" s="35">
        <v>9.4730000000000008</v>
      </c>
      <c r="AE787" s="36"/>
      <c r="AF787" s="30">
        <v>77.7</v>
      </c>
      <c r="AG787" s="34">
        <v>2.5535999999999999</v>
      </c>
      <c r="AH787" s="35">
        <v>0.10725</v>
      </c>
      <c r="AI787" s="35"/>
      <c r="AJ787" s="35">
        <v>0.16175</v>
      </c>
      <c r="AK787" s="998">
        <v>7.3</v>
      </c>
      <c r="AM787" s="30">
        <v>77.7</v>
      </c>
      <c r="AN787" s="34">
        <v>1.3436999999999999</v>
      </c>
      <c r="AO787" s="35">
        <v>1.5049999999999999</v>
      </c>
      <c r="BX787" s="43"/>
      <c r="BY787" s="34"/>
      <c r="BZ787" s="59"/>
      <c r="CB787" s="43"/>
      <c r="CC787" s="34"/>
      <c r="CD787" s="59"/>
      <c r="CL787" s="43"/>
      <c r="CM787" s="34"/>
      <c r="CN787" s="59"/>
      <c r="CP787" s="43"/>
      <c r="CQ787" s="34"/>
      <c r="CR787" s="59"/>
      <c r="CT787" s="43"/>
      <c r="CU787" s="34"/>
      <c r="CV787" s="59"/>
    </row>
    <row r="788" spans="4:100">
      <c r="D788" s="30">
        <v>77.8</v>
      </c>
      <c r="E788" s="31">
        <v>0.67610000000000003</v>
      </c>
      <c r="F788" s="32">
        <v>675.9</v>
      </c>
      <c r="G788" s="33"/>
      <c r="H788" s="30">
        <v>77.8</v>
      </c>
      <c r="I788" s="34">
        <v>3.7825000000000002</v>
      </c>
      <c r="J788" s="35">
        <v>0.15886</v>
      </c>
      <c r="L788" s="30">
        <v>77.8</v>
      </c>
      <c r="M788" s="172">
        <v>5.6269999999999998</v>
      </c>
      <c r="N788" s="173">
        <v>0.17771000000000001</v>
      </c>
      <c r="P788" s="30">
        <v>77.8</v>
      </c>
      <c r="Q788" s="172">
        <v>2.8136000000000001</v>
      </c>
      <c r="R788" s="173">
        <v>0.11817</v>
      </c>
      <c r="T788" s="30">
        <v>77.8</v>
      </c>
      <c r="U788" s="172">
        <v>355.41999999996602</v>
      </c>
      <c r="V788" s="173">
        <v>8.4620000000000193</v>
      </c>
      <c r="X788" s="30">
        <v>77.8</v>
      </c>
      <c r="Y788" s="34">
        <v>2.5121000000000002</v>
      </c>
      <c r="Z788" s="35">
        <v>0.10551000000000001</v>
      </c>
      <c r="AA788" s="36"/>
      <c r="AB788" s="30">
        <v>77.8</v>
      </c>
      <c r="AC788" s="44">
        <v>398.07</v>
      </c>
      <c r="AD788" s="35">
        <v>9.4779999999999998</v>
      </c>
      <c r="AE788" s="36"/>
      <c r="AF788" s="30">
        <v>77.8</v>
      </c>
      <c r="AG788" s="34">
        <v>2.5524</v>
      </c>
      <c r="AH788" s="35">
        <v>0.1072</v>
      </c>
      <c r="AI788" s="35"/>
      <c r="AJ788" s="35">
        <v>0.16187000000000001</v>
      </c>
      <c r="AK788" s="998">
        <v>7.2</v>
      </c>
      <c r="AM788" s="30">
        <v>77.8</v>
      </c>
      <c r="AN788" s="34">
        <v>1.3444</v>
      </c>
      <c r="AO788" s="35">
        <v>1.5057</v>
      </c>
      <c r="BX788" s="43"/>
      <c r="BY788" s="34"/>
      <c r="BZ788" s="59"/>
      <c r="CB788" s="43"/>
      <c r="CC788" s="34"/>
      <c r="CD788" s="59"/>
      <c r="CL788" s="43"/>
      <c r="CM788" s="34"/>
      <c r="CN788" s="59"/>
      <c r="CP788" s="43"/>
      <c r="CQ788" s="34"/>
      <c r="CR788" s="59"/>
      <c r="CT788" s="43"/>
      <c r="CU788" s="34"/>
      <c r="CV788" s="59"/>
    </row>
    <row r="789" spans="4:100">
      <c r="D789" s="30">
        <v>77.900000000000006</v>
      </c>
      <c r="E789" s="31">
        <v>0.67569999999999997</v>
      </c>
      <c r="F789" s="32">
        <v>675.6</v>
      </c>
      <c r="G789" s="33"/>
      <c r="H789" s="30">
        <v>77.900000000000006</v>
      </c>
      <c r="I789" s="34">
        <v>3.7824</v>
      </c>
      <c r="J789" s="35">
        <v>0.15886</v>
      </c>
      <c r="L789" s="30">
        <v>77.900000000000006</v>
      </c>
      <c r="M789" s="172">
        <v>5.6239999999999997</v>
      </c>
      <c r="N789" s="173">
        <v>0.17780000000000001</v>
      </c>
      <c r="P789" s="30">
        <v>77.900000000000006</v>
      </c>
      <c r="Q789" s="172">
        <v>2.8121999999999998</v>
      </c>
      <c r="R789" s="173">
        <v>0.11811000000000001</v>
      </c>
      <c r="T789" s="30">
        <v>77.900000000000006</v>
      </c>
      <c r="U789" s="172">
        <v>355.58999999996502</v>
      </c>
      <c r="V789" s="173">
        <v>8.4660000000000206</v>
      </c>
      <c r="X789" s="30">
        <v>77.900000000000006</v>
      </c>
      <c r="Y789" s="34">
        <v>2.5108999999999999</v>
      </c>
      <c r="Z789" s="35">
        <v>0.10546</v>
      </c>
      <c r="AA789" s="36"/>
      <c r="AB789" s="30">
        <v>77.900000000000006</v>
      </c>
      <c r="AC789" s="44">
        <v>398.26</v>
      </c>
      <c r="AD789" s="35">
        <v>9.4819999999999993</v>
      </c>
      <c r="AE789" s="36"/>
      <c r="AF789" s="30">
        <v>77.900000000000006</v>
      </c>
      <c r="AG789" s="34">
        <v>2.5512000000000001</v>
      </c>
      <c r="AH789" s="35">
        <v>0.10715</v>
      </c>
      <c r="AI789" s="35"/>
      <c r="AJ789" s="35">
        <v>0.16198000000000001</v>
      </c>
      <c r="AK789" s="998">
        <v>7.1</v>
      </c>
      <c r="AM789" s="30">
        <v>77.900000000000006</v>
      </c>
      <c r="AN789" s="34">
        <v>1.345</v>
      </c>
      <c r="AO789" s="35">
        <v>1.5064</v>
      </c>
      <c r="BX789" s="43"/>
      <c r="BY789" s="34"/>
      <c r="BZ789" s="59"/>
      <c r="CB789" s="43"/>
      <c r="CC789" s="34"/>
      <c r="CD789" s="59"/>
      <c r="CL789" s="43"/>
      <c r="CM789" s="34"/>
      <c r="CN789" s="59"/>
      <c r="CP789" s="43"/>
      <c r="CQ789" s="34"/>
      <c r="CR789" s="59"/>
      <c r="CT789" s="43"/>
      <c r="CU789" s="34"/>
      <c r="CV789" s="59"/>
    </row>
    <row r="790" spans="4:100">
      <c r="D790" s="30">
        <v>78</v>
      </c>
      <c r="E790" s="31">
        <v>0.6754</v>
      </c>
      <c r="F790" s="32">
        <v>675.3</v>
      </c>
      <c r="G790" s="33"/>
      <c r="H790" s="30">
        <v>78</v>
      </c>
      <c r="I790" s="34">
        <v>3.7824</v>
      </c>
      <c r="J790" s="35">
        <v>0.15886</v>
      </c>
      <c r="L790" s="30">
        <v>78</v>
      </c>
      <c r="M790" s="172">
        <v>5.6219999999999999</v>
      </c>
      <c r="N790" s="173">
        <v>0.17788000000000001</v>
      </c>
      <c r="P790" s="30">
        <v>78</v>
      </c>
      <c r="Q790" s="172">
        <v>2.8109000000000002</v>
      </c>
      <c r="R790" s="173">
        <v>0.11806</v>
      </c>
      <c r="T790" s="30">
        <v>78</v>
      </c>
      <c r="U790" s="172">
        <v>355.75999999996401</v>
      </c>
      <c r="V790" s="173">
        <v>8.4710000000000001</v>
      </c>
      <c r="X790" s="30">
        <v>78</v>
      </c>
      <c r="Y790" s="34">
        <v>2.5097</v>
      </c>
      <c r="Z790" s="35">
        <v>0.10541</v>
      </c>
      <c r="AA790" s="36"/>
      <c r="AB790" s="30">
        <v>78</v>
      </c>
      <c r="AC790" s="44">
        <v>398.45</v>
      </c>
      <c r="AD790" s="35">
        <v>9.4870000000000001</v>
      </c>
      <c r="AE790" s="36"/>
      <c r="AF790" s="30">
        <v>78</v>
      </c>
      <c r="AG790" s="34">
        <v>2.5499999999999998</v>
      </c>
      <c r="AH790" s="35">
        <v>0.1071</v>
      </c>
      <c r="AI790" s="35"/>
      <c r="AJ790" s="35">
        <v>0.16209999999999999</v>
      </c>
      <c r="AK790" s="998">
        <v>7</v>
      </c>
      <c r="AM790" s="30">
        <v>78</v>
      </c>
      <c r="AN790" s="34">
        <v>1.3456999999999999</v>
      </c>
      <c r="AO790" s="35">
        <v>1.5071000000000001</v>
      </c>
      <c r="BX790" s="43"/>
      <c r="BY790" s="34"/>
      <c r="BZ790" s="59"/>
      <c r="CB790" s="43"/>
      <c r="CC790" s="34"/>
      <c r="CD790" s="59"/>
      <c r="CL790" s="43"/>
      <c r="CM790" s="34"/>
      <c r="CN790" s="59"/>
      <c r="CP790" s="43"/>
      <c r="CQ790" s="34"/>
      <c r="CR790" s="59"/>
      <c r="CT790" s="43"/>
      <c r="CU790" s="34"/>
      <c r="CV790" s="59"/>
    </row>
    <row r="791" spans="4:100">
      <c r="D791" s="30">
        <v>78.099999999999994</v>
      </c>
      <c r="E791" s="31">
        <v>0.67510000000000003</v>
      </c>
      <c r="F791" s="32">
        <v>675</v>
      </c>
      <c r="G791" s="33"/>
      <c r="H791" s="30">
        <v>78.099999999999994</v>
      </c>
      <c r="I791" s="34">
        <v>3.7824</v>
      </c>
      <c r="J791" s="35">
        <v>0.15886</v>
      </c>
      <c r="L791" s="30">
        <v>78.099999999999994</v>
      </c>
      <c r="M791" s="172">
        <v>5.6189999999999998</v>
      </c>
      <c r="N791" s="173">
        <v>0.17796999999999999</v>
      </c>
      <c r="P791" s="30">
        <v>78.099999999999994</v>
      </c>
      <c r="Q791" s="172">
        <v>2.8094999999999999</v>
      </c>
      <c r="R791" s="173">
        <v>0.11799999999999999</v>
      </c>
      <c r="T791" s="30">
        <v>78.099999999999994</v>
      </c>
      <c r="U791" s="172">
        <v>355.929999999963</v>
      </c>
      <c r="V791" s="173">
        <v>8.4749999999999996</v>
      </c>
      <c r="X791" s="30">
        <v>78.099999999999994</v>
      </c>
      <c r="Y791" s="34">
        <v>2.5085000000000002</v>
      </c>
      <c r="Z791" s="35">
        <v>0.10536</v>
      </c>
      <c r="AA791" s="36"/>
      <c r="AB791" s="30">
        <v>78.099999999999994</v>
      </c>
      <c r="AC791" s="44">
        <v>398.64</v>
      </c>
      <c r="AD791" s="35">
        <v>9.4920000000000009</v>
      </c>
      <c r="AE791" s="36"/>
      <c r="AF791" s="30">
        <v>78.099999999999994</v>
      </c>
      <c r="AG791" s="34">
        <v>2.5488</v>
      </c>
      <c r="AH791" s="35">
        <v>0.10705000000000001</v>
      </c>
      <c r="AI791" s="35"/>
      <c r="AJ791" s="35">
        <v>0.16222</v>
      </c>
      <c r="AK791" s="998">
        <v>6.9</v>
      </c>
      <c r="AM791" s="30">
        <v>78.099999999999994</v>
      </c>
      <c r="AN791" s="34">
        <v>1.3463000000000001</v>
      </c>
      <c r="AO791" s="35">
        <v>1.5079</v>
      </c>
      <c r="BX791" s="43"/>
      <c r="BY791" s="34"/>
      <c r="BZ791" s="59"/>
      <c r="CB791" s="43"/>
      <c r="CC791" s="34"/>
      <c r="CD791" s="59"/>
      <c r="CL791" s="43"/>
      <c r="CM791" s="34"/>
      <c r="CN791" s="59"/>
      <c r="CP791" s="43"/>
      <c r="CQ791" s="34"/>
      <c r="CR791" s="59"/>
      <c r="CT791" s="43"/>
      <c r="CU791" s="34"/>
      <c r="CV791" s="59"/>
    </row>
    <row r="792" spans="4:100">
      <c r="D792" s="30">
        <v>78.2</v>
      </c>
      <c r="E792" s="31">
        <v>0.67479999999999996</v>
      </c>
      <c r="F792" s="32">
        <v>674.6</v>
      </c>
      <c r="G792" s="33"/>
      <c r="H792" s="30">
        <v>78.2</v>
      </c>
      <c r="I792" s="34">
        <v>3.7824</v>
      </c>
      <c r="J792" s="35">
        <v>0.15886</v>
      </c>
      <c r="L792" s="30">
        <v>78.2</v>
      </c>
      <c r="M792" s="172">
        <v>5.6159999999999997</v>
      </c>
      <c r="N792" s="173">
        <v>0.17805000000000001</v>
      </c>
      <c r="P792" s="30">
        <v>78.2</v>
      </c>
      <c r="Q792" s="172">
        <v>2.8081999999999998</v>
      </c>
      <c r="R792" s="173">
        <v>0.11794</v>
      </c>
      <c r="T792" s="30">
        <v>78.2</v>
      </c>
      <c r="U792" s="172">
        <v>356.09999999996199</v>
      </c>
      <c r="V792" s="173">
        <v>8.4789999999999992</v>
      </c>
      <c r="X792" s="30">
        <v>78.2</v>
      </c>
      <c r="Y792" s="34">
        <v>2.5072999999999999</v>
      </c>
      <c r="Z792" s="35">
        <v>0.10531</v>
      </c>
      <c r="AA792" s="36"/>
      <c r="AB792" s="30">
        <v>78.2</v>
      </c>
      <c r="AC792" s="44">
        <v>398.84</v>
      </c>
      <c r="AD792" s="35">
        <v>9.4960000000000004</v>
      </c>
      <c r="AE792" s="36"/>
      <c r="AF792" s="30">
        <v>78.2</v>
      </c>
      <c r="AG792" s="34">
        <v>2.5474999999999999</v>
      </c>
      <c r="AH792" s="35">
        <v>0.107</v>
      </c>
      <c r="AI792" s="35"/>
      <c r="AJ792" s="35">
        <v>0.16234000000000001</v>
      </c>
      <c r="AK792" s="998">
        <v>6.8</v>
      </c>
      <c r="AM792" s="30">
        <v>78.2</v>
      </c>
      <c r="AN792" s="34">
        <v>1.3469</v>
      </c>
      <c r="AO792" s="35">
        <v>1.5085999999999999</v>
      </c>
      <c r="BX792" s="43"/>
      <c r="BY792" s="34"/>
      <c r="BZ792" s="59"/>
      <c r="CB792" s="43"/>
      <c r="CC792" s="34"/>
      <c r="CD792" s="59"/>
      <c r="CL792" s="43"/>
      <c r="CM792" s="34"/>
      <c r="CN792" s="59"/>
      <c r="CP792" s="43"/>
      <c r="CQ792" s="34"/>
      <c r="CR792" s="59"/>
      <c r="CT792" s="43"/>
      <c r="CU792" s="34"/>
      <c r="CV792" s="59"/>
    </row>
    <row r="793" spans="4:100">
      <c r="D793" s="30">
        <v>78.3</v>
      </c>
      <c r="E793" s="31">
        <v>0.67449999999999999</v>
      </c>
      <c r="F793" s="32">
        <v>674.3</v>
      </c>
      <c r="G793" s="33"/>
      <c r="H793" s="30">
        <v>78.3</v>
      </c>
      <c r="I793" s="34">
        <v>3.7824</v>
      </c>
      <c r="J793" s="35">
        <v>0.15886</v>
      </c>
      <c r="L793" s="30">
        <v>78.3</v>
      </c>
      <c r="M793" s="172">
        <v>5.6139999999999999</v>
      </c>
      <c r="N793" s="173">
        <v>0.17813999999999999</v>
      </c>
      <c r="P793" s="30">
        <v>78.3</v>
      </c>
      <c r="Q793" s="172">
        <v>2.8068</v>
      </c>
      <c r="R793" s="173">
        <v>0.11788999999999999</v>
      </c>
      <c r="T793" s="30">
        <v>78.3</v>
      </c>
      <c r="U793" s="172">
        <v>356.26999999996099</v>
      </c>
      <c r="V793" s="173">
        <v>8.4830000000000005</v>
      </c>
      <c r="X793" s="30">
        <v>78.3</v>
      </c>
      <c r="Y793" s="34">
        <v>2.5061</v>
      </c>
      <c r="Z793" s="35">
        <v>0.10526000000000001</v>
      </c>
      <c r="AA793" s="36"/>
      <c r="AB793" s="30">
        <v>78.3</v>
      </c>
      <c r="AC793" s="44">
        <v>399.03</v>
      </c>
      <c r="AD793" s="35">
        <v>9.5009999999999994</v>
      </c>
      <c r="AE793" s="36"/>
      <c r="AF793" s="30">
        <v>78.3</v>
      </c>
      <c r="AG793" s="34">
        <v>2.5463</v>
      </c>
      <c r="AH793" s="35">
        <v>0.10695</v>
      </c>
      <c r="AI793" s="35"/>
      <c r="AJ793" s="35">
        <v>0.16245000000000001</v>
      </c>
      <c r="AK793" s="998">
        <v>6.7</v>
      </c>
      <c r="AM793" s="30">
        <v>78.3</v>
      </c>
      <c r="AN793" s="34">
        <v>1.3475999999999999</v>
      </c>
      <c r="AO793" s="35">
        <v>1.5093000000000001</v>
      </c>
      <c r="BX793" s="43"/>
      <c r="BY793" s="34"/>
      <c r="BZ793" s="59"/>
      <c r="CB793" s="43"/>
      <c r="CC793" s="34"/>
      <c r="CD793" s="59"/>
      <c r="CL793" s="43"/>
      <c r="CM793" s="34"/>
      <c r="CN793" s="59"/>
      <c r="CP793" s="43"/>
      <c r="CQ793" s="34"/>
      <c r="CR793" s="59"/>
      <c r="CT793" s="43"/>
      <c r="CU793" s="34"/>
      <c r="CV793" s="59"/>
    </row>
    <row r="794" spans="4:100">
      <c r="D794" s="30">
        <v>78.400000000000006</v>
      </c>
      <c r="E794" s="31">
        <v>0.67410000000000003</v>
      </c>
      <c r="F794" s="32">
        <v>674</v>
      </c>
      <c r="G794" s="33"/>
      <c r="H794" s="30">
        <v>78.400000000000006</v>
      </c>
      <c r="I794" s="34">
        <v>3.7824</v>
      </c>
      <c r="J794" s="35">
        <v>0.15886</v>
      </c>
      <c r="L794" s="30">
        <v>78.400000000000006</v>
      </c>
      <c r="M794" s="172">
        <v>5.6109999999999998</v>
      </c>
      <c r="N794" s="173">
        <v>0.17821999999999999</v>
      </c>
      <c r="P794" s="30">
        <v>78.400000000000006</v>
      </c>
      <c r="Q794" s="172">
        <v>2.8054999999999999</v>
      </c>
      <c r="R794" s="173">
        <v>0.11783</v>
      </c>
      <c r="T794" s="30">
        <v>78.400000000000006</v>
      </c>
      <c r="U794" s="172">
        <v>356.43999999995998</v>
      </c>
      <c r="V794" s="173">
        <v>8.4870000000000001</v>
      </c>
      <c r="X794" s="30">
        <v>78.400000000000006</v>
      </c>
      <c r="Y794" s="34">
        <v>2.5049000000000001</v>
      </c>
      <c r="Z794" s="35">
        <v>0.10521</v>
      </c>
      <c r="AA794" s="36"/>
      <c r="AB794" s="30">
        <v>78.400000000000006</v>
      </c>
      <c r="AC794" s="44">
        <v>399.22</v>
      </c>
      <c r="AD794" s="35">
        <v>9.5050000000000008</v>
      </c>
      <c r="AE794" s="36"/>
      <c r="AF794" s="30">
        <v>78.400000000000006</v>
      </c>
      <c r="AG794" s="34">
        <v>2.5451000000000001</v>
      </c>
      <c r="AH794" s="35">
        <v>0.10689</v>
      </c>
      <c r="AI794" s="35"/>
      <c r="AJ794" s="35">
        <v>0.16256999999999999</v>
      </c>
      <c r="AK794" s="998">
        <v>6.6</v>
      </c>
      <c r="AM794" s="30">
        <v>78.400000000000006</v>
      </c>
      <c r="AN794" s="34">
        <v>1.3482000000000001</v>
      </c>
      <c r="AO794" s="35">
        <v>1.51</v>
      </c>
      <c r="BX794" s="43"/>
      <c r="BY794" s="34"/>
      <c r="BZ794" s="59"/>
      <c r="CB794" s="43"/>
      <c r="CC794" s="34"/>
      <c r="CD794" s="59"/>
      <c r="CL794" s="43"/>
      <c r="CM794" s="34"/>
      <c r="CN794" s="59"/>
      <c r="CP794" s="43"/>
      <c r="CQ794" s="34"/>
      <c r="CR794" s="59"/>
      <c r="CT794" s="43"/>
      <c r="CU794" s="34"/>
      <c r="CV794" s="59"/>
    </row>
    <row r="795" spans="4:100">
      <c r="D795" s="30">
        <v>78.5</v>
      </c>
      <c r="E795" s="31">
        <v>0.67379999999999995</v>
      </c>
      <c r="F795" s="32">
        <v>673.7</v>
      </c>
      <c r="G795" s="33"/>
      <c r="H795" s="30">
        <v>78.5</v>
      </c>
      <c r="I795" s="34">
        <v>3.7824</v>
      </c>
      <c r="J795" s="35">
        <v>0.15886</v>
      </c>
      <c r="L795" s="30">
        <v>78.5</v>
      </c>
      <c r="M795" s="172">
        <v>5.6079999999999997</v>
      </c>
      <c r="N795" s="173">
        <v>0.17831</v>
      </c>
      <c r="P795" s="30">
        <v>78.5</v>
      </c>
      <c r="Q795" s="172">
        <v>2.8041999999999998</v>
      </c>
      <c r="R795" s="173">
        <v>0.11777</v>
      </c>
      <c r="T795" s="30">
        <v>78.5</v>
      </c>
      <c r="U795" s="172">
        <v>356.60999999995897</v>
      </c>
      <c r="V795" s="173">
        <v>8.4909999999999997</v>
      </c>
      <c r="X795" s="30">
        <v>78.5</v>
      </c>
      <c r="Y795" s="34">
        <v>2.5036999999999998</v>
      </c>
      <c r="Z795" s="35">
        <v>0.10516</v>
      </c>
      <c r="AA795" s="36"/>
      <c r="AB795" s="30">
        <v>78.5</v>
      </c>
      <c r="AC795" s="44">
        <v>399.41</v>
      </c>
      <c r="AD795" s="35">
        <v>9.51</v>
      </c>
      <c r="AE795" s="36"/>
      <c r="AF795" s="30">
        <v>78.5</v>
      </c>
      <c r="AG795" s="34">
        <v>2.5438999999999998</v>
      </c>
      <c r="AH795" s="35">
        <v>0.10684</v>
      </c>
      <c r="AI795" s="35"/>
      <c r="AJ795" s="35">
        <v>0.16269</v>
      </c>
      <c r="AK795" s="998">
        <v>6.5</v>
      </c>
      <c r="AM795" s="30">
        <v>78.5</v>
      </c>
      <c r="AN795" s="34">
        <v>1.3489</v>
      </c>
      <c r="AO795" s="35">
        <v>1.5106999999999999</v>
      </c>
      <c r="BX795" s="43"/>
      <c r="BY795" s="34"/>
      <c r="BZ795" s="59"/>
      <c r="CB795" s="43"/>
      <c r="CC795" s="34"/>
      <c r="CD795" s="59"/>
      <c r="CL795" s="43"/>
      <c r="CM795" s="34"/>
      <c r="CN795" s="59"/>
      <c r="CP795" s="43"/>
      <c r="CQ795" s="34"/>
      <c r="CR795" s="59"/>
      <c r="CT795" s="43"/>
      <c r="CU795" s="34"/>
      <c r="CV795" s="59"/>
    </row>
    <row r="796" spans="4:100">
      <c r="D796" s="30">
        <v>78.599999999999994</v>
      </c>
      <c r="E796" s="31">
        <v>0.67349999999999999</v>
      </c>
      <c r="F796" s="32">
        <v>673.4</v>
      </c>
      <c r="G796" s="33"/>
      <c r="H796" s="30">
        <v>78.599999999999994</v>
      </c>
      <c r="I796" s="34">
        <v>3.7824</v>
      </c>
      <c r="J796" s="35">
        <v>0.15886</v>
      </c>
      <c r="L796" s="30">
        <v>78.599999999999994</v>
      </c>
      <c r="M796" s="172">
        <v>5.6059999999999999</v>
      </c>
      <c r="N796" s="173">
        <v>0.17838999999999999</v>
      </c>
      <c r="P796" s="30">
        <v>78.599999999999994</v>
      </c>
      <c r="Q796" s="172">
        <v>2.8028</v>
      </c>
      <c r="R796" s="173">
        <v>0.11772000000000001</v>
      </c>
      <c r="T796" s="30">
        <v>78.599999999999994</v>
      </c>
      <c r="U796" s="172">
        <v>356.77999999995802</v>
      </c>
      <c r="V796" s="173">
        <v>8.4949999999999992</v>
      </c>
      <c r="X796" s="30">
        <v>78.599999999999994</v>
      </c>
      <c r="Y796" s="34">
        <v>2.5024999999999999</v>
      </c>
      <c r="Z796" s="35">
        <v>0.10511</v>
      </c>
      <c r="AA796" s="36"/>
      <c r="AB796" s="30">
        <v>78.599999999999994</v>
      </c>
      <c r="AC796" s="44">
        <v>399.6</v>
      </c>
      <c r="AD796" s="35">
        <v>9.5139999999999993</v>
      </c>
      <c r="AE796" s="36"/>
      <c r="AF796" s="30">
        <v>78.599999999999994</v>
      </c>
      <c r="AG796" s="34">
        <v>2.5427</v>
      </c>
      <c r="AH796" s="35">
        <v>0.10679</v>
      </c>
      <c r="AI796" s="35"/>
      <c r="AJ796" s="35">
        <v>0.16281000000000001</v>
      </c>
      <c r="AK796" s="998">
        <v>6.4</v>
      </c>
      <c r="AM796" s="30">
        <v>78.599999999999994</v>
      </c>
      <c r="AN796" s="34">
        <v>1.3494999999999999</v>
      </c>
      <c r="AO796" s="35">
        <v>1.5115000000000001</v>
      </c>
      <c r="BX796" s="43"/>
      <c r="BY796" s="34"/>
      <c r="BZ796" s="59"/>
      <c r="CB796" s="43"/>
      <c r="CC796" s="34"/>
      <c r="CD796" s="59"/>
      <c r="CL796" s="43"/>
      <c r="CM796" s="34"/>
      <c r="CN796" s="59"/>
      <c r="CP796" s="43"/>
      <c r="CQ796" s="34"/>
      <c r="CR796" s="59"/>
      <c r="CT796" s="43"/>
      <c r="CU796" s="34"/>
      <c r="CV796" s="59"/>
    </row>
    <row r="797" spans="4:100">
      <c r="D797" s="30">
        <v>78.7</v>
      </c>
      <c r="E797" s="31">
        <v>0.67320000000000002</v>
      </c>
      <c r="F797" s="32">
        <v>673</v>
      </c>
      <c r="G797" s="33"/>
      <c r="H797" s="30">
        <v>78.7</v>
      </c>
      <c r="I797" s="34">
        <v>3.7824</v>
      </c>
      <c r="J797" s="35">
        <v>0.15886</v>
      </c>
      <c r="L797" s="30">
        <v>78.7</v>
      </c>
      <c r="M797" s="172">
        <v>5.6029999999999998</v>
      </c>
      <c r="N797" s="173">
        <v>0.17848</v>
      </c>
      <c r="P797" s="30">
        <v>78.7</v>
      </c>
      <c r="Q797" s="172">
        <v>2.8014999999999999</v>
      </c>
      <c r="R797" s="173">
        <v>0.11766</v>
      </c>
      <c r="T797" s="30">
        <v>78.7</v>
      </c>
      <c r="U797" s="172">
        <v>356.94999999995702</v>
      </c>
      <c r="V797" s="173">
        <v>8.4990000000000006</v>
      </c>
      <c r="X797" s="30">
        <v>78.7</v>
      </c>
      <c r="Y797" s="34">
        <v>2.5013000000000001</v>
      </c>
      <c r="Z797" s="35">
        <v>0.10506</v>
      </c>
      <c r="AA797" s="36"/>
      <c r="AB797" s="30">
        <v>78.7</v>
      </c>
      <c r="AC797" s="44">
        <v>399.79</v>
      </c>
      <c r="AD797" s="35">
        <v>9.5190000000000001</v>
      </c>
      <c r="AE797" s="36"/>
      <c r="AF797" s="30">
        <v>78.7</v>
      </c>
      <c r="AG797" s="34">
        <v>2.5415000000000001</v>
      </c>
      <c r="AH797" s="35">
        <v>0.10674</v>
      </c>
      <c r="AI797" s="35"/>
      <c r="AJ797" s="35">
        <v>0.16292999999999999</v>
      </c>
      <c r="AK797" s="998">
        <v>6.3</v>
      </c>
      <c r="AM797" s="30">
        <v>78.7</v>
      </c>
      <c r="AN797" s="34">
        <v>1.3502000000000001</v>
      </c>
      <c r="AO797" s="35">
        <v>1.5122</v>
      </c>
      <c r="BX797" s="43"/>
      <c r="BY797" s="34"/>
      <c r="BZ797" s="59"/>
      <c r="CB797" s="43"/>
      <c r="CC797" s="34"/>
      <c r="CD797" s="59"/>
      <c r="CL797" s="43"/>
      <c r="CM797" s="34"/>
      <c r="CN797" s="59"/>
      <c r="CP797" s="43"/>
      <c r="CQ797" s="34"/>
      <c r="CR797" s="59"/>
      <c r="CT797" s="43"/>
      <c r="CU797" s="34"/>
      <c r="CV797" s="59"/>
    </row>
    <row r="798" spans="4:100">
      <c r="D798" s="30">
        <v>78.8</v>
      </c>
      <c r="E798" s="31">
        <v>0.67279999999999995</v>
      </c>
      <c r="F798" s="32">
        <v>672.7</v>
      </c>
      <c r="G798" s="33"/>
      <c r="H798" s="30">
        <v>78.8</v>
      </c>
      <c r="I798" s="34">
        <v>3.7824</v>
      </c>
      <c r="J798" s="35">
        <v>0.15886</v>
      </c>
      <c r="L798" s="30">
        <v>78.8</v>
      </c>
      <c r="M798" s="172">
        <v>5.6</v>
      </c>
      <c r="N798" s="173">
        <v>0.17856</v>
      </c>
      <c r="P798" s="30">
        <v>78.8</v>
      </c>
      <c r="Q798" s="172">
        <v>2.8001</v>
      </c>
      <c r="R798" s="173">
        <v>0.11761000000000001</v>
      </c>
      <c r="T798" s="30">
        <v>78.8</v>
      </c>
      <c r="U798" s="172">
        <v>357.11999999995601</v>
      </c>
      <c r="V798" s="173">
        <v>8.5030000000000001</v>
      </c>
      <c r="X798" s="30">
        <v>78.8</v>
      </c>
      <c r="Y798" s="34">
        <v>2.5001000000000002</v>
      </c>
      <c r="Z798" s="35">
        <v>0.10501000000000001</v>
      </c>
      <c r="AA798" s="36"/>
      <c r="AB798" s="30">
        <v>78.8</v>
      </c>
      <c r="AC798" s="44">
        <v>399.98</v>
      </c>
      <c r="AD798" s="35">
        <v>9.5229999999999997</v>
      </c>
      <c r="AE798" s="36"/>
      <c r="AF798" s="30">
        <v>78.8</v>
      </c>
      <c r="AG798" s="34">
        <v>2.5402999999999998</v>
      </c>
      <c r="AH798" s="35">
        <v>0.10668999999999999</v>
      </c>
      <c r="AI798" s="35"/>
      <c r="AJ798" s="35">
        <v>0.16303999999999999</v>
      </c>
      <c r="AK798" s="998">
        <v>6.2</v>
      </c>
      <c r="AM798" s="30">
        <v>78.8</v>
      </c>
      <c r="AN798" s="34">
        <v>1.3508</v>
      </c>
      <c r="AO798" s="35">
        <v>1.5128999999999999</v>
      </c>
      <c r="BX798" s="43"/>
      <c r="BY798" s="34"/>
      <c r="BZ798" s="59"/>
      <c r="CB798" s="43"/>
      <c r="CC798" s="34"/>
      <c r="CD798" s="59"/>
      <c r="CL798" s="43"/>
      <c r="CM798" s="34"/>
      <c r="CN798" s="59"/>
      <c r="CP798" s="43"/>
      <c r="CQ798" s="34"/>
      <c r="CR798" s="59"/>
      <c r="CT798" s="43"/>
      <c r="CU798" s="34"/>
      <c r="CV798" s="59"/>
    </row>
    <row r="799" spans="4:100">
      <c r="D799" s="30">
        <v>78.900000000000006</v>
      </c>
      <c r="E799" s="31">
        <v>0.67249999999999999</v>
      </c>
      <c r="F799" s="32">
        <v>672.4</v>
      </c>
      <c r="G799" s="33"/>
      <c r="H799" s="30">
        <v>78.900000000000006</v>
      </c>
      <c r="I799" s="34">
        <v>3.7824</v>
      </c>
      <c r="J799" s="35">
        <v>0.15886</v>
      </c>
      <c r="L799" s="30">
        <v>78.900000000000006</v>
      </c>
      <c r="M799" s="172">
        <v>5.5979999999999999</v>
      </c>
      <c r="N799" s="173">
        <v>0.17865</v>
      </c>
      <c r="P799" s="30">
        <v>78.900000000000006</v>
      </c>
      <c r="Q799" s="172">
        <v>2.7988</v>
      </c>
      <c r="R799" s="173">
        <v>0.11755</v>
      </c>
      <c r="T799" s="30">
        <v>78.900000000000006</v>
      </c>
      <c r="U799" s="172">
        <v>357.289999999955</v>
      </c>
      <c r="V799" s="173">
        <v>8.5069999999999997</v>
      </c>
      <c r="X799" s="30">
        <v>78.900000000000006</v>
      </c>
      <c r="Y799" s="34">
        <v>2.4988999999999999</v>
      </c>
      <c r="Z799" s="35">
        <v>0.10496</v>
      </c>
      <c r="AA799" s="36"/>
      <c r="AB799" s="30">
        <v>78.900000000000006</v>
      </c>
      <c r="AC799" s="44">
        <v>400.17</v>
      </c>
      <c r="AD799" s="35">
        <v>9.5280000000000005</v>
      </c>
      <c r="AE799" s="36"/>
      <c r="AF799" s="30">
        <v>78.900000000000006</v>
      </c>
      <c r="AG799" s="34">
        <v>2.5390000000000001</v>
      </c>
      <c r="AH799" s="35">
        <v>0.10664</v>
      </c>
      <c r="AI799" s="35"/>
      <c r="AJ799" s="35">
        <v>0.16316</v>
      </c>
      <c r="AK799" s="998">
        <v>6.1</v>
      </c>
      <c r="AM799" s="30">
        <v>78.900000000000006</v>
      </c>
      <c r="AN799" s="34">
        <v>1.3513999999999999</v>
      </c>
      <c r="AO799" s="35">
        <v>1.5136000000000001</v>
      </c>
      <c r="BX799" s="43"/>
      <c r="BY799" s="34"/>
      <c r="BZ799" s="59"/>
      <c r="CB799" s="43"/>
      <c r="CC799" s="34"/>
      <c r="CD799" s="59"/>
      <c r="CL799" s="43"/>
      <c r="CM799" s="34"/>
      <c r="CN799" s="59"/>
      <c r="CP799" s="43"/>
      <c r="CQ799" s="34"/>
      <c r="CR799" s="59"/>
      <c r="CT799" s="43"/>
      <c r="CU799" s="34"/>
      <c r="CV799" s="59"/>
    </row>
    <row r="800" spans="4:100">
      <c r="D800" s="30">
        <v>79</v>
      </c>
      <c r="E800" s="31">
        <v>0.67220000000000002</v>
      </c>
      <c r="F800" s="32">
        <v>672.1</v>
      </c>
      <c r="G800" s="33"/>
      <c r="H800" s="30">
        <v>79</v>
      </c>
      <c r="I800" s="34">
        <v>3.7824</v>
      </c>
      <c r="J800" s="35">
        <v>0.15886</v>
      </c>
      <c r="L800" s="30">
        <v>79</v>
      </c>
      <c r="M800" s="172">
        <v>5.5949999999999998</v>
      </c>
      <c r="N800" s="173">
        <v>0.17873</v>
      </c>
      <c r="P800" s="30">
        <v>79</v>
      </c>
      <c r="Q800" s="172">
        <v>2.7974999999999999</v>
      </c>
      <c r="R800" s="173">
        <v>0.11749</v>
      </c>
      <c r="T800" s="30">
        <v>79</v>
      </c>
      <c r="U800" s="172">
        <v>357.45999999995399</v>
      </c>
      <c r="V800" s="173">
        <v>8.5109999999999992</v>
      </c>
      <c r="X800" s="30">
        <v>79</v>
      </c>
      <c r="Y800" s="34">
        <v>2.4977999999999998</v>
      </c>
      <c r="Z800" s="35">
        <v>0.10491</v>
      </c>
      <c r="AA800" s="36"/>
      <c r="AB800" s="30">
        <v>79</v>
      </c>
      <c r="AC800" s="44">
        <v>400.36</v>
      </c>
      <c r="AD800" s="35">
        <v>9.532</v>
      </c>
      <c r="AE800" s="36"/>
      <c r="AF800" s="30">
        <v>79</v>
      </c>
      <c r="AG800" s="34">
        <v>2.5377999999999998</v>
      </c>
      <c r="AH800" s="35">
        <v>0.10659</v>
      </c>
      <c r="AI800" s="35"/>
      <c r="AJ800" s="35">
        <v>0.16328000000000001</v>
      </c>
      <c r="AK800" s="998">
        <v>6</v>
      </c>
      <c r="AM800" s="30">
        <v>79</v>
      </c>
      <c r="AN800" s="34">
        <v>1.3521000000000001</v>
      </c>
      <c r="AO800" s="35">
        <v>1.5143</v>
      </c>
      <c r="BX800" s="43"/>
      <c r="BY800" s="34"/>
      <c r="BZ800" s="59"/>
      <c r="CB800" s="43"/>
      <c r="CC800" s="34"/>
      <c r="CD800" s="59"/>
      <c r="CL800" s="43"/>
      <c r="CM800" s="34"/>
      <c r="CN800" s="59"/>
      <c r="CP800" s="43"/>
      <c r="CQ800" s="34"/>
      <c r="CR800" s="59"/>
      <c r="CT800" s="43"/>
      <c r="CU800" s="34"/>
      <c r="CV800" s="59"/>
    </row>
    <row r="801" spans="4:100">
      <c r="D801" s="30">
        <v>79.099999999999994</v>
      </c>
      <c r="E801" s="31">
        <v>0.67190000000000005</v>
      </c>
      <c r="F801" s="32">
        <v>671.8</v>
      </c>
      <c r="G801" s="33"/>
      <c r="H801" s="30">
        <v>79.099999999999994</v>
      </c>
      <c r="I801" s="34">
        <v>3.7824</v>
      </c>
      <c r="J801" s="35">
        <v>0.15886</v>
      </c>
      <c r="L801" s="30">
        <v>79.099999999999994</v>
      </c>
      <c r="M801" s="172">
        <v>5.5919999999999996</v>
      </c>
      <c r="N801" s="173">
        <v>0.17882000000000001</v>
      </c>
      <c r="P801" s="30">
        <v>79.099999999999994</v>
      </c>
      <c r="Q801" s="172">
        <v>2.7961999999999998</v>
      </c>
      <c r="R801" s="173">
        <v>0.11744</v>
      </c>
      <c r="T801" s="30">
        <v>79.099999999999994</v>
      </c>
      <c r="U801" s="172">
        <v>357.62999999995299</v>
      </c>
      <c r="V801" s="173">
        <v>8.5150000000000006</v>
      </c>
      <c r="X801" s="30">
        <v>79.099999999999994</v>
      </c>
      <c r="Y801" s="34">
        <v>2.4965999999999999</v>
      </c>
      <c r="Z801" s="35">
        <v>0.10485999999999999</v>
      </c>
      <c r="AA801" s="36"/>
      <c r="AB801" s="30">
        <v>79.099999999999994</v>
      </c>
      <c r="AC801" s="44">
        <v>400.55</v>
      </c>
      <c r="AD801" s="35">
        <v>9.5370000000000008</v>
      </c>
      <c r="AE801" s="36"/>
      <c r="AF801" s="30">
        <v>79.099999999999994</v>
      </c>
      <c r="AG801" s="34">
        <v>2.5366</v>
      </c>
      <c r="AH801" s="35">
        <v>0.10654</v>
      </c>
      <c r="AI801" s="35"/>
      <c r="AJ801" s="35">
        <v>0.16339999999999999</v>
      </c>
      <c r="AK801" s="998">
        <v>5.9</v>
      </c>
      <c r="AM801" s="30">
        <v>79.099999999999994</v>
      </c>
      <c r="AN801" s="34">
        <v>1.3527</v>
      </c>
      <c r="AO801" s="35">
        <v>1.5150999999999999</v>
      </c>
      <c r="BX801" s="43"/>
      <c r="BY801" s="34"/>
      <c r="BZ801" s="59"/>
      <c r="CB801" s="43"/>
      <c r="CC801" s="34"/>
      <c r="CD801" s="59"/>
      <c r="CL801" s="43"/>
      <c r="CM801" s="34"/>
      <c r="CN801" s="59"/>
      <c r="CP801" s="43"/>
      <c r="CQ801" s="34"/>
      <c r="CR801" s="59"/>
      <c r="CT801" s="43"/>
      <c r="CU801" s="34"/>
      <c r="CV801" s="59"/>
    </row>
    <row r="802" spans="4:100">
      <c r="D802" s="30">
        <v>79.2</v>
      </c>
      <c r="E802" s="31">
        <v>0.67159999999999997</v>
      </c>
      <c r="F802" s="32">
        <v>671.4</v>
      </c>
      <c r="G802" s="33"/>
      <c r="H802" s="30">
        <v>79.2</v>
      </c>
      <c r="I802" s="34">
        <v>3.7824</v>
      </c>
      <c r="J802" s="35">
        <v>0.15886</v>
      </c>
      <c r="L802" s="30">
        <v>79.2</v>
      </c>
      <c r="M802" s="172">
        <v>5.59</v>
      </c>
      <c r="N802" s="173">
        <v>0.1789</v>
      </c>
      <c r="P802" s="30">
        <v>79.2</v>
      </c>
      <c r="Q802" s="172">
        <v>2.7948</v>
      </c>
      <c r="R802" s="173">
        <v>0.11738</v>
      </c>
      <c r="T802" s="30">
        <v>79.2</v>
      </c>
      <c r="U802" s="172">
        <v>357.79999999995198</v>
      </c>
      <c r="V802" s="173">
        <v>8.5190000000000001</v>
      </c>
      <c r="X802" s="30">
        <v>79.2</v>
      </c>
      <c r="Y802" s="34">
        <v>2.4954000000000001</v>
      </c>
      <c r="Z802" s="35">
        <v>0.10481</v>
      </c>
      <c r="AA802" s="36"/>
      <c r="AB802" s="30">
        <v>79.2</v>
      </c>
      <c r="AC802" s="44">
        <v>400.74</v>
      </c>
      <c r="AD802" s="35">
        <v>9.5410000000000004</v>
      </c>
      <c r="AE802" s="36"/>
      <c r="AF802" s="30">
        <v>79.2</v>
      </c>
      <c r="AG802" s="34">
        <v>2.5354000000000001</v>
      </c>
      <c r="AH802" s="35">
        <v>0.10649</v>
      </c>
      <c r="AI802" s="35"/>
      <c r="AJ802" s="35">
        <v>0.16352</v>
      </c>
      <c r="AK802" s="998">
        <v>5.8</v>
      </c>
      <c r="AM802" s="30">
        <v>79.2</v>
      </c>
      <c r="AN802" s="34">
        <v>1.3533999999999999</v>
      </c>
      <c r="AO802" s="35">
        <v>1.5158</v>
      </c>
      <c r="BX802" s="43"/>
      <c r="BY802" s="34"/>
      <c r="BZ802" s="59"/>
      <c r="CB802" s="43"/>
      <c r="CC802" s="34"/>
      <c r="CD802" s="59"/>
      <c r="CL802" s="43"/>
      <c r="CM802" s="34"/>
      <c r="CN802" s="59"/>
      <c r="CP802" s="43"/>
      <c r="CQ802" s="34"/>
      <c r="CR802" s="59"/>
      <c r="CT802" s="43"/>
      <c r="CU802" s="34"/>
      <c r="CV802" s="59"/>
    </row>
    <row r="803" spans="4:100">
      <c r="D803" s="30">
        <v>79.3</v>
      </c>
      <c r="E803" s="31">
        <v>0.67130000000000001</v>
      </c>
      <c r="F803" s="32">
        <v>671.1</v>
      </c>
      <c r="G803" s="33"/>
      <c r="H803" s="30">
        <v>79.3</v>
      </c>
      <c r="I803" s="34">
        <v>3.7824</v>
      </c>
      <c r="J803" s="35">
        <v>0.15886</v>
      </c>
      <c r="L803" s="30">
        <v>79.3</v>
      </c>
      <c r="M803" s="172">
        <v>5.5869999999999997</v>
      </c>
      <c r="N803" s="173">
        <v>0.17899000000000001</v>
      </c>
      <c r="P803" s="30">
        <v>79.3</v>
      </c>
      <c r="Q803" s="172">
        <v>2.7934999999999999</v>
      </c>
      <c r="R803" s="173">
        <v>0.11733</v>
      </c>
      <c r="T803" s="30">
        <v>79.3</v>
      </c>
      <c r="U803" s="172">
        <v>357.96999999995103</v>
      </c>
      <c r="V803" s="173">
        <v>8.5229999999999997</v>
      </c>
      <c r="X803" s="30">
        <v>79.3</v>
      </c>
      <c r="Y803" s="34">
        <v>2.4942000000000002</v>
      </c>
      <c r="Z803" s="35">
        <v>0.10476000000000001</v>
      </c>
      <c r="AA803" s="36"/>
      <c r="AB803" s="30">
        <v>79.3</v>
      </c>
      <c r="AC803" s="44">
        <v>400.93</v>
      </c>
      <c r="AD803" s="35">
        <v>9.5459999999999994</v>
      </c>
      <c r="AE803" s="36"/>
      <c r="AF803" s="30">
        <v>79.3</v>
      </c>
      <c r="AG803" s="34">
        <v>2.5341999999999998</v>
      </c>
      <c r="AH803" s="35">
        <v>0.10644000000000001</v>
      </c>
      <c r="AI803" s="35"/>
      <c r="AJ803" s="35">
        <v>0.16364000000000001</v>
      </c>
      <c r="AK803" s="998">
        <v>5.7</v>
      </c>
      <c r="AM803" s="30">
        <v>79.3</v>
      </c>
      <c r="AN803" s="34">
        <v>1.3540000000000001</v>
      </c>
      <c r="AO803" s="35">
        <v>1.5165</v>
      </c>
      <c r="BX803" s="43"/>
      <c r="BY803" s="34"/>
      <c r="BZ803" s="59"/>
      <c r="CB803" s="43"/>
      <c r="CC803" s="34"/>
      <c r="CD803" s="59"/>
      <c r="CL803" s="43"/>
      <c r="CM803" s="34"/>
      <c r="CN803" s="59"/>
      <c r="CP803" s="43"/>
      <c r="CQ803" s="34"/>
      <c r="CR803" s="59"/>
      <c r="CT803" s="43"/>
      <c r="CU803" s="34"/>
      <c r="CV803" s="59"/>
    </row>
    <row r="804" spans="4:100">
      <c r="D804" s="30">
        <v>79.400000000000006</v>
      </c>
      <c r="E804" s="31">
        <v>0.67090000000000005</v>
      </c>
      <c r="F804" s="32">
        <v>670.8</v>
      </c>
      <c r="G804" s="33"/>
      <c r="H804" s="30">
        <v>79.400000000000006</v>
      </c>
      <c r="I804" s="34">
        <v>3.7824</v>
      </c>
      <c r="J804" s="35">
        <v>0.15886</v>
      </c>
      <c r="L804" s="30">
        <v>79.400000000000006</v>
      </c>
      <c r="M804" s="172">
        <v>5.5839999999999996</v>
      </c>
      <c r="N804" s="173">
        <v>0.17907000000000001</v>
      </c>
      <c r="P804" s="30">
        <v>79.400000000000006</v>
      </c>
      <c r="Q804" s="172">
        <v>2.7921999999999998</v>
      </c>
      <c r="R804" s="173">
        <v>0.11727</v>
      </c>
      <c r="T804" s="30">
        <v>79.400000000000006</v>
      </c>
      <c r="U804" s="172">
        <v>358.13999999995002</v>
      </c>
      <c r="V804" s="173">
        <v>8.5269999999999992</v>
      </c>
      <c r="X804" s="30">
        <v>79.400000000000006</v>
      </c>
      <c r="Y804" s="34">
        <v>2.4929999999999999</v>
      </c>
      <c r="Z804" s="35">
        <v>0.10471</v>
      </c>
      <c r="AA804" s="36"/>
      <c r="AB804" s="30">
        <v>79.400000000000006</v>
      </c>
      <c r="AC804" s="44">
        <v>401.12</v>
      </c>
      <c r="AD804" s="35">
        <v>9.5510000000000002</v>
      </c>
      <c r="AE804" s="36"/>
      <c r="AF804" s="30">
        <v>79.400000000000006</v>
      </c>
      <c r="AG804" s="34">
        <v>2.5329999999999999</v>
      </c>
      <c r="AH804" s="35">
        <v>0.10639</v>
      </c>
      <c r="AI804" s="35"/>
      <c r="AJ804" s="35">
        <v>0.16375999999999999</v>
      </c>
      <c r="AK804" s="998">
        <v>5.6</v>
      </c>
      <c r="AM804" s="30">
        <v>79.400000000000006</v>
      </c>
      <c r="AN804" s="34">
        <v>1.3547</v>
      </c>
      <c r="AO804" s="35">
        <v>1.5172000000000001</v>
      </c>
      <c r="BX804" s="43"/>
      <c r="BY804" s="34"/>
      <c r="BZ804" s="59"/>
      <c r="CB804" s="43"/>
      <c r="CC804" s="34"/>
      <c r="CD804" s="59"/>
      <c r="CL804" s="43"/>
      <c r="CM804" s="34"/>
      <c r="CN804" s="59"/>
      <c r="CP804" s="43"/>
      <c r="CQ804" s="34"/>
      <c r="CR804" s="59"/>
      <c r="CT804" s="43"/>
      <c r="CU804" s="34"/>
      <c r="CV804" s="59"/>
    </row>
    <row r="805" spans="4:100">
      <c r="D805" s="30">
        <v>79.5</v>
      </c>
      <c r="E805" s="31">
        <v>0.67059999999999997</v>
      </c>
      <c r="F805" s="32">
        <v>670.5</v>
      </c>
      <c r="G805" s="33"/>
      <c r="H805" s="30">
        <v>79.5</v>
      </c>
      <c r="I805" s="34">
        <v>3.7824</v>
      </c>
      <c r="J805" s="35">
        <v>0.15886</v>
      </c>
      <c r="L805" s="30">
        <v>79.5</v>
      </c>
      <c r="M805" s="172">
        <v>5.5819999999999999</v>
      </c>
      <c r="N805" s="173">
        <v>0.17916000000000001</v>
      </c>
      <c r="P805" s="30">
        <v>79.5</v>
      </c>
      <c r="Q805" s="172">
        <v>2.7907999999999999</v>
      </c>
      <c r="R805" s="173">
        <v>0.11722</v>
      </c>
      <c r="T805" s="30">
        <v>79.5</v>
      </c>
      <c r="U805" s="172">
        <v>358.30999999994901</v>
      </c>
      <c r="V805" s="173">
        <v>8.5310000000000006</v>
      </c>
      <c r="X805" s="30">
        <v>79.5</v>
      </c>
      <c r="Y805" s="34">
        <v>2.4918</v>
      </c>
      <c r="Z805" s="35">
        <v>0.10466</v>
      </c>
      <c r="AA805" s="36"/>
      <c r="AB805" s="30">
        <v>79.5</v>
      </c>
      <c r="AC805" s="44">
        <v>401.31</v>
      </c>
      <c r="AD805" s="35">
        <v>9.5549999999999997</v>
      </c>
      <c r="AE805" s="36"/>
      <c r="AF805" s="30">
        <v>79.5</v>
      </c>
      <c r="AG805" s="34">
        <v>2.5318000000000001</v>
      </c>
      <c r="AH805" s="35">
        <v>0.10634</v>
      </c>
      <c r="AI805" s="35"/>
      <c r="AJ805" s="35">
        <v>0.16388</v>
      </c>
      <c r="AK805" s="998">
        <v>5.5</v>
      </c>
      <c r="AM805" s="30">
        <v>79.5</v>
      </c>
      <c r="AN805" s="34">
        <v>1.3552999999999999</v>
      </c>
      <c r="AO805" s="35">
        <v>1.5179</v>
      </c>
      <c r="BX805" s="43"/>
      <c r="BY805" s="34"/>
      <c r="BZ805" s="59"/>
      <c r="CB805" s="43"/>
      <c r="CC805" s="34"/>
      <c r="CD805" s="59"/>
      <c r="CL805" s="43"/>
      <c r="CM805" s="34"/>
      <c r="CN805" s="59"/>
      <c r="CP805" s="43"/>
      <c r="CQ805" s="34"/>
      <c r="CR805" s="59"/>
      <c r="CT805" s="43"/>
      <c r="CU805" s="34"/>
      <c r="CV805" s="59"/>
    </row>
    <row r="806" spans="4:100">
      <c r="D806" s="30">
        <v>79.599999999999994</v>
      </c>
      <c r="E806" s="31">
        <v>0.67030000000000001</v>
      </c>
      <c r="F806" s="32">
        <v>670.2</v>
      </c>
      <c r="G806" s="33"/>
      <c r="H806" s="30">
        <v>79.599999999999994</v>
      </c>
      <c r="I806" s="34">
        <v>3.7824</v>
      </c>
      <c r="J806" s="35">
        <v>0.15886</v>
      </c>
      <c r="L806" s="30">
        <v>79.599999999999994</v>
      </c>
      <c r="M806" s="172">
        <v>5.5789999999999997</v>
      </c>
      <c r="N806" s="173">
        <v>0.17924000000000001</v>
      </c>
      <c r="P806" s="30">
        <v>79.599999999999994</v>
      </c>
      <c r="Q806" s="172">
        <v>2.7894999999999999</v>
      </c>
      <c r="R806" s="173">
        <v>0.11716</v>
      </c>
      <c r="T806" s="30">
        <v>79.599999999999994</v>
      </c>
      <c r="U806" s="172">
        <v>358.47999999994801</v>
      </c>
      <c r="V806" s="173">
        <v>8.5349999999999895</v>
      </c>
      <c r="X806" s="30">
        <v>79.599999999999994</v>
      </c>
      <c r="Y806" s="34">
        <v>2.4906000000000001</v>
      </c>
      <c r="Z806" s="35">
        <v>0.10460999999999999</v>
      </c>
      <c r="AA806" s="36"/>
      <c r="AB806" s="30">
        <v>79.599999999999994</v>
      </c>
      <c r="AC806" s="44">
        <v>401.5</v>
      </c>
      <c r="AD806" s="35">
        <v>9.56</v>
      </c>
      <c r="AE806" s="36"/>
      <c r="AF806" s="30">
        <v>79.599999999999994</v>
      </c>
      <c r="AG806" s="34">
        <v>2.5306000000000002</v>
      </c>
      <c r="AH806" s="35">
        <v>0.10629</v>
      </c>
      <c r="AI806" s="35"/>
      <c r="AJ806" s="35">
        <v>0.16400000000000001</v>
      </c>
      <c r="AK806" s="998">
        <v>5.4</v>
      </c>
      <c r="AM806" s="30">
        <v>79.599999999999994</v>
      </c>
      <c r="AN806" s="34">
        <v>1.3559000000000001</v>
      </c>
      <c r="AO806" s="35">
        <v>1.5185999999999999</v>
      </c>
      <c r="BX806" s="43"/>
      <c r="BY806" s="34"/>
      <c r="BZ806" s="59"/>
      <c r="CB806" s="43"/>
      <c r="CC806" s="34"/>
      <c r="CD806" s="59"/>
      <c r="CL806" s="43"/>
      <c r="CM806" s="34"/>
      <c r="CN806" s="59"/>
      <c r="CP806" s="43"/>
      <c r="CQ806" s="34"/>
      <c r="CR806" s="59"/>
      <c r="CT806" s="43"/>
      <c r="CU806" s="34"/>
      <c r="CV806" s="59"/>
    </row>
    <row r="807" spans="4:100">
      <c r="D807" s="30">
        <v>79.7</v>
      </c>
      <c r="E807" s="31">
        <v>0.67</v>
      </c>
      <c r="F807" s="32">
        <v>669.9</v>
      </c>
      <c r="G807" s="33"/>
      <c r="H807" s="30">
        <v>79.7</v>
      </c>
      <c r="I807" s="34">
        <v>3.7824</v>
      </c>
      <c r="J807" s="35">
        <v>0.15886</v>
      </c>
      <c r="L807" s="30">
        <v>79.7</v>
      </c>
      <c r="M807" s="172">
        <v>5.5759999999999996</v>
      </c>
      <c r="N807" s="173">
        <v>0.17932999999999999</v>
      </c>
      <c r="P807" s="30">
        <v>79.7</v>
      </c>
      <c r="Q807" s="172">
        <v>2.7881999999999998</v>
      </c>
      <c r="R807" s="173">
        <v>0.1171</v>
      </c>
      <c r="T807" s="30">
        <v>79.7</v>
      </c>
      <c r="U807" s="172">
        <v>358.649999999947</v>
      </c>
      <c r="V807" s="173">
        <v>8.5389999999999908</v>
      </c>
      <c r="X807" s="30">
        <v>79.7</v>
      </c>
      <c r="Y807" s="34">
        <v>2.4895</v>
      </c>
      <c r="Z807" s="35">
        <v>0.10456</v>
      </c>
      <c r="AA807" s="36"/>
      <c r="AB807" s="30">
        <v>79.7</v>
      </c>
      <c r="AC807" s="44">
        <v>401.69</v>
      </c>
      <c r="AD807" s="35">
        <v>9.5640000000000001</v>
      </c>
      <c r="AE807" s="36"/>
      <c r="AF807" s="30">
        <v>79.7</v>
      </c>
      <c r="AG807" s="34">
        <v>2.5293999999999999</v>
      </c>
      <c r="AH807" s="35">
        <v>0.10624</v>
      </c>
      <c r="AI807" s="35"/>
      <c r="AJ807" s="35">
        <v>0.16411999999999999</v>
      </c>
      <c r="AK807" s="998">
        <v>5.3</v>
      </c>
      <c r="AM807" s="30">
        <v>79.7</v>
      </c>
      <c r="AN807" s="34">
        <v>1.3566</v>
      </c>
      <c r="AO807" s="35">
        <v>1.5194000000000001</v>
      </c>
      <c r="BX807" s="43"/>
      <c r="BY807" s="34"/>
      <c r="BZ807" s="59"/>
      <c r="CB807" s="43"/>
      <c r="CC807" s="34"/>
      <c r="CD807" s="59"/>
      <c r="CL807" s="43"/>
      <c r="CM807" s="34"/>
      <c r="CN807" s="59"/>
      <c r="CP807" s="43"/>
      <c r="CQ807" s="34"/>
      <c r="CR807" s="59"/>
      <c r="CT807" s="43"/>
      <c r="CU807" s="34"/>
      <c r="CV807" s="59"/>
    </row>
    <row r="808" spans="4:100">
      <c r="D808" s="30">
        <v>79.8</v>
      </c>
      <c r="E808" s="31">
        <v>0.66969999999999996</v>
      </c>
      <c r="F808" s="32">
        <v>669.5</v>
      </c>
      <c r="G808" s="33"/>
      <c r="H808" s="30">
        <v>79.8</v>
      </c>
      <c r="I808" s="34">
        <v>3.7824</v>
      </c>
      <c r="J808" s="35">
        <v>0.15886</v>
      </c>
      <c r="L808" s="30">
        <v>79.8</v>
      </c>
      <c r="M808" s="172">
        <v>5.5739999999999998</v>
      </c>
      <c r="N808" s="173">
        <v>0.17940999999999999</v>
      </c>
      <c r="P808" s="30">
        <v>79.8</v>
      </c>
      <c r="Q808" s="172">
        <v>2.7869000000000002</v>
      </c>
      <c r="R808" s="173">
        <v>0.11705</v>
      </c>
      <c r="T808" s="30">
        <v>79.8</v>
      </c>
      <c r="U808" s="172">
        <v>358.83</v>
      </c>
      <c r="V808" s="173">
        <v>8.5429999999999904</v>
      </c>
      <c r="X808" s="30">
        <v>79.8</v>
      </c>
      <c r="Y808" s="34">
        <v>2.4883000000000002</v>
      </c>
      <c r="Z808" s="35">
        <v>0.10451000000000001</v>
      </c>
      <c r="AA808" s="36"/>
      <c r="AB808" s="30">
        <v>79.8</v>
      </c>
      <c r="AC808" s="44">
        <v>401.88</v>
      </c>
      <c r="AD808" s="35">
        <v>9.5690000000000008</v>
      </c>
      <c r="AE808" s="36"/>
      <c r="AF808" s="30">
        <v>79.8</v>
      </c>
      <c r="AG808" s="34">
        <v>2.5282</v>
      </c>
      <c r="AH808" s="35">
        <v>0.10618</v>
      </c>
      <c r="AI808" s="35"/>
      <c r="AJ808" s="35">
        <v>0.16424</v>
      </c>
      <c r="AK808" s="998">
        <v>5.2</v>
      </c>
      <c r="AM808" s="30">
        <v>79.8</v>
      </c>
      <c r="AN808" s="34">
        <v>1.3572</v>
      </c>
      <c r="AO808" s="35">
        <v>1.5201</v>
      </c>
      <c r="BX808" s="43"/>
      <c r="BY808" s="34"/>
      <c r="BZ808" s="59"/>
      <c r="CB808" s="43"/>
      <c r="CC808" s="34"/>
      <c r="CD808" s="59"/>
      <c r="CL808" s="43"/>
      <c r="CM808" s="34"/>
      <c r="CN808" s="59"/>
      <c r="CP808" s="43"/>
      <c r="CQ808" s="34"/>
      <c r="CR808" s="59"/>
      <c r="CT808" s="43"/>
      <c r="CU808" s="34"/>
      <c r="CV808" s="59"/>
    </row>
    <row r="809" spans="4:100">
      <c r="D809" s="30">
        <v>79.900000000000006</v>
      </c>
      <c r="E809" s="31">
        <v>0.66930000000000001</v>
      </c>
      <c r="F809" s="32">
        <v>669.2</v>
      </c>
      <c r="G809" s="33"/>
      <c r="H809" s="30">
        <v>79.900000000000006</v>
      </c>
      <c r="I809" s="34">
        <v>3.7824</v>
      </c>
      <c r="J809" s="35">
        <v>0.15886</v>
      </c>
      <c r="L809" s="30">
        <v>79.900000000000006</v>
      </c>
      <c r="M809" s="172">
        <v>5.5709999999999997</v>
      </c>
      <c r="N809" s="173">
        <v>0.17949999999999999</v>
      </c>
      <c r="P809" s="30">
        <v>79.900000000000006</v>
      </c>
      <c r="Q809" s="172">
        <v>2.7856000000000001</v>
      </c>
      <c r="R809" s="173">
        <v>0.11699</v>
      </c>
      <c r="T809" s="30">
        <v>79.900000000000006</v>
      </c>
      <c r="U809" s="172">
        <v>359</v>
      </c>
      <c r="V809" s="173">
        <v>8.548</v>
      </c>
      <c r="X809" s="30">
        <v>79.900000000000006</v>
      </c>
      <c r="Y809" s="34">
        <v>2.4870999999999999</v>
      </c>
      <c r="Z809" s="35">
        <v>0.10446</v>
      </c>
      <c r="AA809" s="36"/>
      <c r="AB809" s="30">
        <v>79.900000000000006</v>
      </c>
      <c r="AC809" s="44">
        <v>402.07</v>
      </c>
      <c r="AD809" s="35">
        <v>9.5730000000000004</v>
      </c>
      <c r="AE809" s="36"/>
      <c r="AF809" s="30">
        <v>79.900000000000006</v>
      </c>
      <c r="AG809" s="34">
        <v>2.5270000000000001</v>
      </c>
      <c r="AH809" s="35">
        <v>0.10613</v>
      </c>
      <c r="AI809" s="35"/>
      <c r="AJ809" s="35">
        <v>0.16436000000000001</v>
      </c>
      <c r="AK809" s="998">
        <v>5.0999999999999996</v>
      </c>
      <c r="AM809" s="30">
        <v>79.900000000000006</v>
      </c>
      <c r="AN809" s="34">
        <v>1.3579000000000001</v>
      </c>
      <c r="AO809" s="35">
        <v>1.5207999999999999</v>
      </c>
      <c r="BX809" s="43"/>
      <c r="BY809" s="34"/>
      <c r="BZ809" s="59"/>
      <c r="CB809" s="43"/>
      <c r="CC809" s="34"/>
      <c r="CD809" s="59"/>
      <c r="CL809" s="43"/>
      <c r="CM809" s="34"/>
      <c r="CN809" s="59"/>
      <c r="CP809" s="43"/>
      <c r="CQ809" s="34"/>
      <c r="CR809" s="59"/>
      <c r="CT809" s="43"/>
      <c r="CU809" s="34"/>
      <c r="CV809" s="59"/>
    </row>
    <row r="810" spans="4:100">
      <c r="D810" s="30">
        <v>80</v>
      </c>
      <c r="E810" s="31">
        <v>0.66900000000000004</v>
      </c>
      <c r="F810" s="32">
        <v>668.9</v>
      </c>
      <c r="G810" s="33"/>
      <c r="H810" s="30">
        <v>80</v>
      </c>
      <c r="I810" s="34">
        <v>3.7824</v>
      </c>
      <c r="J810" s="35">
        <v>0.15886</v>
      </c>
      <c r="L810" s="30">
        <v>80</v>
      </c>
      <c r="M810" s="172">
        <v>5.5679999999999996</v>
      </c>
      <c r="N810" s="173">
        <v>0.17957999999999999</v>
      </c>
      <c r="P810" s="30">
        <v>80</v>
      </c>
      <c r="Q810" s="172">
        <v>2.7841999999999998</v>
      </c>
      <c r="R810" s="173">
        <v>0.11694</v>
      </c>
      <c r="T810" s="30">
        <v>80</v>
      </c>
      <c r="U810" s="172">
        <v>359.17</v>
      </c>
      <c r="V810" s="173">
        <v>8.5519999999999996</v>
      </c>
      <c r="X810" s="30">
        <v>80</v>
      </c>
      <c r="Y810" s="34">
        <v>2.4859</v>
      </c>
      <c r="Z810" s="35">
        <v>0.10441</v>
      </c>
      <c r="AA810" s="36"/>
      <c r="AB810" s="30">
        <v>80</v>
      </c>
      <c r="AC810" s="44">
        <v>402.27</v>
      </c>
      <c r="AD810" s="35">
        <v>9.5779999999999994</v>
      </c>
      <c r="AE810" s="36"/>
      <c r="AF810" s="30">
        <v>80</v>
      </c>
      <c r="AG810" s="34">
        <v>2.5257999999999998</v>
      </c>
      <c r="AH810" s="35">
        <v>0.10607999999999999</v>
      </c>
      <c r="AI810" s="35"/>
      <c r="AJ810" s="35">
        <v>0.16447999999999999</v>
      </c>
      <c r="AK810" s="998">
        <v>5</v>
      </c>
      <c r="AM810" s="30">
        <v>80</v>
      </c>
      <c r="AN810" s="34">
        <v>1.3585</v>
      </c>
      <c r="AO810" s="35">
        <v>1.5215000000000001</v>
      </c>
      <c r="BX810" s="43"/>
      <c r="BY810" s="34"/>
      <c r="BZ810" s="59"/>
      <c r="CB810" s="43"/>
      <c r="CC810" s="34"/>
      <c r="CD810" s="59"/>
      <c r="CL810" s="43"/>
      <c r="CM810" s="34"/>
      <c r="CN810" s="59"/>
      <c r="CP810" s="43"/>
      <c r="CQ810" s="34"/>
      <c r="CR810" s="59"/>
      <c r="CT810" s="43"/>
      <c r="CU810" s="34"/>
      <c r="CV810" s="59"/>
    </row>
    <row r="811" spans="4:100">
      <c r="D811" s="30">
        <v>80.099999999999994</v>
      </c>
      <c r="E811" s="31">
        <v>0.66869999999999996</v>
      </c>
      <c r="F811" s="32">
        <v>668.6</v>
      </c>
      <c r="G811" s="33"/>
      <c r="H811" s="30">
        <v>80.099999999999994</v>
      </c>
      <c r="I811" s="34">
        <v>3.7824</v>
      </c>
      <c r="J811" s="35">
        <v>0.15886</v>
      </c>
      <c r="L811" s="30">
        <v>80.099999999999994</v>
      </c>
      <c r="M811" s="172">
        <v>5.5659999999999998</v>
      </c>
      <c r="N811" s="173">
        <v>0.17967</v>
      </c>
      <c r="P811" s="30">
        <v>80.099999999999994</v>
      </c>
      <c r="Q811" s="172">
        <v>2.7829000000000002</v>
      </c>
      <c r="R811" s="173">
        <v>0.11688</v>
      </c>
      <c r="T811" s="30">
        <v>80.099999999999994</v>
      </c>
      <c r="U811" s="172">
        <v>359.34</v>
      </c>
      <c r="V811" s="173">
        <v>8.5559999999999992</v>
      </c>
      <c r="X811" s="30">
        <v>80.099999999999994</v>
      </c>
      <c r="Y811" s="34">
        <v>2.4847000000000001</v>
      </c>
      <c r="Z811" s="35">
        <v>0.10435999999999999</v>
      </c>
      <c r="AA811" s="36"/>
      <c r="AB811" s="30">
        <v>80.099999999999994</v>
      </c>
      <c r="AC811" s="44">
        <v>402.46</v>
      </c>
      <c r="AD811" s="35">
        <v>9.5820000000000007</v>
      </c>
      <c r="AE811" s="36"/>
      <c r="AF811" s="30">
        <v>80.099999999999994</v>
      </c>
      <c r="AG811" s="34">
        <v>2.5246</v>
      </c>
      <c r="AH811" s="35">
        <v>0.10603</v>
      </c>
      <c r="AI811" s="35"/>
      <c r="AJ811" s="35">
        <v>0.1646</v>
      </c>
      <c r="AK811" s="998">
        <v>4.9000000000000004</v>
      </c>
      <c r="AM811" s="30">
        <v>80.099999999999994</v>
      </c>
      <c r="AN811" s="34">
        <v>1.3592</v>
      </c>
      <c r="AO811" s="35">
        <v>1.5222</v>
      </c>
      <c r="BX811" s="43"/>
      <c r="BY811" s="34"/>
      <c r="BZ811" s="59"/>
      <c r="CB811" s="43"/>
      <c r="CC811" s="34"/>
      <c r="CD811" s="59"/>
      <c r="CL811" s="43"/>
      <c r="CM811" s="34"/>
      <c r="CN811" s="59"/>
      <c r="CP811" s="43"/>
      <c r="CQ811" s="34"/>
      <c r="CR811" s="59"/>
      <c r="CT811" s="43"/>
      <c r="CU811" s="34"/>
      <c r="CV811" s="59"/>
    </row>
    <row r="812" spans="4:100">
      <c r="D812" s="30">
        <v>80.2</v>
      </c>
      <c r="E812" s="31">
        <v>0.66839999999999999</v>
      </c>
      <c r="F812" s="32">
        <v>668.3</v>
      </c>
      <c r="G812" s="33"/>
      <c r="H812" s="30">
        <v>80.2</v>
      </c>
      <c r="I812" s="34">
        <v>3.7824</v>
      </c>
      <c r="J812" s="35">
        <v>0.15886</v>
      </c>
      <c r="L812" s="30">
        <v>80.2</v>
      </c>
      <c r="M812" s="172">
        <v>5.5629999999999997</v>
      </c>
      <c r="N812" s="173">
        <v>0.17974999999999999</v>
      </c>
      <c r="P812" s="30">
        <v>80.2</v>
      </c>
      <c r="Q812" s="172">
        <v>2.7816000000000001</v>
      </c>
      <c r="R812" s="173">
        <v>0.11683</v>
      </c>
      <c r="T812" s="30">
        <v>80.2</v>
      </c>
      <c r="U812" s="172">
        <v>359.51</v>
      </c>
      <c r="V812" s="173">
        <v>8.56</v>
      </c>
      <c r="X812" s="30">
        <v>80.2</v>
      </c>
      <c r="Y812" s="34">
        <v>2.4836</v>
      </c>
      <c r="Z812" s="35">
        <v>0.10431</v>
      </c>
      <c r="AA812" s="36"/>
      <c r="AB812" s="30">
        <v>80.2</v>
      </c>
      <c r="AC812" s="44">
        <v>402.65</v>
      </c>
      <c r="AD812" s="35">
        <v>9.5869999999999997</v>
      </c>
      <c r="AE812" s="36"/>
      <c r="AF812" s="30">
        <v>80.2</v>
      </c>
      <c r="AG812" s="34">
        <v>2.5234000000000001</v>
      </c>
      <c r="AH812" s="35">
        <v>0.10598</v>
      </c>
      <c r="AI812" s="35"/>
      <c r="AJ812" s="35">
        <v>0.16472000000000001</v>
      </c>
      <c r="AK812" s="998">
        <v>4.8</v>
      </c>
      <c r="AM812" s="30">
        <v>80.2</v>
      </c>
      <c r="AN812" s="34">
        <v>1.3597999999999999</v>
      </c>
      <c r="AO812" s="35">
        <v>1.5229999999999999</v>
      </c>
      <c r="BX812" s="43"/>
      <c r="BY812" s="34"/>
      <c r="BZ812" s="59"/>
      <c r="CB812" s="43"/>
      <c r="CC812" s="34"/>
      <c r="CD812" s="59"/>
      <c r="CL812" s="43"/>
      <c r="CM812" s="34"/>
      <c r="CN812" s="59"/>
      <c r="CP812" s="43"/>
      <c r="CQ812" s="34"/>
      <c r="CR812" s="59"/>
      <c r="CT812" s="43"/>
      <c r="CU812" s="34"/>
      <c r="CV812" s="59"/>
    </row>
    <row r="813" spans="4:100">
      <c r="D813" s="30">
        <v>80.3</v>
      </c>
      <c r="E813" s="31">
        <v>0.66810000000000003</v>
      </c>
      <c r="F813" s="32">
        <v>668</v>
      </c>
      <c r="G813" s="33"/>
      <c r="H813" s="30">
        <v>80.3</v>
      </c>
      <c r="I813" s="34">
        <v>3.7824</v>
      </c>
      <c r="J813" s="35">
        <v>0.15886</v>
      </c>
      <c r="L813" s="30">
        <v>80.3</v>
      </c>
      <c r="M813" s="172">
        <v>5.5609999999999999</v>
      </c>
      <c r="N813" s="173">
        <v>0.17984</v>
      </c>
      <c r="P813" s="30">
        <v>80.3</v>
      </c>
      <c r="Q813" s="172">
        <v>2.7803</v>
      </c>
      <c r="R813" s="173">
        <v>0.11677</v>
      </c>
      <c r="T813" s="30">
        <v>80.3</v>
      </c>
      <c r="U813" s="172">
        <v>359.68</v>
      </c>
      <c r="V813" s="173">
        <v>8.5640000000000001</v>
      </c>
      <c r="X813" s="30">
        <v>80.3</v>
      </c>
      <c r="Y813" s="34">
        <v>2.4824000000000002</v>
      </c>
      <c r="Z813" s="35">
        <v>0.10426000000000001</v>
      </c>
      <c r="AA813" s="36"/>
      <c r="AB813" s="30">
        <v>80.3</v>
      </c>
      <c r="AC813" s="44">
        <v>402.84</v>
      </c>
      <c r="AD813" s="35">
        <v>9.5909999999999993</v>
      </c>
      <c r="AE813" s="36"/>
      <c r="AF813" s="30">
        <v>80.3</v>
      </c>
      <c r="AG813" s="34">
        <v>2.5222000000000002</v>
      </c>
      <c r="AH813" s="35">
        <v>0.10593</v>
      </c>
      <c r="AI813" s="35"/>
      <c r="AJ813" s="35">
        <v>0.16483999999999999</v>
      </c>
      <c r="AK813" s="998">
        <v>4.7</v>
      </c>
      <c r="AM813" s="30">
        <v>80.3</v>
      </c>
      <c r="AN813" s="34">
        <v>1.3604000000000001</v>
      </c>
      <c r="AO813" s="35">
        <v>1.5237000000000001</v>
      </c>
      <c r="BX813" s="43"/>
      <c r="BY813" s="34"/>
      <c r="BZ813" s="59"/>
      <c r="CB813" s="43"/>
      <c r="CC813" s="34"/>
      <c r="CD813" s="59"/>
      <c r="CL813" s="43"/>
      <c r="CM813" s="34"/>
      <c r="CN813" s="59"/>
      <c r="CP813" s="43"/>
      <c r="CQ813" s="34"/>
      <c r="CR813" s="59"/>
      <c r="CT813" s="43"/>
      <c r="CU813" s="34"/>
      <c r="CV813" s="59"/>
    </row>
    <row r="814" spans="4:100">
      <c r="D814" s="30">
        <v>80.400000000000006</v>
      </c>
      <c r="E814" s="31">
        <v>0.66779999999999995</v>
      </c>
      <c r="F814" s="32">
        <v>667.6</v>
      </c>
      <c r="G814" s="33"/>
      <c r="H814" s="30">
        <v>80.400000000000006</v>
      </c>
      <c r="I814" s="34">
        <v>3.7824</v>
      </c>
      <c r="J814" s="35">
        <v>0.15886</v>
      </c>
      <c r="L814" s="30">
        <v>80.400000000000006</v>
      </c>
      <c r="M814" s="172">
        <v>5.5579999999999998</v>
      </c>
      <c r="N814" s="173">
        <v>0.17992</v>
      </c>
      <c r="P814" s="30">
        <v>80.400000000000006</v>
      </c>
      <c r="Q814" s="172">
        <v>2.7789999999999999</v>
      </c>
      <c r="R814" s="173">
        <v>0.11672</v>
      </c>
      <c r="T814" s="30">
        <v>80.400000000000006</v>
      </c>
      <c r="U814" s="172">
        <v>359.85</v>
      </c>
      <c r="V814" s="173">
        <v>8.5679999999999996</v>
      </c>
      <c r="X814" s="30">
        <v>80.400000000000006</v>
      </c>
      <c r="Y814" s="34">
        <v>2.4811999999999999</v>
      </c>
      <c r="Z814" s="35">
        <v>0.10421</v>
      </c>
      <c r="AA814" s="36"/>
      <c r="AB814" s="30">
        <v>80.400000000000006</v>
      </c>
      <c r="AC814" s="44">
        <v>403.03</v>
      </c>
      <c r="AD814" s="35">
        <v>9.5960000000000001</v>
      </c>
      <c r="AE814" s="36"/>
      <c r="AF814" s="30">
        <v>80.400000000000006</v>
      </c>
      <c r="AG814" s="34">
        <v>2.5209999999999999</v>
      </c>
      <c r="AH814" s="35">
        <v>0.10588</v>
      </c>
      <c r="AI814" s="35"/>
      <c r="AJ814" s="35">
        <v>0.16496</v>
      </c>
      <c r="AK814" s="998">
        <v>4.5999999999999996</v>
      </c>
      <c r="AM814" s="30">
        <v>80.400000000000006</v>
      </c>
      <c r="AN814" s="34">
        <v>1.3611</v>
      </c>
      <c r="AO814" s="35">
        <v>1.5244</v>
      </c>
      <c r="BX814" s="43"/>
      <c r="BY814" s="34"/>
      <c r="BZ814" s="59"/>
      <c r="CB814" s="43"/>
      <c r="CC814" s="34"/>
      <c r="CD814" s="59"/>
      <c r="CL814" s="43"/>
      <c r="CM814" s="34"/>
      <c r="CN814" s="59"/>
      <c r="CP814" s="43"/>
      <c r="CQ814" s="34"/>
      <c r="CR814" s="59"/>
      <c r="CT814" s="43"/>
      <c r="CU814" s="34"/>
      <c r="CV814" s="59"/>
    </row>
    <row r="815" spans="4:100">
      <c r="D815" s="30">
        <v>80.5</v>
      </c>
      <c r="E815" s="31">
        <v>0.66749999999999998</v>
      </c>
      <c r="F815" s="32">
        <v>667.3</v>
      </c>
      <c r="G815" s="33"/>
      <c r="H815" s="30">
        <v>80.5</v>
      </c>
      <c r="I815" s="34">
        <v>3.7824</v>
      </c>
      <c r="J815" s="35">
        <v>0.15886</v>
      </c>
      <c r="L815" s="30">
        <v>80.5</v>
      </c>
      <c r="M815" s="172">
        <v>5.5549999999999997</v>
      </c>
      <c r="N815" s="173">
        <v>0.18001</v>
      </c>
      <c r="P815" s="30">
        <v>80.5</v>
      </c>
      <c r="Q815" s="172">
        <v>2.7776999999999998</v>
      </c>
      <c r="R815" s="173">
        <v>0.11666</v>
      </c>
      <c r="T815" s="30">
        <v>80.5</v>
      </c>
      <c r="U815" s="172">
        <v>360.02</v>
      </c>
      <c r="V815" s="173">
        <v>8.5719999999999992</v>
      </c>
      <c r="X815" s="30">
        <v>80.5</v>
      </c>
      <c r="Y815" s="34">
        <v>2.48</v>
      </c>
      <c r="Z815" s="35">
        <v>0.10416</v>
      </c>
      <c r="AA815" s="36"/>
      <c r="AB815" s="30">
        <v>80.5</v>
      </c>
      <c r="AC815" s="44">
        <v>403.22</v>
      </c>
      <c r="AD815" s="35">
        <v>9.6</v>
      </c>
      <c r="AE815" s="36"/>
      <c r="AF815" s="30">
        <v>80.5</v>
      </c>
      <c r="AG815" s="34">
        <v>2.5198</v>
      </c>
      <c r="AH815" s="35">
        <v>0.10582999999999999</v>
      </c>
      <c r="AI815" s="35"/>
      <c r="AJ815" s="35">
        <v>0.16508</v>
      </c>
      <c r="AK815" s="998">
        <v>4.5</v>
      </c>
      <c r="AM815" s="30">
        <v>80.5</v>
      </c>
      <c r="AN815" s="34">
        <v>1.3616999999999999</v>
      </c>
      <c r="AO815" s="35">
        <v>1.5250999999999999</v>
      </c>
      <c r="BX815" s="43"/>
      <c r="BY815" s="34"/>
      <c r="BZ815" s="59"/>
      <c r="CB815" s="43"/>
      <c r="CC815" s="34"/>
      <c r="CD815" s="59"/>
      <c r="CL815" s="43"/>
      <c r="CM815" s="34"/>
      <c r="CN815" s="59"/>
      <c r="CP815" s="43"/>
      <c r="CQ815" s="34"/>
      <c r="CR815" s="59"/>
      <c r="CT815" s="43"/>
      <c r="CU815" s="34"/>
      <c r="CV815" s="59"/>
    </row>
    <row r="816" spans="4:100">
      <c r="D816" s="30">
        <v>80.599999999999994</v>
      </c>
      <c r="E816" s="31">
        <v>0.66710000000000003</v>
      </c>
      <c r="F816" s="32">
        <v>667</v>
      </c>
      <c r="G816" s="33"/>
      <c r="H816" s="30">
        <v>80.599999999999994</v>
      </c>
      <c r="I816" s="34">
        <v>3.7824</v>
      </c>
      <c r="J816" s="35">
        <v>0.15886</v>
      </c>
      <c r="L816" s="30">
        <v>80.599999999999994</v>
      </c>
      <c r="M816" s="172">
        <v>5.5529999999999999</v>
      </c>
      <c r="N816" s="173">
        <v>0.18009</v>
      </c>
      <c r="P816" s="30">
        <v>80.599999999999994</v>
      </c>
      <c r="Q816" s="172">
        <v>2.7763</v>
      </c>
      <c r="R816" s="173">
        <v>0.11661000000000001</v>
      </c>
      <c r="T816" s="30">
        <v>80.599999999999994</v>
      </c>
      <c r="U816" s="172">
        <v>360.19</v>
      </c>
      <c r="V816" s="173">
        <v>8.5760000000000005</v>
      </c>
      <c r="X816" s="30">
        <v>80.599999999999994</v>
      </c>
      <c r="Y816" s="34">
        <v>2.4788999999999999</v>
      </c>
      <c r="Z816" s="35">
        <v>0.10410999999999999</v>
      </c>
      <c r="AA816" s="36"/>
      <c r="AB816" s="30">
        <v>80.599999999999994</v>
      </c>
      <c r="AC816" s="44">
        <v>403.41</v>
      </c>
      <c r="AD816" s="35">
        <v>9.6050000000000004</v>
      </c>
      <c r="AE816" s="36"/>
      <c r="AF816" s="30">
        <v>80.599999999999994</v>
      </c>
      <c r="AG816" s="34">
        <v>2.5186999999999999</v>
      </c>
      <c r="AH816" s="35">
        <v>0.10578</v>
      </c>
      <c r="AI816" s="35"/>
      <c r="AJ816" s="35">
        <v>0.16521</v>
      </c>
      <c r="AK816" s="998">
        <v>4.4000000000000004</v>
      </c>
      <c r="AM816" s="30">
        <v>80.599999999999994</v>
      </c>
      <c r="AN816" s="34">
        <v>1.3624000000000001</v>
      </c>
      <c r="AO816" s="35">
        <v>1.5258</v>
      </c>
      <c r="BX816" s="43"/>
      <c r="BY816" s="34"/>
      <c r="BZ816" s="59"/>
      <c r="CB816" s="43"/>
      <c r="CC816" s="34"/>
      <c r="CD816" s="59"/>
      <c r="CL816" s="43"/>
      <c r="CM816" s="34"/>
      <c r="CN816" s="59"/>
      <c r="CP816" s="43"/>
      <c r="CQ816" s="34"/>
      <c r="CR816" s="59"/>
      <c r="CT816" s="43"/>
      <c r="CU816" s="34"/>
      <c r="CV816" s="59"/>
    </row>
    <row r="817" spans="4:100">
      <c r="D817" s="30">
        <v>80.7</v>
      </c>
      <c r="E817" s="31">
        <v>0.66679999999999995</v>
      </c>
      <c r="F817" s="32">
        <v>666.7</v>
      </c>
      <c r="G817" s="33"/>
      <c r="H817" s="30">
        <v>80.7</v>
      </c>
      <c r="I817" s="34">
        <v>3.7824</v>
      </c>
      <c r="J817" s="35">
        <v>0.15886</v>
      </c>
      <c r="L817" s="30">
        <v>80.7</v>
      </c>
      <c r="M817" s="172">
        <v>5.55</v>
      </c>
      <c r="N817" s="173">
        <v>0.18018000000000001</v>
      </c>
      <c r="P817" s="30">
        <v>80.7</v>
      </c>
      <c r="Q817" s="172">
        <v>2.7749999999999999</v>
      </c>
      <c r="R817" s="173">
        <v>0.11655</v>
      </c>
      <c r="T817" s="30">
        <v>80.7</v>
      </c>
      <c r="U817" s="172">
        <v>360.36</v>
      </c>
      <c r="V817" s="173">
        <v>8.58</v>
      </c>
      <c r="X817" s="30">
        <v>80.7</v>
      </c>
      <c r="Y817" s="34">
        <v>2.4777</v>
      </c>
      <c r="Z817" s="35">
        <v>0.10406</v>
      </c>
      <c r="AA817" s="36"/>
      <c r="AB817" s="30">
        <v>80.7</v>
      </c>
      <c r="AC817" s="44">
        <v>403.6</v>
      </c>
      <c r="AD817" s="35">
        <v>9.609</v>
      </c>
      <c r="AE817" s="36"/>
      <c r="AF817" s="30">
        <v>80.7</v>
      </c>
      <c r="AG817" s="34">
        <v>2.5175000000000001</v>
      </c>
      <c r="AH817" s="35">
        <v>0.10573</v>
      </c>
      <c r="AI817" s="35"/>
      <c r="AJ817" s="35">
        <v>0.16533</v>
      </c>
      <c r="AK817" s="998">
        <v>4.3</v>
      </c>
      <c r="AM817" s="30">
        <v>80.7</v>
      </c>
      <c r="AN817" s="34">
        <v>1.363</v>
      </c>
      <c r="AO817" s="35">
        <v>1.5266</v>
      </c>
      <c r="BX817" s="43"/>
      <c r="BY817" s="34"/>
      <c r="BZ817" s="59"/>
      <c r="CB817" s="43"/>
      <c r="CC817" s="34"/>
      <c r="CD817" s="59"/>
      <c r="CL817" s="43"/>
      <c r="CM817" s="34"/>
      <c r="CN817" s="59"/>
      <c r="CP817" s="43"/>
      <c r="CQ817" s="34"/>
      <c r="CR817" s="59"/>
      <c r="CT817" s="43"/>
      <c r="CU817" s="34"/>
      <c r="CV817" s="59"/>
    </row>
    <row r="818" spans="4:100">
      <c r="D818" s="30">
        <v>80.8</v>
      </c>
      <c r="E818" s="31">
        <v>0.66649999999999998</v>
      </c>
      <c r="F818" s="32">
        <v>666.4</v>
      </c>
      <c r="G818" s="33"/>
      <c r="H818" s="30">
        <v>80.8</v>
      </c>
      <c r="I818" s="34">
        <v>3.7824</v>
      </c>
      <c r="J818" s="35">
        <v>0.15886</v>
      </c>
      <c r="L818" s="30">
        <v>80.8</v>
      </c>
      <c r="M818" s="172">
        <v>5.5469999999999997</v>
      </c>
      <c r="N818" s="173">
        <v>0.18026</v>
      </c>
      <c r="P818" s="30">
        <v>80.8</v>
      </c>
      <c r="Q818" s="172">
        <v>2.7736999999999998</v>
      </c>
      <c r="R818" s="173">
        <v>0.11650000000000001</v>
      </c>
      <c r="T818" s="30">
        <v>80.8</v>
      </c>
      <c r="U818" s="172">
        <v>360.53</v>
      </c>
      <c r="V818" s="173">
        <v>8.5839999999999996</v>
      </c>
      <c r="X818" s="30">
        <v>80.8</v>
      </c>
      <c r="Y818" s="34">
        <v>2.4765000000000001</v>
      </c>
      <c r="Z818" s="35">
        <v>0.10401000000000001</v>
      </c>
      <c r="AA818" s="36"/>
      <c r="AB818" s="30">
        <v>80.8</v>
      </c>
      <c r="AC818" s="44">
        <v>403.79</v>
      </c>
      <c r="AD818" s="35">
        <v>9.6140000000000008</v>
      </c>
      <c r="AE818" s="36"/>
      <c r="AF818" s="30">
        <v>80.8</v>
      </c>
      <c r="AG818" s="34">
        <v>2.5163000000000002</v>
      </c>
      <c r="AH818" s="35">
        <v>0.10568</v>
      </c>
      <c r="AI818" s="35"/>
      <c r="AJ818" s="35">
        <v>0.16545000000000001</v>
      </c>
      <c r="AK818" s="998">
        <v>4.2</v>
      </c>
      <c r="AM818" s="30">
        <v>80.8</v>
      </c>
      <c r="AN818" s="34">
        <v>1.3635999999999999</v>
      </c>
      <c r="AO818" s="35">
        <v>1.5273000000000001</v>
      </c>
      <c r="BX818" s="43"/>
      <c r="BY818" s="34"/>
      <c r="BZ818" s="59"/>
      <c r="CB818" s="43"/>
      <c r="CC818" s="34"/>
      <c r="CD818" s="59"/>
      <c r="CL818" s="43"/>
      <c r="CM818" s="34"/>
      <c r="CN818" s="59"/>
      <c r="CP818" s="43"/>
      <c r="CQ818" s="34"/>
      <c r="CR818" s="59"/>
      <c r="CT818" s="43"/>
      <c r="CU818" s="34"/>
      <c r="CV818" s="59"/>
    </row>
    <row r="819" spans="4:100">
      <c r="D819" s="30">
        <v>80.900000000000006</v>
      </c>
      <c r="E819" s="31">
        <v>0.66620000000000001</v>
      </c>
      <c r="F819" s="32">
        <v>666.1</v>
      </c>
      <c r="G819" s="33"/>
      <c r="H819" s="30">
        <v>80.900000000000006</v>
      </c>
      <c r="I819" s="34">
        <v>3.7824</v>
      </c>
      <c r="J819" s="35">
        <v>0.15886</v>
      </c>
      <c r="L819" s="30">
        <v>80.900000000000006</v>
      </c>
      <c r="M819" s="172">
        <v>5.5449999999999999</v>
      </c>
      <c r="N819" s="173">
        <v>0.18035000000000001</v>
      </c>
      <c r="P819" s="30">
        <v>80.900000000000006</v>
      </c>
      <c r="Q819" s="172">
        <v>2.7724000000000002</v>
      </c>
      <c r="R819" s="173">
        <v>0.11644</v>
      </c>
      <c r="T819" s="30">
        <v>80.900000000000006</v>
      </c>
      <c r="U819" s="172">
        <v>360.7</v>
      </c>
      <c r="V819" s="173">
        <v>8.5879999999999992</v>
      </c>
      <c r="X819" s="30">
        <v>80.900000000000006</v>
      </c>
      <c r="Y819" s="34">
        <v>2.4754</v>
      </c>
      <c r="Z819" s="35">
        <v>0.10397000000000001</v>
      </c>
      <c r="AA819" s="36"/>
      <c r="AB819" s="30">
        <v>80.900000000000006</v>
      </c>
      <c r="AC819" s="44">
        <v>403.98</v>
      </c>
      <c r="AD819" s="35">
        <v>9.6189999999999998</v>
      </c>
      <c r="AE819" s="36"/>
      <c r="AF819" s="30">
        <v>80.900000000000006</v>
      </c>
      <c r="AG819" s="34">
        <v>2.5150999999999999</v>
      </c>
      <c r="AH819" s="35">
        <v>0.10563</v>
      </c>
      <c r="AI819" s="35"/>
      <c r="AJ819" s="35">
        <v>0.16556999999999999</v>
      </c>
      <c r="AK819" s="998">
        <v>4.0999999999999996</v>
      </c>
      <c r="AM819" s="30">
        <v>80.900000000000006</v>
      </c>
      <c r="AN819" s="34">
        <v>1.3643000000000001</v>
      </c>
      <c r="AO819" s="35">
        <v>1.528</v>
      </c>
      <c r="BX819" s="43"/>
      <c r="BY819" s="34"/>
      <c r="BZ819" s="59"/>
      <c r="CB819" s="43"/>
      <c r="CC819" s="34"/>
      <c r="CD819" s="59"/>
      <c r="CL819" s="43"/>
      <c r="CM819" s="34"/>
      <c r="CN819" s="59"/>
      <c r="CP819" s="43"/>
      <c r="CQ819" s="34"/>
      <c r="CR819" s="59"/>
      <c r="CT819" s="43"/>
      <c r="CU819" s="34"/>
      <c r="CV819" s="59"/>
    </row>
    <row r="820" spans="4:100">
      <c r="D820" s="30">
        <v>81</v>
      </c>
      <c r="E820" s="31">
        <v>0.66590000000000005</v>
      </c>
      <c r="F820" s="32">
        <v>665.8</v>
      </c>
      <c r="G820" s="33"/>
      <c r="H820" s="30">
        <v>81</v>
      </c>
      <c r="I820" s="34">
        <v>3.7824</v>
      </c>
      <c r="J820" s="35">
        <v>0.15886</v>
      </c>
      <c r="L820" s="30">
        <v>81</v>
      </c>
      <c r="M820" s="172">
        <v>5.5419999999999998</v>
      </c>
      <c r="N820" s="173">
        <v>0.18043000000000001</v>
      </c>
      <c r="P820" s="30">
        <v>81</v>
      </c>
      <c r="Q820" s="172">
        <v>2.7711000000000001</v>
      </c>
      <c r="R820" s="173">
        <v>0.11638999999999999</v>
      </c>
      <c r="T820" s="30">
        <v>81</v>
      </c>
      <c r="U820" s="172">
        <v>360.87</v>
      </c>
      <c r="V820" s="173">
        <v>8.5920000000000005</v>
      </c>
      <c r="X820" s="30">
        <v>81</v>
      </c>
      <c r="Y820" s="34">
        <v>2.4742000000000002</v>
      </c>
      <c r="Z820" s="35">
        <v>0.10392</v>
      </c>
      <c r="AA820" s="36"/>
      <c r="AB820" s="30">
        <v>81</v>
      </c>
      <c r="AC820" s="44">
        <v>404.17</v>
      </c>
      <c r="AD820" s="35">
        <v>9.6229999999999993</v>
      </c>
      <c r="AE820" s="36"/>
      <c r="AF820" s="30">
        <v>81</v>
      </c>
      <c r="AG820" s="34">
        <v>2.5139</v>
      </c>
      <c r="AH820" s="35">
        <v>0.10557999999999999</v>
      </c>
      <c r="AI820" s="35"/>
      <c r="AJ820" s="35">
        <v>0.16569</v>
      </c>
      <c r="AK820" s="998">
        <v>4</v>
      </c>
      <c r="AM820" s="30">
        <v>81</v>
      </c>
      <c r="AN820" s="34">
        <v>1.3649</v>
      </c>
      <c r="AO820" s="35">
        <v>1.5286999999999999</v>
      </c>
      <c r="BX820" s="43"/>
      <c r="BY820" s="34"/>
      <c r="BZ820" s="59"/>
      <c r="CB820" s="43"/>
      <c r="CC820" s="34"/>
      <c r="CD820" s="59"/>
      <c r="CL820" s="43"/>
      <c r="CM820" s="34"/>
      <c r="CN820" s="59"/>
      <c r="CP820" s="43"/>
      <c r="CQ820" s="34"/>
      <c r="CR820" s="59"/>
      <c r="CT820" s="43"/>
      <c r="CU820" s="34"/>
      <c r="CV820" s="59"/>
    </row>
    <row r="821" spans="4:100">
      <c r="D821" s="30">
        <v>81.099999999999994</v>
      </c>
      <c r="E821" s="31">
        <v>0.66559999999999997</v>
      </c>
      <c r="F821" s="32">
        <v>665.4</v>
      </c>
      <c r="G821" s="33"/>
      <c r="H821" s="30">
        <v>81.099999999999994</v>
      </c>
      <c r="I821" s="34">
        <v>3.7824</v>
      </c>
      <c r="J821" s="35">
        <v>0.15886</v>
      </c>
      <c r="L821" s="30">
        <v>81.099999999999994</v>
      </c>
      <c r="M821" s="172">
        <v>5.54</v>
      </c>
      <c r="N821" s="173">
        <v>0.18052000000000001</v>
      </c>
      <c r="P821" s="30">
        <v>81.099999999999994</v>
      </c>
      <c r="Q821" s="172">
        <v>2.7698</v>
      </c>
      <c r="R821" s="173">
        <v>0.11633</v>
      </c>
      <c r="T821" s="30">
        <v>81.099999999999994</v>
      </c>
      <c r="U821" s="172">
        <v>361.04</v>
      </c>
      <c r="V821" s="173">
        <v>8.5960000000000001</v>
      </c>
      <c r="X821" s="30">
        <v>81.099999999999994</v>
      </c>
      <c r="Y821" s="34">
        <v>2.4729999999999999</v>
      </c>
      <c r="Z821" s="35">
        <v>0.10387</v>
      </c>
      <c r="AA821" s="36"/>
      <c r="AB821" s="30">
        <v>81.099999999999994</v>
      </c>
      <c r="AC821" s="44">
        <v>404.36</v>
      </c>
      <c r="AD821" s="35">
        <v>9.6280000000000001</v>
      </c>
      <c r="AE821" s="36"/>
      <c r="AF821" s="30">
        <v>81.099999999999994</v>
      </c>
      <c r="AG821" s="34">
        <v>2.5127000000000002</v>
      </c>
      <c r="AH821" s="35">
        <v>0.10553</v>
      </c>
      <c r="AI821" s="35"/>
      <c r="AJ821" s="35">
        <v>0.16582</v>
      </c>
      <c r="AK821" s="998">
        <v>3.9</v>
      </c>
      <c r="AM821" s="30">
        <v>81.099999999999994</v>
      </c>
      <c r="AN821" s="34">
        <v>1.3655999999999999</v>
      </c>
      <c r="AO821" s="35">
        <v>1.5294000000000001</v>
      </c>
      <c r="BX821" s="43"/>
      <c r="BY821" s="34"/>
      <c r="BZ821" s="59"/>
      <c r="CB821" s="43"/>
      <c r="CC821" s="34"/>
      <c r="CD821" s="59"/>
      <c r="CL821" s="43"/>
      <c r="CM821" s="34"/>
      <c r="CN821" s="59"/>
      <c r="CP821" s="43"/>
      <c r="CQ821" s="34"/>
      <c r="CR821" s="59"/>
      <c r="CT821" s="43"/>
      <c r="CU821" s="34"/>
      <c r="CV821" s="59"/>
    </row>
    <row r="822" spans="4:100">
      <c r="D822" s="30">
        <v>81.2</v>
      </c>
      <c r="E822" s="31">
        <v>0.6653</v>
      </c>
      <c r="F822" s="32">
        <v>665.1</v>
      </c>
      <c r="G822" s="33"/>
      <c r="H822" s="30">
        <v>81.2</v>
      </c>
      <c r="I822" s="34">
        <v>3.7824</v>
      </c>
      <c r="J822" s="35">
        <v>0.15886</v>
      </c>
      <c r="L822" s="30">
        <v>81.2</v>
      </c>
      <c r="M822" s="172">
        <v>5.5369999999999999</v>
      </c>
      <c r="N822" s="173">
        <v>0.18060000000000001</v>
      </c>
      <c r="P822" s="30">
        <v>81.2</v>
      </c>
      <c r="Q822" s="172">
        <v>2.7685</v>
      </c>
      <c r="R822" s="173">
        <v>0.11627999999999999</v>
      </c>
      <c r="T822" s="30">
        <v>81.2</v>
      </c>
      <c r="U822" s="172">
        <v>361.21</v>
      </c>
      <c r="V822" s="173">
        <v>8.6</v>
      </c>
      <c r="X822" s="30">
        <v>81.2</v>
      </c>
      <c r="Y822" s="34">
        <v>2.4719000000000002</v>
      </c>
      <c r="Z822" s="35">
        <v>0.10382</v>
      </c>
      <c r="AA822" s="36"/>
      <c r="AB822" s="30">
        <v>81.2</v>
      </c>
      <c r="AC822" s="44">
        <v>404.55</v>
      </c>
      <c r="AD822" s="35">
        <v>9.6319999999999997</v>
      </c>
      <c r="AE822" s="36"/>
      <c r="AF822" s="30">
        <v>81.2</v>
      </c>
      <c r="AG822" s="34">
        <v>2.5114999999999998</v>
      </c>
      <c r="AH822" s="35">
        <v>0.10548</v>
      </c>
      <c r="AI822" s="35"/>
      <c r="AJ822" s="35">
        <v>0.16594</v>
      </c>
      <c r="AK822" s="998">
        <v>3.8</v>
      </c>
      <c r="AM822" s="30">
        <v>81.2</v>
      </c>
      <c r="AN822" s="34">
        <v>1.3662000000000001</v>
      </c>
      <c r="AO822" s="35">
        <v>1.5302</v>
      </c>
      <c r="BX822" s="43"/>
      <c r="BY822" s="34"/>
      <c r="BZ822" s="59"/>
      <c r="CB822" s="43"/>
      <c r="CC822" s="34"/>
      <c r="CD822" s="59"/>
      <c r="CL822" s="43"/>
      <c r="CM822" s="34"/>
      <c r="CN822" s="59"/>
      <c r="CP822" s="43"/>
      <c r="CQ822" s="34"/>
      <c r="CR822" s="59"/>
      <c r="CT822" s="43"/>
      <c r="CU822" s="34"/>
      <c r="CV822" s="59"/>
    </row>
    <row r="823" spans="4:100">
      <c r="D823" s="30">
        <v>81.3</v>
      </c>
      <c r="E823" s="31">
        <v>0.66490000000000005</v>
      </c>
      <c r="F823" s="32">
        <v>664.8</v>
      </c>
      <c r="G823" s="33"/>
      <c r="H823" s="30">
        <v>81.3</v>
      </c>
      <c r="I823" s="34">
        <v>3.7824</v>
      </c>
      <c r="J823" s="35">
        <v>0.15886</v>
      </c>
      <c r="L823" s="30">
        <v>81.3</v>
      </c>
      <c r="M823" s="172">
        <v>5.5339999999999998</v>
      </c>
      <c r="N823" s="173">
        <v>0.18068999999999999</v>
      </c>
      <c r="P823" s="30">
        <v>81.3</v>
      </c>
      <c r="Q823" s="172">
        <v>2.7671999999999999</v>
      </c>
      <c r="R823" s="173">
        <v>0.11622</v>
      </c>
      <c r="T823" s="30">
        <v>81.3</v>
      </c>
      <c r="U823" s="172">
        <v>361.38</v>
      </c>
      <c r="V823" s="173">
        <v>8.6039999999999992</v>
      </c>
      <c r="X823" s="30">
        <v>81.3</v>
      </c>
      <c r="Y823" s="34">
        <v>2.4706999999999999</v>
      </c>
      <c r="Z823" s="35">
        <v>0.10377</v>
      </c>
      <c r="AA823" s="36"/>
      <c r="AB823" s="30">
        <v>81.3</v>
      </c>
      <c r="AC823" s="44">
        <v>404.74</v>
      </c>
      <c r="AD823" s="35">
        <v>9.6370000000000005</v>
      </c>
      <c r="AE823" s="36"/>
      <c r="AF823" s="30">
        <v>81.3</v>
      </c>
      <c r="AG823" s="34">
        <v>2.5104000000000002</v>
      </c>
      <c r="AH823" s="35">
        <v>0.10543</v>
      </c>
      <c r="AI823" s="35"/>
      <c r="AJ823" s="35">
        <v>0.16606000000000001</v>
      </c>
      <c r="AK823" s="998">
        <v>3.7</v>
      </c>
      <c r="AM823" s="30">
        <v>81.3</v>
      </c>
      <c r="AN823" s="34">
        <v>1.3669</v>
      </c>
      <c r="AO823" s="35">
        <v>1.5308999999999999</v>
      </c>
      <c r="BX823" s="43"/>
      <c r="BY823" s="34"/>
      <c r="BZ823" s="59"/>
      <c r="CB823" s="43"/>
      <c r="CC823" s="34"/>
      <c r="CD823" s="59"/>
      <c r="CL823" s="43"/>
      <c r="CM823" s="34"/>
      <c r="CN823" s="59"/>
      <c r="CP823" s="43"/>
      <c r="CQ823" s="34"/>
      <c r="CR823" s="59"/>
      <c r="CT823" s="43"/>
      <c r="CU823" s="34"/>
      <c r="CV823" s="59"/>
    </row>
    <row r="824" spans="4:100">
      <c r="D824" s="30">
        <v>81.400000000000006</v>
      </c>
      <c r="E824" s="31">
        <v>0.66459999999999997</v>
      </c>
      <c r="F824" s="32">
        <v>664.5</v>
      </c>
      <c r="G824" s="33"/>
      <c r="H824" s="30">
        <v>81.400000000000006</v>
      </c>
      <c r="I824" s="34">
        <v>3.7824</v>
      </c>
      <c r="J824" s="35">
        <v>0.15886</v>
      </c>
      <c r="L824" s="30">
        <v>81.400000000000006</v>
      </c>
      <c r="M824" s="172">
        <v>5.532</v>
      </c>
      <c r="N824" s="173">
        <v>0.18076999999999999</v>
      </c>
      <c r="P824" s="30">
        <v>81.400000000000006</v>
      </c>
      <c r="Q824" s="172">
        <v>2.7658999999999998</v>
      </c>
      <c r="R824" s="173">
        <v>0.11617</v>
      </c>
      <c r="T824" s="30">
        <v>81.400000000000006</v>
      </c>
      <c r="U824" s="172">
        <v>361.55</v>
      </c>
      <c r="V824" s="173">
        <v>8.6080000000000005</v>
      </c>
      <c r="X824" s="30">
        <v>81.400000000000006</v>
      </c>
      <c r="Y824" s="34">
        <v>2.4695</v>
      </c>
      <c r="Z824" s="35">
        <v>0.10372000000000001</v>
      </c>
      <c r="AA824" s="36"/>
      <c r="AB824" s="30">
        <v>81.400000000000006</v>
      </c>
      <c r="AC824" s="44">
        <v>404.93</v>
      </c>
      <c r="AD824" s="35">
        <v>9.641</v>
      </c>
      <c r="AE824" s="36"/>
      <c r="AF824" s="30">
        <v>81.400000000000006</v>
      </c>
      <c r="AG824" s="34">
        <v>2.5091999999999999</v>
      </c>
      <c r="AH824" s="35">
        <v>0.10539</v>
      </c>
      <c r="AI824" s="35"/>
      <c r="AJ824" s="35">
        <v>0.16617999999999999</v>
      </c>
      <c r="AK824" s="998">
        <v>3.6</v>
      </c>
      <c r="AM824" s="30">
        <v>81.400000000000006</v>
      </c>
      <c r="AN824" s="34">
        <v>1.3674999999999999</v>
      </c>
      <c r="AO824" s="35">
        <v>1.5316000000000001</v>
      </c>
      <c r="BX824" s="43"/>
      <c r="BY824" s="34"/>
      <c r="BZ824" s="59"/>
      <c r="CB824" s="43"/>
      <c r="CC824" s="34"/>
      <c r="CD824" s="59"/>
      <c r="CL824" s="43"/>
      <c r="CM824" s="34"/>
      <c r="CN824" s="59"/>
      <c r="CP824" s="43"/>
      <c r="CQ824" s="34"/>
      <c r="CR824" s="59"/>
      <c r="CT824" s="43"/>
      <c r="CU824" s="34"/>
      <c r="CV824" s="59"/>
    </row>
    <row r="825" spans="4:100">
      <c r="D825" s="30">
        <v>81.5</v>
      </c>
      <c r="E825" s="31">
        <v>0.6643</v>
      </c>
      <c r="F825" s="32">
        <v>664.2</v>
      </c>
      <c r="G825" s="33"/>
      <c r="H825" s="30">
        <v>81.5</v>
      </c>
      <c r="I825" s="34">
        <v>3.7824</v>
      </c>
      <c r="J825" s="35">
        <v>0.15886</v>
      </c>
      <c r="L825" s="30">
        <v>81.5</v>
      </c>
      <c r="M825" s="172">
        <v>5.5289999999999999</v>
      </c>
      <c r="N825" s="173">
        <v>0.18085999999999999</v>
      </c>
      <c r="P825" s="30">
        <v>81.5</v>
      </c>
      <c r="Q825" s="172">
        <v>2.7646000000000002</v>
      </c>
      <c r="R825" s="173">
        <v>0.11611</v>
      </c>
      <c r="T825" s="30">
        <v>81.5</v>
      </c>
      <c r="U825" s="172">
        <v>361.72</v>
      </c>
      <c r="V825" s="173">
        <v>8.6119999999999894</v>
      </c>
      <c r="X825" s="30">
        <v>81.5</v>
      </c>
      <c r="Y825" s="34">
        <v>2.4683999999999999</v>
      </c>
      <c r="Z825" s="35">
        <v>0.10367</v>
      </c>
      <c r="AA825" s="36"/>
      <c r="AB825" s="30">
        <v>81.5</v>
      </c>
      <c r="AC825" s="44">
        <v>405.12</v>
      </c>
      <c r="AD825" s="35">
        <v>9.6460000000000008</v>
      </c>
      <c r="AE825" s="36"/>
      <c r="AF825" s="30">
        <v>81.5</v>
      </c>
      <c r="AG825" s="34">
        <v>2.508</v>
      </c>
      <c r="AH825" s="35">
        <v>0.10534</v>
      </c>
      <c r="AI825" s="35"/>
      <c r="AJ825" s="35">
        <v>0.16631000000000001</v>
      </c>
      <c r="AK825" s="998">
        <v>3.5</v>
      </c>
      <c r="AM825" s="30">
        <v>81.5</v>
      </c>
      <c r="AN825" s="34">
        <v>1.3681000000000001</v>
      </c>
      <c r="AO825" s="35">
        <v>1.5323</v>
      </c>
      <c r="BX825" s="43"/>
      <c r="BY825" s="34"/>
      <c r="BZ825" s="59"/>
      <c r="CB825" s="43"/>
      <c r="CC825" s="34"/>
      <c r="CD825" s="59"/>
      <c r="CL825" s="43"/>
      <c r="CM825" s="34"/>
      <c r="CN825" s="59"/>
      <c r="CP825" s="43"/>
      <c r="CQ825" s="34"/>
      <c r="CR825" s="59"/>
      <c r="CT825" s="43"/>
      <c r="CU825" s="34"/>
      <c r="CV825" s="59"/>
    </row>
    <row r="826" spans="4:100">
      <c r="D826" s="30">
        <v>81.599999999999994</v>
      </c>
      <c r="E826" s="31">
        <v>0.66400000000000003</v>
      </c>
      <c r="F826" s="32">
        <v>663.9</v>
      </c>
      <c r="G826" s="33"/>
      <c r="H826" s="30">
        <v>81.599999999999994</v>
      </c>
      <c r="I826" s="34">
        <v>3.7824</v>
      </c>
      <c r="J826" s="35">
        <v>0.15886</v>
      </c>
      <c r="L826" s="30">
        <v>81.599999999999994</v>
      </c>
      <c r="M826" s="172">
        <v>5.5270000000000001</v>
      </c>
      <c r="N826" s="173">
        <v>0.18093999999999999</v>
      </c>
      <c r="P826" s="30">
        <v>81.599999999999994</v>
      </c>
      <c r="Q826" s="172">
        <v>2.7633000000000001</v>
      </c>
      <c r="R826" s="173">
        <v>0.11606</v>
      </c>
      <c r="T826" s="30">
        <v>81.599999999999994</v>
      </c>
      <c r="U826" s="172">
        <v>361.89</v>
      </c>
      <c r="V826" s="173">
        <v>8.6159999999999908</v>
      </c>
      <c r="X826" s="30">
        <v>81.599999999999994</v>
      </c>
      <c r="Y826" s="34">
        <v>2.4672000000000001</v>
      </c>
      <c r="Z826" s="35">
        <v>0.10362</v>
      </c>
      <c r="AA826" s="36"/>
      <c r="AB826" s="30">
        <v>81.599999999999994</v>
      </c>
      <c r="AC826" s="44">
        <v>405.31</v>
      </c>
      <c r="AD826" s="35">
        <v>9.65</v>
      </c>
      <c r="AE826" s="36"/>
      <c r="AF826" s="30">
        <v>81.599999999999994</v>
      </c>
      <c r="AG826" s="34">
        <v>2.5068000000000001</v>
      </c>
      <c r="AH826" s="35">
        <v>0.10528999999999999</v>
      </c>
      <c r="AI826" s="35"/>
      <c r="AJ826" s="35">
        <v>0.16642999999999999</v>
      </c>
      <c r="AK826" s="998">
        <v>3.4</v>
      </c>
      <c r="AM826" s="30">
        <v>81.599999999999994</v>
      </c>
      <c r="AN826" s="34">
        <v>1.3688</v>
      </c>
      <c r="AO826" s="35">
        <v>1.5329999999999999</v>
      </c>
      <c r="BX826" s="43"/>
      <c r="BY826" s="34"/>
      <c r="BZ826" s="59"/>
      <c r="CB826" s="43"/>
      <c r="CC826" s="34"/>
      <c r="CD826" s="59"/>
      <c r="CL826" s="43"/>
      <c r="CM826" s="34"/>
      <c r="CN826" s="59"/>
      <c r="CP826" s="43"/>
      <c r="CQ826" s="34"/>
      <c r="CR826" s="59"/>
      <c r="CT826" s="43"/>
      <c r="CU826" s="34"/>
      <c r="CV826" s="59"/>
    </row>
    <row r="827" spans="4:100">
      <c r="D827" s="30">
        <v>81.7</v>
      </c>
      <c r="E827" s="31">
        <v>0.66369999999999996</v>
      </c>
      <c r="F827" s="32">
        <v>663.6</v>
      </c>
      <c r="G827" s="33"/>
      <c r="H827" s="30">
        <v>81.7</v>
      </c>
      <c r="I827" s="34">
        <v>3.7824</v>
      </c>
      <c r="J827" s="35">
        <v>0.15886</v>
      </c>
      <c r="L827" s="30">
        <v>81.7</v>
      </c>
      <c r="M827" s="172">
        <v>5.524</v>
      </c>
      <c r="N827" s="173">
        <v>0.18103</v>
      </c>
      <c r="P827" s="30">
        <v>81.7</v>
      </c>
      <c r="Q827" s="172">
        <v>2.762</v>
      </c>
      <c r="R827" s="173">
        <v>0.11600000000000001</v>
      </c>
      <c r="T827" s="30">
        <v>81.7</v>
      </c>
      <c r="U827" s="172">
        <v>362.06</v>
      </c>
      <c r="V827" s="173">
        <v>8.6199999999999903</v>
      </c>
      <c r="X827" s="30">
        <v>81.7</v>
      </c>
      <c r="Y827" s="34">
        <v>2.4661</v>
      </c>
      <c r="Z827" s="35">
        <v>0.10357</v>
      </c>
      <c r="AA827" s="36"/>
      <c r="AB827" s="30">
        <v>81.7</v>
      </c>
      <c r="AC827" s="44">
        <v>405.5</v>
      </c>
      <c r="AD827" s="35">
        <v>9.6549999999999994</v>
      </c>
      <c r="AE827" s="36"/>
      <c r="AF827" s="30">
        <v>81.7</v>
      </c>
      <c r="AG827" s="34">
        <v>2.5055999999999998</v>
      </c>
      <c r="AH827" s="35">
        <v>0.10524</v>
      </c>
      <c r="AI827" s="35"/>
      <c r="AJ827" s="35">
        <v>0.16656000000000001</v>
      </c>
      <c r="AK827" s="998">
        <v>3.3</v>
      </c>
      <c r="AM827" s="30">
        <v>81.7</v>
      </c>
      <c r="AN827" s="34">
        <v>1.3694</v>
      </c>
      <c r="AO827" s="35">
        <v>1.5338000000000001</v>
      </c>
      <c r="BX827" s="43"/>
      <c r="BY827" s="34"/>
      <c r="BZ827" s="59"/>
      <c r="CB827" s="43"/>
      <c r="CC827" s="34"/>
      <c r="CD827" s="59"/>
      <c r="CL827" s="43"/>
      <c r="CM827" s="34"/>
      <c r="CN827" s="59"/>
      <c r="CP827" s="43"/>
      <c r="CQ827" s="34"/>
      <c r="CR827" s="59"/>
      <c r="CT827" s="43"/>
      <c r="CU827" s="34"/>
      <c r="CV827" s="59"/>
    </row>
    <row r="828" spans="4:100">
      <c r="D828" s="30">
        <v>81.8</v>
      </c>
      <c r="E828" s="31">
        <v>0.66339999999999999</v>
      </c>
      <c r="F828" s="32">
        <v>663.3</v>
      </c>
      <c r="G828" s="33"/>
      <c r="H828" s="30">
        <v>81.8</v>
      </c>
      <c r="I828" s="34">
        <v>3.7824</v>
      </c>
      <c r="J828" s="35">
        <v>0.15886</v>
      </c>
      <c r="L828" s="30">
        <v>81.8</v>
      </c>
      <c r="M828" s="172">
        <v>5.5209999999999999</v>
      </c>
      <c r="N828" s="173">
        <v>0.18110999999999999</v>
      </c>
      <c r="P828" s="30">
        <v>81.8</v>
      </c>
      <c r="Q828" s="172">
        <v>2.7606999999999999</v>
      </c>
      <c r="R828" s="173">
        <v>0.11595</v>
      </c>
      <c r="T828" s="30">
        <v>81.8</v>
      </c>
      <c r="U828" s="172">
        <v>362.23</v>
      </c>
      <c r="V828" s="173">
        <v>8.6239999999999899</v>
      </c>
      <c r="X828" s="30">
        <v>81.8</v>
      </c>
      <c r="Y828" s="34">
        <v>2.4649000000000001</v>
      </c>
      <c r="Z828" s="35">
        <v>0.10353</v>
      </c>
      <c r="AA828" s="36"/>
      <c r="AB828" s="30">
        <v>81.8</v>
      </c>
      <c r="AC828" s="44">
        <v>405.7</v>
      </c>
      <c r="AD828" s="35">
        <v>9.6590000000000007</v>
      </c>
      <c r="AE828" s="36"/>
      <c r="AF828" s="30">
        <v>81.8</v>
      </c>
      <c r="AG828" s="34">
        <v>2.5045000000000002</v>
      </c>
      <c r="AH828" s="35">
        <v>0.10519000000000001</v>
      </c>
      <c r="AI828" s="35"/>
      <c r="AJ828" s="35">
        <v>0.16667999999999999</v>
      </c>
      <c r="AK828" s="998">
        <v>3.2</v>
      </c>
      <c r="AM828" s="30">
        <v>81.8</v>
      </c>
      <c r="AN828" s="34">
        <v>1.3701000000000001</v>
      </c>
      <c r="AO828" s="35">
        <v>1.5345</v>
      </c>
      <c r="BX828" s="43"/>
      <c r="BY828" s="34"/>
      <c r="BZ828" s="59"/>
      <c r="CB828" s="43"/>
      <c r="CC828" s="34"/>
      <c r="CD828" s="59"/>
      <c r="CL828" s="43"/>
      <c r="CM828" s="34"/>
      <c r="CN828" s="59"/>
      <c r="CP828" s="43"/>
      <c r="CQ828" s="34"/>
      <c r="CR828" s="59"/>
      <c r="CT828" s="43"/>
      <c r="CU828" s="34"/>
      <c r="CV828" s="59"/>
    </row>
    <row r="829" spans="4:100">
      <c r="D829" s="30">
        <v>81.900000000000006</v>
      </c>
      <c r="E829" s="31">
        <v>0.66310000000000002</v>
      </c>
      <c r="F829" s="32">
        <v>663</v>
      </c>
      <c r="G829" s="33"/>
      <c r="H829" s="30">
        <v>81.900000000000006</v>
      </c>
      <c r="I829" s="34">
        <v>3.7824</v>
      </c>
      <c r="J829" s="35">
        <v>0.15886</v>
      </c>
      <c r="L829" s="30">
        <v>81.900000000000006</v>
      </c>
      <c r="M829" s="172">
        <v>5.5190000000000001</v>
      </c>
      <c r="N829" s="173">
        <v>0.1812</v>
      </c>
      <c r="P829" s="30">
        <v>81.900000000000006</v>
      </c>
      <c r="Q829" s="172">
        <v>2.7593999999999999</v>
      </c>
      <c r="R829" s="173">
        <v>0.11589000000000001</v>
      </c>
      <c r="T829" s="30">
        <v>81.900000000000006</v>
      </c>
      <c r="U829" s="172">
        <v>362.4</v>
      </c>
      <c r="V829" s="173">
        <v>8.6289999999999996</v>
      </c>
      <c r="X829" s="30">
        <v>81.900000000000006</v>
      </c>
      <c r="Y829" s="34">
        <v>2.4636999999999998</v>
      </c>
      <c r="Z829" s="35">
        <v>0.10348</v>
      </c>
      <c r="AA829" s="36"/>
      <c r="AB829" s="30">
        <v>81.900000000000006</v>
      </c>
      <c r="AC829" s="44">
        <v>405.89</v>
      </c>
      <c r="AD829" s="35">
        <v>9.6639999999999997</v>
      </c>
      <c r="AE829" s="36"/>
      <c r="AF829" s="30">
        <v>81.900000000000006</v>
      </c>
      <c r="AG829" s="34">
        <v>2.5032999999999999</v>
      </c>
      <c r="AH829" s="35">
        <v>0.10514</v>
      </c>
      <c r="AI829" s="35"/>
      <c r="AJ829" s="35">
        <v>0.1668</v>
      </c>
      <c r="AK829" s="998">
        <v>3.1</v>
      </c>
      <c r="AM829" s="30">
        <v>81.900000000000006</v>
      </c>
      <c r="AN829" s="34">
        <v>1.3707</v>
      </c>
      <c r="AO829" s="35">
        <v>1.5351999999999999</v>
      </c>
      <c r="BX829" s="43"/>
      <c r="BY829" s="34"/>
      <c r="BZ829" s="59"/>
      <c r="CB829" s="43"/>
      <c r="CC829" s="34"/>
      <c r="CD829" s="59"/>
      <c r="CL829" s="43"/>
      <c r="CM829" s="34"/>
      <c r="CN829" s="59"/>
      <c r="CP829" s="43"/>
      <c r="CQ829" s="34"/>
      <c r="CR829" s="59"/>
      <c r="CT829" s="43"/>
      <c r="CU829" s="34"/>
      <c r="CV829" s="59"/>
    </row>
    <row r="830" spans="4:100">
      <c r="D830" s="30">
        <v>82</v>
      </c>
      <c r="E830" s="31">
        <v>0.66279999999999994</v>
      </c>
      <c r="F830" s="32">
        <v>662.6</v>
      </c>
      <c r="G830" s="33"/>
      <c r="H830" s="30">
        <v>82</v>
      </c>
      <c r="I830" s="34">
        <v>3.7824</v>
      </c>
      <c r="J830" s="35">
        <v>0.15886</v>
      </c>
      <c r="L830" s="30">
        <v>82</v>
      </c>
      <c r="M830" s="172">
        <v>5.516</v>
      </c>
      <c r="N830" s="173">
        <v>0.18128</v>
      </c>
      <c r="P830" s="30">
        <v>82</v>
      </c>
      <c r="Q830" s="172">
        <v>2.7581000000000002</v>
      </c>
      <c r="R830" s="173">
        <v>0.11584</v>
      </c>
      <c r="T830" s="30">
        <v>82</v>
      </c>
      <c r="U830" s="172">
        <v>362.57</v>
      </c>
      <c r="V830" s="173">
        <v>8.6329999999999991</v>
      </c>
      <c r="X830" s="30">
        <v>82</v>
      </c>
      <c r="Y830" s="34">
        <v>2.4626000000000001</v>
      </c>
      <c r="Z830" s="35">
        <v>0.10342999999999999</v>
      </c>
      <c r="AA830" s="36"/>
      <c r="AB830" s="30">
        <v>82</v>
      </c>
      <c r="AC830" s="44">
        <v>406.08</v>
      </c>
      <c r="AD830" s="35">
        <v>9.6679999999999993</v>
      </c>
      <c r="AE830" s="36"/>
      <c r="AF830" s="30">
        <v>82</v>
      </c>
      <c r="AG830" s="34">
        <v>2.5021</v>
      </c>
      <c r="AH830" s="35">
        <v>0.10509</v>
      </c>
      <c r="AI830" s="35"/>
      <c r="AJ830" s="35">
        <v>0.16693</v>
      </c>
      <c r="AK830" s="998">
        <v>3</v>
      </c>
      <c r="AM830" s="30">
        <v>82</v>
      </c>
      <c r="AN830" s="34">
        <v>1.3714</v>
      </c>
      <c r="AO830" s="35">
        <v>1.5359</v>
      </c>
      <c r="BX830" s="43"/>
      <c r="BY830" s="34"/>
      <c r="BZ830" s="59"/>
      <c r="CB830" s="43"/>
      <c r="CC830" s="34"/>
      <c r="CD830" s="59"/>
      <c r="CL830" s="43"/>
      <c r="CM830" s="34"/>
      <c r="CN830" s="59"/>
      <c r="CP830" s="43"/>
      <c r="CQ830" s="34"/>
      <c r="CR830" s="59"/>
      <c r="CT830" s="43"/>
      <c r="CU830" s="34"/>
      <c r="CV830" s="59"/>
    </row>
    <row r="831" spans="4:100">
      <c r="D831" s="30">
        <v>82.1</v>
      </c>
      <c r="E831" s="31">
        <v>0.66249999999999998</v>
      </c>
      <c r="F831" s="32">
        <v>662.3</v>
      </c>
      <c r="G831" s="33"/>
      <c r="H831" s="30">
        <v>82.1</v>
      </c>
      <c r="I831" s="34">
        <v>3.7824</v>
      </c>
      <c r="J831" s="35">
        <v>0.15886</v>
      </c>
      <c r="L831" s="30">
        <v>82.1</v>
      </c>
      <c r="M831" s="172">
        <v>5.5140000000000002</v>
      </c>
      <c r="N831" s="173">
        <v>0.18137</v>
      </c>
      <c r="P831" s="30">
        <v>82.1</v>
      </c>
      <c r="Q831" s="172">
        <v>2.7568000000000001</v>
      </c>
      <c r="R831" s="173">
        <v>0.11579</v>
      </c>
      <c r="T831" s="30">
        <v>82.1</v>
      </c>
      <c r="U831" s="172">
        <v>362.74</v>
      </c>
      <c r="V831" s="173">
        <v>8.6370000000000005</v>
      </c>
      <c r="X831" s="30">
        <v>82.1</v>
      </c>
      <c r="Y831" s="34">
        <v>2.4613999999999998</v>
      </c>
      <c r="Z831" s="35">
        <v>0.10338</v>
      </c>
      <c r="AA831" s="36"/>
      <c r="AB831" s="30">
        <v>82.1</v>
      </c>
      <c r="AC831" s="44">
        <v>406.27</v>
      </c>
      <c r="AD831" s="35">
        <v>9.673</v>
      </c>
      <c r="AE831" s="36"/>
      <c r="AF831" s="30">
        <v>82.1</v>
      </c>
      <c r="AG831" s="34">
        <v>2.5009000000000001</v>
      </c>
      <c r="AH831" s="35">
        <v>0.10503999999999999</v>
      </c>
      <c r="AI831" s="35"/>
      <c r="AJ831" s="35">
        <v>0.16705</v>
      </c>
      <c r="AK831" s="998">
        <v>2.9</v>
      </c>
      <c r="AM831" s="30">
        <v>82.1</v>
      </c>
      <c r="AN831" s="34">
        <v>1.3720000000000001</v>
      </c>
      <c r="AO831" s="35">
        <v>1.5366</v>
      </c>
      <c r="BX831" s="43"/>
      <c r="BY831" s="34"/>
      <c r="BZ831" s="59"/>
      <c r="CB831" s="43"/>
      <c r="CC831" s="34"/>
      <c r="CD831" s="59"/>
      <c r="CL831" s="43"/>
      <c r="CM831" s="34"/>
      <c r="CN831" s="59"/>
      <c r="CP831" s="43"/>
      <c r="CQ831" s="34"/>
      <c r="CR831" s="59"/>
      <c r="CT831" s="43"/>
      <c r="CU831" s="34"/>
      <c r="CV831" s="59"/>
    </row>
    <row r="832" spans="4:100">
      <c r="D832" s="30">
        <v>82.2</v>
      </c>
      <c r="E832" s="31">
        <v>0.66210000000000002</v>
      </c>
      <c r="F832" s="32">
        <v>662</v>
      </c>
      <c r="G832" s="33"/>
      <c r="H832" s="30">
        <v>82.2</v>
      </c>
      <c r="I832" s="34">
        <v>3.7824</v>
      </c>
      <c r="J832" s="35">
        <v>0.15886</v>
      </c>
      <c r="L832" s="30">
        <v>82.2</v>
      </c>
      <c r="M832" s="172">
        <v>5.5110000000000001</v>
      </c>
      <c r="N832" s="173">
        <v>0.18145</v>
      </c>
      <c r="P832" s="30">
        <v>82.2</v>
      </c>
      <c r="Q832" s="172">
        <v>2.7555000000000001</v>
      </c>
      <c r="R832" s="173">
        <v>0.11573</v>
      </c>
      <c r="T832" s="30">
        <v>82.2</v>
      </c>
      <c r="U832" s="172">
        <v>362.91</v>
      </c>
      <c r="V832" s="173">
        <v>8.641</v>
      </c>
      <c r="X832" s="30">
        <v>82.2</v>
      </c>
      <c r="Y832" s="34">
        <v>2.4603000000000002</v>
      </c>
      <c r="Z832" s="35">
        <v>0.10333000000000001</v>
      </c>
      <c r="AA832" s="36"/>
      <c r="AB832" s="30">
        <v>82.2</v>
      </c>
      <c r="AC832" s="44">
        <v>406.46</v>
      </c>
      <c r="AD832" s="35">
        <v>9.6780000000000008</v>
      </c>
      <c r="AE832" s="36"/>
      <c r="AF832" s="30">
        <v>82.2</v>
      </c>
      <c r="AG832" s="34">
        <v>2.4998</v>
      </c>
      <c r="AH832" s="35">
        <v>0.10499</v>
      </c>
      <c r="AI832" s="35"/>
      <c r="AJ832" s="35">
        <v>0.16718</v>
      </c>
      <c r="AK832" s="998">
        <v>2.8</v>
      </c>
      <c r="AM832" s="30">
        <v>82.2</v>
      </c>
      <c r="AN832" s="34">
        <v>1.3726</v>
      </c>
      <c r="AO832" s="35">
        <v>1.5374000000000001</v>
      </c>
      <c r="BX832" s="43"/>
      <c r="BY832" s="34"/>
      <c r="BZ832" s="59"/>
      <c r="CB832" s="43"/>
      <c r="CC832" s="34"/>
      <c r="CD832" s="59"/>
      <c r="CL832" s="43"/>
      <c r="CM832" s="34"/>
      <c r="CN832" s="59"/>
      <c r="CP832" s="43"/>
      <c r="CQ832" s="34"/>
      <c r="CR832" s="59"/>
      <c r="CT832" s="43"/>
      <c r="CU832" s="34"/>
      <c r="CV832" s="59"/>
    </row>
    <row r="833" spans="4:100">
      <c r="D833" s="30">
        <v>82.3</v>
      </c>
      <c r="E833" s="31">
        <v>0.66180000000000005</v>
      </c>
      <c r="F833" s="32">
        <v>661.7</v>
      </c>
      <c r="G833" s="33"/>
      <c r="H833" s="30">
        <v>82.3</v>
      </c>
      <c r="I833" s="34">
        <v>3.7824</v>
      </c>
      <c r="J833" s="35">
        <v>0.15886</v>
      </c>
      <c r="L833" s="30">
        <v>82.3</v>
      </c>
      <c r="M833" s="172">
        <v>5.508</v>
      </c>
      <c r="N833" s="173">
        <v>0.18154000000000001</v>
      </c>
      <c r="P833" s="30">
        <v>82.3</v>
      </c>
      <c r="Q833" s="172">
        <v>2.7542</v>
      </c>
      <c r="R833" s="173">
        <v>0.11568000000000001</v>
      </c>
      <c r="T833" s="30">
        <v>82.3</v>
      </c>
      <c r="U833" s="172">
        <v>363.08</v>
      </c>
      <c r="V833" s="173">
        <v>8.6449999999999996</v>
      </c>
      <c r="X833" s="30">
        <v>82.3</v>
      </c>
      <c r="Y833" s="34">
        <v>2.4590999999999998</v>
      </c>
      <c r="Z833" s="35">
        <v>0.10328</v>
      </c>
      <c r="AA833" s="36"/>
      <c r="AB833" s="30">
        <v>82.3</v>
      </c>
      <c r="AC833" s="44">
        <v>406.65</v>
      </c>
      <c r="AD833" s="35">
        <v>9.6820000000000004</v>
      </c>
      <c r="AE833" s="36"/>
      <c r="AF833" s="30">
        <v>82.3</v>
      </c>
      <c r="AG833" s="34">
        <v>2.4986000000000002</v>
      </c>
      <c r="AH833" s="35">
        <v>0.10494000000000001</v>
      </c>
      <c r="AI833" s="35"/>
      <c r="AJ833" s="35">
        <v>0.1673</v>
      </c>
      <c r="AK833" s="998">
        <v>2.7</v>
      </c>
      <c r="AM833" s="30">
        <v>82.3</v>
      </c>
      <c r="AN833" s="34">
        <v>1.3733</v>
      </c>
      <c r="AO833" s="35">
        <v>1.5381</v>
      </c>
      <c r="BX833" s="43"/>
      <c r="BY833" s="34"/>
      <c r="BZ833" s="59"/>
      <c r="CB833" s="43"/>
      <c r="CC833" s="34"/>
      <c r="CD833" s="59"/>
      <c r="CL833" s="43"/>
      <c r="CM833" s="34"/>
      <c r="CN833" s="59"/>
      <c r="CP833" s="43"/>
      <c r="CQ833" s="34"/>
      <c r="CR833" s="59"/>
      <c r="CT833" s="43"/>
      <c r="CU833" s="34"/>
      <c r="CV833" s="59"/>
    </row>
    <row r="834" spans="4:100">
      <c r="D834" s="30">
        <v>82.4</v>
      </c>
      <c r="E834" s="31">
        <v>0.66149999999999998</v>
      </c>
      <c r="F834" s="32">
        <v>661.4</v>
      </c>
      <c r="G834" s="33"/>
      <c r="H834" s="30">
        <v>82.4</v>
      </c>
      <c r="I834" s="34">
        <v>3.7824</v>
      </c>
      <c r="J834" s="35">
        <v>0.15886</v>
      </c>
      <c r="L834" s="30">
        <v>82.4</v>
      </c>
      <c r="M834" s="172">
        <v>5.5060000000000002</v>
      </c>
      <c r="N834" s="173">
        <v>0.18162</v>
      </c>
      <c r="P834" s="30">
        <v>82.4</v>
      </c>
      <c r="Q834" s="172">
        <v>2.7528999999999999</v>
      </c>
      <c r="R834" s="173">
        <v>0.11562</v>
      </c>
      <c r="T834" s="30">
        <v>82.4</v>
      </c>
      <c r="U834" s="172">
        <v>363.24999999999898</v>
      </c>
      <c r="V834" s="173">
        <v>8.6489999999999991</v>
      </c>
      <c r="X834" s="30">
        <v>82.4</v>
      </c>
      <c r="Y834" s="34">
        <v>2.4580000000000002</v>
      </c>
      <c r="Z834" s="35">
        <v>0.10324</v>
      </c>
      <c r="AA834" s="36"/>
      <c r="AB834" s="30">
        <v>82.4</v>
      </c>
      <c r="AC834" s="44">
        <v>406.84</v>
      </c>
      <c r="AD834" s="35">
        <v>9.6869999999999994</v>
      </c>
      <c r="AE834" s="36"/>
      <c r="AF834" s="30">
        <v>82.4</v>
      </c>
      <c r="AG834" s="34">
        <v>2.4973999999999998</v>
      </c>
      <c r="AH834" s="35">
        <v>0.10489</v>
      </c>
      <c r="AI834" s="35"/>
      <c r="AJ834" s="35">
        <v>0.16743</v>
      </c>
      <c r="AK834" s="998">
        <v>2.6</v>
      </c>
      <c r="AM834" s="30">
        <v>82.4</v>
      </c>
      <c r="AN834" s="34">
        <v>1.3738999999999999</v>
      </c>
      <c r="AO834" s="35">
        <v>1.5387999999999999</v>
      </c>
      <c r="BX834" s="43"/>
      <c r="BY834" s="34"/>
      <c r="BZ834" s="59"/>
      <c r="CB834" s="43"/>
      <c r="CC834" s="34"/>
      <c r="CD834" s="59"/>
      <c r="CL834" s="43"/>
      <c r="CM834" s="34"/>
      <c r="CN834" s="59"/>
      <c r="CP834" s="43"/>
      <c r="CQ834" s="34"/>
      <c r="CR834" s="59"/>
      <c r="CT834" s="43"/>
      <c r="CU834" s="34"/>
      <c r="CV834" s="59"/>
    </row>
    <row r="835" spans="4:100">
      <c r="D835" s="30">
        <v>82.5</v>
      </c>
      <c r="E835" s="31">
        <v>0.66120000000000001</v>
      </c>
      <c r="F835" s="32">
        <v>661.1</v>
      </c>
      <c r="G835" s="33"/>
      <c r="H835" s="30">
        <v>82.5</v>
      </c>
      <c r="I835" s="34">
        <v>3.7823000000000002</v>
      </c>
      <c r="J835" s="35">
        <v>0.15886</v>
      </c>
      <c r="L835" s="30">
        <v>82.5</v>
      </c>
      <c r="M835" s="172">
        <v>5.5030000000000001</v>
      </c>
      <c r="N835" s="173">
        <v>0.18171000000000001</v>
      </c>
      <c r="P835" s="30">
        <v>82.5</v>
      </c>
      <c r="Q835" s="172">
        <v>2.7515999999999998</v>
      </c>
      <c r="R835" s="173">
        <v>0.11557000000000001</v>
      </c>
      <c r="T835" s="30">
        <v>82.5</v>
      </c>
      <c r="U835" s="172">
        <v>363.42</v>
      </c>
      <c r="V835" s="173">
        <v>8.6530000000000005</v>
      </c>
      <c r="X835" s="30">
        <v>82.5</v>
      </c>
      <c r="Y835" s="34">
        <v>2.4567999999999999</v>
      </c>
      <c r="Z835" s="35">
        <v>0.10319</v>
      </c>
      <c r="AA835" s="36"/>
      <c r="AB835" s="30">
        <v>82.5</v>
      </c>
      <c r="AC835" s="44">
        <v>407.03</v>
      </c>
      <c r="AD835" s="35">
        <v>9.6910000000000007</v>
      </c>
      <c r="AE835" s="36"/>
      <c r="AF835" s="30">
        <v>82.5</v>
      </c>
      <c r="AG835" s="34">
        <v>2.4963000000000002</v>
      </c>
      <c r="AH835" s="35">
        <v>0.10484</v>
      </c>
      <c r="AI835" s="35"/>
      <c r="AJ835" s="35">
        <v>0.16755</v>
      </c>
      <c r="AK835" s="998">
        <v>2.5</v>
      </c>
      <c r="AM835" s="30">
        <v>82.5</v>
      </c>
      <c r="AN835" s="34">
        <v>1.3746</v>
      </c>
      <c r="AO835" s="35">
        <v>1.5395000000000001</v>
      </c>
      <c r="BX835" s="43"/>
      <c r="BY835" s="34"/>
      <c r="BZ835" s="59"/>
      <c r="CB835" s="43"/>
      <c r="CC835" s="34"/>
      <c r="CD835" s="59"/>
      <c r="CL835" s="43"/>
      <c r="CM835" s="34"/>
      <c r="CN835" s="59"/>
      <c r="CP835" s="43"/>
      <c r="CQ835" s="34"/>
      <c r="CR835" s="59"/>
      <c r="CT835" s="43"/>
      <c r="CU835" s="34"/>
      <c r="CV835" s="59"/>
    </row>
    <row r="836" spans="4:100">
      <c r="D836" s="30">
        <v>82.6</v>
      </c>
      <c r="E836" s="31">
        <v>0.66090000000000004</v>
      </c>
      <c r="F836" s="32">
        <v>660.8</v>
      </c>
      <c r="G836" s="33"/>
      <c r="H836" s="30">
        <v>82.6</v>
      </c>
      <c r="I836" s="34">
        <v>3.7823000000000002</v>
      </c>
      <c r="J836" s="35">
        <v>0.15886</v>
      </c>
      <c r="L836" s="30">
        <v>82.6</v>
      </c>
      <c r="M836" s="172">
        <v>5.5010000000000003</v>
      </c>
      <c r="N836" s="173">
        <v>0.18179000000000001</v>
      </c>
      <c r="P836" s="30">
        <v>82.6</v>
      </c>
      <c r="Q836" s="172">
        <v>2.7504</v>
      </c>
      <c r="R836" s="173">
        <v>0.11552</v>
      </c>
      <c r="T836" s="30">
        <v>82.6</v>
      </c>
      <c r="U836" s="172">
        <v>363.59</v>
      </c>
      <c r="V836" s="173">
        <v>8.657</v>
      </c>
      <c r="X836" s="30">
        <v>82.6</v>
      </c>
      <c r="Y836" s="34">
        <v>2.4557000000000002</v>
      </c>
      <c r="Z836" s="35">
        <v>0.10314</v>
      </c>
      <c r="AA836" s="36"/>
      <c r="AB836" s="30">
        <v>82.6</v>
      </c>
      <c r="AC836" s="44">
        <v>407.22</v>
      </c>
      <c r="AD836" s="35">
        <v>9.6959999999999997</v>
      </c>
      <c r="AE836" s="36"/>
      <c r="AF836" s="30">
        <v>82.6</v>
      </c>
      <c r="AG836" s="34">
        <v>2.4950999999999999</v>
      </c>
      <c r="AH836" s="35">
        <v>0.10478999999999999</v>
      </c>
      <c r="AI836" s="35"/>
      <c r="AJ836" s="35">
        <v>0.16768</v>
      </c>
      <c r="AK836" s="998">
        <v>2.4</v>
      </c>
      <c r="AM836" s="30">
        <v>82.6</v>
      </c>
      <c r="AN836" s="34">
        <v>1.3752</v>
      </c>
      <c r="AO836" s="35">
        <v>1.5402</v>
      </c>
      <c r="BX836" s="43"/>
      <c r="BY836" s="34"/>
      <c r="BZ836" s="59"/>
      <c r="CB836" s="43"/>
      <c r="CC836" s="34"/>
      <c r="CD836" s="59"/>
      <c r="CL836" s="43"/>
      <c r="CM836" s="34"/>
      <c r="CN836" s="59"/>
      <c r="CP836" s="43"/>
      <c r="CQ836" s="34"/>
      <c r="CR836" s="59"/>
      <c r="CT836" s="43"/>
      <c r="CU836" s="34"/>
      <c r="CV836" s="59"/>
    </row>
    <row r="837" spans="4:100">
      <c r="D837" s="30">
        <v>82.7</v>
      </c>
      <c r="E837" s="31">
        <v>0.66059999999999997</v>
      </c>
      <c r="F837" s="32">
        <v>660.5</v>
      </c>
      <c r="G837" s="33"/>
      <c r="H837" s="30">
        <v>82.7</v>
      </c>
      <c r="I837" s="34">
        <v>3.7823000000000002</v>
      </c>
      <c r="J837" s="35">
        <v>0.15886</v>
      </c>
      <c r="L837" s="30">
        <v>82.7</v>
      </c>
      <c r="M837" s="172">
        <v>5.4980000000000002</v>
      </c>
      <c r="N837" s="173">
        <v>0.18187999999999999</v>
      </c>
      <c r="P837" s="30">
        <v>82.7</v>
      </c>
      <c r="Q837" s="172">
        <v>2.7490999999999999</v>
      </c>
      <c r="R837" s="173">
        <v>0.11545999999999999</v>
      </c>
      <c r="T837" s="30">
        <v>82.7</v>
      </c>
      <c r="U837" s="172">
        <v>363.76</v>
      </c>
      <c r="V837" s="173">
        <v>8.6609999999999996</v>
      </c>
      <c r="X837" s="30">
        <v>82.7</v>
      </c>
      <c r="Y837" s="34">
        <v>2.4544999999999999</v>
      </c>
      <c r="Z837" s="35">
        <v>0.10309</v>
      </c>
      <c r="AA837" s="36"/>
      <c r="AB837" s="30">
        <v>82.7</v>
      </c>
      <c r="AC837" s="44">
        <v>407.41</v>
      </c>
      <c r="AD837" s="35">
        <v>9.6999999999999993</v>
      </c>
      <c r="AE837" s="36"/>
      <c r="AF837" s="30">
        <v>82.7</v>
      </c>
      <c r="AG837" s="34">
        <v>2.4939</v>
      </c>
      <c r="AH837" s="35">
        <v>0.10474</v>
      </c>
      <c r="AI837" s="35"/>
      <c r="AJ837" s="35">
        <v>0.1678</v>
      </c>
      <c r="AK837" s="998">
        <v>2.2999999999999998</v>
      </c>
      <c r="AM837" s="30">
        <v>82.7</v>
      </c>
      <c r="AN837" s="34">
        <v>1.3758999999999999</v>
      </c>
      <c r="AO837" s="35">
        <v>1.5409999999999999</v>
      </c>
      <c r="BX837" s="43"/>
      <c r="BY837" s="34"/>
      <c r="BZ837" s="59"/>
      <c r="CB837" s="43"/>
      <c r="CC837" s="34"/>
      <c r="CD837" s="59"/>
      <c r="CL837" s="43"/>
      <c r="CM837" s="34"/>
      <c r="CN837" s="59"/>
      <c r="CP837" s="43"/>
      <c r="CQ837" s="34"/>
      <c r="CR837" s="59"/>
      <c r="CT837" s="43"/>
      <c r="CU837" s="34"/>
      <c r="CV837" s="59"/>
    </row>
    <row r="838" spans="4:100">
      <c r="D838" s="30">
        <v>82.8</v>
      </c>
      <c r="E838" s="31">
        <v>0.6603</v>
      </c>
      <c r="F838" s="32">
        <v>660.2</v>
      </c>
      <c r="G838" s="33"/>
      <c r="H838" s="30">
        <v>82.8</v>
      </c>
      <c r="I838" s="34">
        <v>3.7823000000000002</v>
      </c>
      <c r="J838" s="35">
        <v>0.15886</v>
      </c>
      <c r="L838" s="30">
        <v>82.8</v>
      </c>
      <c r="M838" s="172">
        <v>5.4960000000000004</v>
      </c>
      <c r="N838" s="173">
        <v>0.18196000000000001</v>
      </c>
      <c r="P838" s="30">
        <v>82.8</v>
      </c>
      <c r="Q838" s="172">
        <v>2.7477999999999998</v>
      </c>
      <c r="R838" s="173">
        <v>0.11541</v>
      </c>
      <c r="T838" s="30">
        <v>82.8</v>
      </c>
      <c r="U838" s="172">
        <v>363.93</v>
      </c>
      <c r="V838" s="173">
        <v>8.6649999999999991</v>
      </c>
      <c r="X838" s="30">
        <v>82.8</v>
      </c>
      <c r="Y838" s="34">
        <v>2.4533999999999998</v>
      </c>
      <c r="Z838" s="35">
        <v>0.10304000000000001</v>
      </c>
      <c r="AA838" s="36"/>
      <c r="AB838" s="30">
        <v>82.8</v>
      </c>
      <c r="AC838" s="44">
        <v>407.6</v>
      </c>
      <c r="AD838" s="35">
        <v>9.7050000000000001</v>
      </c>
      <c r="AE838" s="36"/>
      <c r="AF838" s="30">
        <v>82.8</v>
      </c>
      <c r="AG838" s="34">
        <v>2.4927999999999999</v>
      </c>
      <c r="AH838" s="35">
        <v>0.1047</v>
      </c>
      <c r="AI838" s="35"/>
      <c r="AJ838" s="35">
        <v>0.16793</v>
      </c>
      <c r="AK838" s="998">
        <v>2.2000000000000002</v>
      </c>
      <c r="AM838" s="30">
        <v>82.8</v>
      </c>
      <c r="AN838" s="34">
        <v>1.3765000000000001</v>
      </c>
      <c r="AO838" s="35">
        <v>1.5417000000000001</v>
      </c>
      <c r="BX838" s="43"/>
      <c r="BY838" s="34"/>
      <c r="BZ838" s="59"/>
      <c r="CB838" s="43"/>
      <c r="CC838" s="34"/>
      <c r="CD838" s="59"/>
      <c r="CL838" s="43"/>
      <c r="CM838" s="34"/>
      <c r="CN838" s="59"/>
      <c r="CP838" s="43"/>
      <c r="CQ838" s="34"/>
      <c r="CR838" s="59"/>
      <c r="CT838" s="43"/>
      <c r="CU838" s="34"/>
      <c r="CV838" s="59"/>
    </row>
    <row r="839" spans="4:100">
      <c r="D839" s="30">
        <v>82.9</v>
      </c>
      <c r="E839" s="31">
        <v>0.66</v>
      </c>
      <c r="F839" s="32">
        <v>659.9</v>
      </c>
      <c r="G839" s="33"/>
      <c r="H839" s="30">
        <v>82.9</v>
      </c>
      <c r="I839" s="34">
        <v>3.7823000000000002</v>
      </c>
      <c r="J839" s="35">
        <v>0.15886</v>
      </c>
      <c r="L839" s="30">
        <v>82.9</v>
      </c>
      <c r="M839" s="172">
        <v>5.4930000000000003</v>
      </c>
      <c r="N839" s="173">
        <v>0.18204999999999999</v>
      </c>
      <c r="P839" s="30">
        <v>82.9</v>
      </c>
      <c r="Q839" s="172">
        <v>2.7465000000000002</v>
      </c>
      <c r="R839" s="173">
        <v>0.11534999999999999</v>
      </c>
      <c r="T839" s="30">
        <v>82.9</v>
      </c>
      <c r="U839" s="172">
        <v>364.1</v>
      </c>
      <c r="V839" s="173">
        <v>8.6690000000000005</v>
      </c>
      <c r="X839" s="30">
        <v>82.9</v>
      </c>
      <c r="Y839" s="34">
        <v>2.4521999999999999</v>
      </c>
      <c r="Z839" s="35">
        <v>0.10299</v>
      </c>
      <c r="AA839" s="36"/>
      <c r="AB839" s="30">
        <v>82.9</v>
      </c>
      <c r="AC839" s="44">
        <v>407.79</v>
      </c>
      <c r="AD839" s="35">
        <v>9.7089999999999996</v>
      </c>
      <c r="AE839" s="36"/>
      <c r="AF839" s="30">
        <v>82.9</v>
      </c>
      <c r="AG839" s="34">
        <v>2.4916</v>
      </c>
      <c r="AH839" s="35">
        <v>0.10465000000000001</v>
      </c>
      <c r="AI839" s="35"/>
      <c r="AJ839" s="35">
        <v>0.16805</v>
      </c>
      <c r="AK839" s="998">
        <v>2.1</v>
      </c>
      <c r="AM839" s="30">
        <v>82.9</v>
      </c>
      <c r="AN839" s="34">
        <v>1.3771</v>
      </c>
      <c r="AO839" s="35">
        <v>1.5424</v>
      </c>
      <c r="BX839" s="43"/>
      <c r="BY839" s="34"/>
      <c r="BZ839" s="59"/>
      <c r="CB839" s="43"/>
      <c r="CC839" s="34"/>
      <c r="CD839" s="59"/>
      <c r="CL839" s="43"/>
      <c r="CM839" s="34"/>
      <c r="CN839" s="59"/>
      <c r="CP839" s="43"/>
      <c r="CQ839" s="34"/>
      <c r="CR839" s="59"/>
      <c r="CT839" s="43"/>
      <c r="CU839" s="34"/>
      <c r="CV839" s="59"/>
    </row>
    <row r="840" spans="4:100">
      <c r="D840" s="30">
        <v>83</v>
      </c>
      <c r="E840" s="31">
        <v>0.65969999999999995</v>
      </c>
      <c r="F840" s="32">
        <v>659.6</v>
      </c>
      <c r="G840" s="33"/>
      <c r="H840" s="30">
        <v>83</v>
      </c>
      <c r="I840" s="34">
        <v>3.7823000000000002</v>
      </c>
      <c r="J840" s="35">
        <v>0.15886</v>
      </c>
      <c r="L840" s="30">
        <v>83</v>
      </c>
      <c r="M840" s="172">
        <v>5.49</v>
      </c>
      <c r="N840" s="173">
        <v>0.18212999999999999</v>
      </c>
      <c r="P840" s="30">
        <v>83</v>
      </c>
      <c r="Q840" s="172">
        <v>2.7452000000000001</v>
      </c>
      <c r="R840" s="173">
        <v>0.1153</v>
      </c>
      <c r="T840" s="30">
        <v>83</v>
      </c>
      <c r="U840" s="172">
        <v>364.27</v>
      </c>
      <c r="V840" s="173">
        <v>8.673</v>
      </c>
      <c r="X840" s="30">
        <v>83</v>
      </c>
      <c r="Y840" s="34">
        <v>2.4510999999999998</v>
      </c>
      <c r="Z840" s="35">
        <v>0.10295</v>
      </c>
      <c r="AA840" s="36"/>
      <c r="AB840" s="30">
        <v>83</v>
      </c>
      <c r="AC840" s="44">
        <v>407.98</v>
      </c>
      <c r="AD840" s="35">
        <v>9.7140000000000004</v>
      </c>
      <c r="AE840" s="36"/>
      <c r="AF840" s="30">
        <v>83</v>
      </c>
      <c r="AG840" s="34">
        <v>2.4904000000000002</v>
      </c>
      <c r="AH840" s="35">
        <v>0.1046</v>
      </c>
      <c r="AI840" s="35"/>
      <c r="AJ840" s="35">
        <v>0.16818</v>
      </c>
      <c r="AK840" s="998">
        <v>2</v>
      </c>
      <c r="AM840" s="30">
        <v>83</v>
      </c>
      <c r="AN840" s="34">
        <v>1.3777999999999999</v>
      </c>
      <c r="AO840" s="35">
        <v>1.5430999999999999</v>
      </c>
      <c r="BX840" s="43"/>
      <c r="BY840" s="34"/>
      <c r="BZ840" s="59"/>
      <c r="CB840" s="43"/>
      <c r="CC840" s="34"/>
      <c r="CD840" s="59"/>
      <c r="CL840" s="43"/>
      <c r="CM840" s="34"/>
      <c r="CN840" s="59"/>
      <c r="CP840" s="43"/>
      <c r="CQ840" s="34"/>
      <c r="CR840" s="59"/>
      <c r="CT840" s="43"/>
      <c r="CU840" s="34"/>
      <c r="CV840" s="59"/>
    </row>
    <row r="841" spans="4:100">
      <c r="D841" s="30">
        <v>83.1</v>
      </c>
      <c r="E841" s="31">
        <v>0.65939999999999999</v>
      </c>
      <c r="F841" s="32">
        <v>659.3</v>
      </c>
      <c r="G841" s="33"/>
      <c r="H841" s="30">
        <v>83.1</v>
      </c>
      <c r="I841" s="34">
        <v>3.7823000000000002</v>
      </c>
      <c r="J841" s="35">
        <v>0.15886</v>
      </c>
      <c r="L841" s="30">
        <v>83.1</v>
      </c>
      <c r="M841" s="172">
        <v>5.4880000000000004</v>
      </c>
      <c r="N841" s="173">
        <v>0.18221999999999999</v>
      </c>
      <c r="P841" s="30">
        <v>83.1</v>
      </c>
      <c r="Q841" s="172">
        <v>2.7439</v>
      </c>
      <c r="R841" s="173">
        <v>0.11525000000000001</v>
      </c>
      <c r="T841" s="30">
        <v>83.1</v>
      </c>
      <c r="U841" s="172">
        <v>364.44</v>
      </c>
      <c r="V841" s="173">
        <v>8.6769999999999996</v>
      </c>
      <c r="X841" s="30">
        <v>83.1</v>
      </c>
      <c r="Y841" s="34">
        <v>2.4499</v>
      </c>
      <c r="Z841" s="35">
        <v>0.10290000000000001</v>
      </c>
      <c r="AA841" s="36"/>
      <c r="AB841" s="30">
        <v>83.1</v>
      </c>
      <c r="AC841" s="44">
        <v>408.17</v>
      </c>
      <c r="AD841" s="35">
        <v>9.718</v>
      </c>
      <c r="AE841" s="36"/>
      <c r="AF841" s="30">
        <v>83.1</v>
      </c>
      <c r="AG841" s="34">
        <v>2.4893000000000001</v>
      </c>
      <c r="AH841" s="35">
        <v>0.10455</v>
      </c>
      <c r="AI841" s="35"/>
      <c r="AJ841" s="35">
        <v>0.16830999999999999</v>
      </c>
      <c r="AK841" s="998">
        <v>1.9</v>
      </c>
      <c r="AM841" s="30">
        <v>83.1</v>
      </c>
      <c r="AN841" s="34">
        <v>1.3784000000000001</v>
      </c>
      <c r="AO841" s="35">
        <v>1.5438000000000001</v>
      </c>
      <c r="BX841" s="43"/>
      <c r="BY841" s="34"/>
      <c r="BZ841" s="59"/>
      <c r="CB841" s="43"/>
      <c r="CC841" s="34"/>
      <c r="CD841" s="59"/>
      <c r="CL841" s="43"/>
      <c r="CM841" s="34"/>
      <c r="CN841" s="59"/>
      <c r="CP841" s="43"/>
      <c r="CQ841" s="34"/>
      <c r="CR841" s="59"/>
      <c r="CT841" s="43"/>
      <c r="CU841" s="34"/>
      <c r="CV841" s="59"/>
    </row>
    <row r="842" spans="4:100">
      <c r="D842" s="30">
        <v>83.2</v>
      </c>
      <c r="E842" s="31">
        <v>0.65910000000000002</v>
      </c>
      <c r="F842" s="32">
        <v>658.9</v>
      </c>
      <c r="G842" s="33"/>
      <c r="H842" s="30">
        <v>83.2</v>
      </c>
      <c r="I842" s="34">
        <v>3.7823000000000002</v>
      </c>
      <c r="J842" s="35">
        <v>0.15886</v>
      </c>
      <c r="L842" s="30">
        <v>83.2</v>
      </c>
      <c r="M842" s="172">
        <v>5.4850000000000003</v>
      </c>
      <c r="N842" s="173">
        <v>0.18229999999999999</v>
      </c>
      <c r="P842" s="30">
        <v>83.2</v>
      </c>
      <c r="Q842" s="172">
        <v>2.7427000000000001</v>
      </c>
      <c r="R842" s="173">
        <v>0.11519</v>
      </c>
      <c r="T842" s="30">
        <v>83.2</v>
      </c>
      <c r="U842" s="172">
        <v>364.61</v>
      </c>
      <c r="V842" s="173">
        <v>8.6809999999999992</v>
      </c>
      <c r="X842" s="30">
        <v>83.2</v>
      </c>
      <c r="Y842" s="34">
        <v>2.4487999999999999</v>
      </c>
      <c r="Z842" s="35">
        <v>0.10285000000000001</v>
      </c>
      <c r="AA842" s="36"/>
      <c r="AB842" s="30">
        <v>83.2</v>
      </c>
      <c r="AC842" s="44">
        <v>408.36</v>
      </c>
      <c r="AD842" s="35">
        <v>9.7230000000000008</v>
      </c>
      <c r="AE842" s="36"/>
      <c r="AF842" s="30">
        <v>83.2</v>
      </c>
      <c r="AG842" s="34">
        <v>2.4881000000000002</v>
      </c>
      <c r="AH842" s="35">
        <v>0.1045</v>
      </c>
      <c r="AI842" s="35"/>
      <c r="AJ842" s="35">
        <v>0.16843</v>
      </c>
      <c r="AK842" s="998">
        <v>1.8</v>
      </c>
      <c r="AM842" s="30">
        <v>83.2</v>
      </c>
      <c r="AN842" s="34">
        <v>1.3791</v>
      </c>
      <c r="AO842" s="35">
        <v>1.5446</v>
      </c>
      <c r="BX842" s="43"/>
      <c r="BY842" s="34"/>
      <c r="BZ842" s="59"/>
      <c r="CB842" s="43"/>
      <c r="CC842" s="34"/>
      <c r="CD842" s="59"/>
      <c r="CL842" s="43"/>
      <c r="CM842" s="34"/>
      <c r="CN842" s="59"/>
      <c r="CP842" s="43"/>
      <c r="CQ842" s="34"/>
      <c r="CR842" s="59"/>
      <c r="CT842" s="43"/>
      <c r="CU842" s="34"/>
      <c r="CV842" s="59"/>
    </row>
    <row r="843" spans="4:100">
      <c r="D843" s="30">
        <v>83.3</v>
      </c>
      <c r="E843" s="31">
        <v>0.65880000000000005</v>
      </c>
      <c r="F843" s="32">
        <v>658.6</v>
      </c>
      <c r="G843" s="33"/>
      <c r="H843" s="30">
        <v>83.3</v>
      </c>
      <c r="I843" s="34">
        <v>3.7823000000000002</v>
      </c>
      <c r="J843" s="35">
        <v>0.15886</v>
      </c>
      <c r="L843" s="30">
        <v>83.3</v>
      </c>
      <c r="M843" s="172">
        <v>5.4829999999999997</v>
      </c>
      <c r="N843" s="173">
        <v>0.18239</v>
      </c>
      <c r="P843" s="30">
        <v>83.3</v>
      </c>
      <c r="Q843" s="172">
        <v>2.7414000000000001</v>
      </c>
      <c r="R843" s="173">
        <v>0.11514000000000001</v>
      </c>
      <c r="T843" s="30">
        <v>83.3</v>
      </c>
      <c r="U843" s="172">
        <v>364.78</v>
      </c>
      <c r="V843" s="173">
        <v>8.6850000000000005</v>
      </c>
      <c r="X843" s="30">
        <v>83.3</v>
      </c>
      <c r="Y843" s="34">
        <v>2.4477000000000002</v>
      </c>
      <c r="Z843" s="35">
        <v>0.10280000000000002</v>
      </c>
      <c r="AA843" s="36"/>
      <c r="AB843" s="30">
        <v>83.3</v>
      </c>
      <c r="AC843" s="44">
        <v>408.55</v>
      </c>
      <c r="AD843" s="35">
        <v>9.7270000000000003</v>
      </c>
      <c r="AE843" s="36"/>
      <c r="AF843" s="30">
        <v>83.3</v>
      </c>
      <c r="AG843" s="34">
        <v>2.4868999999999999</v>
      </c>
      <c r="AH843" s="35">
        <v>0.10445</v>
      </c>
      <c r="AI843" s="35"/>
      <c r="AJ843" s="35">
        <v>0.16855999999999999</v>
      </c>
      <c r="AK843" s="998">
        <v>1.7</v>
      </c>
      <c r="AM843" s="30">
        <v>83.3</v>
      </c>
      <c r="AN843" s="34">
        <v>1.3796999999999999</v>
      </c>
      <c r="AO843" s="35">
        <v>1.5452999999999999</v>
      </c>
      <c r="BX843" s="43"/>
      <c r="BY843" s="34"/>
      <c r="BZ843" s="59"/>
      <c r="CB843" s="43"/>
      <c r="CC843" s="34"/>
      <c r="CD843" s="59"/>
      <c r="CL843" s="43"/>
      <c r="CM843" s="34"/>
      <c r="CN843" s="59"/>
      <c r="CP843" s="43"/>
      <c r="CQ843" s="34"/>
      <c r="CR843" s="59"/>
      <c r="CT843" s="43"/>
      <c r="CU843" s="34"/>
      <c r="CV843" s="59"/>
    </row>
    <row r="844" spans="4:100">
      <c r="D844" s="30">
        <v>83.4</v>
      </c>
      <c r="E844" s="31">
        <v>0.65839999999999999</v>
      </c>
      <c r="F844" s="32">
        <v>658.3</v>
      </c>
      <c r="G844" s="33"/>
      <c r="H844" s="30">
        <v>83.4</v>
      </c>
      <c r="I844" s="34">
        <v>3.7823000000000002</v>
      </c>
      <c r="J844" s="35">
        <v>0.15886</v>
      </c>
      <c r="L844" s="30">
        <v>83.4</v>
      </c>
      <c r="M844" s="172">
        <v>5.48</v>
      </c>
      <c r="N844" s="173">
        <v>0.18246999999999999</v>
      </c>
      <c r="P844" s="30">
        <v>83.4</v>
      </c>
      <c r="Q844" s="172">
        <v>2.7401</v>
      </c>
      <c r="R844" s="173">
        <v>0.11508</v>
      </c>
      <c r="T844" s="30">
        <v>83.4</v>
      </c>
      <c r="U844" s="172">
        <v>364.95</v>
      </c>
      <c r="V844" s="173">
        <v>8.6889999999999894</v>
      </c>
      <c r="X844" s="30">
        <v>83.4</v>
      </c>
      <c r="Y844" s="34">
        <v>2.4464999999999999</v>
      </c>
      <c r="Z844" s="35">
        <v>0.10275000000000002</v>
      </c>
      <c r="AA844" s="36"/>
      <c r="AB844" s="30">
        <v>83.4</v>
      </c>
      <c r="AC844" s="44">
        <v>408.74</v>
      </c>
      <c r="AD844" s="35">
        <v>9.7319999999999993</v>
      </c>
      <c r="AE844" s="36"/>
      <c r="AF844" s="30">
        <v>83.4</v>
      </c>
      <c r="AG844" s="34">
        <v>2.4857999999999998</v>
      </c>
      <c r="AH844" s="35">
        <v>0.10440000000000001</v>
      </c>
      <c r="AI844" s="35"/>
      <c r="AJ844" s="35">
        <v>0.16869000000000001</v>
      </c>
      <c r="AK844" s="998">
        <v>1.6</v>
      </c>
      <c r="AM844" s="30">
        <v>83.4</v>
      </c>
      <c r="AN844" s="34">
        <v>1.3804000000000001</v>
      </c>
      <c r="AO844" s="35">
        <v>1.546</v>
      </c>
      <c r="BX844" s="43"/>
      <c r="BY844" s="34"/>
      <c r="BZ844" s="59"/>
      <c r="CB844" s="43"/>
      <c r="CC844" s="34"/>
      <c r="CD844" s="59"/>
      <c r="CL844" s="43"/>
      <c r="CM844" s="34"/>
      <c r="CN844" s="59"/>
      <c r="CP844" s="43"/>
      <c r="CQ844" s="34"/>
      <c r="CR844" s="59"/>
      <c r="CT844" s="43"/>
      <c r="CU844" s="34"/>
      <c r="CV844" s="59"/>
    </row>
    <row r="845" spans="4:100">
      <c r="D845" s="30">
        <v>83.5</v>
      </c>
      <c r="E845" s="31">
        <v>0.65810000000000002</v>
      </c>
      <c r="F845" s="32">
        <v>658</v>
      </c>
      <c r="G845" s="33"/>
      <c r="H845" s="30">
        <v>83.5</v>
      </c>
      <c r="I845" s="34">
        <v>3.7823000000000002</v>
      </c>
      <c r="J845" s="35">
        <v>0.15886</v>
      </c>
      <c r="L845" s="30">
        <v>83.5</v>
      </c>
      <c r="M845" s="172">
        <v>5.4779999999999998</v>
      </c>
      <c r="N845" s="173">
        <v>0.18256</v>
      </c>
      <c r="P845" s="30">
        <v>83.5</v>
      </c>
      <c r="Q845" s="172">
        <v>2.7387999999999999</v>
      </c>
      <c r="R845" s="173">
        <v>0.11502999999999999</v>
      </c>
      <c r="T845" s="30">
        <v>83.5</v>
      </c>
      <c r="U845" s="172">
        <v>365.11999999999898</v>
      </c>
      <c r="V845" s="173">
        <v>8.6929999999999907</v>
      </c>
      <c r="X845" s="30">
        <v>83.5</v>
      </c>
      <c r="Y845" s="34">
        <v>2.4453999999999998</v>
      </c>
      <c r="Z845" s="35">
        <v>0.10271</v>
      </c>
      <c r="AA845" s="36"/>
      <c r="AB845" s="30">
        <v>83.5</v>
      </c>
      <c r="AC845" s="44">
        <v>408.93</v>
      </c>
      <c r="AD845" s="35">
        <v>9.7370000000000001</v>
      </c>
      <c r="AE845" s="36"/>
      <c r="AF845" s="30">
        <v>83.5</v>
      </c>
      <c r="AG845" s="34">
        <v>2.4845999999999999</v>
      </c>
      <c r="AH845" s="35">
        <v>0.10435000000000001</v>
      </c>
      <c r="AI845" s="35"/>
      <c r="AJ845" s="35">
        <v>0.16880999999999999</v>
      </c>
      <c r="AK845" s="998">
        <v>1.5</v>
      </c>
      <c r="AM845" s="30">
        <v>83.5</v>
      </c>
      <c r="AN845" s="34">
        <v>1.381</v>
      </c>
      <c r="AO845" s="35">
        <v>1.5467</v>
      </c>
      <c r="BX845" s="43"/>
      <c r="BY845" s="34"/>
      <c r="BZ845" s="59"/>
      <c r="CB845" s="43"/>
      <c r="CC845" s="34"/>
      <c r="CD845" s="59"/>
      <c r="CL845" s="43"/>
      <c r="CM845" s="34"/>
      <c r="CN845" s="59"/>
      <c r="CP845" s="43"/>
      <c r="CQ845" s="34"/>
      <c r="CR845" s="59"/>
      <c r="CT845" s="43"/>
      <c r="CU845" s="34"/>
      <c r="CV845" s="59"/>
    </row>
    <row r="846" spans="4:100">
      <c r="D846" s="30">
        <v>83.6</v>
      </c>
      <c r="E846" s="31">
        <v>0.65780000000000005</v>
      </c>
      <c r="F846" s="32">
        <v>657.7</v>
      </c>
      <c r="G846" s="33"/>
      <c r="H846" s="30">
        <v>83.6</v>
      </c>
      <c r="I846" s="34">
        <v>3.7823000000000002</v>
      </c>
      <c r="J846" s="35">
        <v>0.15886</v>
      </c>
      <c r="L846" s="30">
        <v>83.6</v>
      </c>
      <c r="M846" s="172">
        <v>5.4749999999999996</v>
      </c>
      <c r="N846" s="173">
        <v>0.18265000000000001</v>
      </c>
      <c r="P846" s="30">
        <v>83.6</v>
      </c>
      <c r="Q846" s="172">
        <v>2.7374999999999998</v>
      </c>
      <c r="R846" s="173">
        <v>0.11498</v>
      </c>
      <c r="T846" s="30">
        <v>83.6</v>
      </c>
      <c r="U846" s="172">
        <v>365.289999999999</v>
      </c>
      <c r="V846" s="173">
        <v>8.6969999999999903</v>
      </c>
      <c r="X846" s="30">
        <v>83.6</v>
      </c>
      <c r="Y846" s="34">
        <v>2.4441999999999999</v>
      </c>
      <c r="Z846" s="35">
        <v>0.10266</v>
      </c>
      <c r="AA846" s="36"/>
      <c r="AB846" s="30">
        <v>83.6</v>
      </c>
      <c r="AC846" s="44">
        <v>409.12</v>
      </c>
      <c r="AD846" s="35">
        <v>9.7409999999999997</v>
      </c>
      <c r="AE846" s="36"/>
      <c r="AF846" s="30">
        <v>83.6</v>
      </c>
      <c r="AG846" s="34">
        <v>2.4834999999999998</v>
      </c>
      <c r="AH846" s="35">
        <v>0.10431</v>
      </c>
      <c r="AI846" s="35"/>
      <c r="AJ846" s="35">
        <v>0.16894000000000001</v>
      </c>
      <c r="AK846" s="998">
        <v>1.4</v>
      </c>
      <c r="AM846" s="30">
        <v>83.6</v>
      </c>
      <c r="AN846" s="34">
        <v>1.3815999999999999</v>
      </c>
      <c r="AO846" s="35">
        <v>1.5474000000000001</v>
      </c>
      <c r="BX846" s="43"/>
      <c r="BY846" s="34"/>
      <c r="BZ846" s="59"/>
      <c r="CB846" s="43"/>
      <c r="CC846" s="34"/>
      <c r="CD846" s="59"/>
      <c r="CL846" s="43"/>
      <c r="CM846" s="34"/>
      <c r="CN846" s="59"/>
      <c r="CP846" s="43"/>
      <c r="CQ846" s="34"/>
      <c r="CR846" s="59"/>
      <c r="CT846" s="43"/>
      <c r="CU846" s="34"/>
      <c r="CV846" s="59"/>
    </row>
    <row r="847" spans="4:100">
      <c r="D847" s="30">
        <v>83.7</v>
      </c>
      <c r="E847" s="31">
        <v>0.65749999999999997</v>
      </c>
      <c r="F847" s="32">
        <v>657.4</v>
      </c>
      <c r="G847" s="33"/>
      <c r="H847" s="30">
        <v>83.7</v>
      </c>
      <c r="I847" s="34">
        <v>3.7823000000000002</v>
      </c>
      <c r="J847" s="35">
        <v>0.15886</v>
      </c>
      <c r="L847" s="30">
        <v>83.7</v>
      </c>
      <c r="M847" s="172">
        <v>5.4729999999999999</v>
      </c>
      <c r="N847" s="173">
        <v>0.18273</v>
      </c>
      <c r="P847" s="30">
        <v>83.7</v>
      </c>
      <c r="Q847" s="172">
        <v>2.7363</v>
      </c>
      <c r="R847" s="173">
        <v>0.11491999999999999</v>
      </c>
      <c r="T847" s="30">
        <v>83.7</v>
      </c>
      <c r="U847" s="172">
        <v>365.45999999999702</v>
      </c>
      <c r="V847" s="173">
        <v>8.7009999999999899</v>
      </c>
      <c r="X847" s="30">
        <v>83.7</v>
      </c>
      <c r="Y847" s="34">
        <v>2.4430999999999998</v>
      </c>
      <c r="Z847" s="35">
        <v>0.10261000000000001</v>
      </c>
      <c r="AA847" s="36"/>
      <c r="AB847" s="30">
        <v>83.7</v>
      </c>
      <c r="AC847" s="44">
        <v>409.32</v>
      </c>
      <c r="AD847" s="35">
        <v>9.7460000000000004</v>
      </c>
      <c r="AE847" s="36"/>
      <c r="AF847" s="30">
        <v>83.7</v>
      </c>
      <c r="AG847" s="34">
        <v>2.4823</v>
      </c>
      <c r="AH847" s="35">
        <v>0.10426000000000001</v>
      </c>
      <c r="AI847" s="35"/>
      <c r="AJ847" s="35">
        <v>0.16907</v>
      </c>
      <c r="AK847" s="998">
        <v>1.3</v>
      </c>
      <c r="AM847" s="30">
        <v>83.7</v>
      </c>
      <c r="AN847" s="34">
        <v>1.3823000000000001</v>
      </c>
      <c r="AO847" s="35">
        <v>1.5482</v>
      </c>
      <c r="BX847" s="43"/>
      <c r="BY847" s="34"/>
      <c r="BZ847" s="59"/>
      <c r="CB847" s="43"/>
      <c r="CC847" s="34"/>
      <c r="CD847" s="59"/>
      <c r="CL847" s="43"/>
      <c r="CM847" s="34"/>
      <c r="CN847" s="59"/>
      <c r="CP847" s="43"/>
      <c r="CQ847" s="34"/>
      <c r="CR847" s="59"/>
      <c r="CT847" s="43"/>
      <c r="CU847" s="34"/>
      <c r="CV847" s="59"/>
    </row>
    <row r="848" spans="4:100">
      <c r="D848" s="30">
        <v>83.8</v>
      </c>
      <c r="E848" s="31">
        <v>0.65720000000000001</v>
      </c>
      <c r="F848" s="32">
        <v>657.1</v>
      </c>
      <c r="G848" s="33"/>
      <c r="H848" s="30">
        <v>83.8</v>
      </c>
      <c r="I848" s="34">
        <v>3.7823000000000002</v>
      </c>
      <c r="J848" s="35">
        <v>0.15886</v>
      </c>
      <c r="L848" s="30">
        <v>83.8</v>
      </c>
      <c r="M848" s="172">
        <v>5.47</v>
      </c>
      <c r="N848" s="173">
        <v>0.18282000000000001</v>
      </c>
      <c r="P848" s="30">
        <v>83.8</v>
      </c>
      <c r="Q848" s="172">
        <v>2.7349999999999999</v>
      </c>
      <c r="R848" s="173">
        <v>0.11487</v>
      </c>
      <c r="T848" s="30">
        <v>83.8</v>
      </c>
      <c r="U848" s="172">
        <v>365.62999999999602</v>
      </c>
      <c r="V848" s="173">
        <v>8.7049999999999894</v>
      </c>
      <c r="X848" s="30">
        <v>83.8</v>
      </c>
      <c r="Y848" s="34">
        <v>2.4420000000000002</v>
      </c>
      <c r="Z848" s="35">
        <v>0.10256</v>
      </c>
      <c r="AA848" s="36"/>
      <c r="AB848" s="30">
        <v>83.8</v>
      </c>
      <c r="AC848" s="44">
        <v>409.51</v>
      </c>
      <c r="AD848" s="35">
        <v>9.75</v>
      </c>
      <c r="AE848" s="36"/>
      <c r="AF848" s="30">
        <v>83.8</v>
      </c>
      <c r="AG848" s="34">
        <v>2.4811999999999999</v>
      </c>
      <c r="AH848" s="35">
        <v>0.10421000000000001</v>
      </c>
      <c r="AI848" s="35"/>
      <c r="AJ848" s="35">
        <v>0.16919000000000001</v>
      </c>
      <c r="AK848" s="998">
        <v>1.2</v>
      </c>
      <c r="AM848" s="30">
        <v>83.8</v>
      </c>
      <c r="AN848" s="34">
        <v>1.3829</v>
      </c>
      <c r="AO848" s="35">
        <v>1.5488999999999999</v>
      </c>
      <c r="BX848" s="43"/>
      <c r="BY848" s="34"/>
      <c r="BZ848" s="59"/>
      <c r="CB848" s="43"/>
      <c r="CC848" s="34"/>
      <c r="CD848" s="59"/>
      <c r="CL848" s="43"/>
      <c r="CM848" s="34"/>
      <c r="CN848" s="59"/>
      <c r="CP848" s="43"/>
      <c r="CQ848" s="34"/>
      <c r="CR848" s="59"/>
      <c r="CT848" s="43"/>
      <c r="CU848" s="34"/>
      <c r="CV848" s="59"/>
    </row>
    <row r="849" spans="4:100">
      <c r="D849" s="30">
        <v>83.9</v>
      </c>
      <c r="E849" s="31">
        <v>0.65690000000000004</v>
      </c>
      <c r="F849" s="32">
        <v>656.8</v>
      </c>
      <c r="G849" s="33"/>
      <c r="H849" s="30">
        <v>83.9</v>
      </c>
      <c r="I849" s="34">
        <v>3.7823000000000002</v>
      </c>
      <c r="J849" s="35">
        <v>0.15886</v>
      </c>
      <c r="L849" s="30">
        <v>83.9</v>
      </c>
      <c r="M849" s="172">
        <v>5.4669999999999996</v>
      </c>
      <c r="N849" s="173">
        <v>0.18290000000000001</v>
      </c>
      <c r="P849" s="30">
        <v>83.9</v>
      </c>
      <c r="Q849" s="172">
        <v>2.7336999999999998</v>
      </c>
      <c r="R849" s="173">
        <v>0.11482000000000001</v>
      </c>
      <c r="T849" s="30">
        <v>83.9</v>
      </c>
      <c r="U849" s="172">
        <v>365.79999999999501</v>
      </c>
      <c r="V849" s="173">
        <v>8.7100000000000009</v>
      </c>
      <c r="X849" s="30">
        <v>83.9</v>
      </c>
      <c r="Y849" s="34">
        <v>2.4407999999999999</v>
      </c>
      <c r="Z849" s="35">
        <v>0.10251</v>
      </c>
      <c r="AA849" s="36"/>
      <c r="AB849" s="30">
        <v>83.9</v>
      </c>
      <c r="AC849" s="44">
        <v>409.7</v>
      </c>
      <c r="AD849" s="35">
        <v>9.7550000000000008</v>
      </c>
      <c r="AE849" s="36"/>
      <c r="AF849" s="30">
        <v>83.9</v>
      </c>
      <c r="AG849" s="34">
        <v>2.48</v>
      </c>
      <c r="AH849" s="35">
        <v>0.10416000000000002</v>
      </c>
      <c r="AI849" s="35"/>
      <c r="AJ849" s="35">
        <v>0.16932</v>
      </c>
      <c r="AK849" s="998">
        <v>1.1000000000000001</v>
      </c>
      <c r="AM849" s="30">
        <v>83.9</v>
      </c>
      <c r="AN849" s="34">
        <v>1.3835999999999999</v>
      </c>
      <c r="AO849" s="35">
        <v>1.5496000000000001</v>
      </c>
      <c r="BX849" s="43"/>
      <c r="BY849" s="34"/>
      <c r="BZ849" s="59"/>
      <c r="CB849" s="43"/>
      <c r="CC849" s="34"/>
      <c r="CD849" s="59"/>
      <c r="CL849" s="43"/>
      <c r="CM849" s="34"/>
      <c r="CN849" s="59"/>
      <c r="CP849" s="43"/>
      <c r="CQ849" s="34"/>
      <c r="CR849" s="59"/>
      <c r="CT849" s="43"/>
      <c r="CU849" s="34"/>
      <c r="CV849" s="59"/>
    </row>
    <row r="850" spans="4:100">
      <c r="D850" s="30">
        <v>84</v>
      </c>
      <c r="E850" s="31">
        <v>0.65659999999999996</v>
      </c>
      <c r="F850" s="32">
        <v>656.5</v>
      </c>
      <c r="G850" s="33"/>
      <c r="H850" s="30">
        <v>84</v>
      </c>
      <c r="I850" s="34">
        <v>3.7823000000000002</v>
      </c>
      <c r="J850" s="35">
        <v>0.15886</v>
      </c>
      <c r="L850" s="30">
        <v>84</v>
      </c>
      <c r="M850" s="172">
        <v>5.4649999999999999</v>
      </c>
      <c r="N850" s="173">
        <v>0.18299000000000001</v>
      </c>
      <c r="P850" s="30">
        <v>84</v>
      </c>
      <c r="Q850" s="172">
        <v>2.7324999999999999</v>
      </c>
      <c r="R850" s="173">
        <v>0.11476</v>
      </c>
      <c r="T850" s="30">
        <v>84</v>
      </c>
      <c r="U850" s="172">
        <v>365.969999999994</v>
      </c>
      <c r="V850" s="173">
        <v>8.7140000000000004</v>
      </c>
      <c r="X850" s="30">
        <v>84</v>
      </c>
      <c r="Y850" s="34">
        <v>2.4397000000000002</v>
      </c>
      <c r="Z850" s="35">
        <v>0.10247000000000001</v>
      </c>
      <c r="AA850" s="36"/>
      <c r="AB850" s="30">
        <v>84</v>
      </c>
      <c r="AC850" s="44">
        <v>409.89</v>
      </c>
      <c r="AD850" s="35">
        <v>9.7590000000000003</v>
      </c>
      <c r="AE850" s="36"/>
      <c r="AF850" s="30">
        <v>84</v>
      </c>
      <c r="AG850" s="34">
        <v>2.4788000000000001</v>
      </c>
      <c r="AH850" s="35">
        <v>0.10411000000000002</v>
      </c>
      <c r="AI850" s="35"/>
      <c r="AJ850" s="35">
        <v>0.16944999999999999</v>
      </c>
      <c r="AK850" s="998">
        <v>1</v>
      </c>
      <c r="AM850" s="30">
        <v>84</v>
      </c>
      <c r="AN850" s="34">
        <v>1.3842000000000001</v>
      </c>
      <c r="AO850" s="35">
        <v>1.5503</v>
      </c>
      <c r="BX850" s="43"/>
      <c r="BY850" s="34"/>
      <c r="BZ850" s="59"/>
      <c r="CB850" s="43"/>
      <c r="CC850" s="34"/>
      <c r="CD850" s="59"/>
      <c r="CL850" s="43"/>
      <c r="CM850" s="34"/>
      <c r="CN850" s="59"/>
      <c r="CP850" s="43"/>
      <c r="CQ850" s="34"/>
      <c r="CR850" s="59"/>
      <c r="CT850" s="43"/>
      <c r="CU850" s="34"/>
      <c r="CV850" s="59"/>
    </row>
    <row r="851" spans="4:100">
      <c r="D851" s="30">
        <v>84.1</v>
      </c>
      <c r="E851" s="31">
        <v>0.65629999999999999</v>
      </c>
      <c r="F851" s="32">
        <v>656.2</v>
      </c>
      <c r="G851" s="33"/>
      <c r="H851" s="30">
        <v>84.1</v>
      </c>
      <c r="I851" s="34">
        <v>3.7823000000000002</v>
      </c>
      <c r="J851" s="35">
        <v>0.15886</v>
      </c>
      <c r="L851" s="30">
        <v>84.1</v>
      </c>
      <c r="M851" s="172">
        <v>5.4619999999999997</v>
      </c>
      <c r="N851" s="173">
        <v>0.18307000000000001</v>
      </c>
      <c r="P851" s="30">
        <v>84.1</v>
      </c>
      <c r="Q851" s="172">
        <v>2.7311999999999999</v>
      </c>
      <c r="R851" s="173">
        <v>0.11471000000000001</v>
      </c>
      <c r="T851" s="30">
        <v>84.1</v>
      </c>
      <c r="U851" s="172">
        <v>366.13999999999299</v>
      </c>
      <c r="V851" s="173">
        <v>8.718</v>
      </c>
      <c r="X851" s="30">
        <v>84.1</v>
      </c>
      <c r="Y851" s="34">
        <v>2.4386000000000001</v>
      </c>
      <c r="Z851" s="35">
        <v>0.10242</v>
      </c>
      <c r="AA851" s="36"/>
      <c r="AB851" s="30">
        <v>84.1</v>
      </c>
      <c r="AC851" s="44">
        <v>410.08</v>
      </c>
      <c r="AD851" s="35">
        <v>9.7639999999999993</v>
      </c>
      <c r="AE851" s="36"/>
      <c r="AF851" s="30">
        <v>84.1</v>
      </c>
      <c r="AG851" s="34">
        <v>2.4777</v>
      </c>
      <c r="AH851" s="35">
        <v>0.10406000000000003</v>
      </c>
      <c r="AI851" s="35"/>
      <c r="AJ851" s="35">
        <v>0.16958000000000001</v>
      </c>
      <c r="AK851" s="998">
        <v>0.9</v>
      </c>
      <c r="AM851" s="30">
        <v>84.1</v>
      </c>
      <c r="AN851" s="34">
        <v>1.3849</v>
      </c>
      <c r="AO851" s="35">
        <v>1.5509999999999999</v>
      </c>
      <c r="BX851" s="43"/>
      <c r="BY851" s="34"/>
      <c r="BZ851" s="59"/>
      <c r="CB851" s="43"/>
      <c r="CC851" s="34"/>
      <c r="CD851" s="59"/>
      <c r="CL851" s="43"/>
      <c r="CM851" s="34"/>
      <c r="CN851" s="59"/>
      <c r="CP851" s="43"/>
      <c r="CQ851" s="34"/>
      <c r="CR851" s="59"/>
      <c r="CT851" s="43"/>
      <c r="CU851" s="34"/>
      <c r="CV851" s="59"/>
    </row>
    <row r="852" spans="4:100">
      <c r="D852" s="30">
        <v>84.2</v>
      </c>
      <c r="E852" s="31">
        <v>0.65600000000000003</v>
      </c>
      <c r="F852" s="32">
        <v>655.9</v>
      </c>
      <c r="G852" s="33"/>
      <c r="H852" s="30">
        <v>84.2</v>
      </c>
      <c r="I852" s="34">
        <v>3.7823000000000002</v>
      </c>
      <c r="J852" s="35">
        <v>0.15886</v>
      </c>
      <c r="L852" s="30">
        <v>84.2</v>
      </c>
      <c r="M852" s="172">
        <v>5.46</v>
      </c>
      <c r="N852" s="173">
        <v>0.18315999999999999</v>
      </c>
      <c r="P852" s="30">
        <v>84.2</v>
      </c>
      <c r="Q852" s="172">
        <v>2.7299000000000002</v>
      </c>
      <c r="R852" s="173">
        <v>0.11466</v>
      </c>
      <c r="T852" s="30">
        <v>84.2</v>
      </c>
      <c r="U852" s="172">
        <v>366.30999999999199</v>
      </c>
      <c r="V852" s="173">
        <v>8.7219999999999995</v>
      </c>
      <c r="X852" s="30">
        <v>84.2</v>
      </c>
      <c r="Y852" s="34">
        <v>2.4373999999999998</v>
      </c>
      <c r="Z852" s="35">
        <v>0.10237</v>
      </c>
      <c r="AA852" s="36"/>
      <c r="AB852" s="30">
        <v>84.2</v>
      </c>
      <c r="AC852" s="44">
        <v>410.27</v>
      </c>
      <c r="AD852" s="35">
        <v>9.7680000000000007</v>
      </c>
      <c r="AE852" s="36"/>
      <c r="AF852" s="30">
        <v>84.2</v>
      </c>
      <c r="AG852" s="34">
        <v>2.4765000000000001</v>
      </c>
      <c r="AH852" s="35">
        <v>0.10401000000000003</v>
      </c>
      <c r="AI852" s="35"/>
      <c r="AJ852" s="35">
        <v>0.16971</v>
      </c>
      <c r="AK852" s="998">
        <v>0.8</v>
      </c>
      <c r="AM852" s="30">
        <v>84.2</v>
      </c>
      <c r="AN852" s="34">
        <v>1.3855</v>
      </c>
      <c r="AO852" s="35">
        <v>1.5518000000000001</v>
      </c>
      <c r="BX852" s="43"/>
      <c r="BY852" s="34"/>
      <c r="BZ852" s="59"/>
      <c r="CB852" s="43"/>
      <c r="CC852" s="34"/>
      <c r="CD852" s="59"/>
      <c r="CL852" s="43"/>
      <c r="CM852" s="34"/>
      <c r="CN852" s="59"/>
      <c r="CP852" s="43"/>
      <c r="CQ852" s="34"/>
      <c r="CR852" s="59"/>
      <c r="CT852" s="43"/>
      <c r="CU852" s="34"/>
      <c r="CV852" s="59"/>
    </row>
    <row r="853" spans="4:100">
      <c r="D853" s="30">
        <v>84.3</v>
      </c>
      <c r="E853" s="31">
        <v>0.65569999999999995</v>
      </c>
      <c r="F853" s="32">
        <v>655.6</v>
      </c>
      <c r="G853" s="33"/>
      <c r="H853" s="30">
        <v>84.3</v>
      </c>
      <c r="I853" s="34">
        <v>3.7823000000000002</v>
      </c>
      <c r="J853" s="35">
        <v>0.15886</v>
      </c>
      <c r="L853" s="30">
        <v>84.3</v>
      </c>
      <c r="M853" s="172">
        <v>5.4569999999999999</v>
      </c>
      <c r="N853" s="173">
        <v>0.18323999999999999</v>
      </c>
      <c r="P853" s="30">
        <v>84.3</v>
      </c>
      <c r="Q853" s="172">
        <v>2.7286999999999999</v>
      </c>
      <c r="R853" s="173">
        <v>0.11459999999999999</v>
      </c>
      <c r="T853" s="30">
        <v>84.3</v>
      </c>
      <c r="U853" s="172">
        <v>366.47999999999098</v>
      </c>
      <c r="V853" s="173">
        <v>8.7260000000000009</v>
      </c>
      <c r="X853" s="30">
        <v>84.3</v>
      </c>
      <c r="Y853" s="34">
        <v>2.4363000000000001</v>
      </c>
      <c r="Z853" s="35">
        <v>0.10231999999999999</v>
      </c>
      <c r="AA853" s="36"/>
      <c r="AB853" s="30">
        <v>84.3</v>
      </c>
      <c r="AC853" s="44">
        <v>410.46</v>
      </c>
      <c r="AD853" s="35">
        <v>9.7729999999999997</v>
      </c>
      <c r="AE853" s="36"/>
      <c r="AF853" s="30">
        <v>84.3</v>
      </c>
      <c r="AG853" s="34">
        <v>2.4754</v>
      </c>
      <c r="AH853" s="35">
        <v>0.10397000000000001</v>
      </c>
      <c r="AI853" s="35"/>
      <c r="AJ853" s="35">
        <v>0.16983000000000001</v>
      </c>
      <c r="AK853" s="998">
        <v>0.7</v>
      </c>
      <c r="AM853" s="30">
        <v>84.3</v>
      </c>
      <c r="AN853" s="34">
        <v>1.3861000000000001</v>
      </c>
      <c r="AO853" s="35">
        <v>1.5525</v>
      </c>
      <c r="BX853" s="43"/>
      <c r="BY853" s="34"/>
      <c r="BZ853" s="59"/>
      <c r="CB853" s="43"/>
      <c r="CC853" s="34"/>
      <c r="CD853" s="59"/>
      <c r="CL853" s="43"/>
      <c r="CM853" s="34"/>
      <c r="CN853" s="59"/>
      <c r="CP853" s="43"/>
      <c r="CQ853" s="34"/>
      <c r="CR853" s="59"/>
      <c r="CT853" s="43"/>
      <c r="CU853" s="34"/>
      <c r="CV853" s="59"/>
    </row>
    <row r="854" spans="4:100">
      <c r="D854" s="30">
        <v>84.4</v>
      </c>
      <c r="E854" s="31">
        <v>0.65539999999999998</v>
      </c>
      <c r="F854" s="32">
        <v>655.29999999999995</v>
      </c>
      <c r="G854" s="33"/>
      <c r="H854" s="30">
        <v>84.4</v>
      </c>
      <c r="I854" s="34">
        <v>3.7823000000000002</v>
      </c>
      <c r="J854" s="35">
        <v>0.15886</v>
      </c>
      <c r="L854" s="30">
        <v>84.4</v>
      </c>
      <c r="M854" s="172">
        <v>5.4550000000000001</v>
      </c>
      <c r="N854" s="173">
        <v>0.18332999999999999</v>
      </c>
      <c r="P854" s="30">
        <v>84.4</v>
      </c>
      <c r="Q854" s="172">
        <v>2.7273999999999998</v>
      </c>
      <c r="R854" s="173">
        <v>0.11455</v>
      </c>
      <c r="T854" s="30">
        <v>84.4</v>
      </c>
      <c r="U854" s="172">
        <v>366.64999999998997</v>
      </c>
      <c r="V854" s="173">
        <v>8.73</v>
      </c>
      <c r="X854" s="30">
        <v>84.4</v>
      </c>
      <c r="Y854" s="34">
        <v>2.4352</v>
      </c>
      <c r="Z854" s="35">
        <v>0.10228</v>
      </c>
      <c r="AA854" s="36"/>
      <c r="AB854" s="30">
        <v>84.4</v>
      </c>
      <c r="AC854" s="44">
        <v>410.65</v>
      </c>
      <c r="AD854" s="35">
        <v>9.7769999999999992</v>
      </c>
      <c r="AE854" s="36"/>
      <c r="AF854" s="30">
        <v>84.4</v>
      </c>
      <c r="AG854" s="34">
        <v>2.4742000000000002</v>
      </c>
      <c r="AH854" s="35">
        <v>0.10392</v>
      </c>
      <c r="AI854" s="35"/>
      <c r="AJ854" s="35">
        <v>0.16996</v>
      </c>
      <c r="AK854" s="998">
        <v>0.6</v>
      </c>
      <c r="AM854" s="30">
        <v>84.4</v>
      </c>
      <c r="AN854" s="34">
        <v>1.3868</v>
      </c>
      <c r="AO854" s="35">
        <v>1.5531999999999999</v>
      </c>
      <c r="BX854" s="43"/>
      <c r="BY854" s="34"/>
      <c r="BZ854" s="59"/>
      <c r="CB854" s="43"/>
      <c r="CC854" s="34"/>
      <c r="CD854" s="59"/>
      <c r="CL854" s="43"/>
      <c r="CM854" s="34"/>
      <c r="CN854" s="59"/>
      <c r="CP854" s="43"/>
      <c r="CQ854" s="34"/>
      <c r="CR854" s="59"/>
      <c r="CT854" s="43"/>
      <c r="CU854" s="34"/>
      <c r="CV854" s="59"/>
    </row>
    <row r="855" spans="4:100">
      <c r="D855" s="30">
        <v>84.5</v>
      </c>
      <c r="E855" s="31">
        <v>0.65510000000000002</v>
      </c>
      <c r="F855" s="32">
        <v>655</v>
      </c>
      <c r="G855" s="33"/>
      <c r="H855" s="30">
        <v>84.5</v>
      </c>
      <c r="I855" s="34">
        <v>3.7823000000000002</v>
      </c>
      <c r="J855" s="35">
        <v>0.15886</v>
      </c>
      <c r="L855" s="30">
        <v>84.5</v>
      </c>
      <c r="M855" s="172">
        <v>5.452</v>
      </c>
      <c r="N855" s="173">
        <v>0.18340999999999999</v>
      </c>
      <c r="P855" s="30">
        <v>84.5</v>
      </c>
      <c r="Q855" s="172">
        <v>2.7261000000000002</v>
      </c>
      <c r="R855" s="173">
        <v>0.1145</v>
      </c>
      <c r="T855" s="30">
        <v>84.5</v>
      </c>
      <c r="U855" s="172">
        <v>366.81999999998902</v>
      </c>
      <c r="V855" s="173">
        <v>8.734</v>
      </c>
      <c r="X855" s="30">
        <v>84.5</v>
      </c>
      <c r="Y855" s="34">
        <v>2.4340000000000002</v>
      </c>
      <c r="Z855" s="35">
        <v>0.10223</v>
      </c>
      <c r="AA855" s="36"/>
      <c r="AB855" s="30">
        <v>84.5</v>
      </c>
      <c r="AC855" s="44">
        <v>410.84</v>
      </c>
      <c r="AD855" s="35">
        <v>9.782</v>
      </c>
      <c r="AE855" s="36"/>
      <c r="AF855" s="30">
        <v>84.5</v>
      </c>
      <c r="AG855" s="34">
        <v>2.4731000000000001</v>
      </c>
      <c r="AH855" s="35">
        <v>0.10386999999999999</v>
      </c>
      <c r="AI855" s="35"/>
      <c r="AJ855" s="35">
        <v>0.17008999999999999</v>
      </c>
      <c r="AK855" s="998">
        <v>0.5</v>
      </c>
      <c r="AM855" s="212">
        <v>84.5</v>
      </c>
      <c r="AN855" s="213">
        <v>1.3874</v>
      </c>
      <c r="AO855" s="35">
        <v>1.5539000000000001</v>
      </c>
      <c r="BX855" s="43"/>
      <c r="BY855" s="34"/>
      <c r="BZ855" s="59"/>
      <c r="CB855" s="43"/>
      <c r="CC855" s="34"/>
      <c r="CD855" s="59"/>
      <c r="CL855" s="43"/>
      <c r="CM855" s="34"/>
      <c r="CN855" s="59"/>
      <c r="CP855" s="43"/>
      <c r="CQ855" s="34"/>
      <c r="CR855" s="59"/>
      <c r="CT855" s="43"/>
      <c r="CU855" s="34"/>
      <c r="CV855" s="59"/>
    </row>
    <row r="856" spans="4:100">
      <c r="D856" s="30">
        <v>84.6</v>
      </c>
      <c r="E856" s="31">
        <v>0.65480000000000005</v>
      </c>
      <c r="F856" s="32">
        <v>654.70000000000005</v>
      </c>
      <c r="G856" s="33"/>
      <c r="H856" s="30">
        <v>84.6</v>
      </c>
      <c r="I856" s="34">
        <v>3.7823000000000002</v>
      </c>
      <c r="J856" s="35">
        <v>0.15886</v>
      </c>
      <c r="L856" s="30">
        <v>84.6</v>
      </c>
      <c r="M856" s="172">
        <v>5.45</v>
      </c>
      <c r="N856" s="173">
        <v>0.1835</v>
      </c>
      <c r="P856" s="30">
        <v>84.6</v>
      </c>
      <c r="Q856" s="172">
        <v>2.7248999999999999</v>
      </c>
      <c r="R856" s="173">
        <v>0.11444</v>
      </c>
      <c r="T856" s="30">
        <v>84.6</v>
      </c>
      <c r="U856" s="172">
        <v>366.98999999998802</v>
      </c>
      <c r="V856" s="173">
        <v>8.7379999999999995</v>
      </c>
      <c r="X856" s="30">
        <v>84.6</v>
      </c>
      <c r="Y856" s="34">
        <v>2.4329000000000001</v>
      </c>
      <c r="Z856" s="35">
        <v>0.10218000000000001</v>
      </c>
      <c r="AA856" s="36"/>
      <c r="AB856" s="30">
        <v>84.6</v>
      </c>
      <c r="AC856" s="44">
        <v>411.03</v>
      </c>
      <c r="AD856" s="35">
        <v>9.7859999999999996</v>
      </c>
      <c r="AE856" s="36"/>
      <c r="AF856" s="30">
        <v>84.6</v>
      </c>
      <c r="AG856" s="34">
        <v>2.472</v>
      </c>
      <c r="AH856" s="35">
        <v>0.10381999999999998</v>
      </c>
      <c r="AI856" s="35"/>
      <c r="AJ856" s="35">
        <v>0.17022000000000001</v>
      </c>
      <c r="AK856" s="998">
        <v>0.4</v>
      </c>
      <c r="AM856" s="30">
        <v>84.6</v>
      </c>
      <c r="AN856" s="34">
        <v>1.3880999999999999</v>
      </c>
      <c r="AO856" s="35">
        <v>1.5546</v>
      </c>
      <c r="BX856" s="43"/>
      <c r="BY856" s="34"/>
      <c r="BZ856" s="59"/>
      <c r="CB856" s="43"/>
      <c r="CC856" s="34"/>
      <c r="CD856" s="59"/>
      <c r="CL856" s="43"/>
      <c r="CM856" s="34"/>
      <c r="CN856" s="59"/>
      <c r="CP856" s="43"/>
      <c r="CQ856" s="34"/>
      <c r="CR856" s="59"/>
      <c r="CT856" s="43"/>
      <c r="CU856" s="34"/>
      <c r="CV856" s="59"/>
    </row>
    <row r="857" spans="4:100">
      <c r="D857" s="30">
        <v>84.7</v>
      </c>
      <c r="E857" s="31">
        <v>0.65449999999999997</v>
      </c>
      <c r="F857" s="32">
        <v>654.4</v>
      </c>
      <c r="G857" s="33"/>
      <c r="H857" s="30">
        <v>84.7</v>
      </c>
      <c r="I857" s="34">
        <v>3.7823000000000002</v>
      </c>
      <c r="J857" s="35">
        <v>0.15886</v>
      </c>
      <c r="L857" s="30">
        <v>84.7</v>
      </c>
      <c r="M857" s="172">
        <v>5.4470000000000001</v>
      </c>
      <c r="N857" s="173">
        <v>0.18357999999999999</v>
      </c>
      <c r="P857" s="30">
        <v>84.7</v>
      </c>
      <c r="Q857" s="172">
        <v>2.7235999999999998</v>
      </c>
      <c r="R857" s="173">
        <v>0.11439000000000001</v>
      </c>
      <c r="T857" s="30">
        <v>84.7</v>
      </c>
      <c r="U857" s="172">
        <v>367.15999999998701</v>
      </c>
      <c r="V857" s="173">
        <v>8.7420000000000009</v>
      </c>
      <c r="X857" s="30">
        <v>84.7</v>
      </c>
      <c r="Y857" s="34">
        <v>2.4318</v>
      </c>
      <c r="Z857" s="35">
        <v>0.10213</v>
      </c>
      <c r="AA857" s="36"/>
      <c r="AB857" s="30">
        <v>84.7</v>
      </c>
      <c r="AC857" s="44">
        <v>411.22</v>
      </c>
      <c r="AD857" s="35">
        <v>9.7910000000000004</v>
      </c>
      <c r="AE857" s="36"/>
      <c r="AF857" s="30">
        <v>84.7</v>
      </c>
      <c r="AG857" s="34">
        <v>2.4708000000000001</v>
      </c>
      <c r="AH857" s="35">
        <v>0.10376999999999997</v>
      </c>
      <c r="AI857" s="35"/>
      <c r="AJ857" s="35">
        <v>0.17035</v>
      </c>
      <c r="AK857" s="998">
        <v>0.3</v>
      </c>
      <c r="AM857" s="30">
        <v>84.7</v>
      </c>
      <c r="AN857" s="34">
        <v>1.3887</v>
      </c>
      <c r="AO857" s="35">
        <v>1.5553999999999999</v>
      </c>
      <c r="BX857" s="43"/>
      <c r="BY857" s="34"/>
      <c r="BZ857" s="59"/>
      <c r="CB857" s="43"/>
      <c r="CC857" s="34"/>
      <c r="CD857" s="59"/>
      <c r="CL857" s="43"/>
      <c r="CM857" s="34"/>
      <c r="CN857" s="59"/>
      <c r="CP857" s="43"/>
      <c r="CQ857" s="34"/>
      <c r="CR857" s="59"/>
      <c r="CT857" s="43"/>
      <c r="CU857" s="34"/>
      <c r="CV857" s="59"/>
    </row>
    <row r="858" spans="4:100">
      <c r="D858" s="30">
        <v>84.8</v>
      </c>
      <c r="E858" s="31">
        <v>0.6542</v>
      </c>
      <c r="F858" s="32">
        <v>654.1</v>
      </c>
      <c r="G858" s="33"/>
      <c r="H858" s="30">
        <v>84.8</v>
      </c>
      <c r="I858" s="34">
        <v>3.7823000000000002</v>
      </c>
      <c r="J858" s="35">
        <v>0.15886</v>
      </c>
      <c r="L858" s="30">
        <v>84.8</v>
      </c>
      <c r="M858" s="172">
        <v>5.4450000000000003</v>
      </c>
      <c r="N858" s="173">
        <v>0.18367</v>
      </c>
      <c r="P858" s="30">
        <v>84.8</v>
      </c>
      <c r="Q858" s="172">
        <v>2.7223000000000002</v>
      </c>
      <c r="R858" s="173">
        <v>0.11434</v>
      </c>
      <c r="T858" s="30">
        <v>84.8</v>
      </c>
      <c r="U858" s="172">
        <v>367.329999999986</v>
      </c>
      <c r="V858" s="173">
        <v>8.7460000000000004</v>
      </c>
      <c r="X858" s="30">
        <v>84.8</v>
      </c>
      <c r="Y858" s="34">
        <v>2.4306999999999999</v>
      </c>
      <c r="Z858" s="35">
        <v>0.10209</v>
      </c>
      <c r="AA858" s="36"/>
      <c r="AB858" s="30">
        <v>84.8</v>
      </c>
      <c r="AC858" s="44">
        <v>411.41</v>
      </c>
      <c r="AD858" s="35">
        <v>9.7959999999999994</v>
      </c>
      <c r="AE858" s="36"/>
      <c r="AF858" s="30">
        <v>84.8</v>
      </c>
      <c r="AG858" s="34">
        <v>2.4697</v>
      </c>
      <c r="AH858" s="35">
        <v>0.10373</v>
      </c>
      <c r="AI858" s="35"/>
      <c r="AJ858" s="35">
        <v>0.17047999999999999</v>
      </c>
      <c r="AK858" s="998">
        <v>0.2</v>
      </c>
      <c r="AM858" s="30">
        <v>84.8</v>
      </c>
      <c r="AN858" s="34">
        <v>1.3894</v>
      </c>
      <c r="AO858" s="35">
        <v>1.5561</v>
      </c>
      <c r="BX858" s="43"/>
      <c r="BY858" s="34"/>
      <c r="BZ858" s="59"/>
      <c r="CB858" s="43"/>
      <c r="CC858" s="34"/>
      <c r="CD858" s="59"/>
      <c r="CL858" s="43"/>
      <c r="CM858" s="34"/>
      <c r="CN858" s="59"/>
      <c r="CP858" s="43"/>
      <c r="CQ858" s="34"/>
      <c r="CR858" s="59"/>
      <c r="CT858" s="43"/>
      <c r="CU858" s="34"/>
      <c r="CV858" s="59"/>
    </row>
    <row r="859" spans="4:100">
      <c r="D859" s="30">
        <v>84.9</v>
      </c>
      <c r="E859" s="31">
        <v>0.65390000000000004</v>
      </c>
      <c r="F859" s="32">
        <v>653.79999999999995</v>
      </c>
      <c r="G859" s="33"/>
      <c r="H859" s="30">
        <v>84.9</v>
      </c>
      <c r="I859" s="34">
        <v>3.7823000000000002</v>
      </c>
      <c r="J859" s="35">
        <v>0.15886</v>
      </c>
      <c r="L859" s="30">
        <v>84.9</v>
      </c>
      <c r="M859" s="172">
        <v>5.4420000000000002</v>
      </c>
      <c r="N859" s="173">
        <v>0.18375</v>
      </c>
      <c r="P859" s="30">
        <v>84.9</v>
      </c>
      <c r="Q859" s="172">
        <v>2.7210999999999999</v>
      </c>
      <c r="R859" s="173">
        <v>0.11429</v>
      </c>
      <c r="T859" s="30">
        <v>84.9</v>
      </c>
      <c r="U859" s="172">
        <v>367.49999999998499</v>
      </c>
      <c r="V859" s="173">
        <v>8.75</v>
      </c>
      <c r="X859" s="30">
        <v>84.9</v>
      </c>
      <c r="Y859" s="34">
        <v>2.4295</v>
      </c>
      <c r="Z859" s="35">
        <v>0.10204000000000001</v>
      </c>
      <c r="AA859" s="36"/>
      <c r="AB859" s="30">
        <v>84.9</v>
      </c>
      <c r="AC859" s="44">
        <v>411.6</v>
      </c>
      <c r="AD859" s="35">
        <v>9.8000000000000007</v>
      </c>
      <c r="AE859" s="36"/>
      <c r="AF859" s="30">
        <v>84.9</v>
      </c>
      <c r="AG859" s="34">
        <v>2.4685000000000001</v>
      </c>
      <c r="AH859" s="35">
        <v>0.10367999999999999</v>
      </c>
      <c r="AI859" s="35"/>
      <c r="AJ859" s="35">
        <v>0.17061000000000001</v>
      </c>
      <c r="AK859" s="998">
        <v>0.1</v>
      </c>
      <c r="AM859" s="30">
        <v>84.9</v>
      </c>
      <c r="AN859" s="34">
        <v>1.39</v>
      </c>
      <c r="AO859" s="35">
        <v>1.5568</v>
      </c>
      <c r="BX859" s="43"/>
      <c r="BY859" s="34"/>
      <c r="BZ859" s="59"/>
      <c r="CB859" s="43"/>
      <c r="CC859" s="34"/>
      <c r="CD859" s="59"/>
      <c r="CL859" s="43"/>
      <c r="CM859" s="34"/>
      <c r="CN859" s="59"/>
      <c r="CP859" s="43"/>
      <c r="CQ859" s="34"/>
      <c r="CR859" s="59"/>
      <c r="CT859" s="43"/>
      <c r="CU859" s="34"/>
      <c r="CV859" s="59"/>
    </row>
    <row r="860" spans="4:100">
      <c r="D860" s="30">
        <v>85</v>
      </c>
      <c r="E860" s="31">
        <v>0.65359999999999996</v>
      </c>
      <c r="F860" s="32">
        <v>653.5</v>
      </c>
      <c r="G860" s="33"/>
      <c r="H860" s="30">
        <v>85</v>
      </c>
      <c r="I860" s="34">
        <v>3.7823000000000002</v>
      </c>
      <c r="J860" s="35">
        <v>0.15886</v>
      </c>
      <c r="L860" s="174">
        <v>85</v>
      </c>
      <c r="M860" s="175">
        <v>5.44</v>
      </c>
      <c r="N860" s="176">
        <v>0.18384</v>
      </c>
      <c r="P860" s="174">
        <v>85</v>
      </c>
      <c r="Q860" s="175">
        <v>2.7198000000000002</v>
      </c>
      <c r="R860" s="176">
        <v>0.11423</v>
      </c>
      <c r="T860" s="174">
        <v>85</v>
      </c>
      <c r="U860" s="175">
        <v>367.66999999998399</v>
      </c>
      <c r="V860" s="176">
        <v>8.7539999999999996</v>
      </c>
      <c r="X860" s="30">
        <v>85</v>
      </c>
      <c r="Y860" s="34">
        <v>2.4283999999999999</v>
      </c>
      <c r="Z860" s="35">
        <v>0.10199</v>
      </c>
      <c r="AA860" s="36"/>
      <c r="AB860" s="174">
        <v>85</v>
      </c>
      <c r="AC860" s="53">
        <v>411.79</v>
      </c>
      <c r="AD860" s="204">
        <v>9.8049999999999997</v>
      </c>
      <c r="AE860" s="36"/>
      <c r="AF860" s="30">
        <v>85</v>
      </c>
      <c r="AG860" s="34">
        <v>2.4674</v>
      </c>
      <c r="AH860" s="35">
        <v>0.10363</v>
      </c>
      <c r="AI860" s="35"/>
      <c r="AJ860" s="35">
        <v>0.17074</v>
      </c>
      <c r="AK860" s="999">
        <v>0</v>
      </c>
      <c r="AM860" s="174">
        <v>85</v>
      </c>
      <c r="AN860" s="52">
        <v>1.3906000000000001</v>
      </c>
      <c r="AO860" s="204">
        <v>1.5575000000000001</v>
      </c>
      <c r="BX860" s="43"/>
      <c r="BY860" s="34"/>
      <c r="BZ860" s="59"/>
      <c r="CB860" s="43"/>
      <c r="CC860" s="34"/>
      <c r="CD860" s="59"/>
      <c r="CL860" s="43"/>
      <c r="CM860" s="34"/>
      <c r="CN860" s="59"/>
      <c r="CP860" s="43"/>
      <c r="CQ860" s="34"/>
      <c r="CR860" s="59"/>
      <c r="CT860" s="43"/>
      <c r="CU860" s="34"/>
      <c r="CV860" s="59"/>
    </row>
    <row r="861" spans="4:100" ht="13.15">
      <c r="D861" s="56"/>
      <c r="E861" s="56"/>
      <c r="F861" s="57"/>
      <c r="G861" s="57"/>
      <c r="H861" s="57"/>
      <c r="I861" s="57"/>
      <c r="J861" s="25"/>
      <c r="K861" s="25"/>
      <c r="L861" s="25"/>
      <c r="M861" s="25"/>
      <c r="N861" s="25"/>
      <c r="O861" s="25"/>
      <c r="P861" s="25"/>
      <c r="Q861" s="25"/>
      <c r="R861" s="25"/>
      <c r="S861" s="25"/>
      <c r="T861" s="25"/>
      <c r="U861" s="25"/>
      <c r="V861" s="25"/>
      <c r="W861" s="25"/>
      <c r="X861" s="56"/>
      <c r="Y861" s="56"/>
      <c r="Z861" s="57"/>
      <c r="AA861" s="57"/>
      <c r="AB861" s="57"/>
      <c r="AC861" s="57"/>
      <c r="AD861" s="57"/>
      <c r="AE861" s="57"/>
      <c r="AF861" s="57"/>
      <c r="AG861" s="57"/>
      <c r="AH861" s="25"/>
      <c r="AI861" s="1003"/>
      <c r="AJ861" s="1003"/>
      <c r="AK861" s="57"/>
      <c r="BX861" s="59"/>
      <c r="BY861" s="59"/>
      <c r="CB861" s="59"/>
      <c r="CC861" s="59"/>
      <c r="CL861" s="59"/>
      <c r="CM861" s="59"/>
      <c r="CP861" s="59"/>
      <c r="CQ861" s="59"/>
      <c r="CT861" s="59"/>
      <c r="CU861" s="59"/>
    </row>
    <row r="862" spans="4:100" ht="13.15">
      <c r="D862" s="58"/>
      <c r="E862" s="58"/>
      <c r="F862" s="59"/>
      <c r="G862" s="59"/>
      <c r="H862" s="59"/>
      <c r="I862" s="59"/>
      <c r="X862" s="58"/>
      <c r="Y862" s="58"/>
      <c r="Z862" s="59"/>
      <c r="AA862" s="59"/>
      <c r="AB862" s="59"/>
      <c r="AC862" s="59"/>
      <c r="AD862" s="59"/>
      <c r="AE862" s="59"/>
      <c r="AF862" s="59"/>
      <c r="AG862" s="59"/>
      <c r="BX862" s="59"/>
      <c r="BY862" s="59"/>
      <c r="CB862" s="59"/>
      <c r="CC862" s="59"/>
      <c r="CL862" s="59"/>
      <c r="CM862" s="59"/>
      <c r="CP862" s="59"/>
      <c r="CQ862" s="59"/>
      <c r="CT862" s="59"/>
      <c r="CU862" s="59"/>
    </row>
    <row r="863" spans="4:100" ht="13.15">
      <c r="D863" s="58"/>
      <c r="E863" s="58"/>
      <c r="F863" s="59"/>
      <c r="G863" s="59"/>
      <c r="H863" s="59"/>
      <c r="I863" s="59"/>
      <c r="X863" s="58"/>
      <c r="Y863" s="58"/>
      <c r="Z863" s="59"/>
      <c r="AA863" s="59"/>
      <c r="AB863" s="59"/>
      <c r="AC863" s="59"/>
      <c r="AD863" s="59"/>
      <c r="AE863" s="59"/>
      <c r="AF863" s="59"/>
      <c r="AG863" s="59"/>
      <c r="BX863" s="59"/>
      <c r="BY863" s="59"/>
      <c r="CB863" s="59"/>
      <c r="CC863" s="59"/>
      <c r="CL863" s="59"/>
      <c r="CM863" s="59"/>
      <c r="CP863" s="59"/>
      <c r="CQ863" s="59"/>
      <c r="CT863" s="59"/>
      <c r="CU863" s="59"/>
    </row>
    <row r="864" spans="4:100" ht="13.15">
      <c r="D864" s="58"/>
      <c r="E864" s="58"/>
      <c r="F864" s="59"/>
      <c r="G864" s="59"/>
      <c r="H864" s="59"/>
      <c r="I864" s="59"/>
      <c r="X864" s="58"/>
      <c r="Y864" s="58"/>
      <c r="Z864" s="59"/>
      <c r="AA864" s="59"/>
      <c r="AB864" s="59"/>
      <c r="AC864" s="59"/>
      <c r="AD864" s="59"/>
      <c r="AE864" s="59"/>
      <c r="AF864" s="59"/>
      <c r="AG864" s="59"/>
      <c r="BX864" s="59"/>
      <c r="BY864" s="59"/>
      <c r="CB864" s="59"/>
      <c r="CC864" s="59"/>
      <c r="CL864" s="59"/>
      <c r="CM864" s="59"/>
      <c r="CP864" s="59"/>
      <c r="CQ864" s="59"/>
      <c r="CT864" s="59"/>
      <c r="CU864" s="59"/>
    </row>
    <row r="865" spans="4:99" ht="13.15">
      <c r="D865" s="58"/>
      <c r="E865" s="58"/>
      <c r="F865" s="59"/>
      <c r="G865" s="59"/>
      <c r="H865" s="59"/>
      <c r="I865" s="59"/>
      <c r="X865" s="58"/>
      <c r="Y865" s="58"/>
      <c r="Z865" s="59"/>
      <c r="AA865" s="59"/>
      <c r="AB865" s="59"/>
      <c r="AC865" s="59"/>
      <c r="AD865" s="59"/>
      <c r="AE865" s="59"/>
      <c r="AF865" s="59"/>
      <c r="AG865" s="59"/>
      <c r="BX865" s="59"/>
      <c r="BY865" s="59"/>
      <c r="CB865" s="59"/>
      <c r="CC865" s="59"/>
      <c r="CL865" s="59"/>
      <c r="CM865" s="59"/>
      <c r="CP865" s="59"/>
      <c r="CQ865" s="59"/>
      <c r="CT865" s="59"/>
      <c r="CU865" s="59"/>
    </row>
    <row r="866" spans="4:99" ht="13.15">
      <c r="D866" s="58"/>
      <c r="E866" s="58"/>
      <c r="F866" s="59"/>
      <c r="G866" s="59"/>
      <c r="H866" s="59"/>
      <c r="I866" s="59"/>
      <c r="X866" s="58"/>
      <c r="Y866" s="58"/>
      <c r="Z866" s="59"/>
      <c r="AA866" s="59"/>
      <c r="AB866" s="59"/>
      <c r="AC866" s="59"/>
      <c r="AD866" s="59"/>
      <c r="AE866" s="59"/>
      <c r="AF866" s="59"/>
      <c r="AG866" s="59"/>
      <c r="BX866" s="59"/>
      <c r="BY866" s="59"/>
      <c r="CB866" s="59"/>
      <c r="CC866" s="59"/>
      <c r="CL866" s="59"/>
      <c r="CM866" s="59"/>
      <c r="CP866" s="59"/>
      <c r="CQ866" s="59"/>
      <c r="CT866" s="59"/>
      <c r="CU866" s="59"/>
    </row>
    <row r="867" spans="4:99" ht="13.15">
      <c r="D867" s="58"/>
      <c r="E867" s="58"/>
      <c r="F867" s="59"/>
      <c r="G867" s="59"/>
      <c r="H867" s="59"/>
      <c r="I867" s="59"/>
      <c r="X867" s="58"/>
      <c r="Y867" s="58"/>
      <c r="Z867" s="59"/>
      <c r="AA867" s="59"/>
      <c r="AB867" s="59"/>
      <c r="AC867" s="59"/>
      <c r="AD867" s="59"/>
      <c r="AE867" s="59"/>
      <c r="AF867" s="59"/>
      <c r="AG867" s="59"/>
      <c r="BX867" s="59"/>
      <c r="BY867" s="59"/>
      <c r="CB867" s="59"/>
      <c r="CC867" s="59"/>
      <c r="CL867" s="59"/>
      <c r="CM867" s="59"/>
      <c r="CP867" s="59"/>
      <c r="CQ867" s="59"/>
      <c r="CT867" s="59"/>
      <c r="CU867" s="59"/>
    </row>
    <row r="868" spans="4:99" ht="13.15">
      <c r="D868" s="58"/>
      <c r="E868" s="58"/>
      <c r="F868" s="59"/>
      <c r="G868" s="59"/>
      <c r="H868" s="59"/>
      <c r="I868" s="59"/>
      <c r="X868" s="58"/>
      <c r="Y868" s="58"/>
      <c r="Z868" s="59"/>
      <c r="AA868" s="59"/>
      <c r="AB868" s="59"/>
      <c r="AC868" s="59"/>
      <c r="AD868" s="59"/>
      <c r="AE868" s="59"/>
      <c r="AF868" s="59"/>
      <c r="AG868" s="59"/>
      <c r="BX868" s="59"/>
      <c r="BY868" s="59"/>
      <c r="CB868" s="59"/>
      <c r="CC868" s="59"/>
      <c r="CL868" s="59"/>
      <c r="CM868" s="59"/>
      <c r="CP868" s="59"/>
      <c r="CQ868" s="59"/>
      <c r="CT868" s="59"/>
      <c r="CU868" s="59"/>
    </row>
    <row r="869" spans="4:99" ht="13.15">
      <c r="D869" s="58"/>
      <c r="E869" s="58"/>
      <c r="F869" s="59"/>
      <c r="G869" s="59"/>
      <c r="H869" s="59"/>
      <c r="I869" s="59"/>
      <c r="X869" s="58"/>
      <c r="Y869" s="58"/>
      <c r="Z869" s="59"/>
      <c r="AA869" s="59"/>
      <c r="AB869" s="59"/>
      <c r="AC869" s="59"/>
      <c r="AD869" s="59"/>
      <c r="AE869" s="59"/>
      <c r="AF869" s="59"/>
      <c r="AG869" s="59"/>
      <c r="BX869" s="59"/>
      <c r="BY869" s="59"/>
      <c r="CB869" s="59"/>
      <c r="CC869" s="59"/>
      <c r="CL869" s="59"/>
      <c r="CM869" s="59"/>
      <c r="CP869" s="59"/>
      <c r="CQ869" s="59"/>
      <c r="CT869" s="59"/>
      <c r="CU869" s="59"/>
    </row>
    <row r="870" spans="4:99" ht="13.15">
      <c r="D870" s="58"/>
      <c r="E870" s="58"/>
      <c r="F870" s="59"/>
      <c r="G870" s="59"/>
      <c r="H870" s="59"/>
      <c r="I870" s="59"/>
      <c r="X870" s="58"/>
      <c r="Y870" s="58"/>
      <c r="Z870" s="59"/>
      <c r="AA870" s="59"/>
      <c r="AB870" s="59"/>
      <c r="AC870" s="59"/>
      <c r="AD870" s="59"/>
      <c r="AE870" s="59"/>
      <c r="AF870" s="59"/>
      <c r="AG870" s="59"/>
      <c r="BX870" s="59"/>
      <c r="BY870" s="59"/>
      <c r="CB870" s="59"/>
      <c r="CC870" s="59"/>
      <c r="CL870" s="59"/>
      <c r="CM870" s="59"/>
      <c r="CP870" s="59"/>
      <c r="CQ870" s="59"/>
      <c r="CT870" s="59"/>
      <c r="CU870" s="59"/>
    </row>
    <row r="871" spans="4:99" ht="13.15">
      <c r="D871" s="58"/>
      <c r="E871" s="58"/>
      <c r="F871" s="59"/>
      <c r="G871" s="59"/>
      <c r="H871" s="59"/>
      <c r="I871" s="59"/>
      <c r="X871" s="58"/>
      <c r="Y871" s="58"/>
      <c r="Z871" s="59"/>
      <c r="AA871" s="59"/>
      <c r="AB871" s="59"/>
      <c r="AC871" s="59"/>
      <c r="AD871" s="59"/>
      <c r="AE871" s="59"/>
      <c r="AF871" s="59"/>
      <c r="AG871" s="59"/>
      <c r="BX871" s="59"/>
      <c r="BY871" s="59"/>
      <c r="CB871" s="59"/>
      <c r="CC871" s="59"/>
      <c r="CL871" s="59"/>
      <c r="CM871" s="59"/>
      <c r="CP871" s="59"/>
      <c r="CQ871" s="59"/>
      <c r="CT871" s="59"/>
      <c r="CU871" s="59"/>
    </row>
  </sheetData>
  <sortState xmlns:xlrd2="http://schemas.microsoft.com/office/spreadsheetml/2017/richdata2" ref="AJ10:AK860">
    <sortCondition ref="AJ10:AJ860"/>
  </sortState>
  <mergeCells count="3">
    <mergeCell ref="B2:B3"/>
    <mergeCell ref="CR1:CV1"/>
    <mergeCell ref="BT1:BW1"/>
  </mergeCells>
  <hyperlinks>
    <hyperlink ref="B2:B3" location="Home!A1" display="HOME" xr:uid="{00000000-0004-0000-0900-000000000000}"/>
    <hyperlink ref="CR1:CV1" location="'ASTM Converter (Density)'!A1" display="Go to ASTM Converter (Density)" xr:uid="{00000000-0004-0000-0900-000008000000}"/>
    <hyperlink ref="BT1:BW1" location="'ASTM Converter (R.Density)'!A1" display="Go to ASTM Converter (R.Density)" xr:uid="{00000000-0004-0000-0900-000009000000}"/>
    <hyperlink ref="B5" location="'Documents Manager'!A1" display="DOCUMENTS MANAGER" xr:uid="{8BB89754-64A0-45DE-AB3E-62092A7BEA7B}"/>
    <hyperlink ref="B23" location="Disclaimer!A1" display="Disclaimer" xr:uid="{AD82CBF8-7CE5-468D-95BB-B62F61FE3D2E}"/>
    <hyperlink ref="B22" location="Help!A1" display="Help" xr:uid="{A78A5316-6F21-4C2C-B018-E949CB85DECE}"/>
    <hyperlink ref="B20" location="'Source - Links'!A1" display="SOURCE / LINKS" xr:uid="{C62AE64E-86E1-4A78-9C60-8EE7F20ED8D2}"/>
    <hyperlink ref="B7" location="'ASTM Table Series'!A1" display="• ASTM Table Series for Oil Survey" xr:uid="{BF518D63-26BC-4B49-BE89-351EEA1EDC44}"/>
    <hyperlink ref="B6" location="'ASTM Table Series'!A1" display="ASTM TABLES" xr:uid="{FBB62A04-8620-4918-B77E-CA20F0CDE0B7}"/>
    <hyperlink ref="B11" location="'ASTM Vol. XI - Tab.1'!A1" display="• ASTM Volume XI  - Table 1" xr:uid="{4C73C147-CD57-4976-BE54-E3C3B54D3C01}"/>
    <hyperlink ref="B12" location="'ASTM Vol. XI-XII'!A1" display="• ASTM Volume XII" xr:uid="{6E7CA0D8-CACE-4E6D-8EAE-0EF36BAD28FA}"/>
    <hyperlink ref="B9" location="'Expl &amp; use Vol. XI'!A1" display="• Explanation &amp; use T. Volume XI" xr:uid="{A8154228-75C7-4FA4-85F0-572429EFB24A}"/>
    <hyperlink ref="B10" location="'Expl &amp; use Vol. XII'!A1" display="• Explanation &amp; use T. Volume XII" xr:uid="{860D8385-103F-41BF-A5AB-5C2DB984C475}"/>
    <hyperlink ref="B14" location="'ASTM Converter (Tab.1)'!A1" display="ASTM - CONVERTERS" xr:uid="{CBD875BA-9731-4934-9D73-BAB684868299}"/>
    <hyperlink ref="B15" location="'ASTM Calculator V.W.'!A1" display="ASTM - CALCULATORS" xr:uid="{DAA4E73E-4211-4BEB-9B55-88C83E2A9201}"/>
    <hyperlink ref="B13" location="'ASTM Tables'!A1" display="• ASTM Tables" xr:uid="{368A2280-5FD6-407A-997C-D33ECB80A14F}"/>
    <hyperlink ref="B8" location="'Expl &amp; use 6AB, 24AB, 54AB  '!A1" display="• Explanation &amp; use T. 6A&amp;B, 24A&amp;B, 54A&amp;B." xr:uid="{072CAB77-C971-4821-ABBF-D8CFDBC4BA08}"/>
    <hyperlink ref="B18" location="'Guidelines - Definitions'!A1" display="GUIDELINES" xr:uid="{93F7DD11-FDD7-437A-965E-952F5C8F3148}"/>
    <hyperlink ref="B19" location="'Guidelines - Bottom Lines'!A1" display="GUIDELINES - CARGO" xr:uid="{1B5B1043-7656-4B1B-8B0C-896E12AE50F3}"/>
    <hyperlink ref="B16" location="'Initial&amp;Max. Loading Rate'!A1" display="CARGO - CALCULATORS" xr:uid="{9CDCE870-D481-4C09-83C1-CD1B6C1183D3}"/>
  </hyperlinks>
  <pageMargins left="0.75" right="0.75" top="1" bottom="1" header="0.5" footer="0.5"/>
  <pageSetup paperSize="9" orientation="portrait" horizontalDpi="300" verticalDpi="0" r:id="rId1"/>
  <headerFooter alignWithMargins="0">
    <oddHeader>&amp;A</oddHeader>
    <oddFooter>Ñòðàíèöà &amp;P</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2FFC-B445-4727-B86D-EA3EFFFE6B71}">
  <sheetPr>
    <tabColor rgb="FF005034"/>
  </sheetPr>
  <dimension ref="A1:Q41"/>
  <sheetViews>
    <sheetView showGridLines="0" showRowColHeaders="0" topLeftCell="B1" workbookViewId="0">
      <selection activeCell="B2" sqref="B2:B3"/>
    </sheetView>
  </sheetViews>
  <sheetFormatPr defaultColWidth="9.1328125" defaultRowHeight="12.75"/>
  <cols>
    <col min="1" max="1" width="0" style="12" hidden="1" customWidth="1"/>
    <col min="2" max="2" width="36.6640625" style="160" customWidth="1"/>
    <col min="3" max="3" width="2.6640625" style="12" customWidth="1"/>
    <col min="4" max="4" width="27.19921875" style="12" customWidth="1"/>
    <col min="5" max="5" width="8.6640625" style="12" customWidth="1"/>
    <col min="6" max="6" width="13.19921875" style="12" customWidth="1"/>
    <col min="7" max="7" width="2.6640625" style="12" customWidth="1"/>
    <col min="8" max="8" width="30.33203125" style="12" customWidth="1"/>
    <col min="9" max="9" width="8.6640625" style="12" customWidth="1"/>
    <col min="10" max="10" width="13.19921875" style="12" customWidth="1"/>
    <col min="11" max="11" width="2.6640625" style="12" customWidth="1"/>
    <col min="12" max="12" width="25.796875" style="12" customWidth="1"/>
    <col min="13" max="13" width="13.86328125" style="12" customWidth="1"/>
    <col min="14" max="14" width="13.19921875" style="12" customWidth="1"/>
    <col min="15" max="16384" width="9.1328125" style="12"/>
  </cols>
  <sheetData>
    <row r="1" spans="1:17" ht="12.75" customHeight="1">
      <c r="B1" s="2901"/>
      <c r="D1" s="3194"/>
      <c r="E1" s="3194"/>
      <c r="F1" s="3194"/>
      <c r="H1" s="3194"/>
      <c r="I1" s="3194"/>
      <c r="J1" s="3194"/>
      <c r="K1" s="2900"/>
      <c r="L1" s="3194"/>
      <c r="M1" s="3194"/>
      <c r="N1" s="3194"/>
      <c r="O1" s="2902"/>
      <c r="P1" s="2902"/>
      <c r="Q1" s="2902"/>
    </row>
    <row r="2" spans="1:17" s="162" customFormat="1" ht="21" customHeight="1">
      <c r="A2" s="12"/>
      <c r="B2" s="3188" t="s">
        <v>0</v>
      </c>
      <c r="C2" s="12"/>
      <c r="D2" s="169" t="s">
        <v>1325</v>
      </c>
      <c r="E2" s="170"/>
      <c r="F2" s="170"/>
      <c r="G2" s="170"/>
      <c r="H2" s="170"/>
      <c r="I2" s="170"/>
      <c r="J2" s="170"/>
      <c r="K2" s="170"/>
      <c r="L2" s="170"/>
      <c r="M2" s="170"/>
    </row>
    <row r="3" spans="1:17" ht="21" customHeight="1">
      <c r="B3" s="3188"/>
    </row>
    <row r="4" spans="1:17" ht="21" customHeight="1">
      <c r="B4" s="2903"/>
      <c r="D4" s="2904" t="s">
        <v>1326</v>
      </c>
      <c r="E4" s="2292"/>
      <c r="F4" s="2288"/>
      <c r="G4" s="2905"/>
      <c r="H4" s="2904" t="s">
        <v>1327</v>
      </c>
      <c r="I4" s="2292"/>
      <c r="J4" s="2288"/>
      <c r="K4" s="2905"/>
      <c r="L4" s="2904" t="s">
        <v>1328</v>
      </c>
      <c r="M4" s="2292"/>
      <c r="N4" s="2288"/>
    </row>
    <row r="5" spans="1:17" ht="21" customHeight="1">
      <c r="B5" s="2903" t="s">
        <v>1</v>
      </c>
      <c r="D5" s="2906"/>
      <c r="E5" s="2907"/>
      <c r="F5" s="2908"/>
      <c r="G5" s="2909"/>
      <c r="H5" s="2906"/>
      <c r="I5" s="2907"/>
      <c r="J5" s="2908"/>
      <c r="K5" s="2909"/>
      <c r="L5" s="2906"/>
      <c r="M5" s="2907"/>
      <c r="N5" s="2908"/>
    </row>
    <row r="6" spans="1:17" ht="21" customHeight="1">
      <c r="B6" s="146" t="s">
        <v>452</v>
      </c>
      <c r="D6" s="2910" t="s">
        <v>1329</v>
      </c>
      <c r="E6" s="2911">
        <v>38.33</v>
      </c>
      <c r="F6" s="2912">
        <f>FLOOR(E6,1)+IF(MOD(E6,1)&lt;0.26,0,IF(MOD(E6,1)&lt;0.76,0.5,1))</f>
        <v>38.5</v>
      </c>
      <c r="H6" s="2910" t="s">
        <v>1330</v>
      </c>
      <c r="I6" s="2911">
        <v>0.78649999999999998</v>
      </c>
      <c r="J6" s="2913">
        <f>MROUND(I6,0.002)</f>
        <v>0.78600000000000003</v>
      </c>
      <c r="L6" s="2910" t="s">
        <v>1331</v>
      </c>
      <c r="M6" s="727">
        <v>0.77759999999999996</v>
      </c>
      <c r="N6" s="2914">
        <f>'Calc ASTM Tables '!L66</f>
        <v>778</v>
      </c>
    </row>
    <row r="7" spans="1:17" ht="21" customHeight="1">
      <c r="B7" s="145" t="s">
        <v>300</v>
      </c>
      <c r="D7" s="2910" t="s">
        <v>1332</v>
      </c>
      <c r="E7" s="2915">
        <v>93.4</v>
      </c>
      <c r="F7" s="2916">
        <f>FLOOR(E7,1)+IF(MOD(E7,1)&lt;0.26,0,IF(MOD(E7,1)&lt;0.76,0.5,1))</f>
        <v>93.5</v>
      </c>
      <c r="H7" s="2910" t="s">
        <v>1332</v>
      </c>
      <c r="I7" s="2915">
        <v>93</v>
      </c>
      <c r="J7" s="2917">
        <f>FLOOR(I7,1)+IF(MOD(I7,1)&lt;0.26,0,IF(MOD(I7,1)&lt;0.76,0.5,1))</f>
        <v>93</v>
      </c>
      <c r="K7" s="22"/>
      <c r="L7" s="2910" t="s">
        <v>1332</v>
      </c>
      <c r="M7" s="2918">
        <v>30.2</v>
      </c>
      <c r="N7" s="2919">
        <f>FLOOR(M7,1)+IF(MOD(M7,1)&lt;0.125,0,IF(MOD(M7,1)&lt;0.375,0.25,IF(MOD(M7,1)&lt;0.625,0.5,IF(MOD(M7,1)&lt;0.875,0.75,1))))</f>
        <v>30.25</v>
      </c>
    </row>
    <row r="8" spans="1:17" ht="21" customHeight="1">
      <c r="B8" s="810" t="s">
        <v>1392</v>
      </c>
      <c r="D8" s="2920"/>
      <c r="E8" s="2921"/>
      <c r="F8" s="1001"/>
      <c r="G8" s="22"/>
      <c r="H8" s="2920"/>
      <c r="I8" s="2921"/>
      <c r="J8" s="1001"/>
      <c r="K8" s="22"/>
      <c r="L8" s="2920"/>
      <c r="M8" s="2921"/>
      <c r="N8" s="1001"/>
    </row>
    <row r="9" spans="1:17" ht="21" customHeight="1">
      <c r="B9" s="145" t="s">
        <v>419</v>
      </c>
      <c r="D9" s="2922" t="s">
        <v>1333</v>
      </c>
      <c r="E9" s="2923"/>
      <c r="F9" s="2924">
        <f>'Calc ASTM Tables '!X18</f>
        <v>0.98340000000000005</v>
      </c>
      <c r="G9" s="22"/>
      <c r="H9" s="2925" t="s">
        <v>1334</v>
      </c>
      <c r="I9" s="2923"/>
      <c r="J9" s="2926">
        <f>'Calc ASTM Tables '!AF43</f>
        <v>0.98170000000000002</v>
      </c>
      <c r="K9" s="22"/>
      <c r="L9" s="2925" t="s">
        <v>1335</v>
      </c>
      <c r="M9" s="2923"/>
      <c r="N9" s="2924">
        <f>'Calc ASTM Tables '!W66</f>
        <v>0.98450000000000004</v>
      </c>
    </row>
    <row r="10" spans="1:17" ht="21" customHeight="1">
      <c r="B10" s="145" t="s">
        <v>420</v>
      </c>
      <c r="D10" s="2922" t="s">
        <v>1336</v>
      </c>
      <c r="E10" s="2923"/>
      <c r="F10" s="2924">
        <f>'Calc ASTM Tables '!X22</f>
        <v>0.9839</v>
      </c>
      <c r="G10" s="22"/>
      <c r="H10" s="2925" t="s">
        <v>1337</v>
      </c>
      <c r="I10" s="2923"/>
      <c r="J10" s="2926">
        <f>'Calc ASTM Tables '!AF47</f>
        <v>0.9819</v>
      </c>
      <c r="K10" s="2927"/>
      <c r="L10" s="2925" t="s">
        <v>1338</v>
      </c>
      <c r="M10" s="2923"/>
      <c r="N10" s="2924">
        <f>'Calc ASTM Tables '!W70</f>
        <v>0.98370000000000002</v>
      </c>
    </row>
    <row r="11" spans="1:17" ht="21" customHeight="1">
      <c r="B11" s="145" t="s">
        <v>52</v>
      </c>
      <c r="D11" s="2922" t="s">
        <v>1339</v>
      </c>
      <c r="E11" s="2923"/>
      <c r="F11" s="2928">
        <f>ROUND((E7-32)/9*5,2)</f>
        <v>34.11</v>
      </c>
      <c r="G11" s="33"/>
      <c r="H11" s="2925" t="s">
        <v>1339</v>
      </c>
      <c r="I11" s="2923"/>
      <c r="J11" s="744">
        <f>ROUND((I7-32)/9*5,2)</f>
        <v>33.89</v>
      </c>
      <c r="K11" s="2929"/>
      <c r="L11" s="2925" t="s">
        <v>1339</v>
      </c>
      <c r="M11" s="2923"/>
      <c r="N11" s="2930">
        <f>ROUND((9/5)*M7+32,1)</f>
        <v>86.4</v>
      </c>
    </row>
    <row r="12" spans="1:17" ht="21" customHeight="1">
      <c r="B12" s="145" t="s">
        <v>96</v>
      </c>
      <c r="D12" s="2922" t="s">
        <v>1340</v>
      </c>
      <c r="E12" s="2923"/>
      <c r="F12" s="2924">
        <f>'Calc ASTM Tables '!E8</f>
        <v>0.83315000000000006</v>
      </c>
      <c r="H12" s="2925" t="s">
        <v>1341</v>
      </c>
      <c r="I12" s="2923"/>
      <c r="J12" s="2931">
        <f>'Calc ASTM Tables '!E33</f>
        <v>48.415000000000013</v>
      </c>
      <c r="L12" s="2925" t="s">
        <v>1342</v>
      </c>
      <c r="M12" s="2923"/>
      <c r="N12" s="2932">
        <f>'Calc ASTM Tables '!E58</f>
        <v>0.77789999999999992</v>
      </c>
    </row>
    <row r="13" spans="1:17" ht="21" customHeight="1">
      <c r="B13" s="147" t="s">
        <v>1343</v>
      </c>
      <c r="D13" s="2922" t="s">
        <v>1344</v>
      </c>
      <c r="E13" s="2923"/>
      <c r="F13" s="2933">
        <f>'Calc ASTM Tables '!E9</f>
        <v>832.75</v>
      </c>
      <c r="H13" s="2925" t="s">
        <v>1345</v>
      </c>
      <c r="I13" s="2923"/>
      <c r="J13" s="2933">
        <f>'Calc ASTM Tables '!E34</f>
        <v>786.15</v>
      </c>
      <c r="L13" s="2925" t="s">
        <v>1346</v>
      </c>
      <c r="M13" s="2923"/>
      <c r="N13" s="2934">
        <f>'Calc ASTM Tables '!E59</f>
        <v>50.396000000000022</v>
      </c>
    </row>
    <row r="14" spans="1:17" ht="21" customHeight="1">
      <c r="B14" s="2903" t="s">
        <v>239</v>
      </c>
      <c r="D14" s="2922" t="s">
        <v>1347</v>
      </c>
      <c r="E14" s="2923"/>
      <c r="F14" s="2935">
        <f>'Calc ASTM Tables '!E12</f>
        <v>3.7835999999999999</v>
      </c>
      <c r="H14" s="2925" t="s">
        <v>1348</v>
      </c>
      <c r="I14" s="2936"/>
      <c r="J14" s="2937">
        <f>'Calc ASTM Tables '!E37</f>
        <v>3.78335</v>
      </c>
      <c r="L14" s="2925" t="s">
        <v>1349</v>
      </c>
      <c r="M14" s="2938"/>
      <c r="N14" s="2939">
        <f>'Calc ASTM Tables '!E62</f>
        <v>0.15889</v>
      </c>
    </row>
    <row r="15" spans="1:17" ht="21" customHeight="1">
      <c r="B15" s="2903" t="s">
        <v>1263</v>
      </c>
      <c r="D15" s="2922" t="s">
        <v>1350</v>
      </c>
      <c r="E15" s="2923"/>
      <c r="F15" s="2940">
        <f>'Calc ASTM Tables '!E13</f>
        <v>0.15891</v>
      </c>
      <c r="H15" s="2925" t="s">
        <v>1351</v>
      </c>
      <c r="I15" s="2941"/>
      <c r="J15" s="2926">
        <f>'Calc ASTM Tables '!E38</f>
        <v>0.15890000000000001</v>
      </c>
      <c r="L15" s="2925" t="s">
        <v>1352</v>
      </c>
      <c r="M15" s="2938"/>
      <c r="N15" s="2942">
        <f>'Calc ASTM Tables '!E63</f>
        <v>6.2939999999999996</v>
      </c>
    </row>
    <row r="16" spans="1:17" ht="21" customHeight="1">
      <c r="B16" s="62" t="s">
        <v>557</v>
      </c>
      <c r="D16" s="2922" t="s">
        <v>1353</v>
      </c>
      <c r="E16" s="2923"/>
      <c r="F16" s="2943">
        <f>'Calc ASTM Tables '!E14</f>
        <v>6.9367999999999999</v>
      </c>
      <c r="H16" s="2925" t="s">
        <v>1354</v>
      </c>
      <c r="I16" s="2941"/>
      <c r="J16" s="2937">
        <f>'Calc ASTM Tables '!E39</f>
        <v>6.5479499999999993</v>
      </c>
      <c r="L16" s="2925" t="s">
        <v>1355</v>
      </c>
      <c r="M16" s="2938"/>
      <c r="N16" s="2939">
        <f>'Calc ASTM Tables '!E64</f>
        <v>0.99855000000000005</v>
      </c>
    </row>
    <row r="17" spans="2:14" ht="21" customHeight="1">
      <c r="B17" s="2903" t="s">
        <v>238</v>
      </c>
      <c r="D17" s="2922" t="s">
        <v>1356</v>
      </c>
      <c r="E17" s="2923"/>
      <c r="F17" s="2944">
        <f>'Calc ASTM Tables '!E15</f>
        <v>0.144147</v>
      </c>
      <c r="H17" s="2925" t="s">
        <v>1357</v>
      </c>
      <c r="I17" s="2941"/>
      <c r="J17" s="2937">
        <f>'Calc ASTM Tables '!E40</f>
        <v>0.15272000000000002</v>
      </c>
      <c r="L17" s="2925" t="s">
        <v>1358</v>
      </c>
      <c r="M17" s="2938"/>
      <c r="N17" s="2939">
        <f>'Calc ASTM Tables '!E65</f>
        <v>1.00145</v>
      </c>
    </row>
    <row r="18" spans="2:14" ht="21" customHeight="1">
      <c r="B18" s="62" t="s">
        <v>1652</v>
      </c>
      <c r="D18" s="2922" t="s">
        <v>1359</v>
      </c>
      <c r="E18" s="2923"/>
      <c r="F18" s="2943">
        <f>'Calc ASTM Tables '!E16</f>
        <v>3.4685999999999999</v>
      </c>
      <c r="H18" s="2925" t="s">
        <v>1360</v>
      </c>
      <c r="I18" s="2941"/>
      <c r="J18" s="2924">
        <f>'Calc ASTM Tables '!E41</f>
        <v>3.2739999999999996</v>
      </c>
      <c r="L18" s="2925" t="s">
        <v>1361</v>
      </c>
      <c r="M18" s="2938"/>
      <c r="N18" s="2945">
        <f>'Calc ASTM Tables '!E66</f>
        <v>776.49999999999989</v>
      </c>
    </row>
    <row r="19" spans="2:14" ht="21" customHeight="1">
      <c r="B19" s="62" t="s">
        <v>1653</v>
      </c>
      <c r="D19" s="2922" t="s">
        <v>1362</v>
      </c>
      <c r="E19" s="2923"/>
      <c r="F19" s="2944">
        <f>'Calc ASTM Tables '!E17</f>
        <v>0.14568300000000001</v>
      </c>
      <c r="H19" s="2925" t="s">
        <v>1363</v>
      </c>
      <c r="I19" s="2941"/>
      <c r="J19" s="2937">
        <f>'Calc ASTM Tables '!E42</f>
        <v>0.13750499999999999</v>
      </c>
      <c r="L19" s="2925" t="s">
        <v>1364</v>
      </c>
      <c r="M19" s="2938"/>
      <c r="N19" s="2932">
        <f>'Calc ASTM Tables '!E67</f>
        <v>1.2878400000000001</v>
      </c>
    </row>
    <row r="20" spans="2:14" ht="21" customHeight="1">
      <c r="B20" s="2903" t="s">
        <v>40</v>
      </c>
      <c r="D20" s="2922" t="s">
        <v>1365</v>
      </c>
      <c r="E20" s="2923"/>
      <c r="F20" s="2946">
        <f>'Calc ASTM Tables '!E18</f>
        <v>288.30100000000226</v>
      </c>
      <c r="H20" s="2925" t="s">
        <v>1366</v>
      </c>
      <c r="I20" s="2941"/>
      <c r="J20" s="2937">
        <f>'Calc ASTM Tables '!E43</f>
        <v>305.435</v>
      </c>
      <c r="L20" s="2925" t="s">
        <v>1367</v>
      </c>
      <c r="M20" s="2938"/>
      <c r="N20" s="2932">
        <f>'Calc ASTM Tables '!E68</f>
        <v>0.85595999999999994</v>
      </c>
    </row>
    <row r="21" spans="2:14" ht="21" customHeight="1">
      <c r="B21" s="2903" t="s">
        <v>238</v>
      </c>
      <c r="D21" s="2922" t="s">
        <v>1368</v>
      </c>
      <c r="E21" s="2923"/>
      <c r="F21" s="2947">
        <f>'Calc ASTM Tables '!E19</f>
        <v>6.8642000000000003</v>
      </c>
      <c r="H21" s="2925" t="s">
        <v>1369</v>
      </c>
      <c r="I21" s="2941"/>
      <c r="J21" s="2937">
        <f>'Calc ASTM Tables '!E44</f>
        <v>7.2725000000000009</v>
      </c>
      <c r="L21" s="2925" t="s">
        <v>1370</v>
      </c>
      <c r="M21" s="2938"/>
      <c r="N21" s="2932">
        <f>'Calc ASTM Tables '!E69</f>
        <v>0.76419999999999988</v>
      </c>
    </row>
    <row r="22" spans="2:14" ht="21" customHeight="1">
      <c r="B22" s="2903" t="s">
        <v>39</v>
      </c>
      <c r="D22" s="2922" t="s">
        <v>1371</v>
      </c>
      <c r="E22" s="2923"/>
      <c r="F22" s="2943">
        <f>'Calc ASTM Tables '!E20</f>
        <v>3.0969600000000002</v>
      </c>
      <c r="H22" s="2925" t="s">
        <v>1372</v>
      </c>
      <c r="I22" s="2941"/>
      <c r="J22" s="2937">
        <f>'Calc ASTM Tables '!E45</f>
        <v>2.9232</v>
      </c>
      <c r="L22" s="2925" t="s">
        <v>1373</v>
      </c>
      <c r="M22" s="2938"/>
      <c r="N22" s="2934">
        <f>'Calc ASTM Tables '!E70</f>
        <v>340.41000000000008</v>
      </c>
    </row>
    <row r="23" spans="2:14" ht="21" customHeight="1">
      <c r="B23" s="2903" t="s">
        <v>38</v>
      </c>
      <c r="D23" s="2922" t="s">
        <v>1374</v>
      </c>
      <c r="E23" s="2923"/>
      <c r="F23" s="2944">
        <f>'Calc ASTM Tables '!E21</f>
        <v>0.130076</v>
      </c>
      <c r="H23" s="2925" t="s">
        <v>1375</v>
      </c>
      <c r="I23" s="2941"/>
      <c r="J23" s="2926">
        <f>'Calc ASTM Tables '!E46</f>
        <v>0.122775</v>
      </c>
      <c r="L23" s="2925" t="s">
        <v>1376</v>
      </c>
      <c r="M23" s="2938"/>
      <c r="N23" s="2942">
        <f>'Calc ASTM Tables '!E71</f>
        <v>8.1050000000000022</v>
      </c>
    </row>
    <row r="24" spans="2:14" ht="21" customHeight="1">
      <c r="B24" s="2903"/>
      <c r="D24" s="2922" t="s">
        <v>1377</v>
      </c>
      <c r="E24" s="2923"/>
      <c r="F24" s="2946">
        <f>'Calc ASTM Tables '!E22</f>
        <v>322.89699999999999</v>
      </c>
      <c r="H24" s="2925" t="s">
        <v>1378</v>
      </c>
      <c r="I24" s="2941"/>
      <c r="J24" s="2937">
        <f>'Calc ASTM Tables '!E47</f>
        <v>342.09000000000003</v>
      </c>
      <c r="L24" s="2948"/>
      <c r="M24" s="2938"/>
      <c r="N24" s="39"/>
    </row>
    <row r="25" spans="2:14" ht="21" customHeight="1">
      <c r="B25" s="2903"/>
      <c r="D25" s="2922" t="s">
        <v>1379</v>
      </c>
      <c r="E25" s="2923"/>
      <c r="F25" s="2944">
        <f>'Calc ASTM Tables '!E23</f>
        <v>7.6882000000000001</v>
      </c>
      <c r="H25" s="2925" t="s">
        <v>1380</v>
      </c>
      <c r="I25" s="2941"/>
      <c r="J25" s="2937">
        <f>'Calc ASTM Tables '!E48</f>
        <v>8.1450000000000014</v>
      </c>
      <c r="L25" s="2948"/>
      <c r="M25" s="2938"/>
      <c r="N25" s="39"/>
    </row>
    <row r="26" spans="2:14" ht="21" customHeight="1">
      <c r="B26" s="2903"/>
      <c r="D26" s="2922" t="s">
        <v>1381</v>
      </c>
      <c r="E26" s="2923"/>
      <c r="F26" s="2943">
        <f>'Calc ASTM Tables '!E24</f>
        <v>3.1466600000000002</v>
      </c>
      <c r="H26" s="2925" t="s">
        <v>1382</v>
      </c>
      <c r="I26" s="2941"/>
      <c r="J26" s="2924">
        <f>'Calc ASTM Tables '!E49</f>
        <v>1.1555500000000001</v>
      </c>
      <c r="L26" s="2948"/>
      <c r="M26" s="2938"/>
      <c r="N26" s="39"/>
    </row>
    <row r="27" spans="2:14" ht="21" customHeight="1">
      <c r="B27" s="2903"/>
      <c r="D27" s="2922" t="s">
        <v>1383</v>
      </c>
      <c r="E27" s="2923"/>
      <c r="F27" s="2939">
        <f>'Calc ASTM Tables '!E25</f>
        <v>0.132159</v>
      </c>
      <c r="H27" s="2925" t="s">
        <v>1384</v>
      </c>
      <c r="I27" s="2941"/>
      <c r="J27" s="2937">
        <f>'Calc ASTM Tables '!E50</f>
        <v>1.2942500000000001</v>
      </c>
      <c r="L27" s="2948"/>
      <c r="M27" s="2938"/>
      <c r="N27" s="39"/>
    </row>
    <row r="28" spans="2:14" ht="21" customHeight="1">
      <c r="D28" s="2922" t="s">
        <v>1385</v>
      </c>
      <c r="E28" s="2923"/>
      <c r="F28" s="2939">
        <f>'Calc ASTM Tables '!E26</f>
        <v>1.0908100000000001</v>
      </c>
      <c r="H28" s="2949"/>
      <c r="I28" s="2941"/>
      <c r="J28" s="199"/>
      <c r="L28" s="2948"/>
      <c r="M28" s="2938"/>
      <c r="N28" s="39"/>
    </row>
    <row r="29" spans="2:14" ht="21" customHeight="1">
      <c r="D29" s="2922" t="s">
        <v>1386</v>
      </c>
      <c r="E29" s="2923"/>
      <c r="F29" s="2939">
        <f>'Calc ASTM Tables '!E27</f>
        <v>1.2217100000000001</v>
      </c>
      <c r="H29" s="2949"/>
      <c r="I29" s="2941"/>
      <c r="J29" s="199"/>
      <c r="L29" s="2948"/>
      <c r="M29" s="2938"/>
      <c r="N29" s="39"/>
    </row>
    <row r="30" spans="2:14" ht="21" customHeight="1">
      <c r="D30" s="2922"/>
      <c r="E30" s="2950"/>
      <c r="F30" s="1729"/>
      <c r="H30" s="2951"/>
      <c r="I30" s="2952"/>
      <c r="J30" s="199"/>
      <c r="L30" s="2953"/>
      <c r="M30" s="2954"/>
      <c r="N30" s="48"/>
    </row>
    <row r="31" spans="2:14" ht="13.15">
      <c r="D31" s="2955"/>
      <c r="E31" s="2955"/>
      <c r="F31" s="2956"/>
      <c r="H31" s="2955"/>
      <c r="I31" s="2955"/>
      <c r="J31" s="2956"/>
      <c r="L31" s="2956"/>
      <c r="M31" s="2956"/>
      <c r="N31" s="2490"/>
    </row>
    <row r="32" spans="2:14" ht="13.15">
      <c r="D32" s="58"/>
      <c r="E32" s="58"/>
      <c r="F32" s="59"/>
      <c r="L32" s="59"/>
      <c r="M32" s="59"/>
    </row>
    <row r="33" spans="4:13" ht="13.15">
      <c r="D33" s="58"/>
      <c r="E33" s="58"/>
      <c r="F33" s="59"/>
      <c r="L33" s="59"/>
      <c r="M33" s="59"/>
    </row>
    <row r="34" spans="4:13" ht="13.15">
      <c r="D34" s="58"/>
      <c r="E34" s="58"/>
      <c r="F34" s="59"/>
      <c r="L34" s="59"/>
      <c r="M34" s="59"/>
    </row>
    <row r="35" spans="4:13" ht="13.15">
      <c r="D35" s="58"/>
      <c r="E35" s="58"/>
      <c r="F35" s="59"/>
      <c r="L35" s="59"/>
      <c r="M35" s="59"/>
    </row>
    <row r="36" spans="4:13" ht="13.15">
      <c r="D36" s="58"/>
      <c r="E36" s="58"/>
      <c r="F36" s="59"/>
      <c r="L36" s="59"/>
      <c r="M36" s="59"/>
    </row>
    <row r="37" spans="4:13" ht="13.15">
      <c r="D37" s="58"/>
      <c r="E37" s="58"/>
      <c r="F37" s="59"/>
      <c r="L37" s="59"/>
      <c r="M37" s="59"/>
    </row>
    <row r="38" spans="4:13" ht="13.15">
      <c r="D38" s="58"/>
      <c r="E38" s="58"/>
      <c r="F38" s="59"/>
      <c r="L38" s="59"/>
      <c r="M38" s="59"/>
    </row>
    <row r="39" spans="4:13" ht="13.15">
      <c r="D39" s="58"/>
      <c r="E39" s="58"/>
      <c r="F39" s="59"/>
      <c r="L39" s="59"/>
      <c r="M39" s="59"/>
    </row>
    <row r="40" spans="4:13" ht="13.15">
      <c r="D40" s="58"/>
      <c r="E40" s="58"/>
      <c r="F40" s="59"/>
      <c r="L40" s="59"/>
      <c r="M40" s="59"/>
    </row>
    <row r="41" spans="4:13" ht="13.15">
      <c r="D41" s="58"/>
      <c r="E41" s="58"/>
      <c r="F41" s="59"/>
      <c r="L41" s="59"/>
      <c r="M41" s="59"/>
    </row>
  </sheetData>
  <mergeCells count="4">
    <mergeCell ref="D1:F1"/>
    <mergeCell ref="H1:J1"/>
    <mergeCell ref="L1:N1"/>
    <mergeCell ref="B2:B3"/>
  </mergeCells>
  <hyperlinks>
    <hyperlink ref="B2:B3" location="Home!A1" display="HOME" xr:uid="{5E6461B6-E2CD-46E8-A0E6-9AFAD85AB1B7}"/>
    <hyperlink ref="B5" location="'Documents Manager'!A1" display="DOCUMENTS MANAGER" xr:uid="{12D26EA3-B04B-4909-A0C2-FD9F7066ADC1}"/>
    <hyperlink ref="B23" location="Disclaimer!A1" display="Disclaimer" xr:uid="{C7CAA6A5-CFC0-4E52-A1FB-C96856DDBF5A}"/>
    <hyperlink ref="B22" location="Help!A1" display="Help" xr:uid="{D34257F7-F1AB-4803-9608-54C2AC92189A}"/>
    <hyperlink ref="B20" location="'Source - Links'!A1" display="SOURCE / LINKS" xr:uid="{E35E2663-10C1-42C9-9E03-A5E8F891DFC9}"/>
    <hyperlink ref="B7" location="'ASTM Table Series'!A1" display="• ASTM Table Series for Oil Survey" xr:uid="{D51B4EDA-6E41-4FB6-B6A5-45B883D131BF}"/>
    <hyperlink ref="B6" location="'ASTM Table Series'!A1" display="ASTM TABLES" xr:uid="{34A4CFBA-EE35-4346-8504-D60019D2CD32}"/>
    <hyperlink ref="B11" location="'ASTM Vol. XI - Tab.1'!A1" display="• ASTM Volume XI  - Table 1" xr:uid="{99F1A46D-A82E-43B1-9F9A-FEED669F895E}"/>
    <hyperlink ref="B12" location="'ASTM Vol. XI-XII'!A1" display="• ASTM Volume XII" xr:uid="{BD5336FC-428E-426C-8360-A061D546DFEA}"/>
    <hyperlink ref="B9" location="'Expl &amp; use Vol. XI'!A1" display="• Explanation &amp; use T. Volume XI" xr:uid="{58B9E8DA-14A8-40A0-A07F-138DCB53D3C8}"/>
    <hyperlink ref="B10" location="'Expl &amp; use Vol. XII'!A1" display="• Explanation &amp; use T. Volume XII" xr:uid="{D3F4EA98-1D39-492F-9973-8E27462515A1}"/>
    <hyperlink ref="B14" location="'ASTM Converter (Tab.1)'!A1" display="ASTM - CONVERTERS" xr:uid="{8F5587AC-8D39-463A-9F54-26D5170AA8BC}"/>
    <hyperlink ref="B15" location="'ASTM Calculator V.W.'!A1" display="ASTM - CALCULATORS" xr:uid="{B9770627-9B95-48ED-90A2-A8A8FCB75F1C}"/>
    <hyperlink ref="B13" location="'ASTM Tables'!A1" display="• ASTM Tables" xr:uid="{39867F55-914E-4957-8D09-7F6BEB071652}"/>
    <hyperlink ref="F6" location="'Expl &amp; use 6AB, 24AB, 54AB  '!A1" display="'Expl &amp; use 6AB, 24AB, 54AB  '!A1" xr:uid="{1BBF3B08-CF2E-4A49-A7CB-1F9636BB727C}"/>
    <hyperlink ref="F7" location="'Expl &amp; use 6AB, 24AB, 54AB  '!A1" display="'Expl &amp; use 6AB, 24AB, 54AB  '!A1" xr:uid="{C7CD2D98-8B18-4A2F-B534-8FEEA6A1E770}"/>
    <hyperlink ref="N6" location="'Expl &amp; use 6AB, 24AB, 54AB  '!A98" display="'Expl &amp; use 6AB, 24AB, 54AB  '!A98" xr:uid="{43F8AEAE-D20C-4EF1-AE78-B20475DF42E5}"/>
    <hyperlink ref="N7" location="'Expl &amp; use 6AB, 24AB, 54AB  '!A98" display="'Expl &amp; use 6AB, 24AB, 54AB  '!A98" xr:uid="{F769BE9C-DB34-4DEF-B2A4-CC83F110A0F2}"/>
    <hyperlink ref="J6" location="'Expl &amp; use 6AB, 24AB, 54AB  '!A61" display="'Expl &amp; use 6AB, 24AB, 54AB  '!A61" xr:uid="{F2FCB0F9-CD93-4B4B-856F-F6233FBBB349}"/>
    <hyperlink ref="J7" location="'Expl &amp; use 6AB, 24AB, 54AB  '!A61" display="'Expl &amp; use 6AB, 24AB, 54AB  '!A61" xr:uid="{52546022-FC74-455E-94D2-DE081489BA8D}"/>
    <hyperlink ref="B8" location="'Expl &amp; use 6AB, 24AB, 54AB  '!A1" display="• Explanation &amp; use T. 6A&amp;B, 24A&amp;B, 54A&amp;B." xr:uid="{450C16B5-180E-4BBE-A0DD-41CBE660D35A}"/>
    <hyperlink ref="B18" location="'Guidelines - Definitions'!A1" display="GUIDELINES" xr:uid="{EC9D3265-8F58-434E-86BE-576C2D852FCB}"/>
    <hyperlink ref="B19" location="'Guidelines - Bottom Lines'!A1" display="GUIDELINES - CARGO" xr:uid="{AB8198A3-D375-4852-9BC0-73EB88504797}"/>
    <hyperlink ref="B16" location="'Initial&amp;Max. Loading Rate'!A1" display="CARGO - CALCULATORS" xr:uid="{8051B338-7754-4D9C-80E1-33CCD2F56D00}"/>
  </hyperlinks>
  <pageMargins left="0.75" right="0.75" top="1" bottom="1" header="0.5" footer="0.5"/>
  <pageSetup paperSize="9" orientation="portrait" horizontalDpi="300" verticalDpi="0" r:id="rId1"/>
  <headerFooter alignWithMargins="0">
    <oddHeader>&amp;A</oddHeader>
    <oddFooter>Ñòðàíèöà &amp;P</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4501-34F5-46B7-AE02-6627C4B1DD9D}">
  <sheetPr codeName="Лист3">
    <tabColor rgb="FF008080"/>
    <pageSetUpPr fitToPage="1"/>
  </sheetPr>
  <dimension ref="A1:IX125"/>
  <sheetViews>
    <sheetView showGridLines="0" showRowColHeaders="0" topLeftCell="B1" zoomScaleNormal="100" workbookViewId="0">
      <selection activeCell="B16" sqref="B16"/>
    </sheetView>
  </sheetViews>
  <sheetFormatPr defaultColWidth="9.1328125" defaultRowHeight="12.75"/>
  <cols>
    <col min="1" max="1" width="1.1328125" style="100" hidden="1" customWidth="1"/>
    <col min="2" max="2" width="36.6640625" style="142" customWidth="1"/>
    <col min="3" max="3" width="2.6640625" style="100" customWidth="1"/>
    <col min="4" max="4" width="17.53125" style="100" customWidth="1"/>
    <col min="5" max="5" width="25.6640625" style="100" customWidth="1"/>
    <col min="6" max="6" width="12.6640625" style="100" customWidth="1"/>
    <col min="7" max="7" width="17.53125" style="100" customWidth="1"/>
    <col min="8" max="8" width="25.6640625" style="100" customWidth="1"/>
    <col min="9" max="9" width="12.6640625" style="100" customWidth="1"/>
    <col min="10" max="10" width="12.1328125" style="100" customWidth="1"/>
    <col min="11" max="11" width="11.46484375" style="100" customWidth="1"/>
    <col min="12" max="12" width="5" style="100" customWidth="1"/>
    <col min="13" max="13" width="18.46484375" style="100" customWidth="1"/>
    <col min="14" max="14" width="12.1328125" style="100" customWidth="1"/>
    <col min="15" max="15" width="11.46484375" style="100" customWidth="1"/>
    <col min="16" max="258" width="9.1328125" style="100"/>
    <col min="259" max="259" width="0" style="100" hidden="1" customWidth="1"/>
    <col min="260" max="260" width="43.46484375" style="100" customWidth="1"/>
    <col min="261" max="261" width="3.6640625" style="100" customWidth="1"/>
    <col min="262" max="262" width="30.33203125" style="100" customWidth="1"/>
    <col min="263" max="263" width="18.46484375" style="100" customWidth="1"/>
    <col min="264" max="264" width="30.33203125" style="100" customWidth="1"/>
    <col min="265" max="265" width="18.46484375" style="100" customWidth="1"/>
    <col min="266" max="266" width="12.1328125" style="100" customWidth="1"/>
    <col min="267" max="267" width="11.46484375" style="100" customWidth="1"/>
    <col min="268" max="268" width="5" style="100" customWidth="1"/>
    <col min="269" max="269" width="18.46484375" style="100" customWidth="1"/>
    <col min="270" max="270" width="12.1328125" style="100" customWidth="1"/>
    <col min="271" max="271" width="11.46484375" style="100" customWidth="1"/>
    <col min="272" max="514" width="9.1328125" style="100"/>
    <col min="515" max="515" width="0" style="100" hidden="1" customWidth="1"/>
    <col min="516" max="516" width="43.46484375" style="100" customWidth="1"/>
    <col min="517" max="517" width="3.6640625" style="100" customWidth="1"/>
    <col min="518" max="518" width="30.33203125" style="100" customWidth="1"/>
    <col min="519" max="519" width="18.46484375" style="100" customWidth="1"/>
    <col min="520" max="520" width="30.33203125" style="100" customWidth="1"/>
    <col min="521" max="521" width="18.46484375" style="100" customWidth="1"/>
    <col min="522" max="522" width="12.1328125" style="100" customWidth="1"/>
    <col min="523" max="523" width="11.46484375" style="100" customWidth="1"/>
    <col min="524" max="524" width="5" style="100" customWidth="1"/>
    <col min="525" max="525" width="18.46484375" style="100" customWidth="1"/>
    <col min="526" max="526" width="12.1328125" style="100" customWidth="1"/>
    <col min="527" max="527" width="11.46484375" style="100" customWidth="1"/>
    <col min="528" max="770" width="9.1328125" style="100"/>
    <col min="771" max="771" width="0" style="100" hidden="1" customWidth="1"/>
    <col min="772" max="772" width="43.46484375" style="100" customWidth="1"/>
    <col min="773" max="773" width="3.6640625" style="100" customWidth="1"/>
    <col min="774" max="774" width="30.33203125" style="100" customWidth="1"/>
    <col min="775" max="775" width="18.46484375" style="100" customWidth="1"/>
    <col min="776" max="776" width="30.33203125" style="100" customWidth="1"/>
    <col min="777" max="777" width="18.46484375" style="100" customWidth="1"/>
    <col min="778" max="778" width="12.1328125" style="100" customWidth="1"/>
    <col min="779" max="779" width="11.46484375" style="100" customWidth="1"/>
    <col min="780" max="780" width="5" style="100" customWidth="1"/>
    <col min="781" max="781" width="18.46484375" style="100" customWidth="1"/>
    <col min="782" max="782" width="12.1328125" style="100" customWidth="1"/>
    <col min="783" max="783" width="11.46484375" style="100" customWidth="1"/>
    <col min="784" max="1026" width="9.1328125" style="100"/>
    <col min="1027" max="1027" width="0" style="100" hidden="1" customWidth="1"/>
    <col min="1028" max="1028" width="43.46484375" style="100" customWidth="1"/>
    <col min="1029" max="1029" width="3.6640625" style="100" customWidth="1"/>
    <col min="1030" max="1030" width="30.33203125" style="100" customWidth="1"/>
    <col min="1031" max="1031" width="18.46484375" style="100" customWidth="1"/>
    <col min="1032" max="1032" width="30.33203125" style="100" customWidth="1"/>
    <col min="1033" max="1033" width="18.46484375" style="100" customWidth="1"/>
    <col min="1034" max="1034" width="12.1328125" style="100" customWidth="1"/>
    <col min="1035" max="1035" width="11.46484375" style="100" customWidth="1"/>
    <col min="1036" max="1036" width="5" style="100" customWidth="1"/>
    <col min="1037" max="1037" width="18.46484375" style="100" customWidth="1"/>
    <col min="1038" max="1038" width="12.1328125" style="100" customWidth="1"/>
    <col min="1039" max="1039" width="11.46484375" style="100" customWidth="1"/>
    <col min="1040" max="1282" width="9.1328125" style="100"/>
    <col min="1283" max="1283" width="0" style="100" hidden="1" customWidth="1"/>
    <col min="1284" max="1284" width="43.46484375" style="100" customWidth="1"/>
    <col min="1285" max="1285" width="3.6640625" style="100" customWidth="1"/>
    <col min="1286" max="1286" width="30.33203125" style="100" customWidth="1"/>
    <col min="1287" max="1287" width="18.46484375" style="100" customWidth="1"/>
    <col min="1288" max="1288" width="30.33203125" style="100" customWidth="1"/>
    <col min="1289" max="1289" width="18.46484375" style="100" customWidth="1"/>
    <col min="1290" max="1290" width="12.1328125" style="100" customWidth="1"/>
    <col min="1291" max="1291" width="11.46484375" style="100" customWidth="1"/>
    <col min="1292" max="1292" width="5" style="100" customWidth="1"/>
    <col min="1293" max="1293" width="18.46484375" style="100" customWidth="1"/>
    <col min="1294" max="1294" width="12.1328125" style="100" customWidth="1"/>
    <col min="1295" max="1295" width="11.46484375" style="100" customWidth="1"/>
    <col min="1296" max="1538" width="9.1328125" style="100"/>
    <col min="1539" max="1539" width="0" style="100" hidden="1" customWidth="1"/>
    <col min="1540" max="1540" width="43.46484375" style="100" customWidth="1"/>
    <col min="1541" max="1541" width="3.6640625" style="100" customWidth="1"/>
    <col min="1542" max="1542" width="30.33203125" style="100" customWidth="1"/>
    <col min="1543" max="1543" width="18.46484375" style="100" customWidth="1"/>
    <col min="1544" max="1544" width="30.33203125" style="100" customWidth="1"/>
    <col min="1545" max="1545" width="18.46484375" style="100" customWidth="1"/>
    <col min="1546" max="1546" width="12.1328125" style="100" customWidth="1"/>
    <col min="1547" max="1547" width="11.46484375" style="100" customWidth="1"/>
    <col min="1548" max="1548" width="5" style="100" customWidth="1"/>
    <col min="1549" max="1549" width="18.46484375" style="100" customWidth="1"/>
    <col min="1550" max="1550" width="12.1328125" style="100" customWidth="1"/>
    <col min="1551" max="1551" width="11.46484375" style="100" customWidth="1"/>
    <col min="1552" max="1794" width="9.1328125" style="100"/>
    <col min="1795" max="1795" width="0" style="100" hidden="1" customWidth="1"/>
    <col min="1796" max="1796" width="43.46484375" style="100" customWidth="1"/>
    <col min="1797" max="1797" width="3.6640625" style="100" customWidth="1"/>
    <col min="1798" max="1798" width="30.33203125" style="100" customWidth="1"/>
    <col min="1799" max="1799" width="18.46484375" style="100" customWidth="1"/>
    <col min="1800" max="1800" width="30.33203125" style="100" customWidth="1"/>
    <col min="1801" max="1801" width="18.46484375" style="100" customWidth="1"/>
    <col min="1802" max="1802" width="12.1328125" style="100" customWidth="1"/>
    <col min="1803" max="1803" width="11.46484375" style="100" customWidth="1"/>
    <col min="1804" max="1804" width="5" style="100" customWidth="1"/>
    <col min="1805" max="1805" width="18.46484375" style="100" customWidth="1"/>
    <col min="1806" max="1806" width="12.1328125" style="100" customWidth="1"/>
    <col min="1807" max="1807" width="11.46484375" style="100" customWidth="1"/>
    <col min="1808" max="2050" width="9.1328125" style="100"/>
    <col min="2051" max="2051" width="0" style="100" hidden="1" customWidth="1"/>
    <col min="2052" max="2052" width="43.46484375" style="100" customWidth="1"/>
    <col min="2053" max="2053" width="3.6640625" style="100" customWidth="1"/>
    <col min="2054" max="2054" width="30.33203125" style="100" customWidth="1"/>
    <col min="2055" max="2055" width="18.46484375" style="100" customWidth="1"/>
    <col min="2056" max="2056" width="30.33203125" style="100" customWidth="1"/>
    <col min="2057" max="2057" width="18.46484375" style="100" customWidth="1"/>
    <col min="2058" max="2058" width="12.1328125" style="100" customWidth="1"/>
    <col min="2059" max="2059" width="11.46484375" style="100" customWidth="1"/>
    <col min="2060" max="2060" width="5" style="100" customWidth="1"/>
    <col min="2061" max="2061" width="18.46484375" style="100" customWidth="1"/>
    <col min="2062" max="2062" width="12.1328125" style="100" customWidth="1"/>
    <col min="2063" max="2063" width="11.46484375" style="100" customWidth="1"/>
    <col min="2064" max="2306" width="9.1328125" style="100"/>
    <col min="2307" max="2307" width="0" style="100" hidden="1" customWidth="1"/>
    <col min="2308" max="2308" width="43.46484375" style="100" customWidth="1"/>
    <col min="2309" max="2309" width="3.6640625" style="100" customWidth="1"/>
    <col min="2310" max="2310" width="30.33203125" style="100" customWidth="1"/>
    <col min="2311" max="2311" width="18.46484375" style="100" customWidth="1"/>
    <col min="2312" max="2312" width="30.33203125" style="100" customWidth="1"/>
    <col min="2313" max="2313" width="18.46484375" style="100" customWidth="1"/>
    <col min="2314" max="2314" width="12.1328125" style="100" customWidth="1"/>
    <col min="2315" max="2315" width="11.46484375" style="100" customWidth="1"/>
    <col min="2316" max="2316" width="5" style="100" customWidth="1"/>
    <col min="2317" max="2317" width="18.46484375" style="100" customWidth="1"/>
    <col min="2318" max="2318" width="12.1328125" style="100" customWidth="1"/>
    <col min="2319" max="2319" width="11.46484375" style="100" customWidth="1"/>
    <col min="2320" max="2562" width="9.1328125" style="100"/>
    <col min="2563" max="2563" width="0" style="100" hidden="1" customWidth="1"/>
    <col min="2564" max="2564" width="43.46484375" style="100" customWidth="1"/>
    <col min="2565" max="2565" width="3.6640625" style="100" customWidth="1"/>
    <col min="2566" max="2566" width="30.33203125" style="100" customWidth="1"/>
    <col min="2567" max="2567" width="18.46484375" style="100" customWidth="1"/>
    <col min="2568" max="2568" width="30.33203125" style="100" customWidth="1"/>
    <col min="2569" max="2569" width="18.46484375" style="100" customWidth="1"/>
    <col min="2570" max="2570" width="12.1328125" style="100" customWidth="1"/>
    <col min="2571" max="2571" width="11.46484375" style="100" customWidth="1"/>
    <col min="2572" max="2572" width="5" style="100" customWidth="1"/>
    <col min="2573" max="2573" width="18.46484375" style="100" customWidth="1"/>
    <col min="2574" max="2574" width="12.1328125" style="100" customWidth="1"/>
    <col min="2575" max="2575" width="11.46484375" style="100" customWidth="1"/>
    <col min="2576" max="2818" width="9.1328125" style="100"/>
    <col min="2819" max="2819" width="0" style="100" hidden="1" customWidth="1"/>
    <col min="2820" max="2820" width="43.46484375" style="100" customWidth="1"/>
    <col min="2821" max="2821" width="3.6640625" style="100" customWidth="1"/>
    <col min="2822" max="2822" width="30.33203125" style="100" customWidth="1"/>
    <col min="2823" max="2823" width="18.46484375" style="100" customWidth="1"/>
    <col min="2824" max="2824" width="30.33203125" style="100" customWidth="1"/>
    <col min="2825" max="2825" width="18.46484375" style="100" customWidth="1"/>
    <col min="2826" max="2826" width="12.1328125" style="100" customWidth="1"/>
    <col min="2827" max="2827" width="11.46484375" style="100" customWidth="1"/>
    <col min="2828" max="2828" width="5" style="100" customWidth="1"/>
    <col min="2829" max="2829" width="18.46484375" style="100" customWidth="1"/>
    <col min="2830" max="2830" width="12.1328125" style="100" customWidth="1"/>
    <col min="2831" max="2831" width="11.46484375" style="100" customWidth="1"/>
    <col min="2832" max="3074" width="9.1328125" style="100"/>
    <col min="3075" max="3075" width="0" style="100" hidden="1" customWidth="1"/>
    <col min="3076" max="3076" width="43.46484375" style="100" customWidth="1"/>
    <col min="3077" max="3077" width="3.6640625" style="100" customWidth="1"/>
    <col min="3078" max="3078" width="30.33203125" style="100" customWidth="1"/>
    <col min="3079" max="3079" width="18.46484375" style="100" customWidth="1"/>
    <col min="3080" max="3080" width="30.33203125" style="100" customWidth="1"/>
    <col min="3081" max="3081" width="18.46484375" style="100" customWidth="1"/>
    <col min="3082" max="3082" width="12.1328125" style="100" customWidth="1"/>
    <col min="3083" max="3083" width="11.46484375" style="100" customWidth="1"/>
    <col min="3084" max="3084" width="5" style="100" customWidth="1"/>
    <col min="3085" max="3085" width="18.46484375" style="100" customWidth="1"/>
    <col min="3086" max="3086" width="12.1328125" style="100" customWidth="1"/>
    <col min="3087" max="3087" width="11.46484375" style="100" customWidth="1"/>
    <col min="3088" max="3330" width="9.1328125" style="100"/>
    <col min="3331" max="3331" width="0" style="100" hidden="1" customWidth="1"/>
    <col min="3332" max="3332" width="43.46484375" style="100" customWidth="1"/>
    <col min="3333" max="3333" width="3.6640625" style="100" customWidth="1"/>
    <col min="3334" max="3334" width="30.33203125" style="100" customWidth="1"/>
    <col min="3335" max="3335" width="18.46484375" style="100" customWidth="1"/>
    <col min="3336" max="3336" width="30.33203125" style="100" customWidth="1"/>
    <col min="3337" max="3337" width="18.46484375" style="100" customWidth="1"/>
    <col min="3338" max="3338" width="12.1328125" style="100" customWidth="1"/>
    <col min="3339" max="3339" width="11.46484375" style="100" customWidth="1"/>
    <col min="3340" max="3340" width="5" style="100" customWidth="1"/>
    <col min="3341" max="3341" width="18.46484375" style="100" customWidth="1"/>
    <col min="3342" max="3342" width="12.1328125" style="100" customWidth="1"/>
    <col min="3343" max="3343" width="11.46484375" style="100" customWidth="1"/>
    <col min="3344" max="3586" width="9.1328125" style="100"/>
    <col min="3587" max="3587" width="0" style="100" hidden="1" customWidth="1"/>
    <col min="3588" max="3588" width="43.46484375" style="100" customWidth="1"/>
    <col min="3589" max="3589" width="3.6640625" style="100" customWidth="1"/>
    <col min="3590" max="3590" width="30.33203125" style="100" customWidth="1"/>
    <col min="3591" max="3591" width="18.46484375" style="100" customWidth="1"/>
    <col min="3592" max="3592" width="30.33203125" style="100" customWidth="1"/>
    <col min="3593" max="3593" width="18.46484375" style="100" customWidth="1"/>
    <col min="3594" max="3594" width="12.1328125" style="100" customWidth="1"/>
    <col min="3595" max="3595" width="11.46484375" style="100" customWidth="1"/>
    <col min="3596" max="3596" width="5" style="100" customWidth="1"/>
    <col min="3597" max="3597" width="18.46484375" style="100" customWidth="1"/>
    <col min="3598" max="3598" width="12.1328125" style="100" customWidth="1"/>
    <col min="3599" max="3599" width="11.46484375" style="100" customWidth="1"/>
    <col min="3600" max="3842" width="9.1328125" style="100"/>
    <col min="3843" max="3843" width="0" style="100" hidden="1" customWidth="1"/>
    <col min="3844" max="3844" width="43.46484375" style="100" customWidth="1"/>
    <col min="3845" max="3845" width="3.6640625" style="100" customWidth="1"/>
    <col min="3846" max="3846" width="30.33203125" style="100" customWidth="1"/>
    <col min="3847" max="3847" width="18.46484375" style="100" customWidth="1"/>
    <col min="3848" max="3848" width="30.33203125" style="100" customWidth="1"/>
    <col min="3849" max="3849" width="18.46484375" style="100" customWidth="1"/>
    <col min="3850" max="3850" width="12.1328125" style="100" customWidth="1"/>
    <col min="3851" max="3851" width="11.46484375" style="100" customWidth="1"/>
    <col min="3852" max="3852" width="5" style="100" customWidth="1"/>
    <col min="3853" max="3853" width="18.46484375" style="100" customWidth="1"/>
    <col min="3854" max="3854" width="12.1328125" style="100" customWidth="1"/>
    <col min="3855" max="3855" width="11.46484375" style="100" customWidth="1"/>
    <col min="3856" max="4098" width="9.1328125" style="100"/>
    <col min="4099" max="4099" width="0" style="100" hidden="1" customWidth="1"/>
    <col min="4100" max="4100" width="43.46484375" style="100" customWidth="1"/>
    <col min="4101" max="4101" width="3.6640625" style="100" customWidth="1"/>
    <col min="4102" max="4102" width="30.33203125" style="100" customWidth="1"/>
    <col min="4103" max="4103" width="18.46484375" style="100" customWidth="1"/>
    <col min="4104" max="4104" width="30.33203125" style="100" customWidth="1"/>
    <col min="4105" max="4105" width="18.46484375" style="100" customWidth="1"/>
    <col min="4106" max="4106" width="12.1328125" style="100" customWidth="1"/>
    <col min="4107" max="4107" width="11.46484375" style="100" customWidth="1"/>
    <col min="4108" max="4108" width="5" style="100" customWidth="1"/>
    <col min="4109" max="4109" width="18.46484375" style="100" customWidth="1"/>
    <col min="4110" max="4110" width="12.1328125" style="100" customWidth="1"/>
    <col min="4111" max="4111" width="11.46484375" style="100" customWidth="1"/>
    <col min="4112" max="4354" width="9.1328125" style="100"/>
    <col min="4355" max="4355" width="0" style="100" hidden="1" customWidth="1"/>
    <col min="4356" max="4356" width="43.46484375" style="100" customWidth="1"/>
    <col min="4357" max="4357" width="3.6640625" style="100" customWidth="1"/>
    <col min="4358" max="4358" width="30.33203125" style="100" customWidth="1"/>
    <col min="4359" max="4359" width="18.46484375" style="100" customWidth="1"/>
    <col min="4360" max="4360" width="30.33203125" style="100" customWidth="1"/>
    <col min="4361" max="4361" width="18.46484375" style="100" customWidth="1"/>
    <col min="4362" max="4362" width="12.1328125" style="100" customWidth="1"/>
    <col min="4363" max="4363" width="11.46484375" style="100" customWidth="1"/>
    <col min="4364" max="4364" width="5" style="100" customWidth="1"/>
    <col min="4365" max="4365" width="18.46484375" style="100" customWidth="1"/>
    <col min="4366" max="4366" width="12.1328125" style="100" customWidth="1"/>
    <col min="4367" max="4367" width="11.46484375" style="100" customWidth="1"/>
    <col min="4368" max="4610" width="9.1328125" style="100"/>
    <col min="4611" max="4611" width="0" style="100" hidden="1" customWidth="1"/>
    <col min="4612" max="4612" width="43.46484375" style="100" customWidth="1"/>
    <col min="4613" max="4613" width="3.6640625" style="100" customWidth="1"/>
    <col min="4614" max="4614" width="30.33203125" style="100" customWidth="1"/>
    <col min="4615" max="4615" width="18.46484375" style="100" customWidth="1"/>
    <col min="4616" max="4616" width="30.33203125" style="100" customWidth="1"/>
    <col min="4617" max="4617" width="18.46484375" style="100" customWidth="1"/>
    <col min="4618" max="4618" width="12.1328125" style="100" customWidth="1"/>
    <col min="4619" max="4619" width="11.46484375" style="100" customWidth="1"/>
    <col min="4620" max="4620" width="5" style="100" customWidth="1"/>
    <col min="4621" max="4621" width="18.46484375" style="100" customWidth="1"/>
    <col min="4622" max="4622" width="12.1328125" style="100" customWidth="1"/>
    <col min="4623" max="4623" width="11.46484375" style="100" customWidth="1"/>
    <col min="4624" max="4866" width="9.1328125" style="100"/>
    <col min="4867" max="4867" width="0" style="100" hidden="1" customWidth="1"/>
    <col min="4868" max="4868" width="43.46484375" style="100" customWidth="1"/>
    <col min="4869" max="4869" width="3.6640625" style="100" customWidth="1"/>
    <col min="4870" max="4870" width="30.33203125" style="100" customWidth="1"/>
    <col min="4871" max="4871" width="18.46484375" style="100" customWidth="1"/>
    <col min="4872" max="4872" width="30.33203125" style="100" customWidth="1"/>
    <col min="4873" max="4873" width="18.46484375" style="100" customWidth="1"/>
    <col min="4874" max="4874" width="12.1328125" style="100" customWidth="1"/>
    <col min="4875" max="4875" width="11.46484375" style="100" customWidth="1"/>
    <col min="4876" max="4876" width="5" style="100" customWidth="1"/>
    <col min="4877" max="4877" width="18.46484375" style="100" customWidth="1"/>
    <col min="4878" max="4878" width="12.1328125" style="100" customWidth="1"/>
    <col min="4879" max="4879" width="11.46484375" style="100" customWidth="1"/>
    <col min="4880" max="5122" width="9.1328125" style="100"/>
    <col min="5123" max="5123" width="0" style="100" hidden="1" customWidth="1"/>
    <col min="5124" max="5124" width="43.46484375" style="100" customWidth="1"/>
    <col min="5125" max="5125" width="3.6640625" style="100" customWidth="1"/>
    <col min="5126" max="5126" width="30.33203125" style="100" customWidth="1"/>
    <col min="5127" max="5127" width="18.46484375" style="100" customWidth="1"/>
    <col min="5128" max="5128" width="30.33203125" style="100" customWidth="1"/>
    <col min="5129" max="5129" width="18.46484375" style="100" customWidth="1"/>
    <col min="5130" max="5130" width="12.1328125" style="100" customWidth="1"/>
    <col min="5131" max="5131" width="11.46484375" style="100" customWidth="1"/>
    <col min="5132" max="5132" width="5" style="100" customWidth="1"/>
    <col min="5133" max="5133" width="18.46484375" style="100" customWidth="1"/>
    <col min="5134" max="5134" width="12.1328125" style="100" customWidth="1"/>
    <col min="5135" max="5135" width="11.46484375" style="100" customWidth="1"/>
    <col min="5136" max="5378" width="9.1328125" style="100"/>
    <col min="5379" max="5379" width="0" style="100" hidden="1" customWidth="1"/>
    <col min="5380" max="5380" width="43.46484375" style="100" customWidth="1"/>
    <col min="5381" max="5381" width="3.6640625" style="100" customWidth="1"/>
    <col min="5382" max="5382" width="30.33203125" style="100" customWidth="1"/>
    <col min="5383" max="5383" width="18.46484375" style="100" customWidth="1"/>
    <col min="5384" max="5384" width="30.33203125" style="100" customWidth="1"/>
    <col min="5385" max="5385" width="18.46484375" style="100" customWidth="1"/>
    <col min="5386" max="5386" width="12.1328125" style="100" customWidth="1"/>
    <col min="5387" max="5387" width="11.46484375" style="100" customWidth="1"/>
    <col min="5388" max="5388" width="5" style="100" customWidth="1"/>
    <col min="5389" max="5389" width="18.46484375" style="100" customWidth="1"/>
    <col min="5390" max="5390" width="12.1328125" style="100" customWidth="1"/>
    <col min="5391" max="5391" width="11.46484375" style="100" customWidth="1"/>
    <col min="5392" max="5634" width="9.1328125" style="100"/>
    <col min="5635" max="5635" width="0" style="100" hidden="1" customWidth="1"/>
    <col min="5636" max="5636" width="43.46484375" style="100" customWidth="1"/>
    <col min="5637" max="5637" width="3.6640625" style="100" customWidth="1"/>
    <col min="5638" max="5638" width="30.33203125" style="100" customWidth="1"/>
    <col min="5639" max="5639" width="18.46484375" style="100" customWidth="1"/>
    <col min="5640" max="5640" width="30.33203125" style="100" customWidth="1"/>
    <col min="5641" max="5641" width="18.46484375" style="100" customWidth="1"/>
    <col min="5642" max="5642" width="12.1328125" style="100" customWidth="1"/>
    <col min="5643" max="5643" width="11.46484375" style="100" customWidth="1"/>
    <col min="5644" max="5644" width="5" style="100" customWidth="1"/>
    <col min="5645" max="5645" width="18.46484375" style="100" customWidth="1"/>
    <col min="5646" max="5646" width="12.1328125" style="100" customWidth="1"/>
    <col min="5647" max="5647" width="11.46484375" style="100" customWidth="1"/>
    <col min="5648" max="5890" width="9.1328125" style="100"/>
    <col min="5891" max="5891" width="0" style="100" hidden="1" customWidth="1"/>
    <col min="5892" max="5892" width="43.46484375" style="100" customWidth="1"/>
    <col min="5893" max="5893" width="3.6640625" style="100" customWidth="1"/>
    <col min="5894" max="5894" width="30.33203125" style="100" customWidth="1"/>
    <col min="5895" max="5895" width="18.46484375" style="100" customWidth="1"/>
    <col min="5896" max="5896" width="30.33203125" style="100" customWidth="1"/>
    <col min="5897" max="5897" width="18.46484375" style="100" customWidth="1"/>
    <col min="5898" max="5898" width="12.1328125" style="100" customWidth="1"/>
    <col min="5899" max="5899" width="11.46484375" style="100" customWidth="1"/>
    <col min="5900" max="5900" width="5" style="100" customWidth="1"/>
    <col min="5901" max="5901" width="18.46484375" style="100" customWidth="1"/>
    <col min="5902" max="5902" width="12.1328125" style="100" customWidth="1"/>
    <col min="5903" max="5903" width="11.46484375" style="100" customWidth="1"/>
    <col min="5904" max="6146" width="9.1328125" style="100"/>
    <col min="6147" max="6147" width="0" style="100" hidden="1" customWidth="1"/>
    <col min="6148" max="6148" width="43.46484375" style="100" customWidth="1"/>
    <col min="6149" max="6149" width="3.6640625" style="100" customWidth="1"/>
    <col min="6150" max="6150" width="30.33203125" style="100" customWidth="1"/>
    <col min="6151" max="6151" width="18.46484375" style="100" customWidth="1"/>
    <col min="6152" max="6152" width="30.33203125" style="100" customWidth="1"/>
    <col min="6153" max="6153" width="18.46484375" style="100" customWidth="1"/>
    <col min="6154" max="6154" width="12.1328125" style="100" customWidth="1"/>
    <col min="6155" max="6155" width="11.46484375" style="100" customWidth="1"/>
    <col min="6156" max="6156" width="5" style="100" customWidth="1"/>
    <col min="6157" max="6157" width="18.46484375" style="100" customWidth="1"/>
    <col min="6158" max="6158" width="12.1328125" style="100" customWidth="1"/>
    <col min="6159" max="6159" width="11.46484375" style="100" customWidth="1"/>
    <col min="6160" max="6402" width="9.1328125" style="100"/>
    <col min="6403" max="6403" width="0" style="100" hidden="1" customWidth="1"/>
    <col min="6404" max="6404" width="43.46484375" style="100" customWidth="1"/>
    <col min="6405" max="6405" width="3.6640625" style="100" customWidth="1"/>
    <col min="6406" max="6406" width="30.33203125" style="100" customWidth="1"/>
    <col min="6407" max="6407" width="18.46484375" style="100" customWidth="1"/>
    <col min="6408" max="6408" width="30.33203125" style="100" customWidth="1"/>
    <col min="6409" max="6409" width="18.46484375" style="100" customWidth="1"/>
    <col min="6410" max="6410" width="12.1328125" style="100" customWidth="1"/>
    <col min="6411" max="6411" width="11.46484375" style="100" customWidth="1"/>
    <col min="6412" max="6412" width="5" style="100" customWidth="1"/>
    <col min="6413" max="6413" width="18.46484375" style="100" customWidth="1"/>
    <col min="6414" max="6414" width="12.1328125" style="100" customWidth="1"/>
    <col min="6415" max="6415" width="11.46484375" style="100" customWidth="1"/>
    <col min="6416" max="6658" width="9.1328125" style="100"/>
    <col min="6659" max="6659" width="0" style="100" hidden="1" customWidth="1"/>
    <col min="6660" max="6660" width="43.46484375" style="100" customWidth="1"/>
    <col min="6661" max="6661" width="3.6640625" style="100" customWidth="1"/>
    <col min="6662" max="6662" width="30.33203125" style="100" customWidth="1"/>
    <col min="6663" max="6663" width="18.46484375" style="100" customWidth="1"/>
    <col min="6664" max="6664" width="30.33203125" style="100" customWidth="1"/>
    <col min="6665" max="6665" width="18.46484375" style="100" customWidth="1"/>
    <col min="6666" max="6666" width="12.1328125" style="100" customWidth="1"/>
    <col min="6667" max="6667" width="11.46484375" style="100" customWidth="1"/>
    <col min="6668" max="6668" width="5" style="100" customWidth="1"/>
    <col min="6669" max="6669" width="18.46484375" style="100" customWidth="1"/>
    <col min="6670" max="6670" width="12.1328125" style="100" customWidth="1"/>
    <col min="6671" max="6671" width="11.46484375" style="100" customWidth="1"/>
    <col min="6672" max="6914" width="9.1328125" style="100"/>
    <col min="6915" max="6915" width="0" style="100" hidden="1" customWidth="1"/>
    <col min="6916" max="6916" width="43.46484375" style="100" customWidth="1"/>
    <col min="6917" max="6917" width="3.6640625" style="100" customWidth="1"/>
    <col min="6918" max="6918" width="30.33203125" style="100" customWidth="1"/>
    <col min="6919" max="6919" width="18.46484375" style="100" customWidth="1"/>
    <col min="6920" max="6920" width="30.33203125" style="100" customWidth="1"/>
    <col min="6921" max="6921" width="18.46484375" style="100" customWidth="1"/>
    <col min="6922" max="6922" width="12.1328125" style="100" customWidth="1"/>
    <col min="6923" max="6923" width="11.46484375" style="100" customWidth="1"/>
    <col min="6924" max="6924" width="5" style="100" customWidth="1"/>
    <col min="6925" max="6925" width="18.46484375" style="100" customWidth="1"/>
    <col min="6926" max="6926" width="12.1328125" style="100" customWidth="1"/>
    <col min="6927" max="6927" width="11.46484375" style="100" customWidth="1"/>
    <col min="6928" max="7170" width="9.1328125" style="100"/>
    <col min="7171" max="7171" width="0" style="100" hidden="1" customWidth="1"/>
    <col min="7172" max="7172" width="43.46484375" style="100" customWidth="1"/>
    <col min="7173" max="7173" width="3.6640625" style="100" customWidth="1"/>
    <col min="7174" max="7174" width="30.33203125" style="100" customWidth="1"/>
    <col min="7175" max="7175" width="18.46484375" style="100" customWidth="1"/>
    <col min="7176" max="7176" width="30.33203125" style="100" customWidth="1"/>
    <col min="7177" max="7177" width="18.46484375" style="100" customWidth="1"/>
    <col min="7178" max="7178" width="12.1328125" style="100" customWidth="1"/>
    <col min="7179" max="7179" width="11.46484375" style="100" customWidth="1"/>
    <col min="7180" max="7180" width="5" style="100" customWidth="1"/>
    <col min="7181" max="7181" width="18.46484375" style="100" customWidth="1"/>
    <col min="7182" max="7182" width="12.1328125" style="100" customWidth="1"/>
    <col min="7183" max="7183" width="11.46484375" style="100" customWidth="1"/>
    <col min="7184" max="7426" width="9.1328125" style="100"/>
    <col min="7427" max="7427" width="0" style="100" hidden="1" customWidth="1"/>
    <col min="7428" max="7428" width="43.46484375" style="100" customWidth="1"/>
    <col min="7429" max="7429" width="3.6640625" style="100" customWidth="1"/>
    <col min="7430" max="7430" width="30.33203125" style="100" customWidth="1"/>
    <col min="7431" max="7431" width="18.46484375" style="100" customWidth="1"/>
    <col min="7432" max="7432" width="30.33203125" style="100" customWidth="1"/>
    <col min="7433" max="7433" width="18.46484375" style="100" customWidth="1"/>
    <col min="7434" max="7434" width="12.1328125" style="100" customWidth="1"/>
    <col min="7435" max="7435" width="11.46484375" style="100" customWidth="1"/>
    <col min="7436" max="7436" width="5" style="100" customWidth="1"/>
    <col min="7437" max="7437" width="18.46484375" style="100" customWidth="1"/>
    <col min="7438" max="7438" width="12.1328125" style="100" customWidth="1"/>
    <col min="7439" max="7439" width="11.46484375" style="100" customWidth="1"/>
    <col min="7440" max="7682" width="9.1328125" style="100"/>
    <col min="7683" max="7683" width="0" style="100" hidden="1" customWidth="1"/>
    <col min="7684" max="7684" width="43.46484375" style="100" customWidth="1"/>
    <col min="7685" max="7685" width="3.6640625" style="100" customWidth="1"/>
    <col min="7686" max="7686" width="30.33203125" style="100" customWidth="1"/>
    <col min="7687" max="7687" width="18.46484375" style="100" customWidth="1"/>
    <col min="7688" max="7688" width="30.33203125" style="100" customWidth="1"/>
    <col min="7689" max="7689" width="18.46484375" style="100" customWidth="1"/>
    <col min="7690" max="7690" width="12.1328125" style="100" customWidth="1"/>
    <col min="7691" max="7691" width="11.46484375" style="100" customWidth="1"/>
    <col min="7692" max="7692" width="5" style="100" customWidth="1"/>
    <col min="7693" max="7693" width="18.46484375" style="100" customWidth="1"/>
    <col min="7694" max="7694" width="12.1328125" style="100" customWidth="1"/>
    <col min="7695" max="7695" width="11.46484375" style="100" customWidth="1"/>
    <col min="7696" max="7938" width="9.1328125" style="100"/>
    <col min="7939" max="7939" width="0" style="100" hidden="1" customWidth="1"/>
    <col min="7940" max="7940" width="43.46484375" style="100" customWidth="1"/>
    <col min="7941" max="7941" width="3.6640625" style="100" customWidth="1"/>
    <col min="7942" max="7942" width="30.33203125" style="100" customWidth="1"/>
    <col min="7943" max="7943" width="18.46484375" style="100" customWidth="1"/>
    <col min="7944" max="7944" width="30.33203125" style="100" customWidth="1"/>
    <col min="7945" max="7945" width="18.46484375" style="100" customWidth="1"/>
    <col min="7946" max="7946" width="12.1328125" style="100" customWidth="1"/>
    <col min="7947" max="7947" width="11.46484375" style="100" customWidth="1"/>
    <col min="7948" max="7948" width="5" style="100" customWidth="1"/>
    <col min="7949" max="7949" width="18.46484375" style="100" customWidth="1"/>
    <col min="7950" max="7950" width="12.1328125" style="100" customWidth="1"/>
    <col min="7951" max="7951" width="11.46484375" style="100" customWidth="1"/>
    <col min="7952" max="8194" width="9.1328125" style="100"/>
    <col min="8195" max="8195" width="0" style="100" hidden="1" customWidth="1"/>
    <col min="8196" max="8196" width="43.46484375" style="100" customWidth="1"/>
    <col min="8197" max="8197" width="3.6640625" style="100" customWidth="1"/>
    <col min="8198" max="8198" width="30.33203125" style="100" customWidth="1"/>
    <col min="8199" max="8199" width="18.46484375" style="100" customWidth="1"/>
    <col min="8200" max="8200" width="30.33203125" style="100" customWidth="1"/>
    <col min="8201" max="8201" width="18.46484375" style="100" customWidth="1"/>
    <col min="8202" max="8202" width="12.1328125" style="100" customWidth="1"/>
    <col min="8203" max="8203" width="11.46484375" style="100" customWidth="1"/>
    <col min="8204" max="8204" width="5" style="100" customWidth="1"/>
    <col min="8205" max="8205" width="18.46484375" style="100" customWidth="1"/>
    <col min="8206" max="8206" width="12.1328125" style="100" customWidth="1"/>
    <col min="8207" max="8207" width="11.46484375" style="100" customWidth="1"/>
    <col min="8208" max="8450" width="9.1328125" style="100"/>
    <col min="8451" max="8451" width="0" style="100" hidden="1" customWidth="1"/>
    <col min="8452" max="8452" width="43.46484375" style="100" customWidth="1"/>
    <col min="8453" max="8453" width="3.6640625" style="100" customWidth="1"/>
    <col min="8454" max="8454" width="30.33203125" style="100" customWidth="1"/>
    <col min="8455" max="8455" width="18.46484375" style="100" customWidth="1"/>
    <col min="8456" max="8456" width="30.33203125" style="100" customWidth="1"/>
    <col min="8457" max="8457" width="18.46484375" style="100" customWidth="1"/>
    <col min="8458" max="8458" width="12.1328125" style="100" customWidth="1"/>
    <col min="8459" max="8459" width="11.46484375" style="100" customWidth="1"/>
    <col min="8460" max="8460" width="5" style="100" customWidth="1"/>
    <col min="8461" max="8461" width="18.46484375" style="100" customWidth="1"/>
    <col min="8462" max="8462" width="12.1328125" style="100" customWidth="1"/>
    <col min="8463" max="8463" width="11.46484375" style="100" customWidth="1"/>
    <col min="8464" max="8706" width="9.1328125" style="100"/>
    <col min="8707" max="8707" width="0" style="100" hidden="1" customWidth="1"/>
    <col min="8708" max="8708" width="43.46484375" style="100" customWidth="1"/>
    <col min="8709" max="8709" width="3.6640625" style="100" customWidth="1"/>
    <col min="8710" max="8710" width="30.33203125" style="100" customWidth="1"/>
    <col min="8711" max="8711" width="18.46484375" style="100" customWidth="1"/>
    <col min="8712" max="8712" width="30.33203125" style="100" customWidth="1"/>
    <col min="8713" max="8713" width="18.46484375" style="100" customWidth="1"/>
    <col min="8714" max="8714" width="12.1328125" style="100" customWidth="1"/>
    <col min="8715" max="8715" width="11.46484375" style="100" customWidth="1"/>
    <col min="8716" max="8716" width="5" style="100" customWidth="1"/>
    <col min="8717" max="8717" width="18.46484375" style="100" customWidth="1"/>
    <col min="8718" max="8718" width="12.1328125" style="100" customWidth="1"/>
    <col min="8719" max="8719" width="11.46484375" style="100" customWidth="1"/>
    <col min="8720" max="8962" width="9.1328125" style="100"/>
    <col min="8963" max="8963" width="0" style="100" hidden="1" customWidth="1"/>
    <col min="8964" max="8964" width="43.46484375" style="100" customWidth="1"/>
    <col min="8965" max="8965" width="3.6640625" style="100" customWidth="1"/>
    <col min="8966" max="8966" width="30.33203125" style="100" customWidth="1"/>
    <col min="8967" max="8967" width="18.46484375" style="100" customWidth="1"/>
    <col min="8968" max="8968" width="30.33203125" style="100" customWidth="1"/>
    <col min="8969" max="8969" width="18.46484375" style="100" customWidth="1"/>
    <col min="8970" max="8970" width="12.1328125" style="100" customWidth="1"/>
    <col min="8971" max="8971" width="11.46484375" style="100" customWidth="1"/>
    <col min="8972" max="8972" width="5" style="100" customWidth="1"/>
    <col min="8973" max="8973" width="18.46484375" style="100" customWidth="1"/>
    <col min="8974" max="8974" width="12.1328125" style="100" customWidth="1"/>
    <col min="8975" max="8975" width="11.46484375" style="100" customWidth="1"/>
    <col min="8976" max="9218" width="9.1328125" style="100"/>
    <col min="9219" max="9219" width="0" style="100" hidden="1" customWidth="1"/>
    <col min="9220" max="9220" width="43.46484375" style="100" customWidth="1"/>
    <col min="9221" max="9221" width="3.6640625" style="100" customWidth="1"/>
    <col min="9222" max="9222" width="30.33203125" style="100" customWidth="1"/>
    <col min="9223" max="9223" width="18.46484375" style="100" customWidth="1"/>
    <col min="9224" max="9224" width="30.33203125" style="100" customWidth="1"/>
    <col min="9225" max="9225" width="18.46484375" style="100" customWidth="1"/>
    <col min="9226" max="9226" width="12.1328125" style="100" customWidth="1"/>
    <col min="9227" max="9227" width="11.46484375" style="100" customWidth="1"/>
    <col min="9228" max="9228" width="5" style="100" customWidth="1"/>
    <col min="9229" max="9229" width="18.46484375" style="100" customWidth="1"/>
    <col min="9230" max="9230" width="12.1328125" style="100" customWidth="1"/>
    <col min="9231" max="9231" width="11.46484375" style="100" customWidth="1"/>
    <col min="9232" max="9474" width="9.1328125" style="100"/>
    <col min="9475" max="9475" width="0" style="100" hidden="1" customWidth="1"/>
    <col min="9476" max="9476" width="43.46484375" style="100" customWidth="1"/>
    <col min="9477" max="9477" width="3.6640625" style="100" customWidth="1"/>
    <col min="9478" max="9478" width="30.33203125" style="100" customWidth="1"/>
    <col min="9479" max="9479" width="18.46484375" style="100" customWidth="1"/>
    <col min="9480" max="9480" width="30.33203125" style="100" customWidth="1"/>
    <col min="9481" max="9481" width="18.46484375" style="100" customWidth="1"/>
    <col min="9482" max="9482" width="12.1328125" style="100" customWidth="1"/>
    <col min="9483" max="9483" width="11.46484375" style="100" customWidth="1"/>
    <col min="9484" max="9484" width="5" style="100" customWidth="1"/>
    <col min="9485" max="9485" width="18.46484375" style="100" customWidth="1"/>
    <col min="9486" max="9486" width="12.1328125" style="100" customWidth="1"/>
    <col min="9487" max="9487" width="11.46484375" style="100" customWidth="1"/>
    <col min="9488" max="9730" width="9.1328125" style="100"/>
    <col min="9731" max="9731" width="0" style="100" hidden="1" customWidth="1"/>
    <col min="9732" max="9732" width="43.46484375" style="100" customWidth="1"/>
    <col min="9733" max="9733" width="3.6640625" style="100" customWidth="1"/>
    <col min="9734" max="9734" width="30.33203125" style="100" customWidth="1"/>
    <col min="9735" max="9735" width="18.46484375" style="100" customWidth="1"/>
    <col min="9736" max="9736" width="30.33203125" style="100" customWidth="1"/>
    <col min="9737" max="9737" width="18.46484375" style="100" customWidth="1"/>
    <col min="9738" max="9738" width="12.1328125" style="100" customWidth="1"/>
    <col min="9739" max="9739" width="11.46484375" style="100" customWidth="1"/>
    <col min="9740" max="9740" width="5" style="100" customWidth="1"/>
    <col min="9741" max="9741" width="18.46484375" style="100" customWidth="1"/>
    <col min="9742" max="9742" width="12.1328125" style="100" customWidth="1"/>
    <col min="9743" max="9743" width="11.46484375" style="100" customWidth="1"/>
    <col min="9744" max="9986" width="9.1328125" style="100"/>
    <col min="9987" max="9987" width="0" style="100" hidden="1" customWidth="1"/>
    <col min="9988" max="9988" width="43.46484375" style="100" customWidth="1"/>
    <col min="9989" max="9989" width="3.6640625" style="100" customWidth="1"/>
    <col min="9990" max="9990" width="30.33203125" style="100" customWidth="1"/>
    <col min="9991" max="9991" width="18.46484375" style="100" customWidth="1"/>
    <col min="9992" max="9992" width="30.33203125" style="100" customWidth="1"/>
    <col min="9993" max="9993" width="18.46484375" style="100" customWidth="1"/>
    <col min="9994" max="9994" width="12.1328125" style="100" customWidth="1"/>
    <col min="9995" max="9995" width="11.46484375" style="100" customWidth="1"/>
    <col min="9996" max="9996" width="5" style="100" customWidth="1"/>
    <col min="9997" max="9997" width="18.46484375" style="100" customWidth="1"/>
    <col min="9998" max="9998" width="12.1328125" style="100" customWidth="1"/>
    <col min="9999" max="9999" width="11.46484375" style="100" customWidth="1"/>
    <col min="10000" max="10242" width="9.1328125" style="100"/>
    <col min="10243" max="10243" width="0" style="100" hidden="1" customWidth="1"/>
    <col min="10244" max="10244" width="43.46484375" style="100" customWidth="1"/>
    <col min="10245" max="10245" width="3.6640625" style="100" customWidth="1"/>
    <col min="10246" max="10246" width="30.33203125" style="100" customWidth="1"/>
    <col min="10247" max="10247" width="18.46484375" style="100" customWidth="1"/>
    <col min="10248" max="10248" width="30.33203125" style="100" customWidth="1"/>
    <col min="10249" max="10249" width="18.46484375" style="100" customWidth="1"/>
    <col min="10250" max="10250" width="12.1328125" style="100" customWidth="1"/>
    <col min="10251" max="10251" width="11.46484375" style="100" customWidth="1"/>
    <col min="10252" max="10252" width="5" style="100" customWidth="1"/>
    <col min="10253" max="10253" width="18.46484375" style="100" customWidth="1"/>
    <col min="10254" max="10254" width="12.1328125" style="100" customWidth="1"/>
    <col min="10255" max="10255" width="11.46484375" style="100" customWidth="1"/>
    <col min="10256" max="10498" width="9.1328125" style="100"/>
    <col min="10499" max="10499" width="0" style="100" hidden="1" customWidth="1"/>
    <col min="10500" max="10500" width="43.46484375" style="100" customWidth="1"/>
    <col min="10501" max="10501" width="3.6640625" style="100" customWidth="1"/>
    <col min="10502" max="10502" width="30.33203125" style="100" customWidth="1"/>
    <col min="10503" max="10503" width="18.46484375" style="100" customWidth="1"/>
    <col min="10504" max="10504" width="30.33203125" style="100" customWidth="1"/>
    <col min="10505" max="10505" width="18.46484375" style="100" customWidth="1"/>
    <col min="10506" max="10506" width="12.1328125" style="100" customWidth="1"/>
    <col min="10507" max="10507" width="11.46484375" style="100" customWidth="1"/>
    <col min="10508" max="10508" width="5" style="100" customWidth="1"/>
    <col min="10509" max="10509" width="18.46484375" style="100" customWidth="1"/>
    <col min="10510" max="10510" width="12.1328125" style="100" customWidth="1"/>
    <col min="10511" max="10511" width="11.46484375" style="100" customWidth="1"/>
    <col min="10512" max="10754" width="9.1328125" style="100"/>
    <col min="10755" max="10755" width="0" style="100" hidden="1" customWidth="1"/>
    <col min="10756" max="10756" width="43.46484375" style="100" customWidth="1"/>
    <col min="10757" max="10757" width="3.6640625" style="100" customWidth="1"/>
    <col min="10758" max="10758" width="30.33203125" style="100" customWidth="1"/>
    <col min="10759" max="10759" width="18.46484375" style="100" customWidth="1"/>
    <col min="10760" max="10760" width="30.33203125" style="100" customWidth="1"/>
    <col min="10761" max="10761" width="18.46484375" style="100" customWidth="1"/>
    <col min="10762" max="10762" width="12.1328125" style="100" customWidth="1"/>
    <col min="10763" max="10763" width="11.46484375" style="100" customWidth="1"/>
    <col min="10764" max="10764" width="5" style="100" customWidth="1"/>
    <col min="10765" max="10765" width="18.46484375" style="100" customWidth="1"/>
    <col min="10766" max="10766" width="12.1328125" style="100" customWidth="1"/>
    <col min="10767" max="10767" width="11.46484375" style="100" customWidth="1"/>
    <col min="10768" max="11010" width="9.1328125" style="100"/>
    <col min="11011" max="11011" width="0" style="100" hidden="1" customWidth="1"/>
    <col min="11012" max="11012" width="43.46484375" style="100" customWidth="1"/>
    <col min="11013" max="11013" width="3.6640625" style="100" customWidth="1"/>
    <col min="11014" max="11014" width="30.33203125" style="100" customWidth="1"/>
    <col min="11015" max="11015" width="18.46484375" style="100" customWidth="1"/>
    <col min="11016" max="11016" width="30.33203125" style="100" customWidth="1"/>
    <col min="11017" max="11017" width="18.46484375" style="100" customWidth="1"/>
    <col min="11018" max="11018" width="12.1328125" style="100" customWidth="1"/>
    <col min="11019" max="11019" width="11.46484375" style="100" customWidth="1"/>
    <col min="11020" max="11020" width="5" style="100" customWidth="1"/>
    <col min="11021" max="11021" width="18.46484375" style="100" customWidth="1"/>
    <col min="11022" max="11022" width="12.1328125" style="100" customWidth="1"/>
    <col min="11023" max="11023" width="11.46484375" style="100" customWidth="1"/>
    <col min="11024" max="11266" width="9.1328125" style="100"/>
    <col min="11267" max="11267" width="0" style="100" hidden="1" customWidth="1"/>
    <col min="11268" max="11268" width="43.46484375" style="100" customWidth="1"/>
    <col min="11269" max="11269" width="3.6640625" style="100" customWidth="1"/>
    <col min="11270" max="11270" width="30.33203125" style="100" customWidth="1"/>
    <col min="11271" max="11271" width="18.46484375" style="100" customWidth="1"/>
    <col min="11272" max="11272" width="30.33203125" style="100" customWidth="1"/>
    <col min="11273" max="11273" width="18.46484375" style="100" customWidth="1"/>
    <col min="11274" max="11274" width="12.1328125" style="100" customWidth="1"/>
    <col min="11275" max="11275" width="11.46484375" style="100" customWidth="1"/>
    <col min="11276" max="11276" width="5" style="100" customWidth="1"/>
    <col min="11277" max="11277" width="18.46484375" style="100" customWidth="1"/>
    <col min="11278" max="11278" width="12.1328125" style="100" customWidth="1"/>
    <col min="11279" max="11279" width="11.46484375" style="100" customWidth="1"/>
    <col min="11280" max="11522" width="9.1328125" style="100"/>
    <col min="11523" max="11523" width="0" style="100" hidden="1" customWidth="1"/>
    <col min="11524" max="11524" width="43.46484375" style="100" customWidth="1"/>
    <col min="11525" max="11525" width="3.6640625" style="100" customWidth="1"/>
    <col min="11526" max="11526" width="30.33203125" style="100" customWidth="1"/>
    <col min="11527" max="11527" width="18.46484375" style="100" customWidth="1"/>
    <col min="11528" max="11528" width="30.33203125" style="100" customWidth="1"/>
    <col min="11529" max="11529" width="18.46484375" style="100" customWidth="1"/>
    <col min="11530" max="11530" width="12.1328125" style="100" customWidth="1"/>
    <col min="11531" max="11531" width="11.46484375" style="100" customWidth="1"/>
    <col min="11532" max="11532" width="5" style="100" customWidth="1"/>
    <col min="11533" max="11533" width="18.46484375" style="100" customWidth="1"/>
    <col min="11534" max="11534" width="12.1328125" style="100" customWidth="1"/>
    <col min="11535" max="11535" width="11.46484375" style="100" customWidth="1"/>
    <col min="11536" max="11778" width="9.1328125" style="100"/>
    <col min="11779" max="11779" width="0" style="100" hidden="1" customWidth="1"/>
    <col min="11780" max="11780" width="43.46484375" style="100" customWidth="1"/>
    <col min="11781" max="11781" width="3.6640625" style="100" customWidth="1"/>
    <col min="11782" max="11782" width="30.33203125" style="100" customWidth="1"/>
    <col min="11783" max="11783" width="18.46484375" style="100" customWidth="1"/>
    <col min="11784" max="11784" width="30.33203125" style="100" customWidth="1"/>
    <col min="11785" max="11785" width="18.46484375" style="100" customWidth="1"/>
    <col min="11786" max="11786" width="12.1328125" style="100" customWidth="1"/>
    <col min="11787" max="11787" width="11.46484375" style="100" customWidth="1"/>
    <col min="11788" max="11788" width="5" style="100" customWidth="1"/>
    <col min="11789" max="11789" width="18.46484375" style="100" customWidth="1"/>
    <col min="11790" max="11790" width="12.1328125" style="100" customWidth="1"/>
    <col min="11791" max="11791" width="11.46484375" style="100" customWidth="1"/>
    <col min="11792" max="12034" width="9.1328125" style="100"/>
    <col min="12035" max="12035" width="0" style="100" hidden="1" customWidth="1"/>
    <col min="12036" max="12036" width="43.46484375" style="100" customWidth="1"/>
    <col min="12037" max="12037" width="3.6640625" style="100" customWidth="1"/>
    <col min="12038" max="12038" width="30.33203125" style="100" customWidth="1"/>
    <col min="12039" max="12039" width="18.46484375" style="100" customWidth="1"/>
    <col min="12040" max="12040" width="30.33203125" style="100" customWidth="1"/>
    <col min="12041" max="12041" width="18.46484375" style="100" customWidth="1"/>
    <col min="12042" max="12042" width="12.1328125" style="100" customWidth="1"/>
    <col min="12043" max="12043" width="11.46484375" style="100" customWidth="1"/>
    <col min="12044" max="12044" width="5" style="100" customWidth="1"/>
    <col min="12045" max="12045" width="18.46484375" style="100" customWidth="1"/>
    <col min="12046" max="12046" width="12.1328125" style="100" customWidth="1"/>
    <col min="12047" max="12047" width="11.46484375" style="100" customWidth="1"/>
    <col min="12048" max="12290" width="9.1328125" style="100"/>
    <col min="12291" max="12291" width="0" style="100" hidden="1" customWidth="1"/>
    <col min="12292" max="12292" width="43.46484375" style="100" customWidth="1"/>
    <col min="12293" max="12293" width="3.6640625" style="100" customWidth="1"/>
    <col min="12294" max="12294" width="30.33203125" style="100" customWidth="1"/>
    <col min="12295" max="12295" width="18.46484375" style="100" customWidth="1"/>
    <col min="12296" max="12296" width="30.33203125" style="100" customWidth="1"/>
    <col min="12297" max="12297" width="18.46484375" style="100" customWidth="1"/>
    <col min="12298" max="12298" width="12.1328125" style="100" customWidth="1"/>
    <col min="12299" max="12299" width="11.46484375" style="100" customWidth="1"/>
    <col min="12300" max="12300" width="5" style="100" customWidth="1"/>
    <col min="12301" max="12301" width="18.46484375" style="100" customWidth="1"/>
    <col min="12302" max="12302" width="12.1328125" style="100" customWidth="1"/>
    <col min="12303" max="12303" width="11.46484375" style="100" customWidth="1"/>
    <col min="12304" max="12546" width="9.1328125" style="100"/>
    <col min="12547" max="12547" width="0" style="100" hidden="1" customWidth="1"/>
    <col min="12548" max="12548" width="43.46484375" style="100" customWidth="1"/>
    <col min="12549" max="12549" width="3.6640625" style="100" customWidth="1"/>
    <col min="12550" max="12550" width="30.33203125" style="100" customWidth="1"/>
    <col min="12551" max="12551" width="18.46484375" style="100" customWidth="1"/>
    <col min="12552" max="12552" width="30.33203125" style="100" customWidth="1"/>
    <col min="12553" max="12553" width="18.46484375" style="100" customWidth="1"/>
    <col min="12554" max="12554" width="12.1328125" style="100" customWidth="1"/>
    <col min="12555" max="12555" width="11.46484375" style="100" customWidth="1"/>
    <col min="12556" max="12556" width="5" style="100" customWidth="1"/>
    <col min="12557" max="12557" width="18.46484375" style="100" customWidth="1"/>
    <col min="12558" max="12558" width="12.1328125" style="100" customWidth="1"/>
    <col min="12559" max="12559" width="11.46484375" style="100" customWidth="1"/>
    <col min="12560" max="12802" width="9.1328125" style="100"/>
    <col min="12803" max="12803" width="0" style="100" hidden="1" customWidth="1"/>
    <col min="12804" max="12804" width="43.46484375" style="100" customWidth="1"/>
    <col min="12805" max="12805" width="3.6640625" style="100" customWidth="1"/>
    <col min="12806" max="12806" width="30.33203125" style="100" customWidth="1"/>
    <col min="12807" max="12807" width="18.46484375" style="100" customWidth="1"/>
    <col min="12808" max="12808" width="30.33203125" style="100" customWidth="1"/>
    <col min="12809" max="12809" width="18.46484375" style="100" customWidth="1"/>
    <col min="12810" max="12810" width="12.1328125" style="100" customWidth="1"/>
    <col min="12811" max="12811" width="11.46484375" style="100" customWidth="1"/>
    <col min="12812" max="12812" width="5" style="100" customWidth="1"/>
    <col min="12813" max="12813" width="18.46484375" style="100" customWidth="1"/>
    <col min="12814" max="12814" width="12.1328125" style="100" customWidth="1"/>
    <col min="12815" max="12815" width="11.46484375" style="100" customWidth="1"/>
    <col min="12816" max="13058" width="9.1328125" style="100"/>
    <col min="13059" max="13059" width="0" style="100" hidden="1" customWidth="1"/>
    <col min="13060" max="13060" width="43.46484375" style="100" customWidth="1"/>
    <col min="13061" max="13061" width="3.6640625" style="100" customWidth="1"/>
    <col min="13062" max="13062" width="30.33203125" style="100" customWidth="1"/>
    <col min="13063" max="13063" width="18.46484375" style="100" customWidth="1"/>
    <col min="13064" max="13064" width="30.33203125" style="100" customWidth="1"/>
    <col min="13065" max="13065" width="18.46484375" style="100" customWidth="1"/>
    <col min="13066" max="13066" width="12.1328125" style="100" customWidth="1"/>
    <col min="13067" max="13067" width="11.46484375" style="100" customWidth="1"/>
    <col min="13068" max="13068" width="5" style="100" customWidth="1"/>
    <col min="13069" max="13069" width="18.46484375" style="100" customWidth="1"/>
    <col min="13070" max="13070" width="12.1328125" style="100" customWidth="1"/>
    <col min="13071" max="13071" width="11.46484375" style="100" customWidth="1"/>
    <col min="13072" max="13314" width="9.1328125" style="100"/>
    <col min="13315" max="13315" width="0" style="100" hidden="1" customWidth="1"/>
    <col min="13316" max="13316" width="43.46484375" style="100" customWidth="1"/>
    <col min="13317" max="13317" width="3.6640625" style="100" customWidth="1"/>
    <col min="13318" max="13318" width="30.33203125" style="100" customWidth="1"/>
    <col min="13319" max="13319" width="18.46484375" style="100" customWidth="1"/>
    <col min="13320" max="13320" width="30.33203125" style="100" customWidth="1"/>
    <col min="13321" max="13321" width="18.46484375" style="100" customWidth="1"/>
    <col min="13322" max="13322" width="12.1328125" style="100" customWidth="1"/>
    <col min="13323" max="13323" width="11.46484375" style="100" customWidth="1"/>
    <col min="13324" max="13324" width="5" style="100" customWidth="1"/>
    <col min="13325" max="13325" width="18.46484375" style="100" customWidth="1"/>
    <col min="13326" max="13326" width="12.1328125" style="100" customWidth="1"/>
    <col min="13327" max="13327" width="11.46484375" style="100" customWidth="1"/>
    <col min="13328" max="13570" width="9.1328125" style="100"/>
    <col min="13571" max="13571" width="0" style="100" hidden="1" customWidth="1"/>
    <col min="13572" max="13572" width="43.46484375" style="100" customWidth="1"/>
    <col min="13573" max="13573" width="3.6640625" style="100" customWidth="1"/>
    <col min="13574" max="13574" width="30.33203125" style="100" customWidth="1"/>
    <col min="13575" max="13575" width="18.46484375" style="100" customWidth="1"/>
    <col min="13576" max="13576" width="30.33203125" style="100" customWidth="1"/>
    <col min="13577" max="13577" width="18.46484375" style="100" customWidth="1"/>
    <col min="13578" max="13578" width="12.1328125" style="100" customWidth="1"/>
    <col min="13579" max="13579" width="11.46484375" style="100" customWidth="1"/>
    <col min="13580" max="13580" width="5" style="100" customWidth="1"/>
    <col min="13581" max="13581" width="18.46484375" style="100" customWidth="1"/>
    <col min="13582" max="13582" width="12.1328125" style="100" customWidth="1"/>
    <col min="13583" max="13583" width="11.46484375" style="100" customWidth="1"/>
    <col min="13584" max="13826" width="9.1328125" style="100"/>
    <col min="13827" max="13827" width="0" style="100" hidden="1" customWidth="1"/>
    <col min="13828" max="13828" width="43.46484375" style="100" customWidth="1"/>
    <col min="13829" max="13829" width="3.6640625" style="100" customWidth="1"/>
    <col min="13830" max="13830" width="30.33203125" style="100" customWidth="1"/>
    <col min="13831" max="13831" width="18.46484375" style="100" customWidth="1"/>
    <col min="13832" max="13832" width="30.33203125" style="100" customWidth="1"/>
    <col min="13833" max="13833" width="18.46484375" style="100" customWidth="1"/>
    <col min="13834" max="13834" width="12.1328125" style="100" customWidth="1"/>
    <col min="13835" max="13835" width="11.46484375" style="100" customWidth="1"/>
    <col min="13836" max="13836" width="5" style="100" customWidth="1"/>
    <col min="13837" max="13837" width="18.46484375" style="100" customWidth="1"/>
    <col min="13838" max="13838" width="12.1328125" style="100" customWidth="1"/>
    <col min="13839" max="13839" width="11.46484375" style="100" customWidth="1"/>
    <col min="13840" max="14082" width="9.1328125" style="100"/>
    <col min="14083" max="14083" width="0" style="100" hidden="1" customWidth="1"/>
    <col min="14084" max="14084" width="43.46484375" style="100" customWidth="1"/>
    <col min="14085" max="14085" width="3.6640625" style="100" customWidth="1"/>
    <col min="14086" max="14086" width="30.33203125" style="100" customWidth="1"/>
    <col min="14087" max="14087" width="18.46484375" style="100" customWidth="1"/>
    <col min="14088" max="14088" width="30.33203125" style="100" customWidth="1"/>
    <col min="14089" max="14089" width="18.46484375" style="100" customWidth="1"/>
    <col min="14090" max="14090" width="12.1328125" style="100" customWidth="1"/>
    <col min="14091" max="14091" width="11.46484375" style="100" customWidth="1"/>
    <col min="14092" max="14092" width="5" style="100" customWidth="1"/>
    <col min="14093" max="14093" width="18.46484375" style="100" customWidth="1"/>
    <col min="14094" max="14094" width="12.1328125" style="100" customWidth="1"/>
    <col min="14095" max="14095" width="11.46484375" style="100" customWidth="1"/>
    <col min="14096" max="14338" width="9.1328125" style="100"/>
    <col min="14339" max="14339" width="0" style="100" hidden="1" customWidth="1"/>
    <col min="14340" max="14340" width="43.46484375" style="100" customWidth="1"/>
    <col min="14341" max="14341" width="3.6640625" style="100" customWidth="1"/>
    <col min="14342" max="14342" width="30.33203125" style="100" customWidth="1"/>
    <col min="14343" max="14343" width="18.46484375" style="100" customWidth="1"/>
    <col min="14344" max="14344" width="30.33203125" style="100" customWidth="1"/>
    <col min="14345" max="14345" width="18.46484375" style="100" customWidth="1"/>
    <col min="14346" max="14346" width="12.1328125" style="100" customWidth="1"/>
    <col min="14347" max="14347" width="11.46484375" style="100" customWidth="1"/>
    <col min="14348" max="14348" width="5" style="100" customWidth="1"/>
    <col min="14349" max="14349" width="18.46484375" style="100" customWidth="1"/>
    <col min="14350" max="14350" width="12.1328125" style="100" customWidth="1"/>
    <col min="14351" max="14351" width="11.46484375" style="100" customWidth="1"/>
    <col min="14352" max="14594" width="9.1328125" style="100"/>
    <col min="14595" max="14595" width="0" style="100" hidden="1" customWidth="1"/>
    <col min="14596" max="14596" width="43.46484375" style="100" customWidth="1"/>
    <col min="14597" max="14597" width="3.6640625" style="100" customWidth="1"/>
    <col min="14598" max="14598" width="30.33203125" style="100" customWidth="1"/>
    <col min="14599" max="14599" width="18.46484375" style="100" customWidth="1"/>
    <col min="14600" max="14600" width="30.33203125" style="100" customWidth="1"/>
    <col min="14601" max="14601" width="18.46484375" style="100" customWidth="1"/>
    <col min="14602" max="14602" width="12.1328125" style="100" customWidth="1"/>
    <col min="14603" max="14603" width="11.46484375" style="100" customWidth="1"/>
    <col min="14604" max="14604" width="5" style="100" customWidth="1"/>
    <col min="14605" max="14605" width="18.46484375" style="100" customWidth="1"/>
    <col min="14606" max="14606" width="12.1328125" style="100" customWidth="1"/>
    <col min="14607" max="14607" width="11.46484375" style="100" customWidth="1"/>
    <col min="14608" max="14850" width="9.1328125" style="100"/>
    <col min="14851" max="14851" width="0" style="100" hidden="1" customWidth="1"/>
    <col min="14852" max="14852" width="43.46484375" style="100" customWidth="1"/>
    <col min="14853" max="14853" width="3.6640625" style="100" customWidth="1"/>
    <col min="14854" max="14854" width="30.33203125" style="100" customWidth="1"/>
    <col min="14855" max="14855" width="18.46484375" style="100" customWidth="1"/>
    <col min="14856" max="14856" width="30.33203125" style="100" customWidth="1"/>
    <col min="14857" max="14857" width="18.46484375" style="100" customWidth="1"/>
    <col min="14858" max="14858" width="12.1328125" style="100" customWidth="1"/>
    <col min="14859" max="14859" width="11.46484375" style="100" customWidth="1"/>
    <col min="14860" max="14860" width="5" style="100" customWidth="1"/>
    <col min="14861" max="14861" width="18.46484375" style="100" customWidth="1"/>
    <col min="14862" max="14862" width="12.1328125" style="100" customWidth="1"/>
    <col min="14863" max="14863" width="11.46484375" style="100" customWidth="1"/>
    <col min="14864" max="15106" width="9.1328125" style="100"/>
    <col min="15107" max="15107" width="0" style="100" hidden="1" customWidth="1"/>
    <col min="15108" max="15108" width="43.46484375" style="100" customWidth="1"/>
    <col min="15109" max="15109" width="3.6640625" style="100" customWidth="1"/>
    <col min="15110" max="15110" width="30.33203125" style="100" customWidth="1"/>
    <col min="15111" max="15111" width="18.46484375" style="100" customWidth="1"/>
    <col min="15112" max="15112" width="30.33203125" style="100" customWidth="1"/>
    <col min="15113" max="15113" width="18.46484375" style="100" customWidth="1"/>
    <col min="15114" max="15114" width="12.1328125" style="100" customWidth="1"/>
    <col min="15115" max="15115" width="11.46484375" style="100" customWidth="1"/>
    <col min="15116" max="15116" width="5" style="100" customWidth="1"/>
    <col min="15117" max="15117" width="18.46484375" style="100" customWidth="1"/>
    <col min="15118" max="15118" width="12.1328125" style="100" customWidth="1"/>
    <col min="15119" max="15119" width="11.46484375" style="100" customWidth="1"/>
    <col min="15120" max="15362" width="9.1328125" style="100"/>
    <col min="15363" max="15363" width="0" style="100" hidden="1" customWidth="1"/>
    <col min="15364" max="15364" width="43.46484375" style="100" customWidth="1"/>
    <col min="15365" max="15365" width="3.6640625" style="100" customWidth="1"/>
    <col min="15366" max="15366" width="30.33203125" style="100" customWidth="1"/>
    <col min="15367" max="15367" width="18.46484375" style="100" customWidth="1"/>
    <col min="15368" max="15368" width="30.33203125" style="100" customWidth="1"/>
    <col min="15369" max="15369" width="18.46484375" style="100" customWidth="1"/>
    <col min="15370" max="15370" width="12.1328125" style="100" customWidth="1"/>
    <col min="15371" max="15371" width="11.46484375" style="100" customWidth="1"/>
    <col min="15372" max="15372" width="5" style="100" customWidth="1"/>
    <col min="15373" max="15373" width="18.46484375" style="100" customWidth="1"/>
    <col min="15374" max="15374" width="12.1328125" style="100" customWidth="1"/>
    <col min="15375" max="15375" width="11.46484375" style="100" customWidth="1"/>
    <col min="15376" max="15618" width="9.1328125" style="100"/>
    <col min="15619" max="15619" width="0" style="100" hidden="1" customWidth="1"/>
    <col min="15620" max="15620" width="43.46484375" style="100" customWidth="1"/>
    <col min="15621" max="15621" width="3.6640625" style="100" customWidth="1"/>
    <col min="15622" max="15622" width="30.33203125" style="100" customWidth="1"/>
    <col min="15623" max="15623" width="18.46484375" style="100" customWidth="1"/>
    <col min="15624" max="15624" width="30.33203125" style="100" customWidth="1"/>
    <col min="15625" max="15625" width="18.46484375" style="100" customWidth="1"/>
    <col min="15626" max="15626" width="12.1328125" style="100" customWidth="1"/>
    <col min="15627" max="15627" width="11.46484375" style="100" customWidth="1"/>
    <col min="15628" max="15628" width="5" style="100" customWidth="1"/>
    <col min="15629" max="15629" width="18.46484375" style="100" customWidth="1"/>
    <col min="15630" max="15630" width="12.1328125" style="100" customWidth="1"/>
    <col min="15631" max="15631" width="11.46484375" style="100" customWidth="1"/>
    <col min="15632" max="15874" width="9.1328125" style="100"/>
    <col min="15875" max="15875" width="0" style="100" hidden="1" customWidth="1"/>
    <col min="15876" max="15876" width="43.46484375" style="100" customWidth="1"/>
    <col min="15877" max="15877" width="3.6640625" style="100" customWidth="1"/>
    <col min="15878" max="15878" width="30.33203125" style="100" customWidth="1"/>
    <col min="15879" max="15879" width="18.46484375" style="100" customWidth="1"/>
    <col min="15880" max="15880" width="30.33203125" style="100" customWidth="1"/>
    <col min="15881" max="15881" width="18.46484375" style="100" customWidth="1"/>
    <col min="15882" max="15882" width="12.1328125" style="100" customWidth="1"/>
    <col min="15883" max="15883" width="11.46484375" style="100" customWidth="1"/>
    <col min="15884" max="15884" width="5" style="100" customWidth="1"/>
    <col min="15885" max="15885" width="18.46484375" style="100" customWidth="1"/>
    <col min="15886" max="15886" width="12.1328125" style="100" customWidth="1"/>
    <col min="15887" max="15887" width="11.46484375" style="100" customWidth="1"/>
    <col min="15888" max="16130" width="9.1328125" style="100"/>
    <col min="16131" max="16131" width="0" style="100" hidden="1" customWidth="1"/>
    <col min="16132" max="16132" width="43.46484375" style="100" customWidth="1"/>
    <col min="16133" max="16133" width="3.6640625" style="100" customWidth="1"/>
    <col min="16134" max="16134" width="30.33203125" style="100" customWidth="1"/>
    <col min="16135" max="16135" width="18.46484375" style="100" customWidth="1"/>
    <col min="16136" max="16136" width="30.33203125" style="100" customWidth="1"/>
    <col min="16137" max="16137" width="18.46484375" style="100" customWidth="1"/>
    <col min="16138" max="16138" width="12.1328125" style="100" customWidth="1"/>
    <col min="16139" max="16139" width="11.46484375" style="100" customWidth="1"/>
    <col min="16140" max="16140" width="5" style="100" customWidth="1"/>
    <col min="16141" max="16141" width="18.46484375" style="100" customWidth="1"/>
    <col min="16142" max="16142" width="12.1328125" style="100" customWidth="1"/>
    <col min="16143" max="16143" width="11.46484375" style="100" customWidth="1"/>
    <col min="16144" max="16384" width="9.1328125" style="100"/>
  </cols>
  <sheetData>
    <row r="1" spans="1:258" ht="12.75" customHeight="1">
      <c r="A1" s="97"/>
      <c r="B1" s="140"/>
      <c r="C1" s="97"/>
      <c r="D1" s="97"/>
      <c r="E1" s="97"/>
      <c r="F1" s="97"/>
      <c r="G1" s="97"/>
      <c r="H1" s="97"/>
      <c r="I1" s="97"/>
      <c r="J1" s="97"/>
      <c r="K1" s="97"/>
      <c r="L1" s="98"/>
      <c r="M1" s="97"/>
      <c r="N1" s="97"/>
      <c r="O1" s="97"/>
      <c r="P1" s="99"/>
      <c r="Q1" s="99"/>
      <c r="R1" s="99"/>
      <c r="S1" s="99"/>
      <c r="T1" s="99"/>
      <c r="U1" s="99"/>
      <c r="V1" s="99"/>
      <c r="W1" s="99"/>
      <c r="X1" s="99"/>
      <c r="Y1" s="99"/>
      <c r="Z1" s="99"/>
      <c r="AA1" s="99"/>
      <c r="AB1" s="99"/>
      <c r="AC1" s="99"/>
      <c r="AD1" s="99"/>
      <c r="AE1" s="99"/>
      <c r="AF1" s="99"/>
      <c r="AG1" s="99"/>
    </row>
    <row r="2" spans="1:258" s="221" customFormat="1" ht="21" customHeight="1">
      <c r="A2" s="97"/>
      <c r="B2" s="3188" t="s">
        <v>0</v>
      </c>
      <c r="C2" s="99"/>
      <c r="D2" s="217" t="s">
        <v>447</v>
      </c>
      <c r="E2" s="218"/>
      <c r="F2" s="218"/>
      <c r="G2" s="218"/>
      <c r="H2" s="218"/>
      <c r="I2" s="218"/>
      <c r="J2" s="220"/>
      <c r="K2" s="218"/>
      <c r="L2" s="218"/>
      <c r="M2" s="218"/>
      <c r="N2" s="218"/>
      <c r="O2" s="218"/>
      <c r="P2" s="220"/>
      <c r="Q2" s="220"/>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c r="EA2" s="218"/>
      <c r="EB2" s="218"/>
      <c r="EC2" s="218"/>
      <c r="ED2" s="218"/>
      <c r="EE2" s="218"/>
      <c r="EF2" s="218"/>
      <c r="EG2" s="218"/>
      <c r="EH2" s="218"/>
      <c r="EI2" s="218"/>
      <c r="EJ2" s="218"/>
      <c r="EK2" s="218"/>
      <c r="EL2" s="218"/>
      <c r="EM2" s="218"/>
      <c r="EN2" s="218"/>
      <c r="EO2" s="218"/>
      <c r="EP2" s="218"/>
      <c r="EQ2" s="218"/>
      <c r="ER2" s="218"/>
      <c r="ES2" s="218"/>
      <c r="ET2" s="218"/>
      <c r="EU2" s="218"/>
      <c r="EV2" s="218"/>
      <c r="EW2" s="218"/>
      <c r="EX2" s="218"/>
      <c r="EY2" s="218"/>
      <c r="EZ2" s="218"/>
      <c r="FA2" s="218"/>
      <c r="FB2" s="218"/>
      <c r="FC2" s="218"/>
      <c r="FD2" s="218"/>
      <c r="FE2" s="218"/>
      <c r="FF2" s="218"/>
      <c r="FG2" s="218"/>
      <c r="FH2" s="218"/>
      <c r="FI2" s="218"/>
      <c r="FJ2" s="218"/>
      <c r="FK2" s="218"/>
      <c r="FL2" s="218"/>
      <c r="FM2" s="218"/>
      <c r="FN2" s="218"/>
      <c r="FO2" s="218"/>
      <c r="FP2" s="218"/>
      <c r="FQ2" s="218"/>
      <c r="FR2" s="218"/>
      <c r="FS2" s="218"/>
      <c r="FT2" s="218"/>
      <c r="FU2" s="218"/>
      <c r="FV2" s="218"/>
      <c r="FW2" s="218"/>
      <c r="FX2" s="218"/>
      <c r="FY2" s="218"/>
      <c r="FZ2" s="218"/>
      <c r="GA2" s="218"/>
      <c r="GB2" s="218"/>
      <c r="GC2" s="218"/>
      <c r="GD2" s="218"/>
      <c r="GE2" s="218"/>
      <c r="GF2" s="218"/>
      <c r="GG2" s="218"/>
      <c r="GH2" s="218"/>
      <c r="GI2" s="218"/>
      <c r="GJ2" s="218"/>
      <c r="GK2" s="218"/>
      <c r="GL2" s="218"/>
      <c r="GM2" s="218"/>
      <c r="GN2" s="218"/>
      <c r="GO2" s="218"/>
      <c r="GP2" s="218"/>
      <c r="GQ2" s="218"/>
      <c r="GR2" s="218"/>
      <c r="GS2" s="218"/>
      <c r="GT2" s="218"/>
      <c r="GU2" s="218"/>
      <c r="GV2" s="218"/>
      <c r="GW2" s="218"/>
      <c r="GX2" s="218"/>
      <c r="GY2" s="218"/>
      <c r="GZ2" s="218"/>
      <c r="HA2" s="218"/>
      <c r="HB2" s="218"/>
      <c r="HC2" s="218"/>
      <c r="HD2" s="218"/>
      <c r="HE2" s="218"/>
      <c r="HF2" s="218"/>
      <c r="HG2" s="218"/>
      <c r="HH2" s="218"/>
      <c r="HI2" s="218"/>
      <c r="HJ2" s="218"/>
      <c r="HK2" s="218"/>
      <c r="HL2" s="218"/>
      <c r="HM2" s="218"/>
      <c r="HN2" s="218"/>
      <c r="HO2" s="218"/>
      <c r="HP2" s="218"/>
      <c r="HQ2" s="218"/>
      <c r="HR2" s="218"/>
      <c r="HS2" s="218"/>
      <c r="HT2" s="218"/>
      <c r="HU2" s="218"/>
      <c r="HV2" s="218"/>
      <c r="HW2" s="218"/>
      <c r="HX2" s="218"/>
      <c r="HY2" s="218"/>
      <c r="HZ2" s="218"/>
      <c r="IA2" s="218"/>
      <c r="IB2" s="218"/>
      <c r="IC2" s="218"/>
      <c r="ID2" s="218"/>
      <c r="IE2" s="218"/>
      <c r="IF2" s="218"/>
      <c r="IG2" s="218"/>
      <c r="IH2" s="218"/>
      <c r="II2" s="218"/>
      <c r="IJ2" s="218"/>
      <c r="IK2" s="218"/>
      <c r="IL2" s="218"/>
      <c r="IM2" s="218"/>
      <c r="IN2" s="218"/>
      <c r="IO2" s="218"/>
      <c r="IP2" s="218"/>
      <c r="IQ2" s="218"/>
      <c r="IR2" s="218"/>
      <c r="IS2" s="218"/>
      <c r="IT2" s="218"/>
      <c r="IU2" s="218"/>
      <c r="IV2" s="218"/>
      <c r="IW2" s="218"/>
      <c r="IX2" s="218"/>
    </row>
    <row r="3" spans="1:258" ht="21" customHeight="1">
      <c r="A3" s="97"/>
      <c r="B3" s="3188"/>
    </row>
    <row r="4" spans="1:258" ht="21" customHeight="1">
      <c r="A4" s="97"/>
      <c r="B4" s="62"/>
      <c r="D4" s="3196" t="s">
        <v>49</v>
      </c>
      <c r="E4" s="3196"/>
      <c r="F4" s="3196"/>
      <c r="G4" s="3196"/>
      <c r="H4" s="3196"/>
      <c r="I4" s="3196"/>
    </row>
    <row r="5" spans="1:258" ht="21" customHeight="1">
      <c r="A5" s="97"/>
      <c r="B5" s="62" t="s">
        <v>1</v>
      </c>
      <c r="D5" s="3197" t="s">
        <v>451</v>
      </c>
      <c r="E5" s="3197"/>
      <c r="F5" s="3197"/>
      <c r="G5" s="3197"/>
      <c r="H5" s="3197"/>
      <c r="I5" s="106" t="s">
        <v>51</v>
      </c>
    </row>
    <row r="6" spans="1:258" ht="21" customHeight="1">
      <c r="A6" s="97"/>
      <c r="B6" s="397" t="s">
        <v>452</v>
      </c>
      <c r="D6" s="107" t="s">
        <v>53</v>
      </c>
      <c r="E6" s="108"/>
      <c r="F6" s="813"/>
      <c r="G6" s="107" t="s">
        <v>54</v>
      </c>
      <c r="H6" s="110"/>
      <c r="I6" s="110"/>
    </row>
    <row r="7" spans="1:258" ht="21" customHeight="1">
      <c r="A7" s="97"/>
      <c r="B7" s="146" t="s">
        <v>239</v>
      </c>
      <c r="D7" s="111" t="s">
        <v>55</v>
      </c>
      <c r="E7" s="111"/>
      <c r="F7" s="112" t="s">
        <v>56</v>
      </c>
      <c r="G7" s="113"/>
      <c r="H7" s="812" t="s">
        <v>55</v>
      </c>
      <c r="I7" s="114" t="s">
        <v>56</v>
      </c>
    </row>
    <row r="8" spans="1:258" ht="21" customHeight="1">
      <c r="A8" s="97"/>
      <c r="B8" s="147" t="s">
        <v>448</v>
      </c>
      <c r="D8" s="115" t="s">
        <v>57</v>
      </c>
      <c r="E8" s="115"/>
      <c r="F8" s="116"/>
      <c r="G8" s="815" t="s">
        <v>58</v>
      </c>
      <c r="H8" s="118"/>
      <c r="I8" s="118"/>
    </row>
    <row r="9" spans="1:258" ht="21" customHeight="1">
      <c r="A9" s="97"/>
      <c r="B9" s="145" t="s">
        <v>559</v>
      </c>
      <c r="D9" s="831">
        <v>1</v>
      </c>
      <c r="E9" s="119" t="s">
        <v>59</v>
      </c>
      <c r="F9" s="128">
        <f>1.0936*D9</f>
        <v>1.0935999999999999</v>
      </c>
      <c r="G9" s="833">
        <v>2</v>
      </c>
      <c r="H9" s="119" t="s">
        <v>60</v>
      </c>
      <c r="I9" s="239">
        <f>231*G9</f>
        <v>462</v>
      </c>
    </row>
    <row r="10" spans="1:258" ht="21" customHeight="1">
      <c r="A10" s="97"/>
      <c r="B10" s="145" t="s">
        <v>509</v>
      </c>
      <c r="D10" s="831">
        <v>1</v>
      </c>
      <c r="E10" s="122" t="s">
        <v>61</v>
      </c>
      <c r="F10" s="131">
        <f>3.2808*D10</f>
        <v>3.2808000000000002</v>
      </c>
      <c r="G10" s="833">
        <v>1</v>
      </c>
      <c r="H10" s="122" t="s">
        <v>62</v>
      </c>
      <c r="I10" s="123">
        <f>0.133681*G10</f>
        <v>0.13368099999999999</v>
      </c>
    </row>
    <row r="11" spans="1:258" ht="21" customHeight="1">
      <c r="A11" s="97"/>
      <c r="B11" s="145" t="s">
        <v>539</v>
      </c>
      <c r="D11" s="831">
        <v>1</v>
      </c>
      <c r="E11" s="122" t="s">
        <v>63</v>
      </c>
      <c r="F11" s="131">
        <f>39.37*D11</f>
        <v>39.369999999999997</v>
      </c>
      <c r="G11" s="833">
        <v>1</v>
      </c>
      <c r="H11" s="122" t="s">
        <v>64</v>
      </c>
      <c r="I11" s="123">
        <f>0.832674*G11</f>
        <v>0.83267400000000003</v>
      </c>
    </row>
    <row r="12" spans="1:258" ht="21" customHeight="1">
      <c r="A12" s="97"/>
      <c r="B12" s="145" t="s">
        <v>540</v>
      </c>
      <c r="E12" s="125"/>
      <c r="F12" s="814"/>
      <c r="G12" s="833">
        <v>1</v>
      </c>
      <c r="H12" s="122" t="s">
        <v>65</v>
      </c>
      <c r="I12" s="123">
        <f>0.0238095*G12</f>
        <v>2.3809500000000001E-2</v>
      </c>
    </row>
    <row r="13" spans="1:258" ht="21" customHeight="1">
      <c r="A13" s="97"/>
      <c r="B13" s="145" t="s">
        <v>541</v>
      </c>
      <c r="E13" s="125"/>
      <c r="F13" s="129"/>
      <c r="G13" s="833">
        <v>1</v>
      </c>
      <c r="H13" s="122" t="s">
        <v>66</v>
      </c>
      <c r="I13" s="123">
        <f>3.78541*G13</f>
        <v>3.7854100000000002</v>
      </c>
    </row>
    <row r="14" spans="1:258" ht="21" customHeight="1">
      <c r="A14" s="97"/>
      <c r="B14" s="145" t="s">
        <v>1037</v>
      </c>
      <c r="D14" s="117" t="s">
        <v>67</v>
      </c>
      <c r="E14" s="117"/>
      <c r="F14" s="126"/>
      <c r="G14" s="815" t="s">
        <v>68</v>
      </c>
      <c r="H14" s="127"/>
      <c r="I14" s="127"/>
    </row>
    <row r="15" spans="1:258" ht="21" customHeight="1">
      <c r="A15" s="97"/>
      <c r="B15" s="62" t="s">
        <v>1263</v>
      </c>
      <c r="D15" s="831">
        <v>1</v>
      </c>
      <c r="E15" s="119" t="s">
        <v>69</v>
      </c>
      <c r="F15" s="236">
        <f>0.9144*D15</f>
        <v>0.91439999999999999</v>
      </c>
      <c r="G15" s="833">
        <v>1</v>
      </c>
      <c r="H15" s="119" t="s">
        <v>70</v>
      </c>
      <c r="I15" s="239">
        <f>42*G15</f>
        <v>42</v>
      </c>
    </row>
    <row r="16" spans="1:258" ht="21" customHeight="1">
      <c r="A16" s="97"/>
      <c r="B16" s="62" t="s">
        <v>557</v>
      </c>
      <c r="D16" s="117" t="s">
        <v>71</v>
      </c>
      <c r="E16" s="117"/>
      <c r="F16" s="126"/>
      <c r="G16" s="833">
        <v>1</v>
      </c>
      <c r="H16" s="122" t="s">
        <v>60</v>
      </c>
      <c r="I16" s="239">
        <f>9702*G16</f>
        <v>9702</v>
      </c>
    </row>
    <row r="17" spans="1:9" ht="21" customHeight="1">
      <c r="A17" s="97"/>
      <c r="B17" s="62" t="s">
        <v>238</v>
      </c>
      <c r="D17" s="831">
        <v>1</v>
      </c>
      <c r="E17" s="119" t="s">
        <v>69</v>
      </c>
      <c r="F17" s="236">
        <f>0.3048*D17</f>
        <v>0.30480000000000002</v>
      </c>
      <c r="G17" s="833">
        <v>1</v>
      </c>
      <c r="H17" s="122" t="s">
        <v>62</v>
      </c>
      <c r="I17" s="123">
        <f>5.61458*G17</f>
        <v>5.6145800000000001</v>
      </c>
    </row>
    <row r="18" spans="1:9" ht="21" customHeight="1">
      <c r="A18" s="97"/>
      <c r="B18" s="62" t="s">
        <v>1652</v>
      </c>
      <c r="D18" s="117" t="s">
        <v>72</v>
      </c>
      <c r="E18" s="117"/>
      <c r="F18" s="126"/>
      <c r="G18" s="833">
        <v>1</v>
      </c>
      <c r="H18" s="122" t="s">
        <v>64</v>
      </c>
      <c r="I18" s="123">
        <f>34.9723*G18</f>
        <v>34.972299999999997</v>
      </c>
    </row>
    <row r="19" spans="1:9" ht="21" customHeight="1">
      <c r="A19" s="97"/>
      <c r="B19" s="62" t="s">
        <v>1653</v>
      </c>
      <c r="D19" s="832">
        <v>1</v>
      </c>
      <c r="E19" s="130" t="s">
        <v>74</v>
      </c>
      <c r="F19" s="237">
        <f>2.54*D19</f>
        <v>2.54</v>
      </c>
      <c r="G19" s="833">
        <v>1</v>
      </c>
      <c r="H19" s="122" t="s">
        <v>66</v>
      </c>
      <c r="I19" s="123">
        <f>158.987*G19</f>
        <v>158.98699999999999</v>
      </c>
    </row>
    <row r="20" spans="1:9" ht="21" customHeight="1">
      <c r="A20" s="97"/>
      <c r="B20" s="62" t="s">
        <v>40</v>
      </c>
      <c r="D20" s="682"/>
      <c r="E20" s="682"/>
      <c r="F20" s="824"/>
      <c r="G20" s="815" t="s">
        <v>73</v>
      </c>
      <c r="H20" s="127"/>
      <c r="I20" s="127"/>
    </row>
    <row r="21" spans="1:9" ht="21" customHeight="1">
      <c r="A21" s="97"/>
      <c r="B21" s="62" t="s">
        <v>238</v>
      </c>
      <c r="D21" s="816"/>
      <c r="E21" s="816"/>
      <c r="F21" s="817"/>
      <c r="G21" s="833">
        <v>1</v>
      </c>
      <c r="H21" s="119" t="s">
        <v>60</v>
      </c>
      <c r="I21" s="120">
        <f>277.42*G21</f>
        <v>277.42</v>
      </c>
    </row>
    <row r="22" spans="1:9" ht="21" customHeight="1">
      <c r="A22" s="97"/>
      <c r="B22" s="62" t="s">
        <v>39</v>
      </c>
      <c r="D22" s="816"/>
      <c r="E22" s="816"/>
      <c r="F22" s="817"/>
      <c r="G22" s="833">
        <v>1</v>
      </c>
      <c r="H22" s="122" t="s">
        <v>62</v>
      </c>
      <c r="I22" s="123">
        <f>0.160544*G22</f>
        <v>0.16054399999999999</v>
      </c>
    </row>
    <row r="23" spans="1:9" ht="21" customHeight="1">
      <c r="A23" s="97"/>
      <c r="B23" s="62" t="s">
        <v>38</v>
      </c>
      <c r="D23" s="828"/>
      <c r="E23" s="828"/>
      <c r="F23" s="829"/>
      <c r="G23" s="833">
        <v>1</v>
      </c>
      <c r="H23" s="122" t="s">
        <v>70</v>
      </c>
      <c r="I23" s="123">
        <f>1.20095*G23</f>
        <v>1.20095</v>
      </c>
    </row>
    <row r="24" spans="1:9" ht="21" customHeight="1">
      <c r="A24" s="97"/>
      <c r="B24" s="62"/>
      <c r="D24" s="3192" t="s">
        <v>75</v>
      </c>
      <c r="E24" s="3192"/>
      <c r="F24" s="3193"/>
      <c r="G24" s="833">
        <v>1</v>
      </c>
      <c r="H24" s="122" t="s">
        <v>65</v>
      </c>
      <c r="I24" s="123">
        <f>0.0285941*G24</f>
        <v>2.8594100000000001E-2</v>
      </c>
    </row>
    <row r="25" spans="1:9" ht="21" customHeight="1">
      <c r="A25" s="97"/>
      <c r="B25" s="565"/>
      <c r="D25" s="3195" t="s">
        <v>55</v>
      </c>
      <c r="E25" s="3195"/>
      <c r="F25" s="811" t="s">
        <v>56</v>
      </c>
      <c r="G25" s="833">
        <v>1</v>
      </c>
      <c r="H25" s="122" t="s">
        <v>66</v>
      </c>
      <c r="I25" s="123">
        <f>4.54596*G25</f>
        <v>4.54596</v>
      </c>
    </row>
    <row r="26" spans="1:9" ht="21" customHeight="1">
      <c r="A26" s="97"/>
      <c r="B26" s="63"/>
      <c r="D26" s="117" t="s">
        <v>77</v>
      </c>
      <c r="E26" s="117"/>
      <c r="F26" s="116"/>
      <c r="G26" s="815" t="s">
        <v>76</v>
      </c>
      <c r="H26" s="127"/>
      <c r="I26" s="127"/>
    </row>
    <row r="27" spans="1:9" ht="21" customHeight="1">
      <c r="A27" s="97"/>
      <c r="B27" s="62"/>
      <c r="D27" s="831">
        <v>1</v>
      </c>
      <c r="E27" s="119" t="s">
        <v>78</v>
      </c>
      <c r="F27" s="818">
        <f>2240*D27</f>
        <v>2240</v>
      </c>
      <c r="G27" s="833">
        <v>1</v>
      </c>
      <c r="H27" s="119" t="s">
        <v>64</v>
      </c>
      <c r="I27" s="120">
        <f>6.22883*G27</f>
        <v>6.2288300000000003</v>
      </c>
    </row>
    <row r="28" spans="1:9" ht="21" customHeight="1">
      <c r="A28" s="97"/>
      <c r="B28" s="62"/>
      <c r="D28" s="831">
        <v>1</v>
      </c>
      <c r="E28" s="122" t="s">
        <v>79</v>
      </c>
      <c r="F28" s="238">
        <f>1.12*D28</f>
        <v>1.1200000000000001</v>
      </c>
      <c r="G28" s="833">
        <v>1</v>
      </c>
      <c r="H28" s="122" t="s">
        <v>70</v>
      </c>
      <c r="I28" s="123">
        <f>7.48052*G28</f>
        <v>7.4805200000000003</v>
      </c>
    </row>
    <row r="29" spans="1:9" ht="21" customHeight="1">
      <c r="A29" s="97"/>
      <c r="B29" s="62"/>
      <c r="D29" s="831">
        <v>1</v>
      </c>
      <c r="E29" s="122" t="s">
        <v>80</v>
      </c>
      <c r="F29" s="128">
        <f>1.01605*D29</f>
        <v>1.0160499999999999</v>
      </c>
      <c r="G29" s="833">
        <v>1</v>
      </c>
      <c r="H29" s="122" t="s">
        <v>65</v>
      </c>
      <c r="I29" s="123">
        <f>0.178108*G29</f>
        <v>0.17810799999999999</v>
      </c>
    </row>
    <row r="30" spans="1:9" ht="21" customHeight="1">
      <c r="A30" s="97"/>
      <c r="B30" s="62"/>
      <c r="E30" s="125"/>
      <c r="F30" s="129"/>
      <c r="G30" s="833">
        <v>1</v>
      </c>
      <c r="H30" s="122" t="s">
        <v>66</v>
      </c>
      <c r="I30" s="123">
        <f>28.3169*G30</f>
        <v>28.3169</v>
      </c>
    </row>
    <row r="31" spans="1:9" ht="21" customHeight="1">
      <c r="A31" s="97"/>
      <c r="B31" s="62"/>
      <c r="D31" s="117" t="s">
        <v>83</v>
      </c>
      <c r="E31" s="117"/>
      <c r="F31" s="126"/>
      <c r="G31" s="833">
        <v>1</v>
      </c>
      <c r="H31" s="122" t="s">
        <v>81</v>
      </c>
      <c r="I31" s="123">
        <f>0.0283169*G31</f>
        <v>2.8316899999999999E-2</v>
      </c>
    </row>
    <row r="32" spans="1:9" ht="21" customHeight="1">
      <c r="A32" s="97"/>
      <c r="B32" s="62"/>
      <c r="D32" s="831">
        <v>1</v>
      </c>
      <c r="E32" s="119" t="s">
        <v>78</v>
      </c>
      <c r="F32" s="818">
        <f>2000*D32</f>
        <v>2000</v>
      </c>
      <c r="G32" s="815" t="s">
        <v>82</v>
      </c>
      <c r="H32" s="127"/>
      <c r="I32" s="127"/>
    </row>
    <row r="33" spans="1:9" ht="21" customHeight="1">
      <c r="A33" s="97"/>
      <c r="B33" s="140"/>
      <c r="D33" s="831">
        <v>1</v>
      </c>
      <c r="E33" s="122" t="s">
        <v>84</v>
      </c>
      <c r="F33" s="131">
        <f>0.892857*D33</f>
        <v>0.89285700000000001</v>
      </c>
      <c r="G33" s="833">
        <v>1</v>
      </c>
      <c r="H33" s="119" t="s">
        <v>64</v>
      </c>
      <c r="I33" s="120">
        <f>0.00360465*G33</f>
        <v>3.60465E-3</v>
      </c>
    </row>
    <row r="34" spans="1:9" ht="21" customHeight="1">
      <c r="A34" s="97"/>
      <c r="B34" s="140"/>
      <c r="D34" s="831">
        <v>1</v>
      </c>
      <c r="E34" s="122" t="s">
        <v>80</v>
      </c>
      <c r="F34" s="131">
        <f>0.907185*D34</f>
        <v>0.90718500000000002</v>
      </c>
      <c r="G34" s="833">
        <v>1</v>
      </c>
      <c r="H34" s="122" t="s">
        <v>70</v>
      </c>
      <c r="I34" s="123">
        <f>0.004329*G34</f>
        <v>4.3290000000000004E-3</v>
      </c>
    </row>
    <row r="35" spans="1:9" ht="21" customHeight="1">
      <c r="A35" s="97"/>
      <c r="B35" s="140"/>
      <c r="E35" s="125"/>
      <c r="F35" s="129"/>
      <c r="G35" s="833">
        <v>1</v>
      </c>
      <c r="H35" s="122" t="s">
        <v>66</v>
      </c>
      <c r="I35" s="123">
        <f>0.0163871*G35</f>
        <v>1.6387100000000002E-2</v>
      </c>
    </row>
    <row r="36" spans="1:9" ht="21" customHeight="1">
      <c r="A36" s="97"/>
      <c r="B36" s="140"/>
      <c r="D36" s="117" t="s">
        <v>86</v>
      </c>
      <c r="E36" s="117"/>
      <c r="F36" s="126"/>
      <c r="G36" s="815" t="s">
        <v>85</v>
      </c>
      <c r="H36" s="127"/>
      <c r="I36" s="127"/>
    </row>
    <row r="37" spans="1:9" ht="21" customHeight="1">
      <c r="A37" s="97"/>
      <c r="B37" s="140"/>
      <c r="D37" s="831">
        <v>1</v>
      </c>
      <c r="E37" s="119" t="s">
        <v>84</v>
      </c>
      <c r="F37" s="132">
        <f>0.984206*D37</f>
        <v>0.98420600000000003</v>
      </c>
      <c r="G37" s="833">
        <v>1</v>
      </c>
      <c r="H37" s="119" t="s">
        <v>60</v>
      </c>
      <c r="I37" s="120">
        <f>61.0238*G37</f>
        <v>61.023800000000001</v>
      </c>
    </row>
    <row r="38" spans="1:9" ht="21" customHeight="1">
      <c r="A38" s="97"/>
      <c r="B38" s="140"/>
      <c r="D38" s="831">
        <v>1</v>
      </c>
      <c r="E38" s="122" t="s">
        <v>79</v>
      </c>
      <c r="F38" s="133">
        <f>1.10231*D38</f>
        <v>1.1023099999999999</v>
      </c>
      <c r="G38" s="833">
        <v>1</v>
      </c>
      <c r="H38" s="122" t="s">
        <v>62</v>
      </c>
      <c r="I38" s="123">
        <f>0.0353147*G38</f>
        <v>3.5314699999999997E-2</v>
      </c>
    </row>
    <row r="39" spans="1:9" ht="21" customHeight="1">
      <c r="A39" s="97"/>
      <c r="B39" s="140"/>
      <c r="E39" s="125"/>
      <c r="F39" s="814"/>
      <c r="G39" s="833">
        <v>1</v>
      </c>
      <c r="H39" s="122" t="s">
        <v>64</v>
      </c>
      <c r="I39" s="123">
        <f>0.219969*G39</f>
        <v>0.219969</v>
      </c>
    </row>
    <row r="40" spans="1:9" ht="21" customHeight="1">
      <c r="A40" s="97"/>
      <c r="B40" s="140"/>
      <c r="D40" s="117" t="s">
        <v>87</v>
      </c>
      <c r="E40" s="117"/>
      <c r="F40" s="126"/>
      <c r="G40" s="833">
        <v>1</v>
      </c>
      <c r="H40" s="122" t="s">
        <v>70</v>
      </c>
      <c r="I40" s="123">
        <f>0.264172*G40</f>
        <v>0.26417200000000002</v>
      </c>
    </row>
    <row r="41" spans="1:9" ht="21" customHeight="1">
      <c r="A41" s="97"/>
      <c r="B41" s="140"/>
      <c r="D41" s="831">
        <v>1</v>
      </c>
      <c r="E41" s="119" t="s">
        <v>89</v>
      </c>
      <c r="F41" s="128">
        <f>0.453592*D41</f>
        <v>0.453592</v>
      </c>
      <c r="G41" s="833">
        <v>1</v>
      </c>
      <c r="H41" s="122" t="s">
        <v>65</v>
      </c>
      <c r="I41" s="123">
        <f>0.00628981*G41</f>
        <v>6.2898099999999998E-3</v>
      </c>
    </row>
    <row r="42" spans="1:9" ht="21" customHeight="1">
      <c r="A42" s="97"/>
      <c r="B42" s="140"/>
      <c r="E42" s="125"/>
      <c r="F42" s="129"/>
      <c r="G42" s="815" t="s">
        <v>88</v>
      </c>
      <c r="H42" s="127"/>
      <c r="I42" s="127"/>
    </row>
    <row r="43" spans="1:9" ht="21" customHeight="1">
      <c r="A43" s="97"/>
      <c r="B43" s="140"/>
      <c r="D43" s="117" t="s">
        <v>90</v>
      </c>
      <c r="E43" s="117"/>
      <c r="F43" s="126"/>
      <c r="G43" s="833">
        <v>1</v>
      </c>
      <c r="H43" s="119" t="s">
        <v>64</v>
      </c>
      <c r="I43" s="120">
        <f>219.969*G43</f>
        <v>219.96899999999999</v>
      </c>
    </row>
    <row r="44" spans="1:9" ht="21" customHeight="1">
      <c r="A44" s="97"/>
      <c r="B44" s="140"/>
      <c r="D44" s="831">
        <v>1</v>
      </c>
      <c r="E44" s="827" t="s">
        <v>78</v>
      </c>
      <c r="F44" s="128">
        <f>2.20462*D44</f>
        <v>2.2046199999999998</v>
      </c>
      <c r="G44" s="833">
        <v>1</v>
      </c>
      <c r="H44" s="122" t="s">
        <v>70</v>
      </c>
      <c r="I44" s="123">
        <f>264.172*G44</f>
        <v>264.17200000000003</v>
      </c>
    </row>
    <row r="45" spans="1:9" ht="21" customHeight="1">
      <c r="A45" s="97"/>
      <c r="B45" s="140"/>
      <c r="D45" s="682"/>
      <c r="E45" s="682"/>
      <c r="F45" s="127"/>
      <c r="G45" s="833">
        <v>1</v>
      </c>
      <c r="H45" s="122" t="s">
        <v>65</v>
      </c>
      <c r="I45" s="123">
        <f>6.28981*G45</f>
        <v>6.2898100000000001</v>
      </c>
    </row>
    <row r="46" spans="1:9" ht="21" customHeight="1">
      <c r="A46" s="97"/>
      <c r="B46" s="140"/>
      <c r="D46" s="682"/>
      <c r="E46" s="682"/>
      <c r="F46" s="127"/>
      <c r="G46" s="834">
        <v>1</v>
      </c>
      <c r="H46" s="130" t="s">
        <v>62</v>
      </c>
      <c r="I46" s="135">
        <f>35.3147*G46</f>
        <v>35.314700000000002</v>
      </c>
    </row>
    <row r="47" spans="1:9" ht="21" customHeight="1">
      <c r="A47" s="97"/>
      <c r="B47" s="140"/>
      <c r="D47" s="825"/>
      <c r="E47" s="136" t="s">
        <v>91</v>
      </c>
      <c r="F47" s="826"/>
      <c r="G47" s="125"/>
      <c r="H47" s="125"/>
      <c r="I47" s="125"/>
    </row>
    <row r="48" spans="1:9" ht="21" customHeight="1">
      <c r="A48" s="97"/>
      <c r="B48" s="140"/>
      <c r="E48" s="137" t="s">
        <v>92</v>
      </c>
      <c r="F48" s="125"/>
      <c r="G48" s="125"/>
      <c r="H48" s="125"/>
      <c r="I48" s="125"/>
    </row>
    <row r="49" spans="1:33" ht="21" customHeight="1">
      <c r="A49" s="97"/>
      <c r="B49" s="140"/>
      <c r="E49" s="125"/>
      <c r="F49" s="125"/>
      <c r="G49" s="125"/>
      <c r="H49" s="125"/>
      <c r="I49" s="125"/>
    </row>
    <row r="50" spans="1:33" ht="21" customHeight="1">
      <c r="A50" s="97"/>
      <c r="B50" s="140"/>
      <c r="E50" s="138" t="s">
        <v>93</v>
      </c>
      <c r="F50" s="138"/>
      <c r="G50" s="138"/>
      <c r="H50" s="138"/>
      <c r="I50" s="138"/>
    </row>
    <row r="51" spans="1:33" ht="12.75" customHeight="1">
      <c r="A51" s="97"/>
      <c r="B51" s="140"/>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row>
    <row r="52" spans="1:33" ht="12.75" customHeight="1">
      <c r="A52" s="97"/>
      <c r="B52" s="140"/>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row>
    <row r="53" spans="1:33" ht="12.75" customHeight="1">
      <c r="A53" s="97"/>
      <c r="B53" s="140"/>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row>
    <row r="54" spans="1:33" ht="12.75" customHeight="1">
      <c r="A54" s="97"/>
      <c r="B54" s="140"/>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row>
    <row r="55" spans="1:33" ht="12.75" customHeight="1">
      <c r="A55" s="97"/>
      <c r="B55" s="140"/>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row>
    <row r="56" spans="1:33" ht="12.75" customHeight="1">
      <c r="A56" s="97"/>
      <c r="B56" s="140"/>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row>
    <row r="57" spans="1:33" ht="12.75" customHeight="1">
      <c r="A57" s="97"/>
      <c r="B57" s="140"/>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row>
    <row r="58" spans="1:33" ht="12.75" customHeight="1">
      <c r="A58" s="97"/>
      <c r="B58" s="140"/>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row>
    <row r="59" spans="1:33" ht="12.75" customHeight="1">
      <c r="A59" s="97"/>
      <c r="B59" s="140"/>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row>
    <row r="60" spans="1:33" ht="12.75" customHeight="1">
      <c r="A60" s="97"/>
      <c r="B60" s="140"/>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row>
    <row r="61" spans="1:33" ht="12.75" customHeight="1">
      <c r="A61" s="97"/>
      <c r="B61" s="140"/>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row>
    <row r="62" spans="1:33" ht="12.75" customHeight="1">
      <c r="A62" s="97"/>
      <c r="B62" s="140"/>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row>
    <row r="63" spans="1:33" ht="12.75" customHeight="1">
      <c r="A63" s="97"/>
      <c r="B63" s="140"/>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row>
    <row r="64" spans="1:33" ht="12.75" customHeight="1">
      <c r="A64" s="97"/>
      <c r="B64" s="140"/>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row>
    <row r="65" spans="1:33" ht="12.75" customHeight="1">
      <c r="A65" s="97"/>
      <c r="B65" s="140"/>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row>
    <row r="66" spans="1:33" ht="12.75" customHeight="1">
      <c r="A66" s="97"/>
      <c r="B66" s="140"/>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row>
    <row r="67" spans="1:33" ht="12.75" customHeight="1">
      <c r="A67" s="97"/>
      <c r="B67" s="140"/>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row>
    <row r="68" spans="1:33" ht="12.75" customHeight="1">
      <c r="A68" s="97"/>
      <c r="B68" s="140"/>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row>
    <row r="69" spans="1:33" ht="12.75" customHeight="1">
      <c r="A69" s="97"/>
      <c r="B69" s="140"/>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row>
    <row r="70" spans="1:33" ht="12.75" customHeight="1">
      <c r="A70" s="97"/>
      <c r="B70" s="140"/>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row>
    <row r="71" spans="1:33" ht="12.75" customHeight="1">
      <c r="A71" s="97"/>
      <c r="B71" s="140"/>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row>
    <row r="72" spans="1:33" ht="12.75" customHeight="1">
      <c r="A72" s="97"/>
      <c r="B72" s="140"/>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row>
    <row r="73" spans="1:33" ht="12.75" customHeight="1">
      <c r="A73" s="97"/>
      <c r="B73" s="140"/>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row>
    <row r="74" spans="1:33" ht="12.75" customHeight="1">
      <c r="A74" s="97"/>
      <c r="B74" s="140"/>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row>
    <row r="75" spans="1:33" ht="12.75" customHeight="1">
      <c r="A75" s="97"/>
      <c r="B75" s="140"/>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row>
    <row r="76" spans="1:33" ht="12.75" customHeight="1">
      <c r="A76" s="97"/>
      <c r="B76" s="140"/>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row>
    <row r="77" spans="1:33" ht="12.75" customHeight="1">
      <c r="A77" s="97"/>
      <c r="B77" s="140"/>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row>
    <row r="78" spans="1:33" ht="12.75" customHeight="1">
      <c r="A78" s="97"/>
      <c r="B78" s="140"/>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row>
    <row r="79" spans="1:33" ht="12.75" customHeight="1">
      <c r="A79" s="97"/>
      <c r="B79" s="140"/>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row>
    <row r="80" spans="1:33" ht="12.75" customHeight="1">
      <c r="A80" s="97"/>
      <c r="B80" s="140"/>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row>
    <row r="81" spans="1:33" ht="12.75" customHeight="1">
      <c r="A81" s="97"/>
      <c r="B81" s="140"/>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row>
    <row r="82" spans="1:33" ht="12.75" customHeight="1">
      <c r="A82" s="97"/>
      <c r="B82" s="140"/>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row>
    <row r="83" spans="1:33" ht="12.75" customHeight="1">
      <c r="A83" s="97"/>
      <c r="B83" s="140"/>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row>
    <row r="84" spans="1:33" ht="12.75" customHeight="1">
      <c r="A84" s="97"/>
      <c r="B84" s="140"/>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row>
    <row r="85" spans="1:33" ht="12.75" customHeight="1">
      <c r="A85" s="97"/>
      <c r="B85" s="140"/>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row>
    <row r="86" spans="1:33" ht="12.75" customHeight="1">
      <c r="A86" s="97"/>
      <c r="B86" s="140"/>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row>
    <row r="87" spans="1:33" ht="12.75" customHeight="1">
      <c r="B87" s="140"/>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row>
    <row r="88" spans="1:33" ht="12.75" customHeight="1">
      <c r="B88" s="140"/>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row>
    <row r="89" spans="1:33" ht="12.75" customHeight="1">
      <c r="B89" s="140"/>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row>
    <row r="90" spans="1:33" ht="12.75" customHeight="1">
      <c r="B90" s="140"/>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row>
    <row r="91" spans="1:33" ht="12.75" customHeight="1">
      <c r="B91" s="140"/>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row>
    <row r="92" spans="1:33" ht="12.75" customHeight="1">
      <c r="B92" s="140"/>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row>
    <row r="93" spans="1:33" ht="12.75" customHeight="1">
      <c r="B93" s="140"/>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row>
    <row r="94" spans="1:33" ht="12.75" customHeight="1">
      <c r="B94" s="140"/>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row>
    <row r="95" spans="1:33" ht="12.75" customHeight="1">
      <c r="B95" s="140"/>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row>
    <row r="96" spans="1:33" ht="12.75" customHeight="1">
      <c r="B96" s="140"/>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row>
    <row r="97" spans="2:33" ht="12.75" customHeight="1">
      <c r="B97" s="140"/>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row>
    <row r="98" spans="2:33" ht="12.75" customHeight="1">
      <c r="B98" s="140"/>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row>
    <row r="99" spans="2:33" ht="12.75" customHeight="1">
      <c r="B99" s="140"/>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row>
    <row r="100" spans="2:33" ht="12.75" customHeight="1">
      <c r="B100" s="140"/>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row>
    <row r="101" spans="2:33" ht="20.65">
      <c r="B101" s="140"/>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row>
    <row r="102" spans="2:33" ht="20.65">
      <c r="B102" s="140"/>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row>
    <row r="103" spans="2:33" ht="20.65">
      <c r="B103" s="140"/>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row>
    <row r="104" spans="2:33" ht="20.65">
      <c r="B104" s="140"/>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row>
    <row r="105" spans="2:33" ht="20.65">
      <c r="B105" s="140"/>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row>
    <row r="106" spans="2:33" ht="20.65">
      <c r="B106" s="140"/>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row>
    <row r="107" spans="2:33" ht="20.65">
      <c r="B107" s="140"/>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row>
    <row r="108" spans="2:33" ht="20.65">
      <c r="B108" s="140"/>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row>
    <row r="109" spans="2:33" ht="20.65">
      <c r="B109" s="140"/>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row>
    <row r="110" spans="2:33" ht="20.65">
      <c r="B110" s="140"/>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row>
    <row r="111" spans="2:33" ht="20.65">
      <c r="B111" s="140"/>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row>
    <row r="112" spans="2:33" ht="20.65">
      <c r="B112" s="140"/>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row>
    <row r="113" spans="2:33">
      <c r="B113" s="141"/>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row>
    <row r="114" spans="2:33">
      <c r="B114" s="141"/>
    </row>
    <row r="115" spans="2:33">
      <c r="B115" s="141"/>
    </row>
    <row r="116" spans="2:33" ht="12.75" customHeight="1">
      <c r="B116" s="141"/>
    </row>
    <row r="117" spans="2:33">
      <c r="B117" s="141"/>
    </row>
    <row r="118" spans="2:33">
      <c r="B118" s="141"/>
    </row>
    <row r="119" spans="2:33">
      <c r="B119" s="141"/>
    </row>
    <row r="120" spans="2:33">
      <c r="B120" s="141"/>
    </row>
    <row r="121" spans="2:33">
      <c r="B121" s="141"/>
    </row>
    <row r="122" spans="2:33">
      <c r="B122" s="141"/>
    </row>
    <row r="123" spans="2:33">
      <c r="B123" s="141"/>
    </row>
    <row r="124" spans="2:33">
      <c r="B124" s="141"/>
    </row>
    <row r="125" spans="2:33">
      <c r="B125" s="141"/>
    </row>
  </sheetData>
  <mergeCells count="5">
    <mergeCell ref="B2:B3"/>
    <mergeCell ref="D24:F24"/>
    <mergeCell ref="D25:E25"/>
    <mergeCell ref="D4:I4"/>
    <mergeCell ref="D5:H5"/>
  </mergeCells>
  <hyperlinks>
    <hyperlink ref="B2:B3" location="Home!A1" display="HOME" xr:uid="{4AF987CA-5CE2-41AD-9313-DD8368E9A98B}"/>
    <hyperlink ref="B5" location="'Documents Manager'!A1" display="DOCUMENTS MANAGER" xr:uid="{B39BE943-AF7D-4737-875C-120F3E1F69EC}"/>
    <hyperlink ref="B23" location="Disclaimer!A1" display="Disclaimer" xr:uid="{3F4D2AE0-4658-44C1-884A-2314F1844CF4}"/>
    <hyperlink ref="B22" location="Help!A1" display="Help" xr:uid="{F4A505F7-BE54-4623-A3BA-8C8D77B55170}"/>
    <hyperlink ref="B20" location="'Source - Links'!A1" display="SOURCE / LINKS" xr:uid="{BF6C4B59-75F0-458F-AC62-A32F461ACD3E}"/>
    <hyperlink ref="B11" location="'ASTM Converter (API)'!A1" display="• Entry with API Gravity" xr:uid="{6AE547D3-8B19-44D3-B6C1-5AF7E219AA76}"/>
    <hyperlink ref="B12" location="'ASTM Converter (R.Density)'!A1" display="• Entry with Relative Density" xr:uid="{58403F30-DBD5-4693-B2EB-C91C54639653}"/>
    <hyperlink ref="B13" location="'ASTM Converter (Density)'!A1" display="• Entry with Density" xr:uid="{9E931043-B815-4BB9-9ED0-462D0AD93148}"/>
    <hyperlink ref="B7" location="'ASTM Converter (Tab.1)'!A1" display="ASTM - CONVERTERS" xr:uid="{1959F4BC-AF9F-45BD-A395-FAB67426F32F}"/>
    <hyperlink ref="B8" location="'ASTM Converter (Tab.1)'!A1" display="• Converter - Table 1 (Volume XI)" xr:uid="{DC30F9D3-3611-446D-92D9-C257FEDBBFB9}"/>
    <hyperlink ref="B9" location="'ASTM Converter (Tab.2)'!A1" display="• Converter - Table 2 (Volume XI)" xr:uid="{92464093-4808-494D-8F01-5B74BF2952F8}"/>
    <hyperlink ref="B10" location="'ASTM Converter API-RD-SG-Dens.'!A1" display="• Conventer API-RD-SG-Density" xr:uid="{EB86F05C-1F16-4AB0-824E-329B6BEAF4D6}"/>
    <hyperlink ref="B14" location="'ASTM Converter for Crude Oil'!A1" display="• Converter - Tables for Crude Oil" xr:uid="{B1FC3632-6DA9-4800-94C9-F8CEF38CD91D}"/>
    <hyperlink ref="B6" location="'ASTM Table Series'!A1" display="ASTM TABLES" xr:uid="{B889A448-385A-428E-BFD1-B9EE80DECA41}"/>
    <hyperlink ref="B15" location="'ASTM Calculator V.W.'!A1" display="ASTM - CALCULATORS" xr:uid="{FE87F21D-CF3B-4A68-BDDC-8C97823BCC6A}"/>
    <hyperlink ref="B16" location="'Initial&amp;Max. Loading Rate'!A1" display="CARGO - CALCULATORS" xr:uid="{95B32DE0-AF1B-44C4-AE3F-4F5B0962002D}"/>
    <hyperlink ref="B18" location="'Guidelines - Definitions'!A1" display="GUIDELINES" xr:uid="{8BC43A43-0ADB-45C0-AC67-9644414A9F2F}"/>
    <hyperlink ref="B19" location="'Guidelines - Bottom Lines'!A1" display="GUIDELINES - CARGO" xr:uid="{FD49188D-2F69-49BE-80EF-A646273BE85E}"/>
  </hyperlinks>
  <printOptions headings="1"/>
  <pageMargins left="0.75" right="0.75" top="1" bottom="1" header="0.5" footer="0.5"/>
  <pageSetup paperSize="9" scale="71" orientation="portrait" blackAndWhite="1" horizontalDpi="4294967294"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381E-9AC5-476F-A405-2B94750E2840}">
  <sheetPr codeName="Лист4">
    <tabColor rgb="FF008080"/>
    <pageSetUpPr fitToPage="1"/>
  </sheetPr>
  <dimension ref="A1:IX312"/>
  <sheetViews>
    <sheetView showGridLines="0" showRowColHeaders="0" topLeftCell="B1" zoomScaleNormal="100" workbookViewId="0">
      <selection activeCell="B14" sqref="B14"/>
    </sheetView>
  </sheetViews>
  <sheetFormatPr defaultColWidth="9.1328125" defaultRowHeight="12.75"/>
  <cols>
    <col min="1" max="1" width="1.1328125" style="100" hidden="1" customWidth="1"/>
    <col min="2" max="2" width="36.6640625" style="142" customWidth="1"/>
    <col min="3" max="3" width="2.6640625" style="100" customWidth="1"/>
    <col min="4" max="4" width="17.53125" style="100" customWidth="1"/>
    <col min="5" max="5" width="25.6640625" style="100" customWidth="1"/>
    <col min="6" max="6" width="12.6640625" style="100" customWidth="1"/>
    <col min="7" max="7" width="17.53125" style="100" customWidth="1"/>
    <col min="8" max="8" width="25.6640625" style="100" customWidth="1"/>
    <col min="9" max="9" width="12.6640625" style="100" customWidth="1"/>
    <col min="10" max="10" width="12.1328125" style="100" customWidth="1"/>
    <col min="11" max="11" width="11.46484375" style="100" customWidth="1"/>
    <col min="12" max="12" width="5" style="100" customWidth="1"/>
    <col min="13" max="13" width="18.46484375" style="100" customWidth="1"/>
    <col min="14" max="14" width="12.1328125" style="100" customWidth="1"/>
    <col min="15" max="15" width="11.46484375" style="100" customWidth="1"/>
    <col min="16" max="258" width="9.1328125" style="100"/>
    <col min="259" max="259" width="0" style="100" hidden="1" customWidth="1"/>
    <col min="260" max="260" width="43.46484375" style="100" customWidth="1"/>
    <col min="261" max="261" width="3.6640625" style="100" customWidth="1"/>
    <col min="262" max="262" width="30.33203125" style="100" customWidth="1"/>
    <col min="263" max="263" width="18.46484375" style="100" customWidth="1"/>
    <col min="264" max="264" width="30.33203125" style="100" customWidth="1"/>
    <col min="265" max="265" width="18.46484375" style="100" customWidth="1"/>
    <col min="266" max="266" width="12.1328125" style="100" customWidth="1"/>
    <col min="267" max="267" width="11.46484375" style="100" customWidth="1"/>
    <col min="268" max="268" width="5" style="100" customWidth="1"/>
    <col min="269" max="269" width="18.46484375" style="100" customWidth="1"/>
    <col min="270" max="270" width="12.1328125" style="100" customWidth="1"/>
    <col min="271" max="271" width="11.46484375" style="100" customWidth="1"/>
    <col min="272" max="514" width="9.1328125" style="100"/>
    <col min="515" max="515" width="0" style="100" hidden="1" customWidth="1"/>
    <col min="516" max="516" width="43.46484375" style="100" customWidth="1"/>
    <col min="517" max="517" width="3.6640625" style="100" customWidth="1"/>
    <col min="518" max="518" width="30.33203125" style="100" customWidth="1"/>
    <col min="519" max="519" width="18.46484375" style="100" customWidth="1"/>
    <col min="520" max="520" width="30.33203125" style="100" customWidth="1"/>
    <col min="521" max="521" width="18.46484375" style="100" customWidth="1"/>
    <col min="522" max="522" width="12.1328125" style="100" customWidth="1"/>
    <col min="523" max="523" width="11.46484375" style="100" customWidth="1"/>
    <col min="524" max="524" width="5" style="100" customWidth="1"/>
    <col min="525" max="525" width="18.46484375" style="100" customWidth="1"/>
    <col min="526" max="526" width="12.1328125" style="100" customWidth="1"/>
    <col min="527" max="527" width="11.46484375" style="100" customWidth="1"/>
    <col min="528" max="770" width="9.1328125" style="100"/>
    <col min="771" max="771" width="0" style="100" hidden="1" customWidth="1"/>
    <col min="772" max="772" width="43.46484375" style="100" customWidth="1"/>
    <col min="773" max="773" width="3.6640625" style="100" customWidth="1"/>
    <col min="774" max="774" width="30.33203125" style="100" customWidth="1"/>
    <col min="775" max="775" width="18.46484375" style="100" customWidth="1"/>
    <col min="776" max="776" width="30.33203125" style="100" customWidth="1"/>
    <col min="777" max="777" width="18.46484375" style="100" customWidth="1"/>
    <col min="778" max="778" width="12.1328125" style="100" customWidth="1"/>
    <col min="779" max="779" width="11.46484375" style="100" customWidth="1"/>
    <col min="780" max="780" width="5" style="100" customWidth="1"/>
    <col min="781" max="781" width="18.46484375" style="100" customWidth="1"/>
    <col min="782" max="782" width="12.1328125" style="100" customWidth="1"/>
    <col min="783" max="783" width="11.46484375" style="100" customWidth="1"/>
    <col min="784" max="1026" width="9.1328125" style="100"/>
    <col min="1027" max="1027" width="0" style="100" hidden="1" customWidth="1"/>
    <col min="1028" max="1028" width="43.46484375" style="100" customWidth="1"/>
    <col min="1029" max="1029" width="3.6640625" style="100" customWidth="1"/>
    <col min="1030" max="1030" width="30.33203125" style="100" customWidth="1"/>
    <col min="1031" max="1031" width="18.46484375" style="100" customWidth="1"/>
    <col min="1032" max="1032" width="30.33203125" style="100" customWidth="1"/>
    <col min="1033" max="1033" width="18.46484375" style="100" customWidth="1"/>
    <col min="1034" max="1034" width="12.1328125" style="100" customWidth="1"/>
    <col min="1035" max="1035" width="11.46484375" style="100" customWidth="1"/>
    <col min="1036" max="1036" width="5" style="100" customWidth="1"/>
    <col min="1037" max="1037" width="18.46484375" style="100" customWidth="1"/>
    <col min="1038" max="1038" width="12.1328125" style="100" customWidth="1"/>
    <col min="1039" max="1039" width="11.46484375" style="100" customWidth="1"/>
    <col min="1040" max="1282" width="9.1328125" style="100"/>
    <col min="1283" max="1283" width="0" style="100" hidden="1" customWidth="1"/>
    <col min="1284" max="1284" width="43.46484375" style="100" customWidth="1"/>
    <col min="1285" max="1285" width="3.6640625" style="100" customWidth="1"/>
    <col min="1286" max="1286" width="30.33203125" style="100" customWidth="1"/>
    <col min="1287" max="1287" width="18.46484375" style="100" customWidth="1"/>
    <col min="1288" max="1288" width="30.33203125" style="100" customWidth="1"/>
    <col min="1289" max="1289" width="18.46484375" style="100" customWidth="1"/>
    <col min="1290" max="1290" width="12.1328125" style="100" customWidth="1"/>
    <col min="1291" max="1291" width="11.46484375" style="100" customWidth="1"/>
    <col min="1292" max="1292" width="5" style="100" customWidth="1"/>
    <col min="1293" max="1293" width="18.46484375" style="100" customWidth="1"/>
    <col min="1294" max="1294" width="12.1328125" style="100" customWidth="1"/>
    <col min="1295" max="1295" width="11.46484375" style="100" customWidth="1"/>
    <col min="1296" max="1538" width="9.1328125" style="100"/>
    <col min="1539" max="1539" width="0" style="100" hidden="1" customWidth="1"/>
    <col min="1540" max="1540" width="43.46484375" style="100" customWidth="1"/>
    <col min="1541" max="1541" width="3.6640625" style="100" customWidth="1"/>
    <col min="1542" max="1542" width="30.33203125" style="100" customWidth="1"/>
    <col min="1543" max="1543" width="18.46484375" style="100" customWidth="1"/>
    <col min="1544" max="1544" width="30.33203125" style="100" customWidth="1"/>
    <col min="1545" max="1545" width="18.46484375" style="100" customWidth="1"/>
    <col min="1546" max="1546" width="12.1328125" style="100" customWidth="1"/>
    <col min="1547" max="1547" width="11.46484375" style="100" customWidth="1"/>
    <col min="1548" max="1548" width="5" style="100" customWidth="1"/>
    <col min="1549" max="1549" width="18.46484375" style="100" customWidth="1"/>
    <col min="1550" max="1550" width="12.1328125" style="100" customWidth="1"/>
    <col min="1551" max="1551" width="11.46484375" style="100" customWidth="1"/>
    <col min="1552" max="1794" width="9.1328125" style="100"/>
    <col min="1795" max="1795" width="0" style="100" hidden="1" customWidth="1"/>
    <col min="1796" max="1796" width="43.46484375" style="100" customWidth="1"/>
    <col min="1797" max="1797" width="3.6640625" style="100" customWidth="1"/>
    <col min="1798" max="1798" width="30.33203125" style="100" customWidth="1"/>
    <col min="1799" max="1799" width="18.46484375" style="100" customWidth="1"/>
    <col min="1800" max="1800" width="30.33203125" style="100" customWidth="1"/>
    <col min="1801" max="1801" width="18.46484375" style="100" customWidth="1"/>
    <col min="1802" max="1802" width="12.1328125" style="100" customWidth="1"/>
    <col min="1803" max="1803" width="11.46484375" style="100" customWidth="1"/>
    <col min="1804" max="1804" width="5" style="100" customWidth="1"/>
    <col min="1805" max="1805" width="18.46484375" style="100" customWidth="1"/>
    <col min="1806" max="1806" width="12.1328125" style="100" customWidth="1"/>
    <col min="1807" max="1807" width="11.46484375" style="100" customWidth="1"/>
    <col min="1808" max="2050" width="9.1328125" style="100"/>
    <col min="2051" max="2051" width="0" style="100" hidden="1" customWidth="1"/>
    <col min="2052" max="2052" width="43.46484375" style="100" customWidth="1"/>
    <col min="2053" max="2053" width="3.6640625" style="100" customWidth="1"/>
    <col min="2054" max="2054" width="30.33203125" style="100" customWidth="1"/>
    <col min="2055" max="2055" width="18.46484375" style="100" customWidth="1"/>
    <col min="2056" max="2056" width="30.33203125" style="100" customWidth="1"/>
    <col min="2057" max="2057" width="18.46484375" style="100" customWidth="1"/>
    <col min="2058" max="2058" width="12.1328125" style="100" customWidth="1"/>
    <col min="2059" max="2059" width="11.46484375" style="100" customWidth="1"/>
    <col min="2060" max="2060" width="5" style="100" customWidth="1"/>
    <col min="2061" max="2061" width="18.46484375" style="100" customWidth="1"/>
    <col min="2062" max="2062" width="12.1328125" style="100" customWidth="1"/>
    <col min="2063" max="2063" width="11.46484375" style="100" customWidth="1"/>
    <col min="2064" max="2306" width="9.1328125" style="100"/>
    <col min="2307" max="2307" width="0" style="100" hidden="1" customWidth="1"/>
    <col min="2308" max="2308" width="43.46484375" style="100" customWidth="1"/>
    <col min="2309" max="2309" width="3.6640625" style="100" customWidth="1"/>
    <col min="2310" max="2310" width="30.33203125" style="100" customWidth="1"/>
    <col min="2311" max="2311" width="18.46484375" style="100" customWidth="1"/>
    <col min="2312" max="2312" width="30.33203125" style="100" customWidth="1"/>
    <col min="2313" max="2313" width="18.46484375" style="100" customWidth="1"/>
    <col min="2314" max="2314" width="12.1328125" style="100" customWidth="1"/>
    <col min="2315" max="2315" width="11.46484375" style="100" customWidth="1"/>
    <col min="2316" max="2316" width="5" style="100" customWidth="1"/>
    <col min="2317" max="2317" width="18.46484375" style="100" customWidth="1"/>
    <col min="2318" max="2318" width="12.1328125" style="100" customWidth="1"/>
    <col min="2319" max="2319" width="11.46484375" style="100" customWidth="1"/>
    <col min="2320" max="2562" width="9.1328125" style="100"/>
    <col min="2563" max="2563" width="0" style="100" hidden="1" customWidth="1"/>
    <col min="2564" max="2564" width="43.46484375" style="100" customWidth="1"/>
    <col min="2565" max="2565" width="3.6640625" style="100" customWidth="1"/>
    <col min="2566" max="2566" width="30.33203125" style="100" customWidth="1"/>
    <col min="2567" max="2567" width="18.46484375" style="100" customWidth="1"/>
    <col min="2568" max="2568" width="30.33203125" style="100" customWidth="1"/>
    <col min="2569" max="2569" width="18.46484375" style="100" customWidth="1"/>
    <col min="2570" max="2570" width="12.1328125" style="100" customWidth="1"/>
    <col min="2571" max="2571" width="11.46484375" style="100" customWidth="1"/>
    <col min="2572" max="2572" width="5" style="100" customWidth="1"/>
    <col min="2573" max="2573" width="18.46484375" style="100" customWidth="1"/>
    <col min="2574" max="2574" width="12.1328125" style="100" customWidth="1"/>
    <col min="2575" max="2575" width="11.46484375" style="100" customWidth="1"/>
    <col min="2576" max="2818" width="9.1328125" style="100"/>
    <col min="2819" max="2819" width="0" style="100" hidden="1" customWidth="1"/>
    <col min="2820" max="2820" width="43.46484375" style="100" customWidth="1"/>
    <col min="2821" max="2821" width="3.6640625" style="100" customWidth="1"/>
    <col min="2822" max="2822" width="30.33203125" style="100" customWidth="1"/>
    <col min="2823" max="2823" width="18.46484375" style="100" customWidth="1"/>
    <col min="2824" max="2824" width="30.33203125" style="100" customWidth="1"/>
    <col min="2825" max="2825" width="18.46484375" style="100" customWidth="1"/>
    <col min="2826" max="2826" width="12.1328125" style="100" customWidth="1"/>
    <col min="2827" max="2827" width="11.46484375" style="100" customWidth="1"/>
    <col min="2828" max="2828" width="5" style="100" customWidth="1"/>
    <col min="2829" max="2829" width="18.46484375" style="100" customWidth="1"/>
    <col min="2830" max="2830" width="12.1328125" style="100" customWidth="1"/>
    <col min="2831" max="2831" width="11.46484375" style="100" customWidth="1"/>
    <col min="2832" max="3074" width="9.1328125" style="100"/>
    <col min="3075" max="3075" width="0" style="100" hidden="1" customWidth="1"/>
    <col min="3076" max="3076" width="43.46484375" style="100" customWidth="1"/>
    <col min="3077" max="3077" width="3.6640625" style="100" customWidth="1"/>
    <col min="3078" max="3078" width="30.33203125" style="100" customWidth="1"/>
    <col min="3079" max="3079" width="18.46484375" style="100" customWidth="1"/>
    <col min="3080" max="3080" width="30.33203125" style="100" customWidth="1"/>
    <col min="3081" max="3081" width="18.46484375" style="100" customWidth="1"/>
    <col min="3082" max="3082" width="12.1328125" style="100" customWidth="1"/>
    <col min="3083" max="3083" width="11.46484375" style="100" customWidth="1"/>
    <col min="3084" max="3084" width="5" style="100" customWidth="1"/>
    <col min="3085" max="3085" width="18.46484375" style="100" customWidth="1"/>
    <col min="3086" max="3086" width="12.1328125" style="100" customWidth="1"/>
    <col min="3087" max="3087" width="11.46484375" style="100" customWidth="1"/>
    <col min="3088" max="3330" width="9.1328125" style="100"/>
    <col min="3331" max="3331" width="0" style="100" hidden="1" customWidth="1"/>
    <col min="3332" max="3332" width="43.46484375" style="100" customWidth="1"/>
    <col min="3333" max="3333" width="3.6640625" style="100" customWidth="1"/>
    <col min="3334" max="3334" width="30.33203125" style="100" customWidth="1"/>
    <col min="3335" max="3335" width="18.46484375" style="100" customWidth="1"/>
    <col min="3336" max="3336" width="30.33203125" style="100" customWidth="1"/>
    <col min="3337" max="3337" width="18.46484375" style="100" customWidth="1"/>
    <col min="3338" max="3338" width="12.1328125" style="100" customWidth="1"/>
    <col min="3339" max="3339" width="11.46484375" style="100" customWidth="1"/>
    <col min="3340" max="3340" width="5" style="100" customWidth="1"/>
    <col min="3341" max="3341" width="18.46484375" style="100" customWidth="1"/>
    <col min="3342" max="3342" width="12.1328125" style="100" customWidth="1"/>
    <col min="3343" max="3343" width="11.46484375" style="100" customWidth="1"/>
    <col min="3344" max="3586" width="9.1328125" style="100"/>
    <col min="3587" max="3587" width="0" style="100" hidden="1" customWidth="1"/>
    <col min="3588" max="3588" width="43.46484375" style="100" customWidth="1"/>
    <col min="3589" max="3589" width="3.6640625" style="100" customWidth="1"/>
    <col min="3590" max="3590" width="30.33203125" style="100" customWidth="1"/>
    <col min="3591" max="3591" width="18.46484375" style="100" customWidth="1"/>
    <col min="3592" max="3592" width="30.33203125" style="100" customWidth="1"/>
    <col min="3593" max="3593" width="18.46484375" style="100" customWidth="1"/>
    <col min="3594" max="3594" width="12.1328125" style="100" customWidth="1"/>
    <col min="3595" max="3595" width="11.46484375" style="100" customWidth="1"/>
    <col min="3596" max="3596" width="5" style="100" customWidth="1"/>
    <col min="3597" max="3597" width="18.46484375" style="100" customWidth="1"/>
    <col min="3598" max="3598" width="12.1328125" style="100" customWidth="1"/>
    <col min="3599" max="3599" width="11.46484375" style="100" customWidth="1"/>
    <col min="3600" max="3842" width="9.1328125" style="100"/>
    <col min="3843" max="3843" width="0" style="100" hidden="1" customWidth="1"/>
    <col min="3844" max="3844" width="43.46484375" style="100" customWidth="1"/>
    <col min="3845" max="3845" width="3.6640625" style="100" customWidth="1"/>
    <col min="3846" max="3846" width="30.33203125" style="100" customWidth="1"/>
    <col min="3847" max="3847" width="18.46484375" style="100" customWidth="1"/>
    <col min="3848" max="3848" width="30.33203125" style="100" customWidth="1"/>
    <col min="3849" max="3849" width="18.46484375" style="100" customWidth="1"/>
    <col min="3850" max="3850" width="12.1328125" style="100" customWidth="1"/>
    <col min="3851" max="3851" width="11.46484375" style="100" customWidth="1"/>
    <col min="3852" max="3852" width="5" style="100" customWidth="1"/>
    <col min="3853" max="3853" width="18.46484375" style="100" customWidth="1"/>
    <col min="3854" max="3854" width="12.1328125" style="100" customWidth="1"/>
    <col min="3855" max="3855" width="11.46484375" style="100" customWidth="1"/>
    <col min="3856" max="4098" width="9.1328125" style="100"/>
    <col min="4099" max="4099" width="0" style="100" hidden="1" customWidth="1"/>
    <col min="4100" max="4100" width="43.46484375" style="100" customWidth="1"/>
    <col min="4101" max="4101" width="3.6640625" style="100" customWidth="1"/>
    <col min="4102" max="4102" width="30.33203125" style="100" customWidth="1"/>
    <col min="4103" max="4103" width="18.46484375" style="100" customWidth="1"/>
    <col min="4104" max="4104" width="30.33203125" style="100" customWidth="1"/>
    <col min="4105" max="4105" width="18.46484375" style="100" customWidth="1"/>
    <col min="4106" max="4106" width="12.1328125" style="100" customWidth="1"/>
    <col min="4107" max="4107" width="11.46484375" style="100" customWidth="1"/>
    <col min="4108" max="4108" width="5" style="100" customWidth="1"/>
    <col min="4109" max="4109" width="18.46484375" style="100" customWidth="1"/>
    <col min="4110" max="4110" width="12.1328125" style="100" customWidth="1"/>
    <col min="4111" max="4111" width="11.46484375" style="100" customWidth="1"/>
    <col min="4112" max="4354" width="9.1328125" style="100"/>
    <col min="4355" max="4355" width="0" style="100" hidden="1" customWidth="1"/>
    <col min="4356" max="4356" width="43.46484375" style="100" customWidth="1"/>
    <col min="4357" max="4357" width="3.6640625" style="100" customWidth="1"/>
    <col min="4358" max="4358" width="30.33203125" style="100" customWidth="1"/>
    <col min="4359" max="4359" width="18.46484375" style="100" customWidth="1"/>
    <col min="4360" max="4360" width="30.33203125" style="100" customWidth="1"/>
    <col min="4361" max="4361" width="18.46484375" style="100" customWidth="1"/>
    <col min="4362" max="4362" width="12.1328125" style="100" customWidth="1"/>
    <col min="4363" max="4363" width="11.46484375" style="100" customWidth="1"/>
    <col min="4364" max="4364" width="5" style="100" customWidth="1"/>
    <col min="4365" max="4365" width="18.46484375" style="100" customWidth="1"/>
    <col min="4366" max="4366" width="12.1328125" style="100" customWidth="1"/>
    <col min="4367" max="4367" width="11.46484375" style="100" customWidth="1"/>
    <col min="4368" max="4610" width="9.1328125" style="100"/>
    <col min="4611" max="4611" width="0" style="100" hidden="1" customWidth="1"/>
    <col min="4612" max="4612" width="43.46484375" style="100" customWidth="1"/>
    <col min="4613" max="4613" width="3.6640625" style="100" customWidth="1"/>
    <col min="4614" max="4614" width="30.33203125" style="100" customWidth="1"/>
    <col min="4615" max="4615" width="18.46484375" style="100" customWidth="1"/>
    <col min="4616" max="4616" width="30.33203125" style="100" customWidth="1"/>
    <col min="4617" max="4617" width="18.46484375" style="100" customWidth="1"/>
    <col min="4618" max="4618" width="12.1328125" style="100" customWidth="1"/>
    <col min="4619" max="4619" width="11.46484375" style="100" customWidth="1"/>
    <col min="4620" max="4620" width="5" style="100" customWidth="1"/>
    <col min="4621" max="4621" width="18.46484375" style="100" customWidth="1"/>
    <col min="4622" max="4622" width="12.1328125" style="100" customWidth="1"/>
    <col min="4623" max="4623" width="11.46484375" style="100" customWidth="1"/>
    <col min="4624" max="4866" width="9.1328125" style="100"/>
    <col min="4867" max="4867" width="0" style="100" hidden="1" customWidth="1"/>
    <col min="4868" max="4868" width="43.46484375" style="100" customWidth="1"/>
    <col min="4869" max="4869" width="3.6640625" style="100" customWidth="1"/>
    <col min="4870" max="4870" width="30.33203125" style="100" customWidth="1"/>
    <col min="4871" max="4871" width="18.46484375" style="100" customWidth="1"/>
    <col min="4872" max="4872" width="30.33203125" style="100" customWidth="1"/>
    <col min="4873" max="4873" width="18.46484375" style="100" customWidth="1"/>
    <col min="4874" max="4874" width="12.1328125" style="100" customWidth="1"/>
    <col min="4875" max="4875" width="11.46484375" style="100" customWidth="1"/>
    <col min="4876" max="4876" width="5" style="100" customWidth="1"/>
    <col min="4877" max="4877" width="18.46484375" style="100" customWidth="1"/>
    <col min="4878" max="4878" width="12.1328125" style="100" customWidth="1"/>
    <col min="4879" max="4879" width="11.46484375" style="100" customWidth="1"/>
    <col min="4880" max="5122" width="9.1328125" style="100"/>
    <col min="5123" max="5123" width="0" style="100" hidden="1" customWidth="1"/>
    <col min="5124" max="5124" width="43.46484375" style="100" customWidth="1"/>
    <col min="5125" max="5125" width="3.6640625" style="100" customWidth="1"/>
    <col min="5126" max="5126" width="30.33203125" style="100" customWidth="1"/>
    <col min="5127" max="5127" width="18.46484375" style="100" customWidth="1"/>
    <col min="5128" max="5128" width="30.33203125" style="100" customWidth="1"/>
    <col min="5129" max="5129" width="18.46484375" style="100" customWidth="1"/>
    <col min="5130" max="5130" width="12.1328125" style="100" customWidth="1"/>
    <col min="5131" max="5131" width="11.46484375" style="100" customWidth="1"/>
    <col min="5132" max="5132" width="5" style="100" customWidth="1"/>
    <col min="5133" max="5133" width="18.46484375" style="100" customWidth="1"/>
    <col min="5134" max="5134" width="12.1328125" style="100" customWidth="1"/>
    <col min="5135" max="5135" width="11.46484375" style="100" customWidth="1"/>
    <col min="5136" max="5378" width="9.1328125" style="100"/>
    <col min="5379" max="5379" width="0" style="100" hidden="1" customWidth="1"/>
    <col min="5380" max="5380" width="43.46484375" style="100" customWidth="1"/>
    <col min="5381" max="5381" width="3.6640625" style="100" customWidth="1"/>
    <col min="5382" max="5382" width="30.33203125" style="100" customWidth="1"/>
    <col min="5383" max="5383" width="18.46484375" style="100" customWidth="1"/>
    <col min="5384" max="5384" width="30.33203125" style="100" customWidth="1"/>
    <col min="5385" max="5385" width="18.46484375" style="100" customWidth="1"/>
    <col min="5386" max="5386" width="12.1328125" style="100" customWidth="1"/>
    <col min="5387" max="5387" width="11.46484375" style="100" customWidth="1"/>
    <col min="5388" max="5388" width="5" style="100" customWidth="1"/>
    <col min="5389" max="5389" width="18.46484375" style="100" customWidth="1"/>
    <col min="5390" max="5390" width="12.1328125" style="100" customWidth="1"/>
    <col min="5391" max="5391" width="11.46484375" style="100" customWidth="1"/>
    <col min="5392" max="5634" width="9.1328125" style="100"/>
    <col min="5635" max="5635" width="0" style="100" hidden="1" customWidth="1"/>
    <col min="5636" max="5636" width="43.46484375" style="100" customWidth="1"/>
    <col min="5637" max="5637" width="3.6640625" style="100" customWidth="1"/>
    <col min="5638" max="5638" width="30.33203125" style="100" customWidth="1"/>
    <col min="5639" max="5639" width="18.46484375" style="100" customWidth="1"/>
    <col min="5640" max="5640" width="30.33203125" style="100" customWidth="1"/>
    <col min="5641" max="5641" width="18.46484375" style="100" customWidth="1"/>
    <col min="5642" max="5642" width="12.1328125" style="100" customWidth="1"/>
    <col min="5643" max="5643" width="11.46484375" style="100" customWidth="1"/>
    <col min="5644" max="5644" width="5" style="100" customWidth="1"/>
    <col min="5645" max="5645" width="18.46484375" style="100" customWidth="1"/>
    <col min="5646" max="5646" width="12.1328125" style="100" customWidth="1"/>
    <col min="5647" max="5647" width="11.46484375" style="100" customWidth="1"/>
    <col min="5648" max="5890" width="9.1328125" style="100"/>
    <col min="5891" max="5891" width="0" style="100" hidden="1" customWidth="1"/>
    <col min="5892" max="5892" width="43.46484375" style="100" customWidth="1"/>
    <col min="5893" max="5893" width="3.6640625" style="100" customWidth="1"/>
    <col min="5894" max="5894" width="30.33203125" style="100" customWidth="1"/>
    <col min="5895" max="5895" width="18.46484375" style="100" customWidth="1"/>
    <col min="5896" max="5896" width="30.33203125" style="100" customWidth="1"/>
    <col min="5897" max="5897" width="18.46484375" style="100" customWidth="1"/>
    <col min="5898" max="5898" width="12.1328125" style="100" customWidth="1"/>
    <col min="5899" max="5899" width="11.46484375" style="100" customWidth="1"/>
    <col min="5900" max="5900" width="5" style="100" customWidth="1"/>
    <col min="5901" max="5901" width="18.46484375" style="100" customWidth="1"/>
    <col min="5902" max="5902" width="12.1328125" style="100" customWidth="1"/>
    <col min="5903" max="5903" width="11.46484375" style="100" customWidth="1"/>
    <col min="5904" max="6146" width="9.1328125" style="100"/>
    <col min="6147" max="6147" width="0" style="100" hidden="1" customWidth="1"/>
    <col min="6148" max="6148" width="43.46484375" style="100" customWidth="1"/>
    <col min="6149" max="6149" width="3.6640625" style="100" customWidth="1"/>
    <col min="6150" max="6150" width="30.33203125" style="100" customWidth="1"/>
    <col min="6151" max="6151" width="18.46484375" style="100" customWidth="1"/>
    <col min="6152" max="6152" width="30.33203125" style="100" customWidth="1"/>
    <col min="6153" max="6153" width="18.46484375" style="100" customWidth="1"/>
    <col min="6154" max="6154" width="12.1328125" style="100" customWidth="1"/>
    <col min="6155" max="6155" width="11.46484375" style="100" customWidth="1"/>
    <col min="6156" max="6156" width="5" style="100" customWidth="1"/>
    <col min="6157" max="6157" width="18.46484375" style="100" customWidth="1"/>
    <col min="6158" max="6158" width="12.1328125" style="100" customWidth="1"/>
    <col min="6159" max="6159" width="11.46484375" style="100" customWidth="1"/>
    <col min="6160" max="6402" width="9.1328125" style="100"/>
    <col min="6403" max="6403" width="0" style="100" hidden="1" customWidth="1"/>
    <col min="6404" max="6404" width="43.46484375" style="100" customWidth="1"/>
    <col min="6405" max="6405" width="3.6640625" style="100" customWidth="1"/>
    <col min="6406" max="6406" width="30.33203125" style="100" customWidth="1"/>
    <col min="6407" max="6407" width="18.46484375" style="100" customWidth="1"/>
    <col min="6408" max="6408" width="30.33203125" style="100" customWidth="1"/>
    <col min="6409" max="6409" width="18.46484375" style="100" customWidth="1"/>
    <col min="6410" max="6410" width="12.1328125" style="100" customWidth="1"/>
    <col min="6411" max="6411" width="11.46484375" style="100" customWidth="1"/>
    <col min="6412" max="6412" width="5" style="100" customWidth="1"/>
    <col min="6413" max="6413" width="18.46484375" style="100" customWidth="1"/>
    <col min="6414" max="6414" width="12.1328125" style="100" customWidth="1"/>
    <col min="6415" max="6415" width="11.46484375" style="100" customWidth="1"/>
    <col min="6416" max="6658" width="9.1328125" style="100"/>
    <col min="6659" max="6659" width="0" style="100" hidden="1" customWidth="1"/>
    <col min="6660" max="6660" width="43.46484375" style="100" customWidth="1"/>
    <col min="6661" max="6661" width="3.6640625" style="100" customWidth="1"/>
    <col min="6662" max="6662" width="30.33203125" style="100" customWidth="1"/>
    <col min="6663" max="6663" width="18.46484375" style="100" customWidth="1"/>
    <col min="6664" max="6664" width="30.33203125" style="100" customWidth="1"/>
    <col min="6665" max="6665" width="18.46484375" style="100" customWidth="1"/>
    <col min="6666" max="6666" width="12.1328125" style="100" customWidth="1"/>
    <col min="6667" max="6667" width="11.46484375" style="100" customWidth="1"/>
    <col min="6668" max="6668" width="5" style="100" customWidth="1"/>
    <col min="6669" max="6669" width="18.46484375" style="100" customWidth="1"/>
    <col min="6670" max="6670" width="12.1328125" style="100" customWidth="1"/>
    <col min="6671" max="6671" width="11.46484375" style="100" customWidth="1"/>
    <col min="6672" max="6914" width="9.1328125" style="100"/>
    <col min="6915" max="6915" width="0" style="100" hidden="1" customWidth="1"/>
    <col min="6916" max="6916" width="43.46484375" style="100" customWidth="1"/>
    <col min="6917" max="6917" width="3.6640625" style="100" customWidth="1"/>
    <col min="6918" max="6918" width="30.33203125" style="100" customWidth="1"/>
    <col min="6919" max="6919" width="18.46484375" style="100" customWidth="1"/>
    <col min="6920" max="6920" width="30.33203125" style="100" customWidth="1"/>
    <col min="6921" max="6921" width="18.46484375" style="100" customWidth="1"/>
    <col min="6922" max="6922" width="12.1328125" style="100" customWidth="1"/>
    <col min="6923" max="6923" width="11.46484375" style="100" customWidth="1"/>
    <col min="6924" max="6924" width="5" style="100" customWidth="1"/>
    <col min="6925" max="6925" width="18.46484375" style="100" customWidth="1"/>
    <col min="6926" max="6926" width="12.1328125" style="100" customWidth="1"/>
    <col min="6927" max="6927" width="11.46484375" style="100" customWidth="1"/>
    <col min="6928" max="7170" width="9.1328125" style="100"/>
    <col min="7171" max="7171" width="0" style="100" hidden="1" customWidth="1"/>
    <col min="7172" max="7172" width="43.46484375" style="100" customWidth="1"/>
    <col min="7173" max="7173" width="3.6640625" style="100" customWidth="1"/>
    <col min="7174" max="7174" width="30.33203125" style="100" customWidth="1"/>
    <col min="7175" max="7175" width="18.46484375" style="100" customWidth="1"/>
    <col min="7176" max="7176" width="30.33203125" style="100" customWidth="1"/>
    <col min="7177" max="7177" width="18.46484375" style="100" customWidth="1"/>
    <col min="7178" max="7178" width="12.1328125" style="100" customWidth="1"/>
    <col min="7179" max="7179" width="11.46484375" style="100" customWidth="1"/>
    <col min="7180" max="7180" width="5" style="100" customWidth="1"/>
    <col min="7181" max="7181" width="18.46484375" style="100" customWidth="1"/>
    <col min="7182" max="7182" width="12.1328125" style="100" customWidth="1"/>
    <col min="7183" max="7183" width="11.46484375" style="100" customWidth="1"/>
    <col min="7184" max="7426" width="9.1328125" style="100"/>
    <col min="7427" max="7427" width="0" style="100" hidden="1" customWidth="1"/>
    <col min="7428" max="7428" width="43.46484375" style="100" customWidth="1"/>
    <col min="7429" max="7429" width="3.6640625" style="100" customWidth="1"/>
    <col min="7430" max="7430" width="30.33203125" style="100" customWidth="1"/>
    <col min="7431" max="7431" width="18.46484375" style="100" customWidth="1"/>
    <col min="7432" max="7432" width="30.33203125" style="100" customWidth="1"/>
    <col min="7433" max="7433" width="18.46484375" style="100" customWidth="1"/>
    <col min="7434" max="7434" width="12.1328125" style="100" customWidth="1"/>
    <col min="7435" max="7435" width="11.46484375" style="100" customWidth="1"/>
    <col min="7436" max="7436" width="5" style="100" customWidth="1"/>
    <col min="7437" max="7437" width="18.46484375" style="100" customWidth="1"/>
    <col min="7438" max="7438" width="12.1328125" style="100" customWidth="1"/>
    <col min="7439" max="7439" width="11.46484375" style="100" customWidth="1"/>
    <col min="7440" max="7682" width="9.1328125" style="100"/>
    <col min="7683" max="7683" width="0" style="100" hidden="1" customWidth="1"/>
    <col min="7684" max="7684" width="43.46484375" style="100" customWidth="1"/>
    <col min="7685" max="7685" width="3.6640625" style="100" customWidth="1"/>
    <col min="7686" max="7686" width="30.33203125" style="100" customWidth="1"/>
    <col min="7687" max="7687" width="18.46484375" style="100" customWidth="1"/>
    <col min="7688" max="7688" width="30.33203125" style="100" customWidth="1"/>
    <col min="7689" max="7689" width="18.46484375" style="100" customWidth="1"/>
    <col min="7690" max="7690" width="12.1328125" style="100" customWidth="1"/>
    <col min="7691" max="7691" width="11.46484375" style="100" customWidth="1"/>
    <col min="7692" max="7692" width="5" style="100" customWidth="1"/>
    <col min="7693" max="7693" width="18.46484375" style="100" customWidth="1"/>
    <col min="7694" max="7694" width="12.1328125" style="100" customWidth="1"/>
    <col min="7695" max="7695" width="11.46484375" style="100" customWidth="1"/>
    <col min="7696" max="7938" width="9.1328125" style="100"/>
    <col min="7939" max="7939" width="0" style="100" hidden="1" customWidth="1"/>
    <col min="7940" max="7940" width="43.46484375" style="100" customWidth="1"/>
    <col min="7941" max="7941" width="3.6640625" style="100" customWidth="1"/>
    <col min="7942" max="7942" width="30.33203125" style="100" customWidth="1"/>
    <col min="7943" max="7943" width="18.46484375" style="100" customWidth="1"/>
    <col min="7944" max="7944" width="30.33203125" style="100" customWidth="1"/>
    <col min="7945" max="7945" width="18.46484375" style="100" customWidth="1"/>
    <col min="7946" max="7946" width="12.1328125" style="100" customWidth="1"/>
    <col min="7947" max="7947" width="11.46484375" style="100" customWidth="1"/>
    <col min="7948" max="7948" width="5" style="100" customWidth="1"/>
    <col min="7949" max="7949" width="18.46484375" style="100" customWidth="1"/>
    <col min="7950" max="7950" width="12.1328125" style="100" customWidth="1"/>
    <col min="7951" max="7951" width="11.46484375" style="100" customWidth="1"/>
    <col min="7952" max="8194" width="9.1328125" style="100"/>
    <col min="8195" max="8195" width="0" style="100" hidden="1" customWidth="1"/>
    <col min="8196" max="8196" width="43.46484375" style="100" customWidth="1"/>
    <col min="8197" max="8197" width="3.6640625" style="100" customWidth="1"/>
    <col min="8198" max="8198" width="30.33203125" style="100" customWidth="1"/>
    <col min="8199" max="8199" width="18.46484375" style="100" customWidth="1"/>
    <col min="8200" max="8200" width="30.33203125" style="100" customWidth="1"/>
    <col min="8201" max="8201" width="18.46484375" style="100" customWidth="1"/>
    <col min="8202" max="8202" width="12.1328125" style="100" customWidth="1"/>
    <col min="8203" max="8203" width="11.46484375" style="100" customWidth="1"/>
    <col min="8204" max="8204" width="5" style="100" customWidth="1"/>
    <col min="8205" max="8205" width="18.46484375" style="100" customWidth="1"/>
    <col min="8206" max="8206" width="12.1328125" style="100" customWidth="1"/>
    <col min="8207" max="8207" width="11.46484375" style="100" customWidth="1"/>
    <col min="8208" max="8450" width="9.1328125" style="100"/>
    <col min="8451" max="8451" width="0" style="100" hidden="1" customWidth="1"/>
    <col min="8452" max="8452" width="43.46484375" style="100" customWidth="1"/>
    <col min="8453" max="8453" width="3.6640625" style="100" customWidth="1"/>
    <col min="8454" max="8454" width="30.33203125" style="100" customWidth="1"/>
    <col min="8455" max="8455" width="18.46484375" style="100" customWidth="1"/>
    <col min="8456" max="8456" width="30.33203125" style="100" customWidth="1"/>
    <col min="8457" max="8457" width="18.46484375" style="100" customWidth="1"/>
    <col min="8458" max="8458" width="12.1328125" style="100" customWidth="1"/>
    <col min="8459" max="8459" width="11.46484375" style="100" customWidth="1"/>
    <col min="8460" max="8460" width="5" style="100" customWidth="1"/>
    <col min="8461" max="8461" width="18.46484375" style="100" customWidth="1"/>
    <col min="8462" max="8462" width="12.1328125" style="100" customWidth="1"/>
    <col min="8463" max="8463" width="11.46484375" style="100" customWidth="1"/>
    <col min="8464" max="8706" width="9.1328125" style="100"/>
    <col min="8707" max="8707" width="0" style="100" hidden="1" customWidth="1"/>
    <col min="8708" max="8708" width="43.46484375" style="100" customWidth="1"/>
    <col min="8709" max="8709" width="3.6640625" style="100" customWidth="1"/>
    <col min="8710" max="8710" width="30.33203125" style="100" customWidth="1"/>
    <col min="8711" max="8711" width="18.46484375" style="100" customWidth="1"/>
    <col min="8712" max="8712" width="30.33203125" style="100" customWidth="1"/>
    <col min="8713" max="8713" width="18.46484375" style="100" customWidth="1"/>
    <col min="8714" max="8714" width="12.1328125" style="100" customWidth="1"/>
    <col min="8715" max="8715" width="11.46484375" style="100" customWidth="1"/>
    <col min="8716" max="8716" width="5" style="100" customWidth="1"/>
    <col min="8717" max="8717" width="18.46484375" style="100" customWidth="1"/>
    <col min="8718" max="8718" width="12.1328125" style="100" customWidth="1"/>
    <col min="8719" max="8719" width="11.46484375" style="100" customWidth="1"/>
    <col min="8720" max="8962" width="9.1328125" style="100"/>
    <col min="8963" max="8963" width="0" style="100" hidden="1" customWidth="1"/>
    <col min="8964" max="8964" width="43.46484375" style="100" customWidth="1"/>
    <col min="8965" max="8965" width="3.6640625" style="100" customWidth="1"/>
    <col min="8966" max="8966" width="30.33203125" style="100" customWidth="1"/>
    <col min="8967" max="8967" width="18.46484375" style="100" customWidth="1"/>
    <col min="8968" max="8968" width="30.33203125" style="100" customWidth="1"/>
    <col min="8969" max="8969" width="18.46484375" style="100" customWidth="1"/>
    <col min="8970" max="8970" width="12.1328125" style="100" customWidth="1"/>
    <col min="8971" max="8971" width="11.46484375" style="100" customWidth="1"/>
    <col min="8972" max="8972" width="5" style="100" customWidth="1"/>
    <col min="8973" max="8973" width="18.46484375" style="100" customWidth="1"/>
    <col min="8974" max="8974" width="12.1328125" style="100" customWidth="1"/>
    <col min="8975" max="8975" width="11.46484375" style="100" customWidth="1"/>
    <col min="8976" max="9218" width="9.1328125" style="100"/>
    <col min="9219" max="9219" width="0" style="100" hidden="1" customWidth="1"/>
    <col min="9220" max="9220" width="43.46484375" style="100" customWidth="1"/>
    <col min="9221" max="9221" width="3.6640625" style="100" customWidth="1"/>
    <col min="9222" max="9222" width="30.33203125" style="100" customWidth="1"/>
    <col min="9223" max="9223" width="18.46484375" style="100" customWidth="1"/>
    <col min="9224" max="9224" width="30.33203125" style="100" customWidth="1"/>
    <col min="9225" max="9225" width="18.46484375" style="100" customWidth="1"/>
    <col min="9226" max="9226" width="12.1328125" style="100" customWidth="1"/>
    <col min="9227" max="9227" width="11.46484375" style="100" customWidth="1"/>
    <col min="9228" max="9228" width="5" style="100" customWidth="1"/>
    <col min="9229" max="9229" width="18.46484375" style="100" customWidth="1"/>
    <col min="9230" max="9230" width="12.1328125" style="100" customWidth="1"/>
    <col min="9231" max="9231" width="11.46484375" style="100" customWidth="1"/>
    <col min="9232" max="9474" width="9.1328125" style="100"/>
    <col min="9475" max="9475" width="0" style="100" hidden="1" customWidth="1"/>
    <col min="9476" max="9476" width="43.46484375" style="100" customWidth="1"/>
    <col min="9477" max="9477" width="3.6640625" style="100" customWidth="1"/>
    <col min="9478" max="9478" width="30.33203125" style="100" customWidth="1"/>
    <col min="9479" max="9479" width="18.46484375" style="100" customWidth="1"/>
    <col min="9480" max="9480" width="30.33203125" style="100" customWidth="1"/>
    <col min="9481" max="9481" width="18.46484375" style="100" customWidth="1"/>
    <col min="9482" max="9482" width="12.1328125" style="100" customWidth="1"/>
    <col min="9483" max="9483" width="11.46484375" style="100" customWidth="1"/>
    <col min="9484" max="9484" width="5" style="100" customWidth="1"/>
    <col min="9485" max="9485" width="18.46484375" style="100" customWidth="1"/>
    <col min="9486" max="9486" width="12.1328125" style="100" customWidth="1"/>
    <col min="9487" max="9487" width="11.46484375" style="100" customWidth="1"/>
    <col min="9488" max="9730" width="9.1328125" style="100"/>
    <col min="9731" max="9731" width="0" style="100" hidden="1" customWidth="1"/>
    <col min="9732" max="9732" width="43.46484375" style="100" customWidth="1"/>
    <col min="9733" max="9733" width="3.6640625" style="100" customWidth="1"/>
    <col min="9734" max="9734" width="30.33203125" style="100" customWidth="1"/>
    <col min="9735" max="9735" width="18.46484375" style="100" customWidth="1"/>
    <col min="9736" max="9736" width="30.33203125" style="100" customWidth="1"/>
    <col min="9737" max="9737" width="18.46484375" style="100" customWidth="1"/>
    <col min="9738" max="9738" width="12.1328125" style="100" customWidth="1"/>
    <col min="9739" max="9739" width="11.46484375" style="100" customWidth="1"/>
    <col min="9740" max="9740" width="5" style="100" customWidth="1"/>
    <col min="9741" max="9741" width="18.46484375" style="100" customWidth="1"/>
    <col min="9742" max="9742" width="12.1328125" style="100" customWidth="1"/>
    <col min="9743" max="9743" width="11.46484375" style="100" customWidth="1"/>
    <col min="9744" max="9986" width="9.1328125" style="100"/>
    <col min="9987" max="9987" width="0" style="100" hidden="1" customWidth="1"/>
    <col min="9988" max="9988" width="43.46484375" style="100" customWidth="1"/>
    <col min="9989" max="9989" width="3.6640625" style="100" customWidth="1"/>
    <col min="9990" max="9990" width="30.33203125" style="100" customWidth="1"/>
    <col min="9991" max="9991" width="18.46484375" style="100" customWidth="1"/>
    <col min="9992" max="9992" width="30.33203125" style="100" customWidth="1"/>
    <col min="9993" max="9993" width="18.46484375" style="100" customWidth="1"/>
    <col min="9994" max="9994" width="12.1328125" style="100" customWidth="1"/>
    <col min="9995" max="9995" width="11.46484375" style="100" customWidth="1"/>
    <col min="9996" max="9996" width="5" style="100" customWidth="1"/>
    <col min="9997" max="9997" width="18.46484375" style="100" customWidth="1"/>
    <col min="9998" max="9998" width="12.1328125" style="100" customWidth="1"/>
    <col min="9999" max="9999" width="11.46484375" style="100" customWidth="1"/>
    <col min="10000" max="10242" width="9.1328125" style="100"/>
    <col min="10243" max="10243" width="0" style="100" hidden="1" customWidth="1"/>
    <col min="10244" max="10244" width="43.46484375" style="100" customWidth="1"/>
    <col min="10245" max="10245" width="3.6640625" style="100" customWidth="1"/>
    <col min="10246" max="10246" width="30.33203125" style="100" customWidth="1"/>
    <col min="10247" max="10247" width="18.46484375" style="100" customWidth="1"/>
    <col min="10248" max="10248" width="30.33203125" style="100" customWidth="1"/>
    <col min="10249" max="10249" width="18.46484375" style="100" customWidth="1"/>
    <col min="10250" max="10250" width="12.1328125" style="100" customWidth="1"/>
    <col min="10251" max="10251" width="11.46484375" style="100" customWidth="1"/>
    <col min="10252" max="10252" width="5" style="100" customWidth="1"/>
    <col min="10253" max="10253" width="18.46484375" style="100" customWidth="1"/>
    <col min="10254" max="10254" width="12.1328125" style="100" customWidth="1"/>
    <col min="10255" max="10255" width="11.46484375" style="100" customWidth="1"/>
    <col min="10256" max="10498" width="9.1328125" style="100"/>
    <col min="10499" max="10499" width="0" style="100" hidden="1" customWidth="1"/>
    <col min="10500" max="10500" width="43.46484375" style="100" customWidth="1"/>
    <col min="10501" max="10501" width="3.6640625" style="100" customWidth="1"/>
    <col min="10502" max="10502" width="30.33203125" style="100" customWidth="1"/>
    <col min="10503" max="10503" width="18.46484375" style="100" customWidth="1"/>
    <col min="10504" max="10504" width="30.33203125" style="100" customWidth="1"/>
    <col min="10505" max="10505" width="18.46484375" style="100" customWidth="1"/>
    <col min="10506" max="10506" width="12.1328125" style="100" customWidth="1"/>
    <col min="10507" max="10507" width="11.46484375" style="100" customWidth="1"/>
    <col min="10508" max="10508" width="5" style="100" customWidth="1"/>
    <col min="10509" max="10509" width="18.46484375" style="100" customWidth="1"/>
    <col min="10510" max="10510" width="12.1328125" style="100" customWidth="1"/>
    <col min="10511" max="10511" width="11.46484375" style="100" customWidth="1"/>
    <col min="10512" max="10754" width="9.1328125" style="100"/>
    <col min="10755" max="10755" width="0" style="100" hidden="1" customWidth="1"/>
    <col min="10756" max="10756" width="43.46484375" style="100" customWidth="1"/>
    <col min="10757" max="10757" width="3.6640625" style="100" customWidth="1"/>
    <col min="10758" max="10758" width="30.33203125" style="100" customWidth="1"/>
    <col min="10759" max="10759" width="18.46484375" style="100" customWidth="1"/>
    <col min="10760" max="10760" width="30.33203125" style="100" customWidth="1"/>
    <col min="10761" max="10761" width="18.46484375" style="100" customWidth="1"/>
    <col min="10762" max="10762" width="12.1328125" style="100" customWidth="1"/>
    <col min="10763" max="10763" width="11.46484375" style="100" customWidth="1"/>
    <col min="10764" max="10764" width="5" style="100" customWidth="1"/>
    <col min="10765" max="10765" width="18.46484375" style="100" customWidth="1"/>
    <col min="10766" max="10766" width="12.1328125" style="100" customWidth="1"/>
    <col min="10767" max="10767" width="11.46484375" style="100" customWidth="1"/>
    <col min="10768" max="11010" width="9.1328125" style="100"/>
    <col min="11011" max="11011" width="0" style="100" hidden="1" customWidth="1"/>
    <col min="11012" max="11012" width="43.46484375" style="100" customWidth="1"/>
    <col min="11013" max="11013" width="3.6640625" style="100" customWidth="1"/>
    <col min="11014" max="11014" width="30.33203125" style="100" customWidth="1"/>
    <col min="11015" max="11015" width="18.46484375" style="100" customWidth="1"/>
    <col min="11016" max="11016" width="30.33203125" style="100" customWidth="1"/>
    <col min="11017" max="11017" width="18.46484375" style="100" customWidth="1"/>
    <col min="11018" max="11018" width="12.1328125" style="100" customWidth="1"/>
    <col min="11019" max="11019" width="11.46484375" style="100" customWidth="1"/>
    <col min="11020" max="11020" width="5" style="100" customWidth="1"/>
    <col min="11021" max="11021" width="18.46484375" style="100" customWidth="1"/>
    <col min="11022" max="11022" width="12.1328125" style="100" customWidth="1"/>
    <col min="11023" max="11023" width="11.46484375" style="100" customWidth="1"/>
    <col min="11024" max="11266" width="9.1328125" style="100"/>
    <col min="11267" max="11267" width="0" style="100" hidden="1" customWidth="1"/>
    <col min="11268" max="11268" width="43.46484375" style="100" customWidth="1"/>
    <col min="11269" max="11269" width="3.6640625" style="100" customWidth="1"/>
    <col min="11270" max="11270" width="30.33203125" style="100" customWidth="1"/>
    <col min="11271" max="11271" width="18.46484375" style="100" customWidth="1"/>
    <col min="11272" max="11272" width="30.33203125" style="100" customWidth="1"/>
    <col min="11273" max="11273" width="18.46484375" style="100" customWidth="1"/>
    <col min="11274" max="11274" width="12.1328125" style="100" customWidth="1"/>
    <col min="11275" max="11275" width="11.46484375" style="100" customWidth="1"/>
    <col min="11276" max="11276" width="5" style="100" customWidth="1"/>
    <col min="11277" max="11277" width="18.46484375" style="100" customWidth="1"/>
    <col min="11278" max="11278" width="12.1328125" style="100" customWidth="1"/>
    <col min="11279" max="11279" width="11.46484375" style="100" customWidth="1"/>
    <col min="11280" max="11522" width="9.1328125" style="100"/>
    <col min="11523" max="11523" width="0" style="100" hidden="1" customWidth="1"/>
    <col min="11524" max="11524" width="43.46484375" style="100" customWidth="1"/>
    <col min="11525" max="11525" width="3.6640625" style="100" customWidth="1"/>
    <col min="11526" max="11526" width="30.33203125" style="100" customWidth="1"/>
    <col min="11527" max="11527" width="18.46484375" style="100" customWidth="1"/>
    <col min="11528" max="11528" width="30.33203125" style="100" customWidth="1"/>
    <col min="11529" max="11529" width="18.46484375" style="100" customWidth="1"/>
    <col min="11530" max="11530" width="12.1328125" style="100" customWidth="1"/>
    <col min="11531" max="11531" width="11.46484375" style="100" customWidth="1"/>
    <col min="11532" max="11532" width="5" style="100" customWidth="1"/>
    <col min="11533" max="11533" width="18.46484375" style="100" customWidth="1"/>
    <col min="11534" max="11534" width="12.1328125" style="100" customWidth="1"/>
    <col min="11535" max="11535" width="11.46484375" style="100" customWidth="1"/>
    <col min="11536" max="11778" width="9.1328125" style="100"/>
    <col min="11779" max="11779" width="0" style="100" hidden="1" customWidth="1"/>
    <col min="11780" max="11780" width="43.46484375" style="100" customWidth="1"/>
    <col min="11781" max="11781" width="3.6640625" style="100" customWidth="1"/>
    <col min="11782" max="11782" width="30.33203125" style="100" customWidth="1"/>
    <col min="11783" max="11783" width="18.46484375" style="100" customWidth="1"/>
    <col min="11784" max="11784" width="30.33203125" style="100" customWidth="1"/>
    <col min="11785" max="11785" width="18.46484375" style="100" customWidth="1"/>
    <col min="11786" max="11786" width="12.1328125" style="100" customWidth="1"/>
    <col min="11787" max="11787" width="11.46484375" style="100" customWidth="1"/>
    <col min="11788" max="11788" width="5" style="100" customWidth="1"/>
    <col min="11789" max="11789" width="18.46484375" style="100" customWidth="1"/>
    <col min="11790" max="11790" width="12.1328125" style="100" customWidth="1"/>
    <col min="11791" max="11791" width="11.46484375" style="100" customWidth="1"/>
    <col min="11792" max="12034" width="9.1328125" style="100"/>
    <col min="12035" max="12035" width="0" style="100" hidden="1" customWidth="1"/>
    <col min="12036" max="12036" width="43.46484375" style="100" customWidth="1"/>
    <col min="12037" max="12037" width="3.6640625" style="100" customWidth="1"/>
    <col min="12038" max="12038" width="30.33203125" style="100" customWidth="1"/>
    <col min="12039" max="12039" width="18.46484375" style="100" customWidth="1"/>
    <col min="12040" max="12040" width="30.33203125" style="100" customWidth="1"/>
    <col min="12041" max="12041" width="18.46484375" style="100" customWidth="1"/>
    <col min="12042" max="12042" width="12.1328125" style="100" customWidth="1"/>
    <col min="12043" max="12043" width="11.46484375" style="100" customWidth="1"/>
    <col min="12044" max="12044" width="5" style="100" customWidth="1"/>
    <col min="12045" max="12045" width="18.46484375" style="100" customWidth="1"/>
    <col min="12046" max="12046" width="12.1328125" style="100" customWidth="1"/>
    <col min="12047" max="12047" width="11.46484375" style="100" customWidth="1"/>
    <col min="12048" max="12290" width="9.1328125" style="100"/>
    <col min="12291" max="12291" width="0" style="100" hidden="1" customWidth="1"/>
    <col min="12292" max="12292" width="43.46484375" style="100" customWidth="1"/>
    <col min="12293" max="12293" width="3.6640625" style="100" customWidth="1"/>
    <col min="12294" max="12294" width="30.33203125" style="100" customWidth="1"/>
    <col min="12295" max="12295" width="18.46484375" style="100" customWidth="1"/>
    <col min="12296" max="12296" width="30.33203125" style="100" customWidth="1"/>
    <col min="12297" max="12297" width="18.46484375" style="100" customWidth="1"/>
    <col min="12298" max="12298" width="12.1328125" style="100" customWidth="1"/>
    <col min="12299" max="12299" width="11.46484375" style="100" customWidth="1"/>
    <col min="12300" max="12300" width="5" style="100" customWidth="1"/>
    <col min="12301" max="12301" width="18.46484375" style="100" customWidth="1"/>
    <col min="12302" max="12302" width="12.1328125" style="100" customWidth="1"/>
    <col min="12303" max="12303" width="11.46484375" style="100" customWidth="1"/>
    <col min="12304" max="12546" width="9.1328125" style="100"/>
    <col min="12547" max="12547" width="0" style="100" hidden="1" customWidth="1"/>
    <col min="12548" max="12548" width="43.46484375" style="100" customWidth="1"/>
    <col min="12549" max="12549" width="3.6640625" style="100" customWidth="1"/>
    <col min="12550" max="12550" width="30.33203125" style="100" customWidth="1"/>
    <col min="12551" max="12551" width="18.46484375" style="100" customWidth="1"/>
    <col min="12552" max="12552" width="30.33203125" style="100" customWidth="1"/>
    <col min="12553" max="12553" width="18.46484375" style="100" customWidth="1"/>
    <col min="12554" max="12554" width="12.1328125" style="100" customWidth="1"/>
    <col min="12555" max="12555" width="11.46484375" style="100" customWidth="1"/>
    <col min="12556" max="12556" width="5" style="100" customWidth="1"/>
    <col min="12557" max="12557" width="18.46484375" style="100" customWidth="1"/>
    <col min="12558" max="12558" width="12.1328125" style="100" customWidth="1"/>
    <col min="12559" max="12559" width="11.46484375" style="100" customWidth="1"/>
    <col min="12560" max="12802" width="9.1328125" style="100"/>
    <col min="12803" max="12803" width="0" style="100" hidden="1" customWidth="1"/>
    <col min="12804" max="12804" width="43.46484375" style="100" customWidth="1"/>
    <col min="12805" max="12805" width="3.6640625" style="100" customWidth="1"/>
    <col min="12806" max="12806" width="30.33203125" style="100" customWidth="1"/>
    <col min="12807" max="12807" width="18.46484375" style="100" customWidth="1"/>
    <col min="12808" max="12808" width="30.33203125" style="100" customWidth="1"/>
    <col min="12809" max="12809" width="18.46484375" style="100" customWidth="1"/>
    <col min="12810" max="12810" width="12.1328125" style="100" customWidth="1"/>
    <col min="12811" max="12811" width="11.46484375" style="100" customWidth="1"/>
    <col min="12812" max="12812" width="5" style="100" customWidth="1"/>
    <col min="12813" max="12813" width="18.46484375" style="100" customWidth="1"/>
    <col min="12814" max="12814" width="12.1328125" style="100" customWidth="1"/>
    <col min="12815" max="12815" width="11.46484375" style="100" customWidth="1"/>
    <col min="12816" max="13058" width="9.1328125" style="100"/>
    <col min="13059" max="13059" width="0" style="100" hidden="1" customWidth="1"/>
    <col min="13060" max="13060" width="43.46484375" style="100" customWidth="1"/>
    <col min="13061" max="13061" width="3.6640625" style="100" customWidth="1"/>
    <col min="13062" max="13062" width="30.33203125" style="100" customWidth="1"/>
    <col min="13063" max="13063" width="18.46484375" style="100" customWidth="1"/>
    <col min="13064" max="13064" width="30.33203125" style="100" customWidth="1"/>
    <col min="13065" max="13065" width="18.46484375" style="100" customWidth="1"/>
    <col min="13066" max="13066" width="12.1328125" style="100" customWidth="1"/>
    <col min="13067" max="13067" width="11.46484375" style="100" customWidth="1"/>
    <col min="13068" max="13068" width="5" style="100" customWidth="1"/>
    <col min="13069" max="13069" width="18.46484375" style="100" customWidth="1"/>
    <col min="13070" max="13070" width="12.1328125" style="100" customWidth="1"/>
    <col min="13071" max="13071" width="11.46484375" style="100" customWidth="1"/>
    <col min="13072" max="13314" width="9.1328125" style="100"/>
    <col min="13315" max="13315" width="0" style="100" hidden="1" customWidth="1"/>
    <col min="13316" max="13316" width="43.46484375" style="100" customWidth="1"/>
    <col min="13317" max="13317" width="3.6640625" style="100" customWidth="1"/>
    <col min="13318" max="13318" width="30.33203125" style="100" customWidth="1"/>
    <col min="13319" max="13319" width="18.46484375" style="100" customWidth="1"/>
    <col min="13320" max="13320" width="30.33203125" style="100" customWidth="1"/>
    <col min="13321" max="13321" width="18.46484375" style="100" customWidth="1"/>
    <col min="13322" max="13322" width="12.1328125" style="100" customWidth="1"/>
    <col min="13323" max="13323" width="11.46484375" style="100" customWidth="1"/>
    <col min="13324" max="13324" width="5" style="100" customWidth="1"/>
    <col min="13325" max="13325" width="18.46484375" style="100" customWidth="1"/>
    <col min="13326" max="13326" width="12.1328125" style="100" customWidth="1"/>
    <col min="13327" max="13327" width="11.46484375" style="100" customWidth="1"/>
    <col min="13328" max="13570" width="9.1328125" style="100"/>
    <col min="13571" max="13571" width="0" style="100" hidden="1" customWidth="1"/>
    <col min="13572" max="13572" width="43.46484375" style="100" customWidth="1"/>
    <col min="13573" max="13573" width="3.6640625" style="100" customWidth="1"/>
    <col min="13574" max="13574" width="30.33203125" style="100" customWidth="1"/>
    <col min="13575" max="13575" width="18.46484375" style="100" customWidth="1"/>
    <col min="13576" max="13576" width="30.33203125" style="100" customWidth="1"/>
    <col min="13577" max="13577" width="18.46484375" style="100" customWidth="1"/>
    <col min="13578" max="13578" width="12.1328125" style="100" customWidth="1"/>
    <col min="13579" max="13579" width="11.46484375" style="100" customWidth="1"/>
    <col min="13580" max="13580" width="5" style="100" customWidth="1"/>
    <col min="13581" max="13581" width="18.46484375" style="100" customWidth="1"/>
    <col min="13582" max="13582" width="12.1328125" style="100" customWidth="1"/>
    <col min="13583" max="13583" width="11.46484375" style="100" customWidth="1"/>
    <col min="13584" max="13826" width="9.1328125" style="100"/>
    <col min="13827" max="13827" width="0" style="100" hidden="1" customWidth="1"/>
    <col min="13828" max="13828" width="43.46484375" style="100" customWidth="1"/>
    <col min="13829" max="13829" width="3.6640625" style="100" customWidth="1"/>
    <col min="13830" max="13830" width="30.33203125" style="100" customWidth="1"/>
    <col min="13831" max="13831" width="18.46484375" style="100" customWidth="1"/>
    <col min="13832" max="13832" width="30.33203125" style="100" customWidth="1"/>
    <col min="13833" max="13833" width="18.46484375" style="100" customWidth="1"/>
    <col min="13834" max="13834" width="12.1328125" style="100" customWidth="1"/>
    <col min="13835" max="13835" width="11.46484375" style="100" customWidth="1"/>
    <col min="13836" max="13836" width="5" style="100" customWidth="1"/>
    <col min="13837" max="13837" width="18.46484375" style="100" customWidth="1"/>
    <col min="13838" max="13838" width="12.1328125" style="100" customWidth="1"/>
    <col min="13839" max="13839" width="11.46484375" style="100" customWidth="1"/>
    <col min="13840" max="14082" width="9.1328125" style="100"/>
    <col min="14083" max="14083" width="0" style="100" hidden="1" customWidth="1"/>
    <col min="14084" max="14084" width="43.46484375" style="100" customWidth="1"/>
    <col min="14085" max="14085" width="3.6640625" style="100" customWidth="1"/>
    <col min="14086" max="14086" width="30.33203125" style="100" customWidth="1"/>
    <col min="14087" max="14087" width="18.46484375" style="100" customWidth="1"/>
    <col min="14088" max="14088" width="30.33203125" style="100" customWidth="1"/>
    <col min="14089" max="14089" width="18.46484375" style="100" customWidth="1"/>
    <col min="14090" max="14090" width="12.1328125" style="100" customWidth="1"/>
    <col min="14091" max="14091" width="11.46484375" style="100" customWidth="1"/>
    <col min="14092" max="14092" width="5" style="100" customWidth="1"/>
    <col min="14093" max="14093" width="18.46484375" style="100" customWidth="1"/>
    <col min="14094" max="14094" width="12.1328125" style="100" customWidth="1"/>
    <col min="14095" max="14095" width="11.46484375" style="100" customWidth="1"/>
    <col min="14096" max="14338" width="9.1328125" style="100"/>
    <col min="14339" max="14339" width="0" style="100" hidden="1" customWidth="1"/>
    <col min="14340" max="14340" width="43.46484375" style="100" customWidth="1"/>
    <col min="14341" max="14341" width="3.6640625" style="100" customWidth="1"/>
    <col min="14342" max="14342" width="30.33203125" style="100" customWidth="1"/>
    <col min="14343" max="14343" width="18.46484375" style="100" customWidth="1"/>
    <col min="14344" max="14344" width="30.33203125" style="100" customWidth="1"/>
    <col min="14345" max="14345" width="18.46484375" style="100" customWidth="1"/>
    <col min="14346" max="14346" width="12.1328125" style="100" customWidth="1"/>
    <col min="14347" max="14347" width="11.46484375" style="100" customWidth="1"/>
    <col min="14348" max="14348" width="5" style="100" customWidth="1"/>
    <col min="14349" max="14349" width="18.46484375" style="100" customWidth="1"/>
    <col min="14350" max="14350" width="12.1328125" style="100" customWidth="1"/>
    <col min="14351" max="14351" width="11.46484375" style="100" customWidth="1"/>
    <col min="14352" max="14594" width="9.1328125" style="100"/>
    <col min="14595" max="14595" width="0" style="100" hidden="1" customWidth="1"/>
    <col min="14596" max="14596" width="43.46484375" style="100" customWidth="1"/>
    <col min="14597" max="14597" width="3.6640625" style="100" customWidth="1"/>
    <col min="14598" max="14598" width="30.33203125" style="100" customWidth="1"/>
    <col min="14599" max="14599" width="18.46484375" style="100" customWidth="1"/>
    <col min="14600" max="14600" width="30.33203125" style="100" customWidth="1"/>
    <col min="14601" max="14601" width="18.46484375" style="100" customWidth="1"/>
    <col min="14602" max="14602" width="12.1328125" style="100" customWidth="1"/>
    <col min="14603" max="14603" width="11.46484375" style="100" customWidth="1"/>
    <col min="14604" max="14604" width="5" style="100" customWidth="1"/>
    <col min="14605" max="14605" width="18.46484375" style="100" customWidth="1"/>
    <col min="14606" max="14606" width="12.1328125" style="100" customWidth="1"/>
    <col min="14607" max="14607" width="11.46484375" style="100" customWidth="1"/>
    <col min="14608" max="14850" width="9.1328125" style="100"/>
    <col min="14851" max="14851" width="0" style="100" hidden="1" customWidth="1"/>
    <col min="14852" max="14852" width="43.46484375" style="100" customWidth="1"/>
    <col min="14853" max="14853" width="3.6640625" style="100" customWidth="1"/>
    <col min="14854" max="14854" width="30.33203125" style="100" customWidth="1"/>
    <col min="14855" max="14855" width="18.46484375" style="100" customWidth="1"/>
    <col min="14856" max="14856" width="30.33203125" style="100" customWidth="1"/>
    <col min="14857" max="14857" width="18.46484375" style="100" customWidth="1"/>
    <col min="14858" max="14858" width="12.1328125" style="100" customWidth="1"/>
    <col min="14859" max="14859" width="11.46484375" style="100" customWidth="1"/>
    <col min="14860" max="14860" width="5" style="100" customWidth="1"/>
    <col min="14861" max="14861" width="18.46484375" style="100" customWidth="1"/>
    <col min="14862" max="14862" width="12.1328125" style="100" customWidth="1"/>
    <col min="14863" max="14863" width="11.46484375" style="100" customWidth="1"/>
    <col min="14864" max="15106" width="9.1328125" style="100"/>
    <col min="15107" max="15107" width="0" style="100" hidden="1" customWidth="1"/>
    <col min="15108" max="15108" width="43.46484375" style="100" customWidth="1"/>
    <col min="15109" max="15109" width="3.6640625" style="100" customWidth="1"/>
    <col min="15110" max="15110" width="30.33203125" style="100" customWidth="1"/>
    <col min="15111" max="15111" width="18.46484375" style="100" customWidth="1"/>
    <col min="15112" max="15112" width="30.33203125" style="100" customWidth="1"/>
    <col min="15113" max="15113" width="18.46484375" style="100" customWidth="1"/>
    <col min="15114" max="15114" width="12.1328125" style="100" customWidth="1"/>
    <col min="15115" max="15115" width="11.46484375" style="100" customWidth="1"/>
    <col min="15116" max="15116" width="5" style="100" customWidth="1"/>
    <col min="15117" max="15117" width="18.46484375" style="100" customWidth="1"/>
    <col min="15118" max="15118" width="12.1328125" style="100" customWidth="1"/>
    <col min="15119" max="15119" width="11.46484375" style="100" customWidth="1"/>
    <col min="15120" max="15362" width="9.1328125" style="100"/>
    <col min="15363" max="15363" width="0" style="100" hidden="1" customWidth="1"/>
    <col min="15364" max="15364" width="43.46484375" style="100" customWidth="1"/>
    <col min="15365" max="15365" width="3.6640625" style="100" customWidth="1"/>
    <col min="15366" max="15366" width="30.33203125" style="100" customWidth="1"/>
    <col min="15367" max="15367" width="18.46484375" style="100" customWidth="1"/>
    <col min="15368" max="15368" width="30.33203125" style="100" customWidth="1"/>
    <col min="15369" max="15369" width="18.46484375" style="100" customWidth="1"/>
    <col min="15370" max="15370" width="12.1328125" style="100" customWidth="1"/>
    <col min="15371" max="15371" width="11.46484375" style="100" customWidth="1"/>
    <col min="15372" max="15372" width="5" style="100" customWidth="1"/>
    <col min="15373" max="15373" width="18.46484375" style="100" customWidth="1"/>
    <col min="15374" max="15374" width="12.1328125" style="100" customWidth="1"/>
    <col min="15375" max="15375" width="11.46484375" style="100" customWidth="1"/>
    <col min="15376" max="15618" width="9.1328125" style="100"/>
    <col min="15619" max="15619" width="0" style="100" hidden="1" customWidth="1"/>
    <col min="15620" max="15620" width="43.46484375" style="100" customWidth="1"/>
    <col min="15621" max="15621" width="3.6640625" style="100" customWidth="1"/>
    <col min="15622" max="15622" width="30.33203125" style="100" customWidth="1"/>
    <col min="15623" max="15623" width="18.46484375" style="100" customWidth="1"/>
    <col min="15624" max="15624" width="30.33203125" style="100" customWidth="1"/>
    <col min="15625" max="15625" width="18.46484375" style="100" customWidth="1"/>
    <col min="15626" max="15626" width="12.1328125" style="100" customWidth="1"/>
    <col min="15627" max="15627" width="11.46484375" style="100" customWidth="1"/>
    <col min="15628" max="15628" width="5" style="100" customWidth="1"/>
    <col min="15629" max="15629" width="18.46484375" style="100" customWidth="1"/>
    <col min="15630" max="15630" width="12.1328125" style="100" customWidth="1"/>
    <col min="15631" max="15631" width="11.46484375" style="100" customWidth="1"/>
    <col min="15632" max="15874" width="9.1328125" style="100"/>
    <col min="15875" max="15875" width="0" style="100" hidden="1" customWidth="1"/>
    <col min="15876" max="15876" width="43.46484375" style="100" customWidth="1"/>
    <col min="15877" max="15877" width="3.6640625" style="100" customWidth="1"/>
    <col min="15878" max="15878" width="30.33203125" style="100" customWidth="1"/>
    <col min="15879" max="15879" width="18.46484375" style="100" customWidth="1"/>
    <col min="15880" max="15880" width="30.33203125" style="100" customWidth="1"/>
    <col min="15881" max="15881" width="18.46484375" style="100" customWidth="1"/>
    <col min="15882" max="15882" width="12.1328125" style="100" customWidth="1"/>
    <col min="15883" max="15883" width="11.46484375" style="100" customWidth="1"/>
    <col min="15884" max="15884" width="5" style="100" customWidth="1"/>
    <col min="15885" max="15885" width="18.46484375" style="100" customWidth="1"/>
    <col min="15886" max="15886" width="12.1328125" style="100" customWidth="1"/>
    <col min="15887" max="15887" width="11.46484375" style="100" customWidth="1"/>
    <col min="15888" max="16130" width="9.1328125" style="100"/>
    <col min="16131" max="16131" width="0" style="100" hidden="1" customWidth="1"/>
    <col min="16132" max="16132" width="43.46484375" style="100" customWidth="1"/>
    <col min="16133" max="16133" width="3.6640625" style="100" customWidth="1"/>
    <col min="16134" max="16134" width="30.33203125" style="100" customWidth="1"/>
    <col min="16135" max="16135" width="18.46484375" style="100" customWidth="1"/>
    <col min="16136" max="16136" width="30.33203125" style="100" customWidth="1"/>
    <col min="16137" max="16137" width="18.46484375" style="100" customWidth="1"/>
    <col min="16138" max="16138" width="12.1328125" style="100" customWidth="1"/>
    <col min="16139" max="16139" width="11.46484375" style="100" customWidth="1"/>
    <col min="16140" max="16140" width="5" style="100" customWidth="1"/>
    <col min="16141" max="16141" width="18.46484375" style="100" customWidth="1"/>
    <col min="16142" max="16142" width="12.1328125" style="100" customWidth="1"/>
    <col min="16143" max="16143" width="11.46484375" style="100" customWidth="1"/>
    <col min="16144" max="16384" width="9.1328125" style="100"/>
  </cols>
  <sheetData>
    <row r="1" spans="1:258" ht="12.75" customHeight="1">
      <c r="A1" s="97"/>
      <c r="B1" s="140"/>
      <c r="C1" s="97"/>
      <c r="D1" s="97"/>
      <c r="E1" s="97"/>
      <c r="F1" s="97"/>
      <c r="G1" s="97"/>
      <c r="H1" s="97"/>
      <c r="I1" s="97"/>
      <c r="J1" s="97"/>
      <c r="K1" s="97"/>
      <c r="L1" s="98"/>
      <c r="M1" s="97"/>
      <c r="N1" s="97"/>
      <c r="O1" s="97"/>
      <c r="P1" s="99"/>
      <c r="Q1" s="99"/>
      <c r="R1" s="99"/>
      <c r="S1" s="99"/>
      <c r="T1" s="99"/>
      <c r="U1" s="99"/>
      <c r="V1" s="99"/>
      <c r="W1" s="99"/>
      <c r="X1" s="99"/>
      <c r="Y1" s="99"/>
      <c r="Z1" s="99"/>
      <c r="AA1" s="99"/>
      <c r="AB1" s="99"/>
      <c r="AC1" s="99"/>
      <c r="AD1" s="99"/>
      <c r="AE1" s="99"/>
      <c r="AF1" s="99"/>
      <c r="AG1" s="99"/>
    </row>
    <row r="2" spans="1:258" s="221" customFormat="1" ht="21" customHeight="1">
      <c r="A2" s="97"/>
      <c r="B2" s="3188" t="s">
        <v>0</v>
      </c>
      <c r="C2" s="99"/>
      <c r="D2" s="217" t="s">
        <v>482</v>
      </c>
      <c r="E2" s="218"/>
      <c r="F2" s="218"/>
      <c r="G2" s="218"/>
      <c r="H2" s="218"/>
      <c r="I2" s="218"/>
      <c r="J2" s="220"/>
      <c r="K2" s="218"/>
      <c r="L2" s="218"/>
      <c r="M2" s="218"/>
      <c r="N2" s="218"/>
      <c r="O2" s="218"/>
      <c r="P2" s="220"/>
      <c r="Q2" s="220"/>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c r="EA2" s="218"/>
      <c r="EB2" s="218"/>
      <c r="EC2" s="218"/>
      <c r="ED2" s="218"/>
      <c r="EE2" s="218"/>
      <c r="EF2" s="218"/>
      <c r="EG2" s="218"/>
      <c r="EH2" s="218"/>
      <c r="EI2" s="218"/>
      <c r="EJ2" s="218"/>
      <c r="EK2" s="218"/>
      <c r="EL2" s="218"/>
      <c r="EM2" s="218"/>
      <c r="EN2" s="218"/>
      <c r="EO2" s="218"/>
      <c r="EP2" s="218"/>
      <c r="EQ2" s="218"/>
      <c r="ER2" s="218"/>
      <c r="ES2" s="218"/>
      <c r="ET2" s="218"/>
      <c r="EU2" s="218"/>
      <c r="EV2" s="218"/>
      <c r="EW2" s="218"/>
      <c r="EX2" s="218"/>
      <c r="EY2" s="218"/>
      <c r="EZ2" s="218"/>
      <c r="FA2" s="218"/>
      <c r="FB2" s="218"/>
      <c r="FC2" s="218"/>
      <c r="FD2" s="218"/>
      <c r="FE2" s="218"/>
      <c r="FF2" s="218"/>
      <c r="FG2" s="218"/>
      <c r="FH2" s="218"/>
      <c r="FI2" s="218"/>
      <c r="FJ2" s="218"/>
      <c r="FK2" s="218"/>
      <c r="FL2" s="218"/>
      <c r="FM2" s="218"/>
      <c r="FN2" s="218"/>
      <c r="FO2" s="218"/>
      <c r="FP2" s="218"/>
      <c r="FQ2" s="218"/>
      <c r="FR2" s="218"/>
      <c r="FS2" s="218"/>
      <c r="FT2" s="218"/>
      <c r="FU2" s="218"/>
      <c r="FV2" s="218"/>
      <c r="FW2" s="218"/>
      <c r="FX2" s="218"/>
      <c r="FY2" s="218"/>
      <c r="FZ2" s="218"/>
      <c r="GA2" s="218"/>
      <c r="GB2" s="218"/>
      <c r="GC2" s="218"/>
      <c r="GD2" s="218"/>
      <c r="GE2" s="218"/>
      <c r="GF2" s="218"/>
      <c r="GG2" s="218"/>
      <c r="GH2" s="218"/>
      <c r="GI2" s="218"/>
      <c r="GJ2" s="218"/>
      <c r="GK2" s="218"/>
      <c r="GL2" s="218"/>
      <c r="GM2" s="218"/>
      <c r="GN2" s="218"/>
      <c r="GO2" s="218"/>
      <c r="GP2" s="218"/>
      <c r="GQ2" s="218"/>
      <c r="GR2" s="218"/>
      <c r="GS2" s="218"/>
      <c r="GT2" s="218"/>
      <c r="GU2" s="218"/>
      <c r="GV2" s="218"/>
      <c r="GW2" s="218"/>
      <c r="GX2" s="218"/>
      <c r="GY2" s="218"/>
      <c r="GZ2" s="218"/>
      <c r="HA2" s="218"/>
      <c r="HB2" s="218"/>
      <c r="HC2" s="218"/>
      <c r="HD2" s="218"/>
      <c r="HE2" s="218"/>
      <c r="HF2" s="218"/>
      <c r="HG2" s="218"/>
      <c r="HH2" s="218"/>
      <c r="HI2" s="218"/>
      <c r="HJ2" s="218"/>
      <c r="HK2" s="218"/>
      <c r="HL2" s="218"/>
      <c r="HM2" s="218"/>
      <c r="HN2" s="218"/>
      <c r="HO2" s="218"/>
      <c r="HP2" s="218"/>
      <c r="HQ2" s="218"/>
      <c r="HR2" s="218"/>
      <c r="HS2" s="218"/>
      <c r="HT2" s="218"/>
      <c r="HU2" s="218"/>
      <c r="HV2" s="218"/>
      <c r="HW2" s="218"/>
      <c r="HX2" s="218"/>
      <c r="HY2" s="218"/>
      <c r="HZ2" s="218"/>
      <c r="IA2" s="218"/>
      <c r="IB2" s="218"/>
      <c r="IC2" s="218"/>
      <c r="ID2" s="218"/>
      <c r="IE2" s="218"/>
      <c r="IF2" s="218"/>
      <c r="IG2" s="218"/>
      <c r="IH2" s="218"/>
      <c r="II2" s="218"/>
      <c r="IJ2" s="218"/>
      <c r="IK2" s="218"/>
      <c r="IL2" s="218"/>
      <c r="IM2" s="218"/>
      <c r="IN2" s="218"/>
      <c r="IO2" s="218"/>
      <c r="IP2" s="218"/>
      <c r="IQ2" s="218"/>
      <c r="IR2" s="218"/>
      <c r="IS2" s="218"/>
      <c r="IT2" s="218"/>
      <c r="IU2" s="218"/>
      <c r="IV2" s="218"/>
      <c r="IW2" s="218"/>
      <c r="IX2" s="218"/>
    </row>
    <row r="3" spans="1:258" ht="21" customHeight="1">
      <c r="A3" s="97"/>
      <c r="B3" s="3188"/>
    </row>
    <row r="4" spans="1:258" ht="21" customHeight="1">
      <c r="A4" s="97"/>
      <c r="B4" s="62"/>
      <c r="D4" s="3196" t="s">
        <v>481</v>
      </c>
      <c r="E4" s="3196"/>
      <c r="F4" s="3196"/>
      <c r="G4" s="3196"/>
      <c r="H4" s="3196"/>
      <c r="I4" s="3196"/>
    </row>
    <row r="5" spans="1:258" ht="21" customHeight="1">
      <c r="A5" s="97"/>
      <c r="B5" s="62" t="s">
        <v>1</v>
      </c>
      <c r="D5" s="3197" t="s">
        <v>483</v>
      </c>
      <c r="E5" s="3197"/>
      <c r="F5" s="3197"/>
      <c r="G5" s="3197"/>
      <c r="H5" s="3197"/>
      <c r="I5" s="3197"/>
    </row>
    <row r="6" spans="1:258" ht="21" customHeight="1">
      <c r="A6" s="97"/>
      <c r="B6" s="397" t="s">
        <v>452</v>
      </c>
      <c r="D6" s="863"/>
      <c r="E6" s="864"/>
      <c r="F6" s="864"/>
      <c r="G6" s="864"/>
      <c r="H6" s="864"/>
      <c r="I6" s="865"/>
    </row>
    <row r="7" spans="1:258" ht="21" customHeight="1">
      <c r="A7" s="97"/>
      <c r="B7" s="146" t="s">
        <v>239</v>
      </c>
      <c r="D7" s="534"/>
      <c r="E7" s="623"/>
      <c r="F7" s="2513">
        <v>21</v>
      </c>
      <c r="G7" s="873">
        <f>ROUND((9/5)*F7+32,1)</f>
        <v>69.8</v>
      </c>
      <c r="H7" s="514"/>
      <c r="I7" s="520"/>
    </row>
    <row r="8" spans="1:258" ht="21" customHeight="1">
      <c r="A8" s="97"/>
      <c r="B8" s="145" t="s">
        <v>448</v>
      </c>
      <c r="D8" s="534"/>
      <c r="E8" s="514"/>
      <c r="F8" s="633">
        <v>77.2</v>
      </c>
      <c r="G8" s="2512">
        <f>ROUND((F8-32)/9*5,2)</f>
        <v>25.11</v>
      </c>
      <c r="H8" s="514"/>
      <c r="I8" s="520"/>
    </row>
    <row r="9" spans="1:258" ht="21" customHeight="1">
      <c r="A9" s="97"/>
      <c r="B9" s="147" t="s">
        <v>559</v>
      </c>
      <c r="D9" s="536"/>
      <c r="E9" s="538"/>
      <c r="F9" s="538"/>
      <c r="G9" s="538"/>
      <c r="H9" s="538"/>
      <c r="I9" s="537"/>
    </row>
    <row r="10" spans="1:258" ht="21" customHeight="1">
      <c r="A10" s="97"/>
      <c r="B10" s="145" t="s">
        <v>509</v>
      </c>
      <c r="D10" s="139"/>
      <c r="E10" s="139"/>
      <c r="F10" s="139"/>
      <c r="G10" s="139"/>
      <c r="H10" s="139"/>
      <c r="I10" s="139"/>
    </row>
    <row r="11" spans="1:258" ht="21" customHeight="1">
      <c r="A11" s="97"/>
      <c r="B11" s="145" t="s">
        <v>539</v>
      </c>
      <c r="D11" s="139"/>
      <c r="E11" s="139"/>
      <c r="F11" s="866" t="s">
        <v>484</v>
      </c>
      <c r="G11" s="866" t="s">
        <v>485</v>
      </c>
      <c r="H11" s="139"/>
      <c r="I11" s="139"/>
    </row>
    <row r="12" spans="1:258" ht="21" customHeight="1">
      <c r="A12" s="97"/>
      <c r="B12" s="145" t="s">
        <v>540</v>
      </c>
      <c r="D12" s="139"/>
      <c r="E12" s="867">
        <v>0</v>
      </c>
      <c r="F12" s="869">
        <f>ROUND((E12-32)/9*5,2)</f>
        <v>-17.78</v>
      </c>
      <c r="G12" s="868">
        <f>ROUND((9/5)*E12+32,1)</f>
        <v>32</v>
      </c>
      <c r="H12" s="139"/>
      <c r="I12" s="139"/>
    </row>
    <row r="13" spans="1:258" ht="21" customHeight="1">
      <c r="A13" s="97"/>
      <c r="B13" s="145" t="s">
        <v>541</v>
      </c>
      <c r="D13" s="139"/>
      <c r="E13" s="867">
        <v>0.5</v>
      </c>
      <c r="F13" s="870">
        <f>ROUND((E13-32)/9*5,2)</f>
        <v>-17.5</v>
      </c>
      <c r="G13" s="868">
        <f>ROUND((9/5)*E13+32,1)</f>
        <v>32.9</v>
      </c>
      <c r="H13" s="139"/>
      <c r="I13" s="139"/>
    </row>
    <row r="14" spans="1:258" ht="21" customHeight="1">
      <c r="A14" s="97"/>
      <c r="B14" s="145" t="s">
        <v>1037</v>
      </c>
      <c r="D14" s="139"/>
      <c r="E14" s="867">
        <v>1</v>
      </c>
      <c r="F14" s="870">
        <f t="shared" ref="F14:F77" si="0">ROUND((E14-32)/9*5,2)</f>
        <v>-17.22</v>
      </c>
      <c r="G14" s="868">
        <f t="shared" ref="G14:G77" si="1">ROUND((9/5)*E14+32,1)</f>
        <v>33.799999999999997</v>
      </c>
      <c r="H14" s="139"/>
      <c r="I14" s="139"/>
    </row>
    <row r="15" spans="1:258" ht="21" customHeight="1">
      <c r="A15" s="97"/>
      <c r="B15" s="62" t="s">
        <v>1263</v>
      </c>
      <c r="D15" s="139"/>
      <c r="E15" s="867">
        <v>1.5</v>
      </c>
      <c r="F15" s="870">
        <f t="shared" si="0"/>
        <v>-16.940000000000001</v>
      </c>
      <c r="G15" s="868">
        <f t="shared" si="1"/>
        <v>34.700000000000003</v>
      </c>
      <c r="H15" s="139"/>
      <c r="I15" s="139"/>
    </row>
    <row r="16" spans="1:258" ht="21" customHeight="1">
      <c r="A16" s="97"/>
      <c r="B16" s="62" t="s">
        <v>557</v>
      </c>
      <c r="D16" s="139"/>
      <c r="E16" s="867">
        <v>2</v>
      </c>
      <c r="F16" s="870">
        <f t="shared" si="0"/>
        <v>-16.670000000000002</v>
      </c>
      <c r="G16" s="868">
        <f t="shared" si="1"/>
        <v>35.6</v>
      </c>
      <c r="H16" s="139"/>
      <c r="I16" s="139"/>
    </row>
    <row r="17" spans="1:9" ht="21" customHeight="1">
      <c r="A17" s="97"/>
      <c r="B17" s="62" t="s">
        <v>238</v>
      </c>
      <c r="D17" s="139"/>
      <c r="E17" s="867">
        <v>2.5</v>
      </c>
      <c r="F17" s="870">
        <f t="shared" si="0"/>
        <v>-16.39</v>
      </c>
      <c r="G17" s="868">
        <f t="shared" si="1"/>
        <v>36.5</v>
      </c>
      <c r="H17" s="139"/>
      <c r="I17" s="139"/>
    </row>
    <row r="18" spans="1:9" ht="21" customHeight="1">
      <c r="A18" s="97"/>
      <c r="B18" s="62" t="s">
        <v>1652</v>
      </c>
      <c r="D18" s="139"/>
      <c r="E18" s="867">
        <v>3</v>
      </c>
      <c r="F18" s="870">
        <f t="shared" si="0"/>
        <v>-16.11</v>
      </c>
      <c r="G18" s="868">
        <f t="shared" si="1"/>
        <v>37.4</v>
      </c>
      <c r="H18" s="139"/>
      <c r="I18" s="139"/>
    </row>
    <row r="19" spans="1:9" ht="21" customHeight="1">
      <c r="A19" s="97"/>
      <c r="B19" s="62" t="s">
        <v>1653</v>
      </c>
      <c r="D19" s="139"/>
      <c r="E19" s="867">
        <v>3.5</v>
      </c>
      <c r="F19" s="870">
        <f t="shared" si="0"/>
        <v>-15.83</v>
      </c>
      <c r="G19" s="868">
        <f t="shared" si="1"/>
        <v>38.299999999999997</v>
      </c>
      <c r="H19" s="139"/>
      <c r="I19" s="139"/>
    </row>
    <row r="20" spans="1:9" ht="21" customHeight="1">
      <c r="A20" s="97"/>
      <c r="B20" s="62" t="s">
        <v>40</v>
      </c>
      <c r="D20" s="139"/>
      <c r="E20" s="867">
        <v>4</v>
      </c>
      <c r="F20" s="870">
        <f t="shared" si="0"/>
        <v>-15.56</v>
      </c>
      <c r="G20" s="868">
        <f t="shared" si="1"/>
        <v>39.200000000000003</v>
      </c>
      <c r="H20" s="139"/>
      <c r="I20" s="139"/>
    </row>
    <row r="21" spans="1:9" ht="21" customHeight="1">
      <c r="A21" s="97"/>
      <c r="B21" s="62" t="s">
        <v>238</v>
      </c>
      <c r="D21" s="139"/>
      <c r="E21" s="867">
        <v>4.5</v>
      </c>
      <c r="F21" s="870">
        <f t="shared" si="0"/>
        <v>-15.28</v>
      </c>
      <c r="G21" s="868">
        <f t="shared" si="1"/>
        <v>40.1</v>
      </c>
      <c r="H21" s="139"/>
      <c r="I21" s="139"/>
    </row>
    <row r="22" spans="1:9" ht="21" customHeight="1">
      <c r="A22" s="97"/>
      <c r="B22" s="62" t="s">
        <v>39</v>
      </c>
      <c r="D22" s="139"/>
      <c r="E22" s="867">
        <v>5</v>
      </c>
      <c r="F22" s="870">
        <f t="shared" si="0"/>
        <v>-15</v>
      </c>
      <c r="G22" s="868">
        <f t="shared" si="1"/>
        <v>41</v>
      </c>
      <c r="H22" s="139"/>
      <c r="I22" s="139"/>
    </row>
    <row r="23" spans="1:9" ht="21" customHeight="1">
      <c r="A23" s="97"/>
      <c r="B23" s="62" t="s">
        <v>38</v>
      </c>
      <c r="D23" s="139"/>
      <c r="E23" s="867">
        <v>5.5</v>
      </c>
      <c r="F23" s="870">
        <f t="shared" si="0"/>
        <v>-14.72</v>
      </c>
      <c r="G23" s="868">
        <f t="shared" si="1"/>
        <v>41.9</v>
      </c>
      <c r="H23" s="139"/>
      <c r="I23" s="139"/>
    </row>
    <row r="24" spans="1:9" ht="21" customHeight="1">
      <c r="A24" s="97"/>
      <c r="B24" s="62"/>
      <c r="D24" s="139"/>
      <c r="E24" s="867">
        <v>6</v>
      </c>
      <c r="F24" s="870">
        <f t="shared" si="0"/>
        <v>-14.44</v>
      </c>
      <c r="G24" s="868">
        <f t="shared" si="1"/>
        <v>42.8</v>
      </c>
      <c r="H24" s="139"/>
      <c r="I24" s="139"/>
    </row>
    <row r="25" spans="1:9" s="139" customFormat="1" ht="13.15">
      <c r="A25" s="872"/>
      <c r="B25" s="565"/>
      <c r="E25" s="867">
        <v>6.5</v>
      </c>
      <c r="F25" s="870">
        <f t="shared" si="0"/>
        <v>-14.17</v>
      </c>
      <c r="G25" s="868">
        <f t="shared" si="1"/>
        <v>43.7</v>
      </c>
    </row>
    <row r="26" spans="1:9" s="139" customFormat="1" ht="13.15">
      <c r="A26" s="872"/>
      <c r="B26" s="63"/>
      <c r="E26" s="867">
        <v>7</v>
      </c>
      <c r="F26" s="870">
        <f t="shared" si="0"/>
        <v>-13.89</v>
      </c>
      <c r="G26" s="868">
        <f t="shared" si="1"/>
        <v>44.6</v>
      </c>
    </row>
    <row r="27" spans="1:9" s="139" customFormat="1" ht="13.15">
      <c r="A27" s="872"/>
      <c r="B27" s="62"/>
      <c r="E27" s="867">
        <v>7.5</v>
      </c>
      <c r="F27" s="870">
        <f t="shared" si="0"/>
        <v>-13.61</v>
      </c>
      <c r="G27" s="868">
        <f t="shared" si="1"/>
        <v>45.5</v>
      </c>
    </row>
    <row r="28" spans="1:9" s="139" customFormat="1" ht="13.15">
      <c r="A28" s="872"/>
      <c r="B28" s="62"/>
      <c r="E28" s="867">
        <v>8</v>
      </c>
      <c r="F28" s="870">
        <f t="shared" si="0"/>
        <v>-13.33</v>
      </c>
      <c r="G28" s="868">
        <f t="shared" si="1"/>
        <v>46.4</v>
      </c>
    </row>
    <row r="29" spans="1:9" s="139" customFormat="1" ht="13.15">
      <c r="A29" s="872"/>
      <c r="B29" s="62"/>
      <c r="E29" s="867">
        <v>8.5</v>
      </c>
      <c r="F29" s="870">
        <f t="shared" si="0"/>
        <v>-13.06</v>
      </c>
      <c r="G29" s="868">
        <f t="shared" si="1"/>
        <v>47.3</v>
      </c>
    </row>
    <row r="30" spans="1:9" s="139" customFormat="1" ht="13.15">
      <c r="A30" s="872"/>
      <c r="B30" s="62"/>
      <c r="E30" s="867">
        <v>9</v>
      </c>
      <c r="F30" s="870">
        <f t="shared" si="0"/>
        <v>-12.78</v>
      </c>
      <c r="G30" s="868">
        <f t="shared" si="1"/>
        <v>48.2</v>
      </c>
    </row>
    <row r="31" spans="1:9" s="139" customFormat="1" ht="13.15">
      <c r="A31" s="872"/>
      <c r="B31" s="62"/>
      <c r="E31" s="867">
        <v>9.5</v>
      </c>
      <c r="F31" s="870">
        <f t="shared" si="0"/>
        <v>-12.5</v>
      </c>
      <c r="G31" s="868">
        <f t="shared" si="1"/>
        <v>49.1</v>
      </c>
    </row>
    <row r="32" spans="1:9" s="139" customFormat="1" ht="13.15">
      <c r="A32" s="872"/>
      <c r="B32" s="62"/>
      <c r="E32" s="867">
        <v>10</v>
      </c>
      <c r="F32" s="870">
        <f t="shared" si="0"/>
        <v>-12.22</v>
      </c>
      <c r="G32" s="868">
        <f t="shared" si="1"/>
        <v>50</v>
      </c>
    </row>
    <row r="33" spans="1:7" s="139" customFormat="1" ht="13.15">
      <c r="A33" s="872"/>
      <c r="B33" s="871"/>
      <c r="E33" s="867">
        <v>10.5</v>
      </c>
      <c r="F33" s="870">
        <f t="shared" si="0"/>
        <v>-11.94</v>
      </c>
      <c r="G33" s="868">
        <f t="shared" si="1"/>
        <v>50.9</v>
      </c>
    </row>
    <row r="34" spans="1:7" s="139" customFormat="1" ht="13.15">
      <c r="A34" s="872"/>
      <c r="B34" s="871"/>
      <c r="E34" s="867">
        <v>11</v>
      </c>
      <c r="F34" s="870">
        <f t="shared" si="0"/>
        <v>-11.67</v>
      </c>
      <c r="G34" s="868">
        <f t="shared" si="1"/>
        <v>51.8</v>
      </c>
    </row>
    <row r="35" spans="1:7" s="139" customFormat="1" ht="13.15">
      <c r="A35" s="872"/>
      <c r="B35" s="871"/>
      <c r="E35" s="867">
        <v>11.5</v>
      </c>
      <c r="F35" s="870">
        <f t="shared" si="0"/>
        <v>-11.39</v>
      </c>
      <c r="G35" s="868">
        <f t="shared" si="1"/>
        <v>52.7</v>
      </c>
    </row>
    <row r="36" spans="1:7" s="139" customFormat="1" ht="13.15">
      <c r="A36" s="872"/>
      <c r="B36" s="871"/>
      <c r="E36" s="867">
        <v>12</v>
      </c>
      <c r="F36" s="870">
        <f t="shared" si="0"/>
        <v>-11.11</v>
      </c>
      <c r="G36" s="868">
        <f t="shared" si="1"/>
        <v>53.6</v>
      </c>
    </row>
    <row r="37" spans="1:7" s="139" customFormat="1" ht="13.15">
      <c r="A37" s="872"/>
      <c r="B37" s="871"/>
      <c r="E37" s="867">
        <v>12.5</v>
      </c>
      <c r="F37" s="870">
        <f t="shared" si="0"/>
        <v>-10.83</v>
      </c>
      <c r="G37" s="868">
        <f t="shared" si="1"/>
        <v>54.5</v>
      </c>
    </row>
    <row r="38" spans="1:7" s="139" customFormat="1" ht="13.15">
      <c r="A38" s="872"/>
      <c r="B38" s="871"/>
      <c r="E38" s="867">
        <v>13</v>
      </c>
      <c r="F38" s="870">
        <f t="shared" si="0"/>
        <v>-10.56</v>
      </c>
      <c r="G38" s="868">
        <f t="shared" si="1"/>
        <v>55.4</v>
      </c>
    </row>
    <row r="39" spans="1:7" s="139" customFormat="1" ht="13.15">
      <c r="A39" s="872"/>
      <c r="B39" s="871"/>
      <c r="E39" s="867">
        <v>13.5</v>
      </c>
      <c r="F39" s="870">
        <f t="shared" si="0"/>
        <v>-10.28</v>
      </c>
      <c r="G39" s="868">
        <f t="shared" si="1"/>
        <v>56.3</v>
      </c>
    </row>
    <row r="40" spans="1:7" s="139" customFormat="1" ht="13.15">
      <c r="A40" s="872"/>
      <c r="B40" s="871"/>
      <c r="E40" s="867">
        <v>14</v>
      </c>
      <c r="F40" s="870">
        <f t="shared" si="0"/>
        <v>-10</v>
      </c>
      <c r="G40" s="868">
        <f t="shared" si="1"/>
        <v>57.2</v>
      </c>
    </row>
    <row r="41" spans="1:7" s="139" customFormat="1" ht="13.15">
      <c r="A41" s="872"/>
      <c r="B41" s="871"/>
      <c r="E41" s="867">
        <v>14.5</v>
      </c>
      <c r="F41" s="870">
        <f t="shared" si="0"/>
        <v>-9.7200000000000006</v>
      </c>
      <c r="G41" s="868">
        <f t="shared" si="1"/>
        <v>58.1</v>
      </c>
    </row>
    <row r="42" spans="1:7" s="139" customFormat="1" ht="13.15">
      <c r="A42" s="872"/>
      <c r="B42" s="871"/>
      <c r="E42" s="867">
        <v>15</v>
      </c>
      <c r="F42" s="870">
        <f t="shared" si="0"/>
        <v>-9.44</v>
      </c>
      <c r="G42" s="868">
        <f t="shared" si="1"/>
        <v>59</v>
      </c>
    </row>
    <row r="43" spans="1:7" s="139" customFormat="1" ht="13.15">
      <c r="A43" s="872"/>
      <c r="B43" s="871"/>
      <c r="E43" s="867">
        <v>15.5</v>
      </c>
      <c r="F43" s="870">
        <f t="shared" si="0"/>
        <v>-9.17</v>
      </c>
      <c r="G43" s="868">
        <f t="shared" si="1"/>
        <v>59.9</v>
      </c>
    </row>
    <row r="44" spans="1:7" s="139" customFormat="1" ht="13.15">
      <c r="A44" s="872"/>
      <c r="B44" s="871"/>
      <c r="E44" s="867">
        <v>16</v>
      </c>
      <c r="F44" s="870">
        <f t="shared" si="0"/>
        <v>-8.89</v>
      </c>
      <c r="G44" s="868">
        <f t="shared" si="1"/>
        <v>60.8</v>
      </c>
    </row>
    <row r="45" spans="1:7" s="139" customFormat="1" ht="13.15">
      <c r="A45" s="872"/>
      <c r="B45" s="871"/>
      <c r="E45" s="867">
        <v>16.5</v>
      </c>
      <c r="F45" s="870">
        <f t="shared" si="0"/>
        <v>-8.61</v>
      </c>
      <c r="G45" s="868">
        <f t="shared" si="1"/>
        <v>61.7</v>
      </c>
    </row>
    <row r="46" spans="1:7" s="139" customFormat="1" ht="13.15">
      <c r="A46" s="872"/>
      <c r="B46" s="871"/>
      <c r="E46" s="867">
        <v>17</v>
      </c>
      <c r="F46" s="870">
        <f t="shared" si="0"/>
        <v>-8.33</v>
      </c>
      <c r="G46" s="868">
        <f t="shared" si="1"/>
        <v>62.6</v>
      </c>
    </row>
    <row r="47" spans="1:7" s="139" customFormat="1" ht="13.15">
      <c r="A47" s="872"/>
      <c r="B47" s="871"/>
      <c r="E47" s="867">
        <v>17.5</v>
      </c>
      <c r="F47" s="870">
        <f t="shared" si="0"/>
        <v>-8.06</v>
      </c>
      <c r="G47" s="868">
        <f t="shared" si="1"/>
        <v>63.5</v>
      </c>
    </row>
    <row r="48" spans="1:7" s="139" customFormat="1" ht="13.15">
      <c r="A48" s="872"/>
      <c r="B48" s="871"/>
      <c r="E48" s="867">
        <v>18</v>
      </c>
      <c r="F48" s="870">
        <f t="shared" si="0"/>
        <v>-7.78</v>
      </c>
      <c r="G48" s="868">
        <f t="shared" si="1"/>
        <v>64.400000000000006</v>
      </c>
    </row>
    <row r="49" spans="1:33" s="139" customFormat="1" ht="13.15">
      <c r="A49" s="872"/>
      <c r="B49" s="871"/>
      <c r="E49" s="867">
        <v>18.5</v>
      </c>
      <c r="F49" s="870">
        <f t="shared" si="0"/>
        <v>-7.5</v>
      </c>
      <c r="G49" s="868">
        <f t="shared" si="1"/>
        <v>65.3</v>
      </c>
    </row>
    <row r="50" spans="1:33" s="139" customFormat="1" ht="13.15">
      <c r="A50" s="872"/>
      <c r="B50" s="871"/>
      <c r="E50" s="867">
        <v>19</v>
      </c>
      <c r="F50" s="870">
        <f t="shared" si="0"/>
        <v>-7.22</v>
      </c>
      <c r="G50" s="868">
        <f t="shared" si="1"/>
        <v>66.2</v>
      </c>
    </row>
    <row r="51" spans="1:33" ht="12.75" customHeight="1">
      <c r="A51" s="97"/>
      <c r="B51" s="871"/>
      <c r="C51" s="139"/>
      <c r="D51" s="139"/>
      <c r="E51" s="867">
        <v>19.5</v>
      </c>
      <c r="F51" s="870">
        <f t="shared" si="0"/>
        <v>-6.94</v>
      </c>
      <c r="G51" s="868">
        <f t="shared" si="1"/>
        <v>67.099999999999994</v>
      </c>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row>
    <row r="52" spans="1:33" ht="12.75" customHeight="1">
      <c r="A52" s="97"/>
      <c r="B52" s="871"/>
      <c r="C52" s="139"/>
      <c r="D52" s="139"/>
      <c r="E52" s="867">
        <v>20</v>
      </c>
      <c r="F52" s="870">
        <f t="shared" si="0"/>
        <v>-6.67</v>
      </c>
      <c r="G52" s="868">
        <f t="shared" si="1"/>
        <v>68</v>
      </c>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row>
    <row r="53" spans="1:33" ht="12.75" customHeight="1">
      <c r="A53" s="97"/>
      <c r="B53" s="140"/>
      <c r="C53" s="139"/>
      <c r="D53" s="139"/>
      <c r="E53" s="867">
        <v>20.5</v>
      </c>
      <c r="F53" s="870">
        <f t="shared" si="0"/>
        <v>-6.39</v>
      </c>
      <c r="G53" s="868">
        <f t="shared" si="1"/>
        <v>68.900000000000006</v>
      </c>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row>
    <row r="54" spans="1:33" ht="12.75" customHeight="1">
      <c r="A54" s="97"/>
      <c r="B54" s="140"/>
      <c r="C54" s="139"/>
      <c r="D54" s="139"/>
      <c r="E54" s="867">
        <v>21</v>
      </c>
      <c r="F54" s="870">
        <f t="shared" si="0"/>
        <v>-6.11</v>
      </c>
      <c r="G54" s="868">
        <f t="shared" si="1"/>
        <v>69.8</v>
      </c>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row>
    <row r="55" spans="1:33" ht="12.75" customHeight="1">
      <c r="A55" s="97"/>
      <c r="B55" s="140"/>
      <c r="C55" s="139"/>
      <c r="D55" s="139"/>
      <c r="E55" s="867">
        <v>21.5</v>
      </c>
      <c r="F55" s="870">
        <f t="shared" si="0"/>
        <v>-5.83</v>
      </c>
      <c r="G55" s="868">
        <f t="shared" si="1"/>
        <v>70.7</v>
      </c>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row>
    <row r="56" spans="1:33" ht="12.75" customHeight="1">
      <c r="A56" s="97"/>
      <c r="B56" s="140"/>
      <c r="C56" s="139"/>
      <c r="D56" s="139"/>
      <c r="E56" s="867">
        <v>22</v>
      </c>
      <c r="F56" s="870">
        <f t="shared" si="0"/>
        <v>-5.56</v>
      </c>
      <c r="G56" s="868">
        <f t="shared" si="1"/>
        <v>71.599999999999994</v>
      </c>
      <c r="H56" s="139"/>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row>
    <row r="57" spans="1:33" ht="12.75" customHeight="1">
      <c r="A57" s="97"/>
      <c r="B57" s="140"/>
      <c r="C57" s="139"/>
      <c r="D57" s="139"/>
      <c r="E57" s="867">
        <v>22.5</v>
      </c>
      <c r="F57" s="870">
        <f t="shared" si="0"/>
        <v>-5.28</v>
      </c>
      <c r="G57" s="868">
        <f t="shared" si="1"/>
        <v>72.5</v>
      </c>
      <c r="H57" s="139"/>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row>
    <row r="58" spans="1:33" ht="12.75" customHeight="1">
      <c r="A58" s="97"/>
      <c r="B58" s="140"/>
      <c r="C58" s="139"/>
      <c r="D58" s="139"/>
      <c r="E58" s="867">
        <v>23</v>
      </c>
      <c r="F58" s="870">
        <f t="shared" si="0"/>
        <v>-5</v>
      </c>
      <c r="G58" s="868">
        <f t="shared" si="1"/>
        <v>73.400000000000006</v>
      </c>
      <c r="H58" s="139"/>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row>
    <row r="59" spans="1:33" ht="12.75" customHeight="1">
      <c r="A59" s="97"/>
      <c r="B59" s="140"/>
      <c r="C59" s="139"/>
      <c r="D59" s="139"/>
      <c r="E59" s="867">
        <v>23.5</v>
      </c>
      <c r="F59" s="870">
        <f t="shared" si="0"/>
        <v>-4.72</v>
      </c>
      <c r="G59" s="868">
        <f t="shared" si="1"/>
        <v>74.3</v>
      </c>
      <c r="H59" s="139"/>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row>
    <row r="60" spans="1:33" ht="12.75" customHeight="1">
      <c r="A60" s="97"/>
      <c r="B60" s="140"/>
      <c r="C60" s="139"/>
      <c r="D60" s="139"/>
      <c r="E60" s="867">
        <v>24</v>
      </c>
      <c r="F60" s="870">
        <f t="shared" si="0"/>
        <v>-4.4400000000000004</v>
      </c>
      <c r="G60" s="868">
        <f t="shared" si="1"/>
        <v>75.2</v>
      </c>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39"/>
    </row>
    <row r="61" spans="1:33" ht="12.75" customHeight="1">
      <c r="A61" s="97"/>
      <c r="B61" s="140"/>
      <c r="C61" s="139"/>
      <c r="D61" s="139"/>
      <c r="E61" s="867">
        <v>24.5</v>
      </c>
      <c r="F61" s="870">
        <f t="shared" si="0"/>
        <v>-4.17</v>
      </c>
      <c r="G61" s="868">
        <f t="shared" si="1"/>
        <v>76.099999999999994</v>
      </c>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139"/>
    </row>
    <row r="62" spans="1:33" ht="12.75" customHeight="1">
      <c r="A62" s="97"/>
      <c r="B62" s="140"/>
      <c r="C62" s="139"/>
      <c r="D62" s="139"/>
      <c r="E62" s="867">
        <v>25</v>
      </c>
      <c r="F62" s="870">
        <f t="shared" si="0"/>
        <v>-3.89</v>
      </c>
      <c r="G62" s="868">
        <f t="shared" si="1"/>
        <v>77</v>
      </c>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139"/>
    </row>
    <row r="63" spans="1:33" ht="12.75" customHeight="1">
      <c r="A63" s="97"/>
      <c r="B63" s="140"/>
      <c r="C63" s="139"/>
      <c r="D63" s="139"/>
      <c r="E63" s="867">
        <v>25.5</v>
      </c>
      <c r="F63" s="870">
        <f t="shared" si="0"/>
        <v>-3.61</v>
      </c>
      <c r="G63" s="868">
        <f t="shared" si="1"/>
        <v>77.900000000000006</v>
      </c>
      <c r="H63" s="139"/>
      <c r="I63" s="139"/>
      <c r="J63" s="139"/>
      <c r="K63" s="139"/>
      <c r="L63" s="139"/>
      <c r="M63" s="139"/>
      <c r="N63" s="139"/>
      <c r="O63" s="139"/>
      <c r="P63" s="139"/>
      <c r="Q63" s="139"/>
      <c r="R63" s="139"/>
      <c r="S63" s="139"/>
      <c r="T63" s="139"/>
      <c r="U63" s="139"/>
      <c r="V63" s="139"/>
      <c r="W63" s="139"/>
      <c r="X63" s="139"/>
      <c r="Y63" s="139"/>
      <c r="Z63" s="139"/>
      <c r="AA63" s="139"/>
      <c r="AB63" s="139"/>
      <c r="AC63" s="139"/>
      <c r="AD63" s="139"/>
      <c r="AE63" s="139"/>
      <c r="AF63" s="139"/>
      <c r="AG63" s="139"/>
    </row>
    <row r="64" spans="1:33" ht="12.75" customHeight="1">
      <c r="A64" s="97"/>
      <c r="B64" s="140"/>
      <c r="C64" s="139"/>
      <c r="D64" s="139"/>
      <c r="E64" s="867">
        <v>26</v>
      </c>
      <c r="F64" s="870">
        <f t="shared" si="0"/>
        <v>-3.33</v>
      </c>
      <c r="G64" s="868">
        <f t="shared" si="1"/>
        <v>78.8</v>
      </c>
      <c r="H64" s="139"/>
      <c r="I64" s="139"/>
      <c r="J64" s="139"/>
      <c r="K64" s="139"/>
      <c r="L64" s="139"/>
      <c r="M64" s="139"/>
      <c r="N64" s="139"/>
      <c r="O64" s="139"/>
      <c r="P64" s="139"/>
      <c r="Q64" s="139"/>
      <c r="R64" s="139"/>
      <c r="S64" s="139"/>
      <c r="T64" s="139"/>
      <c r="U64" s="139"/>
      <c r="V64" s="139"/>
      <c r="W64" s="139"/>
      <c r="X64" s="139"/>
      <c r="Y64" s="139"/>
      <c r="Z64" s="139"/>
      <c r="AA64" s="139"/>
      <c r="AB64" s="139"/>
      <c r="AC64" s="139"/>
      <c r="AD64" s="139"/>
      <c r="AE64" s="139"/>
      <c r="AF64" s="139"/>
      <c r="AG64" s="139"/>
    </row>
    <row r="65" spans="1:33" ht="12.75" customHeight="1">
      <c r="A65" s="97"/>
      <c r="B65" s="140"/>
      <c r="C65" s="139"/>
      <c r="D65" s="139"/>
      <c r="E65" s="867">
        <v>26.5</v>
      </c>
      <c r="F65" s="870">
        <f t="shared" si="0"/>
        <v>-3.06</v>
      </c>
      <c r="G65" s="868">
        <f t="shared" si="1"/>
        <v>79.7</v>
      </c>
      <c r="H65" s="139"/>
      <c r="I65" s="139"/>
      <c r="J65" s="139"/>
      <c r="K65" s="139"/>
      <c r="L65" s="139"/>
      <c r="M65" s="139"/>
      <c r="N65" s="139"/>
      <c r="O65" s="139"/>
      <c r="P65" s="139"/>
      <c r="Q65" s="139"/>
      <c r="R65" s="139"/>
      <c r="S65" s="139"/>
      <c r="T65" s="139"/>
      <c r="U65" s="139"/>
      <c r="V65" s="139"/>
      <c r="W65" s="139"/>
      <c r="X65" s="139"/>
      <c r="Y65" s="139"/>
      <c r="Z65" s="139"/>
      <c r="AA65" s="139"/>
      <c r="AB65" s="139"/>
      <c r="AC65" s="139"/>
      <c r="AD65" s="139"/>
      <c r="AE65" s="139"/>
      <c r="AF65" s="139"/>
      <c r="AG65" s="139"/>
    </row>
    <row r="66" spans="1:33" ht="12.75" customHeight="1">
      <c r="A66" s="97"/>
      <c r="B66" s="140"/>
      <c r="C66" s="139"/>
      <c r="D66" s="139"/>
      <c r="E66" s="867">
        <v>27</v>
      </c>
      <c r="F66" s="870">
        <f t="shared" si="0"/>
        <v>-2.78</v>
      </c>
      <c r="G66" s="868">
        <f t="shared" si="1"/>
        <v>80.599999999999994</v>
      </c>
      <c r="H66" s="139"/>
      <c r="I66" s="139"/>
      <c r="J66" s="139"/>
      <c r="K66" s="139"/>
      <c r="L66" s="139"/>
      <c r="M66" s="139"/>
      <c r="N66" s="139"/>
      <c r="O66" s="139"/>
      <c r="P66" s="139"/>
      <c r="Q66" s="139"/>
      <c r="R66" s="139"/>
      <c r="S66" s="139"/>
      <c r="T66" s="139"/>
      <c r="U66" s="139"/>
      <c r="V66" s="139"/>
      <c r="W66" s="139"/>
      <c r="X66" s="139"/>
      <c r="Y66" s="139"/>
      <c r="Z66" s="139"/>
      <c r="AA66" s="139"/>
      <c r="AB66" s="139"/>
      <c r="AC66" s="139"/>
      <c r="AD66" s="139"/>
      <c r="AE66" s="139"/>
      <c r="AF66" s="139"/>
      <c r="AG66" s="139"/>
    </row>
    <row r="67" spans="1:33" ht="12.75" customHeight="1">
      <c r="A67" s="97"/>
      <c r="B67" s="140"/>
      <c r="C67" s="139"/>
      <c r="D67" s="139"/>
      <c r="E67" s="867">
        <v>27.5</v>
      </c>
      <c r="F67" s="870">
        <f t="shared" si="0"/>
        <v>-2.5</v>
      </c>
      <c r="G67" s="868">
        <f t="shared" si="1"/>
        <v>81.5</v>
      </c>
      <c r="H67" s="139"/>
      <c r="I67" s="139"/>
      <c r="J67" s="139"/>
      <c r="K67" s="139"/>
      <c r="L67" s="139"/>
      <c r="M67" s="139"/>
      <c r="N67" s="139"/>
      <c r="O67" s="139"/>
      <c r="P67" s="139"/>
      <c r="Q67" s="139"/>
      <c r="R67" s="139"/>
      <c r="S67" s="139"/>
      <c r="T67" s="139"/>
      <c r="U67" s="139"/>
      <c r="V67" s="139"/>
      <c r="W67" s="139"/>
      <c r="X67" s="139"/>
      <c r="Y67" s="139"/>
      <c r="Z67" s="139"/>
      <c r="AA67" s="139"/>
      <c r="AB67" s="139"/>
      <c r="AC67" s="139"/>
      <c r="AD67" s="139"/>
      <c r="AE67" s="139"/>
      <c r="AF67" s="139"/>
      <c r="AG67" s="139"/>
    </row>
    <row r="68" spans="1:33" ht="12.75" customHeight="1">
      <c r="A68" s="97"/>
      <c r="B68" s="140"/>
      <c r="C68" s="139"/>
      <c r="E68" s="867">
        <v>28</v>
      </c>
      <c r="F68" s="870">
        <f t="shared" si="0"/>
        <v>-2.2200000000000002</v>
      </c>
      <c r="G68" s="868">
        <f t="shared" si="1"/>
        <v>82.4</v>
      </c>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row>
    <row r="69" spans="1:33" ht="12.75" customHeight="1">
      <c r="A69" s="97"/>
      <c r="B69" s="140"/>
      <c r="C69" s="139"/>
      <c r="E69" s="867">
        <v>28.5</v>
      </c>
      <c r="F69" s="870">
        <f t="shared" si="0"/>
        <v>-1.94</v>
      </c>
      <c r="G69" s="868">
        <f t="shared" si="1"/>
        <v>83.3</v>
      </c>
      <c r="J69" s="139"/>
      <c r="K69" s="139"/>
      <c r="L69" s="139"/>
      <c r="M69" s="139"/>
      <c r="N69" s="139"/>
      <c r="O69" s="139"/>
      <c r="P69" s="139"/>
      <c r="Q69" s="139"/>
      <c r="R69" s="139"/>
      <c r="S69" s="139"/>
      <c r="T69" s="139"/>
      <c r="U69" s="139"/>
      <c r="V69" s="139"/>
      <c r="W69" s="139"/>
      <c r="X69" s="139"/>
      <c r="Y69" s="139"/>
      <c r="Z69" s="139"/>
      <c r="AA69" s="139"/>
      <c r="AB69" s="139"/>
      <c r="AC69" s="139"/>
      <c r="AD69" s="139"/>
      <c r="AE69" s="139"/>
      <c r="AF69" s="139"/>
      <c r="AG69" s="139"/>
    </row>
    <row r="70" spans="1:33" ht="12.75" customHeight="1">
      <c r="A70" s="97"/>
      <c r="B70" s="140"/>
      <c r="C70" s="139"/>
      <c r="E70" s="867">
        <v>29</v>
      </c>
      <c r="F70" s="870">
        <f t="shared" si="0"/>
        <v>-1.67</v>
      </c>
      <c r="G70" s="868">
        <f t="shared" si="1"/>
        <v>84.2</v>
      </c>
      <c r="J70" s="139"/>
      <c r="K70" s="139"/>
      <c r="L70" s="139"/>
      <c r="M70" s="139"/>
      <c r="N70" s="139"/>
      <c r="O70" s="139"/>
      <c r="P70" s="139"/>
      <c r="Q70" s="139"/>
      <c r="R70" s="139"/>
      <c r="S70" s="139"/>
      <c r="T70" s="139"/>
      <c r="U70" s="139"/>
      <c r="V70" s="139"/>
      <c r="W70" s="139"/>
      <c r="X70" s="139"/>
      <c r="Y70" s="139"/>
      <c r="Z70" s="139"/>
      <c r="AA70" s="139"/>
      <c r="AB70" s="139"/>
      <c r="AC70" s="139"/>
      <c r="AD70" s="139"/>
      <c r="AE70" s="139"/>
      <c r="AF70" s="139"/>
      <c r="AG70" s="139"/>
    </row>
    <row r="71" spans="1:33" ht="12.75" customHeight="1">
      <c r="A71" s="97"/>
      <c r="B71" s="140"/>
      <c r="C71" s="139"/>
      <c r="E71" s="867">
        <v>29.5</v>
      </c>
      <c r="F71" s="870">
        <f t="shared" si="0"/>
        <v>-1.39</v>
      </c>
      <c r="G71" s="868">
        <f t="shared" si="1"/>
        <v>85.1</v>
      </c>
      <c r="J71" s="139"/>
      <c r="K71" s="139"/>
      <c r="L71" s="139"/>
      <c r="M71" s="139"/>
      <c r="N71" s="139"/>
      <c r="O71" s="139"/>
      <c r="P71" s="139"/>
      <c r="Q71" s="139"/>
      <c r="R71" s="139"/>
      <c r="S71" s="139"/>
      <c r="T71" s="139"/>
      <c r="U71" s="139"/>
      <c r="V71" s="139"/>
      <c r="W71" s="139"/>
      <c r="X71" s="139"/>
      <c r="Y71" s="139"/>
      <c r="Z71" s="139"/>
      <c r="AA71" s="139"/>
      <c r="AB71" s="139"/>
      <c r="AC71" s="139"/>
      <c r="AD71" s="139"/>
      <c r="AE71" s="139"/>
      <c r="AF71" s="139"/>
      <c r="AG71" s="139"/>
    </row>
    <row r="72" spans="1:33" ht="12.75" customHeight="1">
      <c r="A72" s="97"/>
      <c r="B72" s="140"/>
      <c r="C72" s="139"/>
      <c r="E72" s="867">
        <v>30</v>
      </c>
      <c r="F72" s="870">
        <f t="shared" si="0"/>
        <v>-1.1100000000000001</v>
      </c>
      <c r="G72" s="868">
        <f t="shared" si="1"/>
        <v>86</v>
      </c>
      <c r="J72" s="139"/>
      <c r="K72" s="139"/>
      <c r="L72" s="139"/>
      <c r="M72" s="139"/>
      <c r="N72" s="139"/>
      <c r="O72" s="139"/>
      <c r="P72" s="139"/>
      <c r="Q72" s="139"/>
      <c r="R72" s="139"/>
      <c r="S72" s="139"/>
      <c r="T72" s="139"/>
      <c r="U72" s="139"/>
      <c r="V72" s="139"/>
      <c r="W72" s="139"/>
      <c r="X72" s="139"/>
      <c r="Y72" s="139"/>
      <c r="Z72" s="139"/>
      <c r="AA72" s="139"/>
      <c r="AB72" s="139"/>
      <c r="AC72" s="139"/>
      <c r="AD72" s="139"/>
      <c r="AE72" s="139"/>
      <c r="AF72" s="139"/>
      <c r="AG72" s="139"/>
    </row>
    <row r="73" spans="1:33" ht="12.75" customHeight="1">
      <c r="A73" s="97"/>
      <c r="B73" s="140"/>
      <c r="C73" s="139"/>
      <c r="E73" s="867">
        <v>30.5</v>
      </c>
      <c r="F73" s="870">
        <f t="shared" si="0"/>
        <v>-0.83</v>
      </c>
      <c r="G73" s="868">
        <f t="shared" si="1"/>
        <v>86.9</v>
      </c>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row>
    <row r="74" spans="1:33" ht="12.75" customHeight="1">
      <c r="A74" s="97"/>
      <c r="B74" s="140"/>
      <c r="C74" s="139"/>
      <c r="E74" s="867">
        <v>31</v>
      </c>
      <c r="F74" s="870">
        <f t="shared" si="0"/>
        <v>-0.56000000000000005</v>
      </c>
      <c r="G74" s="868">
        <f t="shared" si="1"/>
        <v>87.8</v>
      </c>
      <c r="J74" s="139"/>
      <c r="K74" s="139"/>
      <c r="L74" s="139"/>
      <c r="M74" s="139"/>
      <c r="N74" s="139"/>
      <c r="O74" s="139"/>
      <c r="P74" s="139"/>
      <c r="Q74" s="139"/>
      <c r="R74" s="139"/>
      <c r="S74" s="139"/>
      <c r="T74" s="139"/>
      <c r="U74" s="139"/>
      <c r="V74" s="139"/>
      <c r="W74" s="139"/>
      <c r="X74" s="139"/>
      <c r="Y74" s="139"/>
      <c r="Z74" s="139"/>
      <c r="AA74" s="139"/>
      <c r="AB74" s="139"/>
      <c r="AC74" s="139"/>
      <c r="AD74" s="139"/>
      <c r="AE74" s="139"/>
      <c r="AF74" s="139"/>
      <c r="AG74" s="139"/>
    </row>
    <row r="75" spans="1:33" ht="12.75" customHeight="1">
      <c r="A75" s="97"/>
      <c r="B75" s="140"/>
      <c r="C75" s="139"/>
      <c r="E75" s="867">
        <v>31.5</v>
      </c>
      <c r="F75" s="870">
        <f t="shared" si="0"/>
        <v>-0.28000000000000003</v>
      </c>
      <c r="G75" s="868">
        <f t="shared" si="1"/>
        <v>88.7</v>
      </c>
      <c r="J75" s="139"/>
      <c r="K75" s="139"/>
      <c r="L75" s="139"/>
      <c r="M75" s="139"/>
      <c r="N75" s="139"/>
      <c r="O75" s="139"/>
      <c r="P75" s="139"/>
      <c r="Q75" s="139"/>
      <c r="R75" s="139"/>
      <c r="S75" s="139"/>
      <c r="T75" s="139"/>
      <c r="U75" s="139"/>
      <c r="V75" s="139"/>
      <c r="W75" s="139"/>
      <c r="X75" s="139"/>
      <c r="Y75" s="139"/>
      <c r="Z75" s="139"/>
      <c r="AA75" s="139"/>
      <c r="AB75" s="139"/>
      <c r="AC75" s="139"/>
      <c r="AD75" s="139"/>
      <c r="AE75" s="139"/>
      <c r="AF75" s="139"/>
      <c r="AG75" s="139"/>
    </row>
    <row r="76" spans="1:33" ht="12.75" customHeight="1">
      <c r="A76" s="97"/>
      <c r="B76" s="140"/>
      <c r="C76" s="139"/>
      <c r="E76" s="867">
        <v>32</v>
      </c>
      <c r="F76" s="870">
        <f t="shared" si="0"/>
        <v>0</v>
      </c>
      <c r="G76" s="868">
        <f t="shared" si="1"/>
        <v>89.6</v>
      </c>
      <c r="J76" s="139"/>
      <c r="K76" s="139"/>
      <c r="L76" s="139"/>
      <c r="M76" s="139"/>
      <c r="N76" s="139"/>
      <c r="O76" s="139"/>
      <c r="P76" s="139"/>
      <c r="Q76" s="139"/>
      <c r="R76" s="139"/>
      <c r="S76" s="139"/>
      <c r="T76" s="139"/>
      <c r="U76" s="139"/>
      <c r="V76" s="139"/>
      <c r="W76" s="139"/>
      <c r="X76" s="139"/>
      <c r="Y76" s="139"/>
      <c r="Z76" s="139"/>
      <c r="AA76" s="139"/>
      <c r="AB76" s="139"/>
      <c r="AC76" s="139"/>
      <c r="AD76" s="139"/>
      <c r="AE76" s="139"/>
      <c r="AF76" s="139"/>
      <c r="AG76" s="139"/>
    </row>
    <row r="77" spans="1:33" ht="12.75" customHeight="1">
      <c r="A77" s="97"/>
      <c r="B77" s="140"/>
      <c r="C77" s="139"/>
      <c r="E77" s="867">
        <v>32.5</v>
      </c>
      <c r="F77" s="870">
        <f t="shared" si="0"/>
        <v>0.28000000000000003</v>
      </c>
      <c r="G77" s="868">
        <f t="shared" si="1"/>
        <v>90.5</v>
      </c>
      <c r="J77" s="139"/>
      <c r="K77" s="139"/>
      <c r="L77" s="139"/>
      <c r="M77" s="139"/>
      <c r="N77" s="139"/>
      <c r="O77" s="139"/>
      <c r="P77" s="139"/>
      <c r="Q77" s="139"/>
      <c r="R77" s="139"/>
      <c r="S77" s="139"/>
      <c r="T77" s="139"/>
      <c r="U77" s="139"/>
      <c r="V77" s="139"/>
      <c r="W77" s="139"/>
      <c r="X77" s="139"/>
      <c r="Y77" s="139"/>
      <c r="Z77" s="139"/>
      <c r="AA77" s="139"/>
      <c r="AB77" s="139"/>
      <c r="AC77" s="139"/>
      <c r="AD77" s="139"/>
      <c r="AE77" s="139"/>
      <c r="AF77" s="139"/>
      <c r="AG77" s="139"/>
    </row>
    <row r="78" spans="1:33" ht="12.75" customHeight="1">
      <c r="A78" s="97"/>
      <c r="B78" s="140"/>
      <c r="C78" s="139"/>
      <c r="E78" s="867">
        <v>33</v>
      </c>
      <c r="F78" s="870">
        <f t="shared" ref="F78:F141" si="2">ROUND((E78-32)/9*5,2)</f>
        <v>0.56000000000000005</v>
      </c>
      <c r="G78" s="868">
        <f t="shared" ref="G78:G141" si="3">ROUND((9/5)*E78+32,1)</f>
        <v>91.4</v>
      </c>
      <c r="J78" s="139"/>
      <c r="K78" s="139"/>
      <c r="L78" s="139"/>
      <c r="M78" s="139"/>
      <c r="N78" s="139"/>
      <c r="O78" s="139"/>
      <c r="P78" s="139"/>
      <c r="Q78" s="139"/>
      <c r="R78" s="139"/>
      <c r="S78" s="139"/>
      <c r="T78" s="139"/>
      <c r="U78" s="139"/>
      <c r="V78" s="139"/>
      <c r="W78" s="139"/>
      <c r="X78" s="139"/>
      <c r="Y78" s="139"/>
      <c r="Z78" s="139"/>
      <c r="AA78" s="139"/>
      <c r="AB78" s="139"/>
      <c r="AC78" s="139"/>
      <c r="AD78" s="139"/>
      <c r="AE78" s="139"/>
      <c r="AF78" s="139"/>
      <c r="AG78" s="139"/>
    </row>
    <row r="79" spans="1:33" ht="12.75" customHeight="1">
      <c r="A79" s="97"/>
      <c r="B79" s="140"/>
      <c r="C79" s="139"/>
      <c r="E79" s="867">
        <v>33.5</v>
      </c>
      <c r="F79" s="870">
        <f t="shared" si="2"/>
        <v>0.83</v>
      </c>
      <c r="G79" s="868">
        <f t="shared" si="3"/>
        <v>92.3</v>
      </c>
      <c r="J79" s="139"/>
      <c r="K79" s="139"/>
      <c r="L79" s="139"/>
      <c r="M79" s="139"/>
      <c r="N79" s="139"/>
      <c r="O79" s="139"/>
      <c r="P79" s="139"/>
      <c r="Q79" s="139"/>
      <c r="R79" s="139"/>
      <c r="S79" s="139"/>
      <c r="T79" s="139"/>
      <c r="U79" s="139"/>
      <c r="V79" s="139"/>
      <c r="W79" s="139"/>
      <c r="X79" s="139"/>
      <c r="Y79" s="139"/>
      <c r="Z79" s="139"/>
      <c r="AA79" s="139"/>
      <c r="AB79" s="139"/>
      <c r="AC79" s="139"/>
      <c r="AD79" s="139"/>
      <c r="AE79" s="139"/>
      <c r="AF79" s="139"/>
      <c r="AG79" s="139"/>
    </row>
    <row r="80" spans="1:33" ht="12.75" customHeight="1">
      <c r="A80" s="97"/>
      <c r="B80" s="140"/>
      <c r="C80" s="139"/>
      <c r="E80" s="867">
        <v>34</v>
      </c>
      <c r="F80" s="870">
        <f t="shared" si="2"/>
        <v>1.1100000000000001</v>
      </c>
      <c r="G80" s="868">
        <f t="shared" si="3"/>
        <v>93.2</v>
      </c>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39"/>
    </row>
    <row r="81" spans="1:33" ht="12.75" customHeight="1">
      <c r="A81" s="97"/>
      <c r="B81" s="140"/>
      <c r="C81" s="139"/>
      <c r="E81" s="867">
        <v>34.5</v>
      </c>
      <c r="F81" s="870">
        <f t="shared" si="2"/>
        <v>1.39</v>
      </c>
      <c r="G81" s="868">
        <f t="shared" si="3"/>
        <v>94.1</v>
      </c>
      <c r="J81" s="139"/>
      <c r="K81" s="139"/>
      <c r="L81" s="139"/>
      <c r="M81" s="139"/>
      <c r="N81" s="139"/>
      <c r="O81" s="139"/>
      <c r="P81" s="139"/>
      <c r="Q81" s="139"/>
      <c r="R81" s="139"/>
      <c r="S81" s="139"/>
      <c r="T81" s="139"/>
      <c r="U81" s="139"/>
      <c r="V81" s="139"/>
      <c r="W81" s="139"/>
      <c r="X81" s="139"/>
      <c r="Y81" s="139"/>
      <c r="Z81" s="139"/>
      <c r="AA81" s="139"/>
      <c r="AB81" s="139"/>
      <c r="AC81" s="139"/>
      <c r="AD81" s="139"/>
      <c r="AE81" s="139"/>
      <c r="AF81" s="139"/>
      <c r="AG81" s="139"/>
    </row>
    <row r="82" spans="1:33" ht="12.75" customHeight="1">
      <c r="A82" s="97"/>
      <c r="B82" s="140"/>
      <c r="C82" s="139"/>
      <c r="E82" s="867">
        <v>35</v>
      </c>
      <c r="F82" s="870">
        <f t="shared" si="2"/>
        <v>1.67</v>
      </c>
      <c r="G82" s="868">
        <f t="shared" si="3"/>
        <v>95</v>
      </c>
      <c r="J82" s="139"/>
      <c r="K82" s="139"/>
      <c r="L82" s="139"/>
      <c r="M82" s="139"/>
      <c r="N82" s="139"/>
      <c r="O82" s="139"/>
      <c r="P82" s="139"/>
      <c r="Q82" s="139"/>
      <c r="R82" s="139"/>
      <c r="S82" s="139"/>
      <c r="T82" s="139"/>
      <c r="U82" s="139"/>
      <c r="V82" s="139"/>
      <c r="W82" s="139"/>
      <c r="X82" s="139"/>
      <c r="Y82" s="139"/>
      <c r="Z82" s="139"/>
      <c r="AA82" s="139"/>
      <c r="AB82" s="139"/>
      <c r="AC82" s="139"/>
      <c r="AD82" s="139"/>
      <c r="AE82" s="139"/>
      <c r="AF82" s="139"/>
      <c r="AG82" s="139"/>
    </row>
    <row r="83" spans="1:33" ht="12.75" customHeight="1">
      <c r="A83" s="97"/>
      <c r="B83" s="140"/>
      <c r="C83" s="139"/>
      <c r="E83" s="867">
        <v>35.5</v>
      </c>
      <c r="F83" s="870">
        <f t="shared" si="2"/>
        <v>1.94</v>
      </c>
      <c r="G83" s="868">
        <f t="shared" si="3"/>
        <v>95.9</v>
      </c>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row>
    <row r="84" spans="1:33" ht="12.75" customHeight="1">
      <c r="A84" s="97"/>
      <c r="B84" s="140"/>
      <c r="C84" s="139"/>
      <c r="E84" s="867">
        <v>36</v>
      </c>
      <c r="F84" s="870">
        <f t="shared" si="2"/>
        <v>2.2200000000000002</v>
      </c>
      <c r="G84" s="868">
        <f t="shared" si="3"/>
        <v>96.8</v>
      </c>
      <c r="J84" s="139"/>
      <c r="K84" s="139"/>
      <c r="L84" s="139"/>
      <c r="M84" s="139"/>
      <c r="N84" s="139"/>
      <c r="O84" s="139"/>
      <c r="P84" s="139"/>
      <c r="Q84" s="139"/>
      <c r="R84" s="139"/>
      <c r="S84" s="139"/>
      <c r="T84" s="139"/>
      <c r="U84" s="139"/>
      <c r="V84" s="139"/>
      <c r="W84" s="139"/>
      <c r="X84" s="139"/>
      <c r="Y84" s="139"/>
      <c r="Z84" s="139"/>
      <c r="AA84" s="139"/>
      <c r="AB84" s="139"/>
      <c r="AC84" s="139"/>
      <c r="AD84" s="139"/>
      <c r="AE84" s="139"/>
      <c r="AF84" s="139"/>
      <c r="AG84" s="139"/>
    </row>
    <row r="85" spans="1:33" ht="12.75" customHeight="1">
      <c r="A85" s="97"/>
      <c r="B85" s="140"/>
      <c r="C85" s="139"/>
      <c r="E85" s="867">
        <v>36.5</v>
      </c>
      <c r="F85" s="870">
        <f t="shared" si="2"/>
        <v>2.5</v>
      </c>
      <c r="G85" s="868">
        <f t="shared" si="3"/>
        <v>97.7</v>
      </c>
      <c r="J85" s="139"/>
      <c r="K85" s="139"/>
      <c r="L85" s="139"/>
      <c r="M85" s="139"/>
      <c r="N85" s="139"/>
      <c r="O85" s="139"/>
      <c r="P85" s="139"/>
      <c r="Q85" s="139"/>
      <c r="R85" s="139"/>
      <c r="S85" s="139"/>
      <c r="T85" s="139"/>
      <c r="U85" s="139"/>
      <c r="V85" s="139"/>
      <c r="W85" s="139"/>
      <c r="X85" s="139"/>
      <c r="Y85" s="139"/>
      <c r="Z85" s="139"/>
      <c r="AA85" s="139"/>
      <c r="AB85" s="139"/>
      <c r="AC85" s="139"/>
      <c r="AD85" s="139"/>
      <c r="AE85" s="139"/>
      <c r="AF85" s="139"/>
      <c r="AG85" s="139"/>
    </row>
    <row r="86" spans="1:33" ht="12.75" customHeight="1">
      <c r="A86" s="97"/>
      <c r="B86" s="140"/>
      <c r="C86" s="139"/>
      <c r="E86" s="867">
        <v>37</v>
      </c>
      <c r="F86" s="870">
        <f t="shared" si="2"/>
        <v>2.78</v>
      </c>
      <c r="G86" s="868">
        <f t="shared" si="3"/>
        <v>98.6</v>
      </c>
      <c r="J86" s="139"/>
      <c r="K86" s="139"/>
      <c r="L86" s="139"/>
      <c r="M86" s="139"/>
      <c r="N86" s="139"/>
      <c r="O86" s="139"/>
      <c r="P86" s="139"/>
      <c r="Q86" s="139"/>
      <c r="R86" s="139"/>
      <c r="S86" s="139"/>
      <c r="T86" s="139"/>
      <c r="U86" s="139"/>
      <c r="V86" s="139"/>
      <c r="W86" s="139"/>
      <c r="X86" s="139"/>
      <c r="Y86" s="139"/>
      <c r="Z86" s="139"/>
      <c r="AA86" s="139"/>
      <c r="AB86" s="139"/>
      <c r="AC86" s="139"/>
      <c r="AD86" s="139"/>
      <c r="AE86" s="139"/>
      <c r="AF86" s="139"/>
      <c r="AG86" s="139"/>
    </row>
    <row r="87" spans="1:33" ht="12.75" customHeight="1">
      <c r="B87" s="140"/>
      <c r="C87" s="139"/>
      <c r="E87" s="867">
        <v>37.5</v>
      </c>
      <c r="F87" s="870">
        <f t="shared" si="2"/>
        <v>3.06</v>
      </c>
      <c r="G87" s="868">
        <f t="shared" si="3"/>
        <v>99.5</v>
      </c>
      <c r="J87" s="139"/>
      <c r="K87" s="139"/>
      <c r="L87" s="139"/>
      <c r="M87" s="139"/>
      <c r="N87" s="139"/>
      <c r="O87" s="139"/>
      <c r="P87" s="139"/>
      <c r="Q87" s="139"/>
      <c r="R87" s="139"/>
      <c r="S87" s="139"/>
      <c r="T87" s="139"/>
      <c r="U87" s="139"/>
      <c r="V87" s="139"/>
      <c r="W87" s="139"/>
      <c r="X87" s="139"/>
      <c r="Y87" s="139"/>
      <c r="Z87" s="139"/>
      <c r="AA87" s="139"/>
      <c r="AB87" s="139"/>
      <c r="AC87" s="139"/>
      <c r="AD87" s="139"/>
      <c r="AE87" s="139"/>
      <c r="AF87" s="139"/>
      <c r="AG87" s="139"/>
    </row>
    <row r="88" spans="1:33" ht="12.75" customHeight="1">
      <c r="B88" s="140"/>
      <c r="C88" s="139"/>
      <c r="E88" s="867">
        <v>38</v>
      </c>
      <c r="F88" s="870">
        <f t="shared" si="2"/>
        <v>3.33</v>
      </c>
      <c r="G88" s="868">
        <f t="shared" si="3"/>
        <v>100.4</v>
      </c>
      <c r="J88" s="139"/>
      <c r="K88" s="139"/>
      <c r="L88" s="139"/>
      <c r="M88" s="139"/>
      <c r="N88" s="139"/>
      <c r="O88" s="139"/>
      <c r="P88" s="139"/>
      <c r="Q88" s="139"/>
      <c r="R88" s="139"/>
      <c r="S88" s="139"/>
      <c r="T88" s="139"/>
      <c r="U88" s="139"/>
      <c r="V88" s="139"/>
      <c r="W88" s="139"/>
      <c r="X88" s="139"/>
      <c r="Y88" s="139"/>
      <c r="Z88" s="139"/>
      <c r="AA88" s="139"/>
      <c r="AB88" s="139"/>
      <c r="AC88" s="139"/>
      <c r="AD88" s="139"/>
      <c r="AE88" s="139"/>
      <c r="AF88" s="139"/>
      <c r="AG88" s="139"/>
    </row>
    <row r="89" spans="1:33" ht="12.75" customHeight="1">
      <c r="B89" s="140"/>
      <c r="C89" s="139"/>
      <c r="E89" s="867">
        <v>38.5</v>
      </c>
      <c r="F89" s="870">
        <f t="shared" si="2"/>
        <v>3.61</v>
      </c>
      <c r="G89" s="868">
        <f t="shared" si="3"/>
        <v>101.3</v>
      </c>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39"/>
    </row>
    <row r="90" spans="1:33" ht="12.75" customHeight="1">
      <c r="B90" s="140"/>
      <c r="C90" s="139"/>
      <c r="E90" s="867">
        <v>39</v>
      </c>
      <c r="F90" s="870">
        <f t="shared" si="2"/>
        <v>3.89</v>
      </c>
      <c r="G90" s="868">
        <f t="shared" si="3"/>
        <v>102.2</v>
      </c>
      <c r="J90" s="139"/>
      <c r="K90" s="139"/>
      <c r="L90" s="139"/>
      <c r="M90" s="139"/>
      <c r="N90" s="139"/>
      <c r="O90" s="139"/>
      <c r="P90" s="139"/>
      <c r="Q90" s="139"/>
      <c r="R90" s="139"/>
      <c r="S90" s="139"/>
      <c r="T90" s="139"/>
      <c r="U90" s="139"/>
      <c r="V90" s="139"/>
      <c r="W90" s="139"/>
      <c r="X90" s="139"/>
      <c r="Y90" s="139"/>
      <c r="Z90" s="139"/>
      <c r="AA90" s="139"/>
      <c r="AB90" s="139"/>
      <c r="AC90" s="139"/>
      <c r="AD90" s="139"/>
      <c r="AE90" s="139"/>
      <c r="AF90" s="139"/>
      <c r="AG90" s="139"/>
    </row>
    <row r="91" spans="1:33" ht="12.75" customHeight="1">
      <c r="B91" s="140"/>
      <c r="C91" s="139"/>
      <c r="E91" s="867">
        <v>39.5</v>
      </c>
      <c r="F91" s="870">
        <f t="shared" si="2"/>
        <v>4.17</v>
      </c>
      <c r="G91" s="868">
        <f t="shared" si="3"/>
        <v>103.1</v>
      </c>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row>
    <row r="92" spans="1:33" ht="12.75" customHeight="1">
      <c r="B92" s="140"/>
      <c r="C92" s="139"/>
      <c r="E92" s="867">
        <v>40</v>
      </c>
      <c r="F92" s="870">
        <f t="shared" si="2"/>
        <v>4.4400000000000004</v>
      </c>
      <c r="G92" s="868">
        <f t="shared" si="3"/>
        <v>104</v>
      </c>
      <c r="J92" s="139"/>
      <c r="K92" s="139"/>
      <c r="L92" s="139"/>
      <c r="M92" s="139"/>
      <c r="N92" s="139"/>
      <c r="O92" s="139"/>
      <c r="P92" s="139"/>
      <c r="Q92" s="139"/>
      <c r="R92" s="139"/>
      <c r="S92" s="139"/>
      <c r="T92" s="139"/>
      <c r="U92" s="139"/>
      <c r="V92" s="139"/>
      <c r="W92" s="139"/>
      <c r="X92" s="139"/>
      <c r="Y92" s="139"/>
      <c r="Z92" s="139"/>
      <c r="AA92" s="139"/>
      <c r="AB92" s="139"/>
      <c r="AC92" s="139"/>
      <c r="AD92" s="139"/>
      <c r="AE92" s="139"/>
      <c r="AF92" s="139"/>
      <c r="AG92" s="139"/>
    </row>
    <row r="93" spans="1:33" ht="12.75" customHeight="1">
      <c r="B93" s="140"/>
      <c r="C93" s="139"/>
      <c r="E93" s="867">
        <v>40.5</v>
      </c>
      <c r="F93" s="870">
        <f t="shared" si="2"/>
        <v>4.72</v>
      </c>
      <c r="G93" s="868">
        <f t="shared" si="3"/>
        <v>104.9</v>
      </c>
      <c r="J93" s="139"/>
      <c r="K93" s="139"/>
      <c r="L93" s="139"/>
      <c r="M93" s="139"/>
      <c r="N93" s="139"/>
      <c r="O93" s="139"/>
      <c r="P93" s="139"/>
      <c r="Q93" s="139"/>
      <c r="R93" s="139"/>
      <c r="S93" s="139"/>
      <c r="T93" s="139"/>
      <c r="U93" s="139"/>
      <c r="V93" s="139"/>
      <c r="W93" s="139"/>
      <c r="X93" s="139"/>
      <c r="Y93" s="139"/>
      <c r="Z93" s="139"/>
      <c r="AA93" s="139"/>
      <c r="AB93" s="139"/>
      <c r="AC93" s="139"/>
      <c r="AD93" s="139"/>
      <c r="AE93" s="139"/>
      <c r="AF93" s="139"/>
      <c r="AG93" s="139"/>
    </row>
    <row r="94" spans="1:33" ht="12.75" customHeight="1">
      <c r="B94" s="140"/>
      <c r="C94" s="139"/>
      <c r="E94" s="867">
        <v>41</v>
      </c>
      <c r="F94" s="870">
        <f t="shared" si="2"/>
        <v>5</v>
      </c>
      <c r="G94" s="868">
        <f t="shared" si="3"/>
        <v>105.8</v>
      </c>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row>
    <row r="95" spans="1:33" ht="12.75" customHeight="1">
      <c r="B95" s="140"/>
      <c r="C95" s="139"/>
      <c r="E95" s="867">
        <v>41.5</v>
      </c>
      <c r="F95" s="870">
        <f t="shared" si="2"/>
        <v>5.28</v>
      </c>
      <c r="G95" s="868">
        <f t="shared" si="3"/>
        <v>106.7</v>
      </c>
      <c r="J95" s="139"/>
      <c r="K95" s="139"/>
      <c r="L95" s="139"/>
      <c r="M95" s="139"/>
      <c r="N95" s="139"/>
      <c r="O95" s="139"/>
      <c r="P95" s="139"/>
      <c r="Q95" s="139"/>
      <c r="R95" s="139"/>
      <c r="S95" s="139"/>
      <c r="T95" s="139"/>
      <c r="U95" s="139"/>
      <c r="V95" s="139"/>
      <c r="W95" s="139"/>
      <c r="X95" s="139"/>
      <c r="Y95" s="139"/>
      <c r="Z95" s="139"/>
      <c r="AA95" s="139"/>
      <c r="AB95" s="139"/>
      <c r="AC95" s="139"/>
      <c r="AD95" s="139"/>
      <c r="AE95" s="139"/>
      <c r="AF95" s="139"/>
      <c r="AG95" s="139"/>
    </row>
    <row r="96" spans="1:33" ht="12.75" customHeight="1">
      <c r="B96" s="140"/>
      <c r="C96" s="139"/>
      <c r="E96" s="867">
        <v>42</v>
      </c>
      <c r="F96" s="870">
        <f t="shared" si="2"/>
        <v>5.56</v>
      </c>
      <c r="G96" s="868">
        <f t="shared" si="3"/>
        <v>107.6</v>
      </c>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row>
    <row r="97" spans="2:33" ht="12.75" customHeight="1">
      <c r="B97" s="140"/>
      <c r="C97" s="139"/>
      <c r="E97" s="867">
        <v>42.5</v>
      </c>
      <c r="F97" s="870">
        <f t="shared" si="2"/>
        <v>5.83</v>
      </c>
      <c r="G97" s="868">
        <f t="shared" si="3"/>
        <v>108.5</v>
      </c>
      <c r="J97" s="139"/>
      <c r="K97" s="139"/>
      <c r="L97" s="139"/>
      <c r="M97" s="139"/>
      <c r="N97" s="139"/>
      <c r="O97" s="139"/>
      <c r="P97" s="139"/>
      <c r="Q97" s="139"/>
      <c r="R97" s="139"/>
      <c r="S97" s="139"/>
      <c r="T97" s="139"/>
      <c r="U97" s="139"/>
      <c r="V97" s="139"/>
      <c r="W97" s="139"/>
      <c r="X97" s="139"/>
      <c r="Y97" s="139"/>
      <c r="Z97" s="139"/>
      <c r="AA97" s="139"/>
      <c r="AB97" s="139"/>
      <c r="AC97" s="139"/>
      <c r="AD97" s="139"/>
      <c r="AE97" s="139"/>
      <c r="AF97" s="139"/>
      <c r="AG97" s="139"/>
    </row>
    <row r="98" spans="2:33" ht="12.75" customHeight="1">
      <c r="B98" s="140"/>
      <c r="C98" s="139"/>
      <c r="E98" s="867">
        <v>43</v>
      </c>
      <c r="F98" s="870">
        <f t="shared" si="2"/>
        <v>6.11</v>
      </c>
      <c r="G98" s="868">
        <f t="shared" si="3"/>
        <v>109.4</v>
      </c>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row>
    <row r="99" spans="2:33" ht="12.75" customHeight="1">
      <c r="B99" s="140"/>
      <c r="C99" s="139"/>
      <c r="D99" s="139"/>
      <c r="E99" s="867">
        <v>43.5</v>
      </c>
      <c r="F99" s="870">
        <f t="shared" si="2"/>
        <v>6.39</v>
      </c>
      <c r="G99" s="868">
        <f t="shared" si="3"/>
        <v>110.3</v>
      </c>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row>
    <row r="100" spans="2:33" ht="12.75" customHeight="1">
      <c r="B100" s="140"/>
      <c r="C100" s="139"/>
      <c r="D100" s="139"/>
      <c r="E100" s="867">
        <v>44</v>
      </c>
      <c r="F100" s="870">
        <f t="shared" si="2"/>
        <v>6.67</v>
      </c>
      <c r="G100" s="868">
        <f t="shared" si="3"/>
        <v>111.2</v>
      </c>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row>
    <row r="101" spans="2:33" s="139" customFormat="1" ht="20.65">
      <c r="B101" s="140"/>
      <c r="E101" s="867">
        <v>44.5</v>
      </c>
      <c r="F101" s="870">
        <f t="shared" si="2"/>
        <v>6.94</v>
      </c>
      <c r="G101" s="868">
        <f t="shared" si="3"/>
        <v>112.1</v>
      </c>
    </row>
    <row r="102" spans="2:33" s="139" customFormat="1" ht="20.65">
      <c r="B102" s="140"/>
      <c r="E102" s="867">
        <v>45</v>
      </c>
      <c r="F102" s="870">
        <f t="shared" si="2"/>
        <v>7.22</v>
      </c>
      <c r="G102" s="868">
        <f t="shared" si="3"/>
        <v>113</v>
      </c>
    </row>
    <row r="103" spans="2:33" s="139" customFormat="1" ht="13.15">
      <c r="B103" s="871"/>
      <c r="E103" s="867">
        <v>45.5</v>
      </c>
      <c r="F103" s="870">
        <f t="shared" si="2"/>
        <v>7.5</v>
      </c>
      <c r="G103" s="868">
        <f t="shared" si="3"/>
        <v>113.9</v>
      </c>
    </row>
    <row r="104" spans="2:33" s="139" customFormat="1" ht="13.15">
      <c r="B104" s="871"/>
      <c r="E104" s="867">
        <v>46</v>
      </c>
      <c r="F104" s="870">
        <f t="shared" si="2"/>
        <v>7.78</v>
      </c>
      <c r="G104" s="868">
        <f t="shared" si="3"/>
        <v>114.8</v>
      </c>
    </row>
    <row r="105" spans="2:33" s="139" customFormat="1" ht="13.15">
      <c r="B105" s="871"/>
      <c r="E105" s="867">
        <v>46.5</v>
      </c>
      <c r="F105" s="870">
        <f t="shared" si="2"/>
        <v>8.06</v>
      </c>
      <c r="G105" s="868">
        <f t="shared" si="3"/>
        <v>115.7</v>
      </c>
    </row>
    <row r="106" spans="2:33" s="139" customFormat="1" ht="13.15">
      <c r="B106" s="871"/>
      <c r="E106" s="867">
        <v>47</v>
      </c>
      <c r="F106" s="870">
        <f t="shared" si="2"/>
        <v>8.33</v>
      </c>
      <c r="G106" s="868">
        <f t="shared" si="3"/>
        <v>116.6</v>
      </c>
    </row>
    <row r="107" spans="2:33" s="139" customFormat="1" ht="13.15">
      <c r="B107" s="871"/>
      <c r="E107" s="867">
        <v>47.5</v>
      </c>
      <c r="F107" s="870">
        <f t="shared" si="2"/>
        <v>8.61</v>
      </c>
      <c r="G107" s="868">
        <f t="shared" si="3"/>
        <v>117.5</v>
      </c>
    </row>
    <row r="108" spans="2:33" s="139" customFormat="1" ht="13.15">
      <c r="B108" s="871"/>
      <c r="E108" s="867">
        <v>48</v>
      </c>
      <c r="F108" s="870">
        <f t="shared" si="2"/>
        <v>8.89</v>
      </c>
      <c r="G108" s="868">
        <f t="shared" si="3"/>
        <v>118.4</v>
      </c>
    </row>
    <row r="109" spans="2:33" s="139" customFormat="1" ht="13.15">
      <c r="B109" s="871"/>
      <c r="D109" s="100"/>
      <c r="E109" s="867">
        <v>48.5</v>
      </c>
      <c r="F109" s="870">
        <f t="shared" si="2"/>
        <v>9.17</v>
      </c>
      <c r="G109" s="868">
        <f t="shared" si="3"/>
        <v>119.3</v>
      </c>
      <c r="H109" s="100"/>
      <c r="I109" s="100"/>
    </row>
    <row r="110" spans="2:33" s="139" customFormat="1" ht="13.15">
      <c r="B110" s="871"/>
      <c r="D110" s="100"/>
      <c r="E110" s="867">
        <v>49</v>
      </c>
      <c r="F110" s="870">
        <f t="shared" si="2"/>
        <v>9.44</v>
      </c>
      <c r="G110" s="868">
        <f t="shared" si="3"/>
        <v>120.2</v>
      </c>
      <c r="H110" s="100"/>
      <c r="I110" s="100"/>
    </row>
    <row r="111" spans="2:33" ht="13.15">
      <c r="B111" s="871"/>
      <c r="C111" s="139"/>
      <c r="E111" s="867">
        <v>49.5</v>
      </c>
      <c r="F111" s="870">
        <f t="shared" si="2"/>
        <v>9.7200000000000006</v>
      </c>
      <c r="G111" s="868">
        <f t="shared" si="3"/>
        <v>121.1</v>
      </c>
      <c r="J111" s="139"/>
      <c r="K111" s="139"/>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row>
    <row r="112" spans="2:33" ht="13.15">
      <c r="B112" s="871"/>
      <c r="C112" s="139"/>
      <c r="E112" s="867">
        <v>50</v>
      </c>
      <c r="F112" s="870">
        <f t="shared" si="2"/>
        <v>10</v>
      </c>
      <c r="G112" s="868">
        <f t="shared" si="3"/>
        <v>122</v>
      </c>
      <c r="J112" s="139"/>
      <c r="K112" s="139"/>
      <c r="L112" s="139"/>
      <c r="M112" s="139"/>
      <c r="N112" s="139"/>
      <c r="O112" s="139"/>
      <c r="P112" s="139"/>
      <c r="Q112" s="139"/>
      <c r="R112" s="139"/>
      <c r="S112" s="139"/>
      <c r="T112" s="139"/>
      <c r="U112" s="139"/>
      <c r="V112" s="139"/>
      <c r="W112" s="139"/>
      <c r="X112" s="139"/>
      <c r="Y112" s="139"/>
      <c r="Z112" s="139"/>
      <c r="AA112" s="139"/>
      <c r="AB112" s="139"/>
      <c r="AC112" s="139"/>
      <c r="AD112" s="139"/>
      <c r="AE112" s="139"/>
      <c r="AF112" s="139"/>
      <c r="AG112" s="139"/>
    </row>
    <row r="113" spans="2:33">
      <c r="B113" s="141"/>
      <c r="C113" s="139"/>
      <c r="E113" s="867">
        <v>50.5</v>
      </c>
      <c r="F113" s="870">
        <f t="shared" si="2"/>
        <v>10.28</v>
      </c>
      <c r="G113" s="868">
        <f t="shared" si="3"/>
        <v>122.9</v>
      </c>
      <c r="J113" s="139"/>
      <c r="K113" s="139"/>
      <c r="L113" s="139"/>
      <c r="M113" s="139"/>
      <c r="N113" s="139"/>
      <c r="O113" s="139"/>
      <c r="P113" s="139"/>
      <c r="Q113" s="139"/>
      <c r="R113" s="139"/>
      <c r="S113" s="139"/>
      <c r="T113" s="139"/>
      <c r="U113" s="139"/>
      <c r="V113" s="139"/>
      <c r="W113" s="139"/>
      <c r="X113" s="139"/>
      <c r="Y113" s="139"/>
      <c r="Z113" s="139"/>
      <c r="AA113" s="139"/>
      <c r="AB113" s="139"/>
      <c r="AC113" s="139"/>
      <c r="AD113" s="139"/>
      <c r="AE113" s="139"/>
      <c r="AF113" s="139"/>
      <c r="AG113" s="139"/>
    </row>
    <row r="114" spans="2:33">
      <c r="B114" s="141"/>
      <c r="E114" s="867">
        <v>51</v>
      </c>
      <c r="F114" s="870">
        <f t="shared" si="2"/>
        <v>10.56</v>
      </c>
      <c r="G114" s="868">
        <f t="shared" si="3"/>
        <v>123.8</v>
      </c>
    </row>
    <row r="115" spans="2:33">
      <c r="B115" s="141"/>
      <c r="E115" s="867">
        <v>51.5</v>
      </c>
      <c r="F115" s="870">
        <f t="shared" si="2"/>
        <v>10.83</v>
      </c>
      <c r="G115" s="868">
        <f t="shared" si="3"/>
        <v>124.7</v>
      </c>
    </row>
    <row r="116" spans="2:33" ht="12.75" customHeight="1">
      <c r="B116" s="141"/>
      <c r="E116" s="867">
        <v>52</v>
      </c>
      <c r="F116" s="870">
        <f t="shared" si="2"/>
        <v>11.11</v>
      </c>
      <c r="G116" s="868">
        <f t="shared" si="3"/>
        <v>125.6</v>
      </c>
    </row>
    <row r="117" spans="2:33">
      <c r="B117" s="141"/>
      <c r="E117" s="867">
        <v>52.5</v>
      </c>
      <c r="F117" s="870">
        <f t="shared" si="2"/>
        <v>11.39</v>
      </c>
      <c r="G117" s="868">
        <f t="shared" si="3"/>
        <v>126.5</v>
      </c>
    </row>
    <row r="118" spans="2:33">
      <c r="B118" s="141"/>
      <c r="E118" s="867">
        <v>53</v>
      </c>
      <c r="F118" s="870">
        <f t="shared" si="2"/>
        <v>11.67</v>
      </c>
      <c r="G118" s="868">
        <f t="shared" si="3"/>
        <v>127.4</v>
      </c>
    </row>
    <row r="119" spans="2:33">
      <c r="B119" s="141"/>
      <c r="E119" s="867">
        <v>53.5</v>
      </c>
      <c r="F119" s="870">
        <f t="shared" si="2"/>
        <v>11.94</v>
      </c>
      <c r="G119" s="868">
        <f t="shared" si="3"/>
        <v>128.30000000000001</v>
      </c>
    </row>
    <row r="120" spans="2:33">
      <c r="B120" s="141"/>
      <c r="E120" s="867">
        <v>54</v>
      </c>
      <c r="F120" s="870">
        <f t="shared" si="2"/>
        <v>12.22</v>
      </c>
      <c r="G120" s="868">
        <f t="shared" si="3"/>
        <v>129.19999999999999</v>
      </c>
    </row>
    <row r="121" spans="2:33">
      <c r="B121" s="141"/>
      <c r="E121" s="867">
        <v>54.5</v>
      </c>
      <c r="F121" s="870">
        <f t="shared" si="2"/>
        <v>12.5</v>
      </c>
      <c r="G121" s="868">
        <f t="shared" si="3"/>
        <v>130.1</v>
      </c>
    </row>
    <row r="122" spans="2:33">
      <c r="B122" s="141"/>
      <c r="E122" s="867">
        <v>55</v>
      </c>
      <c r="F122" s="870">
        <f t="shared" si="2"/>
        <v>12.78</v>
      </c>
      <c r="G122" s="868">
        <f t="shared" si="3"/>
        <v>131</v>
      </c>
    </row>
    <row r="123" spans="2:33">
      <c r="B123" s="141"/>
      <c r="E123" s="867">
        <v>55.5</v>
      </c>
      <c r="F123" s="870">
        <f t="shared" si="2"/>
        <v>13.06</v>
      </c>
      <c r="G123" s="868">
        <f t="shared" si="3"/>
        <v>131.9</v>
      </c>
    </row>
    <row r="124" spans="2:33">
      <c r="B124" s="141"/>
      <c r="E124" s="867">
        <v>56</v>
      </c>
      <c r="F124" s="870">
        <f t="shared" si="2"/>
        <v>13.33</v>
      </c>
      <c r="G124" s="868">
        <f t="shared" si="3"/>
        <v>132.80000000000001</v>
      </c>
    </row>
    <row r="125" spans="2:33">
      <c r="B125" s="141"/>
      <c r="E125" s="867">
        <v>56.5</v>
      </c>
      <c r="F125" s="870">
        <f t="shared" si="2"/>
        <v>13.61</v>
      </c>
      <c r="G125" s="868">
        <f t="shared" si="3"/>
        <v>133.69999999999999</v>
      </c>
    </row>
    <row r="126" spans="2:33">
      <c r="E126" s="867">
        <v>57</v>
      </c>
      <c r="F126" s="870">
        <f t="shared" si="2"/>
        <v>13.89</v>
      </c>
      <c r="G126" s="868">
        <f t="shared" si="3"/>
        <v>134.6</v>
      </c>
    </row>
    <row r="127" spans="2:33">
      <c r="E127" s="867">
        <v>57.5</v>
      </c>
      <c r="F127" s="870">
        <f t="shared" si="2"/>
        <v>14.17</v>
      </c>
      <c r="G127" s="868">
        <f t="shared" si="3"/>
        <v>135.5</v>
      </c>
    </row>
    <row r="128" spans="2:33">
      <c r="E128" s="867">
        <v>58</v>
      </c>
      <c r="F128" s="870">
        <f t="shared" si="2"/>
        <v>14.44</v>
      </c>
      <c r="G128" s="868">
        <f t="shared" si="3"/>
        <v>136.4</v>
      </c>
    </row>
    <row r="129" spans="5:7">
      <c r="E129" s="867">
        <v>58.5</v>
      </c>
      <c r="F129" s="870">
        <f t="shared" si="2"/>
        <v>14.72</v>
      </c>
      <c r="G129" s="868">
        <f t="shared" si="3"/>
        <v>137.30000000000001</v>
      </c>
    </row>
    <row r="130" spans="5:7">
      <c r="E130" s="867">
        <v>59</v>
      </c>
      <c r="F130" s="870">
        <f t="shared" si="2"/>
        <v>15</v>
      </c>
      <c r="G130" s="868">
        <f t="shared" si="3"/>
        <v>138.19999999999999</v>
      </c>
    </row>
    <row r="131" spans="5:7">
      <c r="E131" s="867">
        <v>59.5</v>
      </c>
      <c r="F131" s="870">
        <f t="shared" si="2"/>
        <v>15.28</v>
      </c>
      <c r="G131" s="868">
        <f t="shared" si="3"/>
        <v>139.1</v>
      </c>
    </row>
    <row r="132" spans="5:7">
      <c r="E132" s="867">
        <v>60</v>
      </c>
      <c r="F132" s="870">
        <f t="shared" si="2"/>
        <v>15.56</v>
      </c>
      <c r="G132" s="868">
        <f t="shared" si="3"/>
        <v>140</v>
      </c>
    </row>
    <row r="133" spans="5:7">
      <c r="E133" s="867">
        <v>60.5</v>
      </c>
      <c r="F133" s="870">
        <f t="shared" si="2"/>
        <v>15.83</v>
      </c>
      <c r="G133" s="868">
        <f t="shared" si="3"/>
        <v>140.9</v>
      </c>
    </row>
    <row r="134" spans="5:7">
      <c r="E134" s="867">
        <v>61</v>
      </c>
      <c r="F134" s="870">
        <f t="shared" si="2"/>
        <v>16.11</v>
      </c>
      <c r="G134" s="868">
        <f t="shared" si="3"/>
        <v>141.80000000000001</v>
      </c>
    </row>
    <row r="135" spans="5:7">
      <c r="E135" s="867">
        <v>61.5</v>
      </c>
      <c r="F135" s="870">
        <f t="shared" si="2"/>
        <v>16.39</v>
      </c>
      <c r="G135" s="868">
        <f t="shared" si="3"/>
        <v>142.69999999999999</v>
      </c>
    </row>
    <row r="136" spans="5:7">
      <c r="E136" s="867">
        <v>62</v>
      </c>
      <c r="F136" s="870">
        <f t="shared" si="2"/>
        <v>16.670000000000002</v>
      </c>
      <c r="G136" s="868">
        <f t="shared" si="3"/>
        <v>143.6</v>
      </c>
    </row>
    <row r="137" spans="5:7">
      <c r="E137" s="867">
        <v>62.5</v>
      </c>
      <c r="F137" s="870">
        <f t="shared" si="2"/>
        <v>16.940000000000001</v>
      </c>
      <c r="G137" s="868">
        <f t="shared" si="3"/>
        <v>144.5</v>
      </c>
    </row>
    <row r="138" spans="5:7">
      <c r="E138" s="867">
        <v>63</v>
      </c>
      <c r="F138" s="870">
        <f t="shared" si="2"/>
        <v>17.22</v>
      </c>
      <c r="G138" s="868">
        <f t="shared" si="3"/>
        <v>145.4</v>
      </c>
    </row>
    <row r="139" spans="5:7">
      <c r="E139" s="867">
        <v>63.5</v>
      </c>
      <c r="F139" s="870">
        <f t="shared" si="2"/>
        <v>17.5</v>
      </c>
      <c r="G139" s="868">
        <f t="shared" si="3"/>
        <v>146.30000000000001</v>
      </c>
    </row>
    <row r="140" spans="5:7">
      <c r="E140" s="867">
        <v>64</v>
      </c>
      <c r="F140" s="870">
        <f t="shared" si="2"/>
        <v>17.78</v>
      </c>
      <c r="G140" s="868">
        <f t="shared" si="3"/>
        <v>147.19999999999999</v>
      </c>
    </row>
    <row r="141" spans="5:7">
      <c r="E141" s="867">
        <v>64.5</v>
      </c>
      <c r="F141" s="870">
        <f t="shared" si="2"/>
        <v>18.059999999999999</v>
      </c>
      <c r="G141" s="868">
        <f t="shared" si="3"/>
        <v>148.1</v>
      </c>
    </row>
    <row r="142" spans="5:7">
      <c r="E142" s="867">
        <v>65</v>
      </c>
      <c r="F142" s="870">
        <f t="shared" ref="F142:F205" si="4">ROUND((E142-32)/9*5,2)</f>
        <v>18.329999999999998</v>
      </c>
      <c r="G142" s="868">
        <f t="shared" ref="G142:G205" si="5">ROUND((9/5)*E142+32,1)</f>
        <v>149</v>
      </c>
    </row>
    <row r="143" spans="5:7">
      <c r="E143" s="867">
        <v>65.5</v>
      </c>
      <c r="F143" s="870">
        <f t="shared" si="4"/>
        <v>18.61</v>
      </c>
      <c r="G143" s="868">
        <f t="shared" si="5"/>
        <v>149.9</v>
      </c>
    </row>
    <row r="144" spans="5:7">
      <c r="E144" s="867">
        <v>66</v>
      </c>
      <c r="F144" s="870">
        <f t="shared" si="4"/>
        <v>18.89</v>
      </c>
      <c r="G144" s="868">
        <f t="shared" si="5"/>
        <v>150.80000000000001</v>
      </c>
    </row>
    <row r="145" spans="5:7">
      <c r="E145" s="867">
        <v>66.5</v>
      </c>
      <c r="F145" s="870">
        <f t="shared" si="4"/>
        <v>19.170000000000002</v>
      </c>
      <c r="G145" s="868">
        <f t="shared" si="5"/>
        <v>151.69999999999999</v>
      </c>
    </row>
    <row r="146" spans="5:7">
      <c r="E146" s="867">
        <v>67</v>
      </c>
      <c r="F146" s="870">
        <f t="shared" si="4"/>
        <v>19.440000000000001</v>
      </c>
      <c r="G146" s="868">
        <f t="shared" si="5"/>
        <v>152.6</v>
      </c>
    </row>
    <row r="147" spans="5:7">
      <c r="E147" s="867">
        <v>67.5</v>
      </c>
      <c r="F147" s="870">
        <f t="shared" si="4"/>
        <v>19.72</v>
      </c>
      <c r="G147" s="868">
        <f t="shared" si="5"/>
        <v>153.5</v>
      </c>
    </row>
    <row r="148" spans="5:7">
      <c r="E148" s="867">
        <v>68</v>
      </c>
      <c r="F148" s="870">
        <f t="shared" si="4"/>
        <v>20</v>
      </c>
      <c r="G148" s="868">
        <f t="shared" si="5"/>
        <v>154.4</v>
      </c>
    </row>
    <row r="149" spans="5:7">
      <c r="E149" s="867">
        <v>68.5</v>
      </c>
      <c r="F149" s="870">
        <f t="shared" si="4"/>
        <v>20.28</v>
      </c>
      <c r="G149" s="868">
        <f t="shared" si="5"/>
        <v>155.30000000000001</v>
      </c>
    </row>
    <row r="150" spans="5:7">
      <c r="E150" s="867">
        <v>69</v>
      </c>
      <c r="F150" s="870">
        <f t="shared" si="4"/>
        <v>20.56</v>
      </c>
      <c r="G150" s="868">
        <f t="shared" si="5"/>
        <v>156.19999999999999</v>
      </c>
    </row>
    <row r="151" spans="5:7">
      <c r="E151" s="867">
        <v>69.5</v>
      </c>
      <c r="F151" s="870">
        <f t="shared" si="4"/>
        <v>20.83</v>
      </c>
      <c r="G151" s="868">
        <f t="shared" si="5"/>
        <v>157.1</v>
      </c>
    </row>
    <row r="152" spans="5:7">
      <c r="E152" s="867">
        <v>70</v>
      </c>
      <c r="F152" s="870">
        <f t="shared" si="4"/>
        <v>21.11</v>
      </c>
      <c r="G152" s="868">
        <f t="shared" si="5"/>
        <v>158</v>
      </c>
    </row>
    <row r="153" spans="5:7">
      <c r="E153" s="867">
        <v>70.5</v>
      </c>
      <c r="F153" s="870">
        <f t="shared" si="4"/>
        <v>21.39</v>
      </c>
      <c r="G153" s="868">
        <f t="shared" si="5"/>
        <v>158.9</v>
      </c>
    </row>
    <row r="154" spans="5:7">
      <c r="E154" s="867">
        <v>71</v>
      </c>
      <c r="F154" s="870">
        <f t="shared" si="4"/>
        <v>21.67</v>
      </c>
      <c r="G154" s="868">
        <f t="shared" si="5"/>
        <v>159.80000000000001</v>
      </c>
    </row>
    <row r="155" spans="5:7">
      <c r="E155" s="867">
        <v>71.5</v>
      </c>
      <c r="F155" s="870">
        <f t="shared" si="4"/>
        <v>21.94</v>
      </c>
      <c r="G155" s="868">
        <f t="shared" si="5"/>
        <v>160.69999999999999</v>
      </c>
    </row>
    <row r="156" spans="5:7">
      <c r="E156" s="867">
        <v>72</v>
      </c>
      <c r="F156" s="870">
        <f t="shared" si="4"/>
        <v>22.22</v>
      </c>
      <c r="G156" s="868">
        <f t="shared" si="5"/>
        <v>161.6</v>
      </c>
    </row>
    <row r="157" spans="5:7">
      <c r="E157" s="867">
        <v>72.5</v>
      </c>
      <c r="F157" s="870">
        <f t="shared" si="4"/>
        <v>22.5</v>
      </c>
      <c r="G157" s="868">
        <f t="shared" si="5"/>
        <v>162.5</v>
      </c>
    </row>
    <row r="158" spans="5:7">
      <c r="E158" s="867">
        <v>73</v>
      </c>
      <c r="F158" s="870">
        <f t="shared" si="4"/>
        <v>22.78</v>
      </c>
      <c r="G158" s="868">
        <f t="shared" si="5"/>
        <v>163.4</v>
      </c>
    </row>
    <row r="159" spans="5:7">
      <c r="E159" s="867">
        <v>73.5</v>
      </c>
      <c r="F159" s="870">
        <f t="shared" si="4"/>
        <v>23.06</v>
      </c>
      <c r="G159" s="868">
        <f t="shared" si="5"/>
        <v>164.3</v>
      </c>
    </row>
    <row r="160" spans="5:7">
      <c r="E160" s="867">
        <v>74</v>
      </c>
      <c r="F160" s="870">
        <f t="shared" si="4"/>
        <v>23.33</v>
      </c>
      <c r="G160" s="868">
        <f t="shared" si="5"/>
        <v>165.2</v>
      </c>
    </row>
    <row r="161" spans="5:7">
      <c r="E161" s="867">
        <v>74.5</v>
      </c>
      <c r="F161" s="870">
        <f t="shared" si="4"/>
        <v>23.61</v>
      </c>
      <c r="G161" s="868">
        <f t="shared" si="5"/>
        <v>166.1</v>
      </c>
    </row>
    <row r="162" spans="5:7">
      <c r="E162" s="867">
        <v>75</v>
      </c>
      <c r="F162" s="870">
        <f t="shared" si="4"/>
        <v>23.89</v>
      </c>
      <c r="G162" s="868">
        <f t="shared" si="5"/>
        <v>167</v>
      </c>
    </row>
    <row r="163" spans="5:7">
      <c r="E163" s="867">
        <v>75.5</v>
      </c>
      <c r="F163" s="870">
        <f t="shared" si="4"/>
        <v>24.17</v>
      </c>
      <c r="G163" s="868">
        <f t="shared" si="5"/>
        <v>167.9</v>
      </c>
    </row>
    <row r="164" spans="5:7">
      <c r="E164" s="867">
        <v>76</v>
      </c>
      <c r="F164" s="870">
        <f t="shared" si="4"/>
        <v>24.44</v>
      </c>
      <c r="G164" s="868">
        <f t="shared" si="5"/>
        <v>168.8</v>
      </c>
    </row>
    <row r="165" spans="5:7">
      <c r="E165" s="867">
        <v>76.5</v>
      </c>
      <c r="F165" s="870">
        <f t="shared" si="4"/>
        <v>24.72</v>
      </c>
      <c r="G165" s="868">
        <f t="shared" si="5"/>
        <v>169.7</v>
      </c>
    </row>
    <row r="166" spans="5:7">
      <c r="E166" s="867">
        <v>77</v>
      </c>
      <c r="F166" s="870">
        <f t="shared" si="4"/>
        <v>25</v>
      </c>
      <c r="G166" s="868">
        <f t="shared" si="5"/>
        <v>170.6</v>
      </c>
    </row>
    <row r="167" spans="5:7">
      <c r="E167" s="867">
        <v>77.5</v>
      </c>
      <c r="F167" s="870">
        <f t="shared" si="4"/>
        <v>25.28</v>
      </c>
      <c r="G167" s="868">
        <f t="shared" si="5"/>
        <v>171.5</v>
      </c>
    </row>
    <row r="168" spans="5:7">
      <c r="E168" s="867">
        <v>78</v>
      </c>
      <c r="F168" s="870">
        <f t="shared" si="4"/>
        <v>25.56</v>
      </c>
      <c r="G168" s="868">
        <f t="shared" si="5"/>
        <v>172.4</v>
      </c>
    </row>
    <row r="169" spans="5:7">
      <c r="E169" s="867">
        <v>78.5</v>
      </c>
      <c r="F169" s="870">
        <f t="shared" si="4"/>
        <v>25.83</v>
      </c>
      <c r="G169" s="868">
        <f t="shared" si="5"/>
        <v>173.3</v>
      </c>
    </row>
    <row r="170" spans="5:7">
      <c r="E170" s="867">
        <v>79</v>
      </c>
      <c r="F170" s="870">
        <f t="shared" si="4"/>
        <v>26.11</v>
      </c>
      <c r="G170" s="868">
        <f t="shared" si="5"/>
        <v>174.2</v>
      </c>
    </row>
    <row r="171" spans="5:7">
      <c r="E171" s="867">
        <v>79.5</v>
      </c>
      <c r="F171" s="870">
        <f t="shared" si="4"/>
        <v>26.39</v>
      </c>
      <c r="G171" s="868">
        <f t="shared" si="5"/>
        <v>175.1</v>
      </c>
    </row>
    <row r="172" spans="5:7">
      <c r="E172" s="867">
        <v>80</v>
      </c>
      <c r="F172" s="870">
        <f t="shared" si="4"/>
        <v>26.67</v>
      </c>
      <c r="G172" s="868">
        <f t="shared" si="5"/>
        <v>176</v>
      </c>
    </row>
    <row r="173" spans="5:7">
      <c r="E173" s="867">
        <v>80.5</v>
      </c>
      <c r="F173" s="870">
        <f t="shared" si="4"/>
        <v>26.94</v>
      </c>
      <c r="G173" s="868">
        <f t="shared" si="5"/>
        <v>176.9</v>
      </c>
    </row>
    <row r="174" spans="5:7">
      <c r="E174" s="867">
        <v>81</v>
      </c>
      <c r="F174" s="870">
        <f t="shared" si="4"/>
        <v>27.22</v>
      </c>
      <c r="G174" s="868">
        <f t="shared" si="5"/>
        <v>177.8</v>
      </c>
    </row>
    <row r="175" spans="5:7">
      <c r="E175" s="867">
        <v>81.5</v>
      </c>
      <c r="F175" s="870">
        <f t="shared" si="4"/>
        <v>27.5</v>
      </c>
      <c r="G175" s="868">
        <f t="shared" si="5"/>
        <v>178.7</v>
      </c>
    </row>
    <row r="176" spans="5:7">
      <c r="E176" s="867">
        <v>82</v>
      </c>
      <c r="F176" s="870">
        <f t="shared" si="4"/>
        <v>27.78</v>
      </c>
      <c r="G176" s="868">
        <f t="shared" si="5"/>
        <v>179.6</v>
      </c>
    </row>
    <row r="177" spans="5:7">
      <c r="E177" s="867">
        <v>82.5</v>
      </c>
      <c r="F177" s="870">
        <f t="shared" si="4"/>
        <v>28.06</v>
      </c>
      <c r="G177" s="868">
        <f t="shared" si="5"/>
        <v>180.5</v>
      </c>
    </row>
    <row r="178" spans="5:7">
      <c r="E178" s="867">
        <v>83</v>
      </c>
      <c r="F178" s="870">
        <f t="shared" si="4"/>
        <v>28.33</v>
      </c>
      <c r="G178" s="868">
        <f t="shared" si="5"/>
        <v>181.4</v>
      </c>
    </row>
    <row r="179" spans="5:7">
      <c r="E179" s="867">
        <v>83.5</v>
      </c>
      <c r="F179" s="870">
        <f t="shared" si="4"/>
        <v>28.61</v>
      </c>
      <c r="G179" s="868">
        <f t="shared" si="5"/>
        <v>182.3</v>
      </c>
    </row>
    <row r="180" spans="5:7">
      <c r="E180" s="867">
        <v>84</v>
      </c>
      <c r="F180" s="870">
        <f t="shared" si="4"/>
        <v>28.89</v>
      </c>
      <c r="G180" s="868">
        <f t="shared" si="5"/>
        <v>183.2</v>
      </c>
    </row>
    <row r="181" spans="5:7">
      <c r="E181" s="867">
        <v>84.5</v>
      </c>
      <c r="F181" s="870">
        <f t="shared" si="4"/>
        <v>29.17</v>
      </c>
      <c r="G181" s="868">
        <f t="shared" si="5"/>
        <v>184.1</v>
      </c>
    </row>
    <row r="182" spans="5:7">
      <c r="E182" s="867">
        <v>85</v>
      </c>
      <c r="F182" s="870">
        <f t="shared" si="4"/>
        <v>29.44</v>
      </c>
      <c r="G182" s="868">
        <f t="shared" si="5"/>
        <v>185</v>
      </c>
    </row>
    <row r="183" spans="5:7">
      <c r="E183" s="867">
        <v>85.5</v>
      </c>
      <c r="F183" s="870">
        <f t="shared" si="4"/>
        <v>29.72</v>
      </c>
      <c r="G183" s="868">
        <f t="shared" si="5"/>
        <v>185.9</v>
      </c>
    </row>
    <row r="184" spans="5:7">
      <c r="E184" s="867">
        <v>86</v>
      </c>
      <c r="F184" s="870">
        <f t="shared" si="4"/>
        <v>30</v>
      </c>
      <c r="G184" s="868">
        <f t="shared" si="5"/>
        <v>186.8</v>
      </c>
    </row>
    <row r="185" spans="5:7">
      <c r="E185" s="867">
        <v>86.5</v>
      </c>
      <c r="F185" s="870">
        <f t="shared" si="4"/>
        <v>30.28</v>
      </c>
      <c r="G185" s="868">
        <f t="shared" si="5"/>
        <v>187.7</v>
      </c>
    </row>
    <row r="186" spans="5:7">
      <c r="E186" s="867">
        <v>87</v>
      </c>
      <c r="F186" s="870">
        <f t="shared" si="4"/>
        <v>30.56</v>
      </c>
      <c r="G186" s="868">
        <f t="shared" si="5"/>
        <v>188.6</v>
      </c>
    </row>
    <row r="187" spans="5:7">
      <c r="E187" s="867">
        <v>87.5</v>
      </c>
      <c r="F187" s="870">
        <f t="shared" si="4"/>
        <v>30.83</v>
      </c>
      <c r="G187" s="868">
        <f t="shared" si="5"/>
        <v>189.5</v>
      </c>
    </row>
    <row r="188" spans="5:7">
      <c r="E188" s="867">
        <v>88</v>
      </c>
      <c r="F188" s="870">
        <f t="shared" si="4"/>
        <v>31.11</v>
      </c>
      <c r="G188" s="868">
        <f t="shared" si="5"/>
        <v>190.4</v>
      </c>
    </row>
    <row r="189" spans="5:7">
      <c r="E189" s="867">
        <v>88.5</v>
      </c>
      <c r="F189" s="870">
        <f t="shared" si="4"/>
        <v>31.39</v>
      </c>
      <c r="G189" s="868">
        <f t="shared" si="5"/>
        <v>191.3</v>
      </c>
    </row>
    <row r="190" spans="5:7">
      <c r="E190" s="867">
        <v>89</v>
      </c>
      <c r="F190" s="870">
        <f t="shared" si="4"/>
        <v>31.67</v>
      </c>
      <c r="G190" s="868">
        <f t="shared" si="5"/>
        <v>192.2</v>
      </c>
    </row>
    <row r="191" spans="5:7">
      <c r="E191" s="867">
        <v>89.5</v>
      </c>
      <c r="F191" s="870">
        <f t="shared" si="4"/>
        <v>31.94</v>
      </c>
      <c r="G191" s="868">
        <f t="shared" si="5"/>
        <v>193.1</v>
      </c>
    </row>
    <row r="192" spans="5:7">
      <c r="E192" s="867">
        <v>90</v>
      </c>
      <c r="F192" s="870">
        <f t="shared" si="4"/>
        <v>32.22</v>
      </c>
      <c r="G192" s="868">
        <f t="shared" si="5"/>
        <v>194</v>
      </c>
    </row>
    <row r="193" spans="5:7">
      <c r="E193" s="867">
        <v>90.5</v>
      </c>
      <c r="F193" s="870">
        <f t="shared" si="4"/>
        <v>32.5</v>
      </c>
      <c r="G193" s="868">
        <f t="shared" si="5"/>
        <v>194.9</v>
      </c>
    </row>
    <row r="194" spans="5:7">
      <c r="E194" s="867">
        <v>91</v>
      </c>
      <c r="F194" s="870">
        <f t="shared" si="4"/>
        <v>32.78</v>
      </c>
      <c r="G194" s="868">
        <f t="shared" si="5"/>
        <v>195.8</v>
      </c>
    </row>
    <row r="195" spans="5:7">
      <c r="E195" s="867">
        <v>91.5</v>
      </c>
      <c r="F195" s="870">
        <f t="shared" si="4"/>
        <v>33.06</v>
      </c>
      <c r="G195" s="868">
        <f t="shared" si="5"/>
        <v>196.7</v>
      </c>
    </row>
    <row r="196" spans="5:7">
      <c r="E196" s="867">
        <v>92</v>
      </c>
      <c r="F196" s="870">
        <f t="shared" si="4"/>
        <v>33.33</v>
      </c>
      <c r="G196" s="868">
        <f t="shared" si="5"/>
        <v>197.6</v>
      </c>
    </row>
    <row r="197" spans="5:7">
      <c r="E197" s="867">
        <v>92.5</v>
      </c>
      <c r="F197" s="870">
        <f t="shared" si="4"/>
        <v>33.61</v>
      </c>
      <c r="G197" s="868">
        <f t="shared" si="5"/>
        <v>198.5</v>
      </c>
    </row>
    <row r="198" spans="5:7">
      <c r="E198" s="867">
        <v>93</v>
      </c>
      <c r="F198" s="870">
        <f t="shared" si="4"/>
        <v>33.89</v>
      </c>
      <c r="G198" s="868">
        <f t="shared" si="5"/>
        <v>199.4</v>
      </c>
    </row>
    <row r="199" spans="5:7">
      <c r="E199" s="867">
        <v>93.5</v>
      </c>
      <c r="F199" s="870">
        <f t="shared" si="4"/>
        <v>34.17</v>
      </c>
      <c r="G199" s="868">
        <f t="shared" si="5"/>
        <v>200.3</v>
      </c>
    </row>
    <row r="200" spans="5:7">
      <c r="E200" s="867">
        <v>94</v>
      </c>
      <c r="F200" s="870">
        <f t="shared" si="4"/>
        <v>34.44</v>
      </c>
      <c r="G200" s="868">
        <f t="shared" si="5"/>
        <v>201.2</v>
      </c>
    </row>
    <row r="201" spans="5:7">
      <c r="E201" s="867">
        <v>94.5</v>
      </c>
      <c r="F201" s="870">
        <f t="shared" si="4"/>
        <v>34.72</v>
      </c>
      <c r="G201" s="868">
        <f t="shared" si="5"/>
        <v>202.1</v>
      </c>
    </row>
    <row r="202" spans="5:7">
      <c r="E202" s="867">
        <v>95</v>
      </c>
      <c r="F202" s="870">
        <f t="shared" si="4"/>
        <v>35</v>
      </c>
      <c r="G202" s="868">
        <f t="shared" si="5"/>
        <v>203</v>
      </c>
    </row>
    <row r="203" spans="5:7">
      <c r="E203" s="867">
        <v>95.5</v>
      </c>
      <c r="F203" s="870">
        <f t="shared" si="4"/>
        <v>35.28</v>
      </c>
      <c r="G203" s="868">
        <f t="shared" si="5"/>
        <v>203.9</v>
      </c>
    </row>
    <row r="204" spans="5:7">
      <c r="E204" s="867">
        <v>96</v>
      </c>
      <c r="F204" s="870">
        <f t="shared" si="4"/>
        <v>35.56</v>
      </c>
      <c r="G204" s="868">
        <f t="shared" si="5"/>
        <v>204.8</v>
      </c>
    </row>
    <row r="205" spans="5:7">
      <c r="E205" s="867">
        <v>96.5</v>
      </c>
      <c r="F205" s="870">
        <f t="shared" si="4"/>
        <v>35.83</v>
      </c>
      <c r="G205" s="868">
        <f t="shared" si="5"/>
        <v>205.7</v>
      </c>
    </row>
    <row r="206" spans="5:7">
      <c r="E206" s="867">
        <v>97</v>
      </c>
      <c r="F206" s="870">
        <f t="shared" ref="F206:F269" si="6">ROUND((E206-32)/9*5,2)</f>
        <v>36.11</v>
      </c>
      <c r="G206" s="868">
        <f t="shared" ref="G206:G269" si="7">ROUND((9/5)*E206+32,1)</f>
        <v>206.6</v>
      </c>
    </row>
    <row r="207" spans="5:7">
      <c r="E207" s="867">
        <v>97.5</v>
      </c>
      <c r="F207" s="870">
        <f t="shared" si="6"/>
        <v>36.39</v>
      </c>
      <c r="G207" s="868">
        <f t="shared" si="7"/>
        <v>207.5</v>
      </c>
    </row>
    <row r="208" spans="5:7">
      <c r="E208" s="867">
        <v>98</v>
      </c>
      <c r="F208" s="870">
        <f t="shared" si="6"/>
        <v>36.67</v>
      </c>
      <c r="G208" s="868">
        <f t="shared" si="7"/>
        <v>208.4</v>
      </c>
    </row>
    <row r="209" spans="5:7">
      <c r="E209" s="867">
        <v>98.5</v>
      </c>
      <c r="F209" s="870">
        <f t="shared" si="6"/>
        <v>36.94</v>
      </c>
      <c r="G209" s="868">
        <f t="shared" si="7"/>
        <v>209.3</v>
      </c>
    </row>
    <row r="210" spans="5:7">
      <c r="E210" s="867">
        <v>99</v>
      </c>
      <c r="F210" s="870">
        <f t="shared" si="6"/>
        <v>37.22</v>
      </c>
      <c r="G210" s="868">
        <f t="shared" si="7"/>
        <v>210.2</v>
      </c>
    </row>
    <row r="211" spans="5:7">
      <c r="E211" s="867">
        <v>99.5</v>
      </c>
      <c r="F211" s="870">
        <f t="shared" si="6"/>
        <v>37.5</v>
      </c>
      <c r="G211" s="868">
        <f t="shared" si="7"/>
        <v>211.1</v>
      </c>
    </row>
    <row r="212" spans="5:7">
      <c r="E212" s="867">
        <v>100</v>
      </c>
      <c r="F212" s="870">
        <f t="shared" si="6"/>
        <v>37.78</v>
      </c>
      <c r="G212" s="868">
        <f t="shared" si="7"/>
        <v>212</v>
      </c>
    </row>
    <row r="213" spans="5:7">
      <c r="E213" s="867">
        <v>100.5</v>
      </c>
      <c r="F213" s="870">
        <f t="shared" si="6"/>
        <v>38.06</v>
      </c>
      <c r="G213" s="868">
        <f t="shared" si="7"/>
        <v>212.9</v>
      </c>
    </row>
    <row r="214" spans="5:7">
      <c r="E214" s="867">
        <v>101</v>
      </c>
      <c r="F214" s="870">
        <f t="shared" si="6"/>
        <v>38.33</v>
      </c>
      <c r="G214" s="868">
        <f t="shared" si="7"/>
        <v>213.8</v>
      </c>
    </row>
    <row r="215" spans="5:7">
      <c r="E215" s="867">
        <v>101.5</v>
      </c>
      <c r="F215" s="870">
        <f t="shared" si="6"/>
        <v>38.61</v>
      </c>
      <c r="G215" s="868">
        <f t="shared" si="7"/>
        <v>214.7</v>
      </c>
    </row>
    <row r="216" spans="5:7">
      <c r="E216" s="867">
        <v>102</v>
      </c>
      <c r="F216" s="870">
        <f t="shared" si="6"/>
        <v>38.89</v>
      </c>
      <c r="G216" s="868">
        <f t="shared" si="7"/>
        <v>215.6</v>
      </c>
    </row>
    <row r="217" spans="5:7">
      <c r="E217" s="867">
        <v>102.5</v>
      </c>
      <c r="F217" s="870">
        <f t="shared" si="6"/>
        <v>39.17</v>
      </c>
      <c r="G217" s="868">
        <f t="shared" si="7"/>
        <v>216.5</v>
      </c>
    </row>
    <row r="218" spans="5:7">
      <c r="E218" s="867">
        <v>103</v>
      </c>
      <c r="F218" s="870">
        <f t="shared" si="6"/>
        <v>39.44</v>
      </c>
      <c r="G218" s="868">
        <f t="shared" si="7"/>
        <v>217.4</v>
      </c>
    </row>
    <row r="219" spans="5:7">
      <c r="E219" s="867">
        <v>103.5</v>
      </c>
      <c r="F219" s="870">
        <f t="shared" si="6"/>
        <v>39.72</v>
      </c>
      <c r="G219" s="868">
        <f t="shared" si="7"/>
        <v>218.3</v>
      </c>
    </row>
    <row r="220" spans="5:7">
      <c r="E220" s="867">
        <v>104</v>
      </c>
      <c r="F220" s="870">
        <f t="shared" si="6"/>
        <v>40</v>
      </c>
      <c r="G220" s="868">
        <f t="shared" si="7"/>
        <v>219.2</v>
      </c>
    </row>
    <row r="221" spans="5:7">
      <c r="E221" s="867">
        <v>104.5</v>
      </c>
      <c r="F221" s="870">
        <f t="shared" si="6"/>
        <v>40.28</v>
      </c>
      <c r="G221" s="868">
        <f t="shared" si="7"/>
        <v>220.1</v>
      </c>
    </row>
    <row r="222" spans="5:7">
      <c r="E222" s="867">
        <v>105</v>
      </c>
      <c r="F222" s="870">
        <f t="shared" si="6"/>
        <v>40.56</v>
      </c>
      <c r="G222" s="868">
        <f t="shared" si="7"/>
        <v>221</v>
      </c>
    </row>
    <row r="223" spans="5:7">
      <c r="E223" s="867">
        <v>105.5</v>
      </c>
      <c r="F223" s="870">
        <f t="shared" si="6"/>
        <v>40.83</v>
      </c>
      <c r="G223" s="868">
        <f t="shared" si="7"/>
        <v>221.9</v>
      </c>
    </row>
    <row r="224" spans="5:7">
      <c r="E224" s="867">
        <v>106</v>
      </c>
      <c r="F224" s="870">
        <f t="shared" si="6"/>
        <v>41.11</v>
      </c>
      <c r="G224" s="868">
        <f t="shared" si="7"/>
        <v>222.8</v>
      </c>
    </row>
    <row r="225" spans="5:7">
      <c r="E225" s="867">
        <v>106.5</v>
      </c>
      <c r="F225" s="870">
        <f t="shared" si="6"/>
        <v>41.39</v>
      </c>
      <c r="G225" s="868">
        <f t="shared" si="7"/>
        <v>223.7</v>
      </c>
    </row>
    <row r="226" spans="5:7">
      <c r="E226" s="867">
        <v>107</v>
      </c>
      <c r="F226" s="870">
        <f t="shared" si="6"/>
        <v>41.67</v>
      </c>
      <c r="G226" s="868">
        <f t="shared" si="7"/>
        <v>224.6</v>
      </c>
    </row>
    <row r="227" spans="5:7">
      <c r="E227" s="867">
        <v>107.5</v>
      </c>
      <c r="F227" s="870">
        <f t="shared" si="6"/>
        <v>41.94</v>
      </c>
      <c r="G227" s="868">
        <f t="shared" si="7"/>
        <v>225.5</v>
      </c>
    </row>
    <row r="228" spans="5:7">
      <c r="E228" s="867">
        <v>108</v>
      </c>
      <c r="F228" s="870">
        <f t="shared" si="6"/>
        <v>42.22</v>
      </c>
      <c r="G228" s="868">
        <f t="shared" si="7"/>
        <v>226.4</v>
      </c>
    </row>
    <row r="229" spans="5:7">
      <c r="E229" s="867">
        <v>108.5</v>
      </c>
      <c r="F229" s="870">
        <f t="shared" si="6"/>
        <v>42.5</v>
      </c>
      <c r="G229" s="868">
        <f t="shared" si="7"/>
        <v>227.3</v>
      </c>
    </row>
    <row r="230" spans="5:7">
      <c r="E230" s="867">
        <v>109</v>
      </c>
      <c r="F230" s="870">
        <f t="shared" si="6"/>
        <v>42.78</v>
      </c>
      <c r="G230" s="868">
        <f t="shared" si="7"/>
        <v>228.2</v>
      </c>
    </row>
    <row r="231" spans="5:7">
      <c r="E231" s="867">
        <v>109.5</v>
      </c>
      <c r="F231" s="870">
        <f t="shared" si="6"/>
        <v>43.06</v>
      </c>
      <c r="G231" s="868">
        <f t="shared" si="7"/>
        <v>229.1</v>
      </c>
    </row>
    <row r="232" spans="5:7">
      <c r="E232" s="867">
        <v>110</v>
      </c>
      <c r="F232" s="870">
        <f t="shared" si="6"/>
        <v>43.33</v>
      </c>
      <c r="G232" s="868">
        <f t="shared" si="7"/>
        <v>230</v>
      </c>
    </row>
    <row r="233" spans="5:7">
      <c r="E233" s="867">
        <v>110.5</v>
      </c>
      <c r="F233" s="870">
        <f t="shared" si="6"/>
        <v>43.61</v>
      </c>
      <c r="G233" s="868">
        <f t="shared" si="7"/>
        <v>230.9</v>
      </c>
    </row>
    <row r="234" spans="5:7">
      <c r="E234" s="867">
        <v>111</v>
      </c>
      <c r="F234" s="870">
        <f t="shared" si="6"/>
        <v>43.89</v>
      </c>
      <c r="G234" s="868">
        <f t="shared" si="7"/>
        <v>231.8</v>
      </c>
    </row>
    <row r="235" spans="5:7">
      <c r="E235" s="867">
        <v>111.5</v>
      </c>
      <c r="F235" s="870">
        <f t="shared" si="6"/>
        <v>44.17</v>
      </c>
      <c r="G235" s="868">
        <f t="shared" si="7"/>
        <v>232.7</v>
      </c>
    </row>
    <row r="236" spans="5:7">
      <c r="E236" s="867">
        <v>112</v>
      </c>
      <c r="F236" s="870">
        <f t="shared" si="6"/>
        <v>44.44</v>
      </c>
      <c r="G236" s="868">
        <f t="shared" si="7"/>
        <v>233.6</v>
      </c>
    </row>
    <row r="237" spans="5:7">
      <c r="E237" s="867">
        <v>112.5</v>
      </c>
      <c r="F237" s="870">
        <f t="shared" si="6"/>
        <v>44.72</v>
      </c>
      <c r="G237" s="868">
        <f t="shared" si="7"/>
        <v>234.5</v>
      </c>
    </row>
    <row r="238" spans="5:7">
      <c r="E238" s="867">
        <v>113</v>
      </c>
      <c r="F238" s="870">
        <f t="shared" si="6"/>
        <v>45</v>
      </c>
      <c r="G238" s="868">
        <f t="shared" si="7"/>
        <v>235.4</v>
      </c>
    </row>
    <row r="239" spans="5:7">
      <c r="E239" s="867">
        <v>113.5</v>
      </c>
      <c r="F239" s="870">
        <f t="shared" si="6"/>
        <v>45.28</v>
      </c>
      <c r="G239" s="868">
        <f t="shared" si="7"/>
        <v>236.3</v>
      </c>
    </row>
    <row r="240" spans="5:7">
      <c r="E240" s="867">
        <v>114</v>
      </c>
      <c r="F240" s="870">
        <f t="shared" si="6"/>
        <v>45.56</v>
      </c>
      <c r="G240" s="868">
        <f t="shared" si="7"/>
        <v>237.2</v>
      </c>
    </row>
    <row r="241" spans="5:7">
      <c r="E241" s="867">
        <v>114.5</v>
      </c>
      <c r="F241" s="870">
        <f t="shared" si="6"/>
        <v>45.83</v>
      </c>
      <c r="G241" s="868">
        <f t="shared" si="7"/>
        <v>238.1</v>
      </c>
    </row>
    <row r="242" spans="5:7">
      <c r="E242" s="867">
        <v>115</v>
      </c>
      <c r="F242" s="870">
        <f t="shared" si="6"/>
        <v>46.11</v>
      </c>
      <c r="G242" s="868">
        <f t="shared" si="7"/>
        <v>239</v>
      </c>
    </row>
    <row r="243" spans="5:7">
      <c r="E243" s="867">
        <v>115.5</v>
      </c>
      <c r="F243" s="870">
        <f t="shared" si="6"/>
        <v>46.39</v>
      </c>
      <c r="G243" s="868">
        <f t="shared" si="7"/>
        <v>239.9</v>
      </c>
    </row>
    <row r="244" spans="5:7">
      <c r="E244" s="867">
        <v>116</v>
      </c>
      <c r="F244" s="870">
        <f t="shared" si="6"/>
        <v>46.67</v>
      </c>
      <c r="G244" s="868">
        <f t="shared" si="7"/>
        <v>240.8</v>
      </c>
    </row>
    <row r="245" spans="5:7">
      <c r="E245" s="867">
        <v>116.5</v>
      </c>
      <c r="F245" s="870">
        <f t="shared" si="6"/>
        <v>46.94</v>
      </c>
      <c r="G245" s="868">
        <f t="shared" si="7"/>
        <v>241.7</v>
      </c>
    </row>
    <row r="246" spans="5:7">
      <c r="E246" s="867">
        <v>117</v>
      </c>
      <c r="F246" s="870">
        <f t="shared" si="6"/>
        <v>47.22</v>
      </c>
      <c r="G246" s="868">
        <f t="shared" si="7"/>
        <v>242.6</v>
      </c>
    </row>
    <row r="247" spans="5:7">
      <c r="E247" s="867">
        <v>117.5</v>
      </c>
      <c r="F247" s="870">
        <f t="shared" si="6"/>
        <v>47.5</v>
      </c>
      <c r="G247" s="868">
        <f t="shared" si="7"/>
        <v>243.5</v>
      </c>
    </row>
    <row r="248" spans="5:7">
      <c r="E248" s="867">
        <v>118</v>
      </c>
      <c r="F248" s="870">
        <f t="shared" si="6"/>
        <v>47.78</v>
      </c>
      <c r="G248" s="868">
        <f t="shared" si="7"/>
        <v>244.4</v>
      </c>
    </row>
    <row r="249" spans="5:7">
      <c r="E249" s="867">
        <v>118.5</v>
      </c>
      <c r="F249" s="870">
        <f t="shared" si="6"/>
        <v>48.06</v>
      </c>
      <c r="G249" s="868">
        <f t="shared" si="7"/>
        <v>245.3</v>
      </c>
    </row>
    <row r="250" spans="5:7">
      <c r="E250" s="867">
        <v>119</v>
      </c>
      <c r="F250" s="870">
        <f t="shared" si="6"/>
        <v>48.33</v>
      </c>
      <c r="G250" s="868">
        <f t="shared" si="7"/>
        <v>246.2</v>
      </c>
    </row>
    <row r="251" spans="5:7">
      <c r="E251" s="867">
        <v>119.5</v>
      </c>
      <c r="F251" s="870">
        <f t="shared" si="6"/>
        <v>48.61</v>
      </c>
      <c r="G251" s="868">
        <f t="shared" si="7"/>
        <v>247.1</v>
      </c>
    </row>
    <row r="252" spans="5:7">
      <c r="E252" s="867">
        <v>120</v>
      </c>
      <c r="F252" s="870">
        <f t="shared" si="6"/>
        <v>48.89</v>
      </c>
      <c r="G252" s="868">
        <f t="shared" si="7"/>
        <v>248</v>
      </c>
    </row>
    <row r="253" spans="5:7">
      <c r="E253" s="867">
        <v>120.5</v>
      </c>
      <c r="F253" s="870">
        <f t="shared" si="6"/>
        <v>49.17</v>
      </c>
      <c r="G253" s="868">
        <f t="shared" si="7"/>
        <v>248.9</v>
      </c>
    </row>
    <row r="254" spans="5:7">
      <c r="E254" s="867">
        <v>121</v>
      </c>
      <c r="F254" s="870">
        <f t="shared" si="6"/>
        <v>49.44</v>
      </c>
      <c r="G254" s="868">
        <f t="shared" si="7"/>
        <v>249.8</v>
      </c>
    </row>
    <row r="255" spans="5:7">
      <c r="E255" s="867">
        <v>121.5</v>
      </c>
      <c r="F255" s="870">
        <f t="shared" si="6"/>
        <v>49.72</v>
      </c>
      <c r="G255" s="868">
        <f t="shared" si="7"/>
        <v>250.7</v>
      </c>
    </row>
    <row r="256" spans="5:7">
      <c r="E256" s="867">
        <v>122</v>
      </c>
      <c r="F256" s="870">
        <f t="shared" si="6"/>
        <v>50</v>
      </c>
      <c r="G256" s="868">
        <f t="shared" si="7"/>
        <v>251.6</v>
      </c>
    </row>
    <row r="257" spans="5:7">
      <c r="E257" s="867">
        <v>122.5</v>
      </c>
      <c r="F257" s="870">
        <f t="shared" si="6"/>
        <v>50.28</v>
      </c>
      <c r="G257" s="868">
        <f t="shared" si="7"/>
        <v>252.5</v>
      </c>
    </row>
    <row r="258" spans="5:7">
      <c r="E258" s="867">
        <v>123</v>
      </c>
      <c r="F258" s="870">
        <f t="shared" si="6"/>
        <v>50.56</v>
      </c>
      <c r="G258" s="868">
        <f t="shared" si="7"/>
        <v>253.4</v>
      </c>
    </row>
    <row r="259" spans="5:7">
      <c r="E259" s="867">
        <v>123.5</v>
      </c>
      <c r="F259" s="870">
        <f t="shared" si="6"/>
        <v>50.83</v>
      </c>
      <c r="G259" s="868">
        <f t="shared" si="7"/>
        <v>254.3</v>
      </c>
    </row>
    <row r="260" spans="5:7">
      <c r="E260" s="867">
        <v>124</v>
      </c>
      <c r="F260" s="870">
        <f t="shared" si="6"/>
        <v>51.11</v>
      </c>
      <c r="G260" s="868">
        <f t="shared" si="7"/>
        <v>255.2</v>
      </c>
    </row>
    <row r="261" spans="5:7">
      <c r="E261" s="867">
        <v>124.5</v>
      </c>
      <c r="F261" s="870">
        <f t="shared" si="6"/>
        <v>51.39</v>
      </c>
      <c r="G261" s="868">
        <f t="shared" si="7"/>
        <v>256.10000000000002</v>
      </c>
    </row>
    <row r="262" spans="5:7">
      <c r="E262" s="867">
        <v>125</v>
      </c>
      <c r="F262" s="870">
        <f t="shared" si="6"/>
        <v>51.67</v>
      </c>
      <c r="G262" s="868">
        <f t="shared" si="7"/>
        <v>257</v>
      </c>
    </row>
    <row r="263" spans="5:7">
      <c r="E263" s="867">
        <v>125.5</v>
      </c>
      <c r="F263" s="870">
        <f t="shared" si="6"/>
        <v>51.94</v>
      </c>
      <c r="G263" s="868">
        <f t="shared" si="7"/>
        <v>257.89999999999998</v>
      </c>
    </row>
    <row r="264" spans="5:7">
      <c r="E264" s="867">
        <v>126</v>
      </c>
      <c r="F264" s="870">
        <f t="shared" si="6"/>
        <v>52.22</v>
      </c>
      <c r="G264" s="868">
        <f t="shared" si="7"/>
        <v>258.8</v>
      </c>
    </row>
    <row r="265" spans="5:7">
      <c r="E265" s="867">
        <v>126.5</v>
      </c>
      <c r="F265" s="870">
        <f t="shared" si="6"/>
        <v>52.5</v>
      </c>
      <c r="G265" s="868">
        <f t="shared" si="7"/>
        <v>259.7</v>
      </c>
    </row>
    <row r="266" spans="5:7">
      <c r="E266" s="867">
        <v>127</v>
      </c>
      <c r="F266" s="870">
        <f t="shared" si="6"/>
        <v>52.78</v>
      </c>
      <c r="G266" s="868">
        <f t="shared" si="7"/>
        <v>260.60000000000002</v>
      </c>
    </row>
    <row r="267" spans="5:7">
      <c r="E267" s="867">
        <v>127.5</v>
      </c>
      <c r="F267" s="870">
        <f t="shared" si="6"/>
        <v>53.06</v>
      </c>
      <c r="G267" s="868">
        <f t="shared" si="7"/>
        <v>261.5</v>
      </c>
    </row>
    <row r="268" spans="5:7">
      <c r="E268" s="867">
        <v>128</v>
      </c>
      <c r="F268" s="870">
        <f t="shared" si="6"/>
        <v>53.33</v>
      </c>
      <c r="G268" s="868">
        <f t="shared" si="7"/>
        <v>262.39999999999998</v>
      </c>
    </row>
    <row r="269" spans="5:7">
      <c r="E269" s="867">
        <v>128.5</v>
      </c>
      <c r="F269" s="870">
        <f t="shared" si="6"/>
        <v>53.61</v>
      </c>
      <c r="G269" s="868">
        <f t="shared" si="7"/>
        <v>263.3</v>
      </c>
    </row>
    <row r="270" spans="5:7">
      <c r="E270" s="867">
        <v>129</v>
      </c>
      <c r="F270" s="870">
        <f t="shared" ref="F270:F312" si="8">ROUND((E270-32)/9*5,2)</f>
        <v>53.89</v>
      </c>
      <c r="G270" s="868">
        <f t="shared" ref="G270:G312" si="9">ROUND((9/5)*E270+32,1)</f>
        <v>264.2</v>
      </c>
    </row>
    <row r="271" spans="5:7">
      <c r="E271" s="867">
        <v>129.5</v>
      </c>
      <c r="F271" s="870">
        <f t="shared" si="8"/>
        <v>54.17</v>
      </c>
      <c r="G271" s="868">
        <f t="shared" si="9"/>
        <v>265.10000000000002</v>
      </c>
    </row>
    <row r="272" spans="5:7">
      <c r="E272" s="867">
        <v>130</v>
      </c>
      <c r="F272" s="870">
        <f t="shared" si="8"/>
        <v>54.44</v>
      </c>
      <c r="G272" s="868">
        <f t="shared" si="9"/>
        <v>266</v>
      </c>
    </row>
    <row r="273" spans="5:7">
      <c r="E273" s="867">
        <v>130.5</v>
      </c>
      <c r="F273" s="870">
        <f t="shared" si="8"/>
        <v>54.72</v>
      </c>
      <c r="G273" s="868">
        <f t="shared" si="9"/>
        <v>266.89999999999998</v>
      </c>
    </row>
    <row r="274" spans="5:7">
      <c r="E274" s="867">
        <v>131</v>
      </c>
      <c r="F274" s="870">
        <f t="shared" si="8"/>
        <v>55</v>
      </c>
      <c r="G274" s="868">
        <f t="shared" si="9"/>
        <v>267.8</v>
      </c>
    </row>
    <row r="275" spans="5:7">
      <c r="E275" s="867">
        <v>131.5</v>
      </c>
      <c r="F275" s="870">
        <f t="shared" si="8"/>
        <v>55.28</v>
      </c>
      <c r="G275" s="868">
        <f t="shared" si="9"/>
        <v>268.7</v>
      </c>
    </row>
    <row r="276" spans="5:7">
      <c r="E276" s="867">
        <v>132</v>
      </c>
      <c r="F276" s="870">
        <f t="shared" si="8"/>
        <v>55.56</v>
      </c>
      <c r="G276" s="868">
        <f t="shared" si="9"/>
        <v>269.60000000000002</v>
      </c>
    </row>
    <row r="277" spans="5:7">
      <c r="E277" s="867">
        <v>132.5</v>
      </c>
      <c r="F277" s="870">
        <f t="shared" si="8"/>
        <v>55.83</v>
      </c>
      <c r="G277" s="868">
        <f t="shared" si="9"/>
        <v>270.5</v>
      </c>
    </row>
    <row r="278" spans="5:7">
      <c r="E278" s="867">
        <v>133</v>
      </c>
      <c r="F278" s="870">
        <f t="shared" si="8"/>
        <v>56.11</v>
      </c>
      <c r="G278" s="868">
        <f t="shared" si="9"/>
        <v>271.39999999999998</v>
      </c>
    </row>
    <row r="279" spans="5:7">
      <c r="E279" s="867">
        <v>133.5</v>
      </c>
      <c r="F279" s="870">
        <f t="shared" si="8"/>
        <v>56.39</v>
      </c>
      <c r="G279" s="868">
        <f t="shared" si="9"/>
        <v>272.3</v>
      </c>
    </row>
    <row r="280" spans="5:7">
      <c r="E280" s="867">
        <v>134</v>
      </c>
      <c r="F280" s="870">
        <f t="shared" si="8"/>
        <v>56.67</v>
      </c>
      <c r="G280" s="868">
        <f t="shared" si="9"/>
        <v>273.2</v>
      </c>
    </row>
    <row r="281" spans="5:7">
      <c r="E281" s="867">
        <v>134.5</v>
      </c>
      <c r="F281" s="870">
        <f t="shared" si="8"/>
        <v>56.94</v>
      </c>
      <c r="G281" s="868">
        <f t="shared" si="9"/>
        <v>274.10000000000002</v>
      </c>
    </row>
    <row r="282" spans="5:7">
      <c r="E282" s="867">
        <v>135</v>
      </c>
      <c r="F282" s="870">
        <f t="shared" si="8"/>
        <v>57.22</v>
      </c>
      <c r="G282" s="868">
        <f t="shared" si="9"/>
        <v>275</v>
      </c>
    </row>
    <row r="283" spans="5:7">
      <c r="E283" s="867">
        <v>135.5</v>
      </c>
      <c r="F283" s="870">
        <f t="shared" si="8"/>
        <v>57.5</v>
      </c>
      <c r="G283" s="868">
        <f t="shared" si="9"/>
        <v>275.89999999999998</v>
      </c>
    </row>
    <row r="284" spans="5:7">
      <c r="E284" s="867">
        <v>136</v>
      </c>
      <c r="F284" s="870">
        <f t="shared" si="8"/>
        <v>57.78</v>
      </c>
      <c r="G284" s="868">
        <f t="shared" si="9"/>
        <v>276.8</v>
      </c>
    </row>
    <row r="285" spans="5:7">
      <c r="E285" s="867">
        <v>136.5</v>
      </c>
      <c r="F285" s="870">
        <f t="shared" si="8"/>
        <v>58.06</v>
      </c>
      <c r="G285" s="868">
        <f t="shared" si="9"/>
        <v>277.7</v>
      </c>
    </row>
    <row r="286" spans="5:7">
      <c r="E286" s="867">
        <v>137</v>
      </c>
      <c r="F286" s="870">
        <f t="shared" si="8"/>
        <v>58.33</v>
      </c>
      <c r="G286" s="868">
        <f t="shared" si="9"/>
        <v>278.60000000000002</v>
      </c>
    </row>
    <row r="287" spans="5:7">
      <c r="E287" s="867">
        <v>137.5</v>
      </c>
      <c r="F287" s="870">
        <f t="shared" si="8"/>
        <v>58.61</v>
      </c>
      <c r="G287" s="868">
        <f t="shared" si="9"/>
        <v>279.5</v>
      </c>
    </row>
    <row r="288" spans="5:7">
      <c r="E288" s="867">
        <v>138</v>
      </c>
      <c r="F288" s="870">
        <f t="shared" si="8"/>
        <v>58.89</v>
      </c>
      <c r="G288" s="868">
        <f t="shared" si="9"/>
        <v>280.39999999999998</v>
      </c>
    </row>
    <row r="289" spans="5:7">
      <c r="E289" s="867">
        <v>138.5</v>
      </c>
      <c r="F289" s="870">
        <f t="shared" si="8"/>
        <v>59.17</v>
      </c>
      <c r="G289" s="868">
        <f t="shared" si="9"/>
        <v>281.3</v>
      </c>
    </row>
    <row r="290" spans="5:7">
      <c r="E290" s="867">
        <v>139</v>
      </c>
      <c r="F290" s="870">
        <f t="shared" si="8"/>
        <v>59.44</v>
      </c>
      <c r="G290" s="868">
        <f t="shared" si="9"/>
        <v>282.2</v>
      </c>
    </row>
    <row r="291" spans="5:7">
      <c r="E291" s="867">
        <v>139.5</v>
      </c>
      <c r="F291" s="870">
        <f t="shared" si="8"/>
        <v>59.72</v>
      </c>
      <c r="G291" s="868">
        <f t="shared" si="9"/>
        <v>283.10000000000002</v>
      </c>
    </row>
    <row r="292" spans="5:7">
      <c r="E292" s="867">
        <v>140</v>
      </c>
      <c r="F292" s="870">
        <f t="shared" si="8"/>
        <v>60</v>
      </c>
      <c r="G292" s="868">
        <f t="shared" si="9"/>
        <v>284</v>
      </c>
    </row>
    <row r="293" spans="5:7">
      <c r="E293" s="867">
        <v>140.5</v>
      </c>
      <c r="F293" s="870">
        <f t="shared" si="8"/>
        <v>60.28</v>
      </c>
      <c r="G293" s="868">
        <f t="shared" si="9"/>
        <v>284.89999999999998</v>
      </c>
    </row>
    <row r="294" spans="5:7">
      <c r="E294" s="867">
        <v>141</v>
      </c>
      <c r="F294" s="870">
        <f t="shared" si="8"/>
        <v>60.56</v>
      </c>
      <c r="G294" s="868">
        <f t="shared" si="9"/>
        <v>285.8</v>
      </c>
    </row>
    <row r="295" spans="5:7">
      <c r="E295" s="867">
        <v>141.5</v>
      </c>
      <c r="F295" s="870">
        <f t="shared" si="8"/>
        <v>60.83</v>
      </c>
      <c r="G295" s="868">
        <f t="shared" si="9"/>
        <v>286.7</v>
      </c>
    </row>
    <row r="296" spans="5:7">
      <c r="E296" s="867">
        <v>142</v>
      </c>
      <c r="F296" s="870">
        <f t="shared" si="8"/>
        <v>61.11</v>
      </c>
      <c r="G296" s="868">
        <f t="shared" si="9"/>
        <v>287.60000000000002</v>
      </c>
    </row>
    <row r="297" spans="5:7">
      <c r="E297" s="867">
        <v>142.5</v>
      </c>
      <c r="F297" s="870">
        <f t="shared" si="8"/>
        <v>61.39</v>
      </c>
      <c r="G297" s="868">
        <f t="shared" si="9"/>
        <v>288.5</v>
      </c>
    </row>
    <row r="298" spans="5:7">
      <c r="E298" s="867">
        <v>143</v>
      </c>
      <c r="F298" s="870">
        <f t="shared" si="8"/>
        <v>61.67</v>
      </c>
      <c r="G298" s="868">
        <f t="shared" si="9"/>
        <v>289.39999999999998</v>
      </c>
    </row>
    <row r="299" spans="5:7">
      <c r="E299" s="867">
        <v>143.5</v>
      </c>
      <c r="F299" s="870">
        <f t="shared" si="8"/>
        <v>61.94</v>
      </c>
      <c r="G299" s="868">
        <f t="shared" si="9"/>
        <v>290.3</v>
      </c>
    </row>
    <row r="300" spans="5:7">
      <c r="E300" s="867">
        <v>144</v>
      </c>
      <c r="F300" s="870">
        <f t="shared" si="8"/>
        <v>62.22</v>
      </c>
      <c r="G300" s="868">
        <f t="shared" si="9"/>
        <v>291.2</v>
      </c>
    </row>
    <row r="301" spans="5:7">
      <c r="E301" s="867">
        <v>144.5</v>
      </c>
      <c r="F301" s="870">
        <f t="shared" si="8"/>
        <v>62.5</v>
      </c>
      <c r="G301" s="868">
        <f t="shared" si="9"/>
        <v>292.10000000000002</v>
      </c>
    </row>
    <row r="302" spans="5:7">
      <c r="E302" s="867">
        <v>145</v>
      </c>
      <c r="F302" s="870">
        <f t="shared" si="8"/>
        <v>62.78</v>
      </c>
      <c r="G302" s="868">
        <f t="shared" si="9"/>
        <v>293</v>
      </c>
    </row>
    <row r="303" spans="5:7">
      <c r="E303" s="867">
        <v>145.5</v>
      </c>
      <c r="F303" s="870">
        <f t="shared" si="8"/>
        <v>63.06</v>
      </c>
      <c r="G303" s="868">
        <f t="shared" si="9"/>
        <v>293.89999999999998</v>
      </c>
    </row>
    <row r="304" spans="5:7">
      <c r="E304" s="867">
        <v>146</v>
      </c>
      <c r="F304" s="870">
        <f t="shared" si="8"/>
        <v>63.33</v>
      </c>
      <c r="G304" s="868">
        <f t="shared" si="9"/>
        <v>294.8</v>
      </c>
    </row>
    <row r="305" spans="5:7">
      <c r="E305" s="867">
        <v>146.5</v>
      </c>
      <c r="F305" s="870">
        <f t="shared" si="8"/>
        <v>63.61</v>
      </c>
      <c r="G305" s="868">
        <f t="shared" si="9"/>
        <v>295.7</v>
      </c>
    </row>
    <row r="306" spans="5:7">
      <c r="E306" s="867">
        <v>147</v>
      </c>
      <c r="F306" s="870">
        <f t="shared" si="8"/>
        <v>63.89</v>
      </c>
      <c r="G306" s="868">
        <f t="shared" si="9"/>
        <v>296.60000000000002</v>
      </c>
    </row>
    <row r="307" spans="5:7">
      <c r="E307" s="867">
        <v>147.5</v>
      </c>
      <c r="F307" s="870">
        <f t="shared" si="8"/>
        <v>64.17</v>
      </c>
      <c r="G307" s="868">
        <f t="shared" si="9"/>
        <v>297.5</v>
      </c>
    </row>
    <row r="308" spans="5:7">
      <c r="E308" s="867">
        <v>148</v>
      </c>
      <c r="F308" s="870">
        <f t="shared" si="8"/>
        <v>64.44</v>
      </c>
      <c r="G308" s="868">
        <f t="shared" si="9"/>
        <v>298.39999999999998</v>
      </c>
    </row>
    <row r="309" spans="5:7">
      <c r="E309" s="867">
        <v>148.5</v>
      </c>
      <c r="F309" s="870">
        <f t="shared" si="8"/>
        <v>64.72</v>
      </c>
      <c r="G309" s="868">
        <f t="shared" si="9"/>
        <v>299.3</v>
      </c>
    </row>
    <row r="310" spans="5:7">
      <c r="E310" s="867">
        <v>149</v>
      </c>
      <c r="F310" s="870">
        <f t="shared" si="8"/>
        <v>65</v>
      </c>
      <c r="G310" s="868">
        <f t="shared" si="9"/>
        <v>300.2</v>
      </c>
    </row>
    <row r="311" spans="5:7">
      <c r="E311" s="867">
        <v>149.5</v>
      </c>
      <c r="F311" s="870">
        <f t="shared" si="8"/>
        <v>65.28</v>
      </c>
      <c r="G311" s="868">
        <f t="shared" si="9"/>
        <v>301.10000000000002</v>
      </c>
    </row>
    <row r="312" spans="5:7">
      <c r="E312" s="867">
        <v>150</v>
      </c>
      <c r="F312" s="870">
        <f t="shared" si="8"/>
        <v>65.56</v>
      </c>
      <c r="G312" s="868">
        <f t="shared" si="9"/>
        <v>302</v>
      </c>
    </row>
  </sheetData>
  <mergeCells count="3">
    <mergeCell ref="B2:B3"/>
    <mergeCell ref="D4:I4"/>
    <mergeCell ref="D5:I5"/>
  </mergeCells>
  <hyperlinks>
    <hyperlink ref="B2:B3" location="Home!A1" display="HOME" xr:uid="{A30344D0-3292-450D-B072-01A275EC941F}"/>
    <hyperlink ref="B5" location="'Documents Manager'!A1" display="DOCUMENTS MANAGER" xr:uid="{D1BC73A3-A5F0-440C-819F-F86A17AEA9B0}"/>
    <hyperlink ref="B23" location="Disclaimer!A1" display="Disclaimer" xr:uid="{70B8958E-C849-42CF-B5F8-B4E2946400DB}"/>
    <hyperlink ref="B22" location="Help!A1" display="Help" xr:uid="{F804980E-87A9-4614-84B1-0F85722D6D01}"/>
    <hyperlink ref="B20" location="'Source - Links'!A1" display="SOURCE / LINKS" xr:uid="{431BA337-B573-4250-9FFE-A937C74C6D81}"/>
    <hyperlink ref="B11" location="'ASTM Converter (API)'!A1" display="• Entry with API Gravity" xr:uid="{88F1206E-C341-462A-BB56-228ADA3DC5D3}"/>
    <hyperlink ref="B12" location="'ASTM Converter (R.Density)'!A1" display="• Entry with Relative Density" xr:uid="{98E17837-F7AC-4FD2-9CDB-C2283C5A7689}"/>
    <hyperlink ref="B13" location="'ASTM Converter (Density)'!A1" display="• Entry with Density" xr:uid="{15F5E614-0F44-4C29-A165-C057B41FD9E4}"/>
    <hyperlink ref="B7" location="'ASTM Converter (Tab.1)'!A1" display="ASTM - CONVERTERS" xr:uid="{62EC7E65-9DC8-4629-8039-1C951552685E}"/>
    <hyperlink ref="B8" location="'ASTM Converter (Tab.1)'!A1" display="• Converter - Table 1 (Volume XI)" xr:uid="{BB081499-000F-424A-808E-893E92EEA9A5}"/>
    <hyperlink ref="B9" location="'ASTM Converter (Tab.2)'!A1" display="• Converter - Table 2 (Volume XI)" xr:uid="{CD7B133D-280F-4141-8CD2-D28DD4C72293}"/>
    <hyperlink ref="B10" location="'ASTM Converter API-RD-SG-Dens.'!A1" display="• Conventer API-RD-SG-Density" xr:uid="{21AB2F62-ADD2-416C-BD45-EE03BC879F86}"/>
    <hyperlink ref="B14" location="'ASTM Converter for Crude Oil'!A1" display="• Converter - Tables for Crude Oil" xr:uid="{B49F30EC-76D5-415D-8A5E-D64584E98167}"/>
    <hyperlink ref="B6" location="'ASTM Table Series'!A1" display="ASTM TABLES" xr:uid="{E874A1B4-A084-4665-96B7-95B5995E552F}"/>
    <hyperlink ref="B15" location="'ASTM Calculator V.W.'!A1" display="ASTM - CALCULATORS" xr:uid="{7E0B38F2-4EF7-400C-971D-54CE393671CF}"/>
    <hyperlink ref="B16" location="'Initial&amp;Max. Loading Rate'!A1" display="CARGO - CALCULATORS" xr:uid="{069488EF-C96B-44B2-B242-D19D8CDACBE9}"/>
    <hyperlink ref="B18" location="'Guidelines - Definitions'!A1" display="GUIDELINES" xr:uid="{F88DF07D-C7C1-4736-9423-AAF197BAC1DF}"/>
    <hyperlink ref="B19" location="'Guidelines - Bottom Lines'!A1" display="GUIDELINES - CARGO" xr:uid="{DDC7853F-CA1F-4BAB-B91F-FED6F73564D2}"/>
  </hyperlinks>
  <printOptions headings="1"/>
  <pageMargins left="0.75" right="0.75" top="1" bottom="1" header="0.5" footer="0.5"/>
  <pageSetup paperSize="9" scale="71" orientation="portrait" blackAndWhite="1" horizontalDpi="4294967294"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B18A-B787-49D6-A322-D5DF6C488CB2}">
  <sheetPr>
    <tabColor rgb="FF008080"/>
  </sheetPr>
  <dimension ref="A1:Y186"/>
  <sheetViews>
    <sheetView showGridLines="0" showRowColHeaders="0" topLeftCell="B1" workbookViewId="0">
      <selection activeCell="B11" sqref="B11"/>
    </sheetView>
  </sheetViews>
  <sheetFormatPr defaultColWidth="9.1328125" defaultRowHeight="12.75"/>
  <cols>
    <col min="1" max="1" width="0" hidden="1" customWidth="1"/>
    <col min="2" max="2" width="36.6640625" style="11" customWidth="1"/>
    <col min="3" max="3" width="2.6640625" style="5" customWidth="1"/>
    <col min="4" max="4" width="9.1328125" style="5" customWidth="1"/>
    <col min="5" max="5" width="26.53125" style="5" customWidth="1"/>
    <col min="6" max="6" width="16.6640625" style="5" customWidth="1"/>
    <col min="7" max="7" width="11.6640625" style="5" customWidth="1"/>
    <col min="8" max="8" width="28.6640625" style="5" customWidth="1"/>
    <col min="9" max="9" width="2.6640625" style="5" customWidth="1"/>
    <col min="10" max="14" width="9.1328125" style="5"/>
    <col min="15" max="15" width="9.1328125" style="5" customWidth="1"/>
    <col min="16" max="16" width="9.1328125" style="5"/>
    <col min="17" max="17" width="9.1328125" style="5" customWidth="1"/>
    <col min="18" max="16384" width="9.1328125" style="5"/>
  </cols>
  <sheetData>
    <row r="1" spans="1:25" ht="12.75" customHeight="1">
      <c r="A1" s="1"/>
      <c r="B1" s="63"/>
      <c r="C1" s="2"/>
      <c r="D1" s="3"/>
      <c r="E1" s="4"/>
      <c r="F1" s="4"/>
      <c r="O1" s="3"/>
      <c r="Q1" s="6"/>
    </row>
    <row r="2" spans="1:25" s="247" customFormat="1" ht="21" customHeight="1">
      <c r="A2" s="1"/>
      <c r="B2" s="3187" t="s">
        <v>0</v>
      </c>
      <c r="C2" s="2"/>
      <c r="D2" s="332" t="s">
        <v>538</v>
      </c>
      <c r="E2" s="245"/>
      <c r="F2" s="245"/>
      <c r="G2" s="333"/>
      <c r="H2" s="333"/>
      <c r="I2" s="333"/>
      <c r="J2" s="333"/>
      <c r="M2" s="246"/>
      <c r="N2" s="246"/>
      <c r="O2" s="334"/>
      <c r="P2" s="246"/>
      <c r="Q2" s="246"/>
      <c r="R2" s="246"/>
      <c r="S2" s="246"/>
      <c r="T2" s="246"/>
      <c r="U2" s="246"/>
      <c r="V2" s="246"/>
      <c r="W2" s="246"/>
      <c r="X2" s="246"/>
      <c r="Y2" s="246"/>
    </row>
    <row r="3" spans="1:25" ht="21" customHeight="1">
      <c r="A3" s="1"/>
      <c r="B3" s="3187"/>
      <c r="C3" s="2"/>
      <c r="E3" s="342"/>
      <c r="Q3" s="6"/>
    </row>
    <row r="4" spans="1:25" ht="21" customHeight="1">
      <c r="A4" s="1"/>
      <c r="B4" s="63"/>
      <c r="C4" s="2"/>
      <c r="D4" s="3198" t="s">
        <v>511</v>
      </c>
      <c r="E4" s="3199"/>
      <c r="F4" s="3199"/>
      <c r="G4" s="3199"/>
      <c r="H4" s="3199"/>
      <c r="I4" s="3199"/>
      <c r="J4" s="3200"/>
      <c r="O4" s="7"/>
      <c r="Q4" s="6"/>
    </row>
    <row r="5" spans="1:25" ht="21" customHeight="1">
      <c r="A5" s="1"/>
      <c r="B5" s="62" t="s">
        <v>1</v>
      </c>
      <c r="D5" s="658"/>
      <c r="E5" s="659"/>
      <c r="F5" s="626"/>
      <c r="G5" s="627"/>
      <c r="H5" s="627"/>
      <c r="I5" s="627"/>
      <c r="J5" s="663"/>
      <c r="O5" s="241"/>
      <c r="Q5" s="6"/>
    </row>
    <row r="6" spans="1:25" ht="21" customHeight="1">
      <c r="A6" s="1"/>
      <c r="B6" s="397" t="s">
        <v>452</v>
      </c>
      <c r="D6" s="622"/>
      <c r="E6" s="287" t="s">
        <v>147</v>
      </c>
      <c r="F6" s="3201" t="s">
        <v>513</v>
      </c>
      <c r="G6" s="3202"/>
      <c r="H6" s="3203"/>
      <c r="I6" s="514"/>
      <c r="J6" s="396"/>
      <c r="O6" s="241"/>
      <c r="Q6" s="6"/>
    </row>
    <row r="7" spans="1:25" ht="21" customHeight="1">
      <c r="A7" s="1"/>
      <c r="B7" s="146" t="s">
        <v>239</v>
      </c>
      <c r="D7" s="622"/>
      <c r="E7" s="660"/>
      <c r="F7" s="660"/>
      <c r="G7" s="660"/>
      <c r="H7" s="660"/>
      <c r="I7" s="660"/>
      <c r="J7" s="396"/>
      <c r="O7" s="241"/>
      <c r="Q7" s="6"/>
    </row>
    <row r="8" spans="1:25" ht="21" customHeight="1">
      <c r="A8" s="1"/>
      <c r="B8" s="145" t="s">
        <v>448</v>
      </c>
      <c r="D8" s="622"/>
      <c r="E8" s="660" t="str">
        <f>CONCATENATE(VLOOKUP('Calc ASTM'!C7,'Calc ASTM'!C8:F21,4)," : ")</f>
        <v xml:space="preserve">API : </v>
      </c>
      <c r="F8" s="986">
        <v>21</v>
      </c>
      <c r="G8" s="628" t="str">
        <f>CONCATENATE(VLOOKUP('Calc ASTM'!C7,'Calc ASTM'!C8:M21,COLUMNS('Calc ASTM'!C7:G7))," = ",VLOOKUP('Calc ASTM'!C7,'Calc ASTM'!C8:M21,COLUMNS('Calc ASTM'!C7:I7)),VLOOKUP('Calc ASTM'!C7,'Calc ASTM'!C8:M21,COLUMNS('Calc ASTM'!C7:K7)))</f>
        <v>Rel.Density = 0,9279</v>
      </c>
      <c r="H8" s="628"/>
      <c r="I8" s="628"/>
      <c r="J8" s="396"/>
      <c r="O8" s="241"/>
      <c r="Q8" s="6"/>
    </row>
    <row r="9" spans="1:25" ht="21" customHeight="1">
      <c r="A9" s="1"/>
      <c r="B9" s="145" t="s">
        <v>559</v>
      </c>
      <c r="D9" s="622"/>
      <c r="E9" s="514"/>
      <c r="F9" s="987" t="s">
        <v>542</v>
      </c>
      <c r="G9" s="987"/>
      <c r="H9" s="987"/>
      <c r="I9" s="987"/>
      <c r="J9" s="396"/>
      <c r="O9" s="241"/>
      <c r="Q9" s="6"/>
    </row>
    <row r="10" spans="1:25" ht="21" customHeight="1">
      <c r="A10" s="1"/>
      <c r="B10" s="147" t="s">
        <v>509</v>
      </c>
      <c r="D10" s="597"/>
      <c r="F10" s="641" t="s">
        <v>525</v>
      </c>
      <c r="J10" s="396"/>
      <c r="O10" s="241"/>
    </row>
    <row r="11" spans="1:25" ht="21" customHeight="1">
      <c r="A11" s="1"/>
      <c r="B11" s="145" t="s">
        <v>539</v>
      </c>
      <c r="D11" s="597"/>
      <c r="J11" s="396"/>
      <c r="O11" s="241"/>
    </row>
    <row r="12" spans="1:25" ht="21" customHeight="1">
      <c r="A12" s="1"/>
      <c r="B12" s="145" t="s">
        <v>540</v>
      </c>
      <c r="D12" s="597"/>
      <c r="J12" s="396"/>
      <c r="O12" s="241"/>
    </row>
    <row r="13" spans="1:25" ht="21" customHeight="1">
      <c r="A13" s="1"/>
      <c r="B13" s="145" t="s">
        <v>541</v>
      </c>
      <c r="C13" s="2"/>
      <c r="D13" s="597"/>
      <c r="J13" s="396"/>
      <c r="O13" s="241"/>
    </row>
    <row r="14" spans="1:25" ht="21" customHeight="1">
      <c r="A14" s="1"/>
      <c r="B14" s="145" t="s">
        <v>1037</v>
      </c>
      <c r="C14" s="2"/>
      <c r="D14" s="597"/>
      <c r="J14" s="396"/>
    </row>
    <row r="15" spans="1:25" ht="21" customHeight="1">
      <c r="A15" s="1"/>
      <c r="B15" s="62" t="s">
        <v>1263</v>
      </c>
      <c r="C15" s="2"/>
      <c r="D15" s="597"/>
      <c r="J15" s="396"/>
    </row>
    <row r="16" spans="1:25" ht="21" customHeight="1">
      <c r="A16" s="1"/>
      <c r="B16" s="62" t="s">
        <v>557</v>
      </c>
      <c r="C16" s="2"/>
      <c r="D16" s="597"/>
      <c r="J16" s="396"/>
    </row>
    <row r="17" spans="1:15" ht="21" customHeight="1">
      <c r="A17" s="1"/>
      <c r="B17" s="62" t="s">
        <v>238</v>
      </c>
      <c r="C17" s="2"/>
      <c r="D17" s="597"/>
      <c r="J17" s="396"/>
    </row>
    <row r="18" spans="1:15" ht="21" customHeight="1">
      <c r="A18" s="1"/>
      <c r="B18" s="62" t="s">
        <v>1652</v>
      </c>
      <c r="C18" s="2"/>
      <c r="D18" s="598"/>
      <c r="E18" s="463"/>
      <c r="F18" s="463"/>
      <c r="G18" s="463"/>
      <c r="H18" s="463"/>
      <c r="I18" s="463"/>
      <c r="J18" s="462"/>
    </row>
    <row r="19" spans="1:15" ht="21" customHeight="1">
      <c r="A19" s="1"/>
      <c r="B19" s="62" t="s">
        <v>1653</v>
      </c>
      <c r="C19" s="2"/>
      <c r="O19" s="242"/>
    </row>
    <row r="20" spans="1:15" ht="21" customHeight="1">
      <c r="A20" s="1"/>
      <c r="B20" s="62" t="s">
        <v>40</v>
      </c>
      <c r="C20" s="2"/>
    </row>
    <row r="21" spans="1:15" ht="21" customHeight="1">
      <c r="A21" s="1"/>
      <c r="B21" s="62" t="s">
        <v>238</v>
      </c>
      <c r="C21" s="2"/>
    </row>
    <row r="22" spans="1:15" ht="21" customHeight="1">
      <c r="A22" s="1"/>
      <c r="B22" s="62" t="s">
        <v>39</v>
      </c>
      <c r="C22" s="2"/>
      <c r="O22" s="9"/>
    </row>
    <row r="23" spans="1:15" ht="21" customHeight="1">
      <c r="A23" s="1"/>
      <c r="B23" s="62" t="s">
        <v>38</v>
      </c>
      <c r="C23" s="2"/>
    </row>
    <row r="24" spans="1:15" ht="21" customHeight="1">
      <c r="A24" s="1"/>
      <c r="B24" s="62"/>
      <c r="C24" s="2"/>
    </row>
    <row r="25" spans="1:15" ht="21" customHeight="1">
      <c r="A25" s="1"/>
      <c r="B25" s="565"/>
      <c r="C25" s="2"/>
    </row>
    <row r="26" spans="1:15" ht="21" customHeight="1">
      <c r="A26" s="1"/>
      <c r="B26" s="63"/>
      <c r="C26" s="2"/>
    </row>
    <row r="27" spans="1:15" ht="21" customHeight="1">
      <c r="A27" s="1"/>
      <c r="B27" s="63"/>
      <c r="C27" s="2"/>
    </row>
    <row r="28" spans="1:15" ht="21" customHeight="1">
      <c r="A28" s="1"/>
      <c r="B28" s="63"/>
      <c r="C28" s="2"/>
    </row>
    <row r="29" spans="1:15" ht="21" customHeight="1">
      <c r="A29" s="1"/>
      <c r="B29" s="8"/>
      <c r="C29" s="2"/>
    </row>
    <row r="30" spans="1:15" ht="21" customHeight="1">
      <c r="A30" s="1"/>
      <c r="B30" s="8"/>
      <c r="C30" s="2"/>
      <c r="D30" s="9"/>
    </row>
    <row r="31" spans="1:15" ht="21" customHeight="1">
      <c r="A31" s="1"/>
      <c r="B31" s="8"/>
      <c r="C31" s="2"/>
      <c r="E31" s="243"/>
      <c r="F31" s="243"/>
    </row>
    <row r="32" spans="1:15" ht="21" customHeight="1">
      <c r="A32" s="1"/>
      <c r="B32" s="10"/>
      <c r="C32" s="2"/>
      <c r="E32" s="243"/>
      <c r="F32" s="243"/>
    </row>
    <row r="33" spans="1:6" ht="21" customHeight="1">
      <c r="A33" s="1"/>
      <c r="B33" s="10"/>
      <c r="C33" s="2"/>
      <c r="E33" s="243"/>
      <c r="F33" s="243"/>
    </row>
    <row r="34" spans="1:6" ht="21" customHeight="1">
      <c r="A34" s="1"/>
      <c r="B34" s="10"/>
      <c r="C34" s="2"/>
    </row>
    <row r="35" spans="1:6" ht="21" customHeight="1">
      <c r="A35" s="1"/>
      <c r="B35" s="10"/>
      <c r="C35" s="2"/>
    </row>
    <row r="36" spans="1:6" ht="21" customHeight="1">
      <c r="A36" s="1"/>
      <c r="B36" s="10"/>
      <c r="C36" s="2"/>
    </row>
    <row r="37" spans="1:6" ht="21" customHeight="1">
      <c r="A37" s="1"/>
      <c r="B37" s="10"/>
      <c r="C37" s="2"/>
    </row>
    <row r="38" spans="1:6" ht="21" customHeight="1">
      <c r="A38" s="1"/>
      <c r="B38" s="10"/>
      <c r="C38" s="2"/>
    </row>
    <row r="39" spans="1:6" ht="21" customHeight="1">
      <c r="A39" s="1"/>
      <c r="B39" s="10"/>
      <c r="C39" s="2"/>
    </row>
    <row r="40" spans="1:6" ht="15" customHeight="1">
      <c r="A40" s="1"/>
      <c r="B40" s="10"/>
      <c r="C40" s="2"/>
    </row>
    <row r="41" spans="1:6" ht="15" customHeight="1">
      <c r="A41" s="1"/>
      <c r="B41" s="10"/>
      <c r="C41" s="2"/>
    </row>
    <row r="42" spans="1:6" ht="15" customHeight="1">
      <c r="A42" s="1"/>
      <c r="B42" s="10"/>
      <c r="C42" s="2"/>
    </row>
    <row r="43" spans="1:6" ht="15" customHeight="1">
      <c r="A43" s="1"/>
      <c r="B43" s="10"/>
      <c r="C43" s="2"/>
    </row>
    <row r="44" spans="1:6" ht="15" customHeight="1">
      <c r="A44" s="1"/>
      <c r="B44" s="10"/>
      <c r="C44" s="2"/>
    </row>
    <row r="45" spans="1:6" ht="15" customHeight="1">
      <c r="A45" s="1"/>
      <c r="B45" s="10"/>
      <c r="C45" s="2"/>
    </row>
    <row r="46" spans="1:6" ht="15" customHeight="1">
      <c r="A46" s="1"/>
      <c r="B46" s="10"/>
      <c r="C46" s="2"/>
    </row>
    <row r="47" spans="1:6" ht="15" customHeight="1">
      <c r="A47" s="1"/>
      <c r="B47" s="10"/>
      <c r="C47" s="2"/>
    </row>
    <row r="48" spans="1:6" ht="15" customHeight="1">
      <c r="A48" s="1"/>
      <c r="B48" s="10"/>
      <c r="C48" s="2"/>
    </row>
    <row r="49" spans="1:3" ht="15" customHeight="1">
      <c r="A49" s="1"/>
      <c r="B49" s="10"/>
      <c r="C49" s="2"/>
    </row>
    <row r="50" spans="1:3" ht="15" customHeight="1">
      <c r="A50" s="1"/>
      <c r="B50" s="10"/>
      <c r="C50" s="2"/>
    </row>
    <row r="51" spans="1:3" ht="15" customHeight="1">
      <c r="A51" s="1"/>
      <c r="B51" s="10"/>
      <c r="C51" s="2"/>
    </row>
    <row r="52" spans="1:3" ht="15" customHeight="1">
      <c r="A52" s="1"/>
      <c r="B52" s="10"/>
      <c r="C52" s="2"/>
    </row>
    <row r="53" spans="1:3" ht="15" customHeight="1">
      <c r="A53" s="1"/>
      <c r="B53" s="10"/>
      <c r="C53" s="2"/>
    </row>
    <row r="54" spans="1:3" ht="15" customHeight="1">
      <c r="A54" s="1"/>
      <c r="B54" s="10"/>
      <c r="C54" s="2"/>
    </row>
    <row r="55" spans="1:3" ht="15" customHeight="1">
      <c r="A55" s="1"/>
      <c r="B55" s="10"/>
      <c r="C55" s="2"/>
    </row>
    <row r="56" spans="1:3" ht="15" customHeight="1">
      <c r="A56" s="1"/>
      <c r="B56" s="10"/>
      <c r="C56" s="2"/>
    </row>
    <row r="57" spans="1:3" ht="15" customHeight="1">
      <c r="A57" s="1"/>
      <c r="B57" s="10"/>
      <c r="C57" s="2"/>
    </row>
    <row r="58" spans="1:3" ht="15" customHeight="1">
      <c r="A58" s="1"/>
      <c r="B58" s="10"/>
      <c r="C58" s="2"/>
    </row>
    <row r="59" spans="1:3" ht="15" customHeight="1">
      <c r="A59" s="1"/>
      <c r="B59" s="10"/>
      <c r="C59" s="2"/>
    </row>
    <row r="60" spans="1:3" ht="15" customHeight="1">
      <c r="A60" s="1"/>
      <c r="B60" s="10"/>
      <c r="C60" s="2"/>
    </row>
    <row r="61" spans="1:3">
      <c r="A61" s="1"/>
      <c r="B61" s="10"/>
      <c r="C61" s="2"/>
    </row>
    <row r="62" spans="1:3">
      <c r="A62" s="1"/>
      <c r="B62" s="10"/>
      <c r="C62" s="2"/>
    </row>
    <row r="63" spans="1:3">
      <c r="A63" s="1"/>
      <c r="B63" s="10"/>
      <c r="C63" s="2"/>
    </row>
    <row r="64" spans="1:3">
      <c r="A64" s="1"/>
      <c r="B64" s="10"/>
      <c r="C64" s="2"/>
    </row>
    <row r="65" spans="1:3">
      <c r="A65" s="1"/>
      <c r="B65" s="10"/>
      <c r="C65" s="2"/>
    </row>
    <row r="66" spans="1:3">
      <c r="A66" s="1"/>
      <c r="B66" s="10"/>
      <c r="C66" s="2"/>
    </row>
    <row r="67" spans="1:3">
      <c r="A67" s="1"/>
      <c r="B67" s="10"/>
      <c r="C67" s="2"/>
    </row>
    <row r="68" spans="1:3">
      <c r="A68" s="1"/>
      <c r="B68" s="10"/>
      <c r="C68" s="2"/>
    </row>
    <row r="69" spans="1:3">
      <c r="A69" s="1"/>
      <c r="B69" s="10"/>
      <c r="C69" s="2"/>
    </row>
    <row r="70" spans="1:3">
      <c r="A70" s="1"/>
      <c r="B70" s="10"/>
      <c r="C70" s="2"/>
    </row>
    <row r="71" spans="1:3">
      <c r="A71" s="1"/>
      <c r="B71" s="10"/>
      <c r="C71" s="2"/>
    </row>
    <row r="72" spans="1:3">
      <c r="A72" s="1"/>
      <c r="B72" s="10"/>
      <c r="C72" s="2"/>
    </row>
    <row r="73" spans="1:3">
      <c r="A73" s="1"/>
      <c r="B73" s="10"/>
      <c r="C73" s="2"/>
    </row>
    <row r="74" spans="1:3">
      <c r="A74" s="1"/>
      <c r="B74" s="10"/>
      <c r="C74" s="2"/>
    </row>
    <row r="75" spans="1:3">
      <c r="A75" s="1"/>
      <c r="B75" s="10"/>
      <c r="C75" s="2"/>
    </row>
    <row r="76" spans="1:3" ht="15.95" customHeight="1">
      <c r="A76" s="1"/>
      <c r="B76" s="10"/>
      <c r="C76" s="2"/>
    </row>
    <row r="77" spans="1:3" ht="15.95" customHeight="1">
      <c r="A77" s="1"/>
      <c r="B77" s="10"/>
      <c r="C77" s="2"/>
    </row>
    <row r="78" spans="1:3" ht="15.95" customHeight="1">
      <c r="A78" s="1"/>
      <c r="B78" s="10"/>
      <c r="C78" s="2"/>
    </row>
    <row r="79" spans="1:3" ht="15.95" customHeight="1">
      <c r="A79" s="1"/>
      <c r="B79" s="10"/>
      <c r="C79" s="2"/>
    </row>
    <row r="80" spans="1:3" ht="15.95" customHeight="1">
      <c r="A80" s="1"/>
      <c r="B80" s="10"/>
      <c r="C80" s="2"/>
    </row>
    <row r="81" spans="1:3">
      <c r="A81" s="1"/>
      <c r="B81" s="10"/>
      <c r="C81" s="2"/>
    </row>
    <row r="82" spans="1:3">
      <c r="A82" s="1"/>
      <c r="B82" s="10"/>
      <c r="C82" s="2"/>
    </row>
    <row r="83" spans="1:3">
      <c r="A83" s="1"/>
      <c r="B83" s="10"/>
      <c r="C83" s="2"/>
    </row>
    <row r="84" spans="1:3">
      <c r="A84" s="1"/>
      <c r="B84" s="10"/>
      <c r="C84" s="2"/>
    </row>
    <row r="85" spans="1:3" ht="15.95" customHeight="1">
      <c r="A85" s="1"/>
      <c r="B85" s="10"/>
      <c r="C85" s="2"/>
    </row>
    <row r="86" spans="1:3" ht="15.95" customHeight="1">
      <c r="A86" s="1"/>
      <c r="B86" s="10"/>
      <c r="C86" s="2"/>
    </row>
    <row r="87" spans="1:3" ht="15.95" customHeight="1">
      <c r="A87" s="1"/>
      <c r="B87" s="10"/>
      <c r="C87" s="2"/>
    </row>
    <row r="88" spans="1:3" ht="15.95" customHeight="1">
      <c r="A88" s="1"/>
      <c r="B88" s="10"/>
      <c r="C88" s="2"/>
    </row>
    <row r="89" spans="1:3" ht="15.95" customHeight="1">
      <c r="A89" s="1"/>
      <c r="B89" s="10"/>
      <c r="C89" s="2"/>
    </row>
    <row r="90" spans="1:3" ht="15.95" customHeight="1">
      <c r="A90" s="1"/>
      <c r="B90" s="10"/>
      <c r="C90" s="2"/>
    </row>
    <row r="91" spans="1:3" ht="15.95" customHeight="1">
      <c r="A91" s="1"/>
      <c r="B91" s="10"/>
      <c r="C91" s="2"/>
    </row>
    <row r="92" spans="1:3">
      <c r="A92" s="1"/>
      <c r="B92" s="10"/>
      <c r="C92" s="2"/>
    </row>
    <row r="93" spans="1:3">
      <c r="A93" s="1"/>
      <c r="B93" s="10"/>
      <c r="C93" s="2"/>
    </row>
    <row r="94" spans="1:3">
      <c r="A94" s="1"/>
      <c r="B94" s="10"/>
      <c r="C94" s="2"/>
    </row>
    <row r="95" spans="1:3">
      <c r="A95" s="1"/>
      <c r="B95" s="10"/>
      <c r="C95" s="2"/>
    </row>
    <row r="96" spans="1:3" ht="15.95" customHeight="1">
      <c r="A96" s="1"/>
      <c r="B96" s="10"/>
      <c r="C96" s="2"/>
    </row>
    <row r="97" spans="1:3" ht="15.95" customHeight="1">
      <c r="A97" s="1"/>
      <c r="B97" s="10"/>
      <c r="C97" s="2"/>
    </row>
    <row r="98" spans="1:3" ht="15.95" customHeight="1">
      <c r="A98" s="1"/>
      <c r="B98" s="10"/>
      <c r="C98" s="2"/>
    </row>
    <row r="99" spans="1:3" ht="15.95" customHeight="1">
      <c r="A99" s="1"/>
      <c r="B99" s="10"/>
      <c r="C99" s="2"/>
    </row>
    <row r="100" spans="1:3" ht="15.95" customHeight="1">
      <c r="A100" s="1"/>
      <c r="B100" s="10"/>
      <c r="C100" s="2"/>
    </row>
    <row r="101" spans="1:3">
      <c r="A101" s="1"/>
      <c r="B101" s="10"/>
    </row>
    <row r="102" spans="1:3">
      <c r="A102" s="1"/>
      <c r="B102" s="10"/>
    </row>
    <row r="103" spans="1:3">
      <c r="B103" s="10"/>
    </row>
    <row r="104" spans="1:3">
      <c r="B104" s="10"/>
    </row>
    <row r="105" spans="1:3">
      <c r="B105" s="10"/>
    </row>
    <row r="106" spans="1:3">
      <c r="B106" s="10"/>
    </row>
    <row r="107" spans="1:3">
      <c r="B107" s="10"/>
    </row>
    <row r="108" spans="1:3">
      <c r="B108" s="10"/>
    </row>
    <row r="109" spans="1:3">
      <c r="B109" s="10"/>
    </row>
    <row r="110" spans="1:3">
      <c r="B110" s="10"/>
    </row>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sheetData>
  <mergeCells count="3">
    <mergeCell ref="B2:B3"/>
    <mergeCell ref="D4:J4"/>
    <mergeCell ref="F6:H6"/>
  </mergeCells>
  <hyperlinks>
    <hyperlink ref="B2:B3" location="Home!A1" display="HOME" xr:uid="{B2612A60-99E4-4365-AA86-26A8ACF2B685}"/>
    <hyperlink ref="F9:I9" location="'Guidelines - Saybolt Manual'!A69" display="* SG (Specific Gravity) - This is the old name for the relative density 60/60 °F" xr:uid="{3E4ACABD-E62C-4075-9C72-CE5121FDACCA}"/>
    <hyperlink ref="B5" location="'Documents Manager'!A1" display="DOCUMENTS MANAGER" xr:uid="{5EEC1F70-4ECB-4E48-B552-1C35A5EF3882}"/>
    <hyperlink ref="B23" location="Disclaimer!A1" display="Disclaimer" xr:uid="{B6EEE1B4-5819-47C7-8615-07F21ED1DB51}"/>
    <hyperlink ref="B22" location="Help!A1" display="Help" xr:uid="{CB61CFDE-73AA-4A8C-8128-3335D0DB1B62}"/>
    <hyperlink ref="B20" location="'Source - Links'!A1" display="SOURCE / LINKS" xr:uid="{A21C289A-61A7-4A54-AD82-D40EBF4F4E37}"/>
    <hyperlink ref="B11" location="'ASTM Converter (API)'!A1" display="• Entry with API Gravity" xr:uid="{E5475113-65F8-44A2-BCEA-A1FD9E29D20C}"/>
    <hyperlink ref="B12" location="'ASTM Converter (R.Density)'!A1" display="• Entry with Relative Density" xr:uid="{65AFE9AE-EA54-4B53-B6B6-BA3725BCE17D}"/>
    <hyperlink ref="B13" location="'ASTM Converter (Density)'!A1" display="• Entry with Density" xr:uid="{41ED0C42-CDBD-437D-A016-D9F245BAC66D}"/>
    <hyperlink ref="B7" location="'ASTM Converter (Tab.1)'!A1" display="ASTM - CONVERTERS" xr:uid="{71F318A6-37AC-4FF8-B4CC-C3FAE9FEF65A}"/>
    <hyperlink ref="B8" location="'ASTM Converter (Tab.1)'!A1" display="• Converter - Table 1 (Volume XI)" xr:uid="{E2443F67-608B-4678-A1C1-284446FED12F}"/>
    <hyperlink ref="B9" location="'ASTM Converter (Tab.2)'!A1" display="• Converter - Table 2 (Volume XI)" xr:uid="{78059408-ADCE-43FF-8EE1-BB80FF937416}"/>
    <hyperlink ref="B10" location="'ASTM Converter API-RD-SG-Dens.'!A1" display="• Conventer API-RD-SG-Density" xr:uid="{1B3274A0-A9D3-4458-90B6-C309142FAEE2}"/>
    <hyperlink ref="B14" location="'ASTM Converter for Crude Oil'!A1" display="• Converter - Tables for Crude Oil" xr:uid="{38BCE123-87D1-44AE-96AB-7EE60FB6FC91}"/>
    <hyperlink ref="B6" location="'ASTM Table Series'!A1" display="ASTM TABLES" xr:uid="{AF5F1A31-7F05-4CFE-818E-E622F6622B2B}"/>
    <hyperlink ref="B15" location="'ASTM Calculator V.W.'!A1" display="ASTM - CALCULATORS" xr:uid="{AFB20134-5D47-489A-858D-E839B07E1801}"/>
    <hyperlink ref="B16" location="'Initial&amp;Max. Loading Rate'!A1" display="CARGO - CALCULATORS" xr:uid="{E9285AC2-50C9-4CAD-9C76-05C39BACA954}"/>
    <hyperlink ref="B18" location="'Guidelines - Definitions'!A1" display="GUIDELINES" xr:uid="{6A5D297F-2A7D-4838-995E-CCF58A338EB1}"/>
    <hyperlink ref="B19" location="'Guidelines - Bottom Lines'!A1" display="GUIDELINES - CARGO" xr:uid="{94EDEE97-2DBC-4DB4-A974-E1DA99AA599A}"/>
  </hyperlinks>
  <pageMargins left="0.98425196850393704" right="0.98425196850393704" top="0.78740157480314965" bottom="0.39370078740157483" header="0" footer="0"/>
  <pageSetup paperSize="9" orientation="landscape" horizontalDpi="300" verticalDpi="3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'Calc ASTM'!$D$8:$D$21</xm:f>
          </x14:formula1>
          <xm:sqref>F6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Module____2">
    <tabColor rgb="FF008080"/>
  </sheetPr>
  <dimension ref="A1:U186"/>
  <sheetViews>
    <sheetView showGridLines="0" showRowColHeaders="0" topLeftCell="B1" workbookViewId="0">
      <selection activeCell="B12" sqref="B12"/>
    </sheetView>
  </sheetViews>
  <sheetFormatPr defaultColWidth="9.1328125" defaultRowHeight="12.75"/>
  <cols>
    <col min="1" max="1" width="0" hidden="1" customWidth="1"/>
    <col min="2" max="2" width="36.6640625" style="11" customWidth="1"/>
    <col min="3" max="3" width="2.6640625" style="5" customWidth="1"/>
    <col min="4" max="4" width="9.1328125" style="5" customWidth="1"/>
    <col min="5" max="5" width="26.53125" style="5" customWidth="1"/>
    <col min="6" max="6" width="16.6640625" style="5" customWidth="1"/>
    <col min="7" max="7" width="11.6640625" style="5" customWidth="1"/>
    <col min="8" max="8" width="28.6640625" style="5" customWidth="1"/>
    <col min="9" max="9" width="2.6640625" style="5" customWidth="1"/>
    <col min="10" max="16384" width="9.1328125" style="5"/>
  </cols>
  <sheetData>
    <row r="1" spans="1:21" ht="12.75" customHeight="1">
      <c r="A1" s="1"/>
      <c r="B1" s="63"/>
      <c r="C1" s="2"/>
      <c r="D1" s="3"/>
      <c r="E1" s="4"/>
      <c r="F1" s="4"/>
    </row>
    <row r="2" spans="1:21" s="247" customFormat="1" ht="21" customHeight="1">
      <c r="A2" s="1"/>
      <c r="B2" s="3187" t="s">
        <v>0</v>
      </c>
      <c r="C2" s="2"/>
      <c r="D2" s="332" t="s">
        <v>156</v>
      </c>
      <c r="E2" s="245"/>
      <c r="F2" s="245"/>
      <c r="G2" s="333"/>
      <c r="H2" s="333"/>
      <c r="I2" s="333"/>
      <c r="J2" s="333"/>
      <c r="M2" s="246"/>
      <c r="N2" s="246"/>
      <c r="O2" s="246"/>
      <c r="P2" s="246"/>
      <c r="Q2" s="246"/>
      <c r="R2" s="246"/>
      <c r="S2" s="246"/>
      <c r="T2" s="246"/>
      <c r="U2" s="246"/>
    </row>
    <row r="3" spans="1:21" ht="21" customHeight="1">
      <c r="A3" s="1"/>
      <c r="B3" s="3187"/>
      <c r="C3" s="2"/>
      <c r="E3" s="342"/>
    </row>
    <row r="4" spans="1:21" ht="21" customHeight="1">
      <c r="A4" s="1"/>
      <c r="B4" s="63"/>
      <c r="C4" s="2"/>
      <c r="D4" s="3198" t="s">
        <v>243</v>
      </c>
      <c r="E4" s="3199"/>
      <c r="F4" s="3199"/>
      <c r="G4" s="3199"/>
      <c r="H4" s="3199"/>
      <c r="I4" s="3199"/>
      <c r="J4" s="3200"/>
    </row>
    <row r="5" spans="1:21" ht="21" customHeight="1">
      <c r="A5" s="1"/>
      <c r="B5" s="62" t="s">
        <v>1</v>
      </c>
      <c r="D5" s="596"/>
      <c r="E5" s="342"/>
      <c r="J5" s="396"/>
    </row>
    <row r="6" spans="1:21" ht="21" customHeight="1">
      <c r="A6" s="1"/>
      <c r="B6" s="397" t="s">
        <v>452</v>
      </c>
      <c r="D6" s="596"/>
      <c r="E6" s="244" t="s">
        <v>130</v>
      </c>
      <c r="F6" s="248">
        <v>32</v>
      </c>
      <c r="G6" s="664" t="s">
        <v>166</v>
      </c>
      <c r="H6" s="665" t="s">
        <v>11</v>
      </c>
      <c r="J6" s="396"/>
    </row>
    <row r="7" spans="1:21" ht="21" customHeight="1">
      <c r="A7" s="1"/>
      <c r="B7" s="146" t="s">
        <v>239</v>
      </c>
      <c r="D7" s="596"/>
      <c r="E7" s="244" t="s">
        <v>132</v>
      </c>
      <c r="F7" s="291">
        <f>'Calc ASTM'!K26</f>
        <v>0.86539999999999995</v>
      </c>
      <c r="G7" s="664" t="s">
        <v>167</v>
      </c>
      <c r="H7" s="665" t="s">
        <v>11</v>
      </c>
      <c r="J7" s="396"/>
    </row>
    <row r="8" spans="1:21" ht="21" customHeight="1">
      <c r="A8" s="1"/>
      <c r="B8" s="145" t="s">
        <v>448</v>
      </c>
      <c r="D8" s="596"/>
      <c r="E8" s="244" t="s">
        <v>131</v>
      </c>
      <c r="F8" s="331">
        <f>'Calc ASTM'!K27</f>
        <v>865</v>
      </c>
      <c r="G8" s="664" t="s">
        <v>168</v>
      </c>
      <c r="H8" s="665" t="s">
        <v>11</v>
      </c>
      <c r="J8" s="396"/>
    </row>
    <row r="9" spans="1:21" ht="21" customHeight="1">
      <c r="A9" s="1"/>
      <c r="B9" s="145" t="s">
        <v>559</v>
      </c>
      <c r="D9" s="596"/>
      <c r="E9" s="244" t="s">
        <v>131</v>
      </c>
      <c r="F9" s="373">
        <f>F8/1000</f>
        <v>0.86499999999999999</v>
      </c>
      <c r="G9" s="664" t="s">
        <v>168</v>
      </c>
      <c r="H9" s="666"/>
      <c r="J9" s="396"/>
    </row>
    <row r="10" spans="1:21" ht="21" customHeight="1">
      <c r="A10" s="1"/>
      <c r="B10" s="145" t="s">
        <v>509</v>
      </c>
      <c r="C10" s="396"/>
      <c r="D10" s="596"/>
      <c r="E10" s="244" t="s">
        <v>131</v>
      </c>
      <c r="F10" s="2799">
        <f>F8/1000</f>
        <v>0.86499999999999999</v>
      </c>
      <c r="G10" s="664" t="s">
        <v>168</v>
      </c>
      <c r="H10" s="666"/>
      <c r="J10" s="396"/>
    </row>
    <row r="11" spans="1:21" ht="21" customHeight="1">
      <c r="A11" s="1"/>
      <c r="B11" s="147" t="s">
        <v>539</v>
      </c>
      <c r="D11" s="596"/>
      <c r="E11" s="287"/>
      <c r="F11" s="318"/>
      <c r="J11" s="396"/>
    </row>
    <row r="12" spans="1:21" ht="21" customHeight="1">
      <c r="A12" s="1"/>
      <c r="B12" s="145" t="s">
        <v>540</v>
      </c>
      <c r="C12" s="2"/>
      <c r="D12" s="596"/>
      <c r="E12" s="287" t="s">
        <v>147</v>
      </c>
      <c r="F12" s="3205" t="s">
        <v>1260</v>
      </c>
      <c r="G12" s="3206"/>
      <c r="H12" s="3207"/>
      <c r="J12" s="396"/>
    </row>
    <row r="13" spans="1:21" ht="21" customHeight="1">
      <c r="A13" s="1"/>
      <c r="B13" s="145" t="s">
        <v>541</v>
      </c>
      <c r="C13" s="2"/>
      <c r="D13" s="596"/>
      <c r="J13" s="396"/>
    </row>
    <row r="14" spans="1:21" ht="21" customHeight="1">
      <c r="A14" s="1"/>
      <c r="B14" s="145" t="s">
        <v>1037</v>
      </c>
      <c r="C14" s="2"/>
      <c r="D14" s="596"/>
      <c r="E14" s="287" t="str">
        <f>CONCATENATE(VLOOKUP(MATCH(F12,'Calc ASTM'!D29:D44,0),'Calc ASTM'!C29:M44,COLUMNS('Calc ASTM'!C29:E29))," : ")</f>
        <v xml:space="preserve">US Barrels at 60°F : </v>
      </c>
      <c r="F14" s="680">
        <v>296900</v>
      </c>
      <c r="J14" s="396"/>
    </row>
    <row r="15" spans="1:21" ht="21" customHeight="1">
      <c r="A15" s="1"/>
      <c r="B15" s="62" t="s">
        <v>1263</v>
      </c>
      <c r="C15" s="2"/>
      <c r="D15" s="597"/>
      <c r="E15" s="669" t="str">
        <f>CONCATENATE(VLOOKUP(MATCH(F12,'Calc ASTM'!D29:D44,0),'Calc ASTM'!C29:M44,COLUMNS('Calc ASTM'!C29:I29))," : ")</f>
        <v xml:space="preserve">ASTM Table 13 : </v>
      </c>
      <c r="F15" s="667">
        <f>VLOOKUP(MATCH(F12,'Calc ASTM'!D29:D44,0),'Calc ASTM'!C29:M44,COLUMNS('Calc ASTM'!C29:K29))</f>
        <v>0.13728000000000001</v>
      </c>
      <c r="G15" s="1005" t="str">
        <f>CONCATENATE(VLOOKUP(MATCH(F12,'Calc ASTM'!D29:D44,0),'Calc ASTM'!C29:M44,COLUMNS('Calc ASTM'!C29:J29))," per ",VLOOKUP(MATCH(F12,'Calc ASTM'!D29:D44,0),'Calc ASTM'!C29:M44,COLUMNS('Calc ASTM'!C29:M29)))</f>
        <v>Tonnes per US Barrel at 60°F</v>
      </c>
      <c r="J15" s="396"/>
    </row>
    <row r="16" spans="1:21" ht="21" customHeight="1">
      <c r="A16" s="1"/>
      <c r="B16" s="62" t="s">
        <v>557</v>
      </c>
      <c r="C16" s="2"/>
      <c r="D16" s="597"/>
      <c r="E16" s="287" t="str">
        <f>CONCATENATE(VLOOKUP(MATCH(F12,'Calc ASTM'!D29:D44,0),'Calc ASTM'!C29:M44,COLUMNS('Calc ASTM'!C29:F29))," : ")</f>
        <v xml:space="preserve">Metric Tons (in AIR)  : </v>
      </c>
      <c r="F16" s="330">
        <f>VLOOKUP(MATCH(F12,'Calc ASTM'!D29:D44,0),'Calc ASTM'!C29:M44,COLUMNS('Calc ASTM'!C29:H29))</f>
        <v>40758.432000000001</v>
      </c>
      <c r="J16" s="396"/>
    </row>
    <row r="17" spans="1:10" ht="21" customHeight="1">
      <c r="A17" s="1"/>
      <c r="B17" s="62" t="s">
        <v>238</v>
      </c>
      <c r="C17" s="2"/>
      <c r="D17" s="597"/>
      <c r="J17" s="396"/>
    </row>
    <row r="18" spans="1:10" ht="21" customHeight="1">
      <c r="A18" s="1"/>
      <c r="B18" s="62" t="s">
        <v>1652</v>
      </c>
      <c r="C18" s="2"/>
      <c r="D18" s="598"/>
      <c r="E18" s="463"/>
      <c r="F18" s="463"/>
      <c r="G18" s="463"/>
      <c r="H18" s="463"/>
      <c r="I18" s="463"/>
      <c r="J18" s="462"/>
    </row>
    <row r="19" spans="1:10" ht="21" customHeight="1">
      <c r="A19" s="1"/>
      <c r="B19" s="62" t="s">
        <v>1653</v>
      </c>
      <c r="C19" s="2"/>
    </row>
    <row r="20" spans="1:10" ht="21" customHeight="1">
      <c r="A20" s="1"/>
      <c r="B20" s="62" t="s">
        <v>40</v>
      </c>
      <c r="C20" s="2"/>
      <c r="D20" s="242"/>
    </row>
    <row r="21" spans="1:10" ht="21" customHeight="1">
      <c r="A21" s="1"/>
      <c r="B21" s="62" t="s">
        <v>238</v>
      </c>
      <c r="C21" s="2"/>
    </row>
    <row r="22" spans="1:10" ht="21" customHeight="1">
      <c r="A22" s="1"/>
      <c r="B22" s="62" t="s">
        <v>39</v>
      </c>
      <c r="C22" s="2"/>
    </row>
    <row r="23" spans="1:10" ht="21" customHeight="1">
      <c r="A23" s="1"/>
      <c r="B23" s="62" t="s">
        <v>38</v>
      </c>
      <c r="C23" s="2"/>
      <c r="D23" s="9"/>
      <c r="E23" s="3204"/>
      <c r="F23" s="3204"/>
    </row>
    <row r="24" spans="1:10" ht="21" customHeight="1">
      <c r="A24" s="1"/>
      <c r="B24" s="62"/>
      <c r="C24" s="2"/>
    </row>
    <row r="25" spans="1:10" ht="21" customHeight="1">
      <c r="A25" s="1"/>
      <c r="B25" s="565"/>
      <c r="C25" s="2"/>
      <c r="E25" s="243"/>
      <c r="F25" s="243"/>
    </row>
    <row r="26" spans="1:10" ht="21" customHeight="1">
      <c r="A26" s="1"/>
      <c r="B26" s="63"/>
      <c r="C26" s="2"/>
      <c r="E26" s="243"/>
      <c r="F26" s="243"/>
    </row>
    <row r="27" spans="1:10" ht="21" customHeight="1">
      <c r="A27" s="1"/>
      <c r="B27" s="63"/>
      <c r="C27" s="2"/>
      <c r="E27" s="243"/>
      <c r="F27" s="243"/>
    </row>
    <row r="28" spans="1:10" ht="21" customHeight="1">
      <c r="A28" s="1"/>
      <c r="B28" s="63"/>
      <c r="C28" s="2"/>
    </row>
    <row r="29" spans="1:10" ht="21" customHeight="1">
      <c r="A29" s="1"/>
      <c r="B29" s="63"/>
      <c r="C29" s="2"/>
    </row>
    <row r="30" spans="1:10" ht="21" customHeight="1">
      <c r="A30" s="1"/>
      <c r="B30" s="63"/>
      <c r="C30" s="2"/>
    </row>
    <row r="31" spans="1:10" ht="21" customHeight="1">
      <c r="A31" s="1"/>
      <c r="B31" s="63"/>
      <c r="C31" s="2"/>
    </row>
    <row r="32" spans="1:10" ht="21" customHeight="1">
      <c r="A32" s="1"/>
      <c r="B32" s="8"/>
      <c r="C32" s="2"/>
    </row>
    <row r="33" spans="1:3" ht="21" customHeight="1">
      <c r="A33" s="1"/>
      <c r="B33" s="8"/>
      <c r="C33" s="2"/>
    </row>
    <row r="34" spans="1:3" ht="21" customHeight="1">
      <c r="A34" s="1"/>
      <c r="B34" s="8"/>
      <c r="C34" s="2"/>
    </row>
    <row r="35" spans="1:3" ht="21" customHeight="1">
      <c r="A35" s="1"/>
      <c r="B35" s="10"/>
      <c r="C35" s="2"/>
    </row>
    <row r="36" spans="1:3" ht="21" customHeight="1">
      <c r="A36" s="1"/>
      <c r="B36" s="10"/>
      <c r="C36" s="2"/>
    </row>
    <row r="37" spans="1:3" ht="21" customHeight="1">
      <c r="A37" s="1"/>
      <c r="B37" s="10"/>
      <c r="C37" s="2"/>
    </row>
    <row r="38" spans="1:3" ht="21" customHeight="1">
      <c r="A38" s="1"/>
      <c r="B38" s="10"/>
      <c r="C38" s="2"/>
    </row>
    <row r="39" spans="1:3" ht="21" customHeight="1">
      <c r="A39" s="1"/>
      <c r="B39" s="10"/>
      <c r="C39" s="2"/>
    </row>
    <row r="40" spans="1:3" ht="15" customHeight="1">
      <c r="A40" s="1"/>
      <c r="B40" s="10"/>
      <c r="C40" s="2"/>
    </row>
    <row r="41" spans="1:3" ht="15" customHeight="1">
      <c r="A41" s="1"/>
      <c r="B41" s="10"/>
      <c r="C41" s="2"/>
    </row>
    <row r="42" spans="1:3" ht="15" customHeight="1">
      <c r="A42" s="1"/>
      <c r="B42" s="10"/>
      <c r="C42" s="2"/>
    </row>
    <row r="43" spans="1:3" ht="15" customHeight="1">
      <c r="A43" s="1"/>
      <c r="B43" s="10"/>
      <c r="C43" s="2"/>
    </row>
    <row r="44" spans="1:3" ht="15" customHeight="1">
      <c r="A44" s="1"/>
      <c r="B44" s="10"/>
      <c r="C44" s="2"/>
    </row>
    <row r="45" spans="1:3" ht="15" customHeight="1">
      <c r="A45" s="1"/>
      <c r="B45" s="10"/>
      <c r="C45" s="2"/>
    </row>
    <row r="46" spans="1:3" ht="15" customHeight="1">
      <c r="A46" s="1"/>
      <c r="B46" s="10"/>
      <c r="C46" s="2"/>
    </row>
    <row r="47" spans="1:3" ht="15" customHeight="1">
      <c r="A47" s="1"/>
      <c r="B47" s="10"/>
      <c r="C47" s="2"/>
    </row>
    <row r="48" spans="1:3" ht="15" customHeight="1">
      <c r="A48" s="1"/>
      <c r="B48" s="10"/>
      <c r="C48" s="2"/>
    </row>
    <row r="49" spans="1:3" ht="15" customHeight="1">
      <c r="A49" s="1"/>
      <c r="B49" s="10"/>
      <c r="C49" s="2"/>
    </row>
    <row r="50" spans="1:3" ht="15" customHeight="1">
      <c r="A50" s="1"/>
      <c r="B50" s="10"/>
      <c r="C50" s="2"/>
    </row>
    <row r="51" spans="1:3" ht="15" customHeight="1">
      <c r="A51" s="1"/>
      <c r="B51" s="10"/>
      <c r="C51" s="2"/>
    </row>
    <row r="52" spans="1:3" ht="15" customHeight="1">
      <c r="A52" s="1"/>
      <c r="B52" s="10"/>
      <c r="C52" s="2"/>
    </row>
    <row r="53" spans="1:3" ht="15" customHeight="1">
      <c r="A53" s="1"/>
      <c r="B53" s="10"/>
      <c r="C53" s="2"/>
    </row>
    <row r="54" spans="1:3" ht="15" customHeight="1">
      <c r="A54" s="1"/>
      <c r="B54" s="10"/>
      <c r="C54" s="2"/>
    </row>
    <row r="55" spans="1:3" ht="15" customHeight="1">
      <c r="A55" s="1"/>
      <c r="B55" s="10"/>
      <c r="C55" s="2"/>
    </row>
    <row r="56" spans="1:3" ht="15" customHeight="1">
      <c r="A56" s="1"/>
      <c r="B56" s="10"/>
      <c r="C56" s="2"/>
    </row>
    <row r="57" spans="1:3" ht="15" customHeight="1">
      <c r="A57" s="1"/>
      <c r="B57" s="10"/>
      <c r="C57" s="2"/>
    </row>
    <row r="58" spans="1:3" ht="15" customHeight="1">
      <c r="A58" s="1"/>
      <c r="B58" s="10"/>
      <c r="C58" s="2"/>
    </row>
    <row r="59" spans="1:3" ht="15" customHeight="1">
      <c r="A59" s="1"/>
      <c r="B59" s="10"/>
      <c r="C59" s="2"/>
    </row>
    <row r="60" spans="1:3" ht="15" customHeight="1">
      <c r="A60" s="1"/>
      <c r="B60" s="10"/>
      <c r="C60" s="2"/>
    </row>
    <row r="61" spans="1:3">
      <c r="A61" s="1"/>
      <c r="B61" s="10"/>
      <c r="C61" s="2"/>
    </row>
    <row r="62" spans="1:3">
      <c r="A62" s="1"/>
      <c r="B62" s="10"/>
      <c r="C62" s="2"/>
    </row>
    <row r="63" spans="1:3">
      <c r="A63" s="1"/>
      <c r="B63" s="10"/>
      <c r="C63" s="2"/>
    </row>
    <row r="64" spans="1:3">
      <c r="A64" s="1"/>
      <c r="B64" s="10"/>
      <c r="C64" s="2"/>
    </row>
    <row r="65" spans="1:3">
      <c r="A65" s="1"/>
      <c r="B65" s="10"/>
      <c r="C65" s="2"/>
    </row>
    <row r="66" spans="1:3">
      <c r="A66" s="1"/>
      <c r="B66" s="10"/>
      <c r="C66" s="2"/>
    </row>
    <row r="67" spans="1:3">
      <c r="A67" s="1"/>
      <c r="B67" s="10"/>
      <c r="C67" s="2"/>
    </row>
    <row r="68" spans="1:3">
      <c r="A68" s="1"/>
      <c r="B68" s="10"/>
      <c r="C68" s="2"/>
    </row>
    <row r="69" spans="1:3">
      <c r="A69" s="1"/>
      <c r="B69" s="10"/>
      <c r="C69" s="2"/>
    </row>
    <row r="70" spans="1:3">
      <c r="A70" s="1"/>
      <c r="B70" s="10"/>
      <c r="C70" s="2"/>
    </row>
    <row r="71" spans="1:3">
      <c r="A71" s="1"/>
      <c r="B71" s="10"/>
      <c r="C71" s="2"/>
    </row>
    <row r="72" spans="1:3">
      <c r="A72" s="1"/>
      <c r="B72" s="10"/>
      <c r="C72" s="2"/>
    </row>
    <row r="73" spans="1:3">
      <c r="A73" s="1"/>
      <c r="B73" s="10"/>
      <c r="C73" s="2"/>
    </row>
    <row r="74" spans="1:3">
      <c r="A74" s="1"/>
      <c r="B74" s="10"/>
      <c r="C74" s="2"/>
    </row>
    <row r="75" spans="1:3">
      <c r="A75" s="1"/>
      <c r="B75" s="10"/>
      <c r="C75" s="2"/>
    </row>
    <row r="76" spans="1:3" ht="15.95" customHeight="1">
      <c r="A76" s="1"/>
      <c r="B76" s="10"/>
      <c r="C76" s="2"/>
    </row>
    <row r="77" spans="1:3" ht="15.95" customHeight="1">
      <c r="A77" s="1"/>
      <c r="B77" s="10"/>
      <c r="C77" s="2"/>
    </row>
    <row r="78" spans="1:3" ht="15.95" customHeight="1">
      <c r="A78" s="1"/>
      <c r="B78" s="10"/>
      <c r="C78" s="2"/>
    </row>
    <row r="79" spans="1:3" ht="15.95" customHeight="1">
      <c r="A79" s="1"/>
      <c r="B79" s="10"/>
      <c r="C79" s="2"/>
    </row>
    <row r="80" spans="1:3" ht="15.95" customHeight="1">
      <c r="A80" s="1"/>
      <c r="B80" s="10"/>
      <c r="C80" s="2"/>
    </row>
    <row r="81" spans="1:3">
      <c r="A81" s="1"/>
      <c r="B81" s="10"/>
      <c r="C81" s="2"/>
    </row>
    <row r="82" spans="1:3">
      <c r="A82" s="1"/>
      <c r="B82" s="10"/>
      <c r="C82" s="2"/>
    </row>
    <row r="83" spans="1:3">
      <c r="A83" s="1"/>
      <c r="B83" s="10"/>
      <c r="C83" s="2"/>
    </row>
    <row r="84" spans="1:3">
      <c r="A84" s="1"/>
      <c r="B84" s="10"/>
      <c r="C84" s="2"/>
    </row>
    <row r="85" spans="1:3" ht="15.95" customHeight="1">
      <c r="A85" s="1"/>
      <c r="B85" s="10"/>
      <c r="C85" s="2"/>
    </row>
    <row r="86" spans="1:3" ht="15.95" customHeight="1">
      <c r="A86" s="1"/>
      <c r="B86" s="10"/>
      <c r="C86" s="2"/>
    </row>
    <row r="87" spans="1:3" ht="15.95" customHeight="1">
      <c r="A87" s="1"/>
      <c r="B87" s="10"/>
      <c r="C87" s="2"/>
    </row>
    <row r="88" spans="1:3" ht="15.95" customHeight="1">
      <c r="A88" s="1"/>
      <c r="B88" s="10"/>
      <c r="C88" s="2"/>
    </row>
    <row r="89" spans="1:3" ht="15.95" customHeight="1">
      <c r="A89" s="1"/>
      <c r="B89" s="10"/>
      <c r="C89" s="2"/>
    </row>
    <row r="90" spans="1:3" ht="15.95" customHeight="1">
      <c r="A90" s="1"/>
      <c r="B90" s="10"/>
      <c r="C90" s="2"/>
    </row>
    <row r="91" spans="1:3" ht="15.95" customHeight="1">
      <c r="A91" s="1"/>
      <c r="B91" s="10"/>
      <c r="C91" s="2"/>
    </row>
    <row r="92" spans="1:3">
      <c r="A92" s="1"/>
      <c r="B92" s="10"/>
      <c r="C92" s="2"/>
    </row>
    <row r="93" spans="1:3">
      <c r="A93" s="1"/>
      <c r="B93" s="10"/>
      <c r="C93" s="2"/>
    </row>
    <row r="94" spans="1:3">
      <c r="A94" s="1"/>
      <c r="B94" s="10"/>
      <c r="C94" s="2"/>
    </row>
    <row r="95" spans="1:3">
      <c r="A95" s="1"/>
      <c r="B95" s="10"/>
      <c r="C95" s="2"/>
    </row>
    <row r="96" spans="1:3" ht="15.95" customHeight="1">
      <c r="A96" s="1"/>
      <c r="B96" s="10"/>
      <c r="C96" s="2"/>
    </row>
    <row r="97" spans="1:3" ht="15.95" customHeight="1">
      <c r="A97" s="1"/>
      <c r="B97" s="10"/>
      <c r="C97" s="2"/>
    </row>
    <row r="98" spans="1:3" ht="15.95" customHeight="1">
      <c r="A98" s="1"/>
      <c r="B98" s="10"/>
      <c r="C98" s="2"/>
    </row>
    <row r="99" spans="1:3" ht="15.95" customHeight="1">
      <c r="A99" s="1"/>
      <c r="B99" s="10"/>
      <c r="C99" s="2"/>
    </row>
    <row r="100" spans="1:3" ht="15.95" customHeight="1">
      <c r="A100" s="1"/>
      <c r="B100" s="10"/>
      <c r="C100" s="2"/>
    </row>
    <row r="101" spans="1:3">
      <c r="A101" s="1"/>
      <c r="B101" s="10"/>
    </row>
    <row r="102" spans="1:3">
      <c r="A102" s="1"/>
      <c r="B102" s="10"/>
    </row>
    <row r="103" spans="1:3">
      <c r="B103" s="10"/>
    </row>
    <row r="104" spans="1:3">
      <c r="B104" s="10"/>
    </row>
    <row r="105" spans="1:3">
      <c r="B105" s="10"/>
    </row>
    <row r="106" spans="1:3">
      <c r="B106" s="10"/>
    </row>
    <row r="107" spans="1:3">
      <c r="B107" s="10"/>
    </row>
    <row r="108" spans="1:3">
      <c r="B108" s="10"/>
    </row>
    <row r="109" spans="1:3">
      <c r="B109" s="10"/>
    </row>
    <row r="110" spans="1:3">
      <c r="B110" s="10"/>
    </row>
    <row r="111" spans="1:3">
      <c r="B111" s="10"/>
    </row>
    <row r="112" spans="1:3">
      <c r="B112" s="10"/>
    </row>
    <row r="113" spans="2:2">
      <c r="B113" s="10"/>
    </row>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sheetData>
  <mergeCells count="4">
    <mergeCell ref="E23:F23"/>
    <mergeCell ref="B2:B3"/>
    <mergeCell ref="F12:H12"/>
    <mergeCell ref="D4:J4"/>
  </mergeCells>
  <hyperlinks>
    <hyperlink ref="B2:B3" location="Home!A1" display="HOME" xr:uid="{00000000-0004-0000-0200-000001000000}"/>
    <hyperlink ref="H6" location="'ASTM Vol. XI-XII'!A1" display="ASTM Table 3" xr:uid="{00000000-0004-0000-0200-00000A000000}"/>
    <hyperlink ref="H7" location="'ASTM Vol. XI-XII'!A1" display="ASTM Table 3" xr:uid="{00000000-0004-0000-0200-00000B000000}"/>
    <hyperlink ref="H8" location="'ASTM Vol. XI-XII'!A1" display="ASTM Table 3" xr:uid="{00000000-0004-0000-0200-00000C000000}"/>
    <hyperlink ref="E15" location="'ASTM Vol. XI-XII'!A1" display="'ASTM Vol. XI-XII'!A1" xr:uid="{00000000-0004-0000-0200-00000F000000}"/>
    <hyperlink ref="B5" location="'Documents Manager'!A1" display="DOCUMENTS MANAGER" xr:uid="{C69B3982-83DF-4F63-8B55-D700531B5D41}"/>
    <hyperlink ref="B23" location="Disclaimer!A1" display="Disclaimer" xr:uid="{E19F08AC-255B-4888-8FB7-9A86A5DB827C}"/>
    <hyperlink ref="B22" location="Help!A1" display="Help" xr:uid="{0A428E1E-E8E0-48B4-B31A-1868BC09613C}"/>
    <hyperlink ref="B20" location="'Source - Links'!A1" display="SOURCE / LINKS" xr:uid="{DBD59AEF-9204-4A2C-A3B8-BF0FEB2423BA}"/>
    <hyperlink ref="B11" location="'ASTM Converter (API)'!A1" display="• Entry with API Gravity" xr:uid="{4522B5D4-737B-4FCF-ADB1-FF465EA8C588}"/>
    <hyperlink ref="B12" location="'ASTM Converter (R.Density)'!A1" display="• Entry with Relative Density" xr:uid="{6936DC4F-DD5C-4705-93C3-80A17410A569}"/>
    <hyperlink ref="B13" location="'ASTM Converter (Density)'!A1" display="• Entry with Density" xr:uid="{6248AB71-6793-4234-ABAB-FFCE3D0ABACC}"/>
    <hyperlink ref="B7" location="'ASTM Converter (Tab.1)'!A1" display="ASTM - CONVERTERS" xr:uid="{78474402-02BE-4C00-A23D-B4A5860EEA06}"/>
    <hyperlink ref="B8" location="'ASTM Converter (Tab.1)'!A1" display="• Converter - Table 1 (Volume XI)" xr:uid="{A18C64B5-485A-472D-B467-09FC8C097D63}"/>
    <hyperlink ref="B9" location="'ASTM Converter (Tab.2)'!A1" display="• Converter - Table 2 (Volume XI)" xr:uid="{7C211D99-F328-49C9-861D-DE7261DD28F6}"/>
    <hyperlink ref="B10" location="'ASTM Converter API-RD-SG-Dens.'!A1" display="• Conventer API-RD-SG-Density" xr:uid="{23803EC8-9DD1-47A3-9627-A8B8431EE84D}"/>
    <hyperlink ref="B14" location="'ASTM Converter for Crude Oil'!A1" display="• Converter - Tables for Crude Oil" xr:uid="{5F3FD3AB-B8F1-4B9F-B9F8-460B9DA01EC8}"/>
    <hyperlink ref="B6" location="'ASTM Table Series'!A1" display="ASTM TABLES" xr:uid="{592054A4-8B9A-48C3-8F27-9999CAEE80F8}"/>
    <hyperlink ref="B15" location="'ASTM Calculator V.W.'!A1" display="ASTM - CALCULATORS" xr:uid="{98E4F15D-FC82-4244-B3F7-26D2DEEF5D98}"/>
    <hyperlink ref="B16" location="'Initial&amp;Max. Loading Rate'!A1" display="CARGO - CALCULATORS" xr:uid="{C1AAE5B1-82F3-408F-AE8B-C5CB65094FE9}"/>
    <hyperlink ref="B18" location="'Guidelines - Definitions'!A1" display="GUIDELINES" xr:uid="{04687EFF-4855-43D5-8421-AFB5B8B54C60}"/>
    <hyperlink ref="B19" location="'Guidelines - Bottom Lines'!A1" display="GUIDELINES - CARGO" xr:uid="{454CC141-90FF-4B3F-9CD0-0D36F1884EB9}"/>
  </hyperlinks>
  <pageMargins left="0.98425196850393704" right="0.98425196850393704" top="0.78740157480314965" bottom="0.39370078740157483" header="0" footer="0"/>
  <pageSetup paperSize="9" orientation="landscape"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'Calc ASTM'!$D$29:$D$45</xm:f>
          </x14:formula1>
          <xm:sqref>F12:H12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tabColor rgb="FF008080"/>
  </sheetPr>
  <dimension ref="A1:AM186"/>
  <sheetViews>
    <sheetView showGridLines="0" showRowColHeaders="0" topLeftCell="B1" workbookViewId="0">
      <selection activeCell="B13" sqref="B13"/>
    </sheetView>
  </sheetViews>
  <sheetFormatPr defaultColWidth="9.1328125" defaultRowHeight="12.75"/>
  <cols>
    <col min="1" max="1" width="0" hidden="1" customWidth="1"/>
    <col min="2" max="2" width="36.6640625" style="11" customWidth="1"/>
    <col min="3" max="3" width="2.6640625" style="5" customWidth="1"/>
    <col min="4" max="4" width="9.1328125" style="5" customWidth="1"/>
    <col min="5" max="5" width="26.53125" style="5" customWidth="1"/>
    <col min="6" max="6" width="16.6640625" style="5" customWidth="1"/>
    <col min="7" max="7" width="11.6640625" style="5" customWidth="1"/>
    <col min="8" max="8" width="28.6640625" style="5" customWidth="1"/>
    <col min="9" max="9" width="2.6640625" style="5" customWidth="1"/>
    <col min="10" max="14" width="9.1328125" style="5"/>
    <col min="15" max="15" width="9.1328125" style="5" customWidth="1"/>
    <col min="16" max="16" width="9.1328125" style="5"/>
    <col min="17" max="17" width="9.1328125" style="5" customWidth="1"/>
    <col min="18" max="16384" width="9.1328125" style="5"/>
  </cols>
  <sheetData>
    <row r="1" spans="1:39" ht="12.75" customHeight="1">
      <c r="A1" s="1"/>
      <c r="B1" s="63"/>
      <c r="C1" s="2"/>
      <c r="D1" s="3"/>
      <c r="E1" s="4"/>
      <c r="F1" s="4"/>
      <c r="O1" s="3"/>
      <c r="Q1" s="6"/>
    </row>
    <row r="2" spans="1:39" s="247" customFormat="1" ht="21" customHeight="1">
      <c r="A2" s="1"/>
      <c r="B2" s="3187" t="s">
        <v>0</v>
      </c>
      <c r="C2" s="2"/>
      <c r="D2" s="332" t="s">
        <v>157</v>
      </c>
      <c r="E2" s="245"/>
      <c r="F2" s="245"/>
      <c r="G2" s="333"/>
      <c r="H2" s="333"/>
      <c r="I2" s="333"/>
      <c r="J2" s="333"/>
      <c r="M2" s="246"/>
      <c r="N2" s="246"/>
      <c r="O2" s="334"/>
      <c r="P2" s="246"/>
      <c r="Q2" s="246"/>
      <c r="R2" s="246"/>
      <c r="S2" s="246"/>
      <c r="T2" s="246"/>
      <c r="U2" s="246"/>
      <c r="V2" s="246"/>
      <c r="W2" s="246"/>
      <c r="X2" s="246"/>
      <c r="Y2" s="246"/>
      <c r="Z2" s="246"/>
      <c r="AA2" s="246"/>
      <c r="AB2" s="246"/>
      <c r="AC2" s="246"/>
      <c r="AD2" s="246"/>
      <c r="AE2" s="246"/>
      <c r="AF2" s="246"/>
      <c r="AG2" s="246"/>
      <c r="AH2" s="246"/>
      <c r="AI2" s="246"/>
      <c r="AJ2" s="246"/>
      <c r="AK2" s="246"/>
      <c r="AL2" s="246"/>
      <c r="AM2" s="246"/>
    </row>
    <row r="3" spans="1:39" ht="21" customHeight="1">
      <c r="A3" s="1"/>
      <c r="B3" s="3187"/>
      <c r="C3" s="2"/>
      <c r="E3" s="342"/>
      <c r="Q3" s="6"/>
    </row>
    <row r="4" spans="1:39" ht="21" customHeight="1">
      <c r="A4" s="1"/>
      <c r="B4" s="63"/>
      <c r="C4" s="2"/>
      <c r="D4" s="3198" t="s">
        <v>241</v>
      </c>
      <c r="E4" s="3199"/>
      <c r="F4" s="3199"/>
      <c r="G4" s="3199"/>
      <c r="H4" s="3199"/>
      <c r="I4" s="3199"/>
      <c r="J4" s="3200"/>
      <c r="O4" s="7"/>
      <c r="Q4" s="6"/>
    </row>
    <row r="5" spans="1:39" ht="21" customHeight="1">
      <c r="A5" s="1"/>
      <c r="B5" s="62" t="s">
        <v>1</v>
      </c>
      <c r="D5" s="661"/>
      <c r="E5" s="668"/>
      <c r="F5" s="662"/>
      <c r="G5" s="662"/>
      <c r="H5" s="662"/>
      <c r="I5" s="662"/>
      <c r="J5" s="663"/>
      <c r="O5" s="241"/>
      <c r="Q5" s="6"/>
    </row>
    <row r="6" spans="1:39" ht="21" customHeight="1">
      <c r="A6" s="1"/>
      <c r="B6" s="397" t="s">
        <v>452</v>
      </c>
      <c r="D6" s="596"/>
      <c r="E6" s="244" t="s">
        <v>132</v>
      </c>
      <c r="F6" s="248">
        <v>0.87419999999999998</v>
      </c>
      <c r="G6" s="664" t="s">
        <v>167</v>
      </c>
      <c r="H6" s="665" t="s">
        <v>111</v>
      </c>
      <c r="J6" s="396"/>
      <c r="O6" s="241"/>
      <c r="Q6" s="6"/>
    </row>
    <row r="7" spans="1:39" ht="21" customHeight="1">
      <c r="A7" s="1"/>
      <c r="B7" s="146" t="s">
        <v>239</v>
      </c>
      <c r="D7" s="596"/>
      <c r="E7" s="244" t="s">
        <v>130</v>
      </c>
      <c r="F7" s="301">
        <f>'Calc ASTM'!K50</f>
        <v>30.362000000000002</v>
      </c>
      <c r="G7" s="664" t="s">
        <v>166</v>
      </c>
      <c r="H7" s="665" t="s">
        <v>111</v>
      </c>
      <c r="J7" s="396"/>
      <c r="O7" s="241"/>
      <c r="Q7" s="6"/>
    </row>
    <row r="8" spans="1:39" ht="21" customHeight="1">
      <c r="A8" s="1"/>
      <c r="B8" s="145" t="s">
        <v>448</v>
      </c>
      <c r="D8" s="596"/>
      <c r="E8" s="244" t="s">
        <v>131</v>
      </c>
      <c r="F8" s="331">
        <f>'Calc ASTM'!K51</f>
        <v>873.69999999999993</v>
      </c>
      <c r="G8" s="664" t="s">
        <v>168</v>
      </c>
      <c r="H8" s="665" t="s">
        <v>111</v>
      </c>
      <c r="J8" s="396"/>
      <c r="O8" s="241"/>
      <c r="Q8" s="6"/>
    </row>
    <row r="9" spans="1:39" ht="21" customHeight="1">
      <c r="A9" s="1"/>
      <c r="B9" s="145" t="s">
        <v>559</v>
      </c>
      <c r="D9" s="596"/>
      <c r="E9" s="244" t="s">
        <v>131</v>
      </c>
      <c r="F9" s="373">
        <f>F8/1000</f>
        <v>0.87369999999999992</v>
      </c>
      <c r="G9" s="664" t="s">
        <v>168</v>
      </c>
      <c r="H9" s="666"/>
      <c r="J9" s="396"/>
      <c r="O9" s="241"/>
      <c r="Q9" s="6"/>
    </row>
    <row r="10" spans="1:39" ht="21" customHeight="1">
      <c r="A10" s="1"/>
      <c r="B10" s="145" t="s">
        <v>509</v>
      </c>
      <c r="D10" s="596"/>
      <c r="E10" s="244" t="s">
        <v>131</v>
      </c>
      <c r="F10" s="2799">
        <f>F8/1000</f>
        <v>0.87369999999999992</v>
      </c>
      <c r="G10" s="664" t="s">
        <v>168</v>
      </c>
      <c r="J10" s="396"/>
      <c r="O10" s="241"/>
    </row>
    <row r="11" spans="1:39" ht="21" customHeight="1">
      <c r="A11" s="1"/>
      <c r="B11" s="145" t="s">
        <v>539</v>
      </c>
      <c r="C11" s="396"/>
      <c r="D11" s="596"/>
      <c r="E11" s="287"/>
      <c r="F11" s="318"/>
      <c r="J11" s="396"/>
      <c r="O11" s="241"/>
    </row>
    <row r="12" spans="1:39" ht="21" customHeight="1">
      <c r="A12" s="1"/>
      <c r="B12" s="147" t="s">
        <v>540</v>
      </c>
      <c r="D12" s="596"/>
      <c r="E12" s="287" t="s">
        <v>147</v>
      </c>
      <c r="F12" s="3205" t="s">
        <v>418</v>
      </c>
      <c r="G12" s="3206"/>
      <c r="H12" s="3207"/>
      <c r="J12" s="396"/>
      <c r="O12" s="241"/>
    </row>
    <row r="13" spans="1:39" ht="21" customHeight="1">
      <c r="A13" s="1"/>
      <c r="B13" s="145" t="s">
        <v>541</v>
      </c>
      <c r="C13" s="2"/>
      <c r="D13" s="596"/>
      <c r="J13" s="396"/>
      <c r="O13" s="241"/>
    </row>
    <row r="14" spans="1:39" ht="21" customHeight="1">
      <c r="A14" s="1"/>
      <c r="B14" s="145" t="s">
        <v>1037</v>
      </c>
      <c r="C14" s="2"/>
      <c r="D14" s="596"/>
      <c r="E14" s="287" t="str">
        <f>CONCATENATE(VLOOKUP(MATCH(F12,'Calc ASTM'!D53:D66,0),'Calc ASTM'!C53:M66,COLUMNS('Calc ASTM'!C53:E53))," : ")</f>
        <v xml:space="preserve">US Barrels at 60°F : </v>
      </c>
      <c r="F14" s="680">
        <v>1000</v>
      </c>
      <c r="J14" s="396"/>
    </row>
    <row r="15" spans="1:39" ht="21" customHeight="1">
      <c r="A15" s="1"/>
      <c r="B15" s="62" t="s">
        <v>1263</v>
      </c>
      <c r="C15" s="2"/>
      <c r="D15" s="596"/>
      <c r="E15" s="669" t="str">
        <f>CONCATENATE(VLOOKUP(MATCH(F12,'Calc ASTM'!D53:D66,0),'Calc ASTM'!C53:M66,COLUMNS('Calc ASTM'!C53:I53))," : ")</f>
        <v xml:space="preserve">ASTM Table 27 : </v>
      </c>
      <c r="F15" s="667">
        <f>VLOOKUP(MATCH(F12,'Calc ASTM'!D53:D66,0),'Calc ASTM'!C53:M66,COLUMNS('Calc ASTM'!C53:K53))</f>
        <v>0.152864</v>
      </c>
      <c r="G15" s="1005" t="str">
        <f>CONCATENATE(VLOOKUP(MATCH(F12,'Calc ASTM'!D53:D66,0),'Calc ASTM'!C53:M66,COLUMNS('Calc ASTM'!C53:J53))," per ",VLOOKUP(MATCH(F12,'Calc ASTM'!D53:D66,0),'Calc ASTM'!C53:M66,COLUMNS('Calc ASTM'!C53:M53)))</f>
        <v>Short Tons per US Barrel at 60°F</v>
      </c>
      <c r="J15" s="396"/>
    </row>
    <row r="16" spans="1:39" ht="21" customHeight="1">
      <c r="A16" s="1"/>
      <c r="B16" s="62" t="s">
        <v>557</v>
      </c>
      <c r="C16" s="2"/>
      <c r="D16" s="597"/>
      <c r="E16" s="287" t="str">
        <f>CONCATENATE(VLOOKUP(MATCH(F12,'Calc ASTM'!D53:D66,0),'Calc ASTM'!C53:M66,COLUMNS('Calc ASTM'!C53:F53))," : ")</f>
        <v xml:space="preserve">Short Tons (in AIR) : </v>
      </c>
      <c r="F16" s="330">
        <f>VLOOKUP(MATCH(F12,'Calc ASTM'!D53:D66,0),'Calc ASTM'!C53:M66,COLUMNS('Calc ASTM'!C53:H53))</f>
        <v>152.864</v>
      </c>
      <c r="J16" s="396"/>
    </row>
    <row r="17" spans="1:15" ht="21" customHeight="1">
      <c r="A17" s="1"/>
      <c r="B17" s="62" t="s">
        <v>238</v>
      </c>
      <c r="C17" s="2"/>
      <c r="D17" s="597"/>
      <c r="J17" s="396"/>
    </row>
    <row r="18" spans="1:15" ht="21" customHeight="1">
      <c r="A18" s="1"/>
      <c r="B18" s="62" t="s">
        <v>1652</v>
      </c>
      <c r="C18" s="2"/>
      <c r="D18" s="598"/>
      <c r="E18" s="463"/>
      <c r="F18" s="463"/>
      <c r="G18" s="463"/>
      <c r="H18" s="463"/>
      <c r="I18" s="463"/>
      <c r="J18" s="462"/>
    </row>
    <row r="19" spans="1:15" ht="21" customHeight="1">
      <c r="A19" s="1"/>
      <c r="B19" s="62" t="s">
        <v>1653</v>
      </c>
      <c r="C19" s="2"/>
      <c r="O19" s="242"/>
    </row>
    <row r="20" spans="1:15" ht="21" customHeight="1">
      <c r="A20" s="1"/>
      <c r="B20" s="62" t="s">
        <v>40</v>
      </c>
      <c r="C20" s="2"/>
    </row>
    <row r="21" spans="1:15" ht="21" customHeight="1">
      <c r="A21" s="1"/>
      <c r="B21" s="62" t="s">
        <v>238</v>
      </c>
      <c r="C21" s="2"/>
      <c r="D21" s="242"/>
    </row>
    <row r="22" spans="1:15" ht="21" customHeight="1">
      <c r="A22" s="1"/>
      <c r="B22" s="62" t="s">
        <v>39</v>
      </c>
      <c r="C22" s="2"/>
      <c r="O22" s="9"/>
    </row>
    <row r="23" spans="1:15" ht="21" customHeight="1">
      <c r="A23" s="1"/>
      <c r="B23" s="62" t="s">
        <v>38</v>
      </c>
      <c r="C23" s="2"/>
      <c r="E23" s="3204"/>
      <c r="F23" s="3204"/>
    </row>
    <row r="24" spans="1:15" ht="21" customHeight="1">
      <c r="A24" s="1"/>
      <c r="B24" s="62"/>
      <c r="C24" s="2"/>
      <c r="D24" s="9"/>
    </row>
    <row r="25" spans="1:15" ht="21" customHeight="1">
      <c r="A25" s="1"/>
      <c r="B25" s="565"/>
      <c r="C25" s="2"/>
      <c r="E25" s="243"/>
      <c r="F25" s="243"/>
    </row>
    <row r="26" spans="1:15" ht="21" customHeight="1">
      <c r="A26" s="1"/>
      <c r="B26" s="63"/>
      <c r="C26" s="2"/>
      <c r="E26" s="243"/>
      <c r="F26" s="243"/>
    </row>
    <row r="27" spans="1:15" ht="21" customHeight="1">
      <c r="A27" s="1"/>
      <c r="B27" s="63"/>
      <c r="C27" s="2"/>
      <c r="E27" s="243"/>
      <c r="F27" s="243"/>
    </row>
    <row r="28" spans="1:15" ht="21" customHeight="1">
      <c r="A28" s="1"/>
      <c r="B28" s="63"/>
      <c r="C28" s="2"/>
    </row>
    <row r="29" spans="1:15" ht="21" customHeight="1">
      <c r="A29" s="1"/>
      <c r="B29" s="63"/>
      <c r="C29" s="2"/>
    </row>
    <row r="30" spans="1:15" ht="21" customHeight="1">
      <c r="A30" s="1"/>
      <c r="B30" s="63"/>
      <c r="C30" s="2"/>
    </row>
    <row r="31" spans="1:15" ht="21" customHeight="1">
      <c r="A31" s="1"/>
      <c r="B31" s="8"/>
      <c r="C31" s="2"/>
    </row>
    <row r="32" spans="1:15" ht="21" customHeight="1">
      <c r="A32" s="1"/>
      <c r="B32" s="8"/>
      <c r="C32" s="2"/>
    </row>
    <row r="33" spans="1:3" ht="21" customHeight="1">
      <c r="A33" s="1"/>
      <c r="B33" s="8"/>
      <c r="C33" s="2"/>
    </row>
    <row r="34" spans="1:3" ht="21" customHeight="1">
      <c r="A34" s="1"/>
      <c r="B34" s="10"/>
      <c r="C34" s="2"/>
    </row>
    <row r="35" spans="1:3" ht="21" customHeight="1">
      <c r="A35" s="1"/>
      <c r="B35" s="10"/>
      <c r="C35" s="2"/>
    </row>
    <row r="36" spans="1:3" ht="21" customHeight="1">
      <c r="A36" s="1"/>
      <c r="B36" s="10"/>
      <c r="C36" s="2"/>
    </row>
    <row r="37" spans="1:3" ht="21" customHeight="1">
      <c r="A37" s="1"/>
      <c r="B37" s="10"/>
      <c r="C37" s="2"/>
    </row>
    <row r="38" spans="1:3" ht="21" customHeight="1">
      <c r="A38" s="1"/>
      <c r="B38" s="10"/>
      <c r="C38" s="2"/>
    </row>
    <row r="39" spans="1:3" ht="21" customHeight="1">
      <c r="A39" s="1"/>
      <c r="B39" s="10"/>
      <c r="C39" s="2"/>
    </row>
    <row r="40" spans="1:3" ht="15" customHeight="1">
      <c r="A40" s="1"/>
      <c r="B40" s="10"/>
      <c r="C40" s="2"/>
    </row>
    <row r="41" spans="1:3" ht="15" customHeight="1">
      <c r="A41" s="1"/>
      <c r="B41" s="10"/>
      <c r="C41" s="2"/>
    </row>
    <row r="42" spans="1:3" ht="15" customHeight="1">
      <c r="A42" s="1"/>
      <c r="B42" s="10"/>
      <c r="C42" s="2"/>
    </row>
    <row r="43" spans="1:3" ht="15" customHeight="1">
      <c r="A43" s="1"/>
      <c r="B43" s="10"/>
      <c r="C43" s="2"/>
    </row>
    <row r="44" spans="1:3" ht="15" customHeight="1">
      <c r="A44" s="1"/>
      <c r="B44" s="10"/>
      <c r="C44" s="2"/>
    </row>
    <row r="45" spans="1:3" ht="15" customHeight="1">
      <c r="A45" s="1"/>
      <c r="B45" s="10"/>
      <c r="C45" s="2"/>
    </row>
    <row r="46" spans="1:3" ht="15" customHeight="1">
      <c r="A46" s="1"/>
      <c r="B46" s="10"/>
      <c r="C46" s="2"/>
    </row>
    <row r="47" spans="1:3" ht="15" customHeight="1">
      <c r="A47" s="1"/>
      <c r="B47" s="10"/>
      <c r="C47" s="2"/>
    </row>
    <row r="48" spans="1:3" ht="15" customHeight="1">
      <c r="A48" s="1"/>
      <c r="B48" s="10"/>
      <c r="C48" s="2"/>
    </row>
    <row r="49" spans="1:3" ht="15" customHeight="1">
      <c r="A49" s="1"/>
      <c r="B49" s="10"/>
      <c r="C49" s="2"/>
    </row>
    <row r="50" spans="1:3" ht="15" customHeight="1">
      <c r="A50" s="1"/>
      <c r="B50" s="10"/>
      <c r="C50" s="2"/>
    </row>
    <row r="51" spans="1:3" ht="15" customHeight="1">
      <c r="A51" s="1"/>
      <c r="B51" s="10"/>
      <c r="C51" s="2"/>
    </row>
    <row r="52" spans="1:3" ht="15" customHeight="1">
      <c r="A52" s="1"/>
      <c r="B52" s="10"/>
      <c r="C52" s="2"/>
    </row>
    <row r="53" spans="1:3" ht="15" customHeight="1">
      <c r="A53" s="1"/>
      <c r="B53" s="10"/>
      <c r="C53" s="2"/>
    </row>
    <row r="54" spans="1:3" ht="15" customHeight="1">
      <c r="A54" s="1"/>
      <c r="B54" s="10"/>
      <c r="C54" s="2"/>
    </row>
    <row r="55" spans="1:3" ht="15" customHeight="1">
      <c r="A55" s="1"/>
      <c r="B55" s="10"/>
      <c r="C55" s="2"/>
    </row>
    <row r="56" spans="1:3" ht="15" customHeight="1">
      <c r="A56" s="1"/>
      <c r="B56" s="10"/>
      <c r="C56" s="2"/>
    </row>
    <row r="57" spans="1:3" ht="15" customHeight="1">
      <c r="A57" s="1"/>
      <c r="B57" s="10"/>
      <c r="C57" s="2"/>
    </row>
    <row r="58" spans="1:3" ht="15" customHeight="1">
      <c r="A58" s="1"/>
      <c r="B58" s="10"/>
      <c r="C58" s="2"/>
    </row>
    <row r="59" spans="1:3" ht="15" customHeight="1">
      <c r="A59" s="1"/>
      <c r="B59" s="10"/>
      <c r="C59" s="2"/>
    </row>
    <row r="60" spans="1:3" ht="15" customHeight="1">
      <c r="A60" s="1"/>
      <c r="B60" s="10"/>
      <c r="C60" s="2"/>
    </row>
    <row r="61" spans="1:3">
      <c r="A61" s="1"/>
      <c r="B61" s="10"/>
      <c r="C61" s="2"/>
    </row>
    <row r="62" spans="1:3">
      <c r="A62" s="1"/>
      <c r="B62" s="10"/>
      <c r="C62" s="2"/>
    </row>
    <row r="63" spans="1:3">
      <c r="A63" s="1"/>
      <c r="B63" s="10"/>
      <c r="C63" s="2"/>
    </row>
    <row r="64" spans="1:3">
      <c r="A64" s="1"/>
      <c r="B64" s="10"/>
      <c r="C64" s="2"/>
    </row>
    <row r="65" spans="1:3">
      <c r="A65" s="1"/>
      <c r="B65" s="10"/>
      <c r="C65" s="2"/>
    </row>
    <row r="66" spans="1:3">
      <c r="A66" s="1"/>
      <c r="B66" s="10"/>
      <c r="C66" s="2"/>
    </row>
    <row r="67" spans="1:3">
      <c r="A67" s="1"/>
      <c r="B67" s="10"/>
      <c r="C67" s="2"/>
    </row>
    <row r="68" spans="1:3">
      <c r="A68" s="1"/>
      <c r="B68" s="10"/>
      <c r="C68" s="2"/>
    </row>
    <row r="69" spans="1:3">
      <c r="A69" s="1"/>
      <c r="B69" s="10"/>
      <c r="C69" s="2"/>
    </row>
    <row r="70" spans="1:3">
      <c r="A70" s="1"/>
      <c r="B70" s="10"/>
      <c r="C70" s="2"/>
    </row>
    <row r="71" spans="1:3">
      <c r="A71" s="1"/>
      <c r="B71" s="10"/>
      <c r="C71" s="2"/>
    </row>
    <row r="72" spans="1:3">
      <c r="A72" s="1"/>
      <c r="B72" s="10"/>
      <c r="C72" s="2"/>
    </row>
    <row r="73" spans="1:3">
      <c r="A73" s="1"/>
      <c r="B73" s="10"/>
      <c r="C73" s="2"/>
    </row>
    <row r="74" spans="1:3">
      <c r="A74" s="1"/>
      <c r="B74" s="10"/>
      <c r="C74" s="2"/>
    </row>
    <row r="75" spans="1:3">
      <c r="A75" s="1"/>
      <c r="B75" s="10"/>
      <c r="C75" s="2"/>
    </row>
    <row r="76" spans="1:3" ht="15.95" customHeight="1">
      <c r="A76" s="1"/>
      <c r="B76" s="10"/>
      <c r="C76" s="2"/>
    </row>
    <row r="77" spans="1:3" ht="15.95" customHeight="1">
      <c r="A77" s="1"/>
      <c r="B77" s="10"/>
      <c r="C77" s="2"/>
    </row>
    <row r="78" spans="1:3" ht="15.95" customHeight="1">
      <c r="A78" s="1"/>
      <c r="B78" s="10"/>
      <c r="C78" s="2"/>
    </row>
    <row r="79" spans="1:3" ht="15.95" customHeight="1">
      <c r="A79" s="1"/>
      <c r="B79" s="10"/>
      <c r="C79" s="2"/>
    </row>
    <row r="80" spans="1:3" ht="15.95" customHeight="1">
      <c r="A80" s="1"/>
      <c r="B80" s="10"/>
      <c r="C80" s="2"/>
    </row>
    <row r="81" spans="1:3">
      <c r="A81" s="1"/>
      <c r="B81" s="10"/>
      <c r="C81" s="2"/>
    </row>
    <row r="82" spans="1:3">
      <c r="A82" s="1"/>
      <c r="B82" s="10"/>
      <c r="C82" s="2"/>
    </row>
    <row r="83" spans="1:3">
      <c r="A83" s="1"/>
      <c r="B83" s="10"/>
      <c r="C83" s="2"/>
    </row>
    <row r="84" spans="1:3">
      <c r="A84" s="1"/>
      <c r="B84" s="10"/>
      <c r="C84" s="2"/>
    </row>
    <row r="85" spans="1:3" ht="15.95" customHeight="1">
      <c r="A85" s="1"/>
      <c r="B85" s="10"/>
      <c r="C85" s="2"/>
    </row>
    <row r="86" spans="1:3" ht="15.95" customHeight="1">
      <c r="A86" s="1"/>
      <c r="B86" s="10"/>
      <c r="C86" s="2"/>
    </row>
    <row r="87" spans="1:3" ht="15.95" customHeight="1">
      <c r="A87" s="1"/>
      <c r="B87" s="10"/>
      <c r="C87" s="2"/>
    </row>
    <row r="88" spans="1:3" ht="15.95" customHeight="1">
      <c r="A88" s="1"/>
      <c r="B88" s="10"/>
      <c r="C88" s="2"/>
    </row>
    <row r="89" spans="1:3" ht="15.95" customHeight="1">
      <c r="A89" s="1"/>
      <c r="B89" s="10"/>
      <c r="C89" s="2"/>
    </row>
    <row r="90" spans="1:3" ht="15.95" customHeight="1">
      <c r="A90" s="1"/>
      <c r="B90" s="10"/>
      <c r="C90" s="2"/>
    </row>
    <row r="91" spans="1:3" ht="15.95" customHeight="1">
      <c r="A91" s="1"/>
      <c r="B91" s="10"/>
      <c r="C91" s="2"/>
    </row>
    <row r="92" spans="1:3">
      <c r="A92" s="1"/>
      <c r="B92" s="10"/>
      <c r="C92" s="2"/>
    </row>
    <row r="93" spans="1:3">
      <c r="A93" s="1"/>
      <c r="B93" s="10"/>
      <c r="C93" s="2"/>
    </row>
    <row r="94" spans="1:3">
      <c r="A94" s="1"/>
      <c r="B94" s="10"/>
      <c r="C94" s="2"/>
    </row>
    <row r="95" spans="1:3">
      <c r="A95" s="1"/>
      <c r="B95" s="10"/>
      <c r="C95" s="2"/>
    </row>
    <row r="96" spans="1:3" ht="15.95" customHeight="1">
      <c r="A96" s="1"/>
      <c r="B96" s="10"/>
      <c r="C96" s="2"/>
    </row>
    <row r="97" spans="1:3" ht="15.95" customHeight="1">
      <c r="A97" s="1"/>
      <c r="B97" s="10"/>
      <c r="C97" s="2"/>
    </row>
    <row r="98" spans="1:3" ht="15.95" customHeight="1">
      <c r="A98" s="1"/>
      <c r="B98" s="10"/>
      <c r="C98" s="2"/>
    </row>
    <row r="99" spans="1:3" ht="15.95" customHeight="1">
      <c r="A99" s="1"/>
      <c r="B99" s="10"/>
      <c r="C99" s="2"/>
    </row>
    <row r="100" spans="1:3" ht="15.95" customHeight="1">
      <c r="A100" s="1"/>
      <c r="B100" s="10"/>
      <c r="C100" s="2"/>
    </row>
    <row r="101" spans="1:3">
      <c r="A101" s="1"/>
      <c r="B101" s="10"/>
    </row>
    <row r="102" spans="1:3">
      <c r="A102" s="1"/>
      <c r="B102" s="10"/>
    </row>
    <row r="103" spans="1:3">
      <c r="B103" s="10"/>
    </row>
    <row r="104" spans="1:3">
      <c r="B104" s="10"/>
    </row>
    <row r="105" spans="1:3">
      <c r="B105" s="10"/>
    </row>
    <row r="106" spans="1:3">
      <c r="B106" s="10"/>
    </row>
    <row r="107" spans="1:3">
      <c r="B107" s="10"/>
    </row>
    <row r="108" spans="1:3">
      <c r="B108" s="10"/>
    </row>
    <row r="109" spans="1:3">
      <c r="B109" s="10"/>
    </row>
    <row r="110" spans="1:3">
      <c r="B110" s="10"/>
    </row>
    <row r="111" spans="1:3">
      <c r="B111" s="10"/>
    </row>
    <row r="112" spans="1:3">
      <c r="B112" s="10"/>
    </row>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sheetData>
  <mergeCells count="4">
    <mergeCell ref="E23:F23"/>
    <mergeCell ref="B2:B3"/>
    <mergeCell ref="F12:H12"/>
    <mergeCell ref="D4:J4"/>
  </mergeCells>
  <hyperlinks>
    <hyperlink ref="B2:B3" location="Home!A1" display="HOME" xr:uid="{00000000-0004-0000-0300-000001000000}"/>
    <hyperlink ref="H6" location="'ASTM Vol. XI-XII'!BQ11" display="ASTM Table 21" xr:uid="{00000000-0004-0000-0300-000002000000}"/>
    <hyperlink ref="E15" location="'ASTM Vol. XI-XII'!BT1" display="'ASTM Vol. XI-XII'!BT1" xr:uid="{00000000-0004-0000-0300-00000D000000}"/>
    <hyperlink ref="H7:H8" location="'ASTM Vol. XI-XII'!BQ11" display="ASTM Table 21" xr:uid="{00000000-0004-0000-0300-00000F000000}"/>
    <hyperlink ref="B5" location="'Documents Manager'!A1" display="DOCUMENTS MANAGER" xr:uid="{3A51CBEA-B23C-4664-876A-7A7661693C5F}"/>
    <hyperlink ref="B23" location="Disclaimer!A1" display="Disclaimer" xr:uid="{F0295864-D6FC-4ED5-AEA3-F96B8A197719}"/>
    <hyperlink ref="B22" location="Help!A1" display="Help" xr:uid="{6323D915-D4DA-40EC-AC18-0073579C0595}"/>
    <hyperlink ref="B20" location="'Source - Links'!A1" display="SOURCE / LINKS" xr:uid="{C83D14AE-EDD8-4CA1-935C-71A82DAA83C4}"/>
    <hyperlink ref="B11" location="'ASTM Converter (API)'!A1" display="• Entry with API Gravity" xr:uid="{DA455647-5725-4465-BC15-4AC87B2A72E1}"/>
    <hyperlink ref="B12" location="'ASTM Converter (R.Density)'!A1" display="• Entry with Relative Density" xr:uid="{C014A932-0FA2-4280-982E-C5318D5024A0}"/>
    <hyperlink ref="B13" location="'ASTM Converter (Density)'!A1" display="• Entry with Density" xr:uid="{1508FCAA-CCC1-4781-8D72-C939B9897867}"/>
    <hyperlink ref="B7" location="'ASTM Converter (Tab.1)'!A1" display="ASTM - CONVERTERS" xr:uid="{0C2B11DE-4CB6-46F3-A2A1-159FCC0C5FA1}"/>
    <hyperlink ref="B8" location="'ASTM Converter (Tab.1)'!A1" display="• Converter - Table 1 (Volume XI)" xr:uid="{4C81FF27-2C39-4220-82FD-6D9C789A6105}"/>
    <hyperlink ref="B9" location="'ASTM Converter (Tab.2)'!A1" display="• Converter - Table 2 (Volume XI)" xr:uid="{F1CA1A16-A446-4FB4-8CE2-0356E5F00AB5}"/>
    <hyperlink ref="B10" location="'ASTM Converter API-RD-SG-Dens.'!A1" display="• Conventer API-RD-SG-Density" xr:uid="{5A0DD415-E64C-46F8-8BD7-6A4E635B980A}"/>
    <hyperlink ref="B14" location="'ASTM Converter for Crude Oil'!A1" display="• Converter - Tables for Crude Oil" xr:uid="{8CCF3D79-BBE3-45EF-9A00-79D825FCE685}"/>
    <hyperlink ref="B6" location="'ASTM Table Series'!A1" display="ASTM TABLES" xr:uid="{25F479EA-64B8-4A96-8C41-3897108AB781}"/>
    <hyperlink ref="B15" location="'ASTM Calculator V.W.'!A1" display="ASTM - CALCULATORS" xr:uid="{6EF2AC7D-8DD9-4328-B835-5F871D43B3D0}"/>
    <hyperlink ref="B16" location="'Initial&amp;Max. Loading Rate'!A1" display="CARGO - CALCULATORS" xr:uid="{274713C2-E3CA-4909-B80C-13DAD2ECF65B}"/>
    <hyperlink ref="B18" location="'Guidelines - Definitions'!A1" display="GUIDELINES" xr:uid="{52D73C19-E69B-4821-AF2F-10BE05B0BD2A}"/>
    <hyperlink ref="B19" location="'Guidelines - Bottom Lines'!A1" display="GUIDELINES - CARGO" xr:uid="{93762A5E-EF9B-4F44-A24A-20BF89AAE67D}"/>
  </hyperlinks>
  <pageMargins left="0.98425196850393704" right="0.98425196850393704" top="0.78740157480314965" bottom="0.39370078740157483" header="0" footer="0"/>
  <pageSetup paperSize="9" orientation="landscape"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'Calc ASTM'!$D$53:$D$67</xm:f>
          </x14:formula1>
          <xm:sqref>F12:H12</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6">
    <tabColor rgb="FF008080"/>
  </sheetPr>
  <dimension ref="A1:Y186"/>
  <sheetViews>
    <sheetView showGridLines="0" showRowColHeaders="0" topLeftCell="B1" workbookViewId="0">
      <selection activeCell="B16" sqref="B16"/>
    </sheetView>
  </sheetViews>
  <sheetFormatPr defaultColWidth="9.1328125" defaultRowHeight="12.75"/>
  <cols>
    <col min="1" max="1" width="0" hidden="1" customWidth="1"/>
    <col min="2" max="2" width="36.6640625" style="11" customWidth="1"/>
    <col min="3" max="3" width="2.6640625" style="5" customWidth="1"/>
    <col min="4" max="4" width="9.1328125" style="5" customWidth="1"/>
    <col min="5" max="5" width="26.53125" style="5" customWidth="1"/>
    <col min="6" max="6" width="16.6640625" style="5" customWidth="1"/>
    <col min="7" max="7" width="11.6640625" style="5" customWidth="1"/>
    <col min="8" max="8" width="28.6640625" style="5" customWidth="1"/>
    <col min="9" max="9" width="2.6640625" style="5" customWidth="1"/>
    <col min="10" max="14" width="9.1328125" style="5"/>
    <col min="15" max="15" width="9.1328125" style="5" customWidth="1"/>
    <col min="16" max="16" width="9.1328125" style="5"/>
    <col min="17" max="17" width="9.1328125" style="5" customWidth="1"/>
    <col min="18" max="16384" width="9.1328125" style="5"/>
  </cols>
  <sheetData>
    <row r="1" spans="1:25" ht="12.75" customHeight="1">
      <c r="A1" s="1"/>
      <c r="B1" s="63"/>
      <c r="C1" s="2"/>
      <c r="D1" s="3"/>
      <c r="E1" s="4"/>
      <c r="F1" s="4"/>
      <c r="O1" s="3"/>
      <c r="Q1" s="6"/>
    </row>
    <row r="2" spans="1:25" s="247" customFormat="1" ht="21" customHeight="1">
      <c r="A2" s="1"/>
      <c r="B2" s="3187" t="s">
        <v>0</v>
      </c>
      <c r="C2" s="2"/>
      <c r="D2" s="332" t="s">
        <v>158</v>
      </c>
      <c r="E2" s="245"/>
      <c r="F2" s="245"/>
      <c r="G2" s="333"/>
      <c r="H2" s="333"/>
      <c r="I2" s="333"/>
      <c r="J2" s="333"/>
      <c r="M2" s="246"/>
      <c r="N2" s="246"/>
      <c r="O2" s="334"/>
      <c r="P2" s="246"/>
      <c r="Q2" s="246"/>
      <c r="R2" s="246"/>
      <c r="S2" s="246"/>
      <c r="T2" s="246"/>
      <c r="U2" s="246"/>
      <c r="V2" s="246"/>
      <c r="W2" s="246"/>
      <c r="X2" s="246"/>
      <c r="Y2" s="246"/>
    </row>
    <row r="3" spans="1:25" ht="21" customHeight="1">
      <c r="A3" s="1"/>
      <c r="B3" s="3187"/>
      <c r="C3" s="2"/>
      <c r="E3" s="342"/>
      <c r="Q3" s="6"/>
    </row>
    <row r="4" spans="1:25" ht="21" customHeight="1">
      <c r="A4" s="1"/>
      <c r="B4" s="63"/>
      <c r="C4" s="2"/>
      <c r="D4" s="3198" t="s">
        <v>242</v>
      </c>
      <c r="E4" s="3199"/>
      <c r="F4" s="3199"/>
      <c r="G4" s="3199"/>
      <c r="H4" s="3199"/>
      <c r="I4" s="3199"/>
      <c r="J4" s="3200"/>
      <c r="O4" s="7"/>
      <c r="Q4" s="6"/>
    </row>
    <row r="5" spans="1:25" ht="21" customHeight="1">
      <c r="A5" s="1"/>
      <c r="B5" s="62" t="s">
        <v>1</v>
      </c>
      <c r="D5" s="661"/>
      <c r="E5" s="668"/>
      <c r="F5" s="662"/>
      <c r="G5" s="662"/>
      <c r="H5" s="662"/>
      <c r="I5" s="662"/>
      <c r="J5" s="663"/>
      <c r="O5" s="241"/>
      <c r="Q5" s="6"/>
    </row>
    <row r="6" spans="1:25" ht="21" customHeight="1">
      <c r="A6" s="1"/>
      <c r="B6" s="397" t="s">
        <v>452</v>
      </c>
      <c r="D6" s="596"/>
      <c r="E6" s="244" t="s">
        <v>131</v>
      </c>
      <c r="F6" s="727">
        <v>865</v>
      </c>
      <c r="G6" s="664" t="s">
        <v>168</v>
      </c>
      <c r="H6" s="665" t="str">
        <f>IF(F6&gt;2,"ASTM Table 51","")</f>
        <v>ASTM Table 51</v>
      </c>
      <c r="J6" s="396"/>
      <c r="O6" s="241"/>
      <c r="Q6" s="6"/>
    </row>
    <row r="7" spans="1:25" ht="21" customHeight="1">
      <c r="A7" s="1"/>
      <c r="B7" s="146" t="s">
        <v>239</v>
      </c>
      <c r="D7" s="596"/>
      <c r="E7" s="244" t="s">
        <v>131</v>
      </c>
      <c r="F7" s="2800">
        <f>IF(F6&gt;2,F6/1000,F79)</f>
        <v>0.86499999999999999</v>
      </c>
      <c r="G7" s="664" t="s">
        <v>168</v>
      </c>
      <c r="H7" s="665"/>
      <c r="J7" s="396"/>
      <c r="O7" s="241"/>
      <c r="Q7" s="6"/>
    </row>
    <row r="8" spans="1:25" ht="21" customHeight="1">
      <c r="A8" s="1"/>
      <c r="B8" s="145" t="s">
        <v>448</v>
      </c>
      <c r="D8" s="596"/>
      <c r="E8" s="244" t="s">
        <v>131</v>
      </c>
      <c r="F8" s="728">
        <f>IF(F6&lt;2,'Calc ASTM'!K72,'Calc ASTM'!K73)</f>
        <v>0.86499999999999999</v>
      </c>
      <c r="G8" s="664" t="s">
        <v>168</v>
      </c>
      <c r="H8" s="665" t="str">
        <f>IF(F8&gt;2,"ASTM Table 51","")</f>
        <v/>
      </c>
      <c r="J8" s="396"/>
      <c r="O8" s="241"/>
      <c r="Q8" s="6"/>
    </row>
    <row r="9" spans="1:25" ht="21" customHeight="1">
      <c r="A9" s="1"/>
      <c r="B9" s="145" t="s">
        <v>559</v>
      </c>
      <c r="D9" s="596"/>
      <c r="E9" s="244" t="s">
        <v>132</v>
      </c>
      <c r="F9" s="291">
        <f>'Calc ASTM'!K74</f>
        <v>0.86550000000000005</v>
      </c>
      <c r="G9" s="664" t="s">
        <v>167</v>
      </c>
      <c r="H9" s="665" t="s">
        <v>12</v>
      </c>
      <c r="J9" s="396"/>
      <c r="O9" s="241"/>
      <c r="Q9" s="6"/>
    </row>
    <row r="10" spans="1:25" ht="21" customHeight="1">
      <c r="A10" s="1"/>
      <c r="B10" s="145" t="s">
        <v>509</v>
      </c>
      <c r="D10" s="596"/>
      <c r="E10" s="244" t="s">
        <v>130</v>
      </c>
      <c r="F10" s="301">
        <f>'Calc ASTM'!K75</f>
        <v>32</v>
      </c>
      <c r="G10" s="664" t="s">
        <v>166</v>
      </c>
      <c r="H10" s="665" t="s">
        <v>12</v>
      </c>
      <c r="J10" s="396"/>
      <c r="O10" s="241"/>
    </row>
    <row r="11" spans="1:25" ht="21" customHeight="1">
      <c r="A11" s="1"/>
      <c r="B11" s="145" t="s">
        <v>539</v>
      </c>
      <c r="D11" s="596"/>
      <c r="E11" s="287"/>
      <c r="F11" s="318"/>
      <c r="J11" s="396"/>
      <c r="O11" s="241"/>
    </row>
    <row r="12" spans="1:25" ht="21" customHeight="1">
      <c r="A12" s="1"/>
      <c r="B12" s="145" t="s">
        <v>540</v>
      </c>
      <c r="C12" s="396"/>
      <c r="D12" s="596"/>
      <c r="E12" s="287" t="s">
        <v>147</v>
      </c>
      <c r="F12" s="3205" t="s">
        <v>1262</v>
      </c>
      <c r="G12" s="3206"/>
      <c r="H12" s="3207"/>
      <c r="J12" s="396"/>
      <c r="O12" s="241"/>
    </row>
    <row r="13" spans="1:25" ht="21" customHeight="1">
      <c r="A13" s="1"/>
      <c r="B13" s="147" t="s">
        <v>541</v>
      </c>
      <c r="D13" s="596"/>
      <c r="J13" s="396"/>
      <c r="O13" s="241"/>
    </row>
    <row r="14" spans="1:25" ht="21" customHeight="1">
      <c r="A14" s="1"/>
      <c r="B14" s="145" t="s">
        <v>1037</v>
      </c>
      <c r="C14" s="2"/>
      <c r="D14" s="596"/>
      <c r="E14" s="287" t="str">
        <f>CONCATENATE(VLOOKUP(MATCH(F12,'Calc ASTM'!D77:D86,0),'Calc ASTM'!C77:M86,COLUMNS('Calc ASTM'!C77:E77))," : ")</f>
        <v xml:space="preserve">Metric Tons (in AIR) : </v>
      </c>
      <c r="F14" s="680">
        <v>36590</v>
      </c>
      <c r="J14" s="396"/>
    </row>
    <row r="15" spans="1:25" ht="21" customHeight="1">
      <c r="A15" s="1"/>
      <c r="B15" s="62" t="s">
        <v>1263</v>
      </c>
      <c r="C15" s="2"/>
      <c r="D15" s="596"/>
      <c r="E15" s="669" t="str">
        <f>CONCATENATE(VLOOKUP(MATCH(F12,'Calc ASTM'!D77:D86,0),'Calc ASTM'!C77:M86,COLUMNS('Calc ASTM'!C77:I86))," : ")</f>
        <v xml:space="preserve">ASTM Table 56 : </v>
      </c>
      <c r="F15" s="667">
        <f>VLOOKUP(MATCH(F12,'Calc ASTM'!D77:D86,0),'Calc ASTM'!C77:M86,COLUMNS('Calc ASTM'!C77:K86))</f>
        <v>1.1575</v>
      </c>
      <c r="G15" s="1005" t="str">
        <f>CONCATENATE(VLOOKUP(MATCH(F12,'Calc ASTM'!D77:D86,0),'Calc ASTM'!C77:M86,COLUMNS('Calc ASTM'!C77:J86))," per ",VLOOKUP(MATCH(F12,'Calc ASTM'!D77:D86,0),'Calc ASTM'!C77:M86,COLUMNS('Calc ASTM'!C77:M86)))</f>
        <v>Cubic Metres at 15°C per Tonne</v>
      </c>
      <c r="J15" s="396"/>
    </row>
    <row r="16" spans="1:25" ht="21" customHeight="1">
      <c r="A16" s="1"/>
      <c r="B16" s="62" t="s">
        <v>557</v>
      </c>
      <c r="C16" s="2"/>
      <c r="D16" s="597"/>
      <c r="E16" s="287" t="str">
        <f>CONCATENATE(VLOOKUP(MATCH(F12,'Calc ASTM'!D77:D86,0),'Calc ASTM'!C77:M86,COLUMNS('Calc ASTM'!C77:F77))," : ")</f>
        <v xml:space="preserve">Cubic Metres at 15°C : </v>
      </c>
      <c r="F16" s="330">
        <f>VLOOKUP(MATCH(F12,'Calc ASTM'!D77:D86,0),'Calc ASTM'!C77:M86,COLUMNS('Calc ASTM'!C77:H77))</f>
        <v>42352.925000000003</v>
      </c>
      <c r="J16" s="396"/>
    </row>
    <row r="17" spans="1:15" ht="21" customHeight="1">
      <c r="A17" s="1"/>
      <c r="B17" s="62" t="s">
        <v>238</v>
      </c>
      <c r="C17" s="2"/>
      <c r="D17" s="597"/>
      <c r="J17" s="396"/>
    </row>
    <row r="18" spans="1:15" ht="21" customHeight="1">
      <c r="A18" s="1"/>
      <c r="B18" s="62" t="s">
        <v>1652</v>
      </c>
      <c r="C18" s="2"/>
      <c r="D18" s="598"/>
      <c r="E18" s="463"/>
      <c r="F18" s="463"/>
      <c r="G18" s="463"/>
      <c r="H18" s="463"/>
      <c r="I18" s="463"/>
      <c r="J18" s="462"/>
    </row>
    <row r="19" spans="1:15" ht="21" customHeight="1">
      <c r="A19" s="1"/>
      <c r="B19" s="62" t="s">
        <v>1653</v>
      </c>
      <c r="C19" s="2"/>
      <c r="O19" s="242"/>
    </row>
    <row r="20" spans="1:15" ht="21" customHeight="1">
      <c r="A20" s="1"/>
      <c r="B20" s="62" t="s">
        <v>40</v>
      </c>
      <c r="C20" s="2"/>
    </row>
    <row r="21" spans="1:15" ht="21" customHeight="1">
      <c r="A21" s="1"/>
      <c r="B21" s="62" t="s">
        <v>238</v>
      </c>
      <c r="C21" s="2"/>
      <c r="D21" s="242"/>
    </row>
    <row r="22" spans="1:15" ht="21" customHeight="1">
      <c r="A22" s="1"/>
      <c r="B22" s="62" t="s">
        <v>39</v>
      </c>
      <c r="C22" s="2"/>
      <c r="O22" s="9"/>
    </row>
    <row r="23" spans="1:15" ht="21" customHeight="1">
      <c r="A23" s="1"/>
      <c r="B23" s="62" t="s">
        <v>38</v>
      </c>
      <c r="C23" s="2"/>
      <c r="E23" s="3204"/>
      <c r="F23" s="3204"/>
    </row>
    <row r="24" spans="1:15" ht="21" customHeight="1">
      <c r="A24" s="1"/>
      <c r="B24" s="62"/>
      <c r="C24" s="2"/>
      <c r="D24" s="9"/>
    </row>
    <row r="25" spans="1:15" ht="21" customHeight="1">
      <c r="A25" s="1"/>
      <c r="B25" s="565"/>
      <c r="C25" s="2"/>
      <c r="E25" s="243"/>
      <c r="F25" s="243"/>
    </row>
    <row r="26" spans="1:15" ht="21" customHeight="1">
      <c r="A26" s="1"/>
      <c r="B26" s="63"/>
      <c r="C26" s="2"/>
      <c r="E26" s="243"/>
      <c r="F26" s="243"/>
    </row>
    <row r="27" spans="1:15" ht="21" customHeight="1">
      <c r="A27" s="1"/>
      <c r="B27" s="63"/>
      <c r="C27" s="2"/>
      <c r="E27" s="243"/>
      <c r="F27" s="243"/>
    </row>
    <row r="28" spans="1:15" ht="21" customHeight="1">
      <c r="A28" s="1"/>
      <c r="B28" s="63"/>
      <c r="C28" s="2"/>
    </row>
    <row r="29" spans="1:15" ht="21" customHeight="1">
      <c r="A29" s="1"/>
      <c r="B29" s="8"/>
      <c r="C29" s="2"/>
    </row>
    <row r="30" spans="1:15" ht="21" customHeight="1">
      <c r="A30" s="1"/>
      <c r="B30" s="8"/>
      <c r="C30" s="2"/>
    </row>
    <row r="31" spans="1:15" ht="21" customHeight="1">
      <c r="A31" s="1"/>
      <c r="B31" s="8"/>
      <c r="C31" s="2"/>
    </row>
    <row r="32" spans="1:15" ht="21" customHeight="1">
      <c r="A32" s="1"/>
      <c r="B32" s="10"/>
      <c r="C32" s="2"/>
    </row>
    <row r="33" spans="1:3" ht="21" customHeight="1">
      <c r="A33" s="1"/>
      <c r="B33" s="10"/>
      <c r="C33" s="2"/>
    </row>
    <row r="34" spans="1:3" ht="21" customHeight="1">
      <c r="A34" s="1"/>
      <c r="B34" s="10"/>
      <c r="C34" s="2"/>
    </row>
    <row r="35" spans="1:3" ht="21" customHeight="1">
      <c r="A35" s="1"/>
      <c r="B35" s="10"/>
      <c r="C35" s="2"/>
    </row>
    <row r="36" spans="1:3" ht="21" customHeight="1">
      <c r="A36" s="1"/>
      <c r="B36" s="10"/>
      <c r="C36" s="2"/>
    </row>
    <row r="37" spans="1:3" ht="21" customHeight="1">
      <c r="A37" s="1"/>
      <c r="B37" s="10"/>
      <c r="C37" s="2"/>
    </row>
    <row r="38" spans="1:3" ht="21" customHeight="1">
      <c r="A38" s="1"/>
      <c r="B38" s="10"/>
      <c r="C38" s="2"/>
    </row>
    <row r="39" spans="1:3" ht="21" customHeight="1">
      <c r="A39" s="1"/>
      <c r="B39" s="10"/>
      <c r="C39" s="2"/>
    </row>
    <row r="40" spans="1:3" ht="15" customHeight="1">
      <c r="A40" s="1"/>
      <c r="B40" s="10"/>
      <c r="C40" s="2"/>
    </row>
    <row r="41" spans="1:3" ht="15" customHeight="1">
      <c r="A41" s="1"/>
      <c r="B41" s="10"/>
      <c r="C41" s="2"/>
    </row>
    <row r="42" spans="1:3" ht="15" customHeight="1">
      <c r="A42" s="1"/>
      <c r="B42" s="10"/>
      <c r="C42" s="2"/>
    </row>
    <row r="43" spans="1:3" ht="15" customHeight="1">
      <c r="A43" s="1"/>
      <c r="B43" s="10"/>
      <c r="C43" s="2"/>
    </row>
    <row r="44" spans="1:3" ht="15" customHeight="1">
      <c r="A44" s="1"/>
      <c r="B44" s="10"/>
      <c r="C44" s="2"/>
    </row>
    <row r="45" spans="1:3" ht="15" customHeight="1">
      <c r="A45" s="1"/>
      <c r="B45" s="10"/>
      <c r="C45" s="2"/>
    </row>
    <row r="46" spans="1:3" ht="15" customHeight="1">
      <c r="A46" s="1"/>
      <c r="B46" s="10"/>
      <c r="C46" s="2"/>
    </row>
    <row r="47" spans="1:3" ht="15" customHeight="1">
      <c r="A47" s="1"/>
      <c r="B47" s="10"/>
      <c r="C47" s="2"/>
    </row>
    <row r="48" spans="1:3" ht="15" customHeight="1">
      <c r="A48" s="1"/>
      <c r="B48" s="10"/>
      <c r="C48" s="2"/>
    </row>
    <row r="49" spans="1:3" ht="15" customHeight="1">
      <c r="A49" s="1"/>
      <c r="B49" s="10"/>
      <c r="C49" s="2"/>
    </row>
    <row r="50" spans="1:3" ht="15" customHeight="1">
      <c r="A50" s="1"/>
      <c r="B50" s="10"/>
      <c r="C50" s="2"/>
    </row>
    <row r="51" spans="1:3" ht="15" customHeight="1">
      <c r="A51" s="1"/>
      <c r="B51" s="10"/>
      <c r="C51" s="2"/>
    </row>
    <row r="52" spans="1:3" ht="15" customHeight="1">
      <c r="A52" s="1"/>
      <c r="B52" s="10"/>
      <c r="C52" s="2"/>
    </row>
    <row r="53" spans="1:3" ht="15" customHeight="1">
      <c r="A53" s="1"/>
      <c r="B53" s="10"/>
      <c r="C53" s="2"/>
    </row>
    <row r="54" spans="1:3" ht="15" customHeight="1">
      <c r="A54" s="1"/>
      <c r="B54" s="10"/>
      <c r="C54" s="2"/>
    </row>
    <row r="55" spans="1:3" ht="15" customHeight="1">
      <c r="A55" s="1"/>
      <c r="B55" s="10"/>
      <c r="C55" s="2"/>
    </row>
    <row r="56" spans="1:3" ht="15" customHeight="1">
      <c r="A56" s="1"/>
      <c r="B56" s="10"/>
      <c r="C56" s="2"/>
    </row>
    <row r="57" spans="1:3" ht="15" customHeight="1">
      <c r="A57" s="1"/>
      <c r="B57" s="10"/>
      <c r="C57" s="2"/>
    </row>
    <row r="58" spans="1:3" ht="15" customHeight="1">
      <c r="A58" s="1"/>
      <c r="B58" s="10"/>
      <c r="C58" s="2"/>
    </row>
    <row r="59" spans="1:3" ht="15" customHeight="1">
      <c r="A59" s="1"/>
      <c r="B59" s="10"/>
      <c r="C59" s="2"/>
    </row>
    <row r="60" spans="1:3" ht="15" customHeight="1">
      <c r="A60" s="1"/>
      <c r="B60" s="10"/>
      <c r="C60" s="2"/>
    </row>
    <row r="61" spans="1:3">
      <c r="A61" s="1"/>
      <c r="B61" s="10"/>
      <c r="C61" s="2"/>
    </row>
    <row r="62" spans="1:3">
      <c r="A62" s="1"/>
      <c r="B62" s="10"/>
      <c r="C62" s="2"/>
    </row>
    <row r="63" spans="1:3">
      <c r="A63" s="1"/>
      <c r="B63" s="10"/>
      <c r="C63" s="2"/>
    </row>
    <row r="64" spans="1:3">
      <c r="A64" s="1"/>
      <c r="B64" s="10"/>
      <c r="C64" s="2"/>
    </row>
    <row r="65" spans="1:3">
      <c r="A65" s="1"/>
      <c r="B65" s="10"/>
      <c r="C65" s="2"/>
    </row>
    <row r="66" spans="1:3">
      <c r="A66" s="1"/>
      <c r="B66" s="10"/>
      <c r="C66" s="2"/>
    </row>
    <row r="67" spans="1:3">
      <c r="A67" s="1"/>
      <c r="B67" s="10"/>
      <c r="C67" s="2"/>
    </row>
    <row r="68" spans="1:3">
      <c r="A68" s="1"/>
      <c r="B68" s="10"/>
      <c r="C68" s="2"/>
    </row>
    <row r="69" spans="1:3">
      <c r="A69" s="1"/>
      <c r="B69" s="10"/>
      <c r="C69" s="2"/>
    </row>
    <row r="70" spans="1:3">
      <c r="A70" s="1"/>
      <c r="B70" s="10"/>
      <c r="C70" s="2"/>
    </row>
    <row r="71" spans="1:3">
      <c r="A71" s="1"/>
      <c r="B71" s="10"/>
      <c r="C71" s="2"/>
    </row>
    <row r="72" spans="1:3">
      <c r="A72" s="1"/>
      <c r="B72" s="10"/>
      <c r="C72" s="2"/>
    </row>
    <row r="73" spans="1:3">
      <c r="A73" s="1"/>
      <c r="B73" s="10"/>
      <c r="C73" s="2"/>
    </row>
    <row r="74" spans="1:3">
      <c r="A74" s="1"/>
      <c r="B74" s="10"/>
      <c r="C74" s="2"/>
    </row>
    <row r="75" spans="1:3">
      <c r="A75" s="1"/>
      <c r="B75" s="10"/>
      <c r="C75" s="2"/>
    </row>
    <row r="76" spans="1:3" ht="15.95" customHeight="1">
      <c r="A76" s="1"/>
      <c r="B76" s="10"/>
      <c r="C76" s="2"/>
    </row>
    <row r="77" spans="1:3" ht="15.95" customHeight="1">
      <c r="A77" s="1"/>
      <c r="B77" s="10"/>
      <c r="C77" s="2"/>
    </row>
    <row r="78" spans="1:3" ht="15.95" customHeight="1">
      <c r="A78" s="1"/>
      <c r="B78" s="10"/>
      <c r="C78" s="2"/>
    </row>
    <row r="79" spans="1:3" ht="15.95" customHeight="1">
      <c r="A79" s="1"/>
      <c r="B79" s="10"/>
      <c r="C79" s="2"/>
    </row>
    <row r="80" spans="1:3" ht="15.95" customHeight="1">
      <c r="A80" s="1"/>
      <c r="B80" s="10"/>
      <c r="C80" s="2"/>
    </row>
    <row r="81" spans="1:3">
      <c r="A81" s="1"/>
      <c r="B81" s="10"/>
      <c r="C81" s="2"/>
    </row>
    <row r="82" spans="1:3">
      <c r="A82" s="1"/>
      <c r="B82" s="10"/>
      <c r="C82" s="2"/>
    </row>
    <row r="83" spans="1:3">
      <c r="A83" s="1"/>
      <c r="B83" s="10"/>
      <c r="C83" s="2"/>
    </row>
    <row r="84" spans="1:3">
      <c r="A84" s="1"/>
      <c r="B84" s="10"/>
      <c r="C84" s="2"/>
    </row>
    <row r="85" spans="1:3" ht="15.95" customHeight="1">
      <c r="A85" s="1"/>
      <c r="B85" s="10"/>
      <c r="C85" s="2"/>
    </row>
    <row r="86" spans="1:3" ht="15.95" customHeight="1">
      <c r="A86" s="1"/>
      <c r="B86" s="10"/>
      <c r="C86" s="2"/>
    </row>
    <row r="87" spans="1:3" ht="15.95" customHeight="1">
      <c r="A87" s="1"/>
      <c r="B87" s="10"/>
      <c r="C87" s="2"/>
    </row>
    <row r="88" spans="1:3" ht="15.95" customHeight="1">
      <c r="A88" s="1"/>
      <c r="B88" s="10"/>
      <c r="C88" s="2"/>
    </row>
    <row r="89" spans="1:3" ht="15.95" customHeight="1">
      <c r="A89" s="1"/>
      <c r="B89" s="10"/>
      <c r="C89" s="2"/>
    </row>
    <row r="90" spans="1:3" ht="15.95" customHeight="1">
      <c r="A90" s="1"/>
      <c r="B90" s="10"/>
      <c r="C90" s="2"/>
    </row>
    <row r="91" spans="1:3" ht="15.95" customHeight="1">
      <c r="A91" s="1"/>
      <c r="B91" s="10"/>
      <c r="C91" s="2"/>
    </row>
    <row r="92" spans="1:3">
      <c r="A92" s="1"/>
      <c r="B92" s="10"/>
      <c r="C92" s="2"/>
    </row>
    <row r="93" spans="1:3">
      <c r="A93" s="1"/>
      <c r="B93" s="10"/>
      <c r="C93" s="2"/>
    </row>
    <row r="94" spans="1:3">
      <c r="A94" s="1"/>
      <c r="B94" s="10"/>
      <c r="C94" s="2"/>
    </row>
    <row r="95" spans="1:3">
      <c r="A95" s="1"/>
      <c r="B95" s="10"/>
      <c r="C95" s="2"/>
    </row>
    <row r="96" spans="1:3" ht="15.95" customHeight="1">
      <c r="A96" s="1"/>
      <c r="B96" s="10"/>
      <c r="C96" s="2"/>
    </row>
    <row r="97" spans="1:3" ht="15.95" customHeight="1">
      <c r="A97" s="1"/>
      <c r="B97" s="10"/>
      <c r="C97" s="2"/>
    </row>
    <row r="98" spans="1:3" ht="15.95" customHeight="1">
      <c r="A98" s="1"/>
      <c r="B98" s="10"/>
      <c r="C98" s="2"/>
    </row>
    <row r="99" spans="1:3" ht="15.95" customHeight="1">
      <c r="A99" s="1"/>
      <c r="B99" s="10"/>
      <c r="C99" s="2"/>
    </row>
    <row r="100" spans="1:3" ht="15.95" customHeight="1">
      <c r="A100" s="1"/>
      <c r="B100" s="10"/>
      <c r="C100" s="2"/>
    </row>
    <row r="101" spans="1:3">
      <c r="A101" s="1"/>
      <c r="B101" s="10"/>
    </row>
    <row r="102" spans="1:3">
      <c r="A102" s="1"/>
      <c r="B102" s="10"/>
    </row>
    <row r="103" spans="1:3">
      <c r="B103" s="10"/>
    </row>
    <row r="104" spans="1:3">
      <c r="B104" s="10"/>
    </row>
    <row r="105" spans="1:3">
      <c r="B105" s="10"/>
    </row>
    <row r="106" spans="1:3">
      <c r="B106" s="10"/>
    </row>
    <row r="107" spans="1:3">
      <c r="B107" s="10"/>
    </row>
    <row r="108" spans="1:3">
      <c r="B108" s="10"/>
    </row>
    <row r="109" spans="1:3">
      <c r="B109" s="10"/>
    </row>
    <row r="110" spans="1:3">
      <c r="B110" s="10"/>
    </row>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sheetData>
  <mergeCells count="4">
    <mergeCell ref="B2:B3"/>
    <mergeCell ref="F12:H12"/>
    <mergeCell ref="E23:F23"/>
    <mergeCell ref="D4:J4"/>
  </mergeCells>
  <hyperlinks>
    <hyperlink ref="B2:B3" location="Home!A1" display="HOME" xr:uid="{00000000-0004-0000-0400-000000000000}"/>
    <hyperlink ref="H8" location="'ASTM Vol. XI-XII'!CG1" display="ASTM Table 51" xr:uid="{00000000-0004-0000-0400-000001000000}"/>
    <hyperlink ref="H9:H10" location="'ASTM Vol. XI-XII'!CG1" display="ASTM Table 51" xr:uid="{00000000-0004-0000-0400-000002000000}"/>
    <hyperlink ref="E15" location="'ASTM Vol. XI-XII'!CV1" display="'ASTM Vol. XI-XII'!CV1" xr:uid="{00000000-0004-0000-0400-00000E000000}"/>
    <hyperlink ref="H6" location="'ASTM Vol. XI-XII'!CG1" display="ASTM Table 51" xr:uid="{00000000-0004-0000-0400-000010000000}"/>
    <hyperlink ref="B5" location="'Documents Manager'!A1" display="DOCUMENTS MANAGER" xr:uid="{86D2154E-EFC6-4D32-8B0F-4A9E741673F2}"/>
    <hyperlink ref="B23" location="Disclaimer!A1" display="Disclaimer" xr:uid="{AB9F377A-4248-42A3-B3DD-FB6181C8108F}"/>
    <hyperlink ref="B22" location="Help!A1" display="Help" xr:uid="{BECE711D-7E19-42AC-A1C3-00A341E1DF22}"/>
    <hyperlink ref="B20" location="'Source - Links'!A1" display="SOURCE / LINKS" xr:uid="{6D3BBC19-CDC1-49FC-915E-6B5E07687F1F}"/>
    <hyperlink ref="B11" location="'ASTM Converter (API)'!A1" display="• Entry with API Gravity" xr:uid="{C82EBBCB-B82A-42A6-BBA8-A756B52FF19D}"/>
    <hyperlink ref="B12" location="'ASTM Converter (R.Density)'!A1" display="• Entry with Relative Density" xr:uid="{F1A095BC-193C-4F81-8EE1-FF504B84661D}"/>
    <hyperlink ref="B13" location="'ASTM Converter (Density)'!A1" display="• Entry with Density" xr:uid="{C168296F-FA0B-45C4-825E-DA3BF0775A77}"/>
    <hyperlink ref="B7" location="'ASTM Converter (Tab.1)'!A1" display="ASTM - CONVERTERS" xr:uid="{FBE1BDBF-948D-48B7-BC5F-A1B6D4F4AE8C}"/>
    <hyperlink ref="B8" location="'ASTM Converter (Tab.1)'!A1" display="• Converter - Table 1 (Volume XI)" xr:uid="{DF732291-CEA0-4FA0-A6C0-AEA2B15AC03D}"/>
    <hyperlink ref="B9" location="'ASTM Converter (Tab.2)'!A1" display="• Converter - Table 2 (Volume XI)" xr:uid="{B92B20D3-40E5-425A-9293-704472089E7C}"/>
    <hyperlink ref="B10" location="'ASTM Converter API-RD-SG-Dens.'!A1" display="• Conventer API-RD-SG-Density" xr:uid="{630956F7-9CBD-4B7A-9BB2-6B9C2687F0D8}"/>
    <hyperlink ref="B14" location="'ASTM Converter for Crude Oil'!A1" display="• Converter - Tables for Crude Oil" xr:uid="{FA4774BD-B2A7-4C80-96B8-C8CC0C405213}"/>
    <hyperlink ref="B6" location="'ASTM Table Series'!A1" display="ASTM TABLES" xr:uid="{46F3A5FA-98A2-4526-B541-73CE7CB9F070}"/>
    <hyperlink ref="B15" location="'ASTM Calculator V.W.'!A1" display="ASTM - CALCULATORS" xr:uid="{E7DA1967-493C-4BCB-92E6-24630AFECA4A}"/>
    <hyperlink ref="B16" location="'Initial&amp;Max. Loading Rate'!A1" display="CARGO - CALCULATORS" xr:uid="{D5458FB3-31CA-4BBC-B7D0-0955E17D1D27}"/>
    <hyperlink ref="B18" location="'Guidelines - Definitions'!A1" display="GUIDELINES" xr:uid="{E16BEAC3-F406-473D-B82E-8542C3AA16D4}"/>
    <hyperlink ref="B19" location="'Guidelines - Bottom Lines'!A1" display="GUIDELINES - CARGO" xr:uid="{357C4A41-ADE5-4DD3-9BB1-0570247DB51F}"/>
  </hyperlinks>
  <pageMargins left="0.98425196850393704" right="0.98425196850393704" top="0.78740157480314965" bottom="0.39370078740157483" header="0" footer="0"/>
  <pageSetup paperSize="9" orientation="landscape" horizontalDpi="300" verticalDpi="3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'Calc ASTM'!$D$77:$D$87</xm:f>
          </x14:formula1>
          <xm:sqref>F12:H12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C92-6014-4775-ADA8-9D2701F4A89A}">
  <sheetPr>
    <tabColor rgb="FF008080"/>
  </sheetPr>
  <dimension ref="A1:IZ864"/>
  <sheetViews>
    <sheetView showGridLines="0" showRowColHeaders="0" topLeftCell="B1" zoomScaleNormal="100" workbookViewId="0">
      <selection activeCell="B13" sqref="B13"/>
    </sheetView>
  </sheetViews>
  <sheetFormatPr defaultColWidth="9.1328125" defaultRowHeight="12.75"/>
  <cols>
    <col min="1" max="1" width="0" style="514" hidden="1" customWidth="1"/>
    <col min="2" max="2" width="36.6640625" style="631" customWidth="1"/>
    <col min="3" max="3" width="2.6640625" style="514" customWidth="1"/>
    <col min="4" max="4" width="9.46484375" style="514" customWidth="1"/>
    <col min="5" max="7" width="8.796875" style="514" customWidth="1"/>
    <col min="8" max="8" width="2.796875" style="514" customWidth="1"/>
    <col min="9" max="12" width="8.796875" style="514" customWidth="1"/>
    <col min="13" max="13" width="2.796875" style="514" customWidth="1"/>
    <col min="14" max="17" width="8.796875" style="514" customWidth="1"/>
    <col min="18" max="18" width="2.796875" style="514" customWidth="1"/>
    <col min="19" max="23" width="8.796875" style="514" customWidth="1"/>
    <col min="24" max="26" width="9.1328125" style="514" customWidth="1"/>
    <col min="27" max="27" width="13.46484375" style="514" bestFit="1" customWidth="1"/>
    <col min="28" max="28" width="11.796875" style="514" bestFit="1" customWidth="1"/>
    <col min="29" max="29" width="8.19921875" style="514" bestFit="1" customWidth="1"/>
    <col min="30" max="30" width="14.796875" style="514" customWidth="1"/>
    <col min="31" max="31" width="10.6640625" style="514" customWidth="1"/>
    <col min="32" max="32" width="12" style="514" bestFit="1" customWidth="1"/>
    <col min="33" max="33" width="14.46484375" style="514" bestFit="1" customWidth="1"/>
    <col min="34" max="34" width="16" style="514" bestFit="1" customWidth="1"/>
    <col min="35" max="36" width="15.6640625" style="514" bestFit="1" customWidth="1"/>
    <col min="37" max="37" width="12.53125" style="514" bestFit="1" customWidth="1"/>
    <col min="38" max="38" width="14.33203125" style="514" customWidth="1"/>
    <col min="39" max="39" width="11.53125" style="514" customWidth="1"/>
    <col min="40" max="40" width="16.796875" style="514" customWidth="1"/>
    <col min="41" max="41" width="17.53125" style="514" customWidth="1"/>
    <col min="42" max="42" width="12.6640625" style="514" bestFit="1" customWidth="1"/>
    <col min="43" max="43" width="18.1328125" style="514" bestFit="1" customWidth="1"/>
    <col min="44" max="44" width="9.1328125" style="514"/>
    <col min="45" max="45" width="9" style="514" customWidth="1"/>
    <col min="46" max="46" width="13.6640625" style="514" customWidth="1"/>
    <col min="47" max="47" width="17.19921875" style="514" customWidth="1"/>
    <col min="48" max="16384" width="9.1328125" style="514"/>
  </cols>
  <sheetData>
    <row r="1" spans="1:260" ht="12.75" customHeight="1">
      <c r="B1" s="612"/>
    </row>
    <row r="2" spans="1:260" s="1398" customFormat="1" ht="21" customHeight="1">
      <c r="A2" s="514"/>
      <c r="B2" s="3210" t="s">
        <v>0</v>
      </c>
      <c r="C2" s="514"/>
      <c r="D2" s="1399" t="s">
        <v>1036</v>
      </c>
      <c r="E2" s="1394"/>
      <c r="F2" s="1395"/>
      <c r="G2" s="1395"/>
      <c r="H2" s="1395"/>
      <c r="I2" s="1395"/>
      <c r="J2" s="1395"/>
      <c r="K2" s="1395"/>
      <c r="L2" s="1395"/>
      <c r="M2" s="1395"/>
      <c r="N2" s="1395"/>
      <c r="O2" s="1395"/>
      <c r="P2" s="1395"/>
      <c r="Q2" s="1395"/>
      <c r="R2" s="1395"/>
      <c r="S2" s="1395"/>
      <c r="T2" s="1395"/>
      <c r="U2" s="1395"/>
      <c r="V2" s="1395"/>
      <c r="W2" s="1932"/>
      <c r="X2" s="1395"/>
      <c r="Y2" s="1932"/>
      <c r="Z2" s="1395"/>
      <c r="AA2" s="1395"/>
      <c r="AB2" s="1395"/>
      <c r="AC2" s="1395"/>
      <c r="AD2" s="1395"/>
      <c r="AE2" s="1395"/>
      <c r="AF2" s="1395"/>
      <c r="AG2" s="1395"/>
      <c r="AH2" s="1395"/>
      <c r="AI2" s="1395"/>
      <c r="AJ2" s="1395"/>
      <c r="AK2" s="1395"/>
      <c r="AL2" s="1395"/>
      <c r="AM2" s="1395"/>
      <c r="AN2" s="1395"/>
      <c r="AO2" s="1395"/>
      <c r="AP2" s="1395"/>
      <c r="AQ2" s="1395"/>
      <c r="AR2" s="1395"/>
      <c r="AS2" s="1395"/>
      <c r="AT2" s="1395"/>
      <c r="AU2" s="1395"/>
      <c r="AV2" s="1395"/>
      <c r="AW2" s="1395"/>
      <c r="AX2" s="1395"/>
      <c r="AY2" s="1395"/>
      <c r="AZ2" s="1395"/>
      <c r="BA2" s="1395"/>
      <c r="BB2" s="1395"/>
      <c r="BC2" s="1395"/>
      <c r="BD2" s="1395"/>
      <c r="BE2" s="1395"/>
      <c r="BF2" s="1395"/>
      <c r="BG2" s="1395"/>
      <c r="BH2" s="1395"/>
      <c r="BI2" s="1395"/>
      <c r="BJ2" s="1395"/>
      <c r="BK2" s="1395"/>
      <c r="BL2" s="1395"/>
      <c r="BM2" s="1395"/>
      <c r="BN2" s="1395"/>
      <c r="BO2" s="1395"/>
      <c r="BP2" s="1395"/>
      <c r="BQ2" s="1395"/>
      <c r="BR2" s="1395"/>
      <c r="BS2" s="1395"/>
      <c r="BT2" s="1395"/>
      <c r="BU2" s="1395"/>
      <c r="BV2" s="1395"/>
      <c r="BW2" s="1395"/>
      <c r="BX2" s="1395"/>
      <c r="BY2" s="1395"/>
      <c r="BZ2" s="1395"/>
      <c r="CA2" s="1395"/>
      <c r="CB2" s="1395"/>
      <c r="CC2" s="1395"/>
      <c r="CD2" s="1395"/>
      <c r="CE2" s="1395"/>
      <c r="CF2" s="1395"/>
      <c r="CG2" s="1395"/>
      <c r="CH2" s="1395"/>
      <c r="CI2" s="1395"/>
      <c r="CJ2" s="1395"/>
      <c r="CK2" s="1395"/>
      <c r="CL2" s="1395"/>
      <c r="CM2" s="1395"/>
      <c r="CN2" s="1395"/>
      <c r="CO2" s="1395"/>
      <c r="CP2" s="1395"/>
      <c r="CQ2" s="1395"/>
      <c r="CR2" s="1395"/>
      <c r="CS2" s="1395"/>
      <c r="CT2" s="1395"/>
      <c r="CU2" s="1395"/>
      <c r="CV2" s="1395"/>
      <c r="CW2" s="1395"/>
      <c r="CX2" s="1395"/>
      <c r="CY2" s="1395"/>
      <c r="CZ2" s="1395"/>
      <c r="DA2" s="1395"/>
      <c r="DB2" s="1395"/>
      <c r="DC2" s="1395"/>
      <c r="DD2" s="1395"/>
      <c r="DE2" s="1395"/>
      <c r="DF2" s="1395"/>
      <c r="DG2" s="1395"/>
      <c r="DH2" s="1395"/>
      <c r="DI2" s="1395"/>
      <c r="DJ2" s="1395"/>
      <c r="DK2" s="1395"/>
      <c r="DL2" s="1395"/>
      <c r="DM2" s="1395"/>
      <c r="DN2" s="1395"/>
      <c r="DO2" s="1395"/>
      <c r="DP2" s="1395"/>
      <c r="DQ2" s="1395"/>
      <c r="DR2" s="1395"/>
      <c r="DS2" s="1395"/>
      <c r="DT2" s="1395"/>
      <c r="DU2" s="1395"/>
      <c r="DV2" s="1395"/>
      <c r="DW2" s="1395"/>
      <c r="DX2" s="1395"/>
      <c r="DY2" s="1395"/>
      <c r="DZ2" s="1395"/>
      <c r="EA2" s="1395"/>
      <c r="EB2" s="1395"/>
      <c r="EC2" s="1395"/>
      <c r="ED2" s="1395"/>
      <c r="EE2" s="1395"/>
      <c r="EF2" s="1395"/>
      <c r="EG2" s="1395"/>
      <c r="EH2" s="1395"/>
      <c r="EI2" s="1395"/>
      <c r="EJ2" s="1395"/>
      <c r="EK2" s="1395"/>
      <c r="EL2" s="1395"/>
      <c r="EM2" s="1395"/>
      <c r="EN2" s="1395"/>
      <c r="EO2" s="1395"/>
      <c r="EP2" s="1395"/>
      <c r="EQ2" s="1395"/>
      <c r="ER2" s="1395"/>
      <c r="ES2" s="1395"/>
      <c r="ET2" s="1395"/>
      <c r="EU2" s="1395"/>
      <c r="EV2" s="1395"/>
      <c r="EW2" s="1395"/>
      <c r="EX2" s="1395"/>
      <c r="EY2" s="1395"/>
      <c r="EZ2" s="1395"/>
      <c r="FA2" s="1395"/>
      <c r="FB2" s="1395"/>
      <c r="FC2" s="1395"/>
      <c r="FD2" s="1395"/>
      <c r="FE2" s="1395"/>
      <c r="FF2" s="1395"/>
      <c r="FG2" s="1395"/>
      <c r="FH2" s="1395"/>
      <c r="FI2" s="1395"/>
      <c r="FJ2" s="1395"/>
      <c r="FK2" s="1395"/>
      <c r="FL2" s="1395"/>
      <c r="FM2" s="1395"/>
      <c r="FN2" s="1395"/>
      <c r="FO2" s="1395"/>
      <c r="FP2" s="1395"/>
      <c r="FQ2" s="1395"/>
      <c r="FR2" s="1395"/>
      <c r="FS2" s="1395"/>
      <c r="FT2" s="1395"/>
      <c r="FU2" s="1395"/>
      <c r="FV2" s="1395"/>
      <c r="FW2" s="1395"/>
      <c r="FX2" s="1395"/>
      <c r="FY2" s="1395"/>
      <c r="FZ2" s="1395"/>
      <c r="GA2" s="1395"/>
      <c r="GB2" s="1395"/>
      <c r="GC2" s="1395"/>
      <c r="GD2" s="1395"/>
      <c r="GE2" s="1395"/>
      <c r="GF2" s="1395"/>
      <c r="GG2" s="1395"/>
      <c r="GH2" s="1395"/>
      <c r="GI2" s="1395"/>
      <c r="GJ2" s="1395"/>
      <c r="GK2" s="1395"/>
      <c r="GL2" s="1395"/>
      <c r="GM2" s="1395"/>
      <c r="GN2" s="1395"/>
      <c r="GO2" s="1395"/>
      <c r="GP2" s="1395"/>
      <c r="GQ2" s="1395"/>
      <c r="GR2" s="1395"/>
      <c r="GS2" s="1395"/>
      <c r="GT2" s="1395"/>
      <c r="GU2" s="1395"/>
      <c r="GV2" s="1395"/>
      <c r="GW2" s="1395"/>
      <c r="GX2" s="1395"/>
      <c r="GY2" s="1395"/>
      <c r="GZ2" s="1395"/>
      <c r="HA2" s="1395"/>
      <c r="HB2" s="1395"/>
      <c r="HC2" s="1395"/>
      <c r="HD2" s="1395"/>
      <c r="HE2" s="1395"/>
      <c r="HF2" s="1395"/>
      <c r="HG2" s="1395"/>
      <c r="HH2" s="1395"/>
      <c r="HI2" s="1395"/>
      <c r="HJ2" s="1395"/>
      <c r="HK2" s="1395"/>
      <c r="HL2" s="1395"/>
      <c r="HM2" s="1395"/>
      <c r="HN2" s="1395"/>
      <c r="HO2" s="1395"/>
      <c r="HP2" s="1395"/>
      <c r="HQ2" s="1395"/>
      <c r="HR2" s="1395"/>
      <c r="HS2" s="1395"/>
      <c r="HT2" s="1395"/>
      <c r="HU2" s="1395"/>
      <c r="HV2" s="1395"/>
      <c r="HW2" s="1395"/>
      <c r="HX2" s="1395"/>
      <c r="HY2" s="1395"/>
      <c r="HZ2" s="1395"/>
      <c r="IA2" s="1395"/>
      <c r="IB2" s="1395"/>
      <c r="IC2" s="1395"/>
      <c r="ID2" s="1395"/>
      <c r="IE2" s="1395"/>
      <c r="IF2" s="1395"/>
      <c r="IG2" s="1395"/>
      <c r="IH2" s="1395"/>
      <c r="II2" s="1395"/>
      <c r="IJ2" s="1395"/>
      <c r="IK2" s="1395"/>
      <c r="IL2" s="1395"/>
      <c r="IM2" s="1395"/>
      <c r="IN2" s="1395"/>
      <c r="IO2" s="1395"/>
      <c r="IP2" s="1395"/>
      <c r="IQ2" s="1395"/>
      <c r="IR2" s="1395"/>
      <c r="IS2" s="1395"/>
      <c r="IT2" s="1395"/>
      <c r="IU2" s="1395"/>
      <c r="IV2" s="1395"/>
      <c r="IW2" s="1395"/>
      <c r="IX2" s="1395"/>
      <c r="IY2" s="1395"/>
      <c r="IZ2" s="1395"/>
    </row>
    <row r="3" spans="1:260" ht="21" customHeight="1">
      <c r="B3" s="3210"/>
      <c r="D3" s="619"/>
      <c r="E3" s="619"/>
      <c r="F3" s="5"/>
      <c r="G3" s="5"/>
      <c r="H3" s="5"/>
      <c r="I3" s="5"/>
      <c r="J3" s="5"/>
      <c r="K3" s="5"/>
      <c r="L3" s="5"/>
      <c r="M3" s="5"/>
      <c r="W3" s="1224"/>
    </row>
    <row r="4" spans="1:260" ht="21" customHeight="1">
      <c r="B4" s="63"/>
      <c r="D4" s="1103" t="s">
        <v>593</v>
      </c>
      <c r="E4" s="1104"/>
      <c r="F4" s="1104"/>
      <c r="G4" s="1104"/>
      <c r="H4" s="1109"/>
      <c r="I4" s="908"/>
      <c r="J4" s="908"/>
      <c r="K4" s="908"/>
      <c r="L4" s="908"/>
      <c r="M4" s="908"/>
      <c r="N4" s="908"/>
      <c r="O4" s="908"/>
      <c r="P4" s="908"/>
      <c r="Q4" s="908"/>
      <c r="R4" s="908"/>
      <c r="S4" s="908"/>
      <c r="T4" s="908"/>
      <c r="U4" s="908"/>
      <c r="V4" s="908"/>
      <c r="W4" s="1224"/>
    </row>
    <row r="5" spans="1:260" ht="21" customHeight="1">
      <c r="B5" s="62" t="s">
        <v>1</v>
      </c>
      <c r="D5" s="1105" t="s">
        <v>594</v>
      </c>
      <c r="E5" s="1106"/>
      <c r="F5" s="1106"/>
      <c r="G5" s="1106"/>
      <c r="H5" s="1109"/>
      <c r="I5" s="1110"/>
      <c r="J5" s="1110"/>
      <c r="K5" s="1109"/>
      <c r="L5" s="1109"/>
      <c r="M5" s="1109"/>
      <c r="N5" s="1109"/>
      <c r="O5" s="1109"/>
      <c r="P5" s="1109"/>
      <c r="Q5" s="1109"/>
      <c r="R5" s="1109"/>
      <c r="S5" s="1109"/>
      <c r="T5" s="1109"/>
      <c r="U5" s="1109"/>
      <c r="V5" s="1109"/>
      <c r="W5" s="2801"/>
      <c r="X5" s="12"/>
      <c r="Y5" s="12"/>
      <c r="Z5" s="12"/>
    </row>
    <row r="6" spans="1:260" ht="21" customHeight="1">
      <c r="B6" s="397" t="s">
        <v>452</v>
      </c>
      <c r="D6" s="1107" t="s">
        <v>595</v>
      </c>
      <c r="E6" s="1108"/>
      <c r="F6" s="1108"/>
      <c r="G6" s="1108"/>
      <c r="H6" s="1109"/>
      <c r="I6" s="1110"/>
      <c r="J6" s="1110"/>
      <c r="K6" s="1109"/>
      <c r="L6" s="1109"/>
      <c r="M6" s="1109"/>
      <c r="N6" s="1109"/>
      <c r="O6" s="1109"/>
      <c r="P6" s="1109"/>
      <c r="Q6" s="1109"/>
      <c r="R6" s="1109"/>
      <c r="S6" s="1109"/>
      <c r="T6" s="1109"/>
      <c r="U6" s="1109"/>
      <c r="V6" s="1109"/>
      <c r="W6" s="2801"/>
      <c r="X6" s="12"/>
      <c r="Y6" s="12"/>
      <c r="Z6" s="12"/>
    </row>
    <row r="7" spans="1:260" ht="21" customHeight="1">
      <c r="B7" s="146" t="s">
        <v>239</v>
      </c>
      <c r="D7" s="1111" t="s">
        <v>596</v>
      </c>
      <c r="E7" s="1111" t="s">
        <v>597</v>
      </c>
      <c r="F7" s="1112" t="s">
        <v>18</v>
      </c>
      <c r="G7" s="1113" t="s">
        <v>598</v>
      </c>
      <c r="H7" s="12"/>
      <c r="I7" s="1111" t="s">
        <v>597</v>
      </c>
      <c r="J7" s="1111" t="s">
        <v>596</v>
      </c>
      <c r="K7" s="1112" t="s">
        <v>18</v>
      </c>
      <c r="L7" s="1113" t="s">
        <v>598</v>
      </c>
      <c r="M7" s="12"/>
      <c r="N7" s="1112" t="s">
        <v>18</v>
      </c>
      <c r="O7" s="1113" t="s">
        <v>598</v>
      </c>
      <c r="P7" s="1111" t="s">
        <v>597</v>
      </c>
      <c r="Q7" s="1111" t="s">
        <v>596</v>
      </c>
      <c r="S7" s="1113" t="s">
        <v>598</v>
      </c>
      <c r="T7" s="1112" t="s">
        <v>18</v>
      </c>
      <c r="U7" s="1111" t="s">
        <v>597</v>
      </c>
      <c r="V7" s="1111" t="s">
        <v>596</v>
      </c>
      <c r="W7" s="12"/>
      <c r="X7" s="12"/>
      <c r="Y7" s="12"/>
      <c r="Z7" s="12"/>
    </row>
    <row r="8" spans="1:260" ht="21" customHeight="1">
      <c r="B8" s="145" t="s">
        <v>448</v>
      </c>
      <c r="D8" s="2869">
        <v>0.82010000000000005</v>
      </c>
      <c r="E8" s="1114">
        <f>VLOOKUP($D8,$D11:$G864,2)</f>
        <v>0.82369999999999999</v>
      </c>
      <c r="F8" s="1116">
        <f>VLOOKUP($D8,$D11:$G864,3)</f>
        <v>40.200000000000003</v>
      </c>
      <c r="G8" s="1114">
        <f>VLOOKUP($D8,$D11:$G864,4)</f>
        <v>7.6394000000000002</v>
      </c>
      <c r="H8" s="1115"/>
      <c r="I8" s="2869">
        <v>0.82369999999999999</v>
      </c>
      <c r="J8" s="1114">
        <f>VLOOKUP($I8,$I11:$L864,2)</f>
        <v>0.82009999999999994</v>
      </c>
      <c r="K8" s="1114">
        <v>40.200000000000003</v>
      </c>
      <c r="L8" s="1114">
        <f>VLOOKUP($I8,$I11:$L864,4)</f>
        <v>7.6394000000000002</v>
      </c>
      <c r="M8" s="1115"/>
      <c r="N8" s="2870">
        <v>24.16</v>
      </c>
      <c r="O8" s="1114">
        <f>VLOOKUP($N8,$N11:$Q864,2)</f>
        <v>6.9264999999999999</v>
      </c>
      <c r="P8" s="1114">
        <f>VLOOKUP($N8,$N11:$Q864,3)</f>
        <v>0.90849999999999997</v>
      </c>
      <c r="Q8" s="1114">
        <f>VLOOKUP($N8,$N11:$Q864,4)</f>
        <v>0.9052</v>
      </c>
      <c r="R8" s="1115"/>
      <c r="S8" s="2870">
        <v>6.9264999999999999</v>
      </c>
      <c r="T8" s="1116">
        <f>VLOOKUP($S8,$S11:$V864,2)</f>
        <v>24.16</v>
      </c>
      <c r="U8" s="1114">
        <f>VLOOKUP($S8,$S11:$V864,3)</f>
        <v>0.90849999999999997</v>
      </c>
      <c r="V8" s="1114">
        <f>VLOOKUP($S8,$S11:$V864,4)</f>
        <v>0.9052</v>
      </c>
      <c r="W8" s="12"/>
      <c r="X8" s="12"/>
      <c r="Y8" s="12"/>
      <c r="Z8" s="12"/>
    </row>
    <row r="9" spans="1:260" ht="21" customHeight="1">
      <c r="B9" s="145" t="s">
        <v>559</v>
      </c>
      <c r="D9" s="1107"/>
      <c r="E9" s="1108"/>
      <c r="F9" s="1108"/>
      <c r="G9" s="1108"/>
      <c r="H9" s="12"/>
      <c r="I9" s="1064"/>
      <c r="J9" s="1064"/>
      <c r="K9" s="12"/>
      <c r="L9" s="12"/>
      <c r="M9" s="12"/>
      <c r="N9" s="12"/>
      <c r="O9" s="12"/>
      <c r="P9" s="12"/>
      <c r="Q9" s="12"/>
      <c r="R9" s="12"/>
      <c r="S9" s="12"/>
      <c r="T9" s="12"/>
      <c r="U9" s="12"/>
      <c r="V9" s="12"/>
      <c r="W9" s="12"/>
      <c r="X9" s="12"/>
      <c r="Y9" s="12"/>
      <c r="Z9" s="12"/>
    </row>
    <row r="10" spans="1:260" ht="21" customHeight="1">
      <c r="B10" s="145" t="s">
        <v>509</v>
      </c>
      <c r="D10" s="1111" t="s">
        <v>596</v>
      </c>
      <c r="E10" s="1111" t="s">
        <v>597</v>
      </c>
      <c r="F10" s="1112" t="s">
        <v>18</v>
      </c>
      <c r="G10" s="1113" t="s">
        <v>598</v>
      </c>
      <c r="H10" s="12"/>
      <c r="I10" s="1111" t="s">
        <v>597</v>
      </c>
      <c r="J10" s="1111" t="s">
        <v>596</v>
      </c>
      <c r="K10" s="1112" t="s">
        <v>18</v>
      </c>
      <c r="L10" s="1113" t="s">
        <v>598</v>
      </c>
      <c r="M10" s="12"/>
      <c r="N10" s="1112" t="s">
        <v>18</v>
      </c>
      <c r="O10" s="1113" t="s">
        <v>598</v>
      </c>
      <c r="P10" s="1111" t="s">
        <v>597</v>
      </c>
      <c r="Q10" s="1111" t="s">
        <v>596</v>
      </c>
      <c r="S10" s="1113" t="s">
        <v>598</v>
      </c>
      <c r="T10" s="1112" t="s">
        <v>18</v>
      </c>
      <c r="U10" s="1111" t="s">
        <v>597</v>
      </c>
      <c r="V10" s="1111" t="s">
        <v>596</v>
      </c>
      <c r="W10" s="12"/>
      <c r="X10" s="12"/>
      <c r="Y10" s="12"/>
      <c r="Z10" s="12"/>
    </row>
    <row r="11" spans="1:260" ht="21" customHeight="1">
      <c r="B11" s="145" t="s">
        <v>539</v>
      </c>
      <c r="D11" s="1117">
        <v>0.82</v>
      </c>
      <c r="E11" s="1117">
        <v>0.8236</v>
      </c>
      <c r="F11" s="1118">
        <v>40.22</v>
      </c>
      <c r="G11" s="1117">
        <v>7.6402999999999999</v>
      </c>
      <c r="H11" s="12"/>
      <c r="I11" s="1117">
        <v>0.8236</v>
      </c>
      <c r="J11" s="1117">
        <v>0.82</v>
      </c>
      <c r="K11" s="1118">
        <v>40.22</v>
      </c>
      <c r="L11" s="1117">
        <v>7.6402999999999999</v>
      </c>
      <c r="M11" s="12"/>
      <c r="N11" s="1118">
        <v>24.15</v>
      </c>
      <c r="O11" s="1117">
        <v>6.9257999999999997</v>
      </c>
      <c r="P11" s="1117">
        <v>0.90859999999999996</v>
      </c>
      <c r="Q11" s="1117">
        <v>0.90529999999999999</v>
      </c>
      <c r="S11" s="1117">
        <v>6.9257999999999997</v>
      </c>
      <c r="T11" s="1118">
        <v>24.15</v>
      </c>
      <c r="U11" s="1117">
        <v>0.90859999999999996</v>
      </c>
      <c r="V11" s="1117">
        <v>0.90529999999999999</v>
      </c>
      <c r="W11" s="12"/>
      <c r="X11" s="12"/>
      <c r="Y11" s="12"/>
      <c r="Z11" s="12"/>
    </row>
    <row r="12" spans="1:260" ht="21" customHeight="1">
      <c r="B12" s="145" t="s">
        <v>540</v>
      </c>
      <c r="D12" s="1119">
        <v>0.82009999999999994</v>
      </c>
      <c r="E12" s="1119">
        <v>0.82369999999999999</v>
      </c>
      <c r="F12" s="1120">
        <v>40.200000000000003</v>
      </c>
      <c r="G12" s="1119">
        <v>7.6394000000000002</v>
      </c>
      <c r="H12" s="12"/>
      <c r="I12" s="1119">
        <v>0.82369999999999999</v>
      </c>
      <c r="J12" s="1119">
        <v>0.82009999999999994</v>
      </c>
      <c r="K12" s="1120">
        <v>40.200000000000003</v>
      </c>
      <c r="L12" s="1119">
        <v>7.6394000000000002</v>
      </c>
      <c r="M12" s="12"/>
      <c r="N12" s="1120">
        <v>24.16</v>
      </c>
      <c r="O12" s="1119">
        <v>6.9264999999999999</v>
      </c>
      <c r="P12" s="1119">
        <v>0.90849999999999997</v>
      </c>
      <c r="Q12" s="1119">
        <v>0.9052</v>
      </c>
      <c r="S12" s="1119">
        <v>6.9264999999999999</v>
      </c>
      <c r="T12" s="1120">
        <v>24.16</v>
      </c>
      <c r="U12" s="1119">
        <v>0.90849999999999997</v>
      </c>
      <c r="V12" s="1119">
        <v>0.9052</v>
      </c>
      <c r="W12" s="12"/>
      <c r="X12" s="12"/>
      <c r="Y12" s="12"/>
      <c r="Z12" s="12"/>
    </row>
    <row r="13" spans="1:260" ht="21" customHeight="1">
      <c r="B13" s="145" t="s">
        <v>541</v>
      </c>
      <c r="D13" s="1119">
        <v>0.82019999999999993</v>
      </c>
      <c r="E13" s="1119">
        <v>0.82379999999999998</v>
      </c>
      <c r="F13" s="1120">
        <v>40.18</v>
      </c>
      <c r="G13" s="1119">
        <v>7.6385000000000005</v>
      </c>
      <c r="H13" s="12"/>
      <c r="I13" s="1119">
        <v>0.82379999999999998</v>
      </c>
      <c r="J13" s="1119">
        <v>0.82019999999999993</v>
      </c>
      <c r="K13" s="1120">
        <v>40.18</v>
      </c>
      <c r="L13" s="1119">
        <v>7.6385000000000005</v>
      </c>
      <c r="M13" s="12"/>
      <c r="N13" s="1120">
        <v>24.18</v>
      </c>
      <c r="O13" s="1119">
        <v>6.9272</v>
      </c>
      <c r="P13" s="1119">
        <v>0.90839999999999999</v>
      </c>
      <c r="Q13" s="1119">
        <v>0.90510000000000002</v>
      </c>
      <c r="S13" s="1119">
        <v>6.9272</v>
      </c>
      <c r="T13" s="1120">
        <v>24.18</v>
      </c>
      <c r="U13" s="1119">
        <v>0.90839999999999999</v>
      </c>
      <c r="V13" s="1119">
        <v>0.90510000000000002</v>
      </c>
      <c r="W13" s="12"/>
      <c r="X13" s="12"/>
      <c r="Y13" s="12"/>
      <c r="Z13" s="12"/>
    </row>
    <row r="14" spans="1:260" ht="21" customHeight="1">
      <c r="B14" s="147" t="s">
        <v>1037</v>
      </c>
      <c r="D14" s="1119">
        <v>0.82029999999999992</v>
      </c>
      <c r="E14" s="1119">
        <v>0.82389999999999997</v>
      </c>
      <c r="F14" s="1120">
        <v>40.159999999999997</v>
      </c>
      <c r="G14" s="1119">
        <v>7.6376000000000008</v>
      </c>
      <c r="H14" s="12"/>
      <c r="I14" s="1119">
        <v>0.82389999999999997</v>
      </c>
      <c r="J14" s="1119">
        <v>0.82029999999999992</v>
      </c>
      <c r="K14" s="1120">
        <v>40.159999999999997</v>
      </c>
      <c r="L14" s="1119">
        <v>7.6376000000000008</v>
      </c>
      <c r="N14" s="1120">
        <v>24.2</v>
      </c>
      <c r="O14" s="1119">
        <v>6.9278000000000013</v>
      </c>
      <c r="P14" s="1119">
        <v>0.90829999999999944</v>
      </c>
      <c r="Q14" s="1119">
        <v>0.90499999999999947</v>
      </c>
      <c r="S14" s="1119">
        <v>6.9278000000000013</v>
      </c>
      <c r="T14" s="1120">
        <v>24.2</v>
      </c>
      <c r="U14" s="1119">
        <v>0.90829999999999944</v>
      </c>
      <c r="V14" s="1119">
        <v>0.90499999999999947</v>
      </c>
      <c r="W14" s="12"/>
      <c r="X14" s="12"/>
      <c r="Y14" s="12"/>
      <c r="Z14" s="12"/>
    </row>
    <row r="15" spans="1:260" ht="21" customHeight="1">
      <c r="B15" s="62" t="s">
        <v>1263</v>
      </c>
      <c r="D15" s="1119">
        <v>0.82039999999999991</v>
      </c>
      <c r="E15" s="1119">
        <v>0.82399999999999995</v>
      </c>
      <c r="F15" s="1120">
        <v>40.14</v>
      </c>
      <c r="G15" s="1119">
        <v>7.6367000000000012</v>
      </c>
      <c r="H15" s="12"/>
      <c r="I15" s="1119">
        <v>0.82399999999999995</v>
      </c>
      <c r="J15" s="1119">
        <v>0.82039999999999991</v>
      </c>
      <c r="K15" s="1120">
        <v>40.14</v>
      </c>
      <c r="L15" s="1119">
        <v>7.6367000000000012</v>
      </c>
      <c r="N15" s="1120">
        <v>24.22</v>
      </c>
      <c r="O15" s="1119">
        <v>6.9286000000000012</v>
      </c>
      <c r="P15" s="1119">
        <v>0.90819999999999945</v>
      </c>
      <c r="Q15" s="1119">
        <v>0.90489999999999948</v>
      </c>
      <c r="S15" s="1119">
        <v>6.9286000000000012</v>
      </c>
      <c r="T15" s="1120">
        <v>24.22</v>
      </c>
      <c r="U15" s="1119">
        <v>0.90819999999999945</v>
      </c>
      <c r="V15" s="1119">
        <v>0.90489999999999948</v>
      </c>
      <c r="W15" s="12"/>
      <c r="X15" s="12"/>
      <c r="Y15" s="12"/>
      <c r="Z15" s="12"/>
    </row>
    <row r="16" spans="1:260" ht="21" customHeight="1">
      <c r="B16" s="62" t="s">
        <v>557</v>
      </c>
      <c r="D16" s="1119">
        <v>0.8204999999999999</v>
      </c>
      <c r="E16" s="1119">
        <v>0.82409999999999994</v>
      </c>
      <c r="F16" s="1120">
        <v>40.119999999999997</v>
      </c>
      <c r="G16" s="1119">
        <v>7.6358000000000015</v>
      </c>
      <c r="H16" s="12"/>
      <c r="I16" s="1119">
        <v>0.82409999999999994</v>
      </c>
      <c r="J16" s="1119">
        <v>0.8204999999999999</v>
      </c>
      <c r="K16" s="1120">
        <v>40.119999999999997</v>
      </c>
      <c r="L16" s="1119">
        <v>7.6358000000000015</v>
      </c>
      <c r="N16" s="1120">
        <v>24.23</v>
      </c>
      <c r="O16" s="1119">
        <v>6.9293000000000013</v>
      </c>
      <c r="P16" s="1119">
        <v>0.90809999999999946</v>
      </c>
      <c r="Q16" s="1119">
        <v>0.90479999999999949</v>
      </c>
      <c r="S16" s="1119">
        <v>6.9293000000000013</v>
      </c>
      <c r="T16" s="1120">
        <v>24.23</v>
      </c>
      <c r="U16" s="1119">
        <v>0.90809999999999946</v>
      </c>
      <c r="V16" s="1119">
        <v>0.90479999999999949</v>
      </c>
      <c r="W16" s="12"/>
      <c r="X16" s="12"/>
      <c r="Y16" s="12"/>
      <c r="Z16" s="12"/>
    </row>
    <row r="17" spans="2:22" ht="21" customHeight="1">
      <c r="B17" s="62" t="s">
        <v>238</v>
      </c>
      <c r="D17" s="1119">
        <v>0.82059999999999989</v>
      </c>
      <c r="E17" s="1119">
        <v>0.82419999999999993</v>
      </c>
      <c r="F17" s="1120">
        <v>40.1</v>
      </c>
      <c r="G17" s="1119">
        <v>7.6349000000000018</v>
      </c>
      <c r="H17" s="12"/>
      <c r="I17" s="1119">
        <v>0.82419999999999993</v>
      </c>
      <c r="J17" s="1119">
        <v>0.82059999999999989</v>
      </c>
      <c r="K17" s="1120">
        <v>40.1</v>
      </c>
      <c r="L17" s="1119">
        <v>7.6349000000000018</v>
      </c>
      <c r="N17" s="1120">
        <v>24.25</v>
      </c>
      <c r="O17" s="1119">
        <v>6.93</v>
      </c>
      <c r="P17" s="1119">
        <v>0.90799999999999947</v>
      </c>
      <c r="Q17" s="1119">
        <v>0.9046999999999995</v>
      </c>
      <c r="S17" s="1119">
        <v>6.93</v>
      </c>
      <c r="T17" s="1120">
        <v>24.25</v>
      </c>
      <c r="U17" s="1119">
        <v>0.90799999999999947</v>
      </c>
      <c r="V17" s="1119">
        <v>0.9046999999999995</v>
      </c>
    </row>
    <row r="18" spans="2:22" ht="21" customHeight="1">
      <c r="B18" s="62" t="s">
        <v>1652</v>
      </c>
      <c r="D18" s="1119">
        <v>0.82069999999999987</v>
      </c>
      <c r="E18" s="1119">
        <v>0.82429999999999992</v>
      </c>
      <c r="F18" s="1120">
        <v>40.08</v>
      </c>
      <c r="G18" s="1119">
        <v>7.6340000000000021</v>
      </c>
      <c r="H18" s="12"/>
      <c r="I18" s="1119">
        <v>0.82429999999999992</v>
      </c>
      <c r="J18" s="1119">
        <v>0.82069999999999987</v>
      </c>
      <c r="K18" s="1120">
        <v>40.08</v>
      </c>
      <c r="L18" s="1119">
        <v>7.6340000000000021</v>
      </c>
      <c r="N18" s="1120">
        <v>24.27</v>
      </c>
      <c r="O18" s="1119">
        <v>6.9308000000000014</v>
      </c>
      <c r="P18" s="1119">
        <v>0.90789999999999949</v>
      </c>
      <c r="Q18" s="1119">
        <v>0.90459999999999952</v>
      </c>
      <c r="S18" s="1119">
        <v>6.9308000000000014</v>
      </c>
      <c r="T18" s="1120">
        <v>24.27</v>
      </c>
      <c r="U18" s="1119">
        <v>0.90789999999999949</v>
      </c>
      <c r="V18" s="1119">
        <v>0.90459999999999952</v>
      </c>
    </row>
    <row r="19" spans="2:22" ht="21" customHeight="1">
      <c r="B19" s="62" t="s">
        <v>1653</v>
      </c>
      <c r="D19" s="1119">
        <v>0.82079999999999986</v>
      </c>
      <c r="E19" s="1119">
        <v>0.82439999999999991</v>
      </c>
      <c r="F19" s="1120">
        <v>40.06</v>
      </c>
      <c r="G19" s="1119">
        <v>7.6331000000000024</v>
      </c>
      <c r="H19" s="12"/>
      <c r="I19" s="1119">
        <v>0.82439999999999991</v>
      </c>
      <c r="J19" s="1119">
        <v>0.82079999999999986</v>
      </c>
      <c r="K19" s="1120">
        <v>40.06</v>
      </c>
      <c r="L19" s="1119">
        <v>7.6331000000000024</v>
      </c>
      <c r="M19" s="12"/>
      <c r="N19" s="1120">
        <v>24.28</v>
      </c>
      <c r="O19" s="1119">
        <v>6.9316000000000013</v>
      </c>
      <c r="P19" s="1119">
        <v>0.9077999999999995</v>
      </c>
      <c r="Q19" s="1119">
        <v>0.90449999999999953</v>
      </c>
      <c r="S19" s="1119">
        <v>6.9316000000000013</v>
      </c>
      <c r="T19" s="1120">
        <v>24.28</v>
      </c>
      <c r="U19" s="1119">
        <v>0.9077999999999995</v>
      </c>
      <c r="V19" s="1119">
        <v>0.90449999999999953</v>
      </c>
    </row>
    <row r="20" spans="2:22" ht="21" customHeight="1">
      <c r="B20" s="62" t="s">
        <v>40</v>
      </c>
      <c r="D20" s="1119">
        <v>0.82089999999999985</v>
      </c>
      <c r="E20" s="1119">
        <v>0.8244999999999999</v>
      </c>
      <c r="F20" s="1120">
        <v>40.04</v>
      </c>
      <c r="G20" s="1119">
        <v>7.6322000000000028</v>
      </c>
      <c r="H20" s="12"/>
      <c r="I20" s="1119">
        <v>0.8244999999999999</v>
      </c>
      <c r="J20" s="1119">
        <v>0.82089999999999985</v>
      </c>
      <c r="K20" s="1120">
        <v>40.04</v>
      </c>
      <c r="L20" s="1119">
        <v>7.6322000000000028</v>
      </c>
      <c r="M20" s="12"/>
      <c r="N20" s="1120">
        <v>24.3</v>
      </c>
      <c r="O20" s="1119">
        <v>6.9324000000000012</v>
      </c>
      <c r="P20" s="1119">
        <v>0.90769999999999951</v>
      </c>
      <c r="Q20" s="1119">
        <v>0.90439999999999954</v>
      </c>
      <c r="S20" s="1119">
        <v>6.9324000000000012</v>
      </c>
      <c r="T20" s="1120">
        <v>24.3</v>
      </c>
      <c r="U20" s="1119">
        <v>0.90769999999999951</v>
      </c>
      <c r="V20" s="1119">
        <v>0.90439999999999954</v>
      </c>
    </row>
    <row r="21" spans="2:22" ht="21" customHeight="1">
      <c r="B21" s="62" t="s">
        <v>238</v>
      </c>
      <c r="D21" s="1119">
        <v>0.82099999999999984</v>
      </c>
      <c r="E21" s="1119">
        <v>0.82459999999999989</v>
      </c>
      <c r="F21" s="1120">
        <v>40.01</v>
      </c>
      <c r="G21" s="1119">
        <v>7.6313000000000031</v>
      </c>
      <c r="H21" s="12"/>
      <c r="I21" s="1119">
        <v>0.82459999999999989</v>
      </c>
      <c r="J21" s="1119">
        <v>0.82099999999999984</v>
      </c>
      <c r="K21" s="1120">
        <v>40.01</v>
      </c>
      <c r="L21" s="1119">
        <v>7.6313000000000031</v>
      </c>
      <c r="M21" s="12"/>
      <c r="N21" s="1120">
        <v>24.32</v>
      </c>
      <c r="O21" s="1119">
        <v>6.9332000000000011</v>
      </c>
      <c r="P21" s="1119">
        <v>0.90759999999999952</v>
      </c>
      <c r="Q21" s="1119">
        <v>0.90429999999999955</v>
      </c>
      <c r="S21" s="1119">
        <v>6.9332000000000011</v>
      </c>
      <c r="T21" s="1120">
        <v>24.32</v>
      </c>
      <c r="U21" s="1119">
        <v>0.90759999999999952</v>
      </c>
      <c r="V21" s="1119">
        <v>0.90429999999999955</v>
      </c>
    </row>
    <row r="22" spans="2:22" ht="21" customHeight="1">
      <c r="B22" s="62" t="s">
        <v>39</v>
      </c>
      <c r="D22" s="1119">
        <v>0.82109999999999983</v>
      </c>
      <c r="E22" s="1119">
        <v>0.82469999999999988</v>
      </c>
      <c r="F22" s="1120">
        <v>39.99</v>
      </c>
      <c r="G22" s="1119">
        <v>7.6304000000000034</v>
      </c>
      <c r="H22" s="12"/>
      <c r="I22" s="1119">
        <v>0.82469999999999988</v>
      </c>
      <c r="J22" s="1119">
        <v>0.82109999999999983</v>
      </c>
      <c r="K22" s="1120">
        <v>39.99</v>
      </c>
      <c r="L22" s="1119">
        <v>7.6304000000000034</v>
      </c>
      <c r="N22" s="1120">
        <v>24.33</v>
      </c>
      <c r="O22" s="1119">
        <v>6.9340000000000011</v>
      </c>
      <c r="P22" s="1119">
        <v>0.90749999999999997</v>
      </c>
      <c r="Q22" s="1119">
        <v>0.90419999999999956</v>
      </c>
      <c r="S22" s="1119">
        <v>6.9340000000000011</v>
      </c>
      <c r="T22" s="1120">
        <v>24.33</v>
      </c>
      <c r="U22" s="1119">
        <v>0.90749999999999997</v>
      </c>
      <c r="V22" s="1119">
        <v>0.90419999999999956</v>
      </c>
    </row>
    <row r="23" spans="2:22" ht="21" customHeight="1">
      <c r="B23" s="62" t="s">
        <v>38</v>
      </c>
      <c r="D23" s="1119">
        <v>0.82119999999999982</v>
      </c>
      <c r="E23" s="1119">
        <v>0.82479999999999987</v>
      </c>
      <c r="F23" s="1120">
        <v>39.97</v>
      </c>
      <c r="G23" s="1119">
        <v>7.6295000000000037</v>
      </c>
      <c r="H23" s="12"/>
      <c r="I23" s="1119">
        <v>0.82479999999999987</v>
      </c>
      <c r="J23" s="1119">
        <v>0.82119999999999982</v>
      </c>
      <c r="K23" s="1120">
        <v>39.97</v>
      </c>
      <c r="L23" s="1119">
        <v>7.6295000000000037</v>
      </c>
      <c r="N23" s="1120">
        <v>24.35</v>
      </c>
      <c r="O23" s="1119">
        <v>6.934800000000001</v>
      </c>
      <c r="P23" s="1119">
        <v>0.90739999999999954</v>
      </c>
      <c r="Q23" s="1119">
        <v>0.90409999999999957</v>
      </c>
      <c r="S23" s="1119">
        <v>6.934800000000001</v>
      </c>
      <c r="T23" s="1120">
        <v>24.35</v>
      </c>
      <c r="U23" s="1119">
        <v>0.90739999999999954</v>
      </c>
      <c r="V23" s="1119">
        <v>0.90409999999999957</v>
      </c>
    </row>
    <row r="24" spans="2:22" ht="21" customHeight="1">
      <c r="B24" s="62"/>
      <c r="D24" s="1119">
        <v>0.82129999999999981</v>
      </c>
      <c r="E24" s="1119">
        <v>0.82489999999999986</v>
      </c>
      <c r="F24" s="1120">
        <v>39.950000000000003</v>
      </c>
      <c r="G24" s="1119">
        <v>7.628600000000004</v>
      </c>
      <c r="H24" s="12"/>
      <c r="I24" s="1119">
        <v>0.82489999999999986</v>
      </c>
      <c r="J24" s="1119">
        <v>0.82129999999999981</v>
      </c>
      <c r="K24" s="1120">
        <v>39.950000000000003</v>
      </c>
      <c r="L24" s="1119">
        <v>7.628600000000004</v>
      </c>
      <c r="N24" s="1120">
        <v>24.37</v>
      </c>
      <c r="O24" s="1119">
        <v>6.9356000000000009</v>
      </c>
      <c r="P24" s="1119">
        <v>0.90729999999999955</v>
      </c>
      <c r="Q24" s="1119">
        <v>0.90399999999999958</v>
      </c>
      <c r="S24" s="1119">
        <v>6.9356000000000009</v>
      </c>
      <c r="T24" s="1120">
        <v>24.37</v>
      </c>
      <c r="U24" s="1119">
        <v>0.90729999999999955</v>
      </c>
      <c r="V24" s="1119">
        <v>0.90399999999999958</v>
      </c>
    </row>
    <row r="25" spans="2:22" ht="21" customHeight="1">
      <c r="B25" s="62"/>
      <c r="D25" s="1119">
        <v>0.8213999999999998</v>
      </c>
      <c r="E25" s="1119">
        <v>0.82499999999999996</v>
      </c>
      <c r="F25" s="1120">
        <v>39.93</v>
      </c>
      <c r="G25" s="1119">
        <v>7.6277000000000044</v>
      </c>
      <c r="H25" s="12"/>
      <c r="I25" s="1119">
        <v>0.82499999999999996</v>
      </c>
      <c r="J25" s="1119">
        <v>0.8213999999999998</v>
      </c>
      <c r="K25" s="1120">
        <v>39.93</v>
      </c>
      <c r="L25" s="1119">
        <v>7.6277000000000044</v>
      </c>
      <c r="M25" s="1098"/>
      <c r="N25" s="1120">
        <v>24.39</v>
      </c>
      <c r="O25" s="1119">
        <v>6.9364000000000008</v>
      </c>
      <c r="P25" s="1119">
        <v>0.90719999999999956</v>
      </c>
      <c r="Q25" s="1119">
        <v>0.90389999999999959</v>
      </c>
      <c r="S25" s="1119">
        <v>6.9364000000000008</v>
      </c>
      <c r="T25" s="1120">
        <v>24.39</v>
      </c>
      <c r="U25" s="1119">
        <v>0.90719999999999956</v>
      </c>
      <c r="V25" s="1119">
        <v>0.90389999999999959</v>
      </c>
    </row>
    <row r="26" spans="2:22" ht="21" customHeight="1">
      <c r="B26" s="565"/>
      <c r="D26" s="1119">
        <v>0.82149999999999979</v>
      </c>
      <c r="E26" s="1119">
        <v>0.82509999999999983</v>
      </c>
      <c r="F26" s="1120">
        <v>39.909999999999997</v>
      </c>
      <c r="G26" s="1119">
        <v>7.6268000000000047</v>
      </c>
      <c r="H26" s="12"/>
      <c r="I26" s="1119">
        <v>0.82509999999999983</v>
      </c>
      <c r="J26" s="1119">
        <v>0.82149999999999979</v>
      </c>
      <c r="K26" s="1120">
        <v>39.909999999999997</v>
      </c>
      <c r="L26" s="1119">
        <v>7.6268000000000047</v>
      </c>
      <c r="N26" s="1120">
        <v>24.4</v>
      </c>
      <c r="O26" s="1119">
        <v>6.9372000000000007</v>
      </c>
      <c r="P26" s="1119">
        <v>0.90709999999999957</v>
      </c>
      <c r="Q26" s="1119">
        <v>0.9037999999999996</v>
      </c>
      <c r="S26" s="1119">
        <v>6.9372000000000007</v>
      </c>
      <c r="T26" s="1120">
        <v>24.4</v>
      </c>
      <c r="U26" s="1119">
        <v>0.90709999999999957</v>
      </c>
      <c r="V26" s="1119">
        <v>0.9037999999999996</v>
      </c>
    </row>
    <row r="27" spans="2:22" ht="21" customHeight="1">
      <c r="B27" s="565"/>
      <c r="D27" s="1119">
        <v>0.82159999999999977</v>
      </c>
      <c r="E27" s="1119">
        <v>0.82519999999999982</v>
      </c>
      <c r="F27" s="1120">
        <v>39.89</v>
      </c>
      <c r="G27" s="1119">
        <v>7.625900000000005</v>
      </c>
      <c r="H27" s="12"/>
      <c r="I27" s="1119">
        <v>0.82519999999999982</v>
      </c>
      <c r="J27" s="1119">
        <v>0.82159999999999977</v>
      </c>
      <c r="K27" s="1120">
        <v>39.89</v>
      </c>
      <c r="L27" s="1119">
        <v>7.625900000000005</v>
      </c>
      <c r="N27" s="1120">
        <v>24.42</v>
      </c>
      <c r="O27" s="1119">
        <v>6.9380000000000006</v>
      </c>
      <c r="P27" s="1119">
        <v>0.90699999999999958</v>
      </c>
      <c r="Q27" s="1119">
        <v>0.90369999999999961</v>
      </c>
      <c r="S27" s="1119">
        <v>6.9380000000000006</v>
      </c>
      <c r="T27" s="1120">
        <v>24.42</v>
      </c>
      <c r="U27" s="1119">
        <v>0.90699999999999958</v>
      </c>
      <c r="V27" s="1119">
        <v>0.90369999999999961</v>
      </c>
    </row>
    <row r="28" spans="2:22" ht="21" customHeight="1">
      <c r="B28" s="565"/>
      <c r="D28" s="1119">
        <v>0.82169999999999976</v>
      </c>
      <c r="E28" s="1119">
        <v>0.82529999999999981</v>
      </c>
      <c r="F28" s="1120">
        <v>39.869999999999997</v>
      </c>
      <c r="G28" s="1119">
        <v>7.6250000000000053</v>
      </c>
      <c r="H28" s="12"/>
      <c r="I28" s="1119">
        <v>0.82529999999999981</v>
      </c>
      <c r="J28" s="1119">
        <v>0.82169999999999976</v>
      </c>
      <c r="K28" s="1120">
        <v>39.869999999999997</v>
      </c>
      <c r="L28" s="1119">
        <v>7.6250000000000053</v>
      </c>
      <c r="N28" s="1120">
        <v>24.44</v>
      </c>
      <c r="O28" s="1119">
        <v>6.9388000000000005</v>
      </c>
      <c r="P28" s="1119">
        <v>0.9068999999999996</v>
      </c>
      <c r="Q28" s="1119">
        <v>0.90359999999999963</v>
      </c>
      <c r="S28" s="1119">
        <v>6.9388000000000005</v>
      </c>
      <c r="T28" s="1120">
        <v>24.44</v>
      </c>
      <c r="U28" s="1119">
        <v>0.9068999999999996</v>
      </c>
      <c r="V28" s="1119">
        <v>0.90359999999999963</v>
      </c>
    </row>
    <row r="29" spans="2:22" ht="21" customHeight="1">
      <c r="B29" s="565"/>
      <c r="D29" s="1119">
        <v>0.82179999999999975</v>
      </c>
      <c r="E29" s="1119">
        <v>0.8253999999999998</v>
      </c>
      <c r="F29" s="1120">
        <v>39.85</v>
      </c>
      <c r="G29" s="1119">
        <v>7.6241000000000057</v>
      </c>
      <c r="H29" s="12"/>
      <c r="I29" s="1119">
        <v>0.8253999999999998</v>
      </c>
      <c r="J29" s="1119">
        <v>0.82179999999999975</v>
      </c>
      <c r="K29" s="1120">
        <v>39.85</v>
      </c>
      <c r="L29" s="1119">
        <v>7.6241000000000057</v>
      </c>
      <c r="M29" s="1099"/>
      <c r="N29" s="1120">
        <v>24.45</v>
      </c>
      <c r="O29" s="1119">
        <v>6.9396000000000004</v>
      </c>
      <c r="P29" s="1119">
        <v>0.90679999999999961</v>
      </c>
      <c r="Q29" s="1119">
        <v>0.90349999999999964</v>
      </c>
      <c r="S29" s="1119">
        <v>6.9396000000000004</v>
      </c>
      <c r="T29" s="1120">
        <v>24.45</v>
      </c>
      <c r="U29" s="1119">
        <v>0.90679999999999961</v>
      </c>
      <c r="V29" s="1119">
        <v>0.90349999999999964</v>
      </c>
    </row>
    <row r="30" spans="2:22" ht="21" customHeight="1">
      <c r="B30" s="565"/>
      <c r="D30" s="1119">
        <v>0.82189999999999974</v>
      </c>
      <c r="E30" s="1119">
        <v>0.82549999999999979</v>
      </c>
      <c r="F30" s="1120">
        <v>39.83</v>
      </c>
      <c r="G30" s="1119">
        <v>7.623200000000006</v>
      </c>
      <c r="H30" s="12"/>
      <c r="I30" s="1119">
        <v>0.82549999999999979</v>
      </c>
      <c r="J30" s="1119">
        <v>0.82189999999999974</v>
      </c>
      <c r="K30" s="1120">
        <v>39.83</v>
      </c>
      <c r="L30" s="1119">
        <v>7.623200000000006</v>
      </c>
      <c r="M30" s="1098"/>
      <c r="N30" s="1120">
        <v>24.47</v>
      </c>
      <c r="O30" s="1119">
        <v>6.9404000000000003</v>
      </c>
      <c r="P30" s="1119">
        <v>0.90669999999999962</v>
      </c>
      <c r="Q30" s="1119">
        <v>0.90339999999999965</v>
      </c>
      <c r="S30" s="1119">
        <v>6.9404000000000003</v>
      </c>
      <c r="T30" s="1120">
        <v>24.47</v>
      </c>
      <c r="U30" s="1119">
        <v>0.90669999999999962</v>
      </c>
      <c r="V30" s="1119">
        <v>0.90339999999999965</v>
      </c>
    </row>
    <row r="31" spans="2:22" ht="21" customHeight="1">
      <c r="B31" s="565"/>
      <c r="D31" s="1119">
        <v>0.82199999999999973</v>
      </c>
      <c r="E31" s="1119">
        <v>0.82559999999999978</v>
      </c>
      <c r="F31" s="1120">
        <v>39.799999999999997</v>
      </c>
      <c r="G31" s="1119">
        <v>7.6223000000000063</v>
      </c>
      <c r="H31" s="12"/>
      <c r="I31" s="1119">
        <v>0.82559999999999978</v>
      </c>
      <c r="J31" s="1119">
        <v>0.82199999999999973</v>
      </c>
      <c r="K31" s="1120">
        <v>39.799999999999997</v>
      </c>
      <c r="L31" s="1119">
        <v>7.6223000000000063</v>
      </c>
      <c r="N31" s="1120">
        <v>24.48</v>
      </c>
      <c r="O31" s="1119">
        <v>6.9412000000000003</v>
      </c>
      <c r="P31" s="1119">
        <v>0.90659999999999963</v>
      </c>
      <c r="Q31" s="1119">
        <v>0.90329999999999966</v>
      </c>
      <c r="S31" s="1119">
        <v>6.9412000000000003</v>
      </c>
      <c r="T31" s="1120">
        <v>24.48</v>
      </c>
      <c r="U31" s="1119">
        <v>0.90659999999999963</v>
      </c>
      <c r="V31" s="1119">
        <v>0.90329999999999966</v>
      </c>
    </row>
    <row r="32" spans="2:22" ht="21" customHeight="1">
      <c r="B32" s="565"/>
      <c r="D32" s="1119">
        <v>0.82209999999999972</v>
      </c>
      <c r="E32" s="1119">
        <v>0.82569999999999977</v>
      </c>
      <c r="F32" s="1120">
        <v>39.78</v>
      </c>
      <c r="G32" s="1119">
        <v>7.6214000000000066</v>
      </c>
      <c r="I32" s="1119">
        <v>0.82569999999999977</v>
      </c>
      <c r="J32" s="1119">
        <v>0.82209999999999972</v>
      </c>
      <c r="K32" s="1120">
        <v>39.78</v>
      </c>
      <c r="L32" s="1119">
        <v>7.6214000000000066</v>
      </c>
      <c r="N32" s="1120">
        <v>24.5</v>
      </c>
      <c r="O32" s="1119">
        <v>6.9420000000000002</v>
      </c>
      <c r="P32" s="1119">
        <v>0.90649999999999964</v>
      </c>
      <c r="Q32" s="1119">
        <v>0.90319999999999967</v>
      </c>
      <c r="S32" s="1119">
        <v>6.9420000000000002</v>
      </c>
      <c r="T32" s="1120">
        <v>24.5</v>
      </c>
      <c r="U32" s="1119">
        <v>0.90649999999999964</v>
      </c>
      <c r="V32" s="1119">
        <v>0.90319999999999967</v>
      </c>
    </row>
    <row r="33" spans="2:22" ht="21" customHeight="1">
      <c r="B33" s="565"/>
      <c r="D33" s="1119">
        <v>0.82219999999999971</v>
      </c>
      <c r="E33" s="1119">
        <v>0.82579999999999976</v>
      </c>
      <c r="F33" s="1120">
        <v>39.76</v>
      </c>
      <c r="G33" s="1119">
        <v>7.6205000000000069</v>
      </c>
      <c r="I33" s="1119">
        <v>0.82579999999999976</v>
      </c>
      <c r="J33" s="1119">
        <v>0.82219999999999971</v>
      </c>
      <c r="K33" s="1120">
        <v>39.76</v>
      </c>
      <c r="L33" s="1119">
        <v>7.6205000000000069</v>
      </c>
      <c r="N33" s="1120">
        <v>24.52</v>
      </c>
      <c r="O33" s="1119">
        <v>6.9428000000000001</v>
      </c>
      <c r="P33" s="1119">
        <v>0.90639999999999965</v>
      </c>
      <c r="Q33" s="1119">
        <v>0.90309999999999968</v>
      </c>
      <c r="S33" s="1119">
        <v>6.9428000000000001</v>
      </c>
      <c r="T33" s="1120">
        <v>24.52</v>
      </c>
      <c r="U33" s="1119">
        <v>0.90639999999999965</v>
      </c>
      <c r="V33" s="1119">
        <v>0.90309999999999968</v>
      </c>
    </row>
    <row r="34" spans="2:22" ht="21" customHeight="1">
      <c r="B34" s="565"/>
      <c r="D34" s="1119">
        <v>0.8222999999999997</v>
      </c>
      <c r="E34" s="1119">
        <v>0.82589999999999975</v>
      </c>
      <c r="F34" s="1120">
        <v>39.74</v>
      </c>
      <c r="G34" s="1119">
        <v>7.6196000000000073</v>
      </c>
      <c r="I34" s="1119">
        <v>0.82589999999999975</v>
      </c>
      <c r="J34" s="1119">
        <v>0.8222999999999997</v>
      </c>
      <c r="K34" s="1120">
        <v>39.74</v>
      </c>
      <c r="L34" s="1119">
        <v>7.6196000000000073</v>
      </c>
      <c r="N34" s="1120">
        <v>24.54</v>
      </c>
      <c r="O34" s="1119">
        <v>6.9436</v>
      </c>
      <c r="P34" s="1119">
        <v>0.90629999999999966</v>
      </c>
      <c r="Q34" s="1119">
        <v>0.90299999999999969</v>
      </c>
      <c r="S34" s="1119">
        <v>6.9436</v>
      </c>
      <c r="T34" s="1120">
        <v>24.54</v>
      </c>
      <c r="U34" s="1119">
        <v>0.90629999999999966</v>
      </c>
      <c r="V34" s="1119">
        <v>0.90299999999999969</v>
      </c>
    </row>
    <row r="35" spans="2:22" ht="21" customHeight="1">
      <c r="B35" s="565"/>
      <c r="D35" s="1119">
        <v>0.82239999999999969</v>
      </c>
      <c r="E35" s="1119">
        <v>0.82599999999999973</v>
      </c>
      <c r="F35" s="1120">
        <v>39.72</v>
      </c>
      <c r="G35" s="1119">
        <v>7.6187000000000076</v>
      </c>
      <c r="I35" s="1119">
        <v>0.82599999999999973</v>
      </c>
      <c r="J35" s="1119">
        <v>0.82239999999999969</v>
      </c>
      <c r="K35" s="1120">
        <v>39.72</v>
      </c>
      <c r="L35" s="1119">
        <v>7.6187000000000076</v>
      </c>
      <c r="N35" s="1120">
        <v>24.56</v>
      </c>
      <c r="O35" s="1119">
        <v>6.9443999999999999</v>
      </c>
      <c r="P35" s="1119">
        <v>0.90619999999999967</v>
      </c>
      <c r="Q35" s="1119">
        <v>0.9028999999999997</v>
      </c>
      <c r="S35" s="1119">
        <v>6.9443999999999999</v>
      </c>
      <c r="T35" s="1120">
        <v>24.56</v>
      </c>
      <c r="U35" s="1119">
        <v>0.90619999999999967</v>
      </c>
      <c r="V35" s="1119">
        <v>0.9028999999999997</v>
      </c>
    </row>
    <row r="36" spans="2:22" ht="21" customHeight="1">
      <c r="B36" s="565"/>
      <c r="D36" s="1119">
        <v>0.82250000000000001</v>
      </c>
      <c r="E36" s="1119">
        <v>0.82609999999999972</v>
      </c>
      <c r="F36" s="1120">
        <v>39.700000000000003</v>
      </c>
      <c r="G36" s="1119">
        <v>7.6177000000000001</v>
      </c>
      <c r="I36" s="1119">
        <v>0.82609999999999972</v>
      </c>
      <c r="J36" s="1119">
        <v>0.82250000000000001</v>
      </c>
      <c r="K36" s="1120">
        <v>39.700000000000003</v>
      </c>
      <c r="L36" s="1119">
        <v>7.6177000000000001</v>
      </c>
      <c r="N36" s="1120">
        <v>24.57</v>
      </c>
      <c r="O36" s="1119">
        <v>6.9451999999999998</v>
      </c>
      <c r="P36" s="1119">
        <v>0.90609999999999968</v>
      </c>
      <c r="Q36" s="1119">
        <v>0.90279999999999971</v>
      </c>
      <c r="S36" s="1119">
        <v>6.9451999999999998</v>
      </c>
      <c r="T36" s="1120">
        <v>24.57</v>
      </c>
      <c r="U36" s="1119">
        <v>0.90609999999999968</v>
      </c>
      <c r="V36" s="1119">
        <v>0.90279999999999971</v>
      </c>
    </row>
    <row r="37" spans="2:22" ht="21" customHeight="1">
      <c r="B37" s="565"/>
      <c r="D37" s="1119">
        <v>0.82259999999999966</v>
      </c>
      <c r="E37" s="1119">
        <v>0.82619999999999971</v>
      </c>
      <c r="F37" s="1120">
        <v>39.68</v>
      </c>
      <c r="G37" s="1119">
        <v>7.6166999999999998</v>
      </c>
      <c r="I37" s="1119">
        <v>0.82619999999999971</v>
      </c>
      <c r="J37" s="1119">
        <v>0.82259999999999966</v>
      </c>
      <c r="K37" s="1120">
        <v>39.68</v>
      </c>
      <c r="L37" s="1119">
        <v>7.6166999999999998</v>
      </c>
      <c r="N37" s="1120">
        <v>24.59</v>
      </c>
      <c r="O37" s="1119">
        <v>6.9459999999999997</v>
      </c>
      <c r="P37" s="1119">
        <v>0.90599999999999969</v>
      </c>
      <c r="Q37" s="1119">
        <v>0.90269999999999972</v>
      </c>
      <c r="S37" s="1119">
        <v>6.9459999999999997</v>
      </c>
      <c r="T37" s="1120">
        <v>24.59</v>
      </c>
      <c r="U37" s="1119">
        <v>0.90599999999999969</v>
      </c>
      <c r="V37" s="1119">
        <v>0.90269999999999972</v>
      </c>
    </row>
    <row r="38" spans="2:22" ht="21" customHeight="1">
      <c r="B38" s="565"/>
      <c r="D38" s="1119">
        <v>0.82269999999999965</v>
      </c>
      <c r="E38" s="1119">
        <v>0.8262999999999997</v>
      </c>
      <c r="F38" s="1120">
        <v>39.659999999999997</v>
      </c>
      <c r="G38" s="1119">
        <v>7.6157000000000004</v>
      </c>
      <c r="I38" s="1119">
        <v>0.8262999999999997</v>
      </c>
      <c r="J38" s="1119">
        <v>0.82269999999999965</v>
      </c>
      <c r="K38" s="1120">
        <v>39.659999999999997</v>
      </c>
      <c r="L38" s="1119">
        <v>7.6157000000000004</v>
      </c>
      <c r="N38" s="1120">
        <v>24.61</v>
      </c>
      <c r="O38" s="1119">
        <v>6.9466999999999999</v>
      </c>
      <c r="P38" s="1119">
        <v>0.90589999999999971</v>
      </c>
      <c r="Q38" s="1119">
        <v>0.90259999999999974</v>
      </c>
      <c r="S38" s="1119">
        <v>6.9466999999999999</v>
      </c>
      <c r="T38" s="1120">
        <v>24.61</v>
      </c>
      <c r="U38" s="1119">
        <v>0.90589999999999971</v>
      </c>
      <c r="V38" s="1119">
        <v>0.90259999999999974</v>
      </c>
    </row>
    <row r="39" spans="2:22" ht="21" customHeight="1">
      <c r="B39" s="565"/>
      <c r="D39" s="1119">
        <v>0.82279999999999964</v>
      </c>
      <c r="E39" s="1119">
        <v>0.82639999999999969</v>
      </c>
      <c r="F39" s="1120">
        <v>39.64</v>
      </c>
      <c r="G39" s="1119">
        <v>7.6147</v>
      </c>
      <c r="I39" s="1119">
        <v>0.82639999999999969</v>
      </c>
      <c r="J39" s="1119">
        <v>0.82279999999999964</v>
      </c>
      <c r="K39" s="1120">
        <v>39.64</v>
      </c>
      <c r="L39" s="1119">
        <v>7.6147</v>
      </c>
      <c r="N39" s="1120">
        <v>24.63</v>
      </c>
      <c r="O39" s="1119">
        <v>6.9474</v>
      </c>
      <c r="P39" s="1119">
        <v>0.90579999999999972</v>
      </c>
      <c r="Q39" s="1119">
        <v>0.90249999999999997</v>
      </c>
      <c r="S39" s="1119">
        <v>6.9474</v>
      </c>
      <c r="T39" s="1120">
        <v>24.63</v>
      </c>
      <c r="U39" s="1119">
        <v>0.90579999999999972</v>
      </c>
      <c r="V39" s="1119">
        <v>0.90249999999999997</v>
      </c>
    </row>
    <row r="40" spans="2:22" ht="21" customHeight="1">
      <c r="B40" s="565"/>
      <c r="D40" s="1119">
        <v>0.82289999999999963</v>
      </c>
      <c r="E40" s="1119">
        <v>0.82649999999999968</v>
      </c>
      <c r="F40" s="1120">
        <v>39.619999999999997</v>
      </c>
      <c r="G40" s="1119">
        <v>7.6136999999999997</v>
      </c>
      <c r="I40" s="1119">
        <v>0.82649999999999968</v>
      </c>
      <c r="J40" s="1119">
        <v>0.82289999999999963</v>
      </c>
      <c r="K40" s="1120">
        <v>39.619999999999997</v>
      </c>
      <c r="L40" s="1119">
        <v>7.6136999999999997</v>
      </c>
      <c r="N40" s="1120">
        <v>24.64</v>
      </c>
      <c r="O40" s="1119">
        <v>6.9481000000000002</v>
      </c>
      <c r="P40" s="1119">
        <v>0.90569999999999973</v>
      </c>
      <c r="Q40" s="1119">
        <v>0.90239999999999976</v>
      </c>
      <c r="S40" s="1119">
        <v>6.9481000000000002</v>
      </c>
      <c r="T40" s="1120">
        <v>24.64</v>
      </c>
      <c r="U40" s="1119">
        <v>0.90569999999999973</v>
      </c>
      <c r="V40" s="1119">
        <v>0.90239999999999976</v>
      </c>
    </row>
    <row r="41" spans="2:22" ht="21" customHeight="1">
      <c r="B41" s="565"/>
      <c r="D41" s="1119">
        <v>0.82299999999999962</v>
      </c>
      <c r="E41" s="1119">
        <v>0.82659999999999967</v>
      </c>
      <c r="F41" s="1120">
        <v>39.590000000000003</v>
      </c>
      <c r="G41" s="1119">
        <v>7.6127000000000002</v>
      </c>
      <c r="I41" s="1119">
        <v>0.82659999999999967</v>
      </c>
      <c r="J41" s="1119">
        <v>0.82299999999999962</v>
      </c>
      <c r="K41" s="1120">
        <v>39.590000000000003</v>
      </c>
      <c r="L41" s="1119">
        <v>7.6127000000000002</v>
      </c>
      <c r="N41" s="1120">
        <v>24.66</v>
      </c>
      <c r="O41" s="1119">
        <v>6.9488000000000003</v>
      </c>
      <c r="P41" s="1119">
        <v>0.90559999999999974</v>
      </c>
      <c r="Q41" s="1119">
        <v>0.90229999999999977</v>
      </c>
      <c r="S41" s="1119">
        <v>6.9488000000000003</v>
      </c>
      <c r="T41" s="1120">
        <v>24.66</v>
      </c>
      <c r="U41" s="1119">
        <v>0.90559999999999974</v>
      </c>
      <c r="V41" s="1119">
        <v>0.90229999999999977</v>
      </c>
    </row>
    <row r="42" spans="2:22">
      <c r="B42" s="565"/>
      <c r="D42" s="1119">
        <v>0.82309999999999961</v>
      </c>
      <c r="E42" s="1119">
        <v>0.82669999999999966</v>
      </c>
      <c r="F42" s="1120">
        <v>39.57</v>
      </c>
      <c r="G42" s="1119">
        <v>7.6116999999999999</v>
      </c>
      <c r="I42" s="1119">
        <v>0.82669999999999966</v>
      </c>
      <c r="J42" s="1119">
        <v>0.82309999999999961</v>
      </c>
      <c r="K42" s="1120">
        <v>39.57</v>
      </c>
      <c r="L42" s="1119">
        <v>7.6116999999999999</v>
      </c>
      <c r="N42" s="1120">
        <v>24.68</v>
      </c>
      <c r="O42" s="1119">
        <v>6.9495000000000005</v>
      </c>
      <c r="P42" s="1119">
        <v>0.90549999999999975</v>
      </c>
      <c r="Q42" s="1119">
        <v>0.90219999999999978</v>
      </c>
      <c r="S42" s="1119">
        <v>6.9495000000000005</v>
      </c>
      <c r="T42" s="1120">
        <v>24.68</v>
      </c>
      <c r="U42" s="1119">
        <v>0.90549999999999975</v>
      </c>
      <c r="V42" s="1119">
        <v>0.90219999999999978</v>
      </c>
    </row>
    <row r="43" spans="2:22">
      <c r="B43" s="565"/>
      <c r="D43" s="1119">
        <v>0.8231999999999996</v>
      </c>
      <c r="E43" s="1119">
        <v>0.82679999999999965</v>
      </c>
      <c r="F43" s="1120">
        <v>39.549999999999997</v>
      </c>
      <c r="G43" s="1119">
        <v>7.6106999999999996</v>
      </c>
      <c r="I43" s="1119">
        <v>0.82679999999999965</v>
      </c>
      <c r="J43" s="1119">
        <v>0.8231999999999996</v>
      </c>
      <c r="K43" s="1120">
        <v>39.549999999999997</v>
      </c>
      <c r="L43" s="1119">
        <v>7.6106999999999996</v>
      </c>
      <c r="N43" s="1120">
        <v>24.7</v>
      </c>
      <c r="O43" s="1119">
        <v>6.9502000000000006</v>
      </c>
      <c r="P43" s="1119">
        <v>0.90539999999999976</v>
      </c>
      <c r="Q43" s="1119">
        <v>0.90209999999999979</v>
      </c>
      <c r="S43" s="1119">
        <v>6.9502000000000006</v>
      </c>
      <c r="T43" s="1120">
        <v>24.7</v>
      </c>
      <c r="U43" s="1119">
        <v>0.90539999999999976</v>
      </c>
      <c r="V43" s="1119">
        <v>0.90209999999999979</v>
      </c>
    </row>
    <row r="44" spans="2:22">
      <c r="B44" s="565"/>
      <c r="D44" s="1119">
        <v>0.82329999999999959</v>
      </c>
      <c r="E44" s="1119">
        <v>0.82689999999999964</v>
      </c>
      <c r="F44" s="1120">
        <v>39.53</v>
      </c>
      <c r="G44" s="1119">
        <v>7.6097000000000001</v>
      </c>
      <c r="I44" s="1119">
        <v>0.82689999999999964</v>
      </c>
      <c r="J44" s="1119">
        <v>0.82329999999999959</v>
      </c>
      <c r="K44" s="1120">
        <v>39.53</v>
      </c>
      <c r="L44" s="1119">
        <v>7.6097000000000001</v>
      </c>
      <c r="N44" s="1120">
        <v>24.72</v>
      </c>
      <c r="O44" s="1119">
        <v>6.9509000000000007</v>
      </c>
      <c r="P44" s="1119">
        <v>0.90529999999999977</v>
      </c>
      <c r="Q44" s="1119">
        <v>0.9019999999999998</v>
      </c>
      <c r="S44" s="1119">
        <v>6.9509000000000007</v>
      </c>
      <c r="T44" s="1120">
        <v>24.72</v>
      </c>
      <c r="U44" s="1119">
        <v>0.90529999999999977</v>
      </c>
      <c r="V44" s="1119">
        <v>0.9019999999999998</v>
      </c>
    </row>
    <row r="45" spans="2:22">
      <c r="B45" s="565"/>
      <c r="D45" s="1119">
        <v>0.82339999999999958</v>
      </c>
      <c r="E45" s="1119">
        <v>0.82699999999999962</v>
      </c>
      <c r="F45" s="1120">
        <v>39.51</v>
      </c>
      <c r="G45" s="1119">
        <v>7.6086999999999998</v>
      </c>
      <c r="I45" s="1119">
        <v>0.82699999999999962</v>
      </c>
      <c r="J45" s="1119">
        <v>0.82339999999999958</v>
      </c>
      <c r="K45" s="1120">
        <v>39.51</v>
      </c>
      <c r="L45" s="1119">
        <v>7.6086999999999998</v>
      </c>
      <c r="N45" s="1120">
        <v>24.73</v>
      </c>
      <c r="O45" s="1119">
        <v>6.9516000000000009</v>
      </c>
      <c r="P45" s="1119">
        <v>0.90519999999999978</v>
      </c>
      <c r="Q45" s="1119">
        <v>0.90189999999999981</v>
      </c>
      <c r="S45" s="1119">
        <v>6.9516000000000009</v>
      </c>
      <c r="T45" s="1120">
        <v>24.73</v>
      </c>
      <c r="U45" s="1119">
        <v>0.90519999999999978</v>
      </c>
      <c r="V45" s="1119">
        <v>0.90189999999999981</v>
      </c>
    </row>
    <row r="46" spans="2:22">
      <c r="B46" s="565"/>
      <c r="D46" s="1119">
        <v>0.82349999999999957</v>
      </c>
      <c r="E46" s="1119">
        <v>0.82709999999999961</v>
      </c>
      <c r="F46" s="1120">
        <v>39.49</v>
      </c>
      <c r="G46" s="1119">
        <v>7.6078000000000001</v>
      </c>
      <c r="I46" s="1119">
        <v>0.82709999999999961</v>
      </c>
      <c r="J46" s="1119">
        <v>0.82349999999999957</v>
      </c>
      <c r="K46" s="1120">
        <v>39.49</v>
      </c>
      <c r="L46" s="1119">
        <v>7.6078000000000001</v>
      </c>
      <c r="N46" s="1120">
        <v>24.75</v>
      </c>
      <c r="O46" s="1119">
        <v>6.952300000000001</v>
      </c>
      <c r="P46" s="1119">
        <v>0.90509999999999979</v>
      </c>
      <c r="Q46" s="1119">
        <v>0.90179999999999982</v>
      </c>
      <c r="S46" s="1119">
        <v>6.952300000000001</v>
      </c>
      <c r="T46" s="1120">
        <v>24.75</v>
      </c>
      <c r="U46" s="1119">
        <v>0.90509999999999979</v>
      </c>
      <c r="V46" s="1119">
        <v>0.90179999999999982</v>
      </c>
    </row>
    <row r="47" spans="2:22">
      <c r="B47" s="565"/>
      <c r="D47" s="1119">
        <v>0.82359999999999955</v>
      </c>
      <c r="E47" s="1119">
        <v>0.8271999999999996</v>
      </c>
      <c r="F47" s="1120">
        <v>39.47</v>
      </c>
      <c r="G47" s="1119">
        <v>7.6069000000000004</v>
      </c>
      <c r="I47" s="1119">
        <v>0.8271999999999996</v>
      </c>
      <c r="J47" s="1119">
        <v>0.82359999999999955</v>
      </c>
      <c r="K47" s="1120">
        <v>39.47</v>
      </c>
      <c r="L47" s="1119">
        <v>7.6069000000000004</v>
      </c>
      <c r="N47" s="1120">
        <v>24.77</v>
      </c>
      <c r="O47" s="1119">
        <v>6.9530000000000012</v>
      </c>
      <c r="P47" s="1119">
        <v>0.90500000000000003</v>
      </c>
      <c r="Q47" s="1119">
        <v>0.90169999999999983</v>
      </c>
      <c r="S47" s="1119">
        <v>6.9530000000000012</v>
      </c>
      <c r="T47" s="1120">
        <v>24.77</v>
      </c>
      <c r="U47" s="1119">
        <v>0.90500000000000003</v>
      </c>
      <c r="V47" s="1119">
        <v>0.90169999999999983</v>
      </c>
    </row>
    <row r="48" spans="2:22">
      <c r="B48" s="565"/>
      <c r="D48" s="1119">
        <v>0.82369999999999954</v>
      </c>
      <c r="E48" s="1119">
        <v>0.82729999999999959</v>
      </c>
      <c r="F48" s="1120">
        <v>39.450000000000003</v>
      </c>
      <c r="G48" s="1119">
        <v>7.6060000000000008</v>
      </c>
      <c r="I48" s="1119">
        <v>0.82729999999999959</v>
      </c>
      <c r="J48" s="1119">
        <v>0.82369999999999954</v>
      </c>
      <c r="K48" s="1120">
        <v>39.450000000000003</v>
      </c>
      <c r="L48" s="1119">
        <v>7.6060000000000008</v>
      </c>
      <c r="N48" s="1120">
        <v>24.79</v>
      </c>
      <c r="O48" s="1119">
        <v>6.9538000000000011</v>
      </c>
      <c r="P48" s="1119">
        <v>0.90489999999999982</v>
      </c>
      <c r="Q48" s="1119">
        <v>0.90159999999999985</v>
      </c>
      <c r="S48" s="1119">
        <v>6.9538000000000011</v>
      </c>
      <c r="T48" s="1120">
        <v>24.79</v>
      </c>
      <c r="U48" s="1119">
        <v>0.90489999999999982</v>
      </c>
      <c r="V48" s="1119">
        <v>0.90159999999999985</v>
      </c>
    </row>
    <row r="49" spans="2:36">
      <c r="B49" s="565"/>
      <c r="D49" s="1119">
        <v>0.82379999999999953</v>
      </c>
      <c r="E49" s="1119">
        <v>0.82739999999999958</v>
      </c>
      <c r="F49" s="1120">
        <v>39.43</v>
      </c>
      <c r="G49" s="1119">
        <v>7.6051000000000011</v>
      </c>
      <c r="I49" s="1119">
        <v>0.82739999999999958</v>
      </c>
      <c r="J49" s="1119">
        <v>0.82379999999999953</v>
      </c>
      <c r="K49" s="1120">
        <v>39.43</v>
      </c>
      <c r="L49" s="1119">
        <v>7.6051000000000011</v>
      </c>
      <c r="N49" s="1120">
        <v>24.8</v>
      </c>
      <c r="O49" s="1119">
        <v>6.954600000000001</v>
      </c>
      <c r="P49" s="1119">
        <v>0.90479999999999983</v>
      </c>
      <c r="Q49" s="1119">
        <v>0.90149999999999986</v>
      </c>
      <c r="S49" s="1119">
        <v>6.954600000000001</v>
      </c>
      <c r="T49" s="1120">
        <v>24.8</v>
      </c>
      <c r="U49" s="1119">
        <v>0.90479999999999983</v>
      </c>
      <c r="V49" s="1119">
        <v>0.90149999999999986</v>
      </c>
    </row>
    <row r="50" spans="2:36">
      <c r="B50" s="565"/>
      <c r="D50" s="1119">
        <v>0.82389999999999952</v>
      </c>
      <c r="E50" s="1119">
        <v>0.82750000000000001</v>
      </c>
      <c r="F50" s="1120">
        <v>39.409999999999997</v>
      </c>
      <c r="G50" s="1119">
        <v>7.6042000000000014</v>
      </c>
      <c r="I50" s="1119">
        <v>0.82750000000000001</v>
      </c>
      <c r="J50" s="1119">
        <v>0.82389999999999952</v>
      </c>
      <c r="K50" s="1120">
        <v>39.409999999999997</v>
      </c>
      <c r="L50" s="1119">
        <v>7.6042000000000014</v>
      </c>
      <c r="N50" s="1120">
        <v>24.82</v>
      </c>
      <c r="O50" s="1119">
        <v>6.9554000000000009</v>
      </c>
      <c r="P50" s="1119">
        <v>0.90469999999999984</v>
      </c>
      <c r="Q50" s="1119">
        <v>0.90139999999999987</v>
      </c>
      <c r="S50" s="1119">
        <v>6.9554000000000009</v>
      </c>
      <c r="T50" s="1120">
        <v>24.82</v>
      </c>
      <c r="U50" s="1119">
        <v>0.90469999999999984</v>
      </c>
      <c r="V50" s="1119">
        <v>0.90139999999999987</v>
      </c>
    </row>
    <row r="51" spans="2:36">
      <c r="B51" s="565"/>
      <c r="D51" s="1119">
        <v>0.82399999999999951</v>
      </c>
      <c r="E51" s="1119">
        <v>0.82759999999999956</v>
      </c>
      <c r="F51" s="1120">
        <v>39.39</v>
      </c>
      <c r="G51" s="1119">
        <v>7.6033000000000017</v>
      </c>
      <c r="I51" s="1119">
        <v>0.82759999999999956</v>
      </c>
      <c r="J51" s="1119">
        <v>0.82399999999999951</v>
      </c>
      <c r="K51" s="1120">
        <v>39.39</v>
      </c>
      <c r="L51" s="1119">
        <v>7.6033000000000017</v>
      </c>
      <c r="N51" s="1120">
        <v>24.84</v>
      </c>
      <c r="O51" s="1119">
        <v>6.9562000000000008</v>
      </c>
      <c r="P51" s="1119">
        <v>0.90459999999999985</v>
      </c>
      <c r="Q51" s="1119">
        <v>0.90129999999999988</v>
      </c>
      <c r="S51" s="1119">
        <v>6.9562000000000008</v>
      </c>
      <c r="T51" s="1120">
        <v>24.84</v>
      </c>
      <c r="U51" s="1119">
        <v>0.90459999999999985</v>
      </c>
      <c r="V51" s="1119">
        <v>0.90129999999999988</v>
      </c>
    </row>
    <row r="52" spans="2:36">
      <c r="B52" s="565"/>
      <c r="D52" s="1119">
        <v>0.8240999999999995</v>
      </c>
      <c r="E52" s="1119">
        <v>0.82769999999999955</v>
      </c>
      <c r="F52" s="1120">
        <v>39.369999999999997</v>
      </c>
      <c r="G52" s="1119">
        <v>7.602400000000002</v>
      </c>
      <c r="I52" s="1119">
        <v>0.82769999999999955</v>
      </c>
      <c r="J52" s="1119">
        <v>0.8240999999999995</v>
      </c>
      <c r="K52" s="1120">
        <v>39.369999999999997</v>
      </c>
      <c r="L52" s="1119">
        <v>7.602400000000002</v>
      </c>
      <c r="N52" s="1120">
        <v>24.85</v>
      </c>
      <c r="O52" s="1119">
        <v>6.9570000000000007</v>
      </c>
      <c r="P52" s="1119">
        <v>0.90449999999999986</v>
      </c>
      <c r="Q52" s="1119">
        <v>0.90119999999999989</v>
      </c>
      <c r="S52" s="1119">
        <v>6.9570000000000007</v>
      </c>
      <c r="T52" s="1120">
        <v>24.85</v>
      </c>
      <c r="U52" s="1119">
        <v>0.90449999999999986</v>
      </c>
      <c r="V52" s="1119">
        <v>0.90119999999999989</v>
      </c>
    </row>
    <row r="53" spans="2:36">
      <c r="B53" s="565"/>
      <c r="D53" s="1119">
        <v>0.82419999999999949</v>
      </c>
      <c r="E53" s="1119">
        <v>0.82779999999999954</v>
      </c>
      <c r="F53" s="1120">
        <v>39.35</v>
      </c>
      <c r="G53" s="1119">
        <v>7.6015000000000024</v>
      </c>
      <c r="I53" s="1119">
        <v>0.82779999999999954</v>
      </c>
      <c r="J53" s="1119">
        <v>0.82419999999999949</v>
      </c>
      <c r="K53" s="1120">
        <v>39.35</v>
      </c>
      <c r="L53" s="1119">
        <v>7.6015000000000024</v>
      </c>
      <c r="N53" s="1120">
        <v>24.87</v>
      </c>
      <c r="O53" s="1119">
        <v>6.9578000000000007</v>
      </c>
      <c r="P53" s="1119">
        <v>0.90439999999999987</v>
      </c>
      <c r="Q53" s="1119">
        <v>0.9010999999999999</v>
      </c>
      <c r="S53" s="1119">
        <v>6.9578000000000007</v>
      </c>
      <c r="T53" s="1120">
        <v>24.87</v>
      </c>
      <c r="U53" s="1119">
        <v>0.90439999999999987</v>
      </c>
      <c r="V53" s="1119">
        <v>0.9010999999999999</v>
      </c>
    </row>
    <row r="54" spans="2:36">
      <c r="B54" s="565"/>
      <c r="D54" s="1119">
        <v>0.82429999999999948</v>
      </c>
      <c r="E54" s="1119">
        <v>0.82789999999999953</v>
      </c>
      <c r="F54" s="1120">
        <v>39.33</v>
      </c>
      <c r="G54" s="1119">
        <v>7.6006000000000027</v>
      </c>
      <c r="I54" s="1119">
        <v>0.82789999999999953</v>
      </c>
      <c r="J54" s="1119">
        <v>0.82429999999999948</v>
      </c>
      <c r="K54" s="1120">
        <v>39.33</v>
      </c>
      <c r="L54" s="1119">
        <v>7.6006000000000027</v>
      </c>
      <c r="N54" s="1120">
        <v>24.89</v>
      </c>
      <c r="O54" s="1119">
        <v>6.9586000000000006</v>
      </c>
      <c r="P54" s="1119">
        <v>0.90429999999999988</v>
      </c>
      <c r="Q54" s="1119">
        <v>0.90099999999999991</v>
      </c>
      <c r="S54" s="1119">
        <v>6.9586000000000006</v>
      </c>
      <c r="T54" s="1120">
        <v>24.89</v>
      </c>
      <c r="U54" s="1119">
        <v>0.90429999999999988</v>
      </c>
      <c r="V54" s="1119">
        <v>0.90099999999999991</v>
      </c>
    </row>
    <row r="55" spans="2:36">
      <c r="B55" s="565"/>
      <c r="D55" s="1119">
        <v>0.82439999999999947</v>
      </c>
      <c r="E55" s="1119">
        <v>0.82799999999999951</v>
      </c>
      <c r="F55" s="1120">
        <v>39.31</v>
      </c>
      <c r="G55" s="1119">
        <v>7.599700000000003</v>
      </c>
      <c r="I55" s="1119">
        <v>0.82799999999999951</v>
      </c>
      <c r="J55" s="1119">
        <v>0.82439999999999947</v>
      </c>
      <c r="K55" s="1120">
        <v>39.31</v>
      </c>
      <c r="L55" s="1119">
        <v>7.599700000000003</v>
      </c>
      <c r="N55" s="1120">
        <v>24.91</v>
      </c>
      <c r="O55" s="1119">
        <v>6.9594000000000005</v>
      </c>
      <c r="P55" s="1119">
        <v>0.90419999999999989</v>
      </c>
      <c r="Q55" s="1119">
        <v>0.90089999999999992</v>
      </c>
      <c r="S55" s="1119">
        <v>6.9594000000000005</v>
      </c>
      <c r="T55" s="1120">
        <v>24.91</v>
      </c>
      <c r="U55" s="1119">
        <v>0.90419999999999989</v>
      </c>
      <c r="V55" s="1119">
        <v>0.90089999999999992</v>
      </c>
    </row>
    <row r="56" spans="2:36">
      <c r="B56" s="565"/>
      <c r="D56" s="1119">
        <v>0.82449999999999946</v>
      </c>
      <c r="E56" s="1119">
        <v>0.8280999999999995</v>
      </c>
      <c r="F56" s="1120">
        <v>39.29</v>
      </c>
      <c r="G56" s="1119">
        <v>7.5988000000000033</v>
      </c>
      <c r="I56" s="1119">
        <v>0.8280999999999995</v>
      </c>
      <c r="J56" s="1119">
        <v>0.82449999999999946</v>
      </c>
      <c r="K56" s="1120">
        <v>39.29</v>
      </c>
      <c r="L56" s="1119">
        <v>7.5988000000000033</v>
      </c>
      <c r="N56" s="1120">
        <v>24.92</v>
      </c>
      <c r="O56" s="1119">
        <v>6.9602000000000004</v>
      </c>
      <c r="P56" s="1119">
        <v>0.9040999999999999</v>
      </c>
      <c r="Q56" s="1119">
        <v>0.90079999999999993</v>
      </c>
      <c r="S56" s="1119">
        <v>6.9602000000000004</v>
      </c>
      <c r="T56" s="1120">
        <v>24.92</v>
      </c>
      <c r="U56" s="1119">
        <v>0.9040999999999999</v>
      </c>
      <c r="V56" s="1119">
        <v>0.90079999999999993</v>
      </c>
    </row>
    <row r="57" spans="2:36">
      <c r="B57" s="565"/>
      <c r="D57" s="1119">
        <v>0.82459999999999944</v>
      </c>
      <c r="E57" s="1119">
        <v>0.82819999999999949</v>
      </c>
      <c r="F57" s="1120">
        <v>39.270000000000003</v>
      </c>
      <c r="G57" s="1119">
        <v>7.5979000000000037</v>
      </c>
      <c r="I57" s="1119">
        <v>0.82819999999999949</v>
      </c>
      <c r="J57" s="1119">
        <v>0.82459999999999944</v>
      </c>
      <c r="K57" s="1120">
        <v>39.270000000000003</v>
      </c>
      <c r="L57" s="1119">
        <v>7.5979000000000037</v>
      </c>
      <c r="N57" s="1120">
        <v>24.94</v>
      </c>
      <c r="O57" s="1119">
        <v>6.9610000000000003</v>
      </c>
      <c r="P57" s="1119">
        <v>0.90399999999999991</v>
      </c>
      <c r="Q57" s="1119">
        <v>0.90069999999999995</v>
      </c>
      <c r="S57" s="1119">
        <v>6.9610000000000003</v>
      </c>
      <c r="T57" s="1120">
        <v>24.94</v>
      </c>
      <c r="U57" s="1119">
        <v>0.90399999999999991</v>
      </c>
      <c r="V57" s="1119">
        <v>0.90069999999999995</v>
      </c>
    </row>
    <row r="58" spans="2:36">
      <c r="B58" s="565"/>
      <c r="D58" s="1119">
        <v>0.82469999999999943</v>
      </c>
      <c r="E58" s="1119">
        <v>0.82829999999999948</v>
      </c>
      <c r="F58" s="1120">
        <v>39.25</v>
      </c>
      <c r="G58" s="1119">
        <v>7.597000000000004</v>
      </c>
      <c r="I58" s="1119">
        <v>0.82829999999999948</v>
      </c>
      <c r="J58" s="1119">
        <v>0.82469999999999943</v>
      </c>
      <c r="K58" s="1120">
        <v>39.25</v>
      </c>
      <c r="L58" s="1119">
        <v>7.597000000000004</v>
      </c>
      <c r="N58" s="1120">
        <v>24.96</v>
      </c>
      <c r="O58" s="1119">
        <v>6.9618000000000002</v>
      </c>
      <c r="P58" s="1119">
        <v>0.90389999999999993</v>
      </c>
      <c r="Q58" s="1119">
        <v>0.90059999999999996</v>
      </c>
      <c r="S58" s="1119">
        <v>6.9618000000000002</v>
      </c>
      <c r="T58" s="1120">
        <v>24.96</v>
      </c>
      <c r="U58" s="1119">
        <v>0.90389999999999993</v>
      </c>
      <c r="V58" s="1119">
        <v>0.90059999999999996</v>
      </c>
    </row>
    <row r="59" spans="2:36">
      <c r="B59" s="565"/>
      <c r="D59" s="1119">
        <v>0.82479999999999942</v>
      </c>
      <c r="E59" s="1119">
        <v>0.82839999999999947</v>
      </c>
      <c r="F59" s="1120">
        <v>39.229999999999997</v>
      </c>
      <c r="G59" s="1119">
        <v>7.5961000000000043</v>
      </c>
      <c r="I59" s="1119">
        <v>0.82839999999999947</v>
      </c>
      <c r="J59" s="1119">
        <v>0.82479999999999942</v>
      </c>
      <c r="K59" s="1120">
        <v>39.229999999999997</v>
      </c>
      <c r="L59" s="1119">
        <v>7.5961000000000043</v>
      </c>
      <c r="N59" s="1120">
        <v>24.97</v>
      </c>
      <c r="O59" s="1119">
        <v>6.9626000000000001</v>
      </c>
      <c r="P59" s="1119">
        <v>0.90379999999999994</v>
      </c>
      <c r="Q59" s="1119">
        <v>0.90049999999999997</v>
      </c>
      <c r="S59" s="1119">
        <v>6.9626000000000001</v>
      </c>
      <c r="T59" s="1120">
        <v>24.97</v>
      </c>
      <c r="U59" s="1119">
        <v>0.90379999999999994</v>
      </c>
      <c r="V59" s="1119">
        <v>0.90049999999999997</v>
      </c>
    </row>
    <row r="60" spans="2:36">
      <c r="B60" s="565"/>
      <c r="D60" s="1119">
        <v>0.82489999999999941</v>
      </c>
      <c r="E60" s="1119">
        <v>0.82849999999999946</v>
      </c>
      <c r="F60" s="1120">
        <v>39.21</v>
      </c>
      <c r="G60" s="1119">
        <v>7.5952000000000046</v>
      </c>
      <c r="I60" s="1119">
        <v>0.82849999999999946</v>
      </c>
      <c r="J60" s="1119">
        <v>0.82489999999999941</v>
      </c>
      <c r="K60" s="1120">
        <v>39.21</v>
      </c>
      <c r="L60" s="1119">
        <v>7.5952000000000046</v>
      </c>
      <c r="N60" s="1120">
        <v>24.99</v>
      </c>
      <c r="O60" s="1119">
        <v>6.9634</v>
      </c>
      <c r="P60" s="1119">
        <v>0.90369999999999995</v>
      </c>
      <c r="Q60" s="1119">
        <v>0.90039999999999998</v>
      </c>
      <c r="S60" s="1119">
        <v>6.9634</v>
      </c>
      <c r="T60" s="1120">
        <v>24.99</v>
      </c>
      <c r="U60" s="1119">
        <v>0.90369999999999995</v>
      </c>
      <c r="V60" s="1119">
        <v>0.90039999999999998</v>
      </c>
    </row>
    <row r="61" spans="2:36">
      <c r="B61" s="565"/>
      <c r="D61" s="1119">
        <v>0.8249999999999994</v>
      </c>
      <c r="E61" s="1119">
        <v>0.82859999999999945</v>
      </c>
      <c r="F61" s="1120">
        <v>39.18</v>
      </c>
      <c r="G61" s="1119">
        <v>7.5943000000000049</v>
      </c>
      <c r="I61" s="1119">
        <v>0.82859999999999945</v>
      </c>
      <c r="J61" s="1119">
        <v>0.8249999999999994</v>
      </c>
      <c r="K61" s="1120">
        <v>39.18</v>
      </c>
      <c r="L61" s="1119">
        <v>7.5943000000000049</v>
      </c>
      <c r="N61" s="1120">
        <v>25.01</v>
      </c>
      <c r="O61" s="1119">
        <v>6.9641999999999999</v>
      </c>
      <c r="P61" s="1119">
        <v>0.90359999999999996</v>
      </c>
      <c r="Q61" s="1119">
        <v>0.90029999999999999</v>
      </c>
      <c r="S61" s="1119">
        <v>6.9641999999999999</v>
      </c>
      <c r="T61" s="1120">
        <v>25.01</v>
      </c>
      <c r="U61" s="1119">
        <v>0.90359999999999996</v>
      </c>
      <c r="V61" s="1119">
        <v>0.90029999999999999</v>
      </c>
    </row>
    <row r="62" spans="2:36">
      <c r="B62" s="565"/>
      <c r="D62" s="1119">
        <v>0.82509999999999994</v>
      </c>
      <c r="E62" s="1119">
        <v>0.82869999999999999</v>
      </c>
      <c r="F62" s="1120">
        <v>39.159999999999997</v>
      </c>
      <c r="G62" s="1119">
        <v>7.5933999999999999</v>
      </c>
      <c r="I62" s="1119">
        <v>0.82869999999999999</v>
      </c>
      <c r="J62" s="1119">
        <v>0.82509999999999994</v>
      </c>
      <c r="K62" s="1120">
        <v>39.159999999999997</v>
      </c>
      <c r="L62" s="1119">
        <v>7.5933999999999999</v>
      </c>
      <c r="N62" s="1120">
        <v>25.02</v>
      </c>
      <c r="O62" s="1119">
        <v>6.9649999999999999</v>
      </c>
      <c r="P62" s="1119">
        <v>0.90349999999999997</v>
      </c>
      <c r="Q62" s="1119">
        <v>0.9002</v>
      </c>
      <c r="S62" s="1119">
        <v>6.9649999999999999</v>
      </c>
      <c r="T62" s="1120">
        <v>25.02</v>
      </c>
      <c r="U62" s="1119">
        <v>0.90349999999999997</v>
      </c>
      <c r="V62" s="1119">
        <v>0.9002</v>
      </c>
      <c r="W62" s="5"/>
      <c r="X62" s="5"/>
      <c r="Y62" s="5"/>
      <c r="Z62" s="5"/>
      <c r="AA62" s="5"/>
      <c r="AB62" s="5"/>
      <c r="AC62" s="5"/>
      <c r="AD62" s="5"/>
      <c r="AE62" s="5"/>
      <c r="AF62" s="5"/>
      <c r="AG62" s="5"/>
      <c r="AH62" s="5"/>
      <c r="AI62" s="5"/>
      <c r="AJ62" s="5"/>
    </row>
    <row r="63" spans="2:36">
      <c r="B63" s="565"/>
      <c r="D63" s="1119">
        <v>0.82519999999999993</v>
      </c>
      <c r="E63" s="1119">
        <v>0.82879999999999998</v>
      </c>
      <c r="F63" s="1120">
        <v>39.14</v>
      </c>
      <c r="G63" s="1119">
        <v>7.5925000000000002</v>
      </c>
      <c r="I63" s="1119">
        <v>0.82879999999999998</v>
      </c>
      <c r="J63" s="1119">
        <v>0.82519999999999993</v>
      </c>
      <c r="K63" s="1120">
        <v>39.14</v>
      </c>
      <c r="L63" s="1119">
        <v>7.5925000000000002</v>
      </c>
      <c r="N63" s="1120">
        <v>25.04</v>
      </c>
      <c r="O63" s="1119">
        <v>6.9651000000000005</v>
      </c>
      <c r="P63" s="1119">
        <v>0.90339999999999943</v>
      </c>
      <c r="Q63" s="1119">
        <v>0.90009999999999946</v>
      </c>
      <c r="S63" s="1119">
        <v>6.9651000000000005</v>
      </c>
      <c r="T63" s="1120">
        <v>25.04</v>
      </c>
      <c r="U63" s="1119">
        <v>0.90339999999999943</v>
      </c>
      <c r="V63" s="1119">
        <v>0.90009999999999946</v>
      </c>
      <c r="W63" s="5"/>
      <c r="X63" s="5"/>
      <c r="Y63" s="5"/>
      <c r="Z63" s="5"/>
      <c r="AA63" s="5"/>
      <c r="AB63" s="5"/>
      <c r="AC63" s="5"/>
      <c r="AD63" s="5"/>
      <c r="AE63" s="5"/>
      <c r="AF63" s="5"/>
      <c r="AG63" s="5"/>
      <c r="AH63" s="5"/>
      <c r="AI63" s="5"/>
      <c r="AJ63" s="5"/>
    </row>
    <row r="64" spans="2:36">
      <c r="B64" s="565"/>
      <c r="D64" s="1119">
        <v>0.82529999999999992</v>
      </c>
      <c r="E64" s="1119">
        <v>0.82889999999999997</v>
      </c>
      <c r="F64" s="1120">
        <v>39.119999999999997</v>
      </c>
      <c r="G64" s="1119">
        <v>7.5916000000000006</v>
      </c>
      <c r="I64" s="1119">
        <v>0.82889999999999997</v>
      </c>
      <c r="J64" s="1119">
        <v>0.82529999999999992</v>
      </c>
      <c r="K64" s="1120">
        <v>39.119999999999997</v>
      </c>
      <c r="L64" s="1119">
        <v>7.5916000000000006</v>
      </c>
      <c r="N64" s="1120">
        <v>25.06</v>
      </c>
      <c r="O64" s="1119">
        <v>6.9659000000000004</v>
      </c>
      <c r="P64" s="1119">
        <v>0.90329999999999944</v>
      </c>
      <c r="Q64" s="1119">
        <v>0.89999999999999947</v>
      </c>
      <c r="S64" s="1119">
        <v>6.9659000000000004</v>
      </c>
      <c r="T64" s="1120">
        <v>25.06</v>
      </c>
      <c r="U64" s="1119">
        <v>0.90329999999999944</v>
      </c>
      <c r="V64" s="1119">
        <v>0.89999999999999947</v>
      </c>
    </row>
    <row r="65" spans="4:22">
      <c r="D65" s="1119">
        <v>0.82539999999999991</v>
      </c>
      <c r="E65" s="1119">
        <v>0.82899999999999996</v>
      </c>
      <c r="F65" s="1120">
        <v>39.1</v>
      </c>
      <c r="G65" s="1119">
        <v>7.5907000000000009</v>
      </c>
      <c r="I65" s="1119">
        <v>0.82899999999999996</v>
      </c>
      <c r="J65" s="1119">
        <v>0.82539999999999991</v>
      </c>
      <c r="K65" s="1120">
        <v>39.1</v>
      </c>
      <c r="L65" s="1119">
        <v>7.5907000000000009</v>
      </c>
      <c r="N65" s="1120">
        <v>25.08</v>
      </c>
      <c r="O65" s="1119">
        <v>6.9667000000000003</v>
      </c>
      <c r="P65" s="1119">
        <v>0.90319999999999945</v>
      </c>
      <c r="Q65" s="1119">
        <v>0.89989999999999948</v>
      </c>
      <c r="S65" s="1119">
        <v>6.9667000000000003</v>
      </c>
      <c r="T65" s="1120">
        <v>25.08</v>
      </c>
      <c r="U65" s="1119">
        <v>0.90319999999999945</v>
      </c>
      <c r="V65" s="1119">
        <v>0.89989999999999948</v>
      </c>
    </row>
    <row r="66" spans="4:22">
      <c r="D66" s="1119">
        <v>0.8254999999999999</v>
      </c>
      <c r="E66" s="1119">
        <v>0.82909999999999995</v>
      </c>
      <c r="F66" s="1120">
        <v>39.08</v>
      </c>
      <c r="G66" s="1119">
        <v>7.5898000000000012</v>
      </c>
      <c r="I66" s="1119">
        <v>0.82909999999999995</v>
      </c>
      <c r="J66" s="1119">
        <v>0.8254999999999999</v>
      </c>
      <c r="K66" s="1120">
        <v>39.08</v>
      </c>
      <c r="L66" s="1119">
        <v>7.5898000000000012</v>
      </c>
      <c r="N66" s="1120">
        <v>25.09</v>
      </c>
      <c r="O66" s="1119">
        <v>6.9675000000000002</v>
      </c>
      <c r="P66" s="1119">
        <v>0.90309999999999946</v>
      </c>
      <c r="Q66" s="1119">
        <v>0.89979999999999949</v>
      </c>
      <c r="S66" s="1119">
        <v>6.9675000000000002</v>
      </c>
      <c r="T66" s="1120">
        <v>25.09</v>
      </c>
      <c r="U66" s="1119">
        <v>0.90309999999999946</v>
      </c>
      <c r="V66" s="1119">
        <v>0.89979999999999949</v>
      </c>
    </row>
    <row r="67" spans="4:22">
      <c r="D67" s="1119">
        <v>0.82559999999999989</v>
      </c>
      <c r="E67" s="1119">
        <v>0.82919999999999994</v>
      </c>
      <c r="F67" s="1120">
        <v>39.06</v>
      </c>
      <c r="G67" s="1119">
        <v>7.5889000000000015</v>
      </c>
      <c r="I67" s="1119">
        <v>0.82919999999999994</v>
      </c>
      <c r="J67" s="1119">
        <v>0.82559999999999989</v>
      </c>
      <c r="K67" s="1120">
        <v>39.06</v>
      </c>
      <c r="L67" s="1119">
        <v>7.5889000000000015</v>
      </c>
      <c r="N67" s="1120">
        <v>25.11</v>
      </c>
      <c r="O67" s="1119">
        <v>6.9683000000000002</v>
      </c>
      <c r="P67" s="1119">
        <v>0.90299999999999947</v>
      </c>
      <c r="Q67" s="1119">
        <v>0.8996999999999995</v>
      </c>
      <c r="S67" s="1119">
        <v>6.9683000000000002</v>
      </c>
      <c r="T67" s="1120">
        <v>25.11</v>
      </c>
      <c r="U67" s="1119">
        <v>0.90299999999999947</v>
      </c>
      <c r="V67" s="1119">
        <v>0.8996999999999995</v>
      </c>
    </row>
    <row r="68" spans="4:22">
      <c r="D68" s="1119">
        <v>0.82569999999999988</v>
      </c>
      <c r="E68" s="1119">
        <v>0.82929999999999993</v>
      </c>
      <c r="F68" s="1120">
        <v>39.04</v>
      </c>
      <c r="G68" s="1119">
        <v>7.5880000000000019</v>
      </c>
      <c r="I68" s="1119">
        <v>0.82929999999999993</v>
      </c>
      <c r="J68" s="1119">
        <v>0.82569999999999988</v>
      </c>
      <c r="K68" s="1120">
        <v>39.04</v>
      </c>
      <c r="L68" s="1119">
        <v>7.5880000000000019</v>
      </c>
      <c r="N68" s="1120">
        <v>25.13</v>
      </c>
      <c r="O68" s="1119">
        <v>6.9691000000000001</v>
      </c>
      <c r="P68" s="1119">
        <v>0.90289999999999948</v>
      </c>
      <c r="Q68" s="1119">
        <v>0.89959999999999951</v>
      </c>
      <c r="S68" s="1119">
        <v>6.9691000000000001</v>
      </c>
      <c r="T68" s="1120">
        <v>25.13</v>
      </c>
      <c r="U68" s="1119">
        <v>0.90289999999999948</v>
      </c>
      <c r="V68" s="1119">
        <v>0.89959999999999951</v>
      </c>
    </row>
    <row r="69" spans="4:22">
      <c r="D69" s="1119">
        <v>0.82579999999999987</v>
      </c>
      <c r="E69" s="1119">
        <v>0.82939999999999992</v>
      </c>
      <c r="F69" s="1120">
        <v>39.020000000000003</v>
      </c>
      <c r="G69" s="1119">
        <v>7.5871000000000022</v>
      </c>
      <c r="I69" s="1119">
        <v>0.82939999999999992</v>
      </c>
      <c r="J69" s="1119">
        <v>0.82579999999999987</v>
      </c>
      <c r="K69" s="1120">
        <v>39.020000000000003</v>
      </c>
      <c r="L69" s="1119">
        <v>7.5871000000000022</v>
      </c>
      <c r="N69" s="1120">
        <v>25.15</v>
      </c>
      <c r="O69" s="1119">
        <v>6.9699</v>
      </c>
      <c r="P69" s="1119">
        <v>0.90279999999999949</v>
      </c>
      <c r="Q69" s="1119">
        <v>0.89949999999999952</v>
      </c>
      <c r="S69" s="1119">
        <v>6.9699</v>
      </c>
      <c r="T69" s="1120">
        <v>25.15</v>
      </c>
      <c r="U69" s="1119">
        <v>0.90279999999999949</v>
      </c>
      <c r="V69" s="1119">
        <v>0.89949999999999952</v>
      </c>
    </row>
    <row r="70" spans="4:22">
      <c r="D70" s="1119">
        <v>0.82589999999999986</v>
      </c>
      <c r="E70" s="1119">
        <v>0.8294999999999999</v>
      </c>
      <c r="F70" s="1120">
        <v>39</v>
      </c>
      <c r="G70" s="1119">
        <v>7.5862000000000025</v>
      </c>
      <c r="I70" s="1119">
        <v>0.8294999999999999</v>
      </c>
      <c r="J70" s="1119">
        <v>0.82589999999999986</v>
      </c>
      <c r="K70" s="1120">
        <v>39</v>
      </c>
      <c r="L70" s="1119">
        <v>7.5862000000000025</v>
      </c>
      <c r="N70" s="1120">
        <v>25.16</v>
      </c>
      <c r="O70" s="1119">
        <v>6.9706999999999999</v>
      </c>
      <c r="P70" s="1119">
        <v>0.9026999999999995</v>
      </c>
      <c r="Q70" s="1119">
        <v>0.89939999999999953</v>
      </c>
      <c r="S70" s="1119">
        <v>6.9706999999999999</v>
      </c>
      <c r="T70" s="1120">
        <v>25.16</v>
      </c>
      <c r="U70" s="1119">
        <v>0.9026999999999995</v>
      </c>
      <c r="V70" s="1119">
        <v>0.89939999999999953</v>
      </c>
    </row>
    <row r="71" spans="4:22">
      <c r="D71" s="1119">
        <v>0.82599999999999985</v>
      </c>
      <c r="E71" s="1119">
        <v>0.82959999999999989</v>
      </c>
      <c r="F71" s="1120">
        <v>38.979999999999997</v>
      </c>
      <c r="G71" s="1119">
        <v>7.5853000000000028</v>
      </c>
      <c r="I71" s="1119">
        <v>0.82959999999999989</v>
      </c>
      <c r="J71" s="1119">
        <v>0.82599999999999985</v>
      </c>
      <c r="K71" s="1120">
        <v>38.979999999999997</v>
      </c>
      <c r="L71" s="1119">
        <v>7.5853000000000028</v>
      </c>
      <c r="N71" s="1120">
        <v>25.18</v>
      </c>
      <c r="O71" s="1119">
        <v>6.9714999999999998</v>
      </c>
      <c r="P71" s="1119">
        <v>0.90259999999999951</v>
      </c>
      <c r="Q71" s="1119">
        <v>0.89929999999999954</v>
      </c>
      <c r="S71" s="1119">
        <v>6.9714999999999998</v>
      </c>
      <c r="T71" s="1120">
        <v>25.18</v>
      </c>
      <c r="U71" s="1119">
        <v>0.90259999999999951</v>
      </c>
      <c r="V71" s="1119">
        <v>0.89929999999999954</v>
      </c>
    </row>
    <row r="72" spans="4:22">
      <c r="D72" s="1119">
        <v>0.82609999999999983</v>
      </c>
      <c r="E72" s="1119">
        <v>0.82969999999999988</v>
      </c>
      <c r="F72" s="1120">
        <v>38.96</v>
      </c>
      <c r="G72" s="1119">
        <v>7.5844000000000031</v>
      </c>
      <c r="I72" s="1119">
        <v>0.82969999999999988</v>
      </c>
      <c r="J72" s="1119">
        <v>0.82609999999999983</v>
      </c>
      <c r="K72" s="1120">
        <v>38.96</v>
      </c>
      <c r="L72" s="1119">
        <v>7.5844000000000031</v>
      </c>
      <c r="N72" s="1120">
        <v>25.2</v>
      </c>
      <c r="O72" s="1119">
        <v>6.9722999999999997</v>
      </c>
      <c r="P72" s="1119">
        <v>0.90249999999999997</v>
      </c>
      <c r="Q72" s="1119">
        <v>0.89919999999999956</v>
      </c>
      <c r="S72" s="1119">
        <v>6.9722999999999997</v>
      </c>
      <c r="T72" s="1120">
        <v>25.2</v>
      </c>
      <c r="U72" s="1119">
        <v>0.90249999999999997</v>
      </c>
      <c r="V72" s="1119">
        <v>0.89919999999999956</v>
      </c>
    </row>
    <row r="73" spans="4:22">
      <c r="D73" s="1119">
        <v>0.82619999999999982</v>
      </c>
      <c r="E73" s="1119">
        <v>0.82979999999999987</v>
      </c>
      <c r="F73" s="1120">
        <v>38.94</v>
      </c>
      <c r="G73" s="1119">
        <v>7.5835000000000035</v>
      </c>
      <c r="I73" s="1119">
        <v>0.82979999999999987</v>
      </c>
      <c r="J73" s="1119">
        <v>0.82619999999999982</v>
      </c>
      <c r="K73" s="1120">
        <v>38.94</v>
      </c>
      <c r="L73" s="1119">
        <v>7.5835000000000035</v>
      </c>
      <c r="N73" s="1120">
        <v>25.22</v>
      </c>
      <c r="O73" s="1119">
        <v>6.9730999999999996</v>
      </c>
      <c r="P73" s="1119">
        <v>0.90239999999999954</v>
      </c>
      <c r="Q73" s="1119">
        <v>0.89909999999999957</v>
      </c>
      <c r="S73" s="1119">
        <v>6.9730999999999996</v>
      </c>
      <c r="T73" s="1120">
        <v>25.22</v>
      </c>
      <c r="U73" s="1119">
        <v>0.90239999999999954</v>
      </c>
      <c r="V73" s="1119">
        <v>0.89909999999999957</v>
      </c>
    </row>
    <row r="74" spans="4:22">
      <c r="D74" s="1119">
        <v>0.82629999999999981</v>
      </c>
      <c r="E74" s="1119">
        <v>0.82989999999999986</v>
      </c>
      <c r="F74" s="1120">
        <v>38.92</v>
      </c>
      <c r="G74" s="1119">
        <v>7.5826000000000038</v>
      </c>
      <c r="I74" s="1119">
        <v>0.82989999999999986</v>
      </c>
      <c r="J74" s="1119">
        <v>0.82629999999999981</v>
      </c>
      <c r="K74" s="1120">
        <v>38.92</v>
      </c>
      <c r="L74" s="1119">
        <v>7.5826000000000038</v>
      </c>
      <c r="N74" s="1120">
        <v>25.24</v>
      </c>
      <c r="O74" s="1119">
        <v>6.9738999999999995</v>
      </c>
      <c r="P74" s="1119">
        <v>0.90229999999999955</v>
      </c>
      <c r="Q74" s="1119">
        <v>0.89899999999999958</v>
      </c>
      <c r="S74" s="1119">
        <v>6.9738999999999995</v>
      </c>
      <c r="T74" s="1120">
        <v>25.24</v>
      </c>
      <c r="U74" s="1119">
        <v>0.90229999999999955</v>
      </c>
      <c r="V74" s="1119">
        <v>0.89899999999999958</v>
      </c>
    </row>
    <row r="75" spans="4:22">
      <c r="D75" s="1119">
        <v>0.8263999999999998</v>
      </c>
      <c r="E75" s="1119">
        <v>0.83</v>
      </c>
      <c r="F75" s="1120">
        <v>38.9</v>
      </c>
      <c r="G75" s="1119">
        <v>7.5818000000000003</v>
      </c>
      <c r="I75" s="1119">
        <v>0.83</v>
      </c>
      <c r="J75" s="1119">
        <v>0.8263999999999998</v>
      </c>
      <c r="K75" s="1120">
        <v>38.9</v>
      </c>
      <c r="L75" s="1119">
        <v>7.5818000000000003</v>
      </c>
      <c r="N75" s="1120">
        <v>25.25</v>
      </c>
      <c r="O75" s="1119">
        <v>6.9746999999999995</v>
      </c>
      <c r="P75" s="1119">
        <v>0.90219999999999956</v>
      </c>
      <c r="Q75" s="1119">
        <v>0.89889999999999959</v>
      </c>
      <c r="S75" s="1119">
        <v>6.9746999999999995</v>
      </c>
      <c r="T75" s="1120">
        <v>25.25</v>
      </c>
      <c r="U75" s="1119">
        <v>0.90219999999999956</v>
      </c>
      <c r="V75" s="1119">
        <v>0.89889999999999959</v>
      </c>
    </row>
    <row r="76" spans="4:22">
      <c r="D76" s="1119">
        <v>0.82649999999999979</v>
      </c>
      <c r="E76" s="1119">
        <v>0.83009999999999984</v>
      </c>
      <c r="F76" s="1120">
        <v>38.880000000000003</v>
      </c>
      <c r="G76" s="1119">
        <v>7.5809000000000006</v>
      </c>
      <c r="I76" s="1119">
        <v>0.83009999999999984</v>
      </c>
      <c r="J76" s="1119">
        <v>0.82649999999999979</v>
      </c>
      <c r="K76" s="1120">
        <v>38.880000000000003</v>
      </c>
      <c r="L76" s="1119">
        <v>7.5809000000000006</v>
      </c>
      <c r="N76" s="1120">
        <v>25.27</v>
      </c>
      <c r="O76" s="1119">
        <v>6.9754999999999994</v>
      </c>
      <c r="P76" s="1119">
        <v>0.90209999999999957</v>
      </c>
      <c r="Q76" s="1119">
        <v>0.8987999999999996</v>
      </c>
      <c r="S76" s="1119">
        <v>6.9754999999999994</v>
      </c>
      <c r="T76" s="1120">
        <v>25.27</v>
      </c>
      <c r="U76" s="1119">
        <v>0.90209999999999957</v>
      </c>
      <c r="V76" s="1119">
        <v>0.8987999999999996</v>
      </c>
    </row>
    <row r="77" spans="4:22">
      <c r="D77" s="1119">
        <v>0.82659999999999978</v>
      </c>
      <c r="E77" s="1119">
        <v>0.83019999999999983</v>
      </c>
      <c r="F77" s="1120">
        <v>38.86</v>
      </c>
      <c r="G77" s="1119">
        <v>7.58</v>
      </c>
      <c r="I77" s="1119">
        <v>0.83019999999999983</v>
      </c>
      <c r="J77" s="1119">
        <v>0.82659999999999978</v>
      </c>
      <c r="K77" s="1120">
        <v>38.86</v>
      </c>
      <c r="L77" s="1119">
        <v>7.58</v>
      </c>
      <c r="N77" s="1120">
        <v>25.29</v>
      </c>
      <c r="O77" s="1119">
        <v>6.9762999999999993</v>
      </c>
      <c r="P77" s="1119">
        <v>0.90199999999999958</v>
      </c>
      <c r="Q77" s="1119">
        <v>0.89869999999999961</v>
      </c>
      <c r="S77" s="1119">
        <v>6.9762999999999993</v>
      </c>
      <c r="T77" s="1120">
        <v>25.29</v>
      </c>
      <c r="U77" s="1119">
        <v>0.90199999999999958</v>
      </c>
      <c r="V77" s="1119">
        <v>0.89869999999999961</v>
      </c>
    </row>
    <row r="78" spans="4:22">
      <c r="D78" s="1119">
        <v>0.82669999999999977</v>
      </c>
      <c r="E78" s="1119">
        <v>0.83029999999999982</v>
      </c>
      <c r="F78" s="1120">
        <v>38.840000000000003</v>
      </c>
      <c r="G78" s="1119">
        <v>7.5791000000000013</v>
      </c>
      <c r="I78" s="1119">
        <v>0.83029999999999982</v>
      </c>
      <c r="J78" s="1119">
        <v>0.82669999999999977</v>
      </c>
      <c r="K78" s="1120">
        <v>38.840000000000003</v>
      </c>
      <c r="L78" s="1119">
        <v>7.5791000000000013</v>
      </c>
      <c r="N78" s="1120">
        <v>25.31</v>
      </c>
      <c r="O78" s="1119">
        <v>6.9769999999999994</v>
      </c>
      <c r="P78" s="1119">
        <v>0.90189999999999959</v>
      </c>
      <c r="Q78" s="1119">
        <v>0.89859999999999962</v>
      </c>
      <c r="S78" s="1119">
        <v>6.9769999999999994</v>
      </c>
      <c r="T78" s="1120">
        <v>25.31</v>
      </c>
      <c r="U78" s="1119">
        <v>0.90189999999999959</v>
      </c>
      <c r="V78" s="1119">
        <v>0.89859999999999962</v>
      </c>
    </row>
    <row r="79" spans="4:22">
      <c r="D79" s="1119">
        <v>0.82679999999999976</v>
      </c>
      <c r="E79" s="1119">
        <v>0.8303999999999998</v>
      </c>
      <c r="F79" s="1120">
        <v>38.82</v>
      </c>
      <c r="G79" s="1119">
        <v>7.5782000000000016</v>
      </c>
      <c r="I79" s="1119">
        <v>0.8303999999999998</v>
      </c>
      <c r="J79" s="1119">
        <v>0.82679999999999976</v>
      </c>
      <c r="K79" s="1120">
        <v>38.82</v>
      </c>
      <c r="L79" s="1119">
        <v>7.5782000000000016</v>
      </c>
      <c r="N79" s="1120">
        <v>25.32</v>
      </c>
      <c r="O79" s="1119">
        <v>6.9776999999999996</v>
      </c>
      <c r="P79" s="1119">
        <v>0.9017999999999996</v>
      </c>
      <c r="Q79" s="1119">
        <v>0.89849999999999963</v>
      </c>
      <c r="S79" s="1119">
        <v>6.9776999999999996</v>
      </c>
      <c r="T79" s="1120">
        <v>25.32</v>
      </c>
      <c r="U79" s="1119">
        <v>0.9017999999999996</v>
      </c>
      <c r="V79" s="1119">
        <v>0.89849999999999963</v>
      </c>
    </row>
    <row r="80" spans="4:22">
      <c r="D80" s="1119">
        <v>0.82689999999999975</v>
      </c>
      <c r="E80" s="1119">
        <v>0.83049999999999979</v>
      </c>
      <c r="F80" s="1120">
        <v>38.799999999999997</v>
      </c>
      <c r="G80" s="1119">
        <v>7.5773000000000019</v>
      </c>
      <c r="I80" s="1119">
        <v>0.83049999999999979</v>
      </c>
      <c r="J80" s="1119">
        <v>0.82689999999999975</v>
      </c>
      <c r="K80" s="1120">
        <v>38.799999999999997</v>
      </c>
      <c r="L80" s="1119">
        <v>7.5773000000000019</v>
      </c>
      <c r="N80" s="1120">
        <v>25.34</v>
      </c>
      <c r="O80" s="1119">
        <v>6.9783999999999997</v>
      </c>
      <c r="P80" s="1119">
        <v>0.90169999999999961</v>
      </c>
      <c r="Q80" s="1119">
        <v>0.89839999999999964</v>
      </c>
      <c r="S80" s="1119">
        <v>6.9783999999999997</v>
      </c>
      <c r="T80" s="1120">
        <v>25.34</v>
      </c>
      <c r="U80" s="1119">
        <v>0.90169999999999961</v>
      </c>
      <c r="V80" s="1119">
        <v>0.89839999999999964</v>
      </c>
    </row>
    <row r="81" spans="4:22">
      <c r="D81" s="1119">
        <v>0.82699999999999974</v>
      </c>
      <c r="E81" s="1119">
        <v>0.83059999999999978</v>
      </c>
      <c r="F81" s="1120">
        <v>38.770000000000003</v>
      </c>
      <c r="G81" s="1119">
        <v>7.5764000000000022</v>
      </c>
      <c r="I81" s="1119">
        <v>0.83059999999999978</v>
      </c>
      <c r="J81" s="1119">
        <v>0.82699999999999974</v>
      </c>
      <c r="K81" s="1120">
        <v>38.770000000000003</v>
      </c>
      <c r="L81" s="1119">
        <v>7.5764000000000022</v>
      </c>
      <c r="N81" s="1120">
        <v>25.36</v>
      </c>
      <c r="O81" s="1119">
        <v>6.9790999999999999</v>
      </c>
      <c r="P81" s="1119">
        <v>0.90159999999999962</v>
      </c>
      <c r="Q81" s="1119">
        <v>0.89829999999999965</v>
      </c>
      <c r="S81" s="1119">
        <v>6.9790999999999999</v>
      </c>
      <c r="T81" s="1120">
        <v>25.36</v>
      </c>
      <c r="U81" s="1119">
        <v>0.90159999999999962</v>
      </c>
      <c r="V81" s="1119">
        <v>0.89829999999999965</v>
      </c>
    </row>
    <row r="82" spans="4:22">
      <c r="D82" s="1119">
        <v>0.82709999999999972</v>
      </c>
      <c r="E82" s="1119">
        <v>0.83069999999999977</v>
      </c>
      <c r="F82" s="1120">
        <v>38.75</v>
      </c>
      <c r="G82" s="1119">
        <v>7.5755000000000026</v>
      </c>
      <c r="I82" s="1119">
        <v>0.83069999999999977</v>
      </c>
      <c r="J82" s="1119">
        <v>0.82709999999999972</v>
      </c>
      <c r="K82" s="1120">
        <v>38.75</v>
      </c>
      <c r="L82" s="1119">
        <v>7.5755000000000026</v>
      </c>
      <c r="N82" s="1120">
        <v>25.37</v>
      </c>
      <c r="O82" s="1119">
        <v>6.9798</v>
      </c>
      <c r="P82" s="1119">
        <v>0.90149999999999963</v>
      </c>
      <c r="Q82" s="1119">
        <v>0.89819999999999967</v>
      </c>
      <c r="S82" s="1119">
        <v>6.9798</v>
      </c>
      <c r="T82" s="1120">
        <v>25.37</v>
      </c>
      <c r="U82" s="1119">
        <v>0.90149999999999963</v>
      </c>
      <c r="V82" s="1119">
        <v>0.89819999999999967</v>
      </c>
    </row>
    <row r="83" spans="4:22">
      <c r="D83" s="1119">
        <v>0.82719999999999971</v>
      </c>
      <c r="E83" s="1119">
        <v>0.83079999999999976</v>
      </c>
      <c r="F83" s="1120">
        <v>38.729999999999997</v>
      </c>
      <c r="G83" s="1119">
        <v>7.5746000000000029</v>
      </c>
      <c r="I83" s="1119">
        <v>0.83079999999999976</v>
      </c>
      <c r="J83" s="1119">
        <v>0.82719999999999971</v>
      </c>
      <c r="K83" s="1120">
        <v>38.729999999999997</v>
      </c>
      <c r="L83" s="1119">
        <v>7.5746000000000029</v>
      </c>
      <c r="N83" s="1120">
        <v>25.39</v>
      </c>
      <c r="O83" s="1119">
        <v>6.9805000000000001</v>
      </c>
      <c r="P83" s="1119">
        <v>0.90139999999999965</v>
      </c>
      <c r="Q83" s="1119">
        <v>0.89809999999999968</v>
      </c>
      <c r="S83" s="1119">
        <v>6.9805000000000001</v>
      </c>
      <c r="T83" s="1120">
        <v>25.39</v>
      </c>
      <c r="U83" s="1119">
        <v>0.90139999999999965</v>
      </c>
      <c r="V83" s="1119">
        <v>0.89809999999999968</v>
      </c>
    </row>
    <row r="84" spans="4:22">
      <c r="D84" s="1119">
        <v>0.8272999999999997</v>
      </c>
      <c r="E84" s="1119">
        <v>0.83089999999999975</v>
      </c>
      <c r="F84" s="1120">
        <v>38.71</v>
      </c>
      <c r="G84" s="1119">
        <v>7.5737000000000032</v>
      </c>
      <c r="I84" s="1119">
        <v>0.83089999999999975</v>
      </c>
      <c r="J84" s="1119">
        <v>0.8272999999999997</v>
      </c>
      <c r="K84" s="1120">
        <v>38.71</v>
      </c>
      <c r="L84" s="1119">
        <v>7.5737000000000032</v>
      </c>
      <c r="N84" s="1120">
        <v>25.41</v>
      </c>
      <c r="O84" s="1119">
        <v>6.9812000000000003</v>
      </c>
      <c r="P84" s="1119">
        <v>0.90129999999999966</v>
      </c>
      <c r="Q84" s="1119">
        <v>0.89799999999999969</v>
      </c>
      <c r="S84" s="1119">
        <v>6.9812000000000003</v>
      </c>
      <c r="T84" s="1120">
        <v>25.41</v>
      </c>
      <c r="U84" s="1119">
        <v>0.90129999999999966</v>
      </c>
      <c r="V84" s="1119">
        <v>0.89799999999999969</v>
      </c>
    </row>
    <row r="85" spans="4:22">
      <c r="D85" s="1119">
        <v>0.82739999999999969</v>
      </c>
      <c r="E85" s="1119">
        <v>0.83099999999999974</v>
      </c>
      <c r="F85" s="1120">
        <v>38.69</v>
      </c>
      <c r="G85" s="1119">
        <v>7.5728000000000035</v>
      </c>
      <c r="I85" s="1119">
        <v>0.83099999999999974</v>
      </c>
      <c r="J85" s="1119">
        <v>0.82739999999999969</v>
      </c>
      <c r="K85" s="1120">
        <v>38.69</v>
      </c>
      <c r="L85" s="1119">
        <v>7.5728000000000035</v>
      </c>
      <c r="N85" s="1120">
        <v>25.43</v>
      </c>
      <c r="O85" s="1119">
        <v>6.9819000000000004</v>
      </c>
      <c r="P85" s="1119">
        <v>0.90119999999999967</v>
      </c>
      <c r="Q85" s="1119">
        <v>0.8978999999999997</v>
      </c>
      <c r="S85" s="1119">
        <v>6.9819000000000004</v>
      </c>
      <c r="T85" s="1120">
        <v>25.43</v>
      </c>
      <c r="U85" s="1119">
        <v>0.90119999999999967</v>
      </c>
      <c r="V85" s="1119">
        <v>0.8978999999999997</v>
      </c>
    </row>
    <row r="86" spans="4:22">
      <c r="D86" s="1119">
        <v>0.82750000000000001</v>
      </c>
      <c r="E86" s="1119">
        <v>0.83109999999999973</v>
      </c>
      <c r="F86" s="1120">
        <v>38.67</v>
      </c>
      <c r="G86" s="1119">
        <v>7.5717999999999996</v>
      </c>
      <c r="I86" s="1119">
        <v>0.83109999999999973</v>
      </c>
      <c r="J86" s="1119">
        <v>0.82750000000000001</v>
      </c>
      <c r="K86" s="1120">
        <v>38.67</v>
      </c>
      <c r="L86" s="1119">
        <v>7.5717999999999996</v>
      </c>
      <c r="N86" s="1120">
        <v>25.44</v>
      </c>
      <c r="O86" s="1119">
        <v>6.9826000000000006</v>
      </c>
      <c r="P86" s="1119">
        <v>0.90109999999999968</v>
      </c>
      <c r="Q86" s="1119">
        <v>0.89779999999999971</v>
      </c>
      <c r="S86" s="1119">
        <v>6.9826000000000006</v>
      </c>
      <c r="T86" s="1120">
        <v>25.44</v>
      </c>
      <c r="U86" s="1119">
        <v>0.90109999999999968</v>
      </c>
      <c r="V86" s="1119">
        <v>0.89779999999999971</v>
      </c>
    </row>
    <row r="87" spans="4:22">
      <c r="D87" s="1119">
        <v>0.82759999999999967</v>
      </c>
      <c r="E87" s="1119">
        <v>0.83119999999999972</v>
      </c>
      <c r="F87" s="1120">
        <v>38.65</v>
      </c>
      <c r="G87" s="1119">
        <v>7.5707999999999993</v>
      </c>
      <c r="I87" s="1119">
        <v>0.83119999999999972</v>
      </c>
      <c r="J87" s="1119">
        <v>0.82759999999999967</v>
      </c>
      <c r="K87" s="1120">
        <v>38.65</v>
      </c>
      <c r="L87" s="1119">
        <v>7.5707999999999993</v>
      </c>
      <c r="N87" s="1120">
        <v>25.46</v>
      </c>
      <c r="O87" s="1119">
        <v>6.9833000000000007</v>
      </c>
      <c r="P87" s="1119">
        <v>0.90099999999999969</v>
      </c>
      <c r="Q87" s="1119">
        <v>0.89769999999999972</v>
      </c>
      <c r="S87" s="1119">
        <v>6.9833000000000007</v>
      </c>
      <c r="T87" s="1120">
        <v>25.46</v>
      </c>
      <c r="U87" s="1119">
        <v>0.90099999999999969</v>
      </c>
      <c r="V87" s="1119">
        <v>0.89769999999999972</v>
      </c>
    </row>
    <row r="88" spans="4:22">
      <c r="D88" s="1119">
        <v>0.82769999999999966</v>
      </c>
      <c r="E88" s="1119">
        <v>0.83129999999999971</v>
      </c>
      <c r="F88" s="1120">
        <v>38.630000000000003</v>
      </c>
      <c r="G88" s="1119">
        <v>7.569799999999999</v>
      </c>
      <c r="I88" s="1119">
        <v>0.83129999999999971</v>
      </c>
      <c r="J88" s="1119">
        <v>0.82769999999999966</v>
      </c>
      <c r="K88" s="1120">
        <v>38.630000000000003</v>
      </c>
      <c r="L88" s="1119">
        <v>7.569799999999999</v>
      </c>
      <c r="N88" s="1120">
        <v>25.48</v>
      </c>
      <c r="O88" s="1119">
        <v>6.9841000000000006</v>
      </c>
      <c r="P88" s="1119">
        <v>0.9008999999999997</v>
      </c>
      <c r="Q88" s="1119">
        <v>0.89759999999999973</v>
      </c>
      <c r="S88" s="1119">
        <v>6.9841000000000006</v>
      </c>
      <c r="T88" s="1120">
        <v>25.48</v>
      </c>
      <c r="U88" s="1119">
        <v>0.9008999999999997</v>
      </c>
      <c r="V88" s="1119">
        <v>0.89759999999999973</v>
      </c>
    </row>
    <row r="89" spans="4:22">
      <c r="D89" s="1119">
        <v>0.82779999999999965</v>
      </c>
      <c r="E89" s="1119">
        <v>0.83139999999999969</v>
      </c>
      <c r="F89" s="1120">
        <v>38.61</v>
      </c>
      <c r="G89" s="1119">
        <v>7.5687999999999986</v>
      </c>
      <c r="I89" s="1119">
        <v>0.83139999999999969</v>
      </c>
      <c r="J89" s="1119">
        <v>0.82779999999999965</v>
      </c>
      <c r="K89" s="1120">
        <v>38.61</v>
      </c>
      <c r="L89" s="1119">
        <v>7.5687999999999986</v>
      </c>
      <c r="N89" s="1120">
        <v>25.49</v>
      </c>
      <c r="O89" s="1119">
        <v>6.9849000000000006</v>
      </c>
      <c r="P89" s="1119">
        <v>0.90079999999999971</v>
      </c>
      <c r="Q89" s="1119">
        <v>0.89749999999999996</v>
      </c>
      <c r="S89" s="1119">
        <v>6.9849000000000006</v>
      </c>
      <c r="T89" s="1120">
        <v>25.49</v>
      </c>
      <c r="U89" s="1119">
        <v>0.90079999999999971</v>
      </c>
      <c r="V89" s="1119">
        <v>0.89749999999999996</v>
      </c>
    </row>
    <row r="90" spans="4:22">
      <c r="D90" s="1119">
        <v>0.82789999999999964</v>
      </c>
      <c r="E90" s="1119">
        <v>0.83149999999999968</v>
      </c>
      <c r="F90" s="1120">
        <v>38.590000000000003</v>
      </c>
      <c r="G90" s="1119">
        <v>7.5677999999999983</v>
      </c>
      <c r="I90" s="1119">
        <v>0.83149999999999968</v>
      </c>
      <c r="J90" s="1119">
        <v>0.82789999999999964</v>
      </c>
      <c r="K90" s="1120">
        <v>38.590000000000003</v>
      </c>
      <c r="L90" s="1119">
        <v>7.5677999999999983</v>
      </c>
      <c r="N90" s="1120">
        <v>25.51</v>
      </c>
      <c r="O90" s="1119">
        <v>6.9857000000000005</v>
      </c>
      <c r="P90" s="1119">
        <v>0.90069999999999972</v>
      </c>
      <c r="Q90" s="1119">
        <v>0.89739999999999975</v>
      </c>
      <c r="S90" s="1119">
        <v>6.9857000000000005</v>
      </c>
      <c r="T90" s="1120">
        <v>25.51</v>
      </c>
      <c r="U90" s="1119">
        <v>0.90069999999999972</v>
      </c>
      <c r="V90" s="1119">
        <v>0.89739999999999975</v>
      </c>
    </row>
    <row r="91" spans="4:22">
      <c r="D91" s="1119">
        <v>0.82799999999999963</v>
      </c>
      <c r="E91" s="1119">
        <v>0.83159999999999967</v>
      </c>
      <c r="F91" s="1120">
        <v>38.57</v>
      </c>
      <c r="G91" s="1119">
        <v>7.566799999999998</v>
      </c>
      <c r="I91" s="1119">
        <v>0.83159999999999967</v>
      </c>
      <c r="J91" s="1119">
        <v>0.82799999999999963</v>
      </c>
      <c r="K91" s="1120">
        <v>38.57</v>
      </c>
      <c r="L91" s="1119">
        <v>7.566799999999998</v>
      </c>
      <c r="N91" s="1120">
        <v>25.53</v>
      </c>
      <c r="O91" s="1119">
        <v>6.9865000000000004</v>
      </c>
      <c r="P91" s="1119">
        <v>0.90059999999999973</v>
      </c>
      <c r="Q91" s="1119">
        <v>0.89729999999999976</v>
      </c>
      <c r="S91" s="1119">
        <v>6.9865000000000004</v>
      </c>
      <c r="T91" s="1120">
        <v>25.53</v>
      </c>
      <c r="U91" s="1119">
        <v>0.90059999999999973</v>
      </c>
      <c r="V91" s="1119">
        <v>0.89729999999999976</v>
      </c>
    </row>
    <row r="92" spans="4:22">
      <c r="D92" s="1119">
        <v>0.82809999999999961</v>
      </c>
      <c r="E92" s="1119">
        <v>0.83169999999999966</v>
      </c>
      <c r="F92" s="1120">
        <v>38.549999999999997</v>
      </c>
      <c r="G92" s="1119">
        <v>7.5657999999999976</v>
      </c>
      <c r="I92" s="1119">
        <v>0.83169999999999966</v>
      </c>
      <c r="J92" s="1119">
        <v>0.82809999999999961</v>
      </c>
      <c r="K92" s="1120">
        <v>38.549999999999997</v>
      </c>
      <c r="L92" s="1119">
        <v>7.5657999999999976</v>
      </c>
      <c r="N92" s="1120">
        <v>25.54</v>
      </c>
      <c r="O92" s="1119">
        <v>6.9873000000000003</v>
      </c>
      <c r="P92" s="1119">
        <v>0.90049999999999975</v>
      </c>
      <c r="Q92" s="1119">
        <v>0.89719999999999978</v>
      </c>
      <c r="S92" s="1119">
        <v>6.9873000000000003</v>
      </c>
      <c r="T92" s="1120">
        <v>25.54</v>
      </c>
      <c r="U92" s="1119">
        <v>0.90049999999999975</v>
      </c>
      <c r="V92" s="1119">
        <v>0.89719999999999978</v>
      </c>
    </row>
    <row r="93" spans="4:22">
      <c r="D93" s="1119">
        <v>0.8281999999999996</v>
      </c>
      <c r="E93" s="1119">
        <v>0.83179999999999965</v>
      </c>
      <c r="F93" s="1120">
        <v>38.53</v>
      </c>
      <c r="G93" s="1119">
        <v>7.5647999999999973</v>
      </c>
      <c r="I93" s="1119">
        <v>0.83179999999999965</v>
      </c>
      <c r="J93" s="1119">
        <v>0.8281999999999996</v>
      </c>
      <c r="K93" s="1120">
        <v>38.53</v>
      </c>
      <c r="L93" s="1119">
        <v>7.5647999999999973</v>
      </c>
      <c r="N93" s="1120">
        <v>25.56</v>
      </c>
      <c r="O93" s="1119">
        <v>6.9881000000000002</v>
      </c>
      <c r="P93" s="1119">
        <v>0.90039999999999976</v>
      </c>
      <c r="Q93" s="1119">
        <v>0.89709999999999979</v>
      </c>
      <c r="S93" s="1119">
        <v>6.9881000000000002</v>
      </c>
      <c r="T93" s="1120">
        <v>25.56</v>
      </c>
      <c r="U93" s="1119">
        <v>0.90039999999999976</v>
      </c>
      <c r="V93" s="1119">
        <v>0.89709999999999979</v>
      </c>
    </row>
    <row r="94" spans="4:22">
      <c r="D94" s="1119">
        <v>0.82829999999999959</v>
      </c>
      <c r="E94" s="1119">
        <v>0.83189999999999964</v>
      </c>
      <c r="F94" s="1120">
        <v>38.51</v>
      </c>
      <c r="G94" s="1119">
        <v>7.563799999999997</v>
      </c>
      <c r="I94" s="1119">
        <v>0.83189999999999964</v>
      </c>
      <c r="J94" s="1119">
        <v>0.82829999999999959</v>
      </c>
      <c r="K94" s="1120">
        <v>38.51</v>
      </c>
      <c r="L94" s="1119">
        <v>7.563799999999997</v>
      </c>
      <c r="N94" s="1120">
        <v>25.58</v>
      </c>
      <c r="O94" s="1119">
        <v>6.9889000000000001</v>
      </c>
      <c r="P94" s="1119">
        <v>0.90029999999999977</v>
      </c>
      <c r="Q94" s="1119">
        <v>0.8969999999999998</v>
      </c>
      <c r="S94" s="1119">
        <v>6.9889000000000001</v>
      </c>
      <c r="T94" s="1120">
        <v>25.58</v>
      </c>
      <c r="U94" s="1119">
        <v>0.90029999999999977</v>
      </c>
      <c r="V94" s="1119">
        <v>0.8969999999999998</v>
      </c>
    </row>
    <row r="95" spans="4:22">
      <c r="D95" s="1119">
        <v>0.82839999999999958</v>
      </c>
      <c r="E95" s="1119">
        <v>0.83199999999999963</v>
      </c>
      <c r="F95" s="1120">
        <v>38.49</v>
      </c>
      <c r="G95" s="1119">
        <v>7.5627999999999966</v>
      </c>
      <c r="I95" s="1119">
        <v>0.83199999999999963</v>
      </c>
      <c r="J95" s="1119">
        <v>0.82839999999999958</v>
      </c>
      <c r="K95" s="1120">
        <v>38.49</v>
      </c>
      <c r="L95" s="1119">
        <v>7.5627999999999966</v>
      </c>
      <c r="N95" s="1120">
        <v>25.6</v>
      </c>
      <c r="O95" s="1119">
        <v>6.9897</v>
      </c>
      <c r="P95" s="1119">
        <v>0.90019999999999978</v>
      </c>
      <c r="Q95" s="1119">
        <v>0.89689999999999981</v>
      </c>
      <c r="S95" s="1119">
        <v>6.9897</v>
      </c>
      <c r="T95" s="1120">
        <v>25.6</v>
      </c>
      <c r="U95" s="1119">
        <v>0.90019999999999978</v>
      </c>
      <c r="V95" s="1119">
        <v>0.89689999999999981</v>
      </c>
    </row>
    <row r="96" spans="4:22">
      <c r="D96" s="1119">
        <v>0.82849999999999957</v>
      </c>
      <c r="E96" s="1119">
        <v>0.83209999999999962</v>
      </c>
      <c r="F96" s="1120">
        <v>38.47</v>
      </c>
      <c r="G96" s="1119">
        <v>7.561899999999997</v>
      </c>
      <c r="I96" s="1119">
        <v>0.83209999999999962</v>
      </c>
      <c r="J96" s="1119">
        <v>0.82849999999999957</v>
      </c>
      <c r="K96" s="1120">
        <v>38.47</v>
      </c>
      <c r="L96" s="1119">
        <v>7.561899999999997</v>
      </c>
      <c r="N96" s="1120">
        <v>25.61</v>
      </c>
      <c r="O96" s="1119">
        <v>6.9904999999999999</v>
      </c>
      <c r="P96" s="1119">
        <v>0.90009999999999979</v>
      </c>
      <c r="Q96" s="1119">
        <v>0.89679999999999982</v>
      </c>
      <c r="S96" s="1119">
        <v>6.9904999999999999</v>
      </c>
      <c r="T96" s="1120">
        <v>25.61</v>
      </c>
      <c r="U96" s="1119">
        <v>0.90009999999999979</v>
      </c>
      <c r="V96" s="1119">
        <v>0.89679999999999982</v>
      </c>
    </row>
    <row r="97" spans="4:46">
      <c r="D97" s="1119">
        <v>0.82859999999999956</v>
      </c>
      <c r="E97" s="1119">
        <v>0.83219999999999961</v>
      </c>
      <c r="F97" s="1120">
        <v>38.450000000000003</v>
      </c>
      <c r="G97" s="1119">
        <v>7.5609999999999973</v>
      </c>
      <c r="I97" s="1119">
        <v>0.83219999999999961</v>
      </c>
      <c r="J97" s="1119">
        <v>0.82859999999999956</v>
      </c>
      <c r="K97" s="1120">
        <v>38.450000000000003</v>
      </c>
      <c r="L97" s="1119">
        <v>7.5609999999999973</v>
      </c>
      <c r="N97" s="1120">
        <v>25.63</v>
      </c>
      <c r="O97" s="1119">
        <v>6.9912999999999998</v>
      </c>
      <c r="P97" s="1119">
        <v>0.9</v>
      </c>
      <c r="Q97" s="1119">
        <v>0.89669999999999983</v>
      </c>
      <c r="S97" s="1119">
        <v>6.9912999999999998</v>
      </c>
      <c r="T97" s="1120">
        <v>25.63</v>
      </c>
      <c r="U97" s="1119">
        <v>0.9</v>
      </c>
      <c r="V97" s="1119">
        <v>0.89669999999999983</v>
      </c>
    </row>
    <row r="98" spans="4:46">
      <c r="D98" s="1119">
        <v>0.82869999999999955</v>
      </c>
      <c r="E98" s="1119">
        <v>0.8322999999999996</v>
      </c>
      <c r="F98" s="1120">
        <v>38.43</v>
      </c>
      <c r="G98" s="1119">
        <v>7.5600999999999976</v>
      </c>
      <c r="I98" s="1119">
        <v>0.8322999999999996</v>
      </c>
      <c r="J98" s="1119">
        <v>0.82869999999999955</v>
      </c>
      <c r="K98" s="1120">
        <v>38.43</v>
      </c>
      <c r="L98" s="1119">
        <v>7.5600999999999976</v>
      </c>
      <c r="N98" s="1120">
        <v>25.65</v>
      </c>
      <c r="O98" s="1119">
        <v>6.9920000000000009</v>
      </c>
      <c r="P98" s="1119">
        <v>0.89989999999999981</v>
      </c>
      <c r="Q98" s="1119">
        <v>0.89659999999999984</v>
      </c>
      <c r="S98" s="1119">
        <v>6.9920000000000009</v>
      </c>
      <c r="T98" s="1120">
        <v>25.65</v>
      </c>
      <c r="U98" s="1119">
        <v>0.89989999999999981</v>
      </c>
      <c r="V98" s="1119">
        <v>0.89659999999999984</v>
      </c>
    </row>
    <row r="99" spans="4:46">
      <c r="D99" s="1119">
        <v>0.82879999999999954</v>
      </c>
      <c r="E99" s="1119">
        <v>0.83239999999999958</v>
      </c>
      <c r="F99" s="1120">
        <v>38.409999999999997</v>
      </c>
      <c r="G99" s="1119">
        <v>7.5591999999999979</v>
      </c>
      <c r="I99" s="1119">
        <v>0.83239999999999958</v>
      </c>
      <c r="J99" s="1119">
        <v>0.82879999999999954</v>
      </c>
      <c r="K99" s="1120">
        <v>38.409999999999997</v>
      </c>
      <c r="L99" s="1119">
        <v>7.5591999999999979</v>
      </c>
      <c r="N99" s="1120">
        <v>25.67</v>
      </c>
      <c r="O99" s="1119">
        <v>6.9928000000000008</v>
      </c>
      <c r="P99" s="1119">
        <v>0.89979999999999982</v>
      </c>
      <c r="Q99" s="1119">
        <v>0.89649999999999985</v>
      </c>
      <c r="S99" s="1119">
        <v>6.9928000000000008</v>
      </c>
      <c r="T99" s="1120">
        <v>25.67</v>
      </c>
      <c r="U99" s="1119">
        <v>0.89979999999999982</v>
      </c>
      <c r="V99" s="1119">
        <v>0.89649999999999985</v>
      </c>
    </row>
    <row r="100" spans="4:46">
      <c r="D100" s="1119">
        <v>0.82889999999999953</v>
      </c>
      <c r="E100" s="1119">
        <v>0.83250000000000002</v>
      </c>
      <c r="F100" s="1120">
        <v>38.39</v>
      </c>
      <c r="G100" s="1119">
        <v>7.5582999999999982</v>
      </c>
      <c r="I100" s="1119">
        <v>0.83250000000000002</v>
      </c>
      <c r="J100" s="1119">
        <v>0.82889999999999953</v>
      </c>
      <c r="K100" s="1120">
        <v>38.39</v>
      </c>
      <c r="L100" s="1119">
        <v>7.5582999999999982</v>
      </c>
      <c r="N100" s="1120">
        <v>25.68</v>
      </c>
      <c r="O100" s="1119">
        <v>6.9936000000000007</v>
      </c>
      <c r="P100" s="1119">
        <v>0.89969999999999983</v>
      </c>
      <c r="Q100" s="1119">
        <v>0.89639999999999986</v>
      </c>
      <c r="S100" s="1119">
        <v>6.9936000000000007</v>
      </c>
      <c r="T100" s="1120">
        <v>25.68</v>
      </c>
      <c r="U100" s="1119">
        <v>0.89969999999999983</v>
      </c>
      <c r="V100" s="1119">
        <v>0.89639999999999986</v>
      </c>
      <c r="Z100" s="566" t="s">
        <v>550</v>
      </c>
      <c r="AA100" s="12"/>
      <c r="AB100" s="12"/>
      <c r="AC100" s="12"/>
      <c r="AD100" s="12"/>
      <c r="AE100" s="12"/>
      <c r="AF100" s="12"/>
      <c r="AG100" s="12"/>
      <c r="AH100" s="12"/>
    </row>
    <row r="101" spans="4:46">
      <c r="D101" s="1119">
        <v>0.82899999999999952</v>
      </c>
      <c r="E101" s="1119">
        <v>0.83259999999999956</v>
      </c>
      <c r="F101" s="1120">
        <v>38.36</v>
      </c>
      <c r="G101" s="1119">
        <v>7.5573999999999986</v>
      </c>
      <c r="I101" s="1119">
        <v>0.83259999999999956</v>
      </c>
      <c r="J101" s="1119">
        <v>0.82899999999999952</v>
      </c>
      <c r="K101" s="1120">
        <v>38.36</v>
      </c>
      <c r="L101" s="1119">
        <v>7.5573999999999986</v>
      </c>
      <c r="N101" s="1120">
        <v>25.7</v>
      </c>
      <c r="O101" s="1119">
        <v>6.9944000000000006</v>
      </c>
      <c r="P101" s="1119">
        <v>0.89959999999999984</v>
      </c>
      <c r="Q101" s="1119">
        <v>0.89629999999999987</v>
      </c>
      <c r="S101" s="1119">
        <v>6.9944000000000006</v>
      </c>
      <c r="T101" s="1120">
        <v>25.7</v>
      </c>
      <c r="U101" s="1119">
        <v>0.89959999999999984</v>
      </c>
      <c r="V101" s="1119">
        <v>0.89629999999999987</v>
      </c>
      <c r="Z101" s="1073" t="s">
        <v>575</v>
      </c>
      <c r="AA101" s="1056"/>
      <c r="AB101" s="1057"/>
      <c r="AC101" s="1058"/>
      <c r="AD101" s="1058"/>
      <c r="AE101" s="1058"/>
      <c r="AF101" s="1058"/>
      <c r="AG101" s="1058"/>
      <c r="AH101" s="1058"/>
      <c r="AI101" s="1058"/>
      <c r="AJ101" s="1058"/>
      <c r="AK101" s="1058"/>
      <c r="AL101" s="1074" t="s">
        <v>575</v>
      </c>
      <c r="AM101" s="1058"/>
      <c r="AN101" s="1058"/>
      <c r="AO101" s="1058"/>
      <c r="AP101" s="1058"/>
      <c r="AQ101" s="1058"/>
      <c r="AR101" s="1058"/>
      <c r="AS101" s="1058"/>
      <c r="AT101" s="1059"/>
    </row>
    <row r="102" spans="4:46" ht="13.15">
      <c r="D102" s="1119">
        <v>0.8290999999999995</v>
      </c>
      <c r="E102" s="1119">
        <v>0.83269999999999955</v>
      </c>
      <c r="F102" s="1120">
        <v>38.340000000000003</v>
      </c>
      <c r="G102" s="1119">
        <v>7.5564999999999989</v>
      </c>
      <c r="I102" s="1119">
        <v>0.83269999999999955</v>
      </c>
      <c r="J102" s="1119">
        <v>0.8290999999999995</v>
      </c>
      <c r="K102" s="1120">
        <v>38.340000000000003</v>
      </c>
      <c r="L102" s="1119">
        <v>7.5564999999999989</v>
      </c>
      <c r="N102" s="1120">
        <v>25.72</v>
      </c>
      <c r="O102" s="1119">
        <v>6.9952000000000005</v>
      </c>
      <c r="P102" s="1119">
        <v>0.89949999999999986</v>
      </c>
      <c r="Q102" s="1119">
        <v>0.89619999999999989</v>
      </c>
      <c r="S102" s="1119">
        <v>6.9952000000000005</v>
      </c>
      <c r="T102" s="1120">
        <v>25.72</v>
      </c>
      <c r="U102" s="1119">
        <v>0.89949999999999986</v>
      </c>
      <c r="V102" s="1119">
        <v>0.89619999999999989</v>
      </c>
      <c r="Z102" s="1062"/>
      <c r="AA102" s="1076"/>
      <c r="AB102" s="1060"/>
      <c r="AC102" s="1060"/>
      <c r="AD102" s="1060"/>
      <c r="AE102" s="1060"/>
      <c r="AF102" s="1060"/>
      <c r="AG102" s="1060"/>
      <c r="AH102" s="1060"/>
      <c r="AI102" s="1060"/>
      <c r="AJ102" s="1060"/>
      <c r="AK102" s="1060"/>
      <c r="AL102" s="1060"/>
      <c r="AM102" s="3208"/>
      <c r="AN102" s="3209"/>
      <c r="AO102" s="1060"/>
      <c r="AP102" s="1060"/>
      <c r="AQ102" s="1060"/>
      <c r="AR102" s="1060"/>
      <c r="AS102" s="1060"/>
      <c r="AT102" s="1061"/>
    </row>
    <row r="103" spans="4:46">
      <c r="D103" s="1119">
        <v>0.82919999999999949</v>
      </c>
      <c r="E103" s="1119">
        <v>0.83279999999999954</v>
      </c>
      <c r="F103" s="1120">
        <v>38.32</v>
      </c>
      <c r="G103" s="1119">
        <v>7.5555999999999992</v>
      </c>
      <c r="I103" s="1119">
        <v>0.83279999999999954</v>
      </c>
      <c r="J103" s="1119">
        <v>0.82919999999999949</v>
      </c>
      <c r="K103" s="1120">
        <v>38.32</v>
      </c>
      <c r="L103" s="1119">
        <v>7.5555999999999992</v>
      </c>
      <c r="N103" s="1120">
        <v>25.74</v>
      </c>
      <c r="O103" s="1119">
        <v>6.9960000000000004</v>
      </c>
      <c r="P103" s="1119">
        <v>0.89939999999999987</v>
      </c>
      <c r="Q103" s="1119">
        <v>0.8960999999999999</v>
      </c>
      <c r="S103" s="1119">
        <v>6.9960000000000004</v>
      </c>
      <c r="T103" s="1120">
        <v>25.74</v>
      </c>
      <c r="U103" s="1119">
        <v>0.89939999999999987</v>
      </c>
      <c r="V103" s="1119">
        <v>0.8960999999999999</v>
      </c>
      <c r="Z103" s="1085"/>
      <c r="AA103" s="1086"/>
      <c r="AB103" s="1087"/>
      <c r="AC103" s="1087"/>
      <c r="AD103" s="1087"/>
      <c r="AE103" s="1087"/>
      <c r="AF103" s="1087"/>
      <c r="AG103" s="1087"/>
      <c r="AH103" s="1087"/>
      <c r="AI103" s="1087"/>
      <c r="AJ103" s="1087"/>
      <c r="AK103" s="1087"/>
      <c r="AL103" s="1087"/>
      <c r="AM103" s="1082"/>
      <c r="AN103" s="1079"/>
      <c r="AO103" s="1087"/>
      <c r="AP103" s="1087"/>
      <c r="AQ103" s="1087"/>
      <c r="AR103" s="1087"/>
      <c r="AS103" s="1087"/>
      <c r="AT103" s="1088"/>
    </row>
    <row r="104" spans="4:46">
      <c r="D104" s="1119">
        <v>0.82929999999999948</v>
      </c>
      <c r="E104" s="1119">
        <v>0.83289999999999953</v>
      </c>
      <c r="F104" s="1120">
        <v>38.299999999999997</v>
      </c>
      <c r="G104" s="1119">
        <v>7.5546999999999995</v>
      </c>
      <c r="I104" s="1119">
        <v>0.83289999999999953</v>
      </c>
      <c r="J104" s="1119">
        <v>0.82929999999999948</v>
      </c>
      <c r="K104" s="1120">
        <v>38.299999999999997</v>
      </c>
      <c r="L104" s="1119">
        <v>7.5546999999999995</v>
      </c>
      <c r="N104" s="1120">
        <v>25.76</v>
      </c>
      <c r="O104" s="1119">
        <v>6.9968000000000004</v>
      </c>
      <c r="P104" s="1119">
        <v>0.89929999999999988</v>
      </c>
      <c r="Q104" s="1119">
        <v>0.89599999999999991</v>
      </c>
      <c r="S104" s="1119">
        <v>6.9968000000000004</v>
      </c>
      <c r="T104" s="1120">
        <v>25.76</v>
      </c>
      <c r="U104" s="1119">
        <v>0.89929999999999988</v>
      </c>
      <c r="V104" s="1119">
        <v>0.89599999999999991</v>
      </c>
      <c r="Z104" s="1085"/>
      <c r="AA104" s="1086"/>
      <c r="AB104" s="1087"/>
      <c r="AC104" s="1087"/>
      <c r="AD104" s="1087"/>
      <c r="AE104" s="1087"/>
      <c r="AF104" s="1087"/>
      <c r="AG104" s="1087"/>
      <c r="AH104" s="1087"/>
      <c r="AI104" s="1087"/>
      <c r="AJ104" s="1087"/>
      <c r="AK104" s="1087"/>
      <c r="AL104" s="1087"/>
      <c r="AM104" s="1080"/>
      <c r="AN104" s="1077"/>
      <c r="AO104" s="1087"/>
      <c r="AP104" s="1087"/>
      <c r="AQ104" s="1087"/>
      <c r="AR104" s="1087"/>
      <c r="AS104" s="1087"/>
      <c r="AT104" s="1088"/>
    </row>
    <row r="105" spans="4:46">
      <c r="D105" s="1119">
        <v>0.82939999999999947</v>
      </c>
      <c r="E105" s="1119">
        <v>0.83299999999999952</v>
      </c>
      <c r="F105" s="1120">
        <v>38.28</v>
      </c>
      <c r="G105" s="1119">
        <v>7.5537999999999998</v>
      </c>
      <c r="I105" s="1119">
        <v>0.83299999999999952</v>
      </c>
      <c r="J105" s="1119">
        <v>0.82939999999999947</v>
      </c>
      <c r="K105" s="1120">
        <v>38.28</v>
      </c>
      <c r="L105" s="1119">
        <v>7.5537999999999998</v>
      </c>
      <c r="N105" s="1120">
        <v>25.77</v>
      </c>
      <c r="O105" s="1119">
        <v>6.9976000000000003</v>
      </c>
      <c r="P105" s="1119">
        <v>0.89919999999999989</v>
      </c>
      <c r="Q105" s="1119">
        <v>0.89589999999999992</v>
      </c>
      <c r="S105" s="1119">
        <v>6.9976000000000003</v>
      </c>
      <c r="T105" s="1120">
        <v>25.77</v>
      </c>
      <c r="U105" s="1119">
        <v>0.89919999999999989</v>
      </c>
      <c r="V105" s="1119">
        <v>0.89589999999999992</v>
      </c>
      <c r="Z105" s="1085"/>
      <c r="AA105" s="1086"/>
      <c r="AB105" s="1087"/>
      <c r="AC105" s="1087"/>
      <c r="AD105" s="1087"/>
      <c r="AE105" s="1087"/>
      <c r="AF105" s="1087"/>
      <c r="AG105" s="1087"/>
      <c r="AH105" s="1087"/>
      <c r="AI105" s="1087"/>
      <c r="AJ105" s="1087"/>
      <c r="AK105" s="1087"/>
      <c r="AL105" s="1087"/>
      <c r="AM105" s="1081"/>
      <c r="AN105" s="1078"/>
      <c r="AO105" s="1087"/>
      <c r="AP105" s="1087"/>
      <c r="AQ105" s="1087"/>
      <c r="AR105" s="1087"/>
      <c r="AS105" s="1087"/>
      <c r="AT105" s="1088"/>
    </row>
    <row r="106" spans="4:46">
      <c r="D106" s="1119">
        <v>0.82949999999999946</v>
      </c>
      <c r="E106" s="1119">
        <v>0.83309999999999951</v>
      </c>
      <c r="F106" s="1120">
        <v>38.26</v>
      </c>
      <c r="G106" s="1119">
        <v>7.5529000000000002</v>
      </c>
      <c r="I106" s="1119">
        <v>0.83309999999999951</v>
      </c>
      <c r="J106" s="1119">
        <v>0.82949999999999946</v>
      </c>
      <c r="K106" s="1120">
        <v>38.26</v>
      </c>
      <c r="L106" s="1119">
        <v>7.5529000000000002</v>
      </c>
      <c r="N106" s="1120">
        <v>25.79</v>
      </c>
      <c r="O106" s="1119">
        <v>6.9984000000000002</v>
      </c>
      <c r="P106" s="1119">
        <v>0.8990999999999999</v>
      </c>
      <c r="Q106" s="1119">
        <v>0.89579999999999993</v>
      </c>
      <c r="S106" s="1119">
        <v>6.9984000000000002</v>
      </c>
      <c r="T106" s="1120">
        <v>25.79</v>
      </c>
      <c r="U106" s="1119">
        <v>0.8990999999999999</v>
      </c>
      <c r="V106" s="1119">
        <v>0.89579999999999993</v>
      </c>
      <c r="Z106" s="1085"/>
      <c r="AA106" s="1086"/>
      <c r="AB106" s="1087"/>
      <c r="AC106" s="1087"/>
      <c r="AD106" s="1087"/>
      <c r="AE106" s="1087"/>
      <c r="AF106" s="1087"/>
      <c r="AG106" s="1087"/>
      <c r="AH106" s="1087"/>
      <c r="AI106" s="1087"/>
      <c r="AJ106" s="1087"/>
      <c r="AK106" s="1087"/>
      <c r="AL106" s="1087"/>
      <c r="AM106" s="1081"/>
      <c r="AN106" s="1078"/>
      <c r="AO106" s="1087"/>
      <c r="AP106" s="1087"/>
      <c r="AQ106" s="1087"/>
      <c r="AR106" s="1087"/>
      <c r="AS106" s="1087"/>
      <c r="AT106" s="1088"/>
    </row>
    <row r="107" spans="4:46">
      <c r="D107" s="1119">
        <v>0.82959999999999945</v>
      </c>
      <c r="E107" s="1119">
        <v>0.8331999999999995</v>
      </c>
      <c r="F107" s="1120">
        <v>38.24</v>
      </c>
      <c r="G107" s="1119">
        <v>7.5520000000000005</v>
      </c>
      <c r="I107" s="1119">
        <v>0.8331999999999995</v>
      </c>
      <c r="J107" s="1119">
        <v>0.82959999999999945</v>
      </c>
      <c r="K107" s="1120">
        <v>38.24</v>
      </c>
      <c r="L107" s="1119">
        <v>7.5520000000000005</v>
      </c>
      <c r="N107" s="1120">
        <v>25.81</v>
      </c>
      <c r="O107" s="1119">
        <v>6.9992000000000001</v>
      </c>
      <c r="P107" s="1119">
        <v>0.89899999999999991</v>
      </c>
      <c r="Q107" s="1119">
        <v>0.89569999999999994</v>
      </c>
      <c r="S107" s="1119">
        <v>6.9992000000000001</v>
      </c>
      <c r="T107" s="1120">
        <v>25.81</v>
      </c>
      <c r="U107" s="1119">
        <v>0.89899999999999991</v>
      </c>
      <c r="V107" s="1119">
        <v>0.89569999999999994</v>
      </c>
      <c r="Z107" s="1085"/>
      <c r="AA107" s="1086"/>
      <c r="AB107" s="1087"/>
      <c r="AC107" s="1087"/>
      <c r="AD107" s="1087"/>
      <c r="AE107" s="1087"/>
      <c r="AF107" s="1087"/>
      <c r="AG107" s="1087"/>
      <c r="AH107" s="1087"/>
      <c r="AI107" s="1087"/>
      <c r="AJ107" s="1087"/>
      <c r="AK107" s="1087"/>
      <c r="AL107" s="1087"/>
      <c r="AM107" s="1081"/>
      <c r="AN107" s="1078"/>
      <c r="AO107" s="1087"/>
      <c r="AP107" s="1087"/>
      <c r="AQ107" s="1087"/>
      <c r="AR107" s="1087"/>
      <c r="AS107" s="1087"/>
      <c r="AT107" s="1088"/>
    </row>
    <row r="108" spans="4:46">
      <c r="D108" s="1119">
        <v>0.82969999999999944</v>
      </c>
      <c r="E108" s="1119">
        <v>0.83329999999999949</v>
      </c>
      <c r="F108" s="1120">
        <v>38.22</v>
      </c>
      <c r="G108" s="1119">
        <v>7.5511000000000008</v>
      </c>
      <c r="I108" s="1119">
        <v>0.83329999999999949</v>
      </c>
      <c r="J108" s="1119">
        <v>0.82969999999999944</v>
      </c>
      <c r="K108" s="1120">
        <v>38.22</v>
      </c>
      <c r="L108" s="1119">
        <v>7.5511000000000008</v>
      </c>
      <c r="N108" s="1120">
        <v>25.83</v>
      </c>
      <c r="O108" s="1119">
        <v>7</v>
      </c>
      <c r="P108" s="1119">
        <v>0.89889999999999992</v>
      </c>
      <c r="Q108" s="1119">
        <v>0.89559999999999995</v>
      </c>
      <c r="S108" s="1119">
        <v>7</v>
      </c>
      <c r="T108" s="1120">
        <v>25.83</v>
      </c>
      <c r="U108" s="1119">
        <v>0.89889999999999992</v>
      </c>
      <c r="V108" s="1119">
        <v>0.89559999999999995</v>
      </c>
      <c r="Z108" s="1085"/>
      <c r="AA108" s="1086"/>
      <c r="AB108" s="1087"/>
      <c r="AC108" s="1087"/>
      <c r="AD108" s="1087"/>
      <c r="AE108" s="1087"/>
      <c r="AF108" s="1087"/>
      <c r="AG108" s="1087"/>
      <c r="AH108" s="1087"/>
      <c r="AI108" s="1087"/>
      <c r="AJ108" s="1087"/>
      <c r="AK108" s="1087"/>
      <c r="AL108" s="1087"/>
      <c r="AM108" s="1081"/>
      <c r="AN108" s="1079"/>
      <c r="AO108" s="1087"/>
      <c r="AP108" s="1087"/>
      <c r="AQ108" s="1087"/>
      <c r="AR108" s="1087"/>
      <c r="AS108" s="1087"/>
      <c r="AT108" s="1088"/>
    </row>
    <row r="109" spans="4:46">
      <c r="D109" s="1119">
        <v>0.82979999999999943</v>
      </c>
      <c r="E109" s="1119">
        <v>0.83339999999999947</v>
      </c>
      <c r="F109" s="1120">
        <v>38.200000000000003</v>
      </c>
      <c r="G109" s="1119">
        <v>7.5502000000000011</v>
      </c>
      <c r="I109" s="1119">
        <v>0.83339999999999947</v>
      </c>
      <c r="J109" s="1119">
        <v>0.82979999999999943</v>
      </c>
      <c r="K109" s="1120">
        <v>38.200000000000003</v>
      </c>
      <c r="L109" s="1119">
        <v>7.5502000000000011</v>
      </c>
      <c r="N109" s="1120">
        <v>25.84</v>
      </c>
      <c r="O109" s="1119">
        <v>7.0007999999999999</v>
      </c>
      <c r="P109" s="1119">
        <v>0.89879999999999993</v>
      </c>
      <c r="Q109" s="1119">
        <v>0.89549999999999996</v>
      </c>
      <c r="S109" s="1119">
        <v>7.0007999999999999</v>
      </c>
      <c r="T109" s="1120">
        <v>25.84</v>
      </c>
      <c r="U109" s="1119">
        <v>0.89879999999999993</v>
      </c>
      <c r="V109" s="1119">
        <v>0.89549999999999996</v>
      </c>
      <c r="Z109" s="1085"/>
      <c r="AA109" s="1086"/>
      <c r="AB109" s="1087"/>
      <c r="AC109" s="1087"/>
      <c r="AD109" s="1087"/>
      <c r="AE109" s="1087"/>
      <c r="AF109" s="1087"/>
      <c r="AG109" s="1087"/>
      <c r="AH109" s="1087"/>
      <c r="AI109" s="1087"/>
      <c r="AJ109" s="1087"/>
      <c r="AK109" s="1087"/>
      <c r="AL109" s="1087"/>
      <c r="AM109" s="1089"/>
      <c r="AN109" s="1090"/>
      <c r="AO109" s="1087"/>
      <c r="AP109" s="1087"/>
      <c r="AQ109" s="1087"/>
      <c r="AR109" s="1087"/>
      <c r="AS109" s="1087"/>
      <c r="AT109" s="1088"/>
    </row>
    <row r="110" spans="4:46">
      <c r="D110" s="1119">
        <v>0.82989999999999942</v>
      </c>
      <c r="E110" s="1119">
        <v>0.83349999999999946</v>
      </c>
      <c r="F110" s="1120">
        <v>38.18</v>
      </c>
      <c r="G110" s="1119">
        <v>7.5493000000000015</v>
      </c>
      <c r="I110" s="1119">
        <v>0.83349999999999946</v>
      </c>
      <c r="J110" s="1119">
        <v>0.82989999999999942</v>
      </c>
      <c r="K110" s="1120">
        <v>38.18</v>
      </c>
      <c r="L110" s="1119">
        <v>7.5493000000000015</v>
      </c>
      <c r="N110" s="1120">
        <v>25.86</v>
      </c>
      <c r="O110" s="1119">
        <v>7.0015999999999998</v>
      </c>
      <c r="P110" s="1119">
        <v>0.89869999999999994</v>
      </c>
      <c r="Q110" s="1119">
        <v>0.89539999999999997</v>
      </c>
      <c r="S110" s="1119">
        <v>7.0015999999999998</v>
      </c>
      <c r="T110" s="1120">
        <v>25.86</v>
      </c>
      <c r="U110" s="1119">
        <v>0.89869999999999994</v>
      </c>
      <c r="V110" s="1119">
        <v>0.89539999999999997</v>
      </c>
      <c r="Z110" s="1095"/>
      <c r="AA110" s="399"/>
      <c r="AB110" s="399"/>
      <c r="AC110" s="399"/>
      <c r="AD110" s="399"/>
      <c r="AE110" s="399"/>
      <c r="AF110" s="399"/>
      <c r="AG110" s="399"/>
      <c r="AH110" s="399"/>
      <c r="AI110" s="538"/>
      <c r="AJ110" s="538"/>
      <c r="AK110" s="538"/>
      <c r="AL110" s="538"/>
      <c r="AM110" s="538"/>
      <c r="AN110" s="538"/>
      <c r="AO110" s="538"/>
      <c r="AP110" s="538"/>
      <c r="AQ110" s="538"/>
      <c r="AR110" s="538"/>
      <c r="AS110" s="538"/>
      <c r="AT110" s="537"/>
    </row>
    <row r="111" spans="4:46">
      <c r="D111" s="1119">
        <v>0.8299999999999994</v>
      </c>
      <c r="E111" s="1119">
        <v>0.83359999999999945</v>
      </c>
      <c r="F111" s="1120">
        <v>38.159999999999997</v>
      </c>
      <c r="G111" s="1119">
        <v>7.5484000000000018</v>
      </c>
      <c r="I111" s="1119">
        <v>0.83359999999999945</v>
      </c>
      <c r="J111" s="1119">
        <v>0.8299999999999994</v>
      </c>
      <c r="K111" s="1120">
        <v>38.159999999999997</v>
      </c>
      <c r="L111" s="1119">
        <v>7.5484000000000018</v>
      </c>
      <c r="N111" s="1120">
        <v>25.88</v>
      </c>
      <c r="O111" s="1119">
        <v>7.0023999999999997</v>
      </c>
      <c r="P111" s="1119">
        <v>0.89859999999999995</v>
      </c>
      <c r="Q111" s="1119">
        <v>0.89529999999999998</v>
      </c>
      <c r="S111" s="1119">
        <v>7.0023999999999997</v>
      </c>
      <c r="T111" s="1120">
        <v>25.88</v>
      </c>
      <c r="U111" s="1119">
        <v>0.89859999999999995</v>
      </c>
      <c r="V111" s="1119">
        <v>0.89529999999999998</v>
      </c>
    </row>
    <row r="112" spans="4:46">
      <c r="D112" s="1119">
        <v>0.83009999999999939</v>
      </c>
      <c r="E112" s="1119">
        <v>0.83369999999999944</v>
      </c>
      <c r="F112" s="1120">
        <v>38.14</v>
      </c>
      <c r="G112" s="1119">
        <v>7.5475000000000003</v>
      </c>
      <c r="I112" s="1119">
        <v>0.83369999999999944</v>
      </c>
      <c r="J112" s="1119">
        <v>0.83009999999999939</v>
      </c>
      <c r="K112" s="1120">
        <v>38.14</v>
      </c>
      <c r="L112" s="1119">
        <v>7.5475000000000003</v>
      </c>
      <c r="N112" s="1120">
        <v>25.89</v>
      </c>
      <c r="O112" s="1119">
        <v>7.0031999999999996</v>
      </c>
      <c r="P112" s="1119">
        <v>0.89849999999999997</v>
      </c>
      <c r="Q112" s="1119">
        <v>0.8952</v>
      </c>
      <c r="S112" s="1119">
        <v>7.0031999999999996</v>
      </c>
      <c r="T112" s="1120">
        <v>25.89</v>
      </c>
      <c r="U112" s="1119">
        <v>0.89849999999999997</v>
      </c>
      <c r="V112" s="1119">
        <v>0.8952</v>
      </c>
    </row>
    <row r="113" spans="4:22">
      <c r="D113" s="1119">
        <v>0.83019999999999994</v>
      </c>
      <c r="E113" s="1119">
        <v>0.83379999999999999</v>
      </c>
      <c r="F113" s="1120">
        <v>38.119999999999997</v>
      </c>
      <c r="G113" s="1119">
        <v>7.5466000000000006</v>
      </c>
      <c r="I113" s="1119">
        <v>0.83379999999999999</v>
      </c>
      <c r="J113" s="1119">
        <v>0.83019999999999994</v>
      </c>
      <c r="K113" s="1120">
        <v>38.119999999999997</v>
      </c>
      <c r="L113" s="1119">
        <v>7.5466000000000006</v>
      </c>
      <c r="N113" s="1120">
        <v>25.91</v>
      </c>
      <c r="O113" s="1119">
        <v>7.0039999999999996</v>
      </c>
      <c r="P113" s="1119">
        <v>0.89839999999999998</v>
      </c>
      <c r="Q113" s="1119">
        <v>0.89510000000000001</v>
      </c>
      <c r="S113" s="1119">
        <v>7.0039999999999996</v>
      </c>
      <c r="T113" s="1120">
        <v>25.91</v>
      </c>
      <c r="U113" s="1119">
        <v>0.89839999999999998</v>
      </c>
      <c r="V113" s="1119">
        <v>0.89510000000000001</v>
      </c>
    </row>
    <row r="114" spans="4:22">
      <c r="D114" s="1119">
        <v>0.83029999999999993</v>
      </c>
      <c r="E114" s="1119">
        <v>0.83389999999999997</v>
      </c>
      <c r="F114" s="1120">
        <v>38.1</v>
      </c>
      <c r="G114" s="1119">
        <v>7.545700000000001</v>
      </c>
      <c r="I114" s="1119">
        <v>0.83389999999999997</v>
      </c>
      <c r="J114" s="1119">
        <v>0.83029999999999993</v>
      </c>
      <c r="K114" s="1120">
        <v>38.1</v>
      </c>
      <c r="L114" s="1119">
        <v>7.545700000000001</v>
      </c>
      <c r="N114" s="1120">
        <v>25.93</v>
      </c>
      <c r="O114" s="1119">
        <v>7.0048000000000021</v>
      </c>
      <c r="P114" s="1119">
        <v>0.89829999999999943</v>
      </c>
      <c r="Q114" s="1119">
        <v>0.89499999999999946</v>
      </c>
      <c r="S114" s="1119">
        <v>7.0048000000000021</v>
      </c>
      <c r="T114" s="1120">
        <v>25.93</v>
      </c>
      <c r="U114" s="1119">
        <v>0.89829999999999943</v>
      </c>
      <c r="V114" s="1119">
        <v>0.89499999999999946</v>
      </c>
    </row>
    <row r="115" spans="4:22">
      <c r="D115" s="1119">
        <v>0.83039999999999992</v>
      </c>
      <c r="E115" s="1119">
        <v>0.83399999999999996</v>
      </c>
      <c r="F115" s="1120">
        <v>38.08</v>
      </c>
      <c r="G115" s="1119">
        <v>7.5448000000000013</v>
      </c>
      <c r="I115" s="1119">
        <v>0.83399999999999996</v>
      </c>
      <c r="J115" s="1119">
        <v>0.83039999999999992</v>
      </c>
      <c r="K115" s="1120">
        <v>38.08</v>
      </c>
      <c r="L115" s="1119">
        <v>7.5448000000000013</v>
      </c>
      <c r="N115" s="1120">
        <v>25.95</v>
      </c>
      <c r="O115" s="1119">
        <v>7.005600000000002</v>
      </c>
      <c r="P115" s="1119">
        <v>0.89819999999999944</v>
      </c>
      <c r="Q115" s="1119">
        <v>0.89489999999999947</v>
      </c>
      <c r="S115" s="1119">
        <v>7.005600000000002</v>
      </c>
      <c r="T115" s="1120">
        <v>25.95</v>
      </c>
      <c r="U115" s="1119">
        <v>0.89819999999999944</v>
      </c>
      <c r="V115" s="1119">
        <v>0.89489999999999947</v>
      </c>
    </row>
    <row r="116" spans="4:22">
      <c r="D116" s="1119">
        <v>0.8304999999999999</v>
      </c>
      <c r="E116" s="1119">
        <v>0.83409999999999995</v>
      </c>
      <c r="F116" s="1120">
        <v>38.06</v>
      </c>
      <c r="G116" s="1119">
        <v>7.5439000000000016</v>
      </c>
      <c r="I116" s="1119">
        <v>0.83409999999999995</v>
      </c>
      <c r="J116" s="1119">
        <v>0.8304999999999999</v>
      </c>
      <c r="K116" s="1120">
        <v>38.06</v>
      </c>
      <c r="L116" s="1119">
        <v>7.5439000000000016</v>
      </c>
      <c r="N116" s="1120">
        <v>25.96</v>
      </c>
      <c r="O116" s="1119">
        <v>7.006400000000002</v>
      </c>
      <c r="P116" s="1119">
        <v>0.89809999999999945</v>
      </c>
      <c r="Q116" s="1119">
        <v>0.89479999999999948</v>
      </c>
      <c r="S116" s="1119">
        <v>7.006400000000002</v>
      </c>
      <c r="T116" s="1120">
        <v>25.96</v>
      </c>
      <c r="U116" s="1119">
        <v>0.89809999999999945</v>
      </c>
      <c r="V116" s="1119">
        <v>0.89479999999999948</v>
      </c>
    </row>
    <row r="117" spans="4:22">
      <c r="D117" s="1119">
        <v>0.83059999999999989</v>
      </c>
      <c r="E117" s="1119">
        <v>0.83419999999999994</v>
      </c>
      <c r="F117" s="1120">
        <v>38.04</v>
      </c>
      <c r="G117" s="1119">
        <v>7.5430000000000019</v>
      </c>
      <c r="I117" s="1119">
        <v>0.83419999999999994</v>
      </c>
      <c r="J117" s="1119">
        <v>0.83059999999999989</v>
      </c>
      <c r="K117" s="1120">
        <v>38.04</v>
      </c>
      <c r="L117" s="1119">
        <v>7.5430000000000019</v>
      </c>
      <c r="N117" s="1120">
        <v>25.98</v>
      </c>
      <c r="O117" s="1119">
        <v>7.0072000000000019</v>
      </c>
      <c r="P117" s="1119">
        <v>0.89799999999999947</v>
      </c>
      <c r="Q117" s="1119">
        <v>0.8946999999999995</v>
      </c>
      <c r="S117" s="1119">
        <v>7.0072000000000019</v>
      </c>
      <c r="T117" s="1120">
        <v>25.98</v>
      </c>
      <c r="U117" s="1119">
        <v>0.89799999999999947</v>
      </c>
      <c r="V117" s="1119">
        <v>0.8946999999999995</v>
      </c>
    </row>
    <row r="118" spans="4:22">
      <c r="D118" s="1119">
        <v>0.83069999999999988</v>
      </c>
      <c r="E118" s="1119">
        <v>0.83429999999999993</v>
      </c>
      <c r="F118" s="1120">
        <v>38.020000000000003</v>
      </c>
      <c r="G118" s="1119">
        <v>7.5421000000000022</v>
      </c>
      <c r="I118" s="1119">
        <v>0.83429999999999993</v>
      </c>
      <c r="J118" s="1119">
        <v>0.83069999999999988</v>
      </c>
      <c r="K118" s="1120">
        <v>38.020000000000003</v>
      </c>
      <c r="L118" s="1119">
        <v>7.5421000000000022</v>
      </c>
      <c r="N118" s="1120">
        <v>26</v>
      </c>
      <c r="O118" s="1119">
        <v>7.0080000000000018</v>
      </c>
      <c r="P118" s="1119">
        <v>0.89789999999999948</v>
      </c>
      <c r="Q118" s="1119">
        <v>0.89459999999999951</v>
      </c>
      <c r="S118" s="1119">
        <v>7.0080000000000018</v>
      </c>
      <c r="T118" s="1120">
        <v>26</v>
      </c>
      <c r="U118" s="1119">
        <v>0.89789999999999948</v>
      </c>
      <c r="V118" s="1119">
        <v>0.89459999999999951</v>
      </c>
    </row>
    <row r="119" spans="4:22">
      <c r="D119" s="1119">
        <v>0.83079999999999987</v>
      </c>
      <c r="E119" s="1119">
        <v>0.83439999999999992</v>
      </c>
      <c r="F119" s="1120">
        <v>38</v>
      </c>
      <c r="G119" s="1119">
        <v>7.5412000000000026</v>
      </c>
      <c r="I119" s="1119">
        <v>0.83439999999999992</v>
      </c>
      <c r="J119" s="1119">
        <v>0.83079999999999987</v>
      </c>
      <c r="K119" s="1120">
        <v>38</v>
      </c>
      <c r="L119" s="1119">
        <v>7.5412000000000026</v>
      </c>
      <c r="N119" s="1120">
        <v>26.02</v>
      </c>
      <c r="O119" s="1119">
        <v>7.0088000000000017</v>
      </c>
      <c r="P119" s="1119">
        <v>0.89779999999999949</v>
      </c>
      <c r="Q119" s="1119">
        <v>0.89449999999999952</v>
      </c>
      <c r="S119" s="1119">
        <v>7.0088000000000017</v>
      </c>
      <c r="T119" s="1120">
        <v>26.02</v>
      </c>
      <c r="U119" s="1119">
        <v>0.89779999999999949</v>
      </c>
      <c r="V119" s="1119">
        <v>0.89449999999999952</v>
      </c>
    </row>
    <row r="120" spans="4:22">
      <c r="D120" s="1119">
        <v>0.83089999999999986</v>
      </c>
      <c r="E120" s="1119">
        <v>0.83449999999999991</v>
      </c>
      <c r="F120" s="1120">
        <v>37.979999999999997</v>
      </c>
      <c r="G120" s="1119">
        <v>7.5403000000000029</v>
      </c>
      <c r="I120" s="1119">
        <v>0.83449999999999991</v>
      </c>
      <c r="J120" s="1119">
        <v>0.83089999999999986</v>
      </c>
      <c r="K120" s="1120">
        <v>37.979999999999997</v>
      </c>
      <c r="L120" s="1119">
        <v>7.5403000000000029</v>
      </c>
      <c r="N120" s="1120">
        <v>26.03</v>
      </c>
      <c r="O120" s="1119">
        <v>7.0096000000000016</v>
      </c>
      <c r="P120" s="1119">
        <v>0.8976999999999995</v>
      </c>
      <c r="Q120" s="1119">
        <v>0.89439999999999953</v>
      </c>
      <c r="S120" s="1119">
        <v>7.0096000000000016</v>
      </c>
      <c r="T120" s="1120">
        <v>26.03</v>
      </c>
      <c r="U120" s="1119">
        <v>0.8976999999999995</v>
      </c>
      <c r="V120" s="1119">
        <v>0.89439999999999953</v>
      </c>
    </row>
    <row r="121" spans="4:22">
      <c r="D121" s="1119">
        <v>0.83099999999999985</v>
      </c>
      <c r="E121" s="1119">
        <v>0.8345999999999999</v>
      </c>
      <c r="F121" s="1120">
        <v>37.950000000000003</v>
      </c>
      <c r="G121" s="1119">
        <v>7.5394000000000032</v>
      </c>
      <c r="I121" s="1119">
        <v>0.8345999999999999</v>
      </c>
      <c r="J121" s="1119">
        <v>0.83099999999999985</v>
      </c>
      <c r="K121" s="1120">
        <v>37.950000000000003</v>
      </c>
      <c r="L121" s="1119">
        <v>7.5394000000000032</v>
      </c>
      <c r="N121" s="1120">
        <v>26.05</v>
      </c>
      <c r="O121" s="1119">
        <v>7.0104000000000015</v>
      </c>
      <c r="P121" s="1119">
        <v>0.89759999999999951</v>
      </c>
      <c r="Q121" s="1119">
        <v>0.89429999999999954</v>
      </c>
      <c r="S121" s="1119">
        <v>7.0104000000000015</v>
      </c>
      <c r="T121" s="1120">
        <v>26.05</v>
      </c>
      <c r="U121" s="1119">
        <v>0.89759999999999951</v>
      </c>
      <c r="V121" s="1119">
        <v>0.89429999999999954</v>
      </c>
    </row>
    <row r="122" spans="4:22">
      <c r="D122" s="1119">
        <v>0.83109999999999984</v>
      </c>
      <c r="E122" s="1119">
        <v>0.83469999999999989</v>
      </c>
      <c r="F122" s="1120">
        <v>37.93</v>
      </c>
      <c r="G122" s="1119">
        <v>7.5385000000000035</v>
      </c>
      <c r="I122" s="1119">
        <v>0.83469999999999989</v>
      </c>
      <c r="J122" s="1119">
        <v>0.83109999999999984</v>
      </c>
      <c r="K122" s="1120">
        <v>37.93</v>
      </c>
      <c r="L122" s="1119">
        <v>7.5385000000000035</v>
      </c>
      <c r="N122" s="1120">
        <v>26.07</v>
      </c>
      <c r="O122" s="1119">
        <v>7.0112000000000014</v>
      </c>
      <c r="P122" s="1119">
        <v>0.89749999999999996</v>
      </c>
      <c r="Q122" s="1119">
        <v>0.89419999999999955</v>
      </c>
      <c r="S122" s="1119">
        <v>7.0112000000000014</v>
      </c>
      <c r="T122" s="1120">
        <v>26.07</v>
      </c>
      <c r="U122" s="1119">
        <v>0.89749999999999996</v>
      </c>
      <c r="V122" s="1119">
        <v>0.89419999999999955</v>
      </c>
    </row>
    <row r="123" spans="4:22">
      <c r="D123" s="1119">
        <v>0.83119999999999983</v>
      </c>
      <c r="E123" s="1119">
        <v>0.83479999999999988</v>
      </c>
      <c r="F123" s="1120">
        <v>37.909999999999997</v>
      </c>
      <c r="G123" s="1119">
        <v>7.5376000000000039</v>
      </c>
      <c r="I123" s="1119">
        <v>0.83479999999999988</v>
      </c>
      <c r="J123" s="1119">
        <v>0.83119999999999983</v>
      </c>
      <c r="K123" s="1120">
        <v>37.909999999999997</v>
      </c>
      <c r="L123" s="1119">
        <v>7.5376000000000039</v>
      </c>
      <c r="N123" s="1120">
        <v>26.09</v>
      </c>
      <c r="O123" s="1119">
        <v>7.0120000000000013</v>
      </c>
      <c r="P123" s="1119">
        <v>0.89739999999999953</v>
      </c>
      <c r="Q123" s="1119">
        <v>0.89409999999999956</v>
      </c>
      <c r="S123" s="1119">
        <v>7.0120000000000013</v>
      </c>
      <c r="T123" s="1120">
        <v>26.09</v>
      </c>
      <c r="U123" s="1119">
        <v>0.89739999999999953</v>
      </c>
      <c r="V123" s="1119">
        <v>0.89409999999999956</v>
      </c>
    </row>
    <row r="124" spans="4:22">
      <c r="D124" s="1119">
        <v>0.83129999999999982</v>
      </c>
      <c r="E124" s="1119">
        <v>0.83489999999999986</v>
      </c>
      <c r="F124" s="1120">
        <v>37.89</v>
      </c>
      <c r="G124" s="1119">
        <v>7.5367000000000042</v>
      </c>
      <c r="I124" s="1119">
        <v>0.83489999999999986</v>
      </c>
      <c r="J124" s="1119">
        <v>0.83129999999999982</v>
      </c>
      <c r="K124" s="1120">
        <v>37.89</v>
      </c>
      <c r="L124" s="1119">
        <v>7.5367000000000042</v>
      </c>
      <c r="N124" s="1120">
        <v>26.11</v>
      </c>
      <c r="O124" s="1119">
        <v>7.0128000000000013</v>
      </c>
      <c r="P124" s="1119">
        <v>0.89729999999999954</v>
      </c>
      <c r="Q124" s="1119">
        <v>0.89399999999999957</v>
      </c>
      <c r="S124" s="1119">
        <v>7.0128000000000013</v>
      </c>
      <c r="T124" s="1120">
        <v>26.11</v>
      </c>
      <c r="U124" s="1119">
        <v>0.89729999999999954</v>
      </c>
      <c r="V124" s="1119">
        <v>0.89399999999999957</v>
      </c>
    </row>
    <row r="125" spans="4:22">
      <c r="D125" s="1119">
        <v>0.83139999999999981</v>
      </c>
      <c r="E125" s="1119">
        <v>0.83499999999999996</v>
      </c>
      <c r="F125" s="1120">
        <v>37.869999999999997</v>
      </c>
      <c r="G125" s="1119">
        <v>7.5358000000000045</v>
      </c>
      <c r="I125" s="1119">
        <v>0.83499999999999996</v>
      </c>
      <c r="J125" s="1119">
        <v>0.83139999999999981</v>
      </c>
      <c r="K125" s="1120">
        <v>37.869999999999997</v>
      </c>
      <c r="L125" s="1119">
        <v>7.5358000000000045</v>
      </c>
      <c r="N125" s="1120">
        <v>26.12</v>
      </c>
      <c r="O125" s="1119">
        <v>7.0136000000000012</v>
      </c>
      <c r="P125" s="1119">
        <v>0.89719999999999955</v>
      </c>
      <c r="Q125" s="1119">
        <v>0.89389999999999958</v>
      </c>
      <c r="S125" s="1119">
        <v>7.0136000000000012</v>
      </c>
      <c r="T125" s="1120">
        <v>26.12</v>
      </c>
      <c r="U125" s="1119">
        <v>0.89719999999999955</v>
      </c>
      <c r="V125" s="1119">
        <v>0.89389999999999958</v>
      </c>
    </row>
    <row r="126" spans="4:22">
      <c r="D126" s="1119">
        <v>0.83149999999999979</v>
      </c>
      <c r="E126" s="1119">
        <v>0.83509999999999984</v>
      </c>
      <c r="F126" s="1120">
        <v>37.85</v>
      </c>
      <c r="G126" s="1119">
        <v>7.5349000000000048</v>
      </c>
      <c r="I126" s="1119">
        <v>0.83509999999999984</v>
      </c>
      <c r="J126" s="1119">
        <v>0.83149999999999979</v>
      </c>
      <c r="K126" s="1120">
        <v>37.85</v>
      </c>
      <c r="L126" s="1119">
        <v>7.5349000000000048</v>
      </c>
      <c r="N126" s="1120">
        <v>26.14</v>
      </c>
      <c r="O126" s="1119">
        <v>7.0144000000000011</v>
      </c>
      <c r="P126" s="1119">
        <v>0.89709999999999956</v>
      </c>
      <c r="Q126" s="1119">
        <v>0.89379999999999959</v>
      </c>
      <c r="S126" s="1119">
        <v>7.0144000000000011</v>
      </c>
      <c r="T126" s="1120">
        <v>26.14</v>
      </c>
      <c r="U126" s="1119">
        <v>0.89709999999999956</v>
      </c>
      <c r="V126" s="1119">
        <v>0.89379999999999959</v>
      </c>
    </row>
    <row r="127" spans="4:22">
      <c r="D127" s="1119">
        <v>0.83159999999999978</v>
      </c>
      <c r="E127" s="1119">
        <v>0.83519999999999983</v>
      </c>
      <c r="F127" s="1120">
        <v>37.83</v>
      </c>
      <c r="G127" s="1119">
        <v>7.5340000000000051</v>
      </c>
      <c r="I127" s="1119">
        <v>0.83519999999999983</v>
      </c>
      <c r="J127" s="1119">
        <v>0.83159999999999978</v>
      </c>
      <c r="K127" s="1120">
        <v>37.83</v>
      </c>
      <c r="L127" s="1119">
        <v>7.5340000000000051</v>
      </c>
      <c r="N127" s="1120">
        <v>26.16</v>
      </c>
      <c r="O127" s="1119">
        <v>7.015200000000001</v>
      </c>
      <c r="P127" s="1119">
        <v>0.89699999999999958</v>
      </c>
      <c r="Q127" s="1119">
        <v>0.89369999999999961</v>
      </c>
      <c r="S127" s="1119">
        <v>7.015200000000001</v>
      </c>
      <c r="T127" s="1120">
        <v>26.16</v>
      </c>
      <c r="U127" s="1119">
        <v>0.89699999999999958</v>
      </c>
      <c r="V127" s="1119">
        <v>0.89369999999999961</v>
      </c>
    </row>
    <row r="128" spans="4:22">
      <c r="D128" s="1119">
        <v>0.83169999999999977</v>
      </c>
      <c r="E128" s="1119">
        <v>0.83529999999999982</v>
      </c>
      <c r="F128" s="1120">
        <v>37.81</v>
      </c>
      <c r="G128" s="1119">
        <v>7.5331000000000055</v>
      </c>
      <c r="I128" s="1119">
        <v>0.83529999999999982</v>
      </c>
      <c r="J128" s="1119">
        <v>0.83169999999999977</v>
      </c>
      <c r="K128" s="1120">
        <v>37.81</v>
      </c>
      <c r="L128" s="1119">
        <v>7.5331000000000055</v>
      </c>
      <c r="N128" s="1120">
        <v>26.18</v>
      </c>
      <c r="O128" s="1119">
        <v>7.0159000000000011</v>
      </c>
      <c r="P128" s="1119">
        <v>0.89689999999999959</v>
      </c>
      <c r="Q128" s="1119">
        <v>0.89359999999999962</v>
      </c>
      <c r="S128" s="1119">
        <v>7.0159000000000011</v>
      </c>
      <c r="T128" s="1120">
        <v>26.18</v>
      </c>
      <c r="U128" s="1119">
        <v>0.89689999999999959</v>
      </c>
      <c r="V128" s="1119">
        <v>0.89359999999999962</v>
      </c>
    </row>
    <row r="129" spans="4:22">
      <c r="D129" s="1119">
        <v>0.83179999999999976</v>
      </c>
      <c r="E129" s="1119">
        <v>0.83539999999999981</v>
      </c>
      <c r="F129" s="1120">
        <v>37.79</v>
      </c>
      <c r="G129" s="1119">
        <v>7.5322000000000058</v>
      </c>
      <c r="I129" s="1119">
        <v>0.83539999999999981</v>
      </c>
      <c r="J129" s="1119">
        <v>0.83179999999999976</v>
      </c>
      <c r="K129" s="1120">
        <v>37.79</v>
      </c>
      <c r="L129" s="1119">
        <v>7.5322000000000058</v>
      </c>
      <c r="N129" s="1120">
        <v>26.2</v>
      </c>
      <c r="O129" s="1119">
        <v>7.0166000000000013</v>
      </c>
      <c r="P129" s="1119">
        <v>0.8967999999999996</v>
      </c>
      <c r="Q129" s="1119">
        <v>0.89349999999999963</v>
      </c>
      <c r="S129" s="1119">
        <v>7.0166000000000013</v>
      </c>
      <c r="T129" s="1120">
        <v>26.2</v>
      </c>
      <c r="U129" s="1119">
        <v>0.8967999999999996</v>
      </c>
      <c r="V129" s="1119">
        <v>0.89349999999999963</v>
      </c>
    </row>
    <row r="130" spans="4:22">
      <c r="D130" s="1119">
        <v>0.83189999999999975</v>
      </c>
      <c r="E130" s="1119">
        <v>0.8354999999999998</v>
      </c>
      <c r="F130" s="1120">
        <v>37.770000000000003</v>
      </c>
      <c r="G130" s="1119">
        <v>7.5313000000000061</v>
      </c>
      <c r="I130" s="1119">
        <v>0.8354999999999998</v>
      </c>
      <c r="J130" s="1119">
        <v>0.83189999999999975</v>
      </c>
      <c r="K130" s="1120">
        <v>37.770000000000003</v>
      </c>
      <c r="L130" s="1119">
        <v>7.5313000000000061</v>
      </c>
      <c r="N130" s="1120">
        <v>26.21</v>
      </c>
      <c r="O130" s="1119">
        <v>7.0173000000000014</v>
      </c>
      <c r="P130" s="1119">
        <v>0.89669999999999961</v>
      </c>
      <c r="Q130" s="1119">
        <v>0.89339999999999964</v>
      </c>
      <c r="S130" s="1119">
        <v>7.0173000000000014</v>
      </c>
      <c r="T130" s="1120">
        <v>26.21</v>
      </c>
      <c r="U130" s="1119">
        <v>0.89669999999999961</v>
      </c>
      <c r="V130" s="1119">
        <v>0.89339999999999964</v>
      </c>
    </row>
    <row r="131" spans="4:22">
      <c r="D131" s="1119">
        <v>0.83199999999999974</v>
      </c>
      <c r="E131" s="1119">
        <v>0.83559999999999979</v>
      </c>
      <c r="F131" s="1120">
        <v>37.75</v>
      </c>
      <c r="G131" s="1119">
        <v>7.5304000000000064</v>
      </c>
      <c r="I131" s="1119">
        <v>0.83559999999999979</v>
      </c>
      <c r="J131" s="1119">
        <v>0.83199999999999974</v>
      </c>
      <c r="K131" s="1120">
        <v>37.75</v>
      </c>
      <c r="L131" s="1119">
        <v>7.5304000000000064</v>
      </c>
      <c r="N131" s="1120">
        <v>26.23</v>
      </c>
      <c r="O131" s="1119">
        <v>7.0180000000000016</v>
      </c>
      <c r="P131" s="1119">
        <v>0.89659999999999962</v>
      </c>
      <c r="Q131" s="1119">
        <v>0.89329999999999965</v>
      </c>
      <c r="S131" s="1119">
        <v>7.0180000000000016</v>
      </c>
      <c r="T131" s="1120">
        <v>26.23</v>
      </c>
      <c r="U131" s="1119">
        <v>0.89659999999999962</v>
      </c>
      <c r="V131" s="1119">
        <v>0.89329999999999965</v>
      </c>
    </row>
    <row r="132" spans="4:22">
      <c r="D132" s="1119">
        <v>0.83209999999999973</v>
      </c>
      <c r="E132" s="1119">
        <v>0.83569999999999978</v>
      </c>
      <c r="F132" s="1120">
        <v>37.729999999999997</v>
      </c>
      <c r="G132" s="1119">
        <v>7.5295000000000067</v>
      </c>
      <c r="I132" s="1119">
        <v>0.83569999999999978</v>
      </c>
      <c r="J132" s="1119">
        <v>0.83209999999999973</v>
      </c>
      <c r="K132" s="1120">
        <v>37.729999999999997</v>
      </c>
      <c r="L132" s="1119">
        <v>7.5295000000000067</v>
      </c>
      <c r="N132" s="1120">
        <v>26.25</v>
      </c>
      <c r="O132" s="1119">
        <v>7.0187000000000017</v>
      </c>
      <c r="P132" s="1119">
        <v>0.89649999999999963</v>
      </c>
      <c r="Q132" s="1119">
        <v>0.89319999999999966</v>
      </c>
      <c r="S132" s="1119">
        <v>7.0187000000000017</v>
      </c>
      <c r="T132" s="1120">
        <v>26.25</v>
      </c>
      <c r="U132" s="1119">
        <v>0.89649999999999963</v>
      </c>
      <c r="V132" s="1119">
        <v>0.89319999999999966</v>
      </c>
    </row>
    <row r="133" spans="4:22">
      <c r="D133" s="1119">
        <v>0.83219999999999972</v>
      </c>
      <c r="E133" s="1119">
        <v>0.83579999999999977</v>
      </c>
      <c r="F133" s="1120">
        <v>37.71</v>
      </c>
      <c r="G133" s="1119">
        <v>7.5286000000000071</v>
      </c>
      <c r="I133" s="1119">
        <v>0.83579999999999977</v>
      </c>
      <c r="J133" s="1119">
        <v>0.83219999999999972</v>
      </c>
      <c r="K133" s="1120">
        <v>37.71</v>
      </c>
      <c r="L133" s="1119">
        <v>7.5286000000000071</v>
      </c>
      <c r="N133" s="1120">
        <v>26.27</v>
      </c>
      <c r="O133" s="1119">
        <v>7.0194000000000019</v>
      </c>
      <c r="P133" s="1119">
        <v>0.89639999999999964</v>
      </c>
      <c r="Q133" s="1119">
        <v>0.89309999999999967</v>
      </c>
      <c r="S133" s="1119">
        <v>7.0194000000000019</v>
      </c>
      <c r="T133" s="1120">
        <v>26.27</v>
      </c>
      <c r="U133" s="1119">
        <v>0.89639999999999964</v>
      </c>
      <c r="V133" s="1119">
        <v>0.89309999999999967</v>
      </c>
    </row>
    <row r="134" spans="4:22">
      <c r="D134" s="1119">
        <v>0.83229999999999971</v>
      </c>
      <c r="E134" s="1119">
        <v>0.83589999999999975</v>
      </c>
      <c r="F134" s="1120">
        <v>37.69</v>
      </c>
      <c r="G134" s="1119">
        <v>7.5277000000000074</v>
      </c>
      <c r="I134" s="1119">
        <v>0.83589999999999975</v>
      </c>
      <c r="J134" s="1119">
        <v>0.83229999999999971</v>
      </c>
      <c r="K134" s="1120">
        <v>37.69</v>
      </c>
      <c r="L134" s="1119">
        <v>7.5277000000000074</v>
      </c>
      <c r="N134" s="1120">
        <v>26.29</v>
      </c>
      <c r="O134" s="1119">
        <v>7.020100000000002</v>
      </c>
      <c r="P134" s="1119">
        <v>0.89629999999999965</v>
      </c>
      <c r="Q134" s="1119">
        <v>0.89299999999999968</v>
      </c>
      <c r="S134" s="1119">
        <v>7.020100000000002</v>
      </c>
      <c r="T134" s="1120">
        <v>26.29</v>
      </c>
      <c r="U134" s="1119">
        <v>0.89629999999999965</v>
      </c>
      <c r="V134" s="1119">
        <v>0.89299999999999968</v>
      </c>
    </row>
    <row r="135" spans="4:22">
      <c r="D135" s="1119">
        <v>0.8323999999999997</v>
      </c>
      <c r="E135" s="1119">
        <v>0.83599999999999974</v>
      </c>
      <c r="F135" s="1120">
        <v>37.67</v>
      </c>
      <c r="G135" s="1119">
        <v>7.5268000000000077</v>
      </c>
      <c r="I135" s="1119">
        <v>0.83599999999999974</v>
      </c>
      <c r="J135" s="1119">
        <v>0.8323999999999997</v>
      </c>
      <c r="K135" s="1120">
        <v>37.67</v>
      </c>
      <c r="L135" s="1119">
        <v>7.5268000000000077</v>
      </c>
      <c r="N135" s="1120">
        <v>26.3</v>
      </c>
      <c r="O135" s="1119">
        <v>7.0208000000000022</v>
      </c>
      <c r="P135" s="1119">
        <v>0.89619999999999966</v>
      </c>
      <c r="Q135" s="1119">
        <v>0.89289999999999969</v>
      </c>
      <c r="S135" s="1119">
        <v>7.0208000000000022</v>
      </c>
      <c r="T135" s="1120">
        <v>26.3</v>
      </c>
      <c r="U135" s="1119">
        <v>0.89619999999999966</v>
      </c>
      <c r="V135" s="1119">
        <v>0.89289999999999969</v>
      </c>
    </row>
    <row r="136" spans="4:22">
      <c r="D136" s="1119">
        <v>0.83250000000000002</v>
      </c>
      <c r="E136" s="1119">
        <v>0.83609999999999973</v>
      </c>
      <c r="F136" s="1120">
        <v>37.65</v>
      </c>
      <c r="G136" s="1119">
        <v>7.525900000000008</v>
      </c>
      <c r="I136" s="1119">
        <v>0.83609999999999973</v>
      </c>
      <c r="J136" s="1119">
        <v>0.83250000000000002</v>
      </c>
      <c r="K136" s="1120">
        <v>37.65</v>
      </c>
      <c r="L136" s="1119">
        <v>7.525900000000008</v>
      </c>
      <c r="N136" s="1120">
        <v>26.32</v>
      </c>
      <c r="O136" s="1119">
        <v>7.0215000000000023</v>
      </c>
      <c r="P136" s="1119">
        <v>0.89609999999999967</v>
      </c>
      <c r="Q136" s="1119">
        <v>0.8927999999999997</v>
      </c>
      <c r="S136" s="1119">
        <v>7.0215000000000023</v>
      </c>
      <c r="T136" s="1120">
        <v>26.32</v>
      </c>
      <c r="U136" s="1119">
        <v>0.89609999999999967</v>
      </c>
      <c r="V136" s="1119">
        <v>0.8927999999999997</v>
      </c>
    </row>
    <row r="137" spans="4:22">
      <c r="D137" s="1119">
        <v>0.83259999999999967</v>
      </c>
      <c r="E137" s="1119">
        <v>0.83619999999999972</v>
      </c>
      <c r="F137" s="1120">
        <v>37.630000000000003</v>
      </c>
      <c r="G137" s="1119">
        <v>7.5250000000000083</v>
      </c>
      <c r="I137" s="1119">
        <v>0.83619999999999972</v>
      </c>
      <c r="J137" s="1119">
        <v>0.83259999999999967</v>
      </c>
      <c r="K137" s="1120">
        <v>37.630000000000003</v>
      </c>
      <c r="L137" s="1119">
        <v>7.5250000000000083</v>
      </c>
      <c r="N137" s="1120">
        <v>26.34</v>
      </c>
      <c r="O137" s="1119">
        <v>7.0222000000000024</v>
      </c>
      <c r="P137" s="1119">
        <v>0.89599999999999969</v>
      </c>
      <c r="Q137" s="1119">
        <v>0.89269999999999972</v>
      </c>
      <c r="S137" s="1119">
        <v>7.0222000000000024</v>
      </c>
      <c r="T137" s="1120">
        <v>26.34</v>
      </c>
      <c r="U137" s="1119">
        <v>0.89599999999999969</v>
      </c>
      <c r="V137" s="1119">
        <v>0.89269999999999972</v>
      </c>
    </row>
    <row r="138" spans="4:22">
      <c r="D138" s="1119">
        <v>0.83269999999999966</v>
      </c>
      <c r="E138" s="1119">
        <v>0.83629999999999971</v>
      </c>
      <c r="F138" s="1120">
        <v>37.61</v>
      </c>
      <c r="G138" s="1119">
        <v>7.5241000000000087</v>
      </c>
      <c r="I138" s="1119">
        <v>0.83629999999999971</v>
      </c>
      <c r="J138" s="1119">
        <v>0.83269999999999966</v>
      </c>
      <c r="K138" s="1120">
        <v>37.61</v>
      </c>
      <c r="L138" s="1119">
        <v>7.5241000000000087</v>
      </c>
      <c r="N138" s="1120">
        <v>26.36</v>
      </c>
      <c r="O138" s="1119">
        <v>7.0230000000000024</v>
      </c>
      <c r="P138" s="1119">
        <v>0.8958999999999997</v>
      </c>
      <c r="Q138" s="1119">
        <v>0.89259999999999973</v>
      </c>
      <c r="S138" s="1119">
        <v>7.0230000000000024</v>
      </c>
      <c r="T138" s="1120">
        <v>26.36</v>
      </c>
      <c r="U138" s="1119">
        <v>0.8958999999999997</v>
      </c>
      <c r="V138" s="1119">
        <v>0.89259999999999973</v>
      </c>
    </row>
    <row r="139" spans="4:22">
      <c r="D139" s="1119">
        <v>0.83279999999999965</v>
      </c>
      <c r="E139" s="1119">
        <v>0.8363999999999997</v>
      </c>
      <c r="F139" s="1120">
        <v>37.590000000000003</v>
      </c>
      <c r="G139" s="1119">
        <v>7.523200000000009</v>
      </c>
      <c r="I139" s="1119">
        <v>0.8363999999999997</v>
      </c>
      <c r="J139" s="1119">
        <v>0.83279999999999965</v>
      </c>
      <c r="K139" s="1120">
        <v>37.590000000000003</v>
      </c>
      <c r="L139" s="1119">
        <v>7.523200000000009</v>
      </c>
      <c r="N139" s="1120">
        <v>26.37</v>
      </c>
      <c r="O139" s="1119">
        <v>7.0238000000000023</v>
      </c>
      <c r="P139" s="1119">
        <v>0.89579999999999971</v>
      </c>
      <c r="Q139" s="1119">
        <v>0.89249999999999996</v>
      </c>
      <c r="S139" s="1119">
        <v>7.0238000000000023</v>
      </c>
      <c r="T139" s="1120">
        <v>26.37</v>
      </c>
      <c r="U139" s="1119">
        <v>0.89579999999999971</v>
      </c>
      <c r="V139" s="1119">
        <v>0.89249999999999996</v>
      </c>
    </row>
    <row r="140" spans="4:22">
      <c r="D140" s="1119">
        <v>0.83289999999999964</v>
      </c>
      <c r="E140" s="1119">
        <v>0.83649999999999969</v>
      </c>
      <c r="F140" s="1120">
        <v>37.57</v>
      </c>
      <c r="G140" s="1119">
        <v>7.5223000000000093</v>
      </c>
      <c r="I140" s="1119">
        <v>0.83649999999999969</v>
      </c>
      <c r="J140" s="1119">
        <v>0.83289999999999964</v>
      </c>
      <c r="K140" s="1120">
        <v>37.57</v>
      </c>
      <c r="L140" s="1119">
        <v>7.5223000000000093</v>
      </c>
      <c r="N140" s="1120">
        <v>26.39</v>
      </c>
      <c r="O140" s="1119">
        <v>7.0246000000000022</v>
      </c>
      <c r="P140" s="1119">
        <v>0.89569999999999972</v>
      </c>
      <c r="Q140" s="1119">
        <v>0.89239999999999975</v>
      </c>
      <c r="S140" s="1119">
        <v>7.0246000000000022</v>
      </c>
      <c r="T140" s="1120">
        <v>26.39</v>
      </c>
      <c r="U140" s="1119">
        <v>0.89569999999999972</v>
      </c>
      <c r="V140" s="1119">
        <v>0.89239999999999975</v>
      </c>
    </row>
    <row r="141" spans="4:22">
      <c r="D141" s="1119">
        <v>0.83299999999999963</v>
      </c>
      <c r="E141" s="1119">
        <v>0.83659999999999968</v>
      </c>
      <c r="F141" s="1120">
        <v>37.549999999999997</v>
      </c>
      <c r="G141" s="1119">
        <v>7.5214000000000096</v>
      </c>
      <c r="I141" s="1119">
        <v>0.83659999999999968</v>
      </c>
      <c r="J141" s="1119">
        <v>0.83299999999999963</v>
      </c>
      <c r="K141" s="1120">
        <v>37.549999999999997</v>
      </c>
      <c r="L141" s="1119">
        <v>7.5214000000000096</v>
      </c>
      <c r="N141" s="1120">
        <v>26.41</v>
      </c>
      <c r="O141" s="1119">
        <v>7.0254000000000021</v>
      </c>
      <c r="P141" s="1119">
        <v>0.89559999999999973</v>
      </c>
      <c r="Q141" s="1119">
        <v>0.89229999999999976</v>
      </c>
      <c r="S141" s="1119">
        <v>7.0254000000000021</v>
      </c>
      <c r="T141" s="1120">
        <v>26.41</v>
      </c>
      <c r="U141" s="1119">
        <v>0.89559999999999973</v>
      </c>
      <c r="V141" s="1119">
        <v>0.89229999999999976</v>
      </c>
    </row>
    <row r="142" spans="4:22">
      <c r="D142" s="1119">
        <v>0.83309999999999962</v>
      </c>
      <c r="E142" s="1119">
        <v>0.83669999999999967</v>
      </c>
      <c r="F142" s="1120">
        <v>37.53</v>
      </c>
      <c r="G142" s="1119">
        <v>7.52050000000001</v>
      </c>
      <c r="I142" s="1119">
        <v>0.83669999999999967</v>
      </c>
      <c r="J142" s="1119">
        <v>0.83309999999999962</v>
      </c>
      <c r="K142" s="1120">
        <v>37.53</v>
      </c>
      <c r="L142" s="1119">
        <v>7.52050000000001</v>
      </c>
      <c r="N142" s="1120">
        <v>26.43</v>
      </c>
      <c r="O142" s="1119">
        <v>7.026200000000002</v>
      </c>
      <c r="P142" s="1119">
        <v>0.89549999999999974</v>
      </c>
      <c r="Q142" s="1119">
        <v>0.89219999999999977</v>
      </c>
      <c r="S142" s="1119">
        <v>7.026200000000002</v>
      </c>
      <c r="T142" s="1120">
        <v>26.43</v>
      </c>
      <c r="U142" s="1119">
        <v>0.89549999999999974</v>
      </c>
      <c r="V142" s="1119">
        <v>0.89219999999999977</v>
      </c>
    </row>
    <row r="143" spans="4:22">
      <c r="D143" s="1119">
        <v>0.83319999999999961</v>
      </c>
      <c r="E143" s="1119">
        <v>0.83679999999999966</v>
      </c>
      <c r="F143" s="1120">
        <v>37.51</v>
      </c>
      <c r="G143" s="1119">
        <v>7.5196000000000103</v>
      </c>
      <c r="I143" s="1119">
        <v>0.83679999999999966</v>
      </c>
      <c r="J143" s="1119">
        <v>0.83319999999999961</v>
      </c>
      <c r="K143" s="1120">
        <v>37.51</v>
      </c>
      <c r="L143" s="1119">
        <v>7.5196000000000103</v>
      </c>
      <c r="N143" s="1120">
        <v>26.44</v>
      </c>
      <c r="O143" s="1119">
        <v>7.0270000000000019</v>
      </c>
      <c r="P143" s="1119">
        <v>0.89539999999999975</v>
      </c>
      <c r="Q143" s="1119">
        <v>0.89209999999999978</v>
      </c>
      <c r="S143" s="1119">
        <v>7.0270000000000019</v>
      </c>
      <c r="T143" s="1120">
        <v>26.44</v>
      </c>
      <c r="U143" s="1119">
        <v>0.89539999999999975</v>
      </c>
      <c r="V143" s="1119">
        <v>0.89209999999999978</v>
      </c>
    </row>
    <row r="144" spans="4:22">
      <c r="D144" s="1119">
        <v>0.8332999999999996</v>
      </c>
      <c r="E144" s="1119">
        <v>0.83689999999999964</v>
      </c>
      <c r="F144" s="1120">
        <v>37.49</v>
      </c>
      <c r="G144" s="1119">
        <v>7.5187000000000106</v>
      </c>
      <c r="I144" s="1119">
        <v>0.83689999999999964</v>
      </c>
      <c r="J144" s="1119">
        <v>0.8332999999999996</v>
      </c>
      <c r="K144" s="1120">
        <v>37.49</v>
      </c>
      <c r="L144" s="1119">
        <v>7.5187000000000106</v>
      </c>
      <c r="N144" s="1120">
        <v>26.46</v>
      </c>
      <c r="O144" s="1119">
        <v>7.0278000000000018</v>
      </c>
      <c r="P144" s="1119">
        <v>0.89529999999999976</v>
      </c>
      <c r="Q144" s="1119">
        <v>0.89199999999999979</v>
      </c>
      <c r="S144" s="1119">
        <v>7.0278000000000018</v>
      </c>
      <c r="T144" s="1120">
        <v>26.46</v>
      </c>
      <c r="U144" s="1119">
        <v>0.89529999999999976</v>
      </c>
      <c r="V144" s="1119">
        <v>0.89199999999999979</v>
      </c>
    </row>
    <row r="145" spans="4:22">
      <c r="D145" s="1119">
        <v>0.83339999999999959</v>
      </c>
      <c r="E145" s="1119">
        <v>0.83699999999999963</v>
      </c>
      <c r="F145" s="1120">
        <v>37.47</v>
      </c>
      <c r="G145" s="1119">
        <v>7.5178000000000109</v>
      </c>
      <c r="I145" s="1119">
        <v>0.83699999999999963</v>
      </c>
      <c r="J145" s="1119">
        <v>0.83339999999999959</v>
      </c>
      <c r="K145" s="1120">
        <v>37.47</v>
      </c>
      <c r="L145" s="1119">
        <v>7.5178000000000109</v>
      </c>
      <c r="N145" s="1120">
        <v>26.48</v>
      </c>
      <c r="O145" s="1119">
        <v>7.0286000000000017</v>
      </c>
      <c r="P145" s="1119">
        <v>0.89519999999999977</v>
      </c>
      <c r="Q145" s="1119">
        <v>0.8918999999999998</v>
      </c>
      <c r="S145" s="1119">
        <v>7.0286000000000017</v>
      </c>
      <c r="T145" s="1120">
        <v>26.48</v>
      </c>
      <c r="U145" s="1119">
        <v>0.89519999999999977</v>
      </c>
      <c r="V145" s="1119">
        <v>0.8918999999999998</v>
      </c>
    </row>
    <row r="146" spans="4:22">
      <c r="D146" s="1119">
        <v>0.83349999999999957</v>
      </c>
      <c r="E146" s="1119">
        <v>0.83709999999999962</v>
      </c>
      <c r="F146" s="1120">
        <v>37.450000000000003</v>
      </c>
      <c r="G146" s="1119">
        <v>7.5169000000000112</v>
      </c>
      <c r="I146" s="1119">
        <v>0.83709999999999962</v>
      </c>
      <c r="J146" s="1119">
        <v>0.83349999999999957</v>
      </c>
      <c r="K146" s="1120">
        <v>37.450000000000003</v>
      </c>
      <c r="L146" s="1119">
        <v>7.5169000000000112</v>
      </c>
      <c r="N146" s="1120">
        <v>26.49</v>
      </c>
      <c r="O146" s="1119">
        <v>7.0294000000000016</v>
      </c>
      <c r="P146" s="1119">
        <v>0.89509999999999978</v>
      </c>
      <c r="Q146" s="1119">
        <v>0.89179999999999982</v>
      </c>
      <c r="S146" s="1119">
        <v>7.0294000000000016</v>
      </c>
      <c r="T146" s="1120">
        <v>26.49</v>
      </c>
      <c r="U146" s="1119">
        <v>0.89509999999999978</v>
      </c>
      <c r="V146" s="1119">
        <v>0.89179999999999982</v>
      </c>
    </row>
    <row r="147" spans="4:22">
      <c r="D147" s="1119">
        <v>0.83359999999999956</v>
      </c>
      <c r="E147" s="1119">
        <v>0.83719999999999961</v>
      </c>
      <c r="F147" s="1120">
        <v>37.43</v>
      </c>
      <c r="G147" s="1119">
        <v>7.5160000000000116</v>
      </c>
      <c r="I147" s="1119">
        <v>0.83719999999999961</v>
      </c>
      <c r="J147" s="1119">
        <v>0.83359999999999956</v>
      </c>
      <c r="K147" s="1120">
        <v>37.43</v>
      </c>
      <c r="L147" s="1119">
        <v>7.5160000000000116</v>
      </c>
      <c r="N147" s="1120">
        <v>26.51</v>
      </c>
      <c r="O147" s="1119">
        <v>7.0302000000000016</v>
      </c>
      <c r="P147" s="1119">
        <v>0.89500000000000002</v>
      </c>
      <c r="Q147" s="1119">
        <v>0.89169999999999983</v>
      </c>
      <c r="S147" s="1119">
        <v>7.0302000000000016</v>
      </c>
      <c r="T147" s="1120">
        <v>26.51</v>
      </c>
      <c r="U147" s="1119">
        <v>0.89500000000000002</v>
      </c>
      <c r="V147" s="1119">
        <v>0.89169999999999983</v>
      </c>
    </row>
    <row r="148" spans="4:22">
      <c r="D148" s="1119">
        <v>0.83369999999999955</v>
      </c>
      <c r="E148" s="1119">
        <v>0.8372999999999996</v>
      </c>
      <c r="F148" s="1120">
        <v>37.409999999999997</v>
      </c>
      <c r="G148" s="1119">
        <v>7.5151000000000119</v>
      </c>
      <c r="I148" s="1119">
        <v>0.8372999999999996</v>
      </c>
      <c r="J148" s="1119">
        <v>0.83369999999999955</v>
      </c>
      <c r="K148" s="1120">
        <v>37.409999999999997</v>
      </c>
      <c r="L148" s="1119">
        <v>7.5151000000000119</v>
      </c>
      <c r="N148" s="1120">
        <v>26.53</v>
      </c>
      <c r="O148" s="1119">
        <v>7.0310000000000015</v>
      </c>
      <c r="P148" s="1119">
        <v>0.89489999999999981</v>
      </c>
      <c r="Q148" s="1119">
        <v>0.89159999999999984</v>
      </c>
      <c r="S148" s="1119">
        <v>7.0310000000000015</v>
      </c>
      <c r="T148" s="1120">
        <v>26.53</v>
      </c>
      <c r="U148" s="1119">
        <v>0.89489999999999981</v>
      </c>
      <c r="V148" s="1119">
        <v>0.89159999999999984</v>
      </c>
    </row>
    <row r="149" spans="4:22">
      <c r="D149" s="1119">
        <v>0.83379999999999954</v>
      </c>
      <c r="E149" s="1119">
        <v>0.83739999999999959</v>
      </c>
      <c r="F149" s="1120">
        <v>37.39</v>
      </c>
      <c r="G149" s="1119">
        <v>7.5142000000000122</v>
      </c>
      <c r="I149" s="1119">
        <v>0.83739999999999959</v>
      </c>
      <c r="J149" s="1119">
        <v>0.83379999999999954</v>
      </c>
      <c r="K149" s="1120">
        <v>37.39</v>
      </c>
      <c r="L149" s="1119">
        <v>7.5142000000000122</v>
      </c>
      <c r="N149" s="1120">
        <v>26.55</v>
      </c>
      <c r="O149" s="1119">
        <v>7.0318000000000014</v>
      </c>
      <c r="P149" s="1119">
        <v>0.89479999999999982</v>
      </c>
      <c r="Q149" s="1119">
        <v>0.89149999999999985</v>
      </c>
      <c r="S149" s="1119">
        <v>7.0318000000000014</v>
      </c>
      <c r="T149" s="1120">
        <v>26.55</v>
      </c>
      <c r="U149" s="1119">
        <v>0.89479999999999982</v>
      </c>
      <c r="V149" s="1119">
        <v>0.89149999999999985</v>
      </c>
    </row>
    <row r="150" spans="4:22">
      <c r="D150" s="1119">
        <v>0.83389999999999953</v>
      </c>
      <c r="E150" s="1119">
        <v>0.83750000000000002</v>
      </c>
      <c r="F150" s="1120">
        <v>37.369999999999997</v>
      </c>
      <c r="G150" s="1119">
        <v>7.5133000000000125</v>
      </c>
      <c r="I150" s="1119">
        <v>0.83750000000000002</v>
      </c>
      <c r="J150" s="1119">
        <v>0.83389999999999953</v>
      </c>
      <c r="K150" s="1120">
        <v>37.369999999999997</v>
      </c>
      <c r="L150" s="1119">
        <v>7.5133000000000125</v>
      </c>
      <c r="N150" s="1120">
        <v>26.56</v>
      </c>
      <c r="O150" s="1119">
        <v>7.0326000000000013</v>
      </c>
      <c r="P150" s="1119">
        <v>0.89469999999999983</v>
      </c>
      <c r="Q150" s="1119">
        <v>0.89139999999999986</v>
      </c>
      <c r="S150" s="1119">
        <v>7.0326000000000013</v>
      </c>
      <c r="T150" s="1120">
        <v>26.56</v>
      </c>
      <c r="U150" s="1119">
        <v>0.89469999999999983</v>
      </c>
      <c r="V150" s="1119">
        <v>0.89139999999999986</v>
      </c>
    </row>
    <row r="151" spans="4:22">
      <c r="D151" s="1119">
        <v>0.83399999999999952</v>
      </c>
      <c r="E151" s="1119">
        <v>0.83759999999999957</v>
      </c>
      <c r="F151" s="1120">
        <v>37.35</v>
      </c>
      <c r="G151" s="1119">
        <v>7.5124000000000128</v>
      </c>
      <c r="I151" s="1119">
        <v>0.83759999999999957</v>
      </c>
      <c r="J151" s="1119">
        <v>0.83399999999999952</v>
      </c>
      <c r="K151" s="1120">
        <v>37.35</v>
      </c>
      <c r="L151" s="1119">
        <v>7.5124000000000128</v>
      </c>
      <c r="N151" s="1120">
        <v>26.58</v>
      </c>
      <c r="O151" s="1119">
        <v>7.0334000000000012</v>
      </c>
      <c r="P151" s="1119">
        <v>0.89459999999999984</v>
      </c>
      <c r="Q151" s="1119">
        <v>0.89129999999999987</v>
      </c>
      <c r="S151" s="1119">
        <v>7.0334000000000012</v>
      </c>
      <c r="T151" s="1120">
        <v>26.58</v>
      </c>
      <c r="U151" s="1119">
        <v>0.89459999999999984</v>
      </c>
      <c r="V151" s="1119">
        <v>0.89129999999999987</v>
      </c>
    </row>
    <row r="152" spans="4:22">
      <c r="D152" s="1119">
        <v>0.83409999999999951</v>
      </c>
      <c r="E152" s="1119">
        <v>0.83769999999999956</v>
      </c>
      <c r="F152" s="1120">
        <v>37.33</v>
      </c>
      <c r="G152" s="1119">
        <v>7.5115000000000132</v>
      </c>
      <c r="I152" s="1119">
        <v>0.83769999999999956</v>
      </c>
      <c r="J152" s="1119">
        <v>0.83409999999999951</v>
      </c>
      <c r="K152" s="1120">
        <v>37.33</v>
      </c>
      <c r="L152" s="1119">
        <v>7.5115000000000132</v>
      </c>
      <c r="N152" s="1120">
        <v>26.6</v>
      </c>
      <c r="O152" s="1119">
        <v>7.0342000000000011</v>
      </c>
      <c r="P152" s="1119">
        <v>0.89449999999999985</v>
      </c>
      <c r="Q152" s="1119">
        <v>0.89119999999999988</v>
      </c>
      <c r="S152" s="1119">
        <v>7.0342000000000011</v>
      </c>
      <c r="T152" s="1120">
        <v>26.6</v>
      </c>
      <c r="U152" s="1119">
        <v>0.89449999999999985</v>
      </c>
      <c r="V152" s="1119">
        <v>0.89119999999999988</v>
      </c>
    </row>
    <row r="153" spans="4:22">
      <c r="D153" s="1119">
        <v>0.8341999999999995</v>
      </c>
      <c r="E153" s="1119">
        <v>0.83779999999999955</v>
      </c>
      <c r="F153" s="1120">
        <v>37.31</v>
      </c>
      <c r="G153" s="1119">
        <v>7.5106000000000135</v>
      </c>
      <c r="I153" s="1119">
        <v>0.83779999999999955</v>
      </c>
      <c r="J153" s="1119">
        <v>0.8341999999999995</v>
      </c>
      <c r="K153" s="1120">
        <v>37.31</v>
      </c>
      <c r="L153" s="1119">
        <v>7.5106000000000135</v>
      </c>
      <c r="N153" s="1120">
        <v>26.62</v>
      </c>
      <c r="O153" s="1119">
        <v>7.0350000000000001</v>
      </c>
      <c r="P153" s="1119">
        <v>0.89439999999999986</v>
      </c>
      <c r="Q153" s="1119">
        <v>0.89109999999999989</v>
      </c>
      <c r="S153" s="1119">
        <v>7.0350000000000001</v>
      </c>
      <c r="T153" s="1120">
        <v>26.62</v>
      </c>
      <c r="U153" s="1119">
        <v>0.89439999999999986</v>
      </c>
      <c r="V153" s="1119">
        <v>0.89109999999999989</v>
      </c>
    </row>
    <row r="154" spans="4:22">
      <c r="D154" s="1119">
        <v>0.83429999999999949</v>
      </c>
      <c r="E154" s="1119">
        <v>0.83789999999999953</v>
      </c>
      <c r="F154" s="1120">
        <v>37.29</v>
      </c>
      <c r="G154" s="1119">
        <v>7.5097000000000138</v>
      </c>
      <c r="I154" s="1119">
        <v>0.83789999999999953</v>
      </c>
      <c r="J154" s="1119">
        <v>0.83429999999999949</v>
      </c>
      <c r="K154" s="1120">
        <v>37.29</v>
      </c>
      <c r="L154" s="1119">
        <v>7.5097000000000138</v>
      </c>
      <c r="N154" s="1120">
        <v>26.64</v>
      </c>
      <c r="O154" s="1119">
        <v>7.0358000000000009</v>
      </c>
      <c r="P154" s="1119">
        <v>0.89429999999999987</v>
      </c>
      <c r="Q154" s="1119">
        <v>0.8909999999999999</v>
      </c>
      <c r="S154" s="1119">
        <v>7.0358000000000009</v>
      </c>
      <c r="T154" s="1120">
        <v>26.64</v>
      </c>
      <c r="U154" s="1119">
        <v>0.89429999999999987</v>
      </c>
      <c r="V154" s="1119">
        <v>0.8909999999999999</v>
      </c>
    </row>
    <row r="155" spans="4:22">
      <c r="D155" s="1119">
        <v>0.83439999999999948</v>
      </c>
      <c r="E155" s="1119">
        <v>0.83799999999999952</v>
      </c>
      <c r="F155" s="1120">
        <v>37.270000000000003</v>
      </c>
      <c r="G155" s="1119">
        <v>7.5088000000000141</v>
      </c>
      <c r="I155" s="1119">
        <v>0.83799999999999952</v>
      </c>
      <c r="J155" s="1119">
        <v>0.83439999999999948</v>
      </c>
      <c r="K155" s="1120">
        <v>37.270000000000003</v>
      </c>
      <c r="L155" s="1119">
        <v>7.5088000000000141</v>
      </c>
      <c r="N155" s="1120">
        <v>26.65</v>
      </c>
      <c r="O155" s="1119">
        <v>7.0366000000000009</v>
      </c>
      <c r="P155" s="1119">
        <v>0.89419999999999988</v>
      </c>
      <c r="Q155" s="1119">
        <v>0.89089999999999991</v>
      </c>
      <c r="S155" s="1119">
        <v>7.0366000000000009</v>
      </c>
      <c r="T155" s="1120">
        <v>26.65</v>
      </c>
      <c r="U155" s="1119">
        <v>0.89419999999999988</v>
      </c>
      <c r="V155" s="1119">
        <v>0.89089999999999991</v>
      </c>
    </row>
    <row r="156" spans="4:22">
      <c r="D156" s="1119">
        <v>0.83449999999999946</v>
      </c>
      <c r="E156" s="1119">
        <v>0.83809999999999951</v>
      </c>
      <c r="F156" s="1120">
        <v>37.25</v>
      </c>
      <c r="G156" s="1119">
        <v>7.508</v>
      </c>
      <c r="I156" s="1119">
        <v>0.83809999999999951</v>
      </c>
      <c r="J156" s="1119">
        <v>0.83449999999999946</v>
      </c>
      <c r="K156" s="1120">
        <v>37.25</v>
      </c>
      <c r="L156" s="1119">
        <v>7.508</v>
      </c>
      <c r="N156" s="1120">
        <v>26.67</v>
      </c>
      <c r="O156" s="1119">
        <v>7.0374000000000008</v>
      </c>
      <c r="P156" s="1119">
        <v>0.89409999999999989</v>
      </c>
      <c r="Q156" s="1119">
        <v>0.89079999999999993</v>
      </c>
      <c r="S156" s="1119">
        <v>7.0374000000000008</v>
      </c>
      <c r="T156" s="1120">
        <v>26.67</v>
      </c>
      <c r="U156" s="1119">
        <v>0.89409999999999989</v>
      </c>
      <c r="V156" s="1119">
        <v>0.89079999999999993</v>
      </c>
    </row>
    <row r="157" spans="4:22">
      <c r="D157" s="1119">
        <v>0.83459999999999945</v>
      </c>
      <c r="E157" s="1119">
        <v>0.8381999999999995</v>
      </c>
      <c r="F157" s="1120">
        <v>37.229999999999997</v>
      </c>
      <c r="G157" s="1119">
        <v>7.5071000000000003</v>
      </c>
      <c r="I157" s="1119">
        <v>0.8381999999999995</v>
      </c>
      <c r="J157" s="1119">
        <v>0.83459999999999945</v>
      </c>
      <c r="K157" s="1120">
        <v>37.229999999999997</v>
      </c>
      <c r="L157" s="1119">
        <v>7.5071000000000003</v>
      </c>
      <c r="N157" s="1120">
        <v>26.69</v>
      </c>
      <c r="O157" s="1119">
        <v>7.0382000000000007</v>
      </c>
      <c r="P157" s="1119">
        <v>0.89399999999999991</v>
      </c>
      <c r="Q157" s="1119">
        <v>0.89069999999999994</v>
      </c>
      <c r="S157" s="1119">
        <v>7.0382000000000007</v>
      </c>
      <c r="T157" s="1120">
        <v>26.69</v>
      </c>
      <c r="U157" s="1119">
        <v>0.89399999999999991</v>
      </c>
      <c r="V157" s="1119">
        <v>0.89069999999999994</v>
      </c>
    </row>
    <row r="158" spans="4:22">
      <c r="D158" s="1119">
        <v>0.83469999999999944</v>
      </c>
      <c r="E158" s="1119">
        <v>0.83829999999999949</v>
      </c>
      <c r="F158" s="1120">
        <v>37.21</v>
      </c>
      <c r="G158" s="1119">
        <v>7.5062000000000006</v>
      </c>
      <c r="I158" s="1119">
        <v>0.83829999999999949</v>
      </c>
      <c r="J158" s="1119">
        <v>0.83469999999999944</v>
      </c>
      <c r="K158" s="1120">
        <v>37.21</v>
      </c>
      <c r="L158" s="1119">
        <v>7.5062000000000006</v>
      </c>
      <c r="N158" s="1120">
        <v>26.71</v>
      </c>
      <c r="O158" s="1119">
        <v>7.0390000000000006</v>
      </c>
      <c r="P158" s="1119">
        <v>0.89389999999999992</v>
      </c>
      <c r="Q158" s="1119">
        <v>0.89059999999999995</v>
      </c>
      <c r="S158" s="1119">
        <v>7.0390000000000006</v>
      </c>
      <c r="T158" s="1120">
        <v>26.71</v>
      </c>
      <c r="U158" s="1119">
        <v>0.89389999999999992</v>
      </c>
      <c r="V158" s="1119">
        <v>0.89059999999999995</v>
      </c>
    </row>
    <row r="159" spans="4:22">
      <c r="D159" s="1119">
        <v>0.83479999999999943</v>
      </c>
      <c r="E159" s="1119">
        <v>0.83839999999999948</v>
      </c>
      <c r="F159" s="1120">
        <v>37.19</v>
      </c>
      <c r="G159" s="1119">
        <v>7.505300000000001</v>
      </c>
      <c r="I159" s="1119">
        <v>0.83839999999999948</v>
      </c>
      <c r="J159" s="1119">
        <v>0.83479999999999943</v>
      </c>
      <c r="K159" s="1120">
        <v>37.19</v>
      </c>
      <c r="L159" s="1119">
        <v>7.505300000000001</v>
      </c>
      <c r="N159" s="1120">
        <v>26.73</v>
      </c>
      <c r="O159" s="1119">
        <v>7.0398000000000005</v>
      </c>
      <c r="P159" s="1119">
        <v>0.89379999999999993</v>
      </c>
      <c r="Q159" s="1119">
        <v>0.89049999999999996</v>
      </c>
      <c r="S159" s="1119">
        <v>7.0398000000000005</v>
      </c>
      <c r="T159" s="1120">
        <v>26.73</v>
      </c>
      <c r="U159" s="1119">
        <v>0.89379999999999993</v>
      </c>
      <c r="V159" s="1119">
        <v>0.89049999999999996</v>
      </c>
    </row>
    <row r="160" spans="4:22">
      <c r="D160" s="1119">
        <v>0.83489999999999942</v>
      </c>
      <c r="E160" s="1119">
        <v>0.83849999999999947</v>
      </c>
      <c r="F160" s="1120">
        <v>37.17</v>
      </c>
      <c r="G160" s="1119">
        <v>7.5044000000000013</v>
      </c>
      <c r="I160" s="1119">
        <v>0.83849999999999947</v>
      </c>
      <c r="J160" s="1119">
        <v>0.83489999999999942</v>
      </c>
      <c r="K160" s="1120">
        <v>37.17</v>
      </c>
      <c r="L160" s="1119">
        <v>7.5044000000000013</v>
      </c>
      <c r="N160" s="1120">
        <v>26.74</v>
      </c>
      <c r="O160" s="1119">
        <v>7.0406000000000004</v>
      </c>
      <c r="P160" s="1119">
        <v>0.89369999999999994</v>
      </c>
      <c r="Q160" s="1119">
        <v>0.89039999999999997</v>
      </c>
      <c r="S160" s="1119">
        <v>7.0406000000000004</v>
      </c>
      <c r="T160" s="1120">
        <v>26.74</v>
      </c>
      <c r="U160" s="1119">
        <v>0.89369999999999994</v>
      </c>
      <c r="V160" s="1119">
        <v>0.89039999999999997</v>
      </c>
    </row>
    <row r="161" spans="4:22">
      <c r="D161" s="1119">
        <v>0.83499999999999941</v>
      </c>
      <c r="E161" s="1119">
        <v>0.83859999999999946</v>
      </c>
      <c r="F161" s="1120">
        <v>37.15</v>
      </c>
      <c r="G161" s="1119">
        <v>7.5035000000000016</v>
      </c>
      <c r="I161" s="1119">
        <v>0.83859999999999946</v>
      </c>
      <c r="J161" s="1119">
        <v>0.83499999999999941</v>
      </c>
      <c r="K161" s="1120">
        <v>37.15</v>
      </c>
      <c r="L161" s="1119">
        <v>7.5035000000000016</v>
      </c>
      <c r="N161" s="1120">
        <v>26.76</v>
      </c>
      <c r="O161" s="1119">
        <v>7.0414000000000003</v>
      </c>
      <c r="P161" s="1119">
        <v>0.89359999999999995</v>
      </c>
      <c r="Q161" s="1119">
        <v>0.89029999999999998</v>
      </c>
      <c r="S161" s="1119">
        <v>7.0414000000000003</v>
      </c>
      <c r="T161" s="1120">
        <v>26.76</v>
      </c>
      <c r="U161" s="1119">
        <v>0.89359999999999995</v>
      </c>
      <c r="V161" s="1119">
        <v>0.89029999999999998</v>
      </c>
    </row>
    <row r="162" spans="4:22">
      <c r="D162" s="1119">
        <v>0.83509999999999995</v>
      </c>
      <c r="E162" s="1119">
        <v>0.8387</v>
      </c>
      <c r="F162" s="1120">
        <v>37.130000000000003</v>
      </c>
      <c r="G162" s="1119">
        <v>7.5026000000000002</v>
      </c>
      <c r="I162" s="1119">
        <v>0.8387</v>
      </c>
      <c r="J162" s="1119">
        <v>0.83509999999999995</v>
      </c>
      <c r="K162" s="1120">
        <v>37.130000000000003</v>
      </c>
      <c r="L162" s="1119">
        <v>7.5026000000000002</v>
      </c>
      <c r="N162" s="1120">
        <v>26.78</v>
      </c>
      <c r="O162" s="1119">
        <v>7.0422000000000002</v>
      </c>
      <c r="P162" s="1119">
        <v>0.89349999999999996</v>
      </c>
      <c r="Q162" s="1119">
        <v>0.89019999999999999</v>
      </c>
      <c r="S162" s="1119">
        <v>7.0422000000000002</v>
      </c>
      <c r="T162" s="1120">
        <v>26.78</v>
      </c>
      <c r="U162" s="1119">
        <v>0.89349999999999996</v>
      </c>
      <c r="V162" s="1119">
        <v>0.89019999999999999</v>
      </c>
    </row>
    <row r="163" spans="4:22">
      <c r="D163" s="1119">
        <v>0.83519999999999994</v>
      </c>
      <c r="E163" s="1119">
        <v>0.83879999999999999</v>
      </c>
      <c r="F163" s="1120">
        <v>37.11</v>
      </c>
      <c r="G163" s="1119">
        <v>7.5017000000000005</v>
      </c>
      <c r="I163" s="1119">
        <v>0.83879999999999999</v>
      </c>
      <c r="J163" s="1119">
        <v>0.83519999999999994</v>
      </c>
      <c r="K163" s="1120">
        <v>37.11</v>
      </c>
      <c r="L163" s="1119">
        <v>7.5017000000000005</v>
      </c>
      <c r="N163" s="1120">
        <v>26.8</v>
      </c>
      <c r="O163" s="1119">
        <v>7.0430000000000001</v>
      </c>
      <c r="P163" s="1119">
        <v>0.89339999999999975</v>
      </c>
      <c r="Q163" s="1119">
        <v>0.89009999999999945</v>
      </c>
      <c r="S163" s="1119">
        <v>7.0430000000000001</v>
      </c>
      <c r="T163" s="1120">
        <v>26.8</v>
      </c>
      <c r="U163" s="1119">
        <v>0.89339999999999975</v>
      </c>
      <c r="V163" s="1119">
        <v>0.89009999999999945</v>
      </c>
    </row>
    <row r="164" spans="4:22">
      <c r="D164" s="1119">
        <v>0.83529999999999993</v>
      </c>
      <c r="E164" s="1119">
        <v>0.83889999999999998</v>
      </c>
      <c r="F164" s="1120">
        <v>37.090000000000003</v>
      </c>
      <c r="G164" s="1119">
        <v>7.5008000000000008</v>
      </c>
      <c r="I164" s="1119">
        <v>0.83889999999999998</v>
      </c>
      <c r="J164" s="1119">
        <v>0.83529999999999993</v>
      </c>
      <c r="K164" s="1120">
        <v>37.090000000000003</v>
      </c>
      <c r="L164" s="1119">
        <v>7.5008000000000008</v>
      </c>
      <c r="N164" s="1120">
        <v>26.82</v>
      </c>
      <c r="O164" s="1119">
        <v>7.0438000000000001</v>
      </c>
      <c r="P164" s="1119">
        <v>0.89329999999999976</v>
      </c>
      <c r="Q164" s="1119">
        <v>0.88999999999999946</v>
      </c>
      <c r="S164" s="1119">
        <v>7.0438000000000001</v>
      </c>
      <c r="T164" s="1120">
        <v>26.82</v>
      </c>
      <c r="U164" s="1119">
        <v>0.89329999999999976</v>
      </c>
      <c r="V164" s="1119">
        <v>0.88999999999999946</v>
      </c>
    </row>
    <row r="165" spans="4:22">
      <c r="D165" s="1119">
        <v>0.83539999999999992</v>
      </c>
      <c r="E165" s="1119">
        <v>0.83899999999999997</v>
      </c>
      <c r="F165" s="1120">
        <v>37.07</v>
      </c>
      <c r="G165" s="1119">
        <v>7.4999000000000011</v>
      </c>
      <c r="I165" s="1119">
        <v>0.83899999999999997</v>
      </c>
      <c r="J165" s="1119">
        <v>0.83539999999999992</v>
      </c>
      <c r="K165" s="1120">
        <v>37.07</v>
      </c>
      <c r="L165" s="1119">
        <v>7.4999000000000011</v>
      </c>
      <c r="N165" s="1120">
        <v>26.83</v>
      </c>
      <c r="O165" s="1119">
        <v>7.0446</v>
      </c>
      <c r="P165" s="1119">
        <v>0.89319999999999977</v>
      </c>
      <c r="Q165" s="1119">
        <v>0.88989999999999947</v>
      </c>
      <c r="S165" s="1119">
        <v>7.0446</v>
      </c>
      <c r="T165" s="1120">
        <v>26.83</v>
      </c>
      <c r="U165" s="1119">
        <v>0.89319999999999977</v>
      </c>
      <c r="V165" s="1119">
        <v>0.88989999999999947</v>
      </c>
    </row>
    <row r="166" spans="4:22">
      <c r="D166" s="1119">
        <v>0.83549999999999991</v>
      </c>
      <c r="E166" s="1119">
        <v>0.83909999999999996</v>
      </c>
      <c r="F166" s="1120">
        <v>37.049999999999997</v>
      </c>
      <c r="G166" s="1119">
        <v>7.4990000000000014</v>
      </c>
      <c r="I166" s="1119">
        <v>0.83909999999999996</v>
      </c>
      <c r="J166" s="1119">
        <v>0.83549999999999991</v>
      </c>
      <c r="K166" s="1120">
        <v>37.049999999999997</v>
      </c>
      <c r="L166" s="1119">
        <v>7.4990000000000014</v>
      </c>
      <c r="N166" s="1120">
        <v>26.85</v>
      </c>
      <c r="O166" s="1119">
        <v>7.0453999999999999</v>
      </c>
      <c r="P166" s="1119">
        <v>0.89309999999999978</v>
      </c>
      <c r="Q166" s="1119">
        <v>0.88979999999999948</v>
      </c>
      <c r="S166" s="1119">
        <v>7.0453999999999999</v>
      </c>
      <c r="T166" s="1120">
        <v>26.85</v>
      </c>
      <c r="U166" s="1119">
        <v>0.89309999999999978</v>
      </c>
      <c r="V166" s="1119">
        <v>0.88979999999999948</v>
      </c>
    </row>
    <row r="167" spans="4:22">
      <c r="D167" s="1119">
        <v>0.8355999999999999</v>
      </c>
      <c r="E167" s="1119">
        <v>0.83919999999999995</v>
      </c>
      <c r="F167" s="1120">
        <v>37.03</v>
      </c>
      <c r="G167" s="1119">
        <v>7.4981000000000018</v>
      </c>
      <c r="I167" s="1119">
        <v>0.83919999999999995</v>
      </c>
      <c r="J167" s="1119">
        <v>0.8355999999999999</v>
      </c>
      <c r="K167" s="1120">
        <v>37.03</v>
      </c>
      <c r="L167" s="1119">
        <v>7.4981000000000018</v>
      </c>
      <c r="N167" s="1120">
        <v>26.87</v>
      </c>
      <c r="O167" s="1119">
        <v>7.0461999999999998</v>
      </c>
      <c r="P167" s="1119">
        <v>0.89299999999999979</v>
      </c>
      <c r="Q167" s="1119">
        <v>0.88969999999999949</v>
      </c>
      <c r="S167" s="1119">
        <v>7.0461999999999998</v>
      </c>
      <c r="T167" s="1120">
        <v>26.87</v>
      </c>
      <c r="U167" s="1119">
        <v>0.89299999999999979</v>
      </c>
      <c r="V167" s="1119">
        <v>0.88969999999999949</v>
      </c>
    </row>
    <row r="168" spans="4:22">
      <c r="D168" s="1119">
        <v>0.83569999999999989</v>
      </c>
      <c r="E168" s="1119">
        <v>0.83929999999999993</v>
      </c>
      <c r="F168" s="1120">
        <v>37.01</v>
      </c>
      <c r="G168" s="1119">
        <v>7.4972000000000021</v>
      </c>
      <c r="I168" s="1119">
        <v>0.83929999999999993</v>
      </c>
      <c r="J168" s="1119">
        <v>0.83569999999999989</v>
      </c>
      <c r="K168" s="1120">
        <v>37.01</v>
      </c>
      <c r="L168" s="1119">
        <v>7.4972000000000021</v>
      </c>
      <c r="N168" s="1120">
        <v>26.89</v>
      </c>
      <c r="O168" s="1119">
        <v>7.0469999999999997</v>
      </c>
      <c r="P168" s="1119">
        <v>0.8928999999999998</v>
      </c>
      <c r="Q168" s="1119">
        <v>0.8895999999999995</v>
      </c>
      <c r="S168" s="1119">
        <v>7.0469999999999997</v>
      </c>
      <c r="T168" s="1120">
        <v>26.89</v>
      </c>
      <c r="U168" s="1119">
        <v>0.8928999999999998</v>
      </c>
      <c r="V168" s="1119">
        <v>0.8895999999999995</v>
      </c>
    </row>
    <row r="169" spans="4:22">
      <c r="D169" s="1119">
        <v>0.83579999999999988</v>
      </c>
      <c r="E169" s="1119">
        <v>0.83939999999999992</v>
      </c>
      <c r="F169" s="1120">
        <v>36.99</v>
      </c>
      <c r="G169" s="1119">
        <v>7.4963000000000024</v>
      </c>
      <c r="I169" s="1119">
        <v>0.83939999999999992</v>
      </c>
      <c r="J169" s="1119">
        <v>0.83579999999999988</v>
      </c>
      <c r="K169" s="1120">
        <v>36.99</v>
      </c>
      <c r="L169" s="1119">
        <v>7.4963000000000024</v>
      </c>
      <c r="N169" s="1120">
        <v>26.9</v>
      </c>
      <c r="O169" s="1119">
        <v>7.0477999999999996</v>
      </c>
      <c r="P169" s="1119">
        <v>0.89279999999999982</v>
      </c>
      <c r="Q169" s="1119">
        <v>0.88949999999999951</v>
      </c>
      <c r="S169" s="1119">
        <v>7.0477999999999996</v>
      </c>
      <c r="T169" s="1120">
        <v>26.9</v>
      </c>
      <c r="U169" s="1119">
        <v>0.89279999999999982</v>
      </c>
      <c r="V169" s="1119">
        <v>0.88949999999999951</v>
      </c>
    </row>
    <row r="170" spans="4:22">
      <c r="D170" s="1119">
        <v>0.83589999999999987</v>
      </c>
      <c r="E170" s="1119">
        <v>0.83949999999999991</v>
      </c>
      <c r="F170" s="1120">
        <v>36.97</v>
      </c>
      <c r="G170" s="1119">
        <v>7.4954000000000027</v>
      </c>
      <c r="I170" s="1119">
        <v>0.83949999999999991</v>
      </c>
      <c r="J170" s="1119">
        <v>0.83589999999999987</v>
      </c>
      <c r="K170" s="1120">
        <v>36.97</v>
      </c>
      <c r="L170" s="1119">
        <v>7.4954000000000027</v>
      </c>
      <c r="N170" s="1120">
        <v>26.92</v>
      </c>
      <c r="O170" s="1119">
        <v>7.0486000000000004</v>
      </c>
      <c r="P170" s="1119">
        <v>0.89269999999999983</v>
      </c>
      <c r="Q170" s="1119">
        <v>0.88939999999999952</v>
      </c>
      <c r="S170" s="1119">
        <v>7.0486000000000004</v>
      </c>
      <c r="T170" s="1120">
        <v>26.92</v>
      </c>
      <c r="U170" s="1119">
        <v>0.89269999999999983</v>
      </c>
      <c r="V170" s="1119">
        <v>0.88939999999999952</v>
      </c>
    </row>
    <row r="171" spans="4:22">
      <c r="D171" s="1119">
        <v>0.83599999999999985</v>
      </c>
      <c r="E171" s="1119">
        <v>0.8395999999999999</v>
      </c>
      <c r="F171" s="1120">
        <v>36.94</v>
      </c>
      <c r="G171" s="1119">
        <v>7.494500000000003</v>
      </c>
      <c r="I171" s="1119">
        <v>0.8395999999999999</v>
      </c>
      <c r="J171" s="1119">
        <v>0.83599999999999985</v>
      </c>
      <c r="K171" s="1120">
        <v>36.94</v>
      </c>
      <c r="L171" s="1119">
        <v>7.494500000000003</v>
      </c>
      <c r="N171" s="1120">
        <v>26.94</v>
      </c>
      <c r="O171" s="1119">
        <v>7.0494000000000003</v>
      </c>
      <c r="P171" s="1119">
        <v>0.89259999999999984</v>
      </c>
      <c r="Q171" s="1119">
        <v>0.88929999999999954</v>
      </c>
      <c r="S171" s="1119">
        <v>7.0494000000000003</v>
      </c>
      <c r="T171" s="1120">
        <v>26.94</v>
      </c>
      <c r="U171" s="1119">
        <v>0.89259999999999984</v>
      </c>
      <c r="V171" s="1119">
        <v>0.88929999999999954</v>
      </c>
    </row>
    <row r="172" spans="4:22">
      <c r="D172" s="1119">
        <v>0.83609999999999984</v>
      </c>
      <c r="E172" s="1119">
        <v>0.83969999999999989</v>
      </c>
      <c r="F172" s="1120">
        <v>36.92</v>
      </c>
      <c r="G172" s="1119">
        <v>7.4936000000000034</v>
      </c>
      <c r="I172" s="1119">
        <v>0.83969999999999989</v>
      </c>
      <c r="J172" s="1119">
        <v>0.83609999999999984</v>
      </c>
      <c r="K172" s="1120">
        <v>36.92</v>
      </c>
      <c r="L172" s="1119">
        <v>7.4936000000000034</v>
      </c>
      <c r="N172" s="1120">
        <v>26.96</v>
      </c>
      <c r="O172" s="1119">
        <v>7.0502000000000002</v>
      </c>
      <c r="P172" s="1119">
        <v>0.89249999999999996</v>
      </c>
      <c r="Q172" s="1119">
        <v>0.88919999999999955</v>
      </c>
      <c r="S172" s="1119">
        <v>7.0502000000000002</v>
      </c>
      <c r="T172" s="1120">
        <v>26.96</v>
      </c>
      <c r="U172" s="1119">
        <v>0.89249999999999996</v>
      </c>
      <c r="V172" s="1119">
        <v>0.88919999999999955</v>
      </c>
    </row>
    <row r="173" spans="4:22">
      <c r="D173" s="1119">
        <v>0.83619999999999983</v>
      </c>
      <c r="E173" s="1119">
        <v>0.83979999999999988</v>
      </c>
      <c r="F173" s="1120">
        <v>36.9</v>
      </c>
      <c r="G173" s="1119">
        <v>7.4927000000000037</v>
      </c>
      <c r="I173" s="1119">
        <v>0.83979999999999988</v>
      </c>
      <c r="J173" s="1119">
        <v>0.83619999999999983</v>
      </c>
      <c r="K173" s="1120">
        <v>36.9</v>
      </c>
      <c r="L173" s="1119">
        <v>7.4927000000000037</v>
      </c>
      <c r="N173" s="1120">
        <v>26.97</v>
      </c>
      <c r="O173" s="1119">
        <v>7.0510000000000002</v>
      </c>
      <c r="P173" s="1119">
        <v>0.89239999999999986</v>
      </c>
      <c r="Q173" s="1119">
        <v>0.88909999999999956</v>
      </c>
      <c r="S173" s="1119">
        <v>7.0510000000000002</v>
      </c>
      <c r="T173" s="1120">
        <v>26.97</v>
      </c>
      <c r="U173" s="1119">
        <v>0.89239999999999986</v>
      </c>
      <c r="V173" s="1119">
        <v>0.88909999999999956</v>
      </c>
    </row>
    <row r="174" spans="4:22">
      <c r="D174" s="1119">
        <v>0.83629999999999982</v>
      </c>
      <c r="E174" s="1119">
        <v>0.83989999999999987</v>
      </c>
      <c r="F174" s="1120">
        <v>36.880000000000003</v>
      </c>
      <c r="G174" s="1119">
        <v>7.491800000000004</v>
      </c>
      <c r="I174" s="1119">
        <v>0.83989999999999987</v>
      </c>
      <c r="J174" s="1119">
        <v>0.83629999999999982</v>
      </c>
      <c r="K174" s="1120">
        <v>36.880000000000003</v>
      </c>
      <c r="L174" s="1119">
        <v>7.491800000000004</v>
      </c>
      <c r="N174" s="1120">
        <v>26.99</v>
      </c>
      <c r="O174" s="1119">
        <v>7.0518000000000001</v>
      </c>
      <c r="P174" s="1119">
        <v>0.89229999999999987</v>
      </c>
      <c r="Q174" s="1119">
        <v>0.88899999999999957</v>
      </c>
      <c r="S174" s="1119">
        <v>7.0518000000000001</v>
      </c>
      <c r="T174" s="1120">
        <v>26.99</v>
      </c>
      <c r="U174" s="1119">
        <v>0.89229999999999987</v>
      </c>
      <c r="V174" s="1119">
        <v>0.88899999999999957</v>
      </c>
    </row>
    <row r="175" spans="4:22">
      <c r="D175" s="1119">
        <v>0.83639999999999981</v>
      </c>
      <c r="E175" s="1119">
        <v>0.84</v>
      </c>
      <c r="F175" s="1120">
        <v>36.86</v>
      </c>
      <c r="G175" s="1119">
        <v>7.4909000000000043</v>
      </c>
      <c r="I175" s="1119">
        <v>0.84</v>
      </c>
      <c r="J175" s="1119">
        <v>0.83639999999999981</v>
      </c>
      <c r="K175" s="1120">
        <v>36.86</v>
      </c>
      <c r="L175" s="1119">
        <v>7.4909000000000043</v>
      </c>
      <c r="N175" s="1120">
        <v>27.01</v>
      </c>
      <c r="O175" s="1119">
        <v>7.0526</v>
      </c>
      <c r="P175" s="1119">
        <v>0.89219999999999988</v>
      </c>
      <c r="Q175" s="1119">
        <v>0.88889999999999958</v>
      </c>
      <c r="S175" s="1119">
        <v>7.0526</v>
      </c>
      <c r="T175" s="1120">
        <v>27.01</v>
      </c>
      <c r="U175" s="1119">
        <v>0.89219999999999988</v>
      </c>
      <c r="V175" s="1119">
        <v>0.88889999999999958</v>
      </c>
    </row>
    <row r="176" spans="4:22">
      <c r="D176" s="1119">
        <v>0.8364999999999998</v>
      </c>
      <c r="E176" s="1119">
        <v>0.84009999999999985</v>
      </c>
      <c r="F176" s="1120">
        <v>36.840000000000003</v>
      </c>
      <c r="G176" s="1119">
        <v>7.49</v>
      </c>
      <c r="I176" s="1119">
        <v>0.84009999999999985</v>
      </c>
      <c r="J176" s="1119">
        <v>0.8364999999999998</v>
      </c>
      <c r="K176" s="1120">
        <v>36.840000000000003</v>
      </c>
      <c r="L176" s="1119">
        <v>7.49</v>
      </c>
      <c r="N176" s="1120">
        <v>27.02</v>
      </c>
      <c r="O176" s="1119">
        <v>7.0533999999999999</v>
      </c>
      <c r="P176" s="1119">
        <v>0.89209999999999989</v>
      </c>
      <c r="Q176" s="1119">
        <v>0.88879999999999959</v>
      </c>
      <c r="S176" s="1119">
        <v>7.0533999999999999</v>
      </c>
      <c r="T176" s="1120">
        <v>27.02</v>
      </c>
      <c r="U176" s="1119">
        <v>0.89209999999999989</v>
      </c>
      <c r="V176" s="1119">
        <v>0.88879999999999959</v>
      </c>
    </row>
    <row r="177" spans="4:22">
      <c r="D177" s="1119">
        <v>0.83659999999999979</v>
      </c>
      <c r="E177" s="1119">
        <v>0.84019999999999984</v>
      </c>
      <c r="F177" s="1120">
        <v>36.82</v>
      </c>
      <c r="G177" s="1119">
        <v>7.489100000000005</v>
      </c>
      <c r="I177" s="1119">
        <v>0.84019999999999984</v>
      </c>
      <c r="J177" s="1119">
        <v>0.83659999999999979</v>
      </c>
      <c r="K177" s="1120">
        <v>36.82</v>
      </c>
      <c r="L177" s="1119">
        <v>7.489100000000005</v>
      </c>
      <c r="N177" s="1120">
        <v>27.04</v>
      </c>
      <c r="O177" s="1119">
        <v>7.0541999999999998</v>
      </c>
      <c r="P177" s="1119">
        <v>0.8919999999999999</v>
      </c>
      <c r="Q177" s="1119">
        <v>0.8886999999999996</v>
      </c>
      <c r="S177" s="1119">
        <v>7.0541999999999998</v>
      </c>
      <c r="T177" s="1120">
        <v>27.04</v>
      </c>
      <c r="U177" s="1119">
        <v>0.8919999999999999</v>
      </c>
      <c r="V177" s="1119">
        <v>0.8886999999999996</v>
      </c>
    </row>
    <row r="178" spans="4:22">
      <c r="D178" s="1119">
        <v>0.83669999999999978</v>
      </c>
      <c r="E178" s="1119">
        <v>0.84029999999999982</v>
      </c>
      <c r="F178" s="1120">
        <v>36.799999999999997</v>
      </c>
      <c r="G178" s="1119">
        <v>7.4882000000000053</v>
      </c>
      <c r="I178" s="1119">
        <v>0.84029999999999982</v>
      </c>
      <c r="J178" s="1119">
        <v>0.83669999999999978</v>
      </c>
      <c r="K178" s="1120">
        <v>36.799999999999997</v>
      </c>
      <c r="L178" s="1119">
        <v>7.4882000000000053</v>
      </c>
      <c r="N178" s="1120">
        <v>27.06</v>
      </c>
      <c r="O178" s="1119">
        <v>7.0549999999999997</v>
      </c>
      <c r="P178" s="1119">
        <v>0.89189999999999992</v>
      </c>
      <c r="Q178" s="1119">
        <v>0.88859999999999961</v>
      </c>
      <c r="S178" s="1119">
        <v>7.0549999999999997</v>
      </c>
      <c r="T178" s="1120">
        <v>27.06</v>
      </c>
      <c r="U178" s="1119">
        <v>0.89189999999999992</v>
      </c>
      <c r="V178" s="1119">
        <v>0.88859999999999961</v>
      </c>
    </row>
    <row r="179" spans="4:22">
      <c r="D179" s="1119">
        <v>0.83679999999999977</v>
      </c>
      <c r="E179" s="1119">
        <v>0.84039999999999981</v>
      </c>
      <c r="F179" s="1120">
        <v>36.78</v>
      </c>
      <c r="G179" s="1119">
        <v>7.4873000000000056</v>
      </c>
      <c r="I179" s="1119">
        <v>0.84039999999999981</v>
      </c>
      <c r="J179" s="1119">
        <v>0.83679999999999977</v>
      </c>
      <c r="K179" s="1120">
        <v>36.78</v>
      </c>
      <c r="L179" s="1119">
        <v>7.4873000000000056</v>
      </c>
      <c r="N179" s="1120">
        <v>27.08</v>
      </c>
      <c r="O179" s="1119">
        <v>7.0557999999999996</v>
      </c>
      <c r="P179" s="1119">
        <v>0.89179999999999993</v>
      </c>
      <c r="Q179" s="1119">
        <v>0.88849999999999962</v>
      </c>
      <c r="S179" s="1119">
        <v>7.0557999999999996</v>
      </c>
      <c r="T179" s="1120">
        <v>27.08</v>
      </c>
      <c r="U179" s="1119">
        <v>0.89179999999999993</v>
      </c>
      <c r="V179" s="1119">
        <v>0.88849999999999962</v>
      </c>
    </row>
    <row r="180" spans="4:22">
      <c r="D180" s="1119">
        <v>0.83689999999999976</v>
      </c>
      <c r="E180" s="1119">
        <v>0.8404999999999998</v>
      </c>
      <c r="F180" s="1120">
        <v>36.76</v>
      </c>
      <c r="G180" s="1119">
        <v>7.4864000000000059</v>
      </c>
      <c r="I180" s="1119">
        <v>0.8404999999999998</v>
      </c>
      <c r="J180" s="1119">
        <v>0.83689999999999976</v>
      </c>
      <c r="K180" s="1120">
        <v>36.76</v>
      </c>
      <c r="L180" s="1119">
        <v>7.4864000000000059</v>
      </c>
      <c r="N180" s="1120">
        <v>27.09</v>
      </c>
      <c r="O180" s="1119">
        <v>7.0564999999999998</v>
      </c>
      <c r="P180" s="1119">
        <v>0.89169999999999994</v>
      </c>
      <c r="Q180" s="1119">
        <v>0.88839999999999963</v>
      </c>
      <c r="S180" s="1119">
        <v>7.0564999999999998</v>
      </c>
      <c r="T180" s="1120">
        <v>27.09</v>
      </c>
      <c r="U180" s="1119">
        <v>0.89169999999999994</v>
      </c>
      <c r="V180" s="1119">
        <v>0.88839999999999963</v>
      </c>
    </row>
    <row r="181" spans="4:22">
      <c r="D181" s="1119">
        <v>0.83699999999999974</v>
      </c>
      <c r="E181" s="1119">
        <v>0.84059999999999979</v>
      </c>
      <c r="F181" s="1120">
        <v>36.74</v>
      </c>
      <c r="G181" s="1119">
        <v>7.4855000000000063</v>
      </c>
      <c r="I181" s="1119">
        <v>0.84059999999999979</v>
      </c>
      <c r="J181" s="1119">
        <v>0.83699999999999974</v>
      </c>
      <c r="K181" s="1120">
        <v>36.74</v>
      </c>
      <c r="L181" s="1119">
        <v>7.4855000000000063</v>
      </c>
      <c r="N181" s="1120">
        <v>27.11</v>
      </c>
      <c r="O181" s="1119">
        <v>7.0574000000000003</v>
      </c>
      <c r="P181" s="1119">
        <v>0.89159999999999995</v>
      </c>
      <c r="Q181" s="1119">
        <v>0.88829999999999965</v>
      </c>
      <c r="S181" s="1119">
        <v>7.0574000000000003</v>
      </c>
      <c r="T181" s="1120">
        <v>27.11</v>
      </c>
      <c r="U181" s="1119">
        <v>0.89159999999999995</v>
      </c>
      <c r="V181" s="1119">
        <v>0.88829999999999965</v>
      </c>
    </row>
    <row r="182" spans="4:22">
      <c r="D182" s="1119">
        <v>0.83709999999999973</v>
      </c>
      <c r="E182" s="1119">
        <v>0.84069999999999978</v>
      </c>
      <c r="F182" s="1120">
        <v>36.72</v>
      </c>
      <c r="G182" s="1119">
        <v>7.4846000000000066</v>
      </c>
      <c r="I182" s="1119">
        <v>0.84069999999999978</v>
      </c>
      <c r="J182" s="1119">
        <v>0.83709999999999973</v>
      </c>
      <c r="K182" s="1120">
        <v>36.72</v>
      </c>
      <c r="L182" s="1119">
        <v>7.4846000000000066</v>
      </c>
      <c r="N182" s="1120">
        <v>27.13</v>
      </c>
      <c r="O182" s="1119">
        <v>7.0582000000000003</v>
      </c>
      <c r="P182" s="1119">
        <v>0.89149999999999996</v>
      </c>
      <c r="Q182" s="1119">
        <v>0.88819999999999966</v>
      </c>
      <c r="S182" s="1119">
        <v>7.0582000000000003</v>
      </c>
      <c r="T182" s="1120">
        <v>27.13</v>
      </c>
      <c r="U182" s="1119">
        <v>0.89149999999999996</v>
      </c>
      <c r="V182" s="1119">
        <v>0.88819999999999966</v>
      </c>
    </row>
    <row r="183" spans="4:22">
      <c r="D183" s="1119">
        <v>0.83719999999999972</v>
      </c>
      <c r="E183" s="1119">
        <v>0.84079999999999977</v>
      </c>
      <c r="F183" s="1120">
        <v>36.700000000000003</v>
      </c>
      <c r="G183" s="1119">
        <v>7.4837000000000069</v>
      </c>
      <c r="I183" s="1119">
        <v>0.84079999999999977</v>
      </c>
      <c r="J183" s="1119">
        <v>0.83719999999999972</v>
      </c>
      <c r="K183" s="1120">
        <v>36.700000000000003</v>
      </c>
      <c r="L183" s="1119">
        <v>7.4837000000000069</v>
      </c>
      <c r="N183" s="1120">
        <v>27.15</v>
      </c>
      <c r="O183" s="1119">
        <v>7.0590000000000002</v>
      </c>
      <c r="P183" s="1119">
        <v>0.89139999999999997</v>
      </c>
      <c r="Q183" s="1119">
        <v>0.88809999999999967</v>
      </c>
      <c r="S183" s="1119">
        <v>7.0590000000000002</v>
      </c>
      <c r="T183" s="1120">
        <v>27.15</v>
      </c>
      <c r="U183" s="1119">
        <v>0.89139999999999997</v>
      </c>
      <c r="V183" s="1119">
        <v>0.88809999999999967</v>
      </c>
    </row>
    <row r="184" spans="4:22">
      <c r="D184" s="1119">
        <v>0.83729999999999971</v>
      </c>
      <c r="E184" s="1119">
        <v>0.84089999999999976</v>
      </c>
      <c r="F184" s="1120">
        <v>36.68</v>
      </c>
      <c r="G184" s="1119">
        <v>7.4828000000000072</v>
      </c>
      <c r="I184" s="1119">
        <v>0.84089999999999976</v>
      </c>
      <c r="J184" s="1119">
        <v>0.83729999999999971</v>
      </c>
      <c r="K184" s="1120">
        <v>36.68</v>
      </c>
      <c r="L184" s="1119">
        <v>7.4828000000000072</v>
      </c>
      <c r="N184" s="1120">
        <v>27.17</v>
      </c>
      <c r="O184" s="1119">
        <v>7.0598000000000001</v>
      </c>
      <c r="P184" s="1119">
        <v>0.89129999999999998</v>
      </c>
      <c r="Q184" s="1119">
        <v>0.88799999999999968</v>
      </c>
      <c r="S184" s="1119">
        <v>7.0598000000000001</v>
      </c>
      <c r="T184" s="1120">
        <v>27.17</v>
      </c>
      <c r="U184" s="1119">
        <v>0.89129999999999998</v>
      </c>
      <c r="V184" s="1119">
        <v>0.88799999999999968</v>
      </c>
    </row>
    <row r="185" spans="4:22">
      <c r="D185" s="1119">
        <v>0.8373999999999997</v>
      </c>
      <c r="E185" s="1119">
        <v>0.84099999999999975</v>
      </c>
      <c r="F185" s="1120">
        <v>36.659999999999997</v>
      </c>
      <c r="G185" s="1119">
        <v>7.4819000000000075</v>
      </c>
      <c r="I185" s="1119">
        <v>0.84099999999999975</v>
      </c>
      <c r="J185" s="1119">
        <v>0.8373999999999997</v>
      </c>
      <c r="K185" s="1120">
        <v>36.659999999999997</v>
      </c>
      <c r="L185" s="1119">
        <v>7.4819000000000075</v>
      </c>
      <c r="N185" s="1120">
        <v>27.18</v>
      </c>
      <c r="O185" s="1119">
        <v>7.0605000000000002</v>
      </c>
      <c r="P185" s="1119">
        <v>0.89120999999999995</v>
      </c>
      <c r="Q185" s="1119">
        <v>0.88789999999999969</v>
      </c>
      <c r="S185" s="1119">
        <v>7.0605000000000002</v>
      </c>
      <c r="T185" s="1120">
        <v>27.18</v>
      </c>
      <c r="U185" s="1119">
        <v>0.89120999999999995</v>
      </c>
      <c r="V185" s="1119">
        <v>0.88789999999999969</v>
      </c>
    </row>
    <row r="186" spans="4:22">
      <c r="D186" s="1119">
        <v>0.83750000000000002</v>
      </c>
      <c r="E186" s="1119">
        <v>0.84109999999999974</v>
      </c>
      <c r="F186" s="1120">
        <v>36.64</v>
      </c>
      <c r="G186" s="1119">
        <v>7.4810000000000079</v>
      </c>
      <c r="I186" s="1119">
        <v>0.84109999999999974</v>
      </c>
      <c r="J186" s="1119">
        <v>0.83750000000000002</v>
      </c>
      <c r="K186" s="1120">
        <v>36.64</v>
      </c>
      <c r="L186" s="1119">
        <v>7.4810000000000079</v>
      </c>
      <c r="N186" s="1120">
        <v>27.2</v>
      </c>
      <c r="O186" s="1119">
        <v>7.0613000000000001</v>
      </c>
      <c r="P186" s="1119">
        <v>0.89110999999999996</v>
      </c>
      <c r="Q186" s="1119">
        <v>0.8877999999999997</v>
      </c>
      <c r="S186" s="1119">
        <v>7.0613000000000001</v>
      </c>
      <c r="T186" s="1120">
        <v>27.2</v>
      </c>
      <c r="U186" s="1119">
        <v>0.89110999999999996</v>
      </c>
      <c r="V186" s="1119">
        <v>0.8877999999999997</v>
      </c>
    </row>
    <row r="187" spans="4:22">
      <c r="D187" s="1119">
        <v>0.83759999999999968</v>
      </c>
      <c r="E187" s="1119">
        <v>0.84119999999999973</v>
      </c>
      <c r="F187" s="1120">
        <v>36.619999999999997</v>
      </c>
      <c r="G187" s="1119">
        <v>7.4808000000000003</v>
      </c>
      <c r="I187" s="1119">
        <v>0.84119999999999973</v>
      </c>
      <c r="J187" s="1119">
        <v>0.83759999999999968</v>
      </c>
      <c r="K187" s="1120">
        <v>36.619999999999997</v>
      </c>
      <c r="L187" s="1119">
        <v>7.4808000000000003</v>
      </c>
      <c r="N187" s="1120">
        <v>27.22</v>
      </c>
      <c r="O187" s="1119">
        <v>7.0620000000000003</v>
      </c>
      <c r="P187" s="1119">
        <v>0.89102000000000003</v>
      </c>
      <c r="Q187" s="1119">
        <v>0.88769999999999971</v>
      </c>
      <c r="S187" s="1119">
        <v>7.0620000000000003</v>
      </c>
      <c r="T187" s="1120">
        <v>27.22</v>
      </c>
      <c r="U187" s="1119">
        <v>0.89102000000000003</v>
      </c>
      <c r="V187" s="1119">
        <v>0.88769999999999971</v>
      </c>
    </row>
    <row r="188" spans="4:22">
      <c r="D188" s="1119">
        <v>0.83769999999999967</v>
      </c>
      <c r="E188" s="1119">
        <v>0.84129999999999971</v>
      </c>
      <c r="F188" s="1120">
        <v>36.6</v>
      </c>
      <c r="G188" s="1119">
        <v>7.4799000000000007</v>
      </c>
      <c r="I188" s="1119">
        <v>0.84129999999999971</v>
      </c>
      <c r="J188" s="1119">
        <v>0.83769999999999967</v>
      </c>
      <c r="K188" s="1120">
        <v>36.6</v>
      </c>
      <c r="L188" s="1119">
        <v>7.4799000000000007</v>
      </c>
      <c r="N188" s="1120">
        <v>27.23</v>
      </c>
      <c r="O188" s="1119">
        <v>7.0628000000000002</v>
      </c>
      <c r="P188" s="1119">
        <v>0.89092000000000005</v>
      </c>
      <c r="Q188" s="1119">
        <v>0.88759999999999972</v>
      </c>
      <c r="S188" s="1119">
        <v>7.0628000000000002</v>
      </c>
      <c r="T188" s="1120">
        <v>27.23</v>
      </c>
      <c r="U188" s="1119">
        <v>0.89092000000000005</v>
      </c>
      <c r="V188" s="1119">
        <v>0.88759999999999972</v>
      </c>
    </row>
    <row r="189" spans="4:22">
      <c r="D189" s="1119">
        <v>0.83779999999999966</v>
      </c>
      <c r="E189" s="1119">
        <v>0.8413999999999997</v>
      </c>
      <c r="F189" s="1120">
        <v>36.58</v>
      </c>
      <c r="G189" s="1119">
        <v>7.479000000000001</v>
      </c>
      <c r="I189" s="1119">
        <v>0.8413999999999997</v>
      </c>
      <c r="J189" s="1119">
        <v>0.83779999999999966</v>
      </c>
      <c r="K189" s="1120">
        <v>36.58</v>
      </c>
      <c r="L189" s="1119">
        <v>7.479000000000001</v>
      </c>
      <c r="N189" s="1120">
        <v>27.25</v>
      </c>
      <c r="O189" s="1119">
        <v>7.0636000000000001</v>
      </c>
      <c r="P189" s="1119">
        <v>0.89083000000000001</v>
      </c>
      <c r="Q189" s="1119">
        <v>0.88749999999999996</v>
      </c>
      <c r="S189" s="1119">
        <v>7.0636000000000001</v>
      </c>
      <c r="T189" s="1120">
        <v>27.25</v>
      </c>
      <c r="U189" s="1119">
        <v>0.89083000000000001</v>
      </c>
      <c r="V189" s="1119">
        <v>0.88749999999999996</v>
      </c>
    </row>
    <row r="190" spans="4:22">
      <c r="D190" s="1119">
        <v>0.83789999999999965</v>
      </c>
      <c r="E190" s="1119">
        <v>0.84149999999999969</v>
      </c>
      <c r="F190" s="1120">
        <v>36.56</v>
      </c>
      <c r="G190" s="1119">
        <v>7.4781000000000013</v>
      </c>
      <c r="I190" s="1119">
        <v>0.84149999999999969</v>
      </c>
      <c r="J190" s="1119">
        <v>0.83789999999999965</v>
      </c>
      <c r="K190" s="1120">
        <v>36.56</v>
      </c>
      <c r="L190" s="1119">
        <v>7.4781000000000013</v>
      </c>
      <c r="N190" s="1120">
        <v>27.27</v>
      </c>
      <c r="O190" s="1119">
        <v>7.0643000000000002</v>
      </c>
      <c r="P190" s="1119">
        <v>0.89073000000000002</v>
      </c>
      <c r="Q190" s="1119">
        <v>0.88739999999999974</v>
      </c>
      <c r="S190" s="1119">
        <v>7.0643000000000002</v>
      </c>
      <c r="T190" s="1120">
        <v>27.27</v>
      </c>
      <c r="U190" s="1119">
        <v>0.89073000000000002</v>
      </c>
      <c r="V190" s="1119">
        <v>0.88739999999999974</v>
      </c>
    </row>
    <row r="191" spans="4:22">
      <c r="D191" s="1119">
        <v>0.83799999999999963</v>
      </c>
      <c r="E191" s="1119">
        <v>0.84159999999999968</v>
      </c>
      <c r="F191" s="1120">
        <v>36.54</v>
      </c>
      <c r="G191" s="1119">
        <v>7.4772000000000016</v>
      </c>
      <c r="I191" s="1119">
        <v>0.84159999999999968</v>
      </c>
      <c r="J191" s="1119">
        <v>0.83799999999999963</v>
      </c>
      <c r="K191" s="1120">
        <v>36.54</v>
      </c>
      <c r="L191" s="1119">
        <v>7.4772000000000016</v>
      </c>
      <c r="N191" s="1120">
        <v>27.29</v>
      </c>
      <c r="O191" s="1119">
        <v>7.0651000000000002</v>
      </c>
      <c r="P191" s="1119">
        <v>0.89063999999999999</v>
      </c>
      <c r="Q191" s="1119">
        <v>0.88729999999999976</v>
      </c>
      <c r="S191" s="1119">
        <v>7.0651000000000002</v>
      </c>
      <c r="T191" s="1120">
        <v>27.29</v>
      </c>
      <c r="U191" s="1119">
        <v>0.89063999999999999</v>
      </c>
      <c r="V191" s="1119">
        <v>0.88729999999999976</v>
      </c>
    </row>
    <row r="192" spans="4:22">
      <c r="D192" s="1119">
        <v>0.83809999999999962</v>
      </c>
      <c r="E192" s="1119">
        <v>0.84169999999999967</v>
      </c>
      <c r="F192" s="1120">
        <v>36.520000000000003</v>
      </c>
      <c r="G192" s="1119">
        <v>7.4764000000000017</v>
      </c>
      <c r="I192" s="1119">
        <v>0.84169999999999967</v>
      </c>
      <c r="J192" s="1119">
        <v>0.83809999999999962</v>
      </c>
      <c r="K192" s="1120">
        <v>36.520000000000003</v>
      </c>
      <c r="L192" s="1119">
        <v>7.4764000000000017</v>
      </c>
      <c r="N192" s="1120">
        <v>27.3</v>
      </c>
      <c r="O192" s="1119">
        <v>7.0658000000000003</v>
      </c>
      <c r="P192" s="1119">
        <v>0.89054</v>
      </c>
      <c r="Q192" s="1119">
        <v>0.88719999999999977</v>
      </c>
      <c r="S192" s="1119">
        <v>7.0658000000000003</v>
      </c>
      <c r="T192" s="1120">
        <v>27.3</v>
      </c>
      <c r="U192" s="1119">
        <v>0.89054</v>
      </c>
      <c r="V192" s="1119">
        <v>0.88719999999999977</v>
      </c>
    </row>
    <row r="193" spans="4:22">
      <c r="D193" s="1119">
        <v>0.83819999999999961</v>
      </c>
      <c r="E193" s="1119">
        <v>0.84179000000000004</v>
      </c>
      <c r="F193" s="1120">
        <v>36.5</v>
      </c>
      <c r="G193" s="1119">
        <v>7.475500000000002</v>
      </c>
      <c r="I193" s="1119">
        <v>0.84179000000000004</v>
      </c>
      <c r="J193" s="1119">
        <v>0.83819999999999961</v>
      </c>
      <c r="K193" s="1120">
        <v>36.5</v>
      </c>
      <c r="L193" s="1119">
        <v>7.475500000000002</v>
      </c>
      <c r="N193" s="1120">
        <v>27.32</v>
      </c>
      <c r="O193" s="1119">
        <v>7.0666000000000002</v>
      </c>
      <c r="P193" s="1119">
        <v>0.89044999999999996</v>
      </c>
      <c r="Q193" s="1119">
        <v>0.88709999999999978</v>
      </c>
      <c r="S193" s="1119">
        <v>7.0666000000000002</v>
      </c>
      <c r="T193" s="1120">
        <v>27.32</v>
      </c>
      <c r="U193" s="1119">
        <v>0.89044999999999996</v>
      </c>
      <c r="V193" s="1119">
        <v>0.88709999999999978</v>
      </c>
    </row>
    <row r="194" spans="4:22">
      <c r="D194" s="1119">
        <v>0.8382999999999996</v>
      </c>
      <c r="E194" s="1119">
        <v>0.84189000000000003</v>
      </c>
      <c r="F194" s="1120">
        <v>36.479999999999997</v>
      </c>
      <c r="G194" s="1119">
        <v>7.4747000000000021</v>
      </c>
      <c r="I194" s="1119">
        <v>0.84189000000000003</v>
      </c>
      <c r="J194" s="1119">
        <v>0.8382999999999996</v>
      </c>
      <c r="K194" s="1120">
        <v>36.479999999999997</v>
      </c>
      <c r="L194" s="1119">
        <v>7.4747000000000021</v>
      </c>
      <c r="N194" s="1120">
        <v>27.34</v>
      </c>
      <c r="O194" s="1119">
        <v>7.0674000000000001</v>
      </c>
      <c r="P194" s="1119">
        <v>0.89034999999999997</v>
      </c>
      <c r="Q194" s="1119">
        <v>0.88699999999999979</v>
      </c>
      <c r="S194" s="1119">
        <v>7.0674000000000001</v>
      </c>
      <c r="T194" s="1120">
        <v>27.34</v>
      </c>
      <c r="U194" s="1119">
        <v>0.89034999999999997</v>
      </c>
      <c r="V194" s="1119">
        <v>0.88699999999999979</v>
      </c>
    </row>
    <row r="195" spans="4:22">
      <c r="D195" s="1119">
        <v>0.83839999999999959</v>
      </c>
      <c r="E195" s="1119">
        <v>0.84197999999999995</v>
      </c>
      <c r="F195" s="1120">
        <v>36.46</v>
      </c>
      <c r="G195" s="1119">
        <v>7.4738000000000024</v>
      </c>
      <c r="I195" s="1119">
        <v>0.84197999999999995</v>
      </c>
      <c r="J195" s="1119">
        <v>0.83839999999999959</v>
      </c>
      <c r="K195" s="1120">
        <v>36.46</v>
      </c>
      <c r="L195" s="1119">
        <v>7.4738000000000024</v>
      </c>
      <c r="N195" s="1120">
        <v>27.35</v>
      </c>
      <c r="O195" s="1119">
        <v>7.0681000000000003</v>
      </c>
      <c r="P195" s="1119">
        <v>0.89025999999999994</v>
      </c>
      <c r="Q195" s="1119">
        <v>0.8868999999999998</v>
      </c>
      <c r="S195" s="1119">
        <v>7.0681000000000003</v>
      </c>
      <c r="T195" s="1120">
        <v>27.35</v>
      </c>
      <c r="U195" s="1119">
        <v>0.89025999999999994</v>
      </c>
      <c r="V195" s="1119">
        <v>0.8868999999999998</v>
      </c>
    </row>
    <row r="196" spans="4:22">
      <c r="D196" s="1119">
        <v>0.83849999999999958</v>
      </c>
      <c r="E196" s="1119">
        <v>0.84208000000000005</v>
      </c>
      <c r="F196" s="1120">
        <v>36.450000000000003</v>
      </c>
      <c r="G196" s="1119">
        <v>7.4730000000000025</v>
      </c>
      <c r="I196" s="1119">
        <v>0.84208000000000005</v>
      </c>
      <c r="J196" s="1119">
        <v>0.83849999999999958</v>
      </c>
      <c r="K196" s="1120">
        <v>36.450000000000003</v>
      </c>
      <c r="L196" s="1119">
        <v>7.4730000000000025</v>
      </c>
      <c r="N196" s="1120">
        <v>27.37</v>
      </c>
      <c r="O196" s="1119">
        <v>7.0689000000000002</v>
      </c>
      <c r="P196" s="1119">
        <v>0.89015999999999995</v>
      </c>
      <c r="Q196" s="1119">
        <v>0.88679999999999981</v>
      </c>
      <c r="S196" s="1119">
        <v>7.0689000000000002</v>
      </c>
      <c r="T196" s="1120">
        <v>27.37</v>
      </c>
      <c r="U196" s="1119">
        <v>0.89015999999999995</v>
      </c>
      <c r="V196" s="1119">
        <v>0.88679999999999981</v>
      </c>
    </row>
    <row r="197" spans="4:22">
      <c r="D197" s="1119">
        <v>0.83859999999999957</v>
      </c>
      <c r="E197" s="1119">
        <v>0.84216999999999997</v>
      </c>
      <c r="F197" s="1120">
        <v>36.43</v>
      </c>
      <c r="G197" s="1119">
        <v>7.4721000000000029</v>
      </c>
      <c r="I197" s="1119">
        <v>0.84216999999999997</v>
      </c>
      <c r="J197" s="1119">
        <v>0.83859999999999957</v>
      </c>
      <c r="K197" s="1120">
        <v>36.43</v>
      </c>
      <c r="L197" s="1119">
        <v>7.4721000000000029</v>
      </c>
      <c r="N197" s="1120">
        <v>27.39</v>
      </c>
      <c r="O197" s="1119">
        <v>7.0696000000000003</v>
      </c>
      <c r="P197" s="1119">
        <v>0.89007000000000003</v>
      </c>
      <c r="Q197" s="1119">
        <v>0.88669999999999982</v>
      </c>
      <c r="S197" s="1119">
        <v>7.0696000000000003</v>
      </c>
      <c r="T197" s="1120">
        <v>27.39</v>
      </c>
      <c r="U197" s="1119">
        <v>0.89007000000000003</v>
      </c>
      <c r="V197" s="1119">
        <v>0.88669999999999982</v>
      </c>
    </row>
    <row r="198" spans="4:22">
      <c r="D198" s="1119">
        <v>0.83869999999999956</v>
      </c>
      <c r="E198" s="1119">
        <v>0.84226999999999996</v>
      </c>
      <c r="F198" s="1120">
        <v>36.409999999999997</v>
      </c>
      <c r="G198" s="1119">
        <v>7.4713000000000029</v>
      </c>
      <c r="I198" s="1119">
        <v>0.84226999999999996</v>
      </c>
      <c r="J198" s="1119">
        <v>0.83869999999999956</v>
      </c>
      <c r="K198" s="1120">
        <v>36.409999999999997</v>
      </c>
      <c r="L198" s="1119">
        <v>7.4713000000000029</v>
      </c>
      <c r="N198" s="1120">
        <v>27.41</v>
      </c>
      <c r="O198" s="1119">
        <v>7.0704000000000002</v>
      </c>
      <c r="P198" s="1119">
        <v>0.88997000000000004</v>
      </c>
      <c r="Q198" s="1119">
        <v>0.88659999999999983</v>
      </c>
      <c r="S198" s="1119">
        <v>7.0704000000000002</v>
      </c>
      <c r="T198" s="1120">
        <v>27.41</v>
      </c>
      <c r="U198" s="1119">
        <v>0.88997000000000004</v>
      </c>
      <c r="V198" s="1119">
        <v>0.88659999999999983</v>
      </c>
    </row>
    <row r="199" spans="4:22">
      <c r="D199" s="1119">
        <v>0.83879999999999955</v>
      </c>
      <c r="E199" s="1119">
        <v>0.84236</v>
      </c>
      <c r="F199" s="1120">
        <v>36.39</v>
      </c>
      <c r="G199" s="1119">
        <v>7.4703999999999997</v>
      </c>
      <c r="I199" s="1119">
        <v>0.84236</v>
      </c>
      <c r="J199" s="1119">
        <v>0.83879999999999955</v>
      </c>
      <c r="K199" s="1120">
        <v>36.39</v>
      </c>
      <c r="L199" s="1119">
        <v>7.4703999999999997</v>
      </c>
      <c r="N199" s="1120">
        <v>27.42</v>
      </c>
      <c r="O199" s="1119">
        <v>7.0712000000000002</v>
      </c>
      <c r="P199" s="1119">
        <v>0.88988</v>
      </c>
      <c r="Q199" s="1119">
        <v>0.88649999999999984</v>
      </c>
      <c r="S199" s="1119">
        <v>7.0712000000000002</v>
      </c>
      <c r="T199" s="1120">
        <v>27.42</v>
      </c>
      <c r="U199" s="1119">
        <v>0.88988</v>
      </c>
      <c r="V199" s="1119">
        <v>0.88649999999999984</v>
      </c>
    </row>
    <row r="200" spans="4:22">
      <c r="D200" s="1119">
        <v>0.83889999999999953</v>
      </c>
      <c r="E200" s="1119">
        <v>0.84245999999999999</v>
      </c>
      <c r="F200" s="1120">
        <v>36.369999999999997</v>
      </c>
      <c r="G200" s="1119">
        <v>7.4695999999999998</v>
      </c>
      <c r="I200" s="1119">
        <v>0.84245999999999999</v>
      </c>
      <c r="J200" s="1119">
        <v>0.83889999999999953</v>
      </c>
      <c r="K200" s="1120">
        <v>36.369999999999997</v>
      </c>
      <c r="L200" s="1119">
        <v>7.4695999999999998</v>
      </c>
      <c r="N200" s="1120">
        <v>27.44</v>
      </c>
      <c r="O200" s="1119">
        <v>7.0719000000000003</v>
      </c>
      <c r="P200" s="1119">
        <v>0.88978000000000002</v>
      </c>
      <c r="Q200" s="1119">
        <v>0.88639999999999985</v>
      </c>
      <c r="S200" s="1119">
        <v>7.0719000000000003</v>
      </c>
      <c r="T200" s="1120">
        <v>27.44</v>
      </c>
      <c r="U200" s="1119">
        <v>0.88978000000000002</v>
      </c>
      <c r="V200" s="1119">
        <v>0.88639999999999985</v>
      </c>
    </row>
    <row r="201" spans="4:22">
      <c r="D201" s="1119">
        <v>0.83899999999999952</v>
      </c>
      <c r="E201" s="1119">
        <v>0.84255000000000002</v>
      </c>
      <c r="F201" s="1120">
        <v>36.36</v>
      </c>
      <c r="G201" s="1119">
        <v>7.4687000000000001</v>
      </c>
      <c r="I201" s="1119">
        <v>0.84255000000000002</v>
      </c>
      <c r="J201" s="1119">
        <v>0.83899999999999952</v>
      </c>
      <c r="K201" s="1120">
        <v>36.36</v>
      </c>
      <c r="L201" s="1119">
        <v>7.4687000000000001</v>
      </c>
      <c r="N201" s="1120">
        <v>27.46</v>
      </c>
      <c r="O201" s="1119">
        <v>7.0727000000000002</v>
      </c>
      <c r="P201" s="1119">
        <v>0.88968999999999998</v>
      </c>
      <c r="Q201" s="1119">
        <v>0.88629999999999987</v>
      </c>
      <c r="S201" s="1119">
        <v>7.0727000000000002</v>
      </c>
      <c r="T201" s="1120">
        <v>27.46</v>
      </c>
      <c r="U201" s="1119">
        <v>0.88968999999999998</v>
      </c>
      <c r="V201" s="1119">
        <v>0.88629999999999987</v>
      </c>
    </row>
    <row r="202" spans="4:22">
      <c r="D202" s="1119">
        <v>0.83909999999999951</v>
      </c>
      <c r="E202" s="1119">
        <v>0.84265000000000001</v>
      </c>
      <c r="F202" s="1120">
        <v>36.340000000000003</v>
      </c>
      <c r="G202" s="1119">
        <v>7.4678000000000004</v>
      </c>
      <c r="I202" s="1119">
        <v>0.84265000000000001</v>
      </c>
      <c r="J202" s="1119">
        <v>0.83909999999999951</v>
      </c>
      <c r="K202" s="1120">
        <v>36.340000000000003</v>
      </c>
      <c r="L202" s="1119">
        <v>7.4678000000000004</v>
      </c>
      <c r="N202" s="1120">
        <v>27.47</v>
      </c>
      <c r="O202" s="1119">
        <v>7.0734000000000004</v>
      </c>
      <c r="P202" s="1119">
        <v>0.88958999999999999</v>
      </c>
      <c r="Q202" s="1119">
        <v>0.88619999999999988</v>
      </c>
      <c r="S202" s="1119">
        <v>7.0734000000000004</v>
      </c>
      <c r="T202" s="1120">
        <v>27.47</v>
      </c>
      <c r="U202" s="1119">
        <v>0.88958999999999999</v>
      </c>
      <c r="V202" s="1119">
        <v>0.88619999999999988</v>
      </c>
    </row>
    <row r="203" spans="4:22">
      <c r="D203" s="1119">
        <v>0.8391999999999995</v>
      </c>
      <c r="E203" s="1119">
        <v>0.84274000000000004</v>
      </c>
      <c r="F203" s="1120">
        <v>36.32</v>
      </c>
      <c r="G203" s="1119">
        <v>7.4670000000000005</v>
      </c>
      <c r="I203" s="1119">
        <v>0.84274000000000004</v>
      </c>
      <c r="J203" s="1119">
        <v>0.8391999999999995</v>
      </c>
      <c r="K203" s="1120">
        <v>36.32</v>
      </c>
      <c r="L203" s="1119">
        <v>7.4670000000000005</v>
      </c>
      <c r="N203" s="1120">
        <v>27.49</v>
      </c>
      <c r="O203" s="1119">
        <v>7.0742000000000003</v>
      </c>
      <c r="P203" s="1119">
        <v>0.88949999999999985</v>
      </c>
      <c r="Q203" s="1119">
        <v>0.88609999999999989</v>
      </c>
      <c r="S203" s="1119">
        <v>7.0742000000000003</v>
      </c>
      <c r="T203" s="1120">
        <v>27.49</v>
      </c>
      <c r="U203" s="1119">
        <v>0.88949999999999985</v>
      </c>
      <c r="V203" s="1119">
        <v>0.88609999999999989</v>
      </c>
    </row>
    <row r="204" spans="4:22">
      <c r="D204" s="1119">
        <v>0.83929999999999949</v>
      </c>
      <c r="E204" s="1119">
        <v>0.84284000000000003</v>
      </c>
      <c r="F204" s="1120">
        <v>36.299999999999997</v>
      </c>
      <c r="G204" s="1119">
        <v>7.4661000000000008</v>
      </c>
      <c r="I204" s="1119">
        <v>0.84284000000000003</v>
      </c>
      <c r="J204" s="1119">
        <v>0.83929999999999949</v>
      </c>
      <c r="K204" s="1120">
        <v>36.299999999999997</v>
      </c>
      <c r="L204" s="1119">
        <v>7.4661000000000008</v>
      </c>
      <c r="N204" s="1120">
        <v>27.51</v>
      </c>
      <c r="O204" s="1119">
        <v>7.0749000000000004</v>
      </c>
      <c r="P204" s="1119">
        <v>0.88939999999999986</v>
      </c>
      <c r="Q204" s="1119">
        <v>0.8859999999999999</v>
      </c>
      <c r="S204" s="1119">
        <v>7.0749000000000004</v>
      </c>
      <c r="T204" s="1120">
        <v>27.51</v>
      </c>
      <c r="U204" s="1119">
        <v>0.88939999999999986</v>
      </c>
      <c r="V204" s="1119">
        <v>0.8859999999999999</v>
      </c>
    </row>
    <row r="205" spans="4:22">
      <c r="D205" s="1119">
        <v>0.83939999999999948</v>
      </c>
      <c r="E205" s="1119">
        <v>0.84292999999999996</v>
      </c>
      <c r="F205" s="1120">
        <v>36.28</v>
      </c>
      <c r="G205" s="1119">
        <v>7.4653</v>
      </c>
      <c r="I205" s="1119">
        <v>0.84292999999999996</v>
      </c>
      <c r="J205" s="1119">
        <v>0.83939999999999948</v>
      </c>
      <c r="K205" s="1120">
        <v>36.28</v>
      </c>
      <c r="L205" s="1119">
        <v>7.4653</v>
      </c>
      <c r="N205" s="1120">
        <v>27.53</v>
      </c>
      <c r="O205" s="1119">
        <v>7.0757000000000003</v>
      </c>
      <c r="P205" s="1119">
        <v>0.88929999999999987</v>
      </c>
      <c r="Q205" s="1119">
        <v>0.88589999999999991</v>
      </c>
      <c r="S205" s="1119">
        <v>7.0757000000000003</v>
      </c>
      <c r="T205" s="1120">
        <v>27.53</v>
      </c>
      <c r="U205" s="1119">
        <v>0.88929999999999987</v>
      </c>
      <c r="V205" s="1119">
        <v>0.88589999999999991</v>
      </c>
    </row>
    <row r="206" spans="4:22">
      <c r="D206" s="1119">
        <v>0.83949999999999947</v>
      </c>
      <c r="E206" s="1119">
        <v>0.84302999999999995</v>
      </c>
      <c r="F206" s="1120">
        <v>36.270000000000003</v>
      </c>
      <c r="G206" s="1119">
        <v>7.4644000000000004</v>
      </c>
      <c r="I206" s="1119">
        <v>0.84302999999999995</v>
      </c>
      <c r="J206" s="1119">
        <v>0.83949999999999947</v>
      </c>
      <c r="K206" s="1120">
        <v>36.270000000000003</v>
      </c>
      <c r="L206" s="1119">
        <v>7.4644000000000004</v>
      </c>
      <c r="N206" s="1120">
        <v>27.54</v>
      </c>
      <c r="O206" s="1119">
        <v>7.0765000000000002</v>
      </c>
      <c r="P206" s="1119">
        <v>0.88919999999999988</v>
      </c>
      <c r="Q206" s="1119">
        <v>0.88579999999999992</v>
      </c>
      <c r="S206" s="1119">
        <v>7.0765000000000002</v>
      </c>
      <c r="T206" s="1120">
        <v>27.54</v>
      </c>
      <c r="U206" s="1119">
        <v>0.88919999999999988</v>
      </c>
      <c r="V206" s="1119">
        <v>0.88579999999999992</v>
      </c>
    </row>
    <row r="207" spans="4:22">
      <c r="D207" s="1119">
        <v>0.83959999999999946</v>
      </c>
      <c r="E207" s="1119">
        <v>0.84311999999999998</v>
      </c>
      <c r="F207" s="1120">
        <v>36.25</v>
      </c>
      <c r="G207" s="1119">
        <v>7.4635999999999996</v>
      </c>
      <c r="I207" s="1119">
        <v>0.84311999999999998</v>
      </c>
      <c r="J207" s="1119">
        <v>0.83959999999999946</v>
      </c>
      <c r="K207" s="1120">
        <v>36.25</v>
      </c>
      <c r="L207" s="1119">
        <v>7.4635999999999996</v>
      </c>
      <c r="N207" s="1120">
        <v>27.56</v>
      </c>
      <c r="O207" s="1119">
        <v>7.0773000000000001</v>
      </c>
      <c r="P207" s="1119">
        <v>0.88909999999999989</v>
      </c>
      <c r="Q207" s="1119">
        <v>0.88569999999999993</v>
      </c>
      <c r="S207" s="1119">
        <v>7.0773000000000001</v>
      </c>
      <c r="T207" s="1120">
        <v>27.56</v>
      </c>
      <c r="U207" s="1119">
        <v>0.88909999999999989</v>
      </c>
      <c r="V207" s="1119">
        <v>0.88569999999999993</v>
      </c>
    </row>
    <row r="208" spans="4:22">
      <c r="D208" s="1119">
        <v>0.83969999999999945</v>
      </c>
      <c r="E208" s="1119">
        <v>0.84321999999999997</v>
      </c>
      <c r="F208" s="1120">
        <v>36.229999999999997</v>
      </c>
      <c r="G208" s="1119">
        <v>7.4626999999999999</v>
      </c>
      <c r="I208" s="1119">
        <v>0.84321999999999997</v>
      </c>
      <c r="J208" s="1119">
        <v>0.83969999999999945</v>
      </c>
      <c r="K208" s="1120">
        <v>36.229999999999997</v>
      </c>
      <c r="L208" s="1119">
        <v>7.4626999999999999</v>
      </c>
      <c r="N208" s="1120">
        <v>27.58</v>
      </c>
      <c r="O208" s="1119">
        <v>7.0781000000000001</v>
      </c>
      <c r="P208" s="1119">
        <v>0.8889999999999999</v>
      </c>
      <c r="Q208" s="1119">
        <v>0.88559999999999994</v>
      </c>
      <c r="S208" s="1119">
        <v>7.0781000000000001</v>
      </c>
      <c r="T208" s="1120">
        <v>27.58</v>
      </c>
      <c r="U208" s="1119">
        <v>0.8889999999999999</v>
      </c>
      <c r="V208" s="1119">
        <v>0.88559999999999994</v>
      </c>
    </row>
    <row r="209" spans="4:22">
      <c r="D209" s="1119">
        <v>0.83979999999999944</v>
      </c>
      <c r="E209" s="1119">
        <v>0.84331</v>
      </c>
      <c r="F209" s="1120">
        <v>36.21</v>
      </c>
      <c r="G209" s="1119">
        <v>7.4619</v>
      </c>
      <c r="I209" s="1119">
        <v>0.84331</v>
      </c>
      <c r="J209" s="1119">
        <v>0.83979999999999944</v>
      </c>
      <c r="K209" s="1120">
        <v>36.21</v>
      </c>
      <c r="L209" s="1119">
        <v>7.4619</v>
      </c>
      <c r="N209" s="1120">
        <v>27.6</v>
      </c>
      <c r="O209" s="1119">
        <v>7.0789</v>
      </c>
      <c r="P209" s="1119">
        <v>0.88889999999999991</v>
      </c>
      <c r="Q209" s="1119">
        <v>0.88549999999999995</v>
      </c>
      <c r="S209" s="1119">
        <v>7.0789</v>
      </c>
      <c r="T209" s="1120">
        <v>27.6</v>
      </c>
      <c r="U209" s="1119">
        <v>0.88889999999999991</v>
      </c>
      <c r="V209" s="1119">
        <v>0.88549999999999995</v>
      </c>
    </row>
    <row r="210" spans="4:22">
      <c r="D210" s="1119">
        <v>0.83989999999999942</v>
      </c>
      <c r="E210" s="1119">
        <v>0.84340999999999999</v>
      </c>
      <c r="F210" s="1120">
        <v>36.19</v>
      </c>
      <c r="G210" s="1119">
        <v>7.4610000000000003</v>
      </c>
      <c r="I210" s="1119">
        <v>0.84340999999999999</v>
      </c>
      <c r="J210" s="1119">
        <v>0.83989999999999942</v>
      </c>
      <c r="K210" s="1120">
        <v>36.19</v>
      </c>
      <c r="L210" s="1119">
        <v>7.4610000000000003</v>
      </c>
      <c r="N210" s="1120">
        <v>27.62</v>
      </c>
      <c r="O210" s="1119">
        <v>7.0796999999999999</v>
      </c>
      <c r="P210" s="1119">
        <v>0.88879999999999992</v>
      </c>
      <c r="Q210" s="1119">
        <v>0.88539999999999996</v>
      </c>
      <c r="S210" s="1119">
        <v>7.0796999999999999</v>
      </c>
      <c r="T210" s="1120">
        <v>27.62</v>
      </c>
      <c r="U210" s="1119">
        <v>0.88879999999999992</v>
      </c>
      <c r="V210" s="1119">
        <v>0.88539999999999996</v>
      </c>
    </row>
    <row r="211" spans="4:22">
      <c r="D211" s="1119">
        <v>0.83999999999999941</v>
      </c>
      <c r="E211" s="1119">
        <v>0.84350000000000003</v>
      </c>
      <c r="F211" s="1120">
        <v>36.17</v>
      </c>
      <c r="G211" s="1119">
        <v>7.4602000000000004</v>
      </c>
      <c r="I211" s="1119">
        <v>0.84350000000000003</v>
      </c>
      <c r="J211" s="1119">
        <v>0.83999999999999941</v>
      </c>
      <c r="K211" s="1120">
        <v>36.17</v>
      </c>
      <c r="L211" s="1119">
        <v>7.4602000000000004</v>
      </c>
      <c r="N211" s="1120">
        <v>27.63</v>
      </c>
      <c r="O211" s="1119">
        <v>7.0804999999999998</v>
      </c>
      <c r="P211" s="1119">
        <v>0.88869999999999993</v>
      </c>
      <c r="Q211" s="1119">
        <v>0.88529999999999998</v>
      </c>
      <c r="S211" s="1119">
        <v>7.0804999999999998</v>
      </c>
      <c r="T211" s="1120">
        <v>27.63</v>
      </c>
      <c r="U211" s="1119">
        <v>0.88869999999999993</v>
      </c>
      <c r="V211" s="1119">
        <v>0.88529999999999998</v>
      </c>
    </row>
    <row r="212" spans="4:22">
      <c r="D212" s="1119">
        <v>0.8400999999999994</v>
      </c>
      <c r="E212" s="1119">
        <v>0.84360000000000002</v>
      </c>
      <c r="F212" s="1120">
        <v>36.15</v>
      </c>
      <c r="G212" s="1119">
        <v>7.4593000000000007</v>
      </c>
      <c r="I212" s="1119">
        <v>0.84360000000000002</v>
      </c>
      <c r="J212" s="1119">
        <v>0.8400999999999994</v>
      </c>
      <c r="K212" s="1120">
        <v>36.15</v>
      </c>
      <c r="L212" s="1119">
        <v>7.4593000000000007</v>
      </c>
      <c r="N212" s="1120">
        <v>27.65</v>
      </c>
      <c r="O212" s="1119">
        <v>7.0812999999999997</v>
      </c>
      <c r="P212" s="1119">
        <v>0.88859999999999995</v>
      </c>
      <c r="Q212" s="1119">
        <v>0.88519999999999999</v>
      </c>
      <c r="S212" s="1119">
        <v>7.0812999999999997</v>
      </c>
      <c r="T212" s="1120">
        <v>27.65</v>
      </c>
      <c r="U212" s="1119">
        <v>0.88859999999999995</v>
      </c>
      <c r="V212" s="1119">
        <v>0.88519999999999999</v>
      </c>
    </row>
    <row r="213" spans="4:22">
      <c r="D213" s="1119">
        <v>0.84019999999999995</v>
      </c>
      <c r="E213" s="1119">
        <v>0.84370000000000001</v>
      </c>
      <c r="F213" s="1120">
        <v>36.130000000000003</v>
      </c>
      <c r="G213" s="1119">
        <v>7.458400000000001</v>
      </c>
      <c r="I213" s="1119">
        <v>0.84370000000000001</v>
      </c>
      <c r="J213" s="1119">
        <v>0.84019999999999995</v>
      </c>
      <c r="K213" s="1120">
        <v>36.130000000000003</v>
      </c>
      <c r="L213" s="1119">
        <v>7.458400000000001</v>
      </c>
      <c r="N213" s="1120">
        <v>27.67</v>
      </c>
      <c r="O213" s="1119">
        <v>7.0820999999999996</v>
      </c>
      <c r="P213" s="1119">
        <v>0.88849999999999996</v>
      </c>
      <c r="Q213" s="1119">
        <v>0.8851</v>
      </c>
      <c r="S213" s="1119">
        <v>7.0820999999999996</v>
      </c>
      <c r="T213" s="1120">
        <v>27.67</v>
      </c>
      <c r="U213" s="1119">
        <v>0.88849999999999996</v>
      </c>
      <c r="V213" s="1119">
        <v>0.8851</v>
      </c>
    </row>
    <row r="214" spans="4:22">
      <c r="D214" s="1119">
        <v>0.84029999999999994</v>
      </c>
      <c r="E214" s="1119">
        <v>0.84379999999999999</v>
      </c>
      <c r="F214" s="1120">
        <v>36.11</v>
      </c>
      <c r="G214" s="1119">
        <v>7.4574999999999996</v>
      </c>
      <c r="I214" s="1119">
        <v>0.84379999999999999</v>
      </c>
      <c r="J214" s="1119">
        <v>0.84029999999999994</v>
      </c>
      <c r="K214" s="1120">
        <v>36.11</v>
      </c>
      <c r="L214" s="1119">
        <v>7.4574999999999996</v>
      </c>
      <c r="N214" s="1120">
        <v>27.69</v>
      </c>
      <c r="O214" s="1119">
        <v>7.082900000000004</v>
      </c>
      <c r="P214" s="1119">
        <v>0.88839999999999941</v>
      </c>
      <c r="Q214" s="1119">
        <v>0.88499999999999945</v>
      </c>
      <c r="S214" s="1119">
        <v>7.082900000000004</v>
      </c>
      <c r="T214" s="1120">
        <v>27.69</v>
      </c>
      <c r="U214" s="1119">
        <v>0.88839999999999941</v>
      </c>
      <c r="V214" s="1119">
        <v>0.88499999999999945</v>
      </c>
    </row>
    <row r="215" spans="4:22">
      <c r="D215" s="1119">
        <v>0.84039999999999992</v>
      </c>
      <c r="E215" s="1119">
        <v>0.84389999999999998</v>
      </c>
      <c r="F215" s="1120">
        <v>36.090000000000003</v>
      </c>
      <c r="G215" s="1119">
        <v>7.4566000000000017</v>
      </c>
      <c r="I215" s="1119">
        <v>0.84389999999999998</v>
      </c>
      <c r="J215" s="1119">
        <v>0.84039999999999992</v>
      </c>
      <c r="K215" s="1120">
        <v>36.090000000000003</v>
      </c>
      <c r="L215" s="1119">
        <v>7.4566000000000017</v>
      </c>
      <c r="N215" s="1120">
        <v>27.71</v>
      </c>
      <c r="O215" s="1119">
        <v>7.0837000000000039</v>
      </c>
      <c r="P215" s="1119">
        <v>0.88829999999999942</v>
      </c>
      <c r="Q215" s="1119">
        <v>0.88489999999999946</v>
      </c>
      <c r="S215" s="1119">
        <v>7.0837000000000039</v>
      </c>
      <c r="T215" s="1120">
        <v>27.71</v>
      </c>
      <c r="U215" s="1119">
        <v>0.88829999999999942</v>
      </c>
      <c r="V215" s="1119">
        <v>0.88489999999999946</v>
      </c>
    </row>
    <row r="216" spans="4:22">
      <c r="D216" s="1119">
        <v>0.84049999999999991</v>
      </c>
      <c r="E216" s="1119">
        <v>0.84399999999999997</v>
      </c>
      <c r="F216" s="1120">
        <v>36.07</v>
      </c>
      <c r="G216" s="1119">
        <v>7.455700000000002</v>
      </c>
      <c r="I216" s="1119">
        <v>0.84399999999999997</v>
      </c>
      <c r="J216" s="1119">
        <v>0.84049999999999991</v>
      </c>
      <c r="K216" s="1120">
        <v>36.07</v>
      </c>
      <c r="L216" s="1119">
        <v>7.455700000000002</v>
      </c>
      <c r="N216" s="1120">
        <v>27.72</v>
      </c>
      <c r="O216" s="1119">
        <v>7.0845000000000038</v>
      </c>
      <c r="P216" s="1119">
        <v>0.88819999999999943</v>
      </c>
      <c r="Q216" s="1119">
        <v>0.88479999999999948</v>
      </c>
      <c r="S216" s="1119">
        <v>7.0845000000000038</v>
      </c>
      <c r="T216" s="1120">
        <v>27.72</v>
      </c>
      <c r="U216" s="1119">
        <v>0.88819999999999943</v>
      </c>
      <c r="V216" s="1119">
        <v>0.88479999999999948</v>
      </c>
    </row>
    <row r="217" spans="4:22">
      <c r="D217" s="1119">
        <v>0.8405999999999999</v>
      </c>
      <c r="E217" s="1119">
        <v>0.84409999999999996</v>
      </c>
      <c r="F217" s="1120">
        <v>36.049999999999997</v>
      </c>
      <c r="G217" s="1119">
        <v>7.4549000000000021</v>
      </c>
      <c r="I217" s="1119">
        <v>0.84409999999999996</v>
      </c>
      <c r="J217" s="1119">
        <v>0.8405999999999999</v>
      </c>
      <c r="K217" s="1120">
        <v>36.049999999999997</v>
      </c>
      <c r="L217" s="1119">
        <v>7.4549000000000021</v>
      </c>
      <c r="N217" s="1120">
        <v>27.74</v>
      </c>
      <c r="O217" s="1119">
        <v>7.0853000000000037</v>
      </c>
      <c r="P217" s="1119">
        <v>0.88809999999999945</v>
      </c>
      <c r="Q217" s="1119">
        <v>0.88469999999999949</v>
      </c>
      <c r="S217" s="1119">
        <v>7.0853000000000037</v>
      </c>
      <c r="T217" s="1120">
        <v>27.74</v>
      </c>
      <c r="U217" s="1119">
        <v>0.88809999999999945</v>
      </c>
      <c r="V217" s="1119">
        <v>0.88469999999999949</v>
      </c>
    </row>
    <row r="218" spans="4:22">
      <c r="D218" s="1119">
        <v>0.84069999999999989</v>
      </c>
      <c r="E218" s="1119">
        <v>0.84419999999999995</v>
      </c>
      <c r="F218" s="1120">
        <v>36.03</v>
      </c>
      <c r="G218" s="1119">
        <v>7.4541000000000004</v>
      </c>
      <c r="I218" s="1119">
        <v>0.84419999999999995</v>
      </c>
      <c r="J218" s="1119">
        <v>0.84069999999999989</v>
      </c>
      <c r="K218" s="1120">
        <v>36.03</v>
      </c>
      <c r="L218" s="1119">
        <v>7.4541000000000004</v>
      </c>
      <c r="N218" s="1120">
        <v>27.76</v>
      </c>
      <c r="O218" s="1119">
        <v>7.0861000000000036</v>
      </c>
      <c r="P218" s="1119">
        <v>0.88799999999999946</v>
      </c>
      <c r="Q218" s="1119">
        <v>0.8845999999999995</v>
      </c>
      <c r="S218" s="1119">
        <v>7.0861000000000036</v>
      </c>
      <c r="T218" s="1120">
        <v>27.76</v>
      </c>
      <c r="U218" s="1119">
        <v>0.88799999999999946</v>
      </c>
      <c r="V218" s="1119">
        <v>0.8845999999999995</v>
      </c>
    </row>
    <row r="219" spans="4:22">
      <c r="D219" s="1119">
        <v>0.84079999999999988</v>
      </c>
      <c r="E219" s="1119">
        <v>0.84429999999999994</v>
      </c>
      <c r="F219" s="1120">
        <v>36.01</v>
      </c>
      <c r="G219" s="1119">
        <v>7.4532999999999996</v>
      </c>
      <c r="I219" s="1119">
        <v>0.84429999999999994</v>
      </c>
      <c r="J219" s="1119">
        <v>0.84079999999999988</v>
      </c>
      <c r="K219" s="1120">
        <v>36.01</v>
      </c>
      <c r="L219" s="1119">
        <v>7.4532999999999996</v>
      </c>
      <c r="N219" s="1120">
        <v>27.78</v>
      </c>
      <c r="O219" s="1119">
        <v>7.0869000000000035</v>
      </c>
      <c r="P219" s="1119">
        <v>0.88789999999999947</v>
      </c>
      <c r="Q219" s="1119">
        <v>0.88449999999999951</v>
      </c>
      <c r="S219" s="1119">
        <v>7.0869000000000035</v>
      </c>
      <c r="T219" s="1120">
        <v>27.78</v>
      </c>
      <c r="U219" s="1119">
        <v>0.88789999999999947</v>
      </c>
      <c r="V219" s="1119">
        <v>0.88449999999999951</v>
      </c>
    </row>
    <row r="220" spans="4:22">
      <c r="D220" s="1119">
        <v>0.84089999999999987</v>
      </c>
      <c r="E220" s="1119">
        <v>0.84439999999999993</v>
      </c>
      <c r="F220" s="1120">
        <v>35.99</v>
      </c>
      <c r="G220" s="1119">
        <v>7.4524999999999997</v>
      </c>
      <c r="I220" s="1119">
        <v>0.84439999999999993</v>
      </c>
      <c r="J220" s="1119">
        <v>0.84089999999999987</v>
      </c>
      <c r="K220" s="1120">
        <v>35.99</v>
      </c>
      <c r="L220" s="1119">
        <v>7.4524999999999997</v>
      </c>
      <c r="N220" s="1120">
        <v>27.8</v>
      </c>
      <c r="O220" s="1119">
        <v>7.0877000000000034</v>
      </c>
      <c r="P220" s="1119">
        <v>0.88779999999999948</v>
      </c>
      <c r="Q220" s="1119">
        <v>0.88439999999999952</v>
      </c>
      <c r="S220" s="1119">
        <v>7.0877000000000034</v>
      </c>
      <c r="T220" s="1120">
        <v>27.8</v>
      </c>
      <c r="U220" s="1119">
        <v>0.88779999999999948</v>
      </c>
      <c r="V220" s="1119">
        <v>0.88439999999999952</v>
      </c>
    </row>
    <row r="221" spans="4:22">
      <c r="D221" s="1119">
        <v>0.84099999999999986</v>
      </c>
      <c r="E221" s="1119">
        <v>0.84449999999999992</v>
      </c>
      <c r="F221" s="1120">
        <v>35.97</v>
      </c>
      <c r="G221" s="1119">
        <v>7.4516999999999998</v>
      </c>
      <c r="I221" s="1119">
        <v>0.84449999999999992</v>
      </c>
      <c r="J221" s="1119">
        <v>0.84099999999999986</v>
      </c>
      <c r="K221" s="1120">
        <v>35.97</v>
      </c>
      <c r="L221" s="1119">
        <v>7.4516999999999998</v>
      </c>
      <c r="N221" s="1120">
        <v>27.81</v>
      </c>
      <c r="O221" s="1119">
        <v>7.0885000000000034</v>
      </c>
      <c r="P221" s="1119">
        <v>0.88769999999999949</v>
      </c>
      <c r="Q221" s="1119">
        <v>0.88429999999999953</v>
      </c>
      <c r="S221" s="1119">
        <v>7.0885000000000034</v>
      </c>
      <c r="T221" s="1120">
        <v>27.81</v>
      </c>
      <c r="U221" s="1119">
        <v>0.88769999999999949</v>
      </c>
      <c r="V221" s="1119">
        <v>0.88429999999999953</v>
      </c>
    </row>
    <row r="222" spans="4:22">
      <c r="D222" s="1119">
        <v>0.84109999999999985</v>
      </c>
      <c r="E222" s="1119">
        <v>0.84459999999999991</v>
      </c>
      <c r="F222" s="1120">
        <v>35.950000000000003</v>
      </c>
      <c r="G222" s="1119">
        <v>7.4508999999999999</v>
      </c>
      <c r="I222" s="1119">
        <v>0.84459999999999991</v>
      </c>
      <c r="J222" s="1119">
        <v>0.84109999999999985</v>
      </c>
      <c r="K222" s="1120">
        <v>35.950000000000003</v>
      </c>
      <c r="L222" s="1119">
        <v>7.4508999999999999</v>
      </c>
      <c r="N222" s="1120">
        <v>27.83</v>
      </c>
      <c r="O222" s="1119">
        <v>7.0893000000000033</v>
      </c>
      <c r="P222" s="1119">
        <v>0.8875999999999995</v>
      </c>
      <c r="Q222" s="1119">
        <v>0.88419999999999954</v>
      </c>
      <c r="S222" s="1119">
        <v>7.0893000000000033</v>
      </c>
      <c r="T222" s="1120">
        <v>27.83</v>
      </c>
      <c r="U222" s="1119">
        <v>0.8875999999999995</v>
      </c>
      <c r="V222" s="1119">
        <v>0.88419999999999954</v>
      </c>
    </row>
    <row r="223" spans="4:22">
      <c r="D223" s="1119">
        <v>0.84119999999999984</v>
      </c>
      <c r="E223" s="1119">
        <v>0.8446999999999999</v>
      </c>
      <c r="F223" s="1120">
        <v>35.93</v>
      </c>
      <c r="G223" s="1119">
        <v>7.4500999999999999</v>
      </c>
      <c r="I223" s="1119">
        <v>0.8446999999999999</v>
      </c>
      <c r="J223" s="1119">
        <v>0.84119999999999984</v>
      </c>
      <c r="K223" s="1120">
        <v>35.93</v>
      </c>
      <c r="L223" s="1119">
        <v>7.4500999999999999</v>
      </c>
      <c r="N223" s="1120">
        <v>27.85</v>
      </c>
      <c r="O223" s="1119">
        <v>7.0901000000000032</v>
      </c>
      <c r="P223" s="1119">
        <v>0.88749999999999996</v>
      </c>
      <c r="Q223" s="1119">
        <v>0.88409999999999955</v>
      </c>
      <c r="S223" s="1119">
        <v>7.0901000000000032</v>
      </c>
      <c r="T223" s="1120">
        <v>27.85</v>
      </c>
      <c r="U223" s="1119">
        <v>0.88749999999999996</v>
      </c>
      <c r="V223" s="1119">
        <v>0.88409999999999955</v>
      </c>
    </row>
    <row r="224" spans="4:22">
      <c r="D224" s="1119">
        <v>0.84129999999999983</v>
      </c>
      <c r="E224" s="1119">
        <v>0.84479999999999988</v>
      </c>
      <c r="F224" s="1120">
        <v>35.909999999999997</v>
      </c>
      <c r="G224" s="1119">
        <v>7.4493</v>
      </c>
      <c r="I224" s="1119">
        <v>0.84479999999999988</v>
      </c>
      <c r="J224" s="1119">
        <v>0.84129999999999983</v>
      </c>
      <c r="K224" s="1120">
        <v>35.909999999999997</v>
      </c>
      <c r="L224" s="1119">
        <v>7.4493</v>
      </c>
      <c r="N224" s="1120">
        <v>27.87</v>
      </c>
      <c r="O224" s="1119">
        <v>7.0909000000000031</v>
      </c>
      <c r="P224" s="1119">
        <v>0.88739999999999952</v>
      </c>
      <c r="Q224" s="1119">
        <v>0.88399999999999956</v>
      </c>
      <c r="S224" s="1119">
        <v>7.0909000000000031</v>
      </c>
      <c r="T224" s="1120">
        <v>27.87</v>
      </c>
      <c r="U224" s="1119">
        <v>0.88739999999999952</v>
      </c>
      <c r="V224" s="1119">
        <v>0.88399999999999956</v>
      </c>
    </row>
    <row r="225" spans="4:22">
      <c r="D225" s="1119">
        <v>0.84139999999999981</v>
      </c>
      <c r="E225" s="1119">
        <v>0.84489999999999987</v>
      </c>
      <c r="F225" s="1120">
        <v>35.89</v>
      </c>
      <c r="G225" s="1119">
        <v>7.4485000000000001</v>
      </c>
      <c r="I225" s="1119">
        <v>0.84489999999999987</v>
      </c>
      <c r="J225" s="1119">
        <v>0.84139999999999981</v>
      </c>
      <c r="K225" s="1120">
        <v>35.89</v>
      </c>
      <c r="L225" s="1119">
        <v>7.4485000000000001</v>
      </c>
      <c r="N225" s="1120">
        <v>27.89</v>
      </c>
      <c r="O225" s="1119">
        <v>7.091700000000003</v>
      </c>
      <c r="P225" s="1119">
        <v>0.88729999999999953</v>
      </c>
      <c r="Q225" s="1119">
        <v>0.88389999999999957</v>
      </c>
      <c r="S225" s="1119">
        <v>7.091700000000003</v>
      </c>
      <c r="T225" s="1120">
        <v>27.89</v>
      </c>
      <c r="U225" s="1119">
        <v>0.88729999999999953</v>
      </c>
      <c r="V225" s="1119">
        <v>0.88389999999999957</v>
      </c>
    </row>
    <row r="226" spans="4:22">
      <c r="D226" s="1119">
        <v>0.8414999999999998</v>
      </c>
      <c r="E226" s="1119">
        <v>0.84499999999999997</v>
      </c>
      <c r="F226" s="1120">
        <v>35.869999999999997</v>
      </c>
      <c r="G226" s="1119">
        <v>7.4477000000000002</v>
      </c>
      <c r="I226" s="1119">
        <v>0.84499999999999997</v>
      </c>
      <c r="J226" s="1119">
        <v>0.8414999999999998</v>
      </c>
      <c r="K226" s="1120">
        <v>35.869999999999997</v>
      </c>
      <c r="L226" s="1119">
        <v>7.4477000000000002</v>
      </c>
      <c r="N226" s="1120">
        <v>27.9</v>
      </c>
      <c r="O226" s="1119">
        <v>7.0925000000000002</v>
      </c>
      <c r="P226" s="1119">
        <v>0.88719999999999954</v>
      </c>
      <c r="Q226" s="1119">
        <v>0.88379999999999959</v>
      </c>
      <c r="S226" s="1119">
        <v>7.0925000000000002</v>
      </c>
      <c r="T226" s="1120">
        <v>27.9</v>
      </c>
      <c r="U226" s="1119">
        <v>0.88719999999999954</v>
      </c>
      <c r="V226" s="1119">
        <v>0.88379999999999959</v>
      </c>
    </row>
    <row r="227" spans="4:22">
      <c r="D227" s="1119">
        <v>0.84159999999999979</v>
      </c>
      <c r="E227" s="1119">
        <v>0.84509999999999985</v>
      </c>
      <c r="F227" s="1120">
        <v>35.85</v>
      </c>
      <c r="G227" s="1119">
        <v>7.4467999999999996</v>
      </c>
      <c r="I227" s="1119">
        <v>0.84509999999999985</v>
      </c>
      <c r="J227" s="1119">
        <v>0.84159999999999979</v>
      </c>
      <c r="K227" s="1120">
        <v>35.85</v>
      </c>
      <c r="L227" s="1119">
        <v>7.4467999999999996</v>
      </c>
      <c r="N227" s="1120">
        <v>27.92</v>
      </c>
      <c r="O227" s="1119">
        <v>7.0933000000000028</v>
      </c>
      <c r="P227" s="1119">
        <v>0.88709999999999956</v>
      </c>
      <c r="Q227" s="1119">
        <v>0.8836999999999996</v>
      </c>
      <c r="S227" s="1119">
        <v>7.0933000000000028</v>
      </c>
      <c r="T227" s="1120">
        <v>27.92</v>
      </c>
      <c r="U227" s="1119">
        <v>0.88709999999999956</v>
      </c>
      <c r="V227" s="1119">
        <v>0.8836999999999996</v>
      </c>
    </row>
    <row r="228" spans="4:22">
      <c r="D228" s="1119">
        <v>0.84169999999999978</v>
      </c>
      <c r="E228" s="1119">
        <v>0.84519999999999984</v>
      </c>
      <c r="F228" s="1120">
        <v>35.83</v>
      </c>
      <c r="G228" s="1119">
        <v>7.4459</v>
      </c>
      <c r="I228" s="1119">
        <v>0.84519999999999984</v>
      </c>
      <c r="J228" s="1119">
        <v>0.84169999999999978</v>
      </c>
      <c r="K228" s="1120">
        <v>35.83</v>
      </c>
      <c r="L228" s="1119">
        <v>7.4459</v>
      </c>
      <c r="N228" s="1120">
        <v>27.94</v>
      </c>
      <c r="O228" s="1119">
        <v>7.0941000000000027</v>
      </c>
      <c r="P228" s="1119">
        <v>0.88699999999999957</v>
      </c>
      <c r="Q228" s="1119">
        <v>0.88359999999999961</v>
      </c>
      <c r="S228" s="1119">
        <v>7.0941000000000027</v>
      </c>
      <c r="T228" s="1120">
        <v>27.94</v>
      </c>
      <c r="U228" s="1119">
        <v>0.88699999999999957</v>
      </c>
      <c r="V228" s="1119">
        <v>0.88359999999999961</v>
      </c>
    </row>
    <row r="229" spans="4:22">
      <c r="D229" s="1119">
        <v>0.84179999999999977</v>
      </c>
      <c r="E229" s="1119">
        <v>0.84529999999999983</v>
      </c>
      <c r="F229" s="1120">
        <v>35.81</v>
      </c>
      <c r="G229" s="1119">
        <v>7.4450000000000003</v>
      </c>
      <c r="I229" s="1119">
        <v>0.84529999999999983</v>
      </c>
      <c r="J229" s="1119">
        <v>0.84179999999999977</v>
      </c>
      <c r="K229" s="1120">
        <v>35.81</v>
      </c>
      <c r="L229" s="1119">
        <v>7.4450000000000003</v>
      </c>
      <c r="N229" s="1120">
        <v>27.96</v>
      </c>
      <c r="O229" s="1119">
        <v>7.0949000000000026</v>
      </c>
      <c r="P229" s="1119">
        <v>0.88689999999999958</v>
      </c>
      <c r="Q229" s="1119">
        <v>0.88349999999999962</v>
      </c>
      <c r="S229" s="1119">
        <v>7.0949000000000026</v>
      </c>
      <c r="T229" s="1120">
        <v>27.96</v>
      </c>
      <c r="U229" s="1119">
        <v>0.88689999999999958</v>
      </c>
      <c r="V229" s="1119">
        <v>0.88349999999999962</v>
      </c>
    </row>
    <row r="230" spans="4:22">
      <c r="D230" s="1119">
        <v>0.84189999999999976</v>
      </c>
      <c r="E230" s="1119">
        <v>0.84539999999999982</v>
      </c>
      <c r="F230" s="1120">
        <v>35.79</v>
      </c>
      <c r="G230" s="1119">
        <v>7.4441000000000006</v>
      </c>
      <c r="I230" s="1119">
        <v>0.84539999999999982</v>
      </c>
      <c r="J230" s="1119">
        <v>0.84189999999999976</v>
      </c>
      <c r="K230" s="1120">
        <v>35.79</v>
      </c>
      <c r="L230" s="1119">
        <v>7.4441000000000006</v>
      </c>
      <c r="N230" s="1120">
        <v>27.98</v>
      </c>
      <c r="O230" s="1119">
        <v>7.0957000000000026</v>
      </c>
      <c r="P230" s="1119">
        <v>0.88679999999999959</v>
      </c>
      <c r="Q230" s="1119">
        <v>0.88339999999999963</v>
      </c>
      <c r="S230" s="1119">
        <v>7.0957000000000026</v>
      </c>
      <c r="T230" s="1120">
        <v>27.98</v>
      </c>
      <c r="U230" s="1119">
        <v>0.88679999999999959</v>
      </c>
      <c r="V230" s="1119">
        <v>0.88339999999999963</v>
      </c>
    </row>
    <row r="231" spans="4:22">
      <c r="D231" s="1119">
        <v>0.84199999999999975</v>
      </c>
      <c r="E231" s="1119">
        <v>0.84550000000000003</v>
      </c>
      <c r="F231" s="1120">
        <v>35.770000000000003</v>
      </c>
      <c r="G231" s="1119">
        <v>7.4432000000000009</v>
      </c>
      <c r="I231" s="1119">
        <v>0.84550000000000003</v>
      </c>
      <c r="J231" s="1119">
        <v>0.84199999999999975</v>
      </c>
      <c r="K231" s="1120">
        <v>35.770000000000003</v>
      </c>
      <c r="L231" s="1119">
        <v>7.4432000000000009</v>
      </c>
      <c r="N231" s="1120">
        <v>27.99</v>
      </c>
      <c r="O231" s="1119">
        <v>7.0965000000000025</v>
      </c>
      <c r="P231" s="1119">
        <v>0.8866999999999996</v>
      </c>
      <c r="Q231" s="1119">
        <v>0.88329999999999964</v>
      </c>
      <c r="S231" s="1119">
        <v>7.0965000000000025</v>
      </c>
      <c r="T231" s="1120">
        <v>27.99</v>
      </c>
      <c r="U231" s="1119">
        <v>0.8866999999999996</v>
      </c>
      <c r="V231" s="1119">
        <v>0.88329999999999964</v>
      </c>
    </row>
    <row r="232" spans="4:22">
      <c r="D232" s="1119">
        <v>0.84209999999999974</v>
      </c>
      <c r="E232" s="1119">
        <v>0.84560000000000002</v>
      </c>
      <c r="F232" s="1120">
        <v>35.75</v>
      </c>
      <c r="G232" s="1119">
        <v>7.4423000000000012</v>
      </c>
      <c r="I232" s="1119">
        <v>0.84560000000000002</v>
      </c>
      <c r="J232" s="1119">
        <v>0.84209999999999974</v>
      </c>
      <c r="K232" s="1120">
        <v>35.75</v>
      </c>
      <c r="L232" s="1119">
        <v>7.4423000000000012</v>
      </c>
      <c r="N232" s="1120">
        <v>28.01</v>
      </c>
      <c r="O232" s="1119">
        <v>7.0973000000000024</v>
      </c>
      <c r="P232" s="1119">
        <v>0.88659999999999961</v>
      </c>
      <c r="Q232" s="1119">
        <v>0.88319999999999965</v>
      </c>
      <c r="S232" s="1119">
        <v>7.0973000000000024</v>
      </c>
      <c r="T232" s="1120">
        <v>28.01</v>
      </c>
      <c r="U232" s="1119">
        <v>0.88659999999999961</v>
      </c>
      <c r="V232" s="1119">
        <v>0.88319999999999965</v>
      </c>
    </row>
    <row r="233" spans="4:22">
      <c r="D233" s="1119">
        <v>0.84219999999999973</v>
      </c>
      <c r="E233" s="1119">
        <v>0.84570000000000001</v>
      </c>
      <c r="F233" s="1120">
        <v>35.729999999999997</v>
      </c>
      <c r="G233" s="1119">
        <v>7.4414000000000016</v>
      </c>
      <c r="I233" s="1119">
        <v>0.84570000000000001</v>
      </c>
      <c r="J233" s="1119">
        <v>0.84219999999999973</v>
      </c>
      <c r="K233" s="1120">
        <v>35.729999999999997</v>
      </c>
      <c r="L233" s="1119">
        <v>7.4414000000000016</v>
      </c>
      <c r="N233" s="1120">
        <v>28.03</v>
      </c>
      <c r="O233" s="1119">
        <v>7.0981000000000023</v>
      </c>
      <c r="P233" s="1119">
        <v>0.88649999999999962</v>
      </c>
      <c r="Q233" s="1119">
        <v>0.88309999999999966</v>
      </c>
      <c r="S233" s="1119">
        <v>7.0981000000000023</v>
      </c>
      <c r="T233" s="1120">
        <v>28.03</v>
      </c>
      <c r="U233" s="1119">
        <v>0.88649999999999962</v>
      </c>
      <c r="V233" s="1119">
        <v>0.88309999999999966</v>
      </c>
    </row>
    <row r="234" spans="4:22">
      <c r="D234" s="1119">
        <v>0.84229999999999972</v>
      </c>
      <c r="E234" s="1119">
        <v>0.8458</v>
      </c>
      <c r="F234" s="1120">
        <v>35.71</v>
      </c>
      <c r="G234" s="1119">
        <v>7.4405000000000019</v>
      </c>
      <c r="I234" s="1119">
        <v>0.8458</v>
      </c>
      <c r="J234" s="1119">
        <v>0.84229999999999972</v>
      </c>
      <c r="K234" s="1120">
        <v>35.71</v>
      </c>
      <c r="L234" s="1119">
        <v>7.4405000000000019</v>
      </c>
      <c r="N234" s="1120">
        <v>28.05</v>
      </c>
      <c r="O234" s="1119">
        <v>7.0989000000000022</v>
      </c>
      <c r="P234" s="1119">
        <v>0.88639999999999963</v>
      </c>
      <c r="Q234" s="1119">
        <v>0.88299999999999967</v>
      </c>
      <c r="S234" s="1119">
        <v>7.0989000000000022</v>
      </c>
      <c r="T234" s="1120">
        <v>28.05</v>
      </c>
      <c r="U234" s="1119">
        <v>0.88639999999999963</v>
      </c>
      <c r="V234" s="1119">
        <v>0.88299999999999967</v>
      </c>
    </row>
    <row r="235" spans="4:22">
      <c r="D235" s="1119">
        <v>0.8423999999999997</v>
      </c>
      <c r="E235" s="1119">
        <v>0.84589999999999999</v>
      </c>
      <c r="F235" s="1120">
        <v>35.69</v>
      </c>
      <c r="G235" s="1119">
        <v>7.4396000000000022</v>
      </c>
      <c r="I235" s="1119">
        <v>0.84589999999999999</v>
      </c>
      <c r="J235" s="1119">
        <v>0.8423999999999997</v>
      </c>
      <c r="K235" s="1120">
        <v>35.69</v>
      </c>
      <c r="L235" s="1119">
        <v>7.4396000000000022</v>
      </c>
      <c r="N235" s="1120">
        <v>28.07</v>
      </c>
      <c r="O235" s="1119">
        <v>7.0997000000000021</v>
      </c>
      <c r="P235" s="1119">
        <v>0.88629999999999964</v>
      </c>
      <c r="Q235" s="1119">
        <v>0.88289999999999969</v>
      </c>
      <c r="S235" s="1119">
        <v>7.0997000000000021</v>
      </c>
      <c r="T235" s="1120">
        <v>28.07</v>
      </c>
      <c r="U235" s="1119">
        <v>0.88629999999999964</v>
      </c>
      <c r="V235" s="1119">
        <v>0.88289999999999969</v>
      </c>
    </row>
    <row r="236" spans="4:22">
      <c r="D236" s="1119">
        <v>0.84250000000000003</v>
      </c>
      <c r="E236" s="1119">
        <v>0.84599999999999997</v>
      </c>
      <c r="F236" s="1120">
        <v>35.67</v>
      </c>
      <c r="G236" s="1119">
        <v>7.4387000000000025</v>
      </c>
      <c r="I236" s="1119">
        <v>0.84599999999999997</v>
      </c>
      <c r="J236" s="1119">
        <v>0.84250000000000003</v>
      </c>
      <c r="K236" s="1120">
        <v>35.67</v>
      </c>
      <c r="L236" s="1119">
        <v>7.4387000000000025</v>
      </c>
      <c r="N236" s="1120">
        <v>28.08</v>
      </c>
      <c r="O236" s="1119">
        <v>7.100500000000002</v>
      </c>
      <c r="P236" s="1119">
        <v>0.88619999999999965</v>
      </c>
      <c r="Q236" s="1119">
        <v>0.8827999999999997</v>
      </c>
      <c r="S236" s="1119">
        <v>7.100500000000002</v>
      </c>
      <c r="T236" s="1120">
        <v>28.08</v>
      </c>
      <c r="U236" s="1119">
        <v>0.88619999999999965</v>
      </c>
      <c r="V236" s="1119">
        <v>0.8827999999999997</v>
      </c>
    </row>
    <row r="237" spans="4:22">
      <c r="D237" s="1119">
        <v>0.84259999999999968</v>
      </c>
      <c r="E237" s="1119">
        <v>0.84609999999999996</v>
      </c>
      <c r="F237" s="1120">
        <v>35.65</v>
      </c>
      <c r="G237" s="1119">
        <v>7.4378000000000029</v>
      </c>
      <c r="I237" s="1119">
        <v>0.84609999999999996</v>
      </c>
      <c r="J237" s="1119">
        <v>0.84259999999999968</v>
      </c>
      <c r="K237" s="1120">
        <v>35.65</v>
      </c>
      <c r="L237" s="1119">
        <v>7.4378000000000029</v>
      </c>
      <c r="N237" s="1120">
        <v>28.1</v>
      </c>
      <c r="O237" s="1119">
        <v>7.1013000000000019</v>
      </c>
      <c r="P237" s="1119">
        <v>0.88609999999999967</v>
      </c>
      <c r="Q237" s="1119">
        <v>0.88269999999999971</v>
      </c>
      <c r="S237" s="1119">
        <v>7.1013000000000019</v>
      </c>
      <c r="T237" s="1120">
        <v>28.1</v>
      </c>
      <c r="U237" s="1119">
        <v>0.88609999999999967</v>
      </c>
      <c r="V237" s="1119">
        <v>0.88269999999999971</v>
      </c>
    </row>
    <row r="238" spans="4:22">
      <c r="D238" s="1119">
        <v>0.84269999999999967</v>
      </c>
      <c r="E238" s="1119">
        <v>0.84619999999999995</v>
      </c>
      <c r="F238" s="1120">
        <v>35.630000000000003</v>
      </c>
      <c r="G238" s="1119">
        <v>7.4369000000000032</v>
      </c>
      <c r="I238" s="1119">
        <v>0.84619999999999995</v>
      </c>
      <c r="J238" s="1119">
        <v>0.84269999999999967</v>
      </c>
      <c r="K238" s="1120">
        <v>35.630000000000003</v>
      </c>
      <c r="L238" s="1119">
        <v>7.4369000000000032</v>
      </c>
      <c r="N238" s="1120">
        <v>28.12</v>
      </c>
      <c r="O238" s="1119">
        <v>7.1021000000000019</v>
      </c>
      <c r="P238" s="1119">
        <v>0.88599999999999968</v>
      </c>
      <c r="Q238" s="1119">
        <v>0.88259999999999972</v>
      </c>
      <c r="S238" s="1119">
        <v>7.1021000000000019</v>
      </c>
      <c r="T238" s="1120">
        <v>28.12</v>
      </c>
      <c r="U238" s="1119">
        <v>0.88599999999999968</v>
      </c>
      <c r="V238" s="1119">
        <v>0.88259999999999972</v>
      </c>
    </row>
    <row r="239" spans="4:22">
      <c r="D239" s="1119">
        <v>0.84279999999999966</v>
      </c>
      <c r="E239" s="1119">
        <v>0.84629999999999994</v>
      </c>
      <c r="F239" s="1120">
        <v>35.61</v>
      </c>
      <c r="G239" s="1119">
        <v>7.4360000000000035</v>
      </c>
      <c r="I239" s="1119">
        <v>0.84629999999999994</v>
      </c>
      <c r="J239" s="1119">
        <v>0.84279999999999966</v>
      </c>
      <c r="K239" s="1120">
        <v>35.61</v>
      </c>
      <c r="L239" s="1119">
        <v>7.4360000000000035</v>
      </c>
      <c r="N239" s="1120">
        <v>28.14</v>
      </c>
      <c r="O239" s="1119">
        <v>7.1029000000000018</v>
      </c>
      <c r="P239" s="1119">
        <v>0.88589999999999969</v>
      </c>
      <c r="Q239" s="1119">
        <v>0.88249999999999995</v>
      </c>
      <c r="S239" s="1119">
        <v>7.1029000000000018</v>
      </c>
      <c r="T239" s="1120">
        <v>28.14</v>
      </c>
      <c r="U239" s="1119">
        <v>0.88589999999999969</v>
      </c>
      <c r="V239" s="1119">
        <v>0.88249999999999995</v>
      </c>
    </row>
    <row r="240" spans="4:22">
      <c r="D240" s="1119">
        <v>0.84289999999999965</v>
      </c>
      <c r="E240" s="1119">
        <v>0.84639999999999993</v>
      </c>
      <c r="F240" s="1120">
        <v>35.590000000000003</v>
      </c>
      <c r="G240" s="1119">
        <v>7.4351000000000038</v>
      </c>
      <c r="I240" s="1119">
        <v>0.84639999999999993</v>
      </c>
      <c r="J240" s="1119">
        <v>0.84289999999999965</v>
      </c>
      <c r="K240" s="1120">
        <v>35.590000000000003</v>
      </c>
      <c r="L240" s="1119">
        <v>7.4351000000000038</v>
      </c>
      <c r="N240" s="1120">
        <v>28.16</v>
      </c>
      <c r="O240" s="1119">
        <v>7.1037000000000017</v>
      </c>
      <c r="P240" s="1119">
        <v>0.8857999999999997</v>
      </c>
      <c r="Q240" s="1119">
        <v>0.88239999999999974</v>
      </c>
      <c r="S240" s="1119">
        <v>7.1037000000000017</v>
      </c>
      <c r="T240" s="1120">
        <v>28.16</v>
      </c>
      <c r="U240" s="1119">
        <v>0.8857999999999997</v>
      </c>
      <c r="V240" s="1119">
        <v>0.88239999999999974</v>
      </c>
    </row>
    <row r="241" spans="4:22">
      <c r="D241" s="1119">
        <v>0.84299999999999964</v>
      </c>
      <c r="E241" s="1119">
        <v>0.84649999999999992</v>
      </c>
      <c r="F241" s="1120">
        <v>35.57</v>
      </c>
      <c r="G241" s="1119">
        <v>7.4342000000000041</v>
      </c>
      <c r="I241" s="1119">
        <v>0.84649999999999992</v>
      </c>
      <c r="J241" s="1119">
        <v>0.84299999999999964</v>
      </c>
      <c r="K241" s="1120">
        <v>35.57</v>
      </c>
      <c r="L241" s="1119">
        <v>7.4342000000000041</v>
      </c>
      <c r="N241" s="1120">
        <v>28.17</v>
      </c>
      <c r="O241" s="1119">
        <v>7.1045000000000016</v>
      </c>
      <c r="P241" s="1119">
        <v>0.88569999999999971</v>
      </c>
      <c r="Q241" s="1119">
        <v>0.88229999999999975</v>
      </c>
      <c r="S241" s="1119">
        <v>7.1045000000000016</v>
      </c>
      <c r="T241" s="1120">
        <v>28.17</v>
      </c>
      <c r="U241" s="1119">
        <v>0.88569999999999971</v>
      </c>
      <c r="V241" s="1119">
        <v>0.88229999999999975</v>
      </c>
    </row>
    <row r="242" spans="4:22">
      <c r="D242" s="1119">
        <v>0.84309999999999963</v>
      </c>
      <c r="E242" s="1119">
        <v>0.84659999999999991</v>
      </c>
      <c r="F242" s="1120">
        <v>35.549999999999997</v>
      </c>
      <c r="G242" s="1119">
        <v>7.4333000000000045</v>
      </c>
      <c r="I242" s="1119">
        <v>0.84659999999999991</v>
      </c>
      <c r="J242" s="1119">
        <v>0.84309999999999963</v>
      </c>
      <c r="K242" s="1120">
        <v>35.549999999999997</v>
      </c>
      <c r="L242" s="1119">
        <v>7.4333000000000045</v>
      </c>
      <c r="N242" s="1120">
        <v>28.19</v>
      </c>
      <c r="O242" s="1119">
        <v>7.1053000000000015</v>
      </c>
      <c r="P242" s="1119">
        <v>0.88559999999999972</v>
      </c>
      <c r="Q242" s="1119">
        <v>0.88219999999999976</v>
      </c>
      <c r="S242" s="1119">
        <v>7.1053000000000015</v>
      </c>
      <c r="T242" s="1120">
        <v>28.19</v>
      </c>
      <c r="U242" s="1119">
        <v>0.88559999999999972</v>
      </c>
      <c r="V242" s="1119">
        <v>0.88219999999999976</v>
      </c>
    </row>
    <row r="243" spans="4:22">
      <c r="D243" s="1119">
        <v>0.84319999999999962</v>
      </c>
      <c r="E243" s="1119">
        <v>0.8466999999999999</v>
      </c>
      <c r="F243" s="1120">
        <v>35.53</v>
      </c>
      <c r="G243" s="1119">
        <v>7.4324000000000048</v>
      </c>
      <c r="I243" s="1119">
        <v>0.8466999999999999</v>
      </c>
      <c r="J243" s="1119">
        <v>0.84319999999999962</v>
      </c>
      <c r="K243" s="1120">
        <v>35.53</v>
      </c>
      <c r="L243" s="1119">
        <v>7.4324000000000048</v>
      </c>
      <c r="N243" s="1120">
        <v>28.21</v>
      </c>
      <c r="O243" s="1119">
        <v>7.1061000000000014</v>
      </c>
      <c r="P243" s="1119">
        <v>0.88549999999999973</v>
      </c>
      <c r="Q243" s="1119">
        <v>0.88209999999999977</v>
      </c>
      <c r="S243" s="1119">
        <v>7.1061000000000014</v>
      </c>
      <c r="T243" s="1120">
        <v>28.21</v>
      </c>
      <c r="U243" s="1119">
        <v>0.88549999999999973</v>
      </c>
      <c r="V243" s="1119">
        <v>0.88209999999999977</v>
      </c>
    </row>
    <row r="244" spans="4:22">
      <c r="D244" s="1119">
        <v>0.84329999999999961</v>
      </c>
      <c r="E244" s="1119">
        <v>0.84679999999999989</v>
      </c>
      <c r="F244" s="1120">
        <v>35.51</v>
      </c>
      <c r="G244" s="1119">
        <v>7.4315000000000051</v>
      </c>
      <c r="I244" s="1119">
        <v>0.84679999999999989</v>
      </c>
      <c r="J244" s="1119">
        <v>0.84329999999999961</v>
      </c>
      <c r="K244" s="1120">
        <v>35.51</v>
      </c>
      <c r="L244" s="1119">
        <v>7.4315000000000051</v>
      </c>
      <c r="N244" s="1120">
        <v>28.23</v>
      </c>
      <c r="O244" s="1119">
        <v>7.1069000000000013</v>
      </c>
      <c r="P244" s="1119">
        <v>0.88539999999999974</v>
      </c>
      <c r="Q244" s="1119">
        <v>0.88199999999999978</v>
      </c>
      <c r="S244" s="1119">
        <v>7.1069000000000013</v>
      </c>
      <c r="T244" s="1120">
        <v>28.23</v>
      </c>
      <c r="U244" s="1119">
        <v>0.88539999999999974</v>
      </c>
      <c r="V244" s="1119">
        <v>0.88199999999999978</v>
      </c>
    </row>
    <row r="245" spans="4:22">
      <c r="D245" s="1119">
        <v>0.84339999999999959</v>
      </c>
      <c r="E245" s="1119">
        <v>0.84689999999999988</v>
      </c>
      <c r="F245" s="1120">
        <v>35.49</v>
      </c>
      <c r="G245" s="1119">
        <v>7.4306000000000054</v>
      </c>
      <c r="I245" s="1119">
        <v>0.84689999999999988</v>
      </c>
      <c r="J245" s="1119">
        <v>0.84339999999999959</v>
      </c>
      <c r="K245" s="1120">
        <v>35.49</v>
      </c>
      <c r="L245" s="1119">
        <v>7.4306000000000054</v>
      </c>
      <c r="N245" s="1120">
        <v>28.25</v>
      </c>
      <c r="O245" s="1119">
        <v>7.1077000000000012</v>
      </c>
      <c r="P245" s="1119">
        <v>0.88529999999999975</v>
      </c>
      <c r="Q245" s="1119">
        <v>0.8818999999999998</v>
      </c>
      <c r="S245" s="1119">
        <v>7.1077000000000012</v>
      </c>
      <c r="T245" s="1120">
        <v>28.25</v>
      </c>
      <c r="U245" s="1119">
        <v>0.88529999999999975</v>
      </c>
      <c r="V245" s="1119">
        <v>0.8818999999999998</v>
      </c>
    </row>
    <row r="246" spans="4:22">
      <c r="D246" s="1119">
        <v>0.84349999999999958</v>
      </c>
      <c r="E246" s="1119">
        <v>0.84699999999999986</v>
      </c>
      <c r="F246" s="1120">
        <v>35.47</v>
      </c>
      <c r="G246" s="1119">
        <v>7.4297000000000057</v>
      </c>
      <c r="I246" s="1119">
        <v>0.84699999999999986</v>
      </c>
      <c r="J246" s="1119">
        <v>0.84349999999999958</v>
      </c>
      <c r="K246" s="1120">
        <v>35.47</v>
      </c>
      <c r="L246" s="1119">
        <v>7.4297000000000057</v>
      </c>
      <c r="N246" s="1120">
        <v>28.26</v>
      </c>
      <c r="O246" s="1119">
        <v>7.1085000000000012</v>
      </c>
      <c r="P246" s="1119">
        <v>0.88519999999999976</v>
      </c>
      <c r="Q246" s="1119">
        <v>0.88179999999999981</v>
      </c>
      <c r="S246" s="1119">
        <v>7.1085000000000012</v>
      </c>
      <c r="T246" s="1120">
        <v>28.26</v>
      </c>
      <c r="U246" s="1119">
        <v>0.88519999999999976</v>
      </c>
      <c r="V246" s="1119">
        <v>0.88179999999999981</v>
      </c>
    </row>
    <row r="247" spans="4:22">
      <c r="D247" s="1119">
        <v>0.84359999999999957</v>
      </c>
      <c r="E247" s="1119">
        <v>0.84709999999999985</v>
      </c>
      <c r="F247" s="1120">
        <v>35.450000000000003</v>
      </c>
      <c r="G247" s="1119">
        <v>7.4288000000000061</v>
      </c>
      <c r="I247" s="1119">
        <v>0.84709999999999985</v>
      </c>
      <c r="J247" s="1119">
        <v>0.84359999999999957</v>
      </c>
      <c r="K247" s="1120">
        <v>35.450000000000003</v>
      </c>
      <c r="L247" s="1119">
        <v>7.4288000000000061</v>
      </c>
      <c r="N247" s="1120">
        <v>28.28</v>
      </c>
      <c r="O247" s="1119">
        <v>7.1093000000000011</v>
      </c>
      <c r="P247" s="1119">
        <v>0.88509999999999978</v>
      </c>
      <c r="Q247" s="1119">
        <v>0.88169999999999982</v>
      </c>
      <c r="S247" s="1119">
        <v>7.1093000000000011</v>
      </c>
      <c r="T247" s="1120">
        <v>28.28</v>
      </c>
      <c r="U247" s="1119">
        <v>0.88509999999999978</v>
      </c>
      <c r="V247" s="1119">
        <v>0.88169999999999982</v>
      </c>
    </row>
    <row r="248" spans="4:22">
      <c r="D248" s="1119">
        <v>0.84369999999999956</v>
      </c>
      <c r="E248" s="1119">
        <v>0.84719999999999984</v>
      </c>
      <c r="F248" s="1120">
        <v>35.43</v>
      </c>
      <c r="G248" s="1119">
        <v>7.4279000000000064</v>
      </c>
      <c r="I248" s="1119">
        <v>0.84719999999999984</v>
      </c>
      <c r="J248" s="1119">
        <v>0.84369999999999956</v>
      </c>
      <c r="K248" s="1120">
        <v>35.43</v>
      </c>
      <c r="L248" s="1119">
        <v>7.4279000000000064</v>
      </c>
      <c r="N248" s="1120">
        <v>28.3</v>
      </c>
      <c r="O248" s="1119">
        <v>7.110100000000001</v>
      </c>
      <c r="P248" s="1119">
        <v>0.88500000000000001</v>
      </c>
      <c r="Q248" s="1119">
        <v>0.88159999999999983</v>
      </c>
      <c r="S248" s="1119">
        <v>7.110100000000001</v>
      </c>
      <c r="T248" s="1120">
        <v>28.3</v>
      </c>
      <c r="U248" s="1119">
        <v>0.88500000000000001</v>
      </c>
      <c r="V248" s="1119">
        <v>0.88159999999999983</v>
      </c>
    </row>
    <row r="249" spans="4:22">
      <c r="D249" s="1119">
        <v>0.84379999999999955</v>
      </c>
      <c r="E249" s="1119">
        <v>0.84729999999999983</v>
      </c>
      <c r="F249" s="1120">
        <v>35.409999999999997</v>
      </c>
      <c r="G249" s="1119">
        <v>7.4270000000000067</v>
      </c>
      <c r="I249" s="1119">
        <v>0.84729999999999983</v>
      </c>
      <c r="J249" s="1119">
        <v>0.84379999999999955</v>
      </c>
      <c r="K249" s="1120">
        <v>35.409999999999997</v>
      </c>
      <c r="L249" s="1119">
        <v>7.4270000000000067</v>
      </c>
      <c r="N249" s="1120">
        <v>28.32</v>
      </c>
      <c r="O249" s="1119">
        <v>7.1109000000000009</v>
      </c>
      <c r="P249" s="1119">
        <v>0.8848999999999998</v>
      </c>
      <c r="Q249" s="1119">
        <v>0.88149999999999984</v>
      </c>
      <c r="S249" s="1119">
        <v>7.1109000000000009</v>
      </c>
      <c r="T249" s="1120">
        <v>28.32</v>
      </c>
      <c r="U249" s="1119">
        <v>0.8848999999999998</v>
      </c>
      <c r="V249" s="1119">
        <v>0.88149999999999984</v>
      </c>
    </row>
    <row r="250" spans="4:22">
      <c r="D250" s="1119">
        <v>0.84389999999999954</v>
      </c>
      <c r="E250" s="1119">
        <v>0.84739999999999982</v>
      </c>
      <c r="F250" s="1120">
        <v>35.39</v>
      </c>
      <c r="G250" s="1119">
        <v>7.426100000000007</v>
      </c>
      <c r="I250" s="1119">
        <v>0.84739999999999982</v>
      </c>
      <c r="J250" s="1119">
        <v>0.84389999999999954</v>
      </c>
      <c r="K250" s="1120">
        <v>35.39</v>
      </c>
      <c r="L250" s="1119">
        <v>7.426100000000007</v>
      </c>
      <c r="N250" s="1120">
        <v>28.34</v>
      </c>
      <c r="O250" s="1119">
        <v>7.1117000000000008</v>
      </c>
      <c r="P250" s="1119">
        <v>0.88479999999999981</v>
      </c>
      <c r="Q250" s="1119">
        <v>0.88139999999999985</v>
      </c>
      <c r="S250" s="1119">
        <v>7.1117000000000008</v>
      </c>
      <c r="T250" s="1120">
        <v>28.34</v>
      </c>
      <c r="U250" s="1119">
        <v>0.88479999999999981</v>
      </c>
      <c r="V250" s="1119">
        <v>0.88139999999999985</v>
      </c>
    </row>
    <row r="251" spans="4:22">
      <c r="D251" s="1119">
        <v>0.84399999999999953</v>
      </c>
      <c r="E251" s="1119">
        <v>0.84750000000000003</v>
      </c>
      <c r="F251" s="1120">
        <v>35.380000000000003</v>
      </c>
      <c r="G251" s="1119">
        <v>7.4252000000000073</v>
      </c>
      <c r="I251" s="1119">
        <v>0.84750000000000003</v>
      </c>
      <c r="J251" s="1119">
        <v>0.84399999999999953</v>
      </c>
      <c r="K251" s="1120">
        <v>35.380000000000003</v>
      </c>
      <c r="L251" s="1119">
        <v>7.4252000000000073</v>
      </c>
      <c r="N251" s="1120">
        <v>28.35</v>
      </c>
      <c r="O251" s="1119">
        <v>7.1124999999999998</v>
      </c>
      <c r="P251" s="1119">
        <v>0.88469999999999982</v>
      </c>
      <c r="Q251" s="1119">
        <v>0.88129999999999986</v>
      </c>
      <c r="S251" s="1119">
        <v>7.1124999999999998</v>
      </c>
      <c r="T251" s="1120">
        <v>28.35</v>
      </c>
      <c r="U251" s="1119">
        <v>0.88469999999999982</v>
      </c>
      <c r="V251" s="1119">
        <v>0.88129999999999986</v>
      </c>
    </row>
    <row r="252" spans="4:22">
      <c r="D252" s="1119">
        <v>0.84409999999999952</v>
      </c>
      <c r="E252" s="1119">
        <v>0.8475999999999998</v>
      </c>
      <c r="F252" s="1120">
        <v>35.36</v>
      </c>
      <c r="G252" s="1119">
        <v>7.4243000000000077</v>
      </c>
      <c r="I252" s="1119">
        <v>0.8475999999999998</v>
      </c>
      <c r="J252" s="1119">
        <v>0.84409999999999952</v>
      </c>
      <c r="K252" s="1120">
        <v>35.36</v>
      </c>
      <c r="L252" s="1119">
        <v>7.4243000000000077</v>
      </c>
      <c r="N252" s="1120">
        <v>28.37</v>
      </c>
      <c r="O252" s="1119">
        <v>7.1133000000000006</v>
      </c>
      <c r="P252" s="1119">
        <v>0.88459999999999983</v>
      </c>
      <c r="Q252" s="1119">
        <v>0.88119999999999987</v>
      </c>
      <c r="S252" s="1119">
        <v>7.1133000000000006</v>
      </c>
      <c r="T252" s="1120">
        <v>28.37</v>
      </c>
      <c r="U252" s="1119">
        <v>0.88459999999999983</v>
      </c>
      <c r="V252" s="1119">
        <v>0.88119999999999987</v>
      </c>
    </row>
    <row r="253" spans="4:22">
      <c r="D253" s="1119">
        <v>0.84419999999999951</v>
      </c>
      <c r="E253" s="1119">
        <v>0.84769999999999979</v>
      </c>
      <c r="F253" s="1120">
        <v>35.340000000000003</v>
      </c>
      <c r="G253" s="1119">
        <v>7.423400000000008</v>
      </c>
      <c r="I253" s="1119">
        <v>0.84769999999999979</v>
      </c>
      <c r="J253" s="1119">
        <v>0.84419999999999951</v>
      </c>
      <c r="K253" s="1120">
        <v>35.340000000000003</v>
      </c>
      <c r="L253" s="1119">
        <v>7.423400000000008</v>
      </c>
      <c r="N253" s="1120">
        <v>28.39</v>
      </c>
      <c r="O253" s="1119">
        <v>7.1141000000000005</v>
      </c>
      <c r="P253" s="1119">
        <v>0.88449999999999984</v>
      </c>
      <c r="Q253" s="1119">
        <v>0.88109999999999988</v>
      </c>
      <c r="S253" s="1119">
        <v>7.1141000000000005</v>
      </c>
      <c r="T253" s="1120">
        <v>28.39</v>
      </c>
      <c r="U253" s="1119">
        <v>0.88449999999999984</v>
      </c>
      <c r="V253" s="1119">
        <v>0.88109999999999988</v>
      </c>
    </row>
    <row r="254" spans="4:22">
      <c r="D254" s="1121">
        <v>0.8442999999999995</v>
      </c>
      <c r="E254" s="1121">
        <v>0.84779999999999978</v>
      </c>
      <c r="F254" s="1122">
        <v>35.32</v>
      </c>
      <c r="G254" s="1121">
        <v>7.4225000000000083</v>
      </c>
      <c r="I254" s="1121">
        <v>0.84779999999999978</v>
      </c>
      <c r="J254" s="1121">
        <v>0.8442999999999995</v>
      </c>
      <c r="K254" s="1122">
        <v>35.32</v>
      </c>
      <c r="L254" s="1121">
        <v>7.4225000000000083</v>
      </c>
      <c r="N254" s="1122">
        <v>28.41</v>
      </c>
      <c r="O254" s="1121">
        <v>7.1149000000000004</v>
      </c>
      <c r="P254" s="1121">
        <v>0.88439999999999985</v>
      </c>
      <c r="Q254" s="1121">
        <v>0.88099999999999989</v>
      </c>
      <c r="S254" s="1121">
        <v>7.1149000000000004</v>
      </c>
      <c r="T254" s="1122">
        <v>28.41</v>
      </c>
      <c r="U254" s="1121">
        <v>0.88439999999999985</v>
      </c>
      <c r="V254" s="1121">
        <v>0.88099999999999989</v>
      </c>
    </row>
    <row r="255" spans="4:22">
      <c r="D255" s="1119">
        <v>0.84439999999999948</v>
      </c>
      <c r="E255" s="1119">
        <v>0.84789999999999976</v>
      </c>
      <c r="F255" s="1120">
        <v>35.299999999999997</v>
      </c>
      <c r="G255" s="1119">
        <v>7.4216000000000086</v>
      </c>
      <c r="I255" s="1119">
        <v>0.84789999999999976</v>
      </c>
      <c r="J255" s="1119">
        <v>0.84439999999999948</v>
      </c>
      <c r="K255" s="1120">
        <v>35.299999999999997</v>
      </c>
      <c r="L255" s="1119">
        <v>7.4216000000000086</v>
      </c>
      <c r="N255" s="1120">
        <v>28.43</v>
      </c>
      <c r="O255" s="1119">
        <v>7.1157000000000004</v>
      </c>
      <c r="P255" s="1119">
        <v>0.88429999999999986</v>
      </c>
      <c r="Q255" s="1119">
        <v>0.88089999999999991</v>
      </c>
      <c r="S255" s="1119">
        <v>7.1157000000000004</v>
      </c>
      <c r="T255" s="1120">
        <v>28.43</v>
      </c>
      <c r="U255" s="1119">
        <v>0.88429999999999986</v>
      </c>
      <c r="V255" s="1119">
        <v>0.88089999999999991</v>
      </c>
    </row>
    <row r="256" spans="4:22">
      <c r="D256" s="1119">
        <v>0.84449999999999947</v>
      </c>
      <c r="E256" s="1119">
        <v>0.84799999999999975</v>
      </c>
      <c r="F256" s="1120">
        <v>35.28</v>
      </c>
      <c r="G256" s="1119">
        <v>7.420700000000009</v>
      </c>
      <c r="I256" s="1119">
        <v>0.84799999999999975</v>
      </c>
      <c r="J256" s="1119">
        <v>0.84449999999999947</v>
      </c>
      <c r="K256" s="1120">
        <v>35.28</v>
      </c>
      <c r="L256" s="1119">
        <v>7.420700000000009</v>
      </c>
      <c r="N256" s="1120">
        <v>28.44</v>
      </c>
      <c r="O256" s="1119">
        <v>7.1165000000000003</v>
      </c>
      <c r="P256" s="1119">
        <v>0.88419999999999987</v>
      </c>
      <c r="Q256" s="1119">
        <v>0.88079999999999992</v>
      </c>
      <c r="S256" s="1119">
        <v>7.1165000000000003</v>
      </c>
      <c r="T256" s="1120">
        <v>28.44</v>
      </c>
      <c r="U256" s="1119">
        <v>0.88419999999999987</v>
      </c>
      <c r="V256" s="1119">
        <v>0.88079999999999992</v>
      </c>
    </row>
    <row r="257" spans="4:22">
      <c r="D257" s="1119">
        <v>0.84459999999999946</v>
      </c>
      <c r="E257" s="1119">
        <v>0.84809999999999974</v>
      </c>
      <c r="F257" s="1120">
        <v>35.26</v>
      </c>
      <c r="G257" s="1119">
        <v>7.4198000000000093</v>
      </c>
      <c r="I257" s="1119">
        <v>0.84809999999999974</v>
      </c>
      <c r="J257" s="1119">
        <v>0.84459999999999946</v>
      </c>
      <c r="K257" s="1120">
        <v>35.26</v>
      </c>
      <c r="L257" s="1119">
        <v>7.4198000000000093</v>
      </c>
      <c r="N257" s="1120">
        <v>28.46</v>
      </c>
      <c r="O257" s="1119">
        <v>7.1173000000000002</v>
      </c>
      <c r="P257" s="1119">
        <v>0.88409999999999989</v>
      </c>
      <c r="Q257" s="1119">
        <v>0.88069999999999993</v>
      </c>
      <c r="S257" s="1119">
        <v>7.1173000000000002</v>
      </c>
      <c r="T257" s="1120">
        <v>28.46</v>
      </c>
      <c r="U257" s="1119">
        <v>0.88409999999999989</v>
      </c>
      <c r="V257" s="1119">
        <v>0.88069999999999993</v>
      </c>
    </row>
    <row r="258" spans="4:22">
      <c r="D258" s="1119">
        <v>0.84469999999999945</v>
      </c>
      <c r="E258" s="1119">
        <v>0.84819999999999973</v>
      </c>
      <c r="F258" s="1120">
        <v>35.24</v>
      </c>
      <c r="G258" s="1119">
        <v>7.4189000000000096</v>
      </c>
      <c r="I258" s="1119">
        <v>0.84819999999999973</v>
      </c>
      <c r="J258" s="1119">
        <v>0.84469999999999945</v>
      </c>
      <c r="K258" s="1120">
        <v>35.24</v>
      </c>
      <c r="L258" s="1119">
        <v>7.4189000000000096</v>
      </c>
      <c r="N258" s="1120">
        <v>28.48</v>
      </c>
      <c r="O258" s="1119">
        <v>7.1181000000000001</v>
      </c>
      <c r="P258" s="1119">
        <v>0.8839999999999999</v>
      </c>
      <c r="Q258" s="1119">
        <v>0.88059999999999994</v>
      </c>
      <c r="S258" s="1119">
        <v>7.1181000000000001</v>
      </c>
      <c r="T258" s="1120">
        <v>28.48</v>
      </c>
      <c r="U258" s="1119">
        <v>0.8839999999999999</v>
      </c>
      <c r="V258" s="1119">
        <v>0.88059999999999994</v>
      </c>
    </row>
    <row r="259" spans="4:22">
      <c r="D259" s="1119">
        <v>0.84479999999999944</v>
      </c>
      <c r="E259" s="1119">
        <v>0.84829999999999972</v>
      </c>
      <c r="F259" s="1120">
        <v>35.22</v>
      </c>
      <c r="G259" s="1119">
        <v>7.4180000000000099</v>
      </c>
      <c r="I259" s="1119">
        <v>0.84829999999999972</v>
      </c>
      <c r="J259" s="1119">
        <v>0.84479999999999944</v>
      </c>
      <c r="K259" s="1120">
        <v>35.22</v>
      </c>
      <c r="L259" s="1119">
        <v>7.4180000000000099</v>
      </c>
      <c r="N259" s="1120">
        <v>28.5</v>
      </c>
      <c r="O259" s="1119">
        <v>7.1189</v>
      </c>
      <c r="P259" s="1119">
        <v>0.88389999999999991</v>
      </c>
      <c r="Q259" s="1119">
        <v>0.88049999999999995</v>
      </c>
      <c r="S259" s="1119">
        <v>7.1189</v>
      </c>
      <c r="T259" s="1120">
        <v>28.5</v>
      </c>
      <c r="U259" s="1119">
        <v>0.88389999999999991</v>
      </c>
      <c r="V259" s="1119">
        <v>0.88049999999999995</v>
      </c>
    </row>
    <row r="260" spans="4:22">
      <c r="D260" s="1119">
        <v>0.84489999999999943</v>
      </c>
      <c r="E260" s="1119">
        <v>0.84839999999999971</v>
      </c>
      <c r="F260" s="1120">
        <v>35.200000000000003</v>
      </c>
      <c r="G260" s="1119">
        <v>7.4171000000000102</v>
      </c>
      <c r="I260" s="1119">
        <v>0.84839999999999971</v>
      </c>
      <c r="J260" s="1119">
        <v>0.84489999999999943</v>
      </c>
      <c r="K260" s="1120">
        <v>35.200000000000003</v>
      </c>
      <c r="L260" s="1119">
        <v>7.4171000000000102</v>
      </c>
      <c r="N260" s="1120">
        <v>28.52</v>
      </c>
      <c r="O260" s="1119">
        <v>7.1196999999999999</v>
      </c>
      <c r="P260" s="1119">
        <v>0.88379999999999992</v>
      </c>
      <c r="Q260" s="1119">
        <v>0.88039999999999996</v>
      </c>
      <c r="S260" s="1119">
        <v>7.1196999999999999</v>
      </c>
      <c r="T260" s="1120">
        <v>28.52</v>
      </c>
      <c r="U260" s="1119">
        <v>0.88379999999999992</v>
      </c>
      <c r="V260" s="1119">
        <v>0.88039999999999996</v>
      </c>
    </row>
    <row r="261" spans="4:22">
      <c r="D261" s="1119">
        <v>0.84499999999999942</v>
      </c>
      <c r="E261" s="1119">
        <v>0.8484999999999997</v>
      </c>
      <c r="F261" s="1120">
        <v>35.18</v>
      </c>
      <c r="G261" s="1119">
        <v>7.4162000000000106</v>
      </c>
      <c r="I261" s="1119">
        <v>0.8484999999999997</v>
      </c>
      <c r="J261" s="1119">
        <v>0.84499999999999942</v>
      </c>
      <c r="K261" s="1120">
        <v>35.18</v>
      </c>
      <c r="L261" s="1119">
        <v>7.4162000000000106</v>
      </c>
      <c r="N261" s="1120">
        <v>28.53</v>
      </c>
      <c r="O261" s="1119">
        <v>7.1204999999999998</v>
      </c>
      <c r="P261" s="1119">
        <v>0.88369999999999993</v>
      </c>
      <c r="Q261" s="1119">
        <v>0.88029999999999997</v>
      </c>
      <c r="S261" s="1119">
        <v>7.1204999999999998</v>
      </c>
      <c r="T261" s="1120">
        <v>28.53</v>
      </c>
      <c r="U261" s="1119">
        <v>0.88369999999999993</v>
      </c>
      <c r="V261" s="1119">
        <v>0.88029999999999997</v>
      </c>
    </row>
    <row r="262" spans="4:22">
      <c r="D262" s="1119">
        <v>0.84509999999999996</v>
      </c>
      <c r="E262" s="1119">
        <v>0.84860000000000002</v>
      </c>
      <c r="F262" s="1120">
        <v>35.159999999999997</v>
      </c>
      <c r="G262" s="1119">
        <v>7.4153000000000002</v>
      </c>
      <c r="I262" s="1119">
        <v>0.84860000000000002</v>
      </c>
      <c r="J262" s="1119">
        <v>0.84509999999999996</v>
      </c>
      <c r="K262" s="1120">
        <v>35.159999999999997</v>
      </c>
      <c r="L262" s="1119">
        <v>7.4153000000000002</v>
      </c>
      <c r="N262" s="1120">
        <v>28.55</v>
      </c>
      <c r="O262" s="1119">
        <v>7.1212999999999997</v>
      </c>
      <c r="P262" s="1119">
        <v>0.88359999999999994</v>
      </c>
      <c r="Q262" s="1119">
        <v>0.88019999999999998</v>
      </c>
      <c r="S262" s="1119">
        <v>7.1212999999999997</v>
      </c>
      <c r="T262" s="1120">
        <v>28.55</v>
      </c>
      <c r="U262" s="1119">
        <v>0.88359999999999994</v>
      </c>
      <c r="V262" s="1119">
        <v>0.88019999999999998</v>
      </c>
    </row>
    <row r="263" spans="4:22">
      <c r="D263" s="1119">
        <v>0.84519999999999995</v>
      </c>
      <c r="E263" s="1119">
        <v>0.84870000000000001</v>
      </c>
      <c r="F263" s="1120">
        <v>35.14</v>
      </c>
      <c r="G263" s="1119">
        <v>7.4144000000000005</v>
      </c>
      <c r="I263" s="1119">
        <v>0.84870000000000001</v>
      </c>
      <c r="J263" s="1119">
        <v>0.84519999999999995</v>
      </c>
      <c r="K263" s="1120">
        <v>35.14</v>
      </c>
      <c r="L263" s="1119">
        <v>7.4144000000000005</v>
      </c>
      <c r="N263" s="1120">
        <v>28.57</v>
      </c>
      <c r="O263" s="1119">
        <v>7.1220999999999997</v>
      </c>
      <c r="P263" s="1119">
        <v>0.88349999999999995</v>
      </c>
      <c r="Q263" s="1119">
        <v>0.88009999999999999</v>
      </c>
      <c r="S263" s="1119">
        <v>7.1220999999999997</v>
      </c>
      <c r="T263" s="1120">
        <v>28.57</v>
      </c>
      <c r="U263" s="1119">
        <v>0.88349999999999995</v>
      </c>
      <c r="V263" s="1119">
        <v>0.88009999999999999</v>
      </c>
    </row>
    <row r="264" spans="4:22">
      <c r="D264" s="1119">
        <v>0.84529999999999994</v>
      </c>
      <c r="E264" s="1119">
        <v>0.8488</v>
      </c>
      <c r="F264" s="1120">
        <v>35.119999999999997</v>
      </c>
      <c r="G264" s="1119">
        <v>7.4135000000000009</v>
      </c>
      <c r="I264" s="1119">
        <v>0.8488</v>
      </c>
      <c r="J264" s="1119">
        <v>0.84529999999999994</v>
      </c>
      <c r="K264" s="1120">
        <v>35.119999999999997</v>
      </c>
      <c r="L264" s="1119">
        <v>7.4135000000000009</v>
      </c>
      <c r="N264" s="1120">
        <v>28.59</v>
      </c>
      <c r="O264" s="1119">
        <v>7.1228999999999996</v>
      </c>
      <c r="P264" s="1119">
        <v>0.88339999999999996</v>
      </c>
      <c r="Q264" s="1119">
        <v>0.88</v>
      </c>
      <c r="S264" s="1119">
        <v>7.1228999999999996</v>
      </c>
      <c r="T264" s="1120">
        <v>28.59</v>
      </c>
      <c r="U264" s="1119">
        <v>0.88339999999999996</v>
      </c>
      <c r="V264" s="1119">
        <v>0.88</v>
      </c>
    </row>
    <row r="265" spans="4:22">
      <c r="D265" s="1119">
        <v>0.84539999999999993</v>
      </c>
      <c r="E265" s="1119">
        <v>0.84889999999999999</v>
      </c>
      <c r="F265" s="1120">
        <v>35.1</v>
      </c>
      <c r="G265" s="1119">
        <v>7.4126000000000012</v>
      </c>
      <c r="I265" s="1119">
        <v>0.84889999999999999</v>
      </c>
      <c r="J265" s="1119">
        <v>0.84539999999999993</v>
      </c>
      <c r="K265" s="1120">
        <v>35.1</v>
      </c>
      <c r="L265" s="1119">
        <v>7.4126000000000012</v>
      </c>
      <c r="N265" s="1120">
        <v>28.61</v>
      </c>
      <c r="O265" s="1119">
        <v>7.123700000000003</v>
      </c>
      <c r="P265" s="1119">
        <v>0.88329999999999942</v>
      </c>
      <c r="Q265" s="1119">
        <v>0.87989999999999946</v>
      </c>
      <c r="S265" s="1119">
        <v>7.123700000000003</v>
      </c>
      <c r="T265" s="1120">
        <v>28.61</v>
      </c>
      <c r="U265" s="1119">
        <v>0.88329999999999942</v>
      </c>
      <c r="V265" s="1119">
        <v>0.87989999999999946</v>
      </c>
    </row>
    <row r="266" spans="4:22">
      <c r="D266" s="1119">
        <v>0.84549999999999992</v>
      </c>
      <c r="E266" s="1119">
        <v>0.84899999999999998</v>
      </c>
      <c r="F266" s="1120">
        <v>35.08</v>
      </c>
      <c r="G266" s="1119">
        <v>7.4117000000000015</v>
      </c>
      <c r="I266" s="1119">
        <v>0.84899999999999998</v>
      </c>
      <c r="J266" s="1119">
        <v>0.84549999999999992</v>
      </c>
      <c r="K266" s="1120">
        <v>35.08</v>
      </c>
      <c r="L266" s="1119">
        <v>7.4117000000000015</v>
      </c>
      <c r="N266" s="1120">
        <v>28.62</v>
      </c>
      <c r="O266" s="1119">
        <v>7.1245000000000029</v>
      </c>
      <c r="P266" s="1119">
        <v>0.88319999999999943</v>
      </c>
      <c r="Q266" s="1119">
        <v>0.87979999999999947</v>
      </c>
      <c r="S266" s="1119">
        <v>7.1245000000000029</v>
      </c>
      <c r="T266" s="1120">
        <v>28.62</v>
      </c>
      <c r="U266" s="1119">
        <v>0.88319999999999943</v>
      </c>
      <c r="V266" s="1119">
        <v>0.87979999999999947</v>
      </c>
    </row>
    <row r="267" spans="4:22">
      <c r="D267" s="1119">
        <v>0.84559999999999991</v>
      </c>
      <c r="E267" s="1119">
        <v>0.84909999999999997</v>
      </c>
      <c r="F267" s="1120">
        <v>35.06</v>
      </c>
      <c r="G267" s="1119">
        <v>7.4109000000000016</v>
      </c>
      <c r="I267" s="1119">
        <v>0.84909999999999997</v>
      </c>
      <c r="J267" s="1119">
        <v>0.84559999999999991</v>
      </c>
      <c r="K267" s="1120">
        <v>35.06</v>
      </c>
      <c r="L267" s="1119">
        <v>7.4109000000000016</v>
      </c>
      <c r="N267" s="1120">
        <v>28.64</v>
      </c>
      <c r="O267" s="1119">
        <v>7.1253000000000029</v>
      </c>
      <c r="P267" s="1119">
        <v>0.88309999999999944</v>
      </c>
      <c r="Q267" s="1119">
        <v>0.87969999999999948</v>
      </c>
      <c r="S267" s="1119">
        <v>7.1253000000000029</v>
      </c>
      <c r="T267" s="1120">
        <v>28.64</v>
      </c>
      <c r="U267" s="1119">
        <v>0.88309999999999944</v>
      </c>
      <c r="V267" s="1119">
        <v>0.87969999999999948</v>
      </c>
    </row>
    <row r="268" spans="4:22">
      <c r="D268" s="1119">
        <v>0.8456999999999999</v>
      </c>
      <c r="E268" s="1119">
        <v>0.84919999999999995</v>
      </c>
      <c r="F268" s="1120">
        <v>35.04</v>
      </c>
      <c r="G268" s="1119">
        <v>7.4101000000000017</v>
      </c>
      <c r="I268" s="1119">
        <v>0.84919999999999995</v>
      </c>
      <c r="J268" s="1119">
        <v>0.8456999999999999</v>
      </c>
      <c r="K268" s="1120">
        <v>35.04</v>
      </c>
      <c r="L268" s="1119">
        <v>7.4101000000000017</v>
      </c>
      <c r="N268" s="1120">
        <v>28.66</v>
      </c>
      <c r="O268" s="1119">
        <v>7.1261000000000028</v>
      </c>
      <c r="P268" s="1119">
        <v>0.88299999999999945</v>
      </c>
      <c r="Q268" s="1119">
        <v>0.87959999999999949</v>
      </c>
      <c r="S268" s="1119">
        <v>7.1261000000000028</v>
      </c>
      <c r="T268" s="1120">
        <v>28.66</v>
      </c>
      <c r="U268" s="1119">
        <v>0.88299999999999945</v>
      </c>
      <c r="V268" s="1119">
        <v>0.87959999999999949</v>
      </c>
    </row>
    <row r="269" spans="4:22">
      <c r="D269" s="1119">
        <v>0.84579999999999989</v>
      </c>
      <c r="E269" s="1119">
        <v>0.84929999999999994</v>
      </c>
      <c r="F269" s="1120">
        <v>35.020000000000003</v>
      </c>
      <c r="G269" s="1119">
        <v>7.4093000000000018</v>
      </c>
      <c r="I269" s="1119">
        <v>0.84929999999999994</v>
      </c>
      <c r="J269" s="1119">
        <v>0.84579999999999989</v>
      </c>
      <c r="K269" s="1120">
        <v>35.020000000000003</v>
      </c>
      <c r="L269" s="1119">
        <v>7.4093000000000018</v>
      </c>
      <c r="N269" s="1120">
        <v>28.68</v>
      </c>
      <c r="O269" s="1119">
        <v>7.1269000000000027</v>
      </c>
      <c r="P269" s="1119">
        <v>0.88289999999999946</v>
      </c>
      <c r="Q269" s="1119">
        <v>0.8794999999999995</v>
      </c>
      <c r="S269" s="1119">
        <v>7.1269000000000027</v>
      </c>
      <c r="T269" s="1120">
        <v>28.68</v>
      </c>
      <c r="U269" s="1119">
        <v>0.88289999999999946</v>
      </c>
      <c r="V269" s="1119">
        <v>0.8794999999999995</v>
      </c>
    </row>
    <row r="270" spans="4:22">
      <c r="D270" s="1119">
        <v>0.84589999999999987</v>
      </c>
      <c r="E270" s="1119">
        <v>0.84939999999999993</v>
      </c>
      <c r="F270" s="1120">
        <v>35</v>
      </c>
      <c r="G270" s="1119">
        <v>7.4085000000000019</v>
      </c>
      <c r="I270" s="1119">
        <v>0.84939999999999993</v>
      </c>
      <c r="J270" s="1119">
        <v>0.84589999999999987</v>
      </c>
      <c r="K270" s="1120">
        <v>35</v>
      </c>
      <c r="L270" s="1119">
        <v>7.4085000000000019</v>
      </c>
      <c r="N270" s="1120">
        <v>28.7</v>
      </c>
      <c r="O270" s="1119">
        <v>7.1277000000000026</v>
      </c>
      <c r="P270" s="1119">
        <v>0.88279999999999947</v>
      </c>
      <c r="Q270" s="1119">
        <v>0.87939999999999952</v>
      </c>
      <c r="S270" s="1119">
        <v>7.1277000000000026</v>
      </c>
      <c r="T270" s="1120">
        <v>28.7</v>
      </c>
      <c r="U270" s="1119">
        <v>0.88279999999999947</v>
      </c>
      <c r="V270" s="1119">
        <v>0.87939999999999952</v>
      </c>
    </row>
    <row r="271" spans="4:22">
      <c r="D271" s="1119">
        <v>0.84599999999999986</v>
      </c>
      <c r="E271" s="1119">
        <v>0.84949999999999992</v>
      </c>
      <c r="F271" s="1120">
        <v>34.979999999999997</v>
      </c>
      <c r="G271" s="1119">
        <v>7.4077000000000019</v>
      </c>
      <c r="I271" s="1119">
        <v>0.84949999999999992</v>
      </c>
      <c r="J271" s="1119">
        <v>0.84599999999999986</v>
      </c>
      <c r="K271" s="1120">
        <v>34.979999999999997</v>
      </c>
      <c r="L271" s="1119">
        <v>7.4077000000000019</v>
      </c>
      <c r="N271" s="1120">
        <v>28.71</v>
      </c>
      <c r="O271" s="1119">
        <v>7.1285000000000025</v>
      </c>
      <c r="P271" s="1119">
        <v>0.88269999999999949</v>
      </c>
      <c r="Q271" s="1119">
        <v>0.87929999999999953</v>
      </c>
      <c r="S271" s="1119">
        <v>7.1285000000000025</v>
      </c>
      <c r="T271" s="1120">
        <v>28.71</v>
      </c>
      <c r="U271" s="1119">
        <v>0.88269999999999949</v>
      </c>
      <c r="V271" s="1119">
        <v>0.87929999999999953</v>
      </c>
    </row>
    <row r="272" spans="4:22">
      <c r="D272" s="1119">
        <v>0.84609999999999985</v>
      </c>
      <c r="E272" s="1119">
        <v>0.84959999999999991</v>
      </c>
      <c r="F272" s="1120">
        <v>34.96</v>
      </c>
      <c r="G272" s="1119">
        <v>7.406900000000002</v>
      </c>
      <c r="I272" s="1119">
        <v>0.84959999999999991</v>
      </c>
      <c r="J272" s="1119">
        <v>0.84609999999999985</v>
      </c>
      <c r="K272" s="1120">
        <v>34.96</v>
      </c>
      <c r="L272" s="1119">
        <v>7.406900000000002</v>
      </c>
      <c r="N272" s="1120">
        <v>28.73</v>
      </c>
      <c r="O272" s="1119">
        <v>7.1293000000000024</v>
      </c>
      <c r="P272" s="1119">
        <v>0.8825999999999995</v>
      </c>
      <c r="Q272" s="1119">
        <v>0.87919999999999954</v>
      </c>
      <c r="S272" s="1119">
        <v>7.1293000000000024</v>
      </c>
      <c r="T272" s="1120">
        <v>28.73</v>
      </c>
      <c r="U272" s="1119">
        <v>0.8825999999999995</v>
      </c>
      <c r="V272" s="1119">
        <v>0.87919999999999954</v>
      </c>
    </row>
    <row r="273" spans="4:22">
      <c r="D273" s="1119">
        <v>0.84619999999999984</v>
      </c>
      <c r="E273" s="1119">
        <v>0.8496999999999999</v>
      </c>
      <c r="F273" s="1120">
        <v>34.94</v>
      </c>
      <c r="G273" s="1119">
        <v>7.4061000000000021</v>
      </c>
      <c r="I273" s="1119">
        <v>0.8496999999999999</v>
      </c>
      <c r="J273" s="1119">
        <v>0.84619999999999984</v>
      </c>
      <c r="K273" s="1120">
        <v>34.94</v>
      </c>
      <c r="L273" s="1119">
        <v>7.4061000000000021</v>
      </c>
      <c r="N273" s="1120">
        <v>28.75</v>
      </c>
      <c r="O273" s="1119">
        <v>7.1301000000000023</v>
      </c>
      <c r="P273" s="1119">
        <v>0.88249999999999995</v>
      </c>
      <c r="Q273" s="1119">
        <v>0.87909999999999955</v>
      </c>
      <c r="S273" s="1119">
        <v>7.1301000000000023</v>
      </c>
      <c r="T273" s="1120">
        <v>28.75</v>
      </c>
      <c r="U273" s="1119">
        <v>0.88249999999999995</v>
      </c>
      <c r="V273" s="1119">
        <v>0.87909999999999955</v>
      </c>
    </row>
    <row r="274" spans="4:22">
      <c r="D274" s="1119">
        <v>0.84629999999999983</v>
      </c>
      <c r="E274" s="1119">
        <v>0.84979999999999989</v>
      </c>
      <c r="F274" s="1120">
        <v>34.92</v>
      </c>
      <c r="G274" s="1119">
        <v>7.4053000000000022</v>
      </c>
      <c r="I274" s="1119">
        <v>0.84979999999999989</v>
      </c>
      <c r="J274" s="1119">
        <v>0.84629999999999983</v>
      </c>
      <c r="K274" s="1120">
        <v>34.92</v>
      </c>
      <c r="L274" s="1119">
        <v>7.4053000000000022</v>
      </c>
      <c r="N274" s="1120">
        <v>28.77</v>
      </c>
      <c r="O274" s="1119">
        <v>7.1309000000000022</v>
      </c>
      <c r="P274" s="1119">
        <v>0.88239999999999952</v>
      </c>
      <c r="Q274" s="1119">
        <v>0.87899999999999956</v>
      </c>
      <c r="S274" s="1119">
        <v>7.1309000000000022</v>
      </c>
      <c r="T274" s="1120">
        <v>28.77</v>
      </c>
      <c r="U274" s="1119">
        <v>0.88239999999999952</v>
      </c>
      <c r="V274" s="1119">
        <v>0.87899999999999956</v>
      </c>
    </row>
    <row r="275" spans="4:22">
      <c r="D275" s="1119">
        <v>0.84639999999999982</v>
      </c>
      <c r="E275" s="1119">
        <v>0.84989999999999988</v>
      </c>
      <c r="F275" s="1120">
        <v>34.9</v>
      </c>
      <c r="G275" s="1119">
        <v>7.4045000000000023</v>
      </c>
      <c r="I275" s="1119">
        <v>0.84989999999999988</v>
      </c>
      <c r="J275" s="1119">
        <v>0.84639999999999982</v>
      </c>
      <c r="K275" s="1120">
        <v>34.9</v>
      </c>
      <c r="L275" s="1119">
        <v>7.4045000000000023</v>
      </c>
      <c r="N275" s="1120">
        <v>28.79</v>
      </c>
      <c r="O275" s="1119">
        <v>7.1317000000000021</v>
      </c>
      <c r="P275" s="1119">
        <v>0.88229999999999953</v>
      </c>
      <c r="Q275" s="1119">
        <v>0.87889999999999957</v>
      </c>
      <c r="S275" s="1119">
        <v>7.1317000000000021</v>
      </c>
      <c r="T275" s="1120">
        <v>28.79</v>
      </c>
      <c r="U275" s="1119">
        <v>0.88229999999999953</v>
      </c>
      <c r="V275" s="1119">
        <v>0.87889999999999957</v>
      </c>
    </row>
    <row r="276" spans="4:22">
      <c r="D276" s="1119">
        <v>0.84649999999999981</v>
      </c>
      <c r="E276" s="1119">
        <v>0.85</v>
      </c>
      <c r="F276" s="1120">
        <v>34.880000000000003</v>
      </c>
      <c r="G276" s="1119">
        <v>7.4037000000000024</v>
      </c>
      <c r="I276" s="1119">
        <v>0.85</v>
      </c>
      <c r="J276" s="1119">
        <v>0.84649999999999981</v>
      </c>
      <c r="K276" s="1120">
        <v>34.880000000000003</v>
      </c>
      <c r="L276" s="1119">
        <v>7.4037000000000024</v>
      </c>
      <c r="N276" s="1120">
        <v>28.8</v>
      </c>
      <c r="O276" s="1119">
        <v>7.1325000000000003</v>
      </c>
      <c r="P276" s="1119">
        <v>0.88219999999999954</v>
      </c>
      <c r="Q276" s="1119">
        <v>0.87879999999999958</v>
      </c>
      <c r="S276" s="1119">
        <v>7.1325000000000003</v>
      </c>
      <c r="T276" s="1120">
        <v>28.8</v>
      </c>
      <c r="U276" s="1119">
        <v>0.88219999999999954</v>
      </c>
      <c r="V276" s="1119">
        <v>0.87879999999999958</v>
      </c>
    </row>
    <row r="277" spans="4:22">
      <c r="D277" s="1119">
        <v>0.8465999999999998</v>
      </c>
      <c r="E277" s="1119">
        <v>0.85009999999999986</v>
      </c>
      <c r="F277" s="1120">
        <v>34.86</v>
      </c>
      <c r="G277" s="1119">
        <v>7.4028000000000027</v>
      </c>
      <c r="I277" s="1119">
        <v>0.85009999999999986</v>
      </c>
      <c r="J277" s="1119">
        <v>0.8465999999999998</v>
      </c>
      <c r="K277" s="1120">
        <v>34.86</v>
      </c>
      <c r="L277" s="1119">
        <v>7.4028000000000027</v>
      </c>
      <c r="N277" s="1120">
        <v>28.82</v>
      </c>
      <c r="O277" s="1119">
        <v>7.133300000000002</v>
      </c>
      <c r="P277" s="1119">
        <v>0.88209999999999955</v>
      </c>
      <c r="Q277" s="1119">
        <v>0.87869999999999959</v>
      </c>
      <c r="S277" s="1119">
        <v>7.133300000000002</v>
      </c>
      <c r="T277" s="1120">
        <v>28.82</v>
      </c>
      <c r="U277" s="1119">
        <v>0.88209999999999955</v>
      </c>
      <c r="V277" s="1119">
        <v>0.87869999999999959</v>
      </c>
    </row>
    <row r="278" spans="4:22">
      <c r="D278" s="1119">
        <v>0.84669999999999979</v>
      </c>
      <c r="E278" s="1119">
        <v>0.85019999999999984</v>
      </c>
      <c r="F278" s="1120">
        <v>34.840000000000003</v>
      </c>
      <c r="G278" s="1119">
        <v>7.401900000000003</v>
      </c>
      <c r="I278" s="1119">
        <v>0.85019999999999984</v>
      </c>
      <c r="J278" s="1119">
        <v>0.84669999999999979</v>
      </c>
      <c r="K278" s="1120">
        <v>34.840000000000003</v>
      </c>
      <c r="L278" s="1119">
        <v>7.401900000000003</v>
      </c>
      <c r="N278" s="1120">
        <v>28.84</v>
      </c>
      <c r="O278" s="1119">
        <v>7.1341000000000019</v>
      </c>
      <c r="P278" s="1119">
        <v>0.88199999999999956</v>
      </c>
      <c r="Q278" s="1119">
        <v>0.8785999999999996</v>
      </c>
      <c r="S278" s="1119">
        <v>7.1341000000000019</v>
      </c>
      <c r="T278" s="1120">
        <v>28.84</v>
      </c>
      <c r="U278" s="1119">
        <v>0.88199999999999956</v>
      </c>
      <c r="V278" s="1119">
        <v>0.8785999999999996</v>
      </c>
    </row>
    <row r="279" spans="4:22">
      <c r="D279" s="1119">
        <v>0.84679999999999978</v>
      </c>
      <c r="E279" s="1119">
        <v>0.85029999999999983</v>
      </c>
      <c r="F279" s="1120">
        <v>34.82</v>
      </c>
      <c r="G279" s="1119">
        <v>7.4010000000000034</v>
      </c>
      <c r="I279" s="1119">
        <v>0.85029999999999983</v>
      </c>
      <c r="J279" s="1119">
        <v>0.84679999999999978</v>
      </c>
      <c r="K279" s="1120">
        <v>34.82</v>
      </c>
      <c r="L279" s="1119">
        <v>7.4010000000000034</v>
      </c>
      <c r="N279" s="1120">
        <v>28.86</v>
      </c>
      <c r="O279" s="1119">
        <v>7.1349000000000018</v>
      </c>
      <c r="P279" s="1119">
        <v>0.88189999999999957</v>
      </c>
      <c r="Q279" s="1119">
        <v>0.87849999999999961</v>
      </c>
      <c r="S279" s="1119">
        <v>7.1349000000000018</v>
      </c>
      <c r="T279" s="1120">
        <v>28.86</v>
      </c>
      <c r="U279" s="1119">
        <v>0.88189999999999957</v>
      </c>
      <c r="V279" s="1119">
        <v>0.87849999999999961</v>
      </c>
    </row>
    <row r="280" spans="4:22">
      <c r="D280" s="1119">
        <v>0.84689999999999976</v>
      </c>
      <c r="E280" s="1119">
        <v>0.85039999999999982</v>
      </c>
      <c r="F280" s="1120">
        <v>34.799999999999997</v>
      </c>
      <c r="G280" s="1119">
        <v>7.4001000000000037</v>
      </c>
      <c r="I280" s="1119">
        <v>0.85039999999999982</v>
      </c>
      <c r="J280" s="1119">
        <v>0.84689999999999976</v>
      </c>
      <c r="K280" s="1120">
        <v>34.799999999999997</v>
      </c>
      <c r="L280" s="1119">
        <v>7.4001000000000037</v>
      </c>
      <c r="N280" s="1120">
        <v>28.88</v>
      </c>
      <c r="O280" s="1119">
        <v>7.1357000000000017</v>
      </c>
      <c r="P280" s="1119">
        <v>0.88179999999999958</v>
      </c>
      <c r="Q280" s="1119">
        <v>0.87839999999999963</v>
      </c>
      <c r="S280" s="1119">
        <v>7.1357000000000017</v>
      </c>
      <c r="T280" s="1120">
        <v>28.88</v>
      </c>
      <c r="U280" s="1119">
        <v>0.88179999999999958</v>
      </c>
      <c r="V280" s="1119">
        <v>0.87839999999999963</v>
      </c>
    </row>
    <row r="281" spans="4:22">
      <c r="D281" s="1119">
        <v>0.84699999999999975</v>
      </c>
      <c r="E281" s="1119">
        <v>0.85049999999999981</v>
      </c>
      <c r="F281" s="1120">
        <v>34.79</v>
      </c>
      <c r="G281" s="1119">
        <v>7.399200000000004</v>
      </c>
      <c r="I281" s="1119">
        <v>0.85049999999999981</v>
      </c>
      <c r="J281" s="1119">
        <v>0.84699999999999975</v>
      </c>
      <c r="K281" s="1120">
        <v>34.79</v>
      </c>
      <c r="L281" s="1119">
        <v>7.399200000000004</v>
      </c>
      <c r="N281" s="1120">
        <v>28.89</v>
      </c>
      <c r="O281" s="1119">
        <v>7.1365000000000016</v>
      </c>
      <c r="P281" s="1119">
        <v>0.8816999999999996</v>
      </c>
      <c r="Q281" s="1119">
        <v>0.87829999999999964</v>
      </c>
      <c r="S281" s="1119">
        <v>7.1365000000000016</v>
      </c>
      <c r="T281" s="1120">
        <v>28.89</v>
      </c>
      <c r="U281" s="1119">
        <v>0.8816999999999996</v>
      </c>
      <c r="V281" s="1119">
        <v>0.87829999999999964</v>
      </c>
    </row>
    <row r="282" spans="4:22">
      <c r="D282" s="1119">
        <v>0.84709999999999974</v>
      </c>
      <c r="E282" s="1119">
        <v>0.8505999999999998</v>
      </c>
      <c r="F282" s="1120">
        <v>34.770000000000003</v>
      </c>
      <c r="G282" s="1119">
        <v>7.3983000000000043</v>
      </c>
      <c r="I282" s="1119">
        <v>0.8505999999999998</v>
      </c>
      <c r="J282" s="1119">
        <v>0.84709999999999974</v>
      </c>
      <c r="K282" s="1120">
        <v>34.770000000000003</v>
      </c>
      <c r="L282" s="1119">
        <v>7.3983000000000043</v>
      </c>
      <c r="N282" s="1120">
        <v>28.91</v>
      </c>
      <c r="O282" s="1119">
        <v>7.1373000000000015</v>
      </c>
      <c r="P282" s="1119">
        <v>0.88159999999999961</v>
      </c>
      <c r="Q282" s="1119">
        <v>0.87819999999999965</v>
      </c>
      <c r="S282" s="1119">
        <v>7.1373000000000015</v>
      </c>
      <c r="T282" s="1120">
        <v>28.91</v>
      </c>
      <c r="U282" s="1119">
        <v>0.88159999999999961</v>
      </c>
      <c r="V282" s="1119">
        <v>0.87819999999999965</v>
      </c>
    </row>
    <row r="283" spans="4:22">
      <c r="D283" s="1119">
        <v>0.84719999999999973</v>
      </c>
      <c r="E283" s="1119">
        <v>0.85069999999999979</v>
      </c>
      <c r="F283" s="1120">
        <v>34.75</v>
      </c>
      <c r="G283" s="1119">
        <v>7.3974000000000046</v>
      </c>
      <c r="I283" s="1119">
        <v>0.85069999999999979</v>
      </c>
      <c r="J283" s="1119">
        <v>0.84719999999999973</v>
      </c>
      <c r="K283" s="1120">
        <v>34.75</v>
      </c>
      <c r="L283" s="1119">
        <v>7.3974000000000046</v>
      </c>
      <c r="N283" s="1120">
        <v>28.93</v>
      </c>
      <c r="O283" s="1119">
        <v>7.1381000000000014</v>
      </c>
      <c r="P283" s="1119">
        <v>0.88149999999999962</v>
      </c>
      <c r="Q283" s="1119">
        <v>0.87809999999999966</v>
      </c>
      <c r="S283" s="1119">
        <v>7.1381000000000014</v>
      </c>
      <c r="T283" s="1120">
        <v>28.93</v>
      </c>
      <c r="U283" s="1119">
        <v>0.88149999999999962</v>
      </c>
      <c r="V283" s="1119">
        <v>0.87809999999999966</v>
      </c>
    </row>
    <row r="284" spans="4:22">
      <c r="D284" s="1119">
        <v>0.84729999999999972</v>
      </c>
      <c r="E284" s="1119">
        <v>0.85079999999999978</v>
      </c>
      <c r="F284" s="1120">
        <v>34.729999999999997</v>
      </c>
      <c r="G284" s="1119">
        <v>7.396500000000005</v>
      </c>
      <c r="I284" s="1119">
        <v>0.85079999999999978</v>
      </c>
      <c r="J284" s="1119">
        <v>0.84729999999999972</v>
      </c>
      <c r="K284" s="1120">
        <v>34.729999999999997</v>
      </c>
      <c r="L284" s="1119">
        <v>7.396500000000005</v>
      </c>
      <c r="N284" s="1120">
        <v>28.95</v>
      </c>
      <c r="O284" s="1119">
        <v>7.1389000000000014</v>
      </c>
      <c r="P284" s="1119">
        <v>0.88139999999999963</v>
      </c>
      <c r="Q284" s="1119">
        <v>0.87799999999999967</v>
      </c>
      <c r="S284" s="1119">
        <v>7.1389000000000014</v>
      </c>
      <c r="T284" s="1120">
        <v>28.95</v>
      </c>
      <c r="U284" s="1119">
        <v>0.88139999999999963</v>
      </c>
      <c r="V284" s="1119">
        <v>0.87799999999999967</v>
      </c>
    </row>
    <row r="285" spans="4:22">
      <c r="D285" s="1119">
        <v>0.84739999999999971</v>
      </c>
      <c r="E285" s="1119">
        <v>0.85089999999999977</v>
      </c>
      <c r="F285" s="1120">
        <v>34.71</v>
      </c>
      <c r="G285" s="1119">
        <v>7.3956000000000053</v>
      </c>
      <c r="I285" s="1119">
        <v>0.85089999999999977</v>
      </c>
      <c r="J285" s="1119">
        <v>0.84739999999999971</v>
      </c>
      <c r="K285" s="1120">
        <v>34.71</v>
      </c>
      <c r="L285" s="1119">
        <v>7.3956000000000053</v>
      </c>
      <c r="N285" s="1120">
        <v>28.97</v>
      </c>
      <c r="O285" s="1119">
        <v>7.1397000000000013</v>
      </c>
      <c r="P285" s="1119">
        <v>0.88129999999999964</v>
      </c>
      <c r="Q285" s="1119">
        <v>0.87789999999999968</v>
      </c>
      <c r="S285" s="1119">
        <v>7.1397000000000013</v>
      </c>
      <c r="T285" s="1120">
        <v>28.97</v>
      </c>
      <c r="U285" s="1119">
        <v>0.88129999999999964</v>
      </c>
      <c r="V285" s="1119">
        <v>0.87789999999999968</v>
      </c>
    </row>
    <row r="286" spans="4:22">
      <c r="D286" s="1119">
        <v>0.84750000000000003</v>
      </c>
      <c r="E286" s="1119">
        <v>0.85099999999999976</v>
      </c>
      <c r="F286" s="1120">
        <v>34.69</v>
      </c>
      <c r="G286" s="1119">
        <v>7.3947000000000056</v>
      </c>
      <c r="I286" s="1119">
        <v>0.85099999999999976</v>
      </c>
      <c r="J286" s="1119">
        <v>0.84750000000000003</v>
      </c>
      <c r="K286" s="1120">
        <v>34.69</v>
      </c>
      <c r="L286" s="1119">
        <v>7.3947000000000056</v>
      </c>
      <c r="N286" s="1120">
        <v>28.98</v>
      </c>
      <c r="O286" s="1119">
        <v>7.1405000000000012</v>
      </c>
      <c r="P286" s="1119">
        <v>0.88119999999999965</v>
      </c>
      <c r="Q286" s="1119">
        <v>0.87779999999999969</v>
      </c>
      <c r="S286" s="1119">
        <v>7.1405000000000012</v>
      </c>
      <c r="T286" s="1120">
        <v>28.98</v>
      </c>
      <c r="U286" s="1119">
        <v>0.88119999999999965</v>
      </c>
      <c r="V286" s="1119">
        <v>0.87779999999999969</v>
      </c>
    </row>
    <row r="287" spans="4:22">
      <c r="D287" s="1119">
        <v>0.84759999999999969</v>
      </c>
      <c r="E287" s="1119">
        <v>0.85109999999999975</v>
      </c>
      <c r="F287" s="1120">
        <v>34.67</v>
      </c>
      <c r="G287" s="1119">
        <v>7.3938000000000059</v>
      </c>
      <c r="I287" s="1119">
        <v>0.85109999999999975</v>
      </c>
      <c r="J287" s="1119">
        <v>0.84759999999999969</v>
      </c>
      <c r="K287" s="1120">
        <v>34.67</v>
      </c>
      <c r="L287" s="1119">
        <v>7.3938000000000059</v>
      </c>
      <c r="N287" s="1120">
        <v>29</v>
      </c>
      <c r="O287" s="1119">
        <v>7.1413000000000011</v>
      </c>
      <c r="P287" s="1119">
        <v>0.88109999999999966</v>
      </c>
      <c r="Q287" s="1119">
        <v>0.8776999999999997</v>
      </c>
      <c r="S287" s="1119">
        <v>7.1413000000000011</v>
      </c>
      <c r="T287" s="1120">
        <v>29</v>
      </c>
      <c r="U287" s="1119">
        <v>0.88109999999999966</v>
      </c>
      <c r="V287" s="1119">
        <v>0.8776999999999997</v>
      </c>
    </row>
    <row r="288" spans="4:22">
      <c r="D288" s="1119">
        <v>0.84769999999999968</v>
      </c>
      <c r="E288" s="1119">
        <v>0.85119999999999973</v>
      </c>
      <c r="F288" s="1120">
        <v>34.65</v>
      </c>
      <c r="G288" s="1119">
        <v>7.3929000000000062</v>
      </c>
      <c r="I288" s="1119">
        <v>0.85119999999999973</v>
      </c>
      <c r="J288" s="1119">
        <v>0.84769999999999968</v>
      </c>
      <c r="K288" s="1120">
        <v>34.65</v>
      </c>
      <c r="L288" s="1119">
        <v>7.3929000000000062</v>
      </c>
      <c r="N288" s="1120">
        <v>29.02</v>
      </c>
      <c r="O288" s="1119">
        <v>7.142100000000001</v>
      </c>
      <c r="P288" s="1119">
        <v>0.88099999999999967</v>
      </c>
      <c r="Q288" s="1119">
        <v>0.87759999999999971</v>
      </c>
      <c r="S288" s="1119">
        <v>7.142100000000001</v>
      </c>
      <c r="T288" s="1120">
        <v>29.02</v>
      </c>
      <c r="U288" s="1119">
        <v>0.88099999999999967</v>
      </c>
      <c r="V288" s="1119">
        <v>0.87759999999999971</v>
      </c>
    </row>
    <row r="289" spans="4:22">
      <c r="D289" s="1119">
        <v>0.84779999999999966</v>
      </c>
      <c r="E289" s="1119">
        <v>0.85129999999999972</v>
      </c>
      <c r="F289" s="1120">
        <v>34.630000000000003</v>
      </c>
      <c r="G289" s="1119">
        <v>7.3920000000000066</v>
      </c>
      <c r="I289" s="1119">
        <v>0.85129999999999972</v>
      </c>
      <c r="J289" s="1119">
        <v>0.84779999999999966</v>
      </c>
      <c r="K289" s="1120">
        <v>34.630000000000003</v>
      </c>
      <c r="L289" s="1119">
        <v>7.3920000000000066</v>
      </c>
      <c r="N289" s="1120">
        <v>29.04</v>
      </c>
      <c r="O289" s="1119">
        <v>7.1429000000000009</v>
      </c>
      <c r="P289" s="1119">
        <v>0.88089999999999968</v>
      </c>
      <c r="Q289" s="1119">
        <v>0.87749999999999995</v>
      </c>
      <c r="S289" s="1119">
        <v>7.1429000000000009</v>
      </c>
      <c r="T289" s="1120">
        <v>29.04</v>
      </c>
      <c r="U289" s="1119">
        <v>0.88089999999999968</v>
      </c>
      <c r="V289" s="1119">
        <v>0.87749999999999995</v>
      </c>
    </row>
    <row r="290" spans="4:22">
      <c r="D290" s="1119">
        <v>0.84789999999999965</v>
      </c>
      <c r="E290" s="1119">
        <v>0.85139999999999971</v>
      </c>
      <c r="F290" s="1120">
        <v>34.61</v>
      </c>
      <c r="G290" s="1119">
        <v>7.3911000000000069</v>
      </c>
      <c r="I290" s="1119">
        <v>0.85139999999999971</v>
      </c>
      <c r="J290" s="1119">
        <v>0.84789999999999965</v>
      </c>
      <c r="K290" s="1120">
        <v>34.61</v>
      </c>
      <c r="L290" s="1119">
        <v>7.3911000000000069</v>
      </c>
      <c r="N290" s="1120">
        <v>29.06</v>
      </c>
      <c r="O290" s="1119">
        <v>7.1437000000000008</v>
      </c>
      <c r="P290" s="1119">
        <v>0.88079999999999969</v>
      </c>
      <c r="Q290" s="1119">
        <v>0.87739999999999974</v>
      </c>
      <c r="S290" s="1119">
        <v>7.1437000000000008</v>
      </c>
      <c r="T290" s="1120">
        <v>29.06</v>
      </c>
      <c r="U290" s="1119">
        <v>0.88079999999999969</v>
      </c>
      <c r="V290" s="1119">
        <v>0.87739999999999974</v>
      </c>
    </row>
    <row r="291" spans="4:22">
      <c r="D291" s="1119">
        <v>0.84799999999999964</v>
      </c>
      <c r="E291" s="1119">
        <v>0.8514999999999997</v>
      </c>
      <c r="F291" s="1120">
        <v>34.590000000000003</v>
      </c>
      <c r="G291" s="1119">
        <v>7.3902999999999999</v>
      </c>
      <c r="I291" s="1119">
        <v>0.8514999999999997</v>
      </c>
      <c r="J291" s="1119">
        <v>0.84799999999999964</v>
      </c>
      <c r="K291" s="1120">
        <v>34.590000000000003</v>
      </c>
      <c r="L291" s="1119">
        <v>7.3902999999999999</v>
      </c>
      <c r="N291" s="1120">
        <v>29.08</v>
      </c>
      <c r="O291" s="1119">
        <v>7.1445000000000007</v>
      </c>
      <c r="P291" s="1119">
        <v>0.88069999999999971</v>
      </c>
      <c r="Q291" s="1119">
        <v>0.87729999999999975</v>
      </c>
      <c r="S291" s="1119">
        <v>7.1445000000000007</v>
      </c>
      <c r="T291" s="1120">
        <v>29.08</v>
      </c>
      <c r="U291" s="1119">
        <v>0.88069999999999971</v>
      </c>
      <c r="V291" s="1119">
        <v>0.87729999999999975</v>
      </c>
    </row>
    <row r="292" spans="4:22">
      <c r="D292" s="1119">
        <v>0.84809999999999963</v>
      </c>
      <c r="E292" s="1119">
        <v>0.85159999999999969</v>
      </c>
      <c r="F292" s="1120">
        <v>34.57</v>
      </c>
      <c r="G292" s="1119">
        <v>7.3894000000000002</v>
      </c>
      <c r="I292" s="1119">
        <v>0.85159999999999969</v>
      </c>
      <c r="J292" s="1119">
        <v>0.84809999999999963</v>
      </c>
      <c r="K292" s="1120">
        <v>34.57</v>
      </c>
      <c r="L292" s="1119">
        <v>7.3894000000000002</v>
      </c>
      <c r="N292" s="1120">
        <v>29.1</v>
      </c>
      <c r="O292" s="1119">
        <v>7.1453000000000007</v>
      </c>
      <c r="P292" s="1119">
        <v>0.88059999999999972</v>
      </c>
      <c r="Q292" s="1119">
        <v>0.87719999999999976</v>
      </c>
      <c r="S292" s="1119">
        <v>7.1453000000000007</v>
      </c>
      <c r="T292" s="1120">
        <v>29.1</v>
      </c>
      <c r="U292" s="1119">
        <v>0.88059999999999972</v>
      </c>
      <c r="V292" s="1119">
        <v>0.87719999999999976</v>
      </c>
    </row>
    <row r="293" spans="4:22">
      <c r="D293" s="1119">
        <v>0.84819999999999962</v>
      </c>
      <c r="E293" s="1119">
        <v>0.85169999999999968</v>
      </c>
      <c r="F293" s="1120">
        <v>34.549999999999997</v>
      </c>
      <c r="G293" s="1119">
        <v>7.3885000000000005</v>
      </c>
      <c r="I293" s="1119">
        <v>0.85169999999999968</v>
      </c>
      <c r="J293" s="1119">
        <v>0.84819999999999962</v>
      </c>
      <c r="K293" s="1120">
        <v>34.549999999999997</v>
      </c>
      <c r="L293" s="1119">
        <v>7.3885000000000005</v>
      </c>
      <c r="N293" s="1120">
        <v>29.12</v>
      </c>
      <c r="O293" s="1119">
        <v>7.1461000000000006</v>
      </c>
      <c r="P293" s="1119">
        <v>0.88049999999999973</v>
      </c>
      <c r="Q293" s="1119">
        <v>0.87709999999999977</v>
      </c>
      <c r="S293" s="1119">
        <v>7.1461000000000006</v>
      </c>
      <c r="T293" s="1120">
        <v>29.12</v>
      </c>
      <c r="U293" s="1119">
        <v>0.88049999999999973</v>
      </c>
      <c r="V293" s="1119">
        <v>0.87709999999999977</v>
      </c>
    </row>
    <row r="294" spans="4:22">
      <c r="D294" s="1119">
        <v>0.84829999999999961</v>
      </c>
      <c r="E294" s="1119">
        <v>0.85179999999999967</v>
      </c>
      <c r="F294" s="1120">
        <v>34.53</v>
      </c>
      <c r="G294" s="1119">
        <v>7.3876000000000008</v>
      </c>
      <c r="I294" s="1119">
        <v>0.85179999999999967</v>
      </c>
      <c r="J294" s="1119">
        <v>0.84829999999999961</v>
      </c>
      <c r="K294" s="1120">
        <v>34.53</v>
      </c>
      <c r="L294" s="1119">
        <v>7.3876000000000008</v>
      </c>
      <c r="N294" s="1120">
        <v>29.13</v>
      </c>
      <c r="O294" s="1119">
        <v>7.1469000000000005</v>
      </c>
      <c r="P294" s="1119">
        <v>0.88039999999999974</v>
      </c>
      <c r="Q294" s="1119">
        <v>0.87699999999999978</v>
      </c>
      <c r="S294" s="1119">
        <v>7.1469000000000005</v>
      </c>
      <c r="T294" s="1120">
        <v>29.13</v>
      </c>
      <c r="U294" s="1119">
        <v>0.88039999999999974</v>
      </c>
      <c r="V294" s="1119">
        <v>0.87699999999999978</v>
      </c>
    </row>
    <row r="295" spans="4:22">
      <c r="D295" s="1119">
        <v>0.8483999999999996</v>
      </c>
      <c r="E295" s="1119">
        <v>0.85189999999999966</v>
      </c>
      <c r="F295" s="1120">
        <v>34.51</v>
      </c>
      <c r="G295" s="1119">
        <v>7.3867000000000012</v>
      </c>
      <c r="I295" s="1119">
        <v>0.85189999999999966</v>
      </c>
      <c r="J295" s="1119">
        <v>0.8483999999999996</v>
      </c>
      <c r="K295" s="1120">
        <v>34.51</v>
      </c>
      <c r="L295" s="1119">
        <v>7.3867000000000012</v>
      </c>
      <c r="N295" s="1120">
        <v>29.15</v>
      </c>
      <c r="O295" s="1119">
        <v>7.1477000000000004</v>
      </c>
      <c r="P295" s="1119">
        <v>0.88029999999999975</v>
      </c>
      <c r="Q295" s="1119">
        <v>0.87689999999999979</v>
      </c>
      <c r="S295" s="1119">
        <v>7.1477000000000004</v>
      </c>
      <c r="T295" s="1120">
        <v>29.15</v>
      </c>
      <c r="U295" s="1119">
        <v>0.88029999999999975</v>
      </c>
      <c r="V295" s="1119">
        <v>0.87689999999999979</v>
      </c>
    </row>
    <row r="296" spans="4:22">
      <c r="D296" s="1119">
        <v>0.84849999999999959</v>
      </c>
      <c r="E296" s="1119">
        <v>0.85199999999999965</v>
      </c>
      <c r="F296" s="1120">
        <v>34.49</v>
      </c>
      <c r="G296" s="1119">
        <v>7.3858000000000015</v>
      </c>
      <c r="I296" s="1119">
        <v>0.85199999999999965</v>
      </c>
      <c r="J296" s="1119">
        <v>0.84849999999999959</v>
      </c>
      <c r="K296" s="1120">
        <v>34.49</v>
      </c>
      <c r="L296" s="1119">
        <v>7.3858000000000015</v>
      </c>
      <c r="N296" s="1120">
        <v>29.17</v>
      </c>
      <c r="O296" s="1119">
        <v>7.1485000000000003</v>
      </c>
      <c r="P296" s="1119">
        <v>0.88019999999999976</v>
      </c>
      <c r="Q296" s="1119">
        <v>0.8767999999999998</v>
      </c>
      <c r="S296" s="1119">
        <v>7.1485000000000003</v>
      </c>
      <c r="T296" s="1120">
        <v>29.17</v>
      </c>
      <c r="U296" s="1119">
        <v>0.88019999999999976</v>
      </c>
      <c r="V296" s="1119">
        <v>0.8767999999999998</v>
      </c>
    </row>
    <row r="297" spans="4:22">
      <c r="D297" s="1119">
        <v>0.84859999999999958</v>
      </c>
      <c r="E297" s="1119">
        <v>0.85209999999999964</v>
      </c>
      <c r="F297" s="1120">
        <v>34.47</v>
      </c>
      <c r="G297" s="1119">
        <v>7.3849999999999998</v>
      </c>
      <c r="I297" s="1119">
        <v>0.85209999999999964</v>
      </c>
      <c r="J297" s="1119">
        <v>0.84859999999999958</v>
      </c>
      <c r="K297" s="1120">
        <v>34.47</v>
      </c>
      <c r="L297" s="1119">
        <v>7.3849999999999998</v>
      </c>
      <c r="N297" s="1120">
        <v>29.19</v>
      </c>
      <c r="O297" s="1119">
        <v>7.1493000000000002</v>
      </c>
      <c r="P297" s="1119">
        <v>0.88009999999999977</v>
      </c>
      <c r="Q297" s="1119">
        <v>0.87669999999999981</v>
      </c>
      <c r="S297" s="1119">
        <v>7.1493000000000002</v>
      </c>
      <c r="T297" s="1120">
        <v>29.19</v>
      </c>
      <c r="U297" s="1119">
        <v>0.88009999999999977</v>
      </c>
      <c r="V297" s="1119">
        <v>0.87669999999999981</v>
      </c>
    </row>
    <row r="298" spans="4:22">
      <c r="D298" s="1119">
        <v>0.84869999999999957</v>
      </c>
      <c r="E298" s="1119">
        <v>0.85219999999999962</v>
      </c>
      <c r="F298" s="1120">
        <v>34.450000000000003</v>
      </c>
      <c r="G298" s="1119">
        <v>7.3842000000000017</v>
      </c>
      <c r="I298" s="1119">
        <v>0.85219999999999962</v>
      </c>
      <c r="J298" s="1119">
        <v>0.84869999999999957</v>
      </c>
      <c r="K298" s="1120">
        <v>34.450000000000003</v>
      </c>
      <c r="L298" s="1119">
        <v>7.3842000000000017</v>
      </c>
      <c r="N298" s="1120">
        <v>29.21</v>
      </c>
      <c r="O298" s="1119">
        <v>7.1501000000000001</v>
      </c>
      <c r="P298" s="1119">
        <v>0.88</v>
      </c>
      <c r="Q298" s="1119">
        <v>0.87659999999999982</v>
      </c>
      <c r="S298" s="1119">
        <v>7.1501000000000001</v>
      </c>
      <c r="T298" s="1120">
        <v>29.21</v>
      </c>
      <c r="U298" s="1119">
        <v>0.88</v>
      </c>
      <c r="V298" s="1119">
        <v>0.87659999999999982</v>
      </c>
    </row>
    <row r="299" spans="4:22">
      <c r="D299" s="1119">
        <v>0.84879999999999955</v>
      </c>
      <c r="E299" s="1119">
        <v>0.85229999999999961</v>
      </c>
      <c r="F299" s="1120">
        <v>34.43</v>
      </c>
      <c r="G299" s="1119">
        <v>7.3834000000000017</v>
      </c>
      <c r="I299" s="1119">
        <v>0.85229999999999961</v>
      </c>
      <c r="J299" s="1119">
        <v>0.84879999999999955</v>
      </c>
      <c r="K299" s="1120">
        <v>34.43</v>
      </c>
      <c r="L299" s="1119">
        <v>7.3834000000000017</v>
      </c>
      <c r="N299" s="1120">
        <v>29.23</v>
      </c>
      <c r="O299" s="1119">
        <v>7.1510000000000034</v>
      </c>
      <c r="P299" s="1119">
        <v>0.87989999999999979</v>
      </c>
      <c r="Q299" s="1119">
        <v>0.87649999999999983</v>
      </c>
      <c r="S299" s="1119">
        <v>7.1510000000000034</v>
      </c>
      <c r="T299" s="1120">
        <v>29.23</v>
      </c>
      <c r="U299" s="1119">
        <v>0.87989999999999979</v>
      </c>
      <c r="V299" s="1119">
        <v>0.87649999999999983</v>
      </c>
    </row>
    <row r="300" spans="4:22">
      <c r="D300" s="1119">
        <v>0.84889999999999954</v>
      </c>
      <c r="E300" s="1119">
        <v>0.8523999999999996</v>
      </c>
      <c r="F300" s="1120">
        <v>34.409999999999997</v>
      </c>
      <c r="G300" s="1119">
        <v>7.3826000000000018</v>
      </c>
      <c r="I300" s="1119">
        <v>0.8523999999999996</v>
      </c>
      <c r="J300" s="1119">
        <v>0.84889999999999954</v>
      </c>
      <c r="K300" s="1120">
        <v>34.409999999999997</v>
      </c>
      <c r="L300" s="1119">
        <v>7.3826000000000018</v>
      </c>
      <c r="N300" s="1120">
        <v>29.25</v>
      </c>
      <c r="O300" s="1119">
        <v>7.1518000000000033</v>
      </c>
      <c r="P300" s="1119">
        <v>0.8797999999999998</v>
      </c>
      <c r="Q300" s="1119">
        <v>0.87639999999999985</v>
      </c>
      <c r="S300" s="1119">
        <v>7.1518000000000033</v>
      </c>
      <c r="T300" s="1120">
        <v>29.25</v>
      </c>
      <c r="U300" s="1119">
        <v>0.8797999999999998</v>
      </c>
      <c r="V300" s="1119">
        <v>0.87639999999999985</v>
      </c>
    </row>
    <row r="301" spans="4:22">
      <c r="D301" s="1119">
        <v>0.84899999999999953</v>
      </c>
      <c r="E301" s="1119">
        <v>0.85250000000000004</v>
      </c>
      <c r="F301" s="1120">
        <v>34.4</v>
      </c>
      <c r="G301" s="1119">
        <v>7.3818000000000019</v>
      </c>
      <c r="I301" s="1119">
        <v>0.85250000000000004</v>
      </c>
      <c r="J301" s="1119">
        <v>0.84899999999999953</v>
      </c>
      <c r="K301" s="1120">
        <v>34.4</v>
      </c>
      <c r="L301" s="1119">
        <v>7.3818000000000019</v>
      </c>
      <c r="N301" s="1120">
        <v>29.26</v>
      </c>
      <c r="O301" s="1119">
        <v>7.1527000000000029</v>
      </c>
      <c r="P301" s="1119">
        <v>0.87969999999999982</v>
      </c>
      <c r="Q301" s="1119">
        <v>0.87629999999999986</v>
      </c>
      <c r="S301" s="1119">
        <v>7.1527000000000029</v>
      </c>
      <c r="T301" s="1120">
        <v>29.26</v>
      </c>
      <c r="U301" s="1119">
        <v>0.87969999999999982</v>
      </c>
      <c r="V301" s="1119">
        <v>0.87629999999999986</v>
      </c>
    </row>
    <row r="302" spans="4:22">
      <c r="D302" s="1119">
        <v>0.84909999999999952</v>
      </c>
      <c r="E302" s="1119">
        <v>0.85259999999999958</v>
      </c>
      <c r="F302" s="1120">
        <v>34.380000000000003</v>
      </c>
      <c r="G302" s="1119">
        <v>7.381000000000002</v>
      </c>
      <c r="I302" s="1119">
        <v>0.85259999999999958</v>
      </c>
      <c r="J302" s="1119">
        <v>0.84909999999999952</v>
      </c>
      <c r="K302" s="1120">
        <v>34.380000000000003</v>
      </c>
      <c r="L302" s="1119">
        <v>7.381000000000002</v>
      </c>
      <c r="N302" s="1120">
        <v>29.28</v>
      </c>
      <c r="O302" s="1119">
        <v>7.1536000000000026</v>
      </c>
      <c r="P302" s="1119">
        <v>0.87959999999999983</v>
      </c>
      <c r="Q302" s="1119">
        <v>0.87619999999999987</v>
      </c>
      <c r="S302" s="1119">
        <v>7.1536000000000026</v>
      </c>
      <c r="T302" s="1120">
        <v>29.28</v>
      </c>
      <c r="U302" s="1119">
        <v>0.87959999999999983</v>
      </c>
      <c r="V302" s="1119">
        <v>0.87619999999999987</v>
      </c>
    </row>
    <row r="303" spans="4:22">
      <c r="D303" s="1119">
        <v>0.84919999999999951</v>
      </c>
      <c r="E303" s="1119">
        <v>0.85269999999999957</v>
      </c>
      <c r="F303" s="1120">
        <v>34.36</v>
      </c>
      <c r="G303" s="1119">
        <v>7.3802000000000021</v>
      </c>
      <c r="I303" s="1119">
        <v>0.85269999999999957</v>
      </c>
      <c r="J303" s="1119">
        <v>0.84919999999999951</v>
      </c>
      <c r="K303" s="1120">
        <v>34.36</v>
      </c>
      <c r="L303" s="1119">
        <v>7.3802000000000021</v>
      </c>
      <c r="N303" s="1120">
        <v>29.3</v>
      </c>
      <c r="O303" s="1119">
        <v>7.1545000000000023</v>
      </c>
      <c r="P303" s="1119">
        <v>0.87949999999999984</v>
      </c>
      <c r="Q303" s="1119">
        <v>0.87609999999999988</v>
      </c>
      <c r="S303" s="1119">
        <v>7.1545000000000023</v>
      </c>
      <c r="T303" s="1120">
        <v>29.3</v>
      </c>
      <c r="U303" s="1119">
        <v>0.87949999999999984</v>
      </c>
      <c r="V303" s="1119">
        <v>0.87609999999999988</v>
      </c>
    </row>
    <row r="304" spans="4:22">
      <c r="D304" s="1119">
        <v>0.8492999999999995</v>
      </c>
      <c r="E304" s="1119">
        <v>0.85279999999999956</v>
      </c>
      <c r="F304" s="1120">
        <v>34.340000000000003</v>
      </c>
      <c r="G304" s="1119">
        <v>7.3794000000000022</v>
      </c>
      <c r="I304" s="1119">
        <v>0.85279999999999956</v>
      </c>
      <c r="J304" s="1119">
        <v>0.8492999999999995</v>
      </c>
      <c r="K304" s="1120">
        <v>34.340000000000003</v>
      </c>
      <c r="L304" s="1119">
        <v>7.3794000000000022</v>
      </c>
      <c r="N304" s="1120">
        <v>29.32</v>
      </c>
      <c r="O304" s="1119">
        <v>7.155400000000002</v>
      </c>
      <c r="P304" s="1119">
        <v>0.87939999999999985</v>
      </c>
      <c r="Q304" s="1119">
        <v>0.87599999999999989</v>
      </c>
      <c r="S304" s="1119">
        <v>7.155400000000002</v>
      </c>
      <c r="T304" s="1120">
        <v>29.32</v>
      </c>
      <c r="U304" s="1119">
        <v>0.87939999999999985</v>
      </c>
      <c r="V304" s="1119">
        <v>0.87599999999999989</v>
      </c>
    </row>
    <row r="305" spans="4:22">
      <c r="D305" s="1119">
        <v>0.84939999999999949</v>
      </c>
      <c r="E305" s="1119">
        <v>0.85289999999999955</v>
      </c>
      <c r="F305" s="1120">
        <v>34.32</v>
      </c>
      <c r="G305" s="1119">
        <v>7.3786000000000023</v>
      </c>
      <c r="I305" s="1119">
        <v>0.85289999999999955</v>
      </c>
      <c r="J305" s="1119">
        <v>0.84939999999999949</v>
      </c>
      <c r="K305" s="1120">
        <v>34.32</v>
      </c>
      <c r="L305" s="1119">
        <v>7.3786000000000023</v>
      </c>
      <c r="N305" s="1120">
        <v>29.34</v>
      </c>
      <c r="O305" s="1119">
        <v>7.1563000000000017</v>
      </c>
      <c r="P305" s="1119">
        <v>0.87929999999999986</v>
      </c>
      <c r="Q305" s="1119">
        <v>0.8758999999999999</v>
      </c>
      <c r="S305" s="1119">
        <v>7.1563000000000017</v>
      </c>
      <c r="T305" s="1120">
        <v>29.34</v>
      </c>
      <c r="U305" s="1119">
        <v>0.87929999999999986</v>
      </c>
      <c r="V305" s="1119">
        <v>0.8758999999999999</v>
      </c>
    </row>
    <row r="306" spans="4:22">
      <c r="D306" s="1119">
        <v>0.84949999999999948</v>
      </c>
      <c r="E306" s="1119">
        <v>0.85299999999999954</v>
      </c>
      <c r="F306" s="1120">
        <v>34.299999999999997</v>
      </c>
      <c r="G306" s="1119">
        <v>7.3778000000000024</v>
      </c>
      <c r="I306" s="1119">
        <v>0.85299999999999954</v>
      </c>
      <c r="J306" s="1119">
        <v>0.84949999999999948</v>
      </c>
      <c r="K306" s="1120">
        <v>34.299999999999997</v>
      </c>
      <c r="L306" s="1119">
        <v>7.3778000000000024</v>
      </c>
      <c r="N306" s="1120">
        <v>29.35</v>
      </c>
      <c r="O306" s="1119">
        <v>7.1572000000000013</v>
      </c>
      <c r="P306" s="1119">
        <v>0.87919999999999987</v>
      </c>
      <c r="Q306" s="1119">
        <v>0.87579999999999991</v>
      </c>
      <c r="S306" s="1119">
        <v>7.1572000000000013</v>
      </c>
      <c r="T306" s="1120">
        <v>29.35</v>
      </c>
      <c r="U306" s="1119">
        <v>0.87919999999999987</v>
      </c>
      <c r="V306" s="1119">
        <v>0.87579999999999991</v>
      </c>
    </row>
    <row r="307" spans="4:22">
      <c r="D307" s="1119">
        <v>0.84959999999999947</v>
      </c>
      <c r="E307" s="1119">
        <v>0.85309999999999953</v>
      </c>
      <c r="F307" s="1120">
        <v>34.28</v>
      </c>
      <c r="G307" s="1119">
        <v>7.3769000000000027</v>
      </c>
      <c r="I307" s="1119">
        <v>0.85309999999999953</v>
      </c>
      <c r="J307" s="1119">
        <v>0.84959999999999947</v>
      </c>
      <c r="K307" s="1120">
        <v>34.28</v>
      </c>
      <c r="L307" s="1119">
        <v>7.3769000000000027</v>
      </c>
      <c r="N307" s="1120">
        <v>29.37</v>
      </c>
      <c r="O307" s="1119">
        <v>7.158100000000001</v>
      </c>
      <c r="P307" s="1119">
        <v>0.87909999999999988</v>
      </c>
      <c r="Q307" s="1119">
        <v>0.87569999999999992</v>
      </c>
      <c r="S307" s="1119">
        <v>7.158100000000001</v>
      </c>
      <c r="T307" s="1120">
        <v>29.37</v>
      </c>
      <c r="U307" s="1119">
        <v>0.87909999999999988</v>
      </c>
      <c r="V307" s="1119">
        <v>0.87569999999999992</v>
      </c>
    </row>
    <row r="308" spans="4:22">
      <c r="D308" s="1119">
        <v>0.84969999999999946</v>
      </c>
      <c r="E308" s="1119">
        <v>0.85319999999999951</v>
      </c>
      <c r="F308" s="1120">
        <v>34.26</v>
      </c>
      <c r="G308" s="1119">
        <v>7.376000000000003</v>
      </c>
      <c r="I308" s="1119">
        <v>0.85319999999999951</v>
      </c>
      <c r="J308" s="1119">
        <v>0.84969999999999946</v>
      </c>
      <c r="K308" s="1120">
        <v>34.26</v>
      </c>
      <c r="L308" s="1119">
        <v>7.376000000000003</v>
      </c>
      <c r="N308" s="1120">
        <v>29.39</v>
      </c>
      <c r="O308" s="1119">
        <v>7.1590000000000007</v>
      </c>
      <c r="P308" s="1119">
        <v>0.87899999999999989</v>
      </c>
      <c r="Q308" s="1119">
        <v>0.87559999999999993</v>
      </c>
      <c r="S308" s="1119">
        <v>7.1590000000000007</v>
      </c>
      <c r="T308" s="1120">
        <v>29.39</v>
      </c>
      <c r="U308" s="1119">
        <v>0.87899999999999989</v>
      </c>
      <c r="V308" s="1119">
        <v>0.87559999999999993</v>
      </c>
    </row>
    <row r="309" spans="4:22">
      <c r="D309" s="1119">
        <v>0.84979999999999944</v>
      </c>
      <c r="E309" s="1119">
        <v>0.8532999999999995</v>
      </c>
      <c r="F309" s="1120">
        <v>34.24</v>
      </c>
      <c r="G309" s="1119">
        <v>7.3751000000000033</v>
      </c>
      <c r="I309" s="1119">
        <v>0.8532999999999995</v>
      </c>
      <c r="J309" s="1119">
        <v>0.84979999999999944</v>
      </c>
      <c r="K309" s="1120">
        <v>34.24</v>
      </c>
      <c r="L309" s="1119">
        <v>7.3751000000000033</v>
      </c>
      <c r="N309" s="1120">
        <v>29.41</v>
      </c>
      <c r="O309" s="1119">
        <v>7.1598000000000006</v>
      </c>
      <c r="P309" s="1119">
        <v>0.8788999999999999</v>
      </c>
      <c r="Q309" s="1119">
        <v>0.87549999999999994</v>
      </c>
      <c r="S309" s="1119">
        <v>7.1598000000000006</v>
      </c>
      <c r="T309" s="1120">
        <v>29.41</v>
      </c>
      <c r="U309" s="1119">
        <v>0.8788999999999999</v>
      </c>
      <c r="V309" s="1119">
        <v>0.87549999999999994</v>
      </c>
    </row>
    <row r="310" spans="4:22">
      <c r="D310" s="1119">
        <v>0.84989999999999943</v>
      </c>
      <c r="E310" s="1119">
        <v>0.85339999999999949</v>
      </c>
      <c r="F310" s="1120">
        <v>34.22</v>
      </c>
      <c r="G310" s="1119">
        <v>7.3742000000000036</v>
      </c>
      <c r="I310" s="1119">
        <v>0.85339999999999949</v>
      </c>
      <c r="J310" s="1119">
        <v>0.84989999999999943</v>
      </c>
      <c r="K310" s="1120">
        <v>34.22</v>
      </c>
      <c r="L310" s="1119">
        <v>7.3742000000000036</v>
      </c>
      <c r="N310" s="1120">
        <v>29.43</v>
      </c>
      <c r="O310" s="1119">
        <v>7.1606000000000005</v>
      </c>
      <c r="P310" s="1119">
        <v>0.87879999999999991</v>
      </c>
      <c r="Q310" s="1119">
        <v>0.87539999999999996</v>
      </c>
      <c r="S310" s="1119">
        <v>7.1606000000000005</v>
      </c>
      <c r="T310" s="1120">
        <v>29.43</v>
      </c>
      <c r="U310" s="1119">
        <v>0.87879999999999991</v>
      </c>
      <c r="V310" s="1119">
        <v>0.87539999999999996</v>
      </c>
    </row>
    <row r="311" spans="4:22">
      <c r="D311" s="1119">
        <v>0.84999999999999942</v>
      </c>
      <c r="E311" s="1119">
        <v>0.85349999999999948</v>
      </c>
      <c r="F311" s="1120">
        <v>34.200000000000003</v>
      </c>
      <c r="G311" s="1119">
        <v>7.373300000000004</v>
      </c>
      <c r="I311" s="1119">
        <v>0.85349999999999948</v>
      </c>
      <c r="J311" s="1119">
        <v>0.84999999999999942</v>
      </c>
      <c r="K311" s="1120">
        <v>34.200000000000003</v>
      </c>
      <c r="L311" s="1119">
        <v>7.373300000000004</v>
      </c>
      <c r="N311" s="1120">
        <v>29.44</v>
      </c>
      <c r="O311" s="1119">
        <v>7.1614000000000004</v>
      </c>
      <c r="P311" s="1119">
        <v>0.87869999999999993</v>
      </c>
      <c r="Q311" s="1119">
        <v>0.87529999999999997</v>
      </c>
      <c r="S311" s="1119">
        <v>7.1614000000000004</v>
      </c>
      <c r="T311" s="1120">
        <v>29.44</v>
      </c>
      <c r="U311" s="1119">
        <v>0.87869999999999993</v>
      </c>
      <c r="V311" s="1119">
        <v>0.87529999999999997</v>
      </c>
    </row>
    <row r="312" spans="4:22">
      <c r="D312" s="1119">
        <v>0.85009999999999941</v>
      </c>
      <c r="E312" s="1119">
        <v>0.85359999999999947</v>
      </c>
      <c r="F312" s="1120">
        <v>34.18</v>
      </c>
      <c r="G312" s="1119">
        <v>7.3724000000000043</v>
      </c>
      <c r="I312" s="1119">
        <v>0.85359999999999947</v>
      </c>
      <c r="J312" s="1119">
        <v>0.85009999999999941</v>
      </c>
      <c r="K312" s="1120">
        <v>34.18</v>
      </c>
      <c r="L312" s="1119">
        <v>7.3724000000000043</v>
      </c>
      <c r="N312" s="1120">
        <v>29.46</v>
      </c>
      <c r="O312" s="1119">
        <v>7.1622000000000003</v>
      </c>
      <c r="P312" s="1119">
        <v>0.87859999999999994</v>
      </c>
      <c r="Q312" s="1119">
        <v>0.87519999999999998</v>
      </c>
      <c r="S312" s="1119">
        <v>7.1622000000000003</v>
      </c>
      <c r="T312" s="1120">
        <v>29.46</v>
      </c>
      <c r="U312" s="1119">
        <v>0.87859999999999994</v>
      </c>
      <c r="V312" s="1119">
        <v>0.87519999999999998</v>
      </c>
    </row>
    <row r="313" spans="4:22">
      <c r="D313" s="1119">
        <v>0.85019999999999996</v>
      </c>
      <c r="E313" s="1119">
        <v>0.85370000000000001</v>
      </c>
      <c r="F313" s="1120">
        <v>34.159999999999997</v>
      </c>
      <c r="G313" s="1119">
        <v>7.3715000000000011</v>
      </c>
      <c r="I313" s="1119">
        <v>0.85370000000000001</v>
      </c>
      <c r="J313" s="1119">
        <v>0.85019999999999996</v>
      </c>
      <c r="K313" s="1120">
        <v>34.159999999999997</v>
      </c>
      <c r="L313" s="1119">
        <v>7.3715000000000011</v>
      </c>
      <c r="N313" s="1120">
        <v>29.48</v>
      </c>
      <c r="O313" s="1119">
        <v>7.1630000000000003</v>
      </c>
      <c r="P313" s="1119">
        <v>0.87849999999999995</v>
      </c>
      <c r="Q313" s="1119">
        <v>0.87509999999999999</v>
      </c>
      <c r="S313" s="1119">
        <v>7.1630000000000003</v>
      </c>
      <c r="T313" s="1120">
        <v>29.48</v>
      </c>
      <c r="U313" s="1119">
        <v>0.87849999999999995</v>
      </c>
      <c r="V313" s="1119">
        <v>0.87509999999999999</v>
      </c>
    </row>
    <row r="314" spans="4:22">
      <c r="D314" s="1119">
        <v>0.85029999999999994</v>
      </c>
      <c r="E314" s="1119">
        <v>0.8538</v>
      </c>
      <c r="F314" s="1120">
        <v>34.14</v>
      </c>
      <c r="G314" s="1119">
        <v>7.3706000000000014</v>
      </c>
      <c r="I314" s="1119">
        <v>0.8538</v>
      </c>
      <c r="J314" s="1119">
        <v>0.85029999999999994</v>
      </c>
      <c r="K314" s="1120">
        <v>34.14</v>
      </c>
      <c r="L314" s="1119">
        <v>7.3706000000000014</v>
      </c>
      <c r="N314" s="1120">
        <v>29.5</v>
      </c>
      <c r="O314" s="1119">
        <v>7.1638000000000028</v>
      </c>
      <c r="P314" s="1119">
        <v>0.8783999999999994</v>
      </c>
      <c r="Q314" s="1119">
        <v>0.87499999999999944</v>
      </c>
      <c r="S314" s="1119">
        <v>7.1638000000000028</v>
      </c>
      <c r="T314" s="1120">
        <v>29.5</v>
      </c>
      <c r="U314" s="1119">
        <v>0.8783999999999994</v>
      </c>
      <c r="V314" s="1119">
        <v>0.87499999999999944</v>
      </c>
    </row>
    <row r="315" spans="4:22">
      <c r="D315" s="1119">
        <v>0.85039999999999993</v>
      </c>
      <c r="E315" s="1119">
        <v>0.85389999999999999</v>
      </c>
      <c r="F315" s="1120">
        <v>34.119999999999997</v>
      </c>
      <c r="G315" s="1119">
        <v>7.3697000000000017</v>
      </c>
      <c r="I315" s="1119">
        <v>0.85389999999999999</v>
      </c>
      <c r="J315" s="1119">
        <v>0.85039999999999993</v>
      </c>
      <c r="K315" s="1120">
        <v>34.119999999999997</v>
      </c>
      <c r="L315" s="1119">
        <v>7.3697000000000017</v>
      </c>
      <c r="N315" s="1120">
        <v>29.52</v>
      </c>
      <c r="O315" s="1119">
        <v>7.1646000000000027</v>
      </c>
      <c r="P315" s="1119">
        <v>0.87829999999999941</v>
      </c>
      <c r="Q315" s="1119">
        <v>0.87489999999999946</v>
      </c>
      <c r="S315" s="1119">
        <v>7.1646000000000027</v>
      </c>
      <c r="T315" s="1120">
        <v>29.52</v>
      </c>
      <c r="U315" s="1119">
        <v>0.87829999999999941</v>
      </c>
      <c r="V315" s="1119">
        <v>0.87489999999999946</v>
      </c>
    </row>
    <row r="316" spans="4:22">
      <c r="D316" s="1119">
        <v>0.85049999999999992</v>
      </c>
      <c r="E316" s="1119">
        <v>0.85399999999999998</v>
      </c>
      <c r="F316" s="1120">
        <v>34.1</v>
      </c>
      <c r="G316" s="1119">
        <v>7.368800000000002</v>
      </c>
      <c r="I316" s="1119">
        <v>0.85399999999999998</v>
      </c>
      <c r="J316" s="1119">
        <v>0.85049999999999992</v>
      </c>
      <c r="K316" s="1120">
        <v>34.1</v>
      </c>
      <c r="L316" s="1119">
        <v>7.368800000000002</v>
      </c>
      <c r="N316" s="1120">
        <v>29.53</v>
      </c>
      <c r="O316" s="1119">
        <v>7.1654000000000027</v>
      </c>
      <c r="P316" s="1119">
        <v>0.87819999999999943</v>
      </c>
      <c r="Q316" s="1119">
        <v>0.87479999999999947</v>
      </c>
      <c r="S316" s="1119">
        <v>7.1654000000000027</v>
      </c>
      <c r="T316" s="1120">
        <v>29.53</v>
      </c>
      <c r="U316" s="1119">
        <v>0.87819999999999943</v>
      </c>
      <c r="V316" s="1119">
        <v>0.87479999999999947</v>
      </c>
    </row>
    <row r="317" spans="4:22">
      <c r="D317" s="1119">
        <v>0.85059999999999991</v>
      </c>
      <c r="E317" s="1119">
        <v>0.85409999999999997</v>
      </c>
      <c r="F317" s="1120">
        <v>34.08</v>
      </c>
      <c r="G317" s="1119">
        <v>7.3679000000000023</v>
      </c>
      <c r="I317" s="1119">
        <v>0.85409999999999997</v>
      </c>
      <c r="J317" s="1119">
        <v>0.85059999999999991</v>
      </c>
      <c r="K317" s="1120">
        <v>34.08</v>
      </c>
      <c r="L317" s="1119">
        <v>7.3679000000000023</v>
      </c>
      <c r="N317" s="1120">
        <v>29.55</v>
      </c>
      <c r="O317" s="1119">
        <v>7.1662000000000026</v>
      </c>
      <c r="P317" s="1119">
        <v>0.87809999999999944</v>
      </c>
      <c r="Q317" s="1119">
        <v>0.87469999999999948</v>
      </c>
      <c r="S317" s="1119">
        <v>7.1662000000000026</v>
      </c>
      <c r="T317" s="1120">
        <v>29.55</v>
      </c>
      <c r="U317" s="1119">
        <v>0.87809999999999944</v>
      </c>
      <c r="V317" s="1119">
        <v>0.87469999999999948</v>
      </c>
    </row>
    <row r="318" spans="4:22">
      <c r="D318" s="1119">
        <v>0.8506999999999999</v>
      </c>
      <c r="E318" s="1119">
        <v>0.85419999999999996</v>
      </c>
      <c r="F318" s="1120">
        <v>34.06</v>
      </c>
      <c r="G318" s="1119">
        <v>7.3670000000000027</v>
      </c>
      <c r="I318" s="1119">
        <v>0.85419999999999996</v>
      </c>
      <c r="J318" s="1119">
        <v>0.8506999999999999</v>
      </c>
      <c r="K318" s="1120">
        <v>34.06</v>
      </c>
      <c r="L318" s="1119">
        <v>7.3670000000000027</v>
      </c>
      <c r="N318" s="1120">
        <v>29.57</v>
      </c>
      <c r="O318" s="1119">
        <v>7.1670000000000025</v>
      </c>
      <c r="P318" s="1119">
        <v>0.87799999999999945</v>
      </c>
      <c r="Q318" s="1119">
        <v>0.87459999999999949</v>
      </c>
      <c r="S318" s="1119">
        <v>7.1670000000000025</v>
      </c>
      <c r="T318" s="1120">
        <v>29.57</v>
      </c>
      <c r="U318" s="1119">
        <v>0.87799999999999945</v>
      </c>
      <c r="V318" s="1119">
        <v>0.87459999999999949</v>
      </c>
    </row>
    <row r="319" spans="4:22">
      <c r="D319" s="1119">
        <v>0.85079999999999989</v>
      </c>
      <c r="E319" s="1119">
        <v>0.85429999999999995</v>
      </c>
      <c r="F319" s="1120">
        <v>34.04</v>
      </c>
      <c r="G319" s="1119">
        <v>7.366100000000003</v>
      </c>
      <c r="I319" s="1119">
        <v>0.85429999999999995</v>
      </c>
      <c r="J319" s="1119">
        <v>0.85079999999999989</v>
      </c>
      <c r="K319" s="1120">
        <v>34.04</v>
      </c>
      <c r="L319" s="1119">
        <v>7.366100000000003</v>
      </c>
      <c r="N319" s="1120">
        <v>29.59</v>
      </c>
      <c r="O319" s="1119">
        <v>7.1678000000000024</v>
      </c>
      <c r="P319" s="1119">
        <v>0.87789999999999946</v>
      </c>
      <c r="Q319" s="1119">
        <v>0.8744999999999995</v>
      </c>
      <c r="S319" s="1119">
        <v>7.1678000000000024</v>
      </c>
      <c r="T319" s="1120">
        <v>29.59</v>
      </c>
      <c r="U319" s="1119">
        <v>0.87789999999999946</v>
      </c>
      <c r="V319" s="1119">
        <v>0.8744999999999995</v>
      </c>
    </row>
    <row r="320" spans="4:22">
      <c r="D320" s="1119">
        <v>0.85089999999999988</v>
      </c>
      <c r="E320" s="1119">
        <v>0.85439999999999994</v>
      </c>
      <c r="F320" s="1120">
        <v>34.020000000000003</v>
      </c>
      <c r="G320" s="1119">
        <v>7.3652000000000033</v>
      </c>
      <c r="I320" s="1119">
        <v>0.85439999999999994</v>
      </c>
      <c r="J320" s="1119">
        <v>0.85089999999999988</v>
      </c>
      <c r="K320" s="1120">
        <v>34.020000000000003</v>
      </c>
      <c r="L320" s="1119">
        <v>7.3652000000000033</v>
      </c>
      <c r="N320" s="1120">
        <v>29.61</v>
      </c>
      <c r="O320" s="1119">
        <v>7.1686000000000023</v>
      </c>
      <c r="P320" s="1119">
        <v>0.87779999999999947</v>
      </c>
      <c r="Q320" s="1119">
        <v>0.87439999999999951</v>
      </c>
      <c r="S320" s="1119">
        <v>7.1686000000000023</v>
      </c>
      <c r="T320" s="1120">
        <v>29.61</v>
      </c>
      <c r="U320" s="1119">
        <v>0.87779999999999947</v>
      </c>
      <c r="V320" s="1119">
        <v>0.87439999999999951</v>
      </c>
    </row>
    <row r="321" spans="4:22">
      <c r="D321" s="1119">
        <v>0.85099999999999987</v>
      </c>
      <c r="E321" s="1119">
        <v>0.85449999999999993</v>
      </c>
      <c r="F321" s="1120">
        <v>34.01</v>
      </c>
      <c r="G321" s="1119">
        <v>7.3643000000000036</v>
      </c>
      <c r="I321" s="1119">
        <v>0.85449999999999993</v>
      </c>
      <c r="J321" s="1119">
        <v>0.85099999999999987</v>
      </c>
      <c r="K321" s="1120">
        <v>34.01</v>
      </c>
      <c r="L321" s="1119">
        <v>7.3643000000000036</v>
      </c>
      <c r="N321" s="1120">
        <v>29.63</v>
      </c>
      <c r="O321" s="1119">
        <v>7.1694000000000022</v>
      </c>
      <c r="P321" s="1119">
        <v>0.87769999999999948</v>
      </c>
      <c r="Q321" s="1119">
        <v>0.87429999999999952</v>
      </c>
      <c r="S321" s="1119">
        <v>7.1694000000000022</v>
      </c>
      <c r="T321" s="1120">
        <v>29.63</v>
      </c>
      <c r="U321" s="1119">
        <v>0.87769999999999948</v>
      </c>
      <c r="V321" s="1119">
        <v>0.87429999999999952</v>
      </c>
    </row>
    <row r="322" spans="4:22">
      <c r="D322" s="1119">
        <v>0.85109999999999986</v>
      </c>
      <c r="E322" s="1119">
        <v>0.85459999999999992</v>
      </c>
      <c r="F322" s="1120">
        <v>33.99</v>
      </c>
      <c r="G322" s="1119">
        <v>7.3634000000000039</v>
      </c>
      <c r="I322" s="1119">
        <v>0.85459999999999992</v>
      </c>
      <c r="J322" s="1119">
        <v>0.85109999999999986</v>
      </c>
      <c r="K322" s="1120">
        <v>33.99</v>
      </c>
      <c r="L322" s="1119">
        <v>7.3634000000000039</v>
      </c>
      <c r="N322" s="1120">
        <v>29.65</v>
      </c>
      <c r="O322" s="1119">
        <v>7.1702000000000021</v>
      </c>
      <c r="P322" s="1119">
        <v>0.87759999999999949</v>
      </c>
      <c r="Q322" s="1119">
        <v>0.87419999999999953</v>
      </c>
      <c r="S322" s="1119">
        <v>7.1702000000000021</v>
      </c>
      <c r="T322" s="1120">
        <v>29.65</v>
      </c>
      <c r="U322" s="1119">
        <v>0.87759999999999949</v>
      </c>
      <c r="V322" s="1119">
        <v>0.87419999999999953</v>
      </c>
    </row>
    <row r="323" spans="4:22">
      <c r="D323" s="1119">
        <v>0.85119999999999985</v>
      </c>
      <c r="E323" s="1119">
        <v>0.8546999999999999</v>
      </c>
      <c r="F323" s="1120">
        <v>33.97</v>
      </c>
      <c r="G323" s="1119">
        <v>7.3624999999999998</v>
      </c>
      <c r="I323" s="1119">
        <v>0.8546999999999999</v>
      </c>
      <c r="J323" s="1119">
        <v>0.85119999999999985</v>
      </c>
      <c r="K323" s="1120">
        <v>33.97</v>
      </c>
      <c r="L323" s="1119">
        <v>7.3624999999999998</v>
      </c>
      <c r="N323" s="1120">
        <v>29.67</v>
      </c>
      <c r="O323" s="1119">
        <v>7.171000000000002</v>
      </c>
      <c r="P323" s="1119">
        <v>0.8774999999999995</v>
      </c>
      <c r="Q323" s="1119">
        <v>0.87409999999999954</v>
      </c>
      <c r="S323" s="1119">
        <v>7.171000000000002</v>
      </c>
      <c r="T323" s="1120">
        <v>29.67</v>
      </c>
      <c r="U323" s="1119">
        <v>0.8774999999999995</v>
      </c>
      <c r="V323" s="1119">
        <v>0.87409999999999954</v>
      </c>
    </row>
    <row r="324" spans="4:22">
      <c r="D324" s="1119">
        <v>0.85129999999999983</v>
      </c>
      <c r="E324" s="1119">
        <v>0.85479999999999989</v>
      </c>
      <c r="F324" s="1120">
        <v>33.950000000000003</v>
      </c>
      <c r="G324" s="1119">
        <v>7.3616000000000046</v>
      </c>
      <c r="I324" s="1119">
        <v>0.85479999999999989</v>
      </c>
      <c r="J324" s="1119">
        <v>0.85129999999999983</v>
      </c>
      <c r="K324" s="1120">
        <v>33.950000000000003</v>
      </c>
      <c r="L324" s="1119">
        <v>7.3616000000000046</v>
      </c>
      <c r="N324" s="1120">
        <v>29.68</v>
      </c>
      <c r="O324" s="1119">
        <v>7.171800000000002</v>
      </c>
      <c r="P324" s="1119">
        <v>0.87739999999999951</v>
      </c>
      <c r="Q324" s="1119">
        <v>0.87399999999999956</v>
      </c>
      <c r="S324" s="1119">
        <v>7.171800000000002</v>
      </c>
      <c r="T324" s="1120">
        <v>29.68</v>
      </c>
      <c r="U324" s="1119">
        <v>0.87739999999999951</v>
      </c>
      <c r="V324" s="1119">
        <v>0.87399999999999956</v>
      </c>
    </row>
    <row r="325" spans="4:22">
      <c r="D325" s="1119">
        <v>0.85139999999999982</v>
      </c>
      <c r="E325" s="1119">
        <v>0.85489999999999988</v>
      </c>
      <c r="F325" s="1120">
        <v>33.93</v>
      </c>
      <c r="G325" s="1119">
        <v>7.3607000000000049</v>
      </c>
      <c r="I325" s="1119">
        <v>0.85489999999999988</v>
      </c>
      <c r="J325" s="1119">
        <v>0.85139999999999982</v>
      </c>
      <c r="K325" s="1120">
        <v>33.93</v>
      </c>
      <c r="L325" s="1119">
        <v>7.3607000000000049</v>
      </c>
      <c r="N325" s="1120">
        <v>29.7</v>
      </c>
      <c r="O325" s="1119">
        <v>7.1726000000000019</v>
      </c>
      <c r="P325" s="1119">
        <v>0.87729999999999952</v>
      </c>
      <c r="Q325" s="1119">
        <v>0.87389999999999957</v>
      </c>
      <c r="S325" s="1119">
        <v>7.1726000000000019</v>
      </c>
      <c r="T325" s="1120">
        <v>29.7</v>
      </c>
      <c r="U325" s="1119">
        <v>0.87729999999999952</v>
      </c>
      <c r="V325" s="1119">
        <v>0.87389999999999957</v>
      </c>
    </row>
    <row r="326" spans="4:22">
      <c r="D326" s="1119">
        <v>0.85149999999999981</v>
      </c>
      <c r="E326" s="1119">
        <v>0.85499999999999998</v>
      </c>
      <c r="F326" s="1120">
        <v>33.909999999999997</v>
      </c>
      <c r="G326" s="1119">
        <v>7.3598000000000052</v>
      </c>
      <c r="I326" s="1119">
        <v>0.85499999999999998</v>
      </c>
      <c r="J326" s="1119">
        <v>0.85149999999999981</v>
      </c>
      <c r="K326" s="1120">
        <v>33.909999999999997</v>
      </c>
      <c r="L326" s="1119">
        <v>7.3598000000000052</v>
      </c>
      <c r="N326" s="1120">
        <v>29.72</v>
      </c>
      <c r="O326" s="1119">
        <v>7.1734000000000018</v>
      </c>
      <c r="P326" s="1119">
        <v>0.87719999999999954</v>
      </c>
      <c r="Q326" s="1119">
        <v>0.87379999999999958</v>
      </c>
      <c r="S326" s="1119">
        <v>7.1734000000000018</v>
      </c>
      <c r="T326" s="1120">
        <v>29.72</v>
      </c>
      <c r="U326" s="1119">
        <v>0.87719999999999954</v>
      </c>
      <c r="V326" s="1119">
        <v>0.87379999999999958</v>
      </c>
    </row>
    <row r="327" spans="4:22">
      <c r="D327" s="1119">
        <v>0.8515999999999998</v>
      </c>
      <c r="E327" s="1119">
        <v>0.85509999999999986</v>
      </c>
      <c r="F327" s="1120">
        <v>33.89</v>
      </c>
      <c r="G327" s="1119">
        <v>7.359</v>
      </c>
      <c r="I327" s="1119">
        <v>0.85509999999999986</v>
      </c>
      <c r="J327" s="1119">
        <v>0.8515999999999998</v>
      </c>
      <c r="K327" s="1120">
        <v>33.89</v>
      </c>
      <c r="L327" s="1119">
        <v>7.359</v>
      </c>
      <c r="N327" s="1120">
        <v>29.74</v>
      </c>
      <c r="O327" s="1119">
        <v>7.1742000000000017</v>
      </c>
      <c r="P327" s="1119">
        <v>0.87709999999999955</v>
      </c>
      <c r="Q327" s="1119">
        <v>0.87369999999999959</v>
      </c>
      <c r="S327" s="1119">
        <v>7.1742000000000017</v>
      </c>
      <c r="T327" s="1120">
        <v>29.74</v>
      </c>
      <c r="U327" s="1119">
        <v>0.87709999999999955</v>
      </c>
      <c r="V327" s="1119">
        <v>0.87369999999999959</v>
      </c>
    </row>
    <row r="328" spans="4:22">
      <c r="D328" s="1119">
        <v>0.85169999999999979</v>
      </c>
      <c r="E328" s="1119">
        <v>0.85519999999999985</v>
      </c>
      <c r="F328" s="1120">
        <v>33.869999999999997</v>
      </c>
      <c r="G328" s="1119">
        <v>7.3582000000000001</v>
      </c>
      <c r="I328" s="1119">
        <v>0.85519999999999985</v>
      </c>
      <c r="J328" s="1119">
        <v>0.85169999999999979</v>
      </c>
      <c r="K328" s="1120">
        <v>33.869999999999997</v>
      </c>
      <c r="L328" s="1119">
        <v>7.3582000000000001</v>
      </c>
      <c r="N328" s="1120">
        <v>29.76</v>
      </c>
      <c r="O328" s="1119">
        <v>7.1749999999999998</v>
      </c>
      <c r="P328" s="1119">
        <v>0.87699999999999956</v>
      </c>
      <c r="Q328" s="1119">
        <v>0.8735999999999996</v>
      </c>
      <c r="S328" s="1119">
        <v>7.1749999999999998</v>
      </c>
      <c r="T328" s="1120">
        <v>29.76</v>
      </c>
      <c r="U328" s="1119">
        <v>0.87699999999999956</v>
      </c>
      <c r="V328" s="1119">
        <v>0.8735999999999996</v>
      </c>
    </row>
    <row r="329" spans="4:22">
      <c r="D329" s="1119">
        <v>0.85179999999999978</v>
      </c>
      <c r="E329" s="1119">
        <v>0.85529999999999984</v>
      </c>
      <c r="F329" s="1120">
        <v>33.85</v>
      </c>
      <c r="G329" s="1119">
        <v>7.3574000000000002</v>
      </c>
      <c r="I329" s="1119">
        <v>0.85529999999999984</v>
      </c>
      <c r="J329" s="1119">
        <v>0.85179999999999978</v>
      </c>
      <c r="K329" s="1120">
        <v>33.85</v>
      </c>
      <c r="L329" s="1119">
        <v>7.3574000000000002</v>
      </c>
      <c r="N329" s="1120">
        <v>29.78</v>
      </c>
      <c r="O329" s="1119">
        <v>7.1758000000000015</v>
      </c>
      <c r="P329" s="1119">
        <v>0.87689999999999957</v>
      </c>
      <c r="Q329" s="1119">
        <v>0.87349999999999961</v>
      </c>
      <c r="S329" s="1119">
        <v>7.1758000000000015</v>
      </c>
      <c r="T329" s="1120">
        <v>29.78</v>
      </c>
      <c r="U329" s="1119">
        <v>0.87689999999999957</v>
      </c>
      <c r="V329" s="1119">
        <v>0.87349999999999961</v>
      </c>
    </row>
    <row r="330" spans="4:22">
      <c r="D330" s="1119">
        <v>0.85189999999999977</v>
      </c>
      <c r="E330" s="1119">
        <v>0.85539999999999983</v>
      </c>
      <c r="F330" s="1120">
        <v>33.83</v>
      </c>
      <c r="G330" s="1119">
        <v>7.3566000000000003</v>
      </c>
      <c r="I330" s="1119">
        <v>0.85539999999999983</v>
      </c>
      <c r="J330" s="1119">
        <v>0.85189999999999977</v>
      </c>
      <c r="K330" s="1120">
        <v>33.83</v>
      </c>
      <c r="L330" s="1119">
        <v>7.3566000000000003</v>
      </c>
      <c r="N330" s="1120">
        <v>29.8</v>
      </c>
      <c r="O330" s="1119">
        <v>7.1766000000000014</v>
      </c>
      <c r="P330" s="1119">
        <v>0.87679999999999958</v>
      </c>
      <c r="Q330" s="1119">
        <v>0.87339999999999962</v>
      </c>
      <c r="S330" s="1119">
        <v>7.1766000000000014</v>
      </c>
      <c r="T330" s="1120">
        <v>29.8</v>
      </c>
      <c r="U330" s="1119">
        <v>0.87679999999999958</v>
      </c>
      <c r="V330" s="1119">
        <v>0.87339999999999962</v>
      </c>
    </row>
    <row r="331" spans="4:22">
      <c r="D331" s="1119">
        <v>0.85199999999999976</v>
      </c>
      <c r="E331" s="1119">
        <v>0.85549999999999982</v>
      </c>
      <c r="F331" s="1120">
        <v>33.82</v>
      </c>
      <c r="G331" s="1119">
        <v>7.3558000000000003</v>
      </c>
      <c r="I331" s="1119">
        <v>0.85549999999999982</v>
      </c>
      <c r="J331" s="1119">
        <v>0.85199999999999976</v>
      </c>
      <c r="K331" s="1120">
        <v>33.82</v>
      </c>
      <c r="L331" s="1119">
        <v>7.3558000000000003</v>
      </c>
      <c r="N331" s="1120">
        <v>29.81</v>
      </c>
      <c r="O331" s="1119">
        <v>7.1774000000000013</v>
      </c>
      <c r="P331" s="1119">
        <v>0.87669999999999959</v>
      </c>
      <c r="Q331" s="1119">
        <v>0.87329999999999963</v>
      </c>
      <c r="S331" s="1119">
        <v>7.1774000000000013</v>
      </c>
      <c r="T331" s="1120">
        <v>29.81</v>
      </c>
      <c r="U331" s="1119">
        <v>0.87669999999999959</v>
      </c>
      <c r="V331" s="1119">
        <v>0.87329999999999963</v>
      </c>
    </row>
    <row r="332" spans="4:22">
      <c r="D332" s="1119">
        <v>0.85209999999999975</v>
      </c>
      <c r="E332" s="1119">
        <v>0.85559999999999981</v>
      </c>
      <c r="F332" s="1120">
        <v>33.799999999999997</v>
      </c>
      <c r="G332" s="1119">
        <v>7.3550000000000004</v>
      </c>
      <c r="I332" s="1119">
        <v>0.85559999999999981</v>
      </c>
      <c r="J332" s="1119">
        <v>0.85209999999999975</v>
      </c>
      <c r="K332" s="1120">
        <v>33.799999999999997</v>
      </c>
      <c r="L332" s="1119">
        <v>7.3550000000000004</v>
      </c>
      <c r="N332" s="1120">
        <v>29.83</v>
      </c>
      <c r="O332" s="1119">
        <v>7.1782000000000012</v>
      </c>
      <c r="P332" s="1119">
        <v>0.8765999999999996</v>
      </c>
      <c r="Q332" s="1119">
        <v>0.87319999999999964</v>
      </c>
      <c r="S332" s="1119">
        <v>7.1782000000000012</v>
      </c>
      <c r="T332" s="1120">
        <v>29.83</v>
      </c>
      <c r="U332" s="1119">
        <v>0.8765999999999996</v>
      </c>
      <c r="V332" s="1119">
        <v>0.87319999999999964</v>
      </c>
    </row>
    <row r="333" spans="4:22">
      <c r="D333" s="1119">
        <v>0.85219999999999974</v>
      </c>
      <c r="E333" s="1119">
        <v>0.85569999999999979</v>
      </c>
      <c r="F333" s="1120">
        <v>33.78</v>
      </c>
      <c r="G333" s="1119">
        <v>7.3542000000000005</v>
      </c>
      <c r="I333" s="1119">
        <v>0.85569999999999979</v>
      </c>
      <c r="J333" s="1119">
        <v>0.85219999999999974</v>
      </c>
      <c r="K333" s="1120">
        <v>33.78</v>
      </c>
      <c r="L333" s="1119">
        <v>7.3542000000000005</v>
      </c>
      <c r="N333" s="1120">
        <v>29.85</v>
      </c>
      <c r="O333" s="1119">
        <v>7.1790000000000012</v>
      </c>
      <c r="P333" s="1119">
        <v>0.87649999999999961</v>
      </c>
      <c r="Q333" s="1119">
        <v>0.87309999999999965</v>
      </c>
      <c r="S333" s="1119">
        <v>7.1790000000000012</v>
      </c>
      <c r="T333" s="1120">
        <v>29.85</v>
      </c>
      <c r="U333" s="1119">
        <v>0.87649999999999961</v>
      </c>
      <c r="V333" s="1119">
        <v>0.87309999999999965</v>
      </c>
    </row>
    <row r="334" spans="4:22">
      <c r="D334" s="1119">
        <v>0.85229999999999972</v>
      </c>
      <c r="E334" s="1119">
        <v>0.85579999999999978</v>
      </c>
      <c r="F334" s="1120">
        <v>33.76</v>
      </c>
      <c r="G334" s="1119">
        <v>7.3534000000000006</v>
      </c>
      <c r="I334" s="1119">
        <v>0.85579999999999978</v>
      </c>
      <c r="J334" s="1119">
        <v>0.85229999999999972</v>
      </c>
      <c r="K334" s="1120">
        <v>33.76</v>
      </c>
      <c r="L334" s="1119">
        <v>7.3534000000000006</v>
      </c>
      <c r="N334" s="1120">
        <v>29.87</v>
      </c>
      <c r="O334" s="1119">
        <v>7.1798000000000011</v>
      </c>
      <c r="P334" s="1119">
        <v>0.87639999999999962</v>
      </c>
      <c r="Q334" s="1119">
        <v>0.87299999999999967</v>
      </c>
      <c r="S334" s="1119">
        <v>7.1798000000000011</v>
      </c>
      <c r="T334" s="1120">
        <v>29.87</v>
      </c>
      <c r="U334" s="1119">
        <v>0.87639999999999962</v>
      </c>
      <c r="V334" s="1119">
        <v>0.87299999999999967</v>
      </c>
    </row>
    <row r="335" spans="4:22">
      <c r="D335" s="1119">
        <v>0.85239999999999971</v>
      </c>
      <c r="E335" s="1119">
        <v>0.85589999999999977</v>
      </c>
      <c r="F335" s="1120">
        <v>33.74</v>
      </c>
      <c r="G335" s="1119">
        <v>7.3526000000000007</v>
      </c>
      <c r="I335" s="1119">
        <v>0.85589999999999977</v>
      </c>
      <c r="J335" s="1119">
        <v>0.85239999999999971</v>
      </c>
      <c r="K335" s="1120">
        <v>33.74</v>
      </c>
      <c r="L335" s="1119">
        <v>7.3526000000000007</v>
      </c>
      <c r="N335" s="1120">
        <v>29.89</v>
      </c>
      <c r="O335" s="1119">
        <v>7.180600000000001</v>
      </c>
      <c r="P335" s="1119">
        <v>0.87629999999999963</v>
      </c>
      <c r="Q335" s="1119">
        <v>0.87289999999999968</v>
      </c>
      <c r="S335" s="1119">
        <v>7.180600000000001</v>
      </c>
      <c r="T335" s="1120">
        <v>29.89</v>
      </c>
      <c r="U335" s="1119">
        <v>0.87629999999999963</v>
      </c>
      <c r="V335" s="1119">
        <v>0.87289999999999968</v>
      </c>
    </row>
    <row r="336" spans="4:22">
      <c r="D336" s="1119">
        <v>0.85250000000000004</v>
      </c>
      <c r="E336" s="1119">
        <v>0.85599999999999976</v>
      </c>
      <c r="F336" s="1120">
        <v>33.72</v>
      </c>
      <c r="G336" s="1119">
        <v>7.3518000000000008</v>
      </c>
      <c r="I336" s="1119">
        <v>0.85599999999999976</v>
      </c>
      <c r="J336" s="1119">
        <v>0.85250000000000004</v>
      </c>
      <c r="K336" s="1120">
        <v>33.72</v>
      </c>
      <c r="L336" s="1119">
        <v>7.3518000000000008</v>
      </c>
      <c r="N336" s="1120">
        <v>29.9</v>
      </c>
      <c r="O336" s="1119">
        <v>7.1814000000000009</v>
      </c>
      <c r="P336" s="1119">
        <v>0.87619999999999965</v>
      </c>
      <c r="Q336" s="1119">
        <v>0.87279999999999969</v>
      </c>
      <c r="S336" s="1119">
        <v>7.1814000000000009</v>
      </c>
      <c r="T336" s="1120">
        <v>29.9</v>
      </c>
      <c r="U336" s="1119">
        <v>0.87619999999999965</v>
      </c>
      <c r="V336" s="1119">
        <v>0.87279999999999969</v>
      </c>
    </row>
    <row r="337" spans="4:22">
      <c r="D337" s="1119">
        <v>0.85259999999999969</v>
      </c>
      <c r="E337" s="1119">
        <v>0.85609999999999975</v>
      </c>
      <c r="F337" s="1120">
        <v>33.700000000000003</v>
      </c>
      <c r="G337" s="1119">
        <v>7.3509000000000011</v>
      </c>
      <c r="I337" s="1119">
        <v>0.85609999999999975</v>
      </c>
      <c r="J337" s="1119">
        <v>0.85259999999999969</v>
      </c>
      <c r="K337" s="1120">
        <v>33.700000000000003</v>
      </c>
      <c r="L337" s="1119">
        <v>7.3509000000000011</v>
      </c>
      <c r="N337" s="1120">
        <v>29.92</v>
      </c>
      <c r="O337" s="1119">
        <v>7.1822000000000008</v>
      </c>
      <c r="P337" s="1119">
        <v>0.87609999999999966</v>
      </c>
      <c r="Q337" s="1119">
        <v>0.8726999999999997</v>
      </c>
      <c r="S337" s="1119">
        <v>7.1822000000000008</v>
      </c>
      <c r="T337" s="1120">
        <v>29.92</v>
      </c>
      <c r="U337" s="1119">
        <v>0.87609999999999966</v>
      </c>
      <c r="V337" s="1119">
        <v>0.8726999999999997</v>
      </c>
    </row>
    <row r="338" spans="4:22">
      <c r="D338" s="1119">
        <v>0.85269999999999968</v>
      </c>
      <c r="E338" s="1119">
        <v>0.85619999999999974</v>
      </c>
      <c r="F338" s="1120">
        <v>33.68</v>
      </c>
      <c r="G338" s="1119">
        <v>7.35</v>
      </c>
      <c r="I338" s="1119">
        <v>0.85619999999999974</v>
      </c>
      <c r="J338" s="1119">
        <v>0.85269999999999968</v>
      </c>
      <c r="K338" s="1120">
        <v>33.68</v>
      </c>
      <c r="L338" s="1119">
        <v>7.35</v>
      </c>
      <c r="N338" s="1120">
        <v>29.94</v>
      </c>
      <c r="O338" s="1119">
        <v>7.1830000000000007</v>
      </c>
      <c r="P338" s="1119">
        <v>0.87599999999999967</v>
      </c>
      <c r="Q338" s="1119">
        <v>0.87259999999999971</v>
      </c>
      <c r="S338" s="1119">
        <v>7.1830000000000007</v>
      </c>
      <c r="T338" s="1120">
        <v>29.94</v>
      </c>
      <c r="U338" s="1119">
        <v>0.87599999999999967</v>
      </c>
      <c r="V338" s="1119">
        <v>0.87259999999999971</v>
      </c>
    </row>
    <row r="339" spans="4:22">
      <c r="D339" s="1119">
        <v>0.85279999999999967</v>
      </c>
      <c r="E339" s="1119">
        <v>0.85629999999999973</v>
      </c>
      <c r="F339" s="1120">
        <v>33.659999999999997</v>
      </c>
      <c r="G339" s="1119">
        <v>7.3491000000000017</v>
      </c>
      <c r="I339" s="1119">
        <v>0.85629999999999973</v>
      </c>
      <c r="J339" s="1119">
        <v>0.85279999999999967</v>
      </c>
      <c r="K339" s="1120">
        <v>33.659999999999997</v>
      </c>
      <c r="L339" s="1119">
        <v>7.3491000000000017</v>
      </c>
      <c r="N339" s="1120">
        <v>29.96</v>
      </c>
      <c r="O339" s="1119">
        <v>7.1838000000000006</v>
      </c>
      <c r="P339" s="1119">
        <v>0.87589999999999968</v>
      </c>
      <c r="Q339" s="1119">
        <v>0.87250000000000005</v>
      </c>
      <c r="S339" s="1119">
        <v>7.1838000000000006</v>
      </c>
      <c r="T339" s="1120">
        <v>29.96</v>
      </c>
      <c r="U339" s="1119">
        <v>0.87589999999999968</v>
      </c>
      <c r="V339" s="1119">
        <v>0.87250000000000005</v>
      </c>
    </row>
    <row r="340" spans="4:22">
      <c r="D340" s="1119">
        <v>0.85289999999999966</v>
      </c>
      <c r="E340" s="1119">
        <v>0.85639999999999972</v>
      </c>
      <c r="F340" s="1120">
        <v>33.64</v>
      </c>
      <c r="G340" s="1119">
        <v>7.3482000000000021</v>
      </c>
      <c r="I340" s="1119">
        <v>0.85639999999999972</v>
      </c>
      <c r="J340" s="1119">
        <v>0.85289999999999966</v>
      </c>
      <c r="K340" s="1120">
        <v>33.64</v>
      </c>
      <c r="L340" s="1119">
        <v>7.3482000000000021</v>
      </c>
      <c r="N340" s="1120">
        <v>29.98</v>
      </c>
      <c r="O340" s="1119">
        <v>7.1846000000000005</v>
      </c>
      <c r="P340" s="1119">
        <v>0.87579999999999969</v>
      </c>
      <c r="Q340" s="1119">
        <v>0.87239999999999973</v>
      </c>
      <c r="S340" s="1119">
        <v>7.1846000000000005</v>
      </c>
      <c r="T340" s="1120">
        <v>29.98</v>
      </c>
      <c r="U340" s="1119">
        <v>0.87579999999999969</v>
      </c>
      <c r="V340" s="1119">
        <v>0.87239999999999973</v>
      </c>
    </row>
    <row r="341" spans="4:22">
      <c r="D341" s="1119">
        <v>0.85299999999999965</v>
      </c>
      <c r="E341" s="1119">
        <v>0.85649999999999971</v>
      </c>
      <c r="F341" s="1120">
        <v>33.619999999999997</v>
      </c>
      <c r="G341" s="1119">
        <v>7.3473000000000024</v>
      </c>
      <c r="I341" s="1119">
        <v>0.85649999999999971</v>
      </c>
      <c r="J341" s="1119">
        <v>0.85299999999999965</v>
      </c>
      <c r="K341" s="1120">
        <v>33.619999999999997</v>
      </c>
      <c r="L341" s="1119">
        <v>7.3473000000000024</v>
      </c>
      <c r="N341" s="1120">
        <v>30</v>
      </c>
      <c r="O341" s="1119">
        <v>7.1854000000000005</v>
      </c>
      <c r="P341" s="1119">
        <v>0.8756999999999997</v>
      </c>
      <c r="Q341" s="1119">
        <v>0.87229999999999974</v>
      </c>
      <c r="S341" s="1119">
        <v>7.1854000000000005</v>
      </c>
      <c r="T341" s="1120">
        <v>30</v>
      </c>
      <c r="U341" s="1119">
        <v>0.8756999999999997</v>
      </c>
      <c r="V341" s="1119">
        <v>0.87229999999999974</v>
      </c>
    </row>
    <row r="342" spans="4:22">
      <c r="D342" s="1119">
        <v>0.85309999999999964</v>
      </c>
      <c r="E342" s="1119">
        <v>0.85659999999999969</v>
      </c>
      <c r="F342" s="1120">
        <v>33.6</v>
      </c>
      <c r="G342" s="1119">
        <v>7.3464000000000027</v>
      </c>
      <c r="I342" s="1119">
        <v>0.85659999999999969</v>
      </c>
      <c r="J342" s="1119">
        <v>0.85309999999999964</v>
      </c>
      <c r="K342" s="1120">
        <v>33.6</v>
      </c>
      <c r="L342" s="1119">
        <v>7.3464000000000027</v>
      </c>
      <c r="N342" s="1120">
        <v>30.02</v>
      </c>
      <c r="O342" s="1119">
        <v>7.1862000000000004</v>
      </c>
      <c r="P342" s="1119">
        <v>0.87559999999999971</v>
      </c>
      <c r="Q342" s="1119">
        <v>0.87219999999999975</v>
      </c>
      <c r="S342" s="1119">
        <v>7.1862000000000004</v>
      </c>
      <c r="T342" s="1120">
        <v>30.02</v>
      </c>
      <c r="U342" s="1119">
        <v>0.87559999999999971</v>
      </c>
      <c r="V342" s="1119">
        <v>0.87219999999999975</v>
      </c>
    </row>
    <row r="343" spans="4:22">
      <c r="D343" s="1119">
        <v>0.85319999999999963</v>
      </c>
      <c r="E343" s="1119">
        <v>0.85669999999999968</v>
      </c>
      <c r="F343" s="1120">
        <v>33.58</v>
      </c>
      <c r="G343" s="1119">
        <v>7.345500000000003</v>
      </c>
      <c r="I343" s="1119">
        <v>0.85669999999999968</v>
      </c>
      <c r="J343" s="1119">
        <v>0.85319999999999963</v>
      </c>
      <c r="K343" s="1120">
        <v>33.58</v>
      </c>
      <c r="L343" s="1119">
        <v>7.345500000000003</v>
      </c>
      <c r="N343" s="1120">
        <v>30.04</v>
      </c>
      <c r="O343" s="1119">
        <v>7.1870000000000003</v>
      </c>
      <c r="P343" s="1119">
        <v>0.87549999999999972</v>
      </c>
      <c r="Q343" s="1119">
        <v>0.87209999999999976</v>
      </c>
      <c r="S343" s="1119">
        <v>7.1870000000000003</v>
      </c>
      <c r="T343" s="1120">
        <v>30.04</v>
      </c>
      <c r="U343" s="1119">
        <v>0.87549999999999972</v>
      </c>
      <c r="V343" s="1119">
        <v>0.87209999999999976</v>
      </c>
    </row>
    <row r="344" spans="4:22">
      <c r="D344" s="1119">
        <v>0.85329999999999961</v>
      </c>
      <c r="E344" s="1119">
        <v>0.85679999999999967</v>
      </c>
      <c r="F344" s="1120">
        <v>33.56</v>
      </c>
      <c r="G344" s="1119">
        <v>7.3446000000000033</v>
      </c>
      <c r="I344" s="1119">
        <v>0.85679999999999967</v>
      </c>
      <c r="J344" s="1119">
        <v>0.85329999999999961</v>
      </c>
      <c r="K344" s="1120">
        <v>33.56</v>
      </c>
      <c r="L344" s="1119">
        <v>7.3446000000000033</v>
      </c>
      <c r="N344" s="1120">
        <v>30.05</v>
      </c>
      <c r="O344" s="1119">
        <v>7.1878000000000002</v>
      </c>
      <c r="P344" s="1119">
        <v>0.87539999999999973</v>
      </c>
      <c r="Q344" s="1119">
        <v>0.87199999999999978</v>
      </c>
      <c r="S344" s="1119">
        <v>7.1878000000000002</v>
      </c>
      <c r="T344" s="1120">
        <v>30.05</v>
      </c>
      <c r="U344" s="1119">
        <v>0.87539999999999973</v>
      </c>
      <c r="V344" s="1119">
        <v>0.87199999999999978</v>
      </c>
    </row>
    <row r="345" spans="4:22">
      <c r="D345" s="1119">
        <v>0.8533999999999996</v>
      </c>
      <c r="E345" s="1119">
        <v>0.85689999999999966</v>
      </c>
      <c r="F345" s="1120">
        <v>33.54</v>
      </c>
      <c r="G345" s="1119">
        <v>7.3437000000000037</v>
      </c>
      <c r="I345" s="1119">
        <v>0.85689999999999966</v>
      </c>
      <c r="J345" s="1119">
        <v>0.8533999999999996</v>
      </c>
      <c r="K345" s="1120">
        <v>33.54</v>
      </c>
      <c r="L345" s="1119">
        <v>7.3437000000000037</v>
      </c>
      <c r="N345" s="1120">
        <v>30.07</v>
      </c>
      <c r="O345" s="1119">
        <v>7.1886000000000001</v>
      </c>
      <c r="P345" s="1119">
        <v>0.87529999999999974</v>
      </c>
      <c r="Q345" s="1119">
        <v>0.87189999999999979</v>
      </c>
      <c r="S345" s="1119">
        <v>7.1886000000000001</v>
      </c>
      <c r="T345" s="1120">
        <v>30.07</v>
      </c>
      <c r="U345" s="1119">
        <v>0.87529999999999974</v>
      </c>
      <c r="V345" s="1119">
        <v>0.87189999999999979</v>
      </c>
    </row>
    <row r="346" spans="4:22">
      <c r="D346" s="1119">
        <v>0.85349999999999959</v>
      </c>
      <c r="E346" s="1119">
        <v>0.85699999999999965</v>
      </c>
      <c r="F346" s="1120">
        <v>33.520000000000003</v>
      </c>
      <c r="G346" s="1119">
        <v>7.342800000000004</v>
      </c>
      <c r="I346" s="1119">
        <v>0.85699999999999965</v>
      </c>
      <c r="J346" s="1119">
        <v>0.85349999999999959</v>
      </c>
      <c r="K346" s="1120">
        <v>33.520000000000003</v>
      </c>
      <c r="L346" s="1119">
        <v>7.342800000000004</v>
      </c>
      <c r="N346" s="1120">
        <v>30.09</v>
      </c>
      <c r="O346" s="1119">
        <v>7.1894</v>
      </c>
      <c r="P346" s="1119">
        <v>0.87519999999999976</v>
      </c>
      <c r="Q346" s="1119">
        <v>0.8717999999999998</v>
      </c>
      <c r="S346" s="1119">
        <v>7.1894</v>
      </c>
      <c r="T346" s="1120">
        <v>30.09</v>
      </c>
      <c r="U346" s="1119">
        <v>0.87519999999999976</v>
      </c>
      <c r="V346" s="1119">
        <v>0.8717999999999998</v>
      </c>
    </row>
    <row r="347" spans="4:22">
      <c r="D347" s="1119">
        <v>0.85359999999999958</v>
      </c>
      <c r="E347" s="1119">
        <v>0.85709999999999964</v>
      </c>
      <c r="F347" s="1120">
        <v>33.5</v>
      </c>
      <c r="G347" s="1119">
        <v>7.3419000000000043</v>
      </c>
      <c r="I347" s="1119">
        <v>0.85709999999999964</v>
      </c>
      <c r="J347" s="1119">
        <v>0.85359999999999958</v>
      </c>
      <c r="K347" s="1120">
        <v>33.5</v>
      </c>
      <c r="L347" s="1119">
        <v>7.3419000000000043</v>
      </c>
      <c r="N347" s="1120">
        <v>30.11</v>
      </c>
      <c r="O347" s="1119">
        <v>7.1901999999999999</v>
      </c>
      <c r="P347" s="1119">
        <v>0.87509999999999977</v>
      </c>
      <c r="Q347" s="1119">
        <v>0.87169999999999981</v>
      </c>
      <c r="S347" s="1119">
        <v>7.1901999999999999</v>
      </c>
      <c r="T347" s="1120">
        <v>30.11</v>
      </c>
      <c r="U347" s="1119">
        <v>0.87509999999999977</v>
      </c>
      <c r="V347" s="1119">
        <v>0.87169999999999981</v>
      </c>
    </row>
    <row r="348" spans="4:22">
      <c r="D348" s="1119">
        <v>0.85369999999999957</v>
      </c>
      <c r="E348" s="1119">
        <v>0.85719999999999963</v>
      </c>
      <c r="F348" s="1120">
        <v>33.479999999999997</v>
      </c>
      <c r="G348" s="1119">
        <v>7.3410000000000046</v>
      </c>
      <c r="I348" s="1119">
        <v>0.85719999999999963</v>
      </c>
      <c r="J348" s="1119">
        <v>0.85369999999999957</v>
      </c>
      <c r="K348" s="1120">
        <v>33.479999999999997</v>
      </c>
      <c r="L348" s="1119">
        <v>7.3410000000000046</v>
      </c>
      <c r="N348" s="1120">
        <v>30.13</v>
      </c>
      <c r="O348" s="1119">
        <v>7.1909999999999998</v>
      </c>
      <c r="P348" s="1119">
        <v>0.875</v>
      </c>
      <c r="Q348" s="1119">
        <v>0.87159999999999982</v>
      </c>
      <c r="S348" s="1119">
        <v>7.1909999999999998</v>
      </c>
      <c r="T348" s="1120">
        <v>30.13</v>
      </c>
      <c r="U348" s="1119">
        <v>0.875</v>
      </c>
      <c r="V348" s="1119">
        <v>0.87159999999999982</v>
      </c>
    </row>
    <row r="349" spans="4:22">
      <c r="D349" s="1119">
        <v>0.85379999999999956</v>
      </c>
      <c r="E349" s="1119">
        <v>0.85729999999999962</v>
      </c>
      <c r="F349" s="1120">
        <v>33.46</v>
      </c>
      <c r="G349" s="1119">
        <v>7.340100000000005</v>
      </c>
      <c r="I349" s="1119">
        <v>0.85729999999999962</v>
      </c>
      <c r="J349" s="1119">
        <v>0.85379999999999956</v>
      </c>
      <c r="K349" s="1120">
        <v>33.46</v>
      </c>
      <c r="L349" s="1119">
        <v>7.340100000000005</v>
      </c>
      <c r="N349" s="1120">
        <v>30.15</v>
      </c>
      <c r="O349" s="1119">
        <v>7.1919000000000031</v>
      </c>
      <c r="P349" s="1119">
        <v>0.87489999999999979</v>
      </c>
      <c r="Q349" s="1119">
        <v>0.87149999999999983</v>
      </c>
      <c r="S349" s="1119">
        <v>7.1919000000000031</v>
      </c>
      <c r="T349" s="1120">
        <v>30.15</v>
      </c>
      <c r="U349" s="1119">
        <v>0.87489999999999979</v>
      </c>
      <c r="V349" s="1119">
        <v>0.87149999999999983</v>
      </c>
    </row>
    <row r="350" spans="4:22">
      <c r="D350" s="1119">
        <v>0.85389999999999955</v>
      </c>
      <c r="E350" s="1119">
        <v>0.85739999999999961</v>
      </c>
      <c r="F350" s="1120">
        <v>33.44</v>
      </c>
      <c r="G350" s="1119">
        <v>7.3392000000000053</v>
      </c>
      <c r="I350" s="1119">
        <v>0.85739999999999961</v>
      </c>
      <c r="J350" s="1119">
        <v>0.85389999999999955</v>
      </c>
      <c r="K350" s="1120">
        <v>33.44</v>
      </c>
      <c r="L350" s="1119">
        <v>7.3392000000000053</v>
      </c>
      <c r="N350" s="1120">
        <v>30.17</v>
      </c>
      <c r="O350" s="1119">
        <v>7.1928000000000027</v>
      </c>
      <c r="P350" s="1119">
        <v>0.8747999999999998</v>
      </c>
      <c r="Q350" s="1119">
        <v>0.87139999999999984</v>
      </c>
      <c r="S350" s="1119">
        <v>7.1928000000000027</v>
      </c>
      <c r="T350" s="1120">
        <v>30.17</v>
      </c>
      <c r="U350" s="1119">
        <v>0.8747999999999998</v>
      </c>
      <c r="V350" s="1119">
        <v>0.87139999999999984</v>
      </c>
    </row>
    <row r="351" spans="4:22">
      <c r="D351" s="1119">
        <v>0.85399999999999954</v>
      </c>
      <c r="E351" s="1119">
        <v>0.85750000000000004</v>
      </c>
      <c r="F351" s="1120">
        <v>33.43</v>
      </c>
      <c r="G351" s="1119">
        <v>7.3383000000000056</v>
      </c>
      <c r="I351" s="1119">
        <v>0.85750000000000004</v>
      </c>
      <c r="J351" s="1119">
        <v>0.85399999999999954</v>
      </c>
      <c r="K351" s="1120">
        <v>33.43</v>
      </c>
      <c r="L351" s="1119">
        <v>7.3383000000000056</v>
      </c>
      <c r="N351" s="1120">
        <v>30.18</v>
      </c>
      <c r="O351" s="1119">
        <v>7.1937000000000024</v>
      </c>
      <c r="P351" s="1119">
        <v>0.87469999999999981</v>
      </c>
      <c r="Q351" s="1119">
        <v>0.87129999999999985</v>
      </c>
      <c r="S351" s="1119">
        <v>7.1937000000000024</v>
      </c>
      <c r="T351" s="1120">
        <v>30.18</v>
      </c>
      <c r="U351" s="1119">
        <v>0.87469999999999981</v>
      </c>
      <c r="V351" s="1119">
        <v>0.87129999999999985</v>
      </c>
    </row>
    <row r="352" spans="4:22">
      <c r="D352" s="1119">
        <v>0.85409999999999953</v>
      </c>
      <c r="E352" s="1119">
        <v>0.85759999999999958</v>
      </c>
      <c r="F352" s="1120">
        <v>33.409999999999997</v>
      </c>
      <c r="G352" s="1119">
        <v>7.3374000000000059</v>
      </c>
      <c r="I352" s="1119">
        <v>0.85759999999999958</v>
      </c>
      <c r="J352" s="1119">
        <v>0.85409999999999953</v>
      </c>
      <c r="K352" s="1120">
        <v>33.409999999999997</v>
      </c>
      <c r="L352" s="1119">
        <v>7.3374000000000059</v>
      </c>
      <c r="N352" s="1120">
        <v>30.2</v>
      </c>
      <c r="O352" s="1119">
        <v>7.1946000000000021</v>
      </c>
      <c r="P352" s="1119">
        <v>0.87459999999999982</v>
      </c>
      <c r="Q352" s="1119">
        <v>0.87119999999999986</v>
      </c>
      <c r="S352" s="1119">
        <v>7.1946000000000021</v>
      </c>
      <c r="T352" s="1120">
        <v>30.2</v>
      </c>
      <c r="U352" s="1119">
        <v>0.87459999999999982</v>
      </c>
      <c r="V352" s="1119">
        <v>0.87119999999999986</v>
      </c>
    </row>
    <row r="353" spans="4:22">
      <c r="D353" s="1119">
        <v>0.85419999999999952</v>
      </c>
      <c r="E353" s="1119">
        <v>0.85769999999999957</v>
      </c>
      <c r="F353" s="1120">
        <v>33.39</v>
      </c>
      <c r="G353" s="1119">
        <v>7.3365000000000062</v>
      </c>
      <c r="I353" s="1119">
        <v>0.85769999999999957</v>
      </c>
      <c r="J353" s="1119">
        <v>0.85419999999999952</v>
      </c>
      <c r="K353" s="1120">
        <v>33.39</v>
      </c>
      <c r="L353" s="1119">
        <v>7.3365000000000062</v>
      </c>
      <c r="N353" s="1120">
        <v>30.22</v>
      </c>
      <c r="O353" s="1119">
        <v>7.1955000000000018</v>
      </c>
      <c r="P353" s="1119">
        <v>0.87449999999999983</v>
      </c>
      <c r="Q353" s="1119">
        <v>0.87109999999999987</v>
      </c>
      <c r="S353" s="1119">
        <v>7.1955000000000018</v>
      </c>
      <c r="T353" s="1120">
        <v>30.22</v>
      </c>
      <c r="U353" s="1119">
        <v>0.87449999999999983</v>
      </c>
      <c r="V353" s="1119">
        <v>0.87109999999999987</v>
      </c>
    </row>
    <row r="354" spans="4:22">
      <c r="D354" s="1119">
        <v>0.8542999999999995</v>
      </c>
      <c r="E354" s="1119">
        <v>0.85779999999999956</v>
      </c>
      <c r="F354" s="1120">
        <v>33.369999999999997</v>
      </c>
      <c r="G354" s="1119">
        <v>7.3356000000000066</v>
      </c>
      <c r="I354" s="1119">
        <v>0.85779999999999956</v>
      </c>
      <c r="J354" s="1119">
        <v>0.8542999999999995</v>
      </c>
      <c r="K354" s="1120">
        <v>33.369999999999997</v>
      </c>
      <c r="L354" s="1119">
        <v>7.3356000000000066</v>
      </c>
      <c r="N354" s="1120">
        <v>30.24</v>
      </c>
      <c r="O354" s="1119">
        <v>7.1964000000000015</v>
      </c>
      <c r="P354" s="1119">
        <v>0.87439999999999984</v>
      </c>
      <c r="Q354" s="1119">
        <v>0.87099999999999989</v>
      </c>
      <c r="S354" s="1119">
        <v>7.1964000000000015</v>
      </c>
      <c r="T354" s="1120">
        <v>30.24</v>
      </c>
      <c r="U354" s="1119">
        <v>0.87439999999999984</v>
      </c>
      <c r="V354" s="1119">
        <v>0.87099999999999989</v>
      </c>
    </row>
    <row r="355" spans="4:22">
      <c r="D355" s="1119">
        <v>0.85439999999999949</v>
      </c>
      <c r="E355" s="1119">
        <v>0.85789999999999955</v>
      </c>
      <c r="F355" s="1120">
        <v>33.35</v>
      </c>
      <c r="G355" s="1119">
        <v>7.3347000000000069</v>
      </c>
      <c r="I355" s="1119">
        <v>0.85789999999999955</v>
      </c>
      <c r="J355" s="1119">
        <v>0.85439999999999949</v>
      </c>
      <c r="K355" s="1120">
        <v>33.35</v>
      </c>
      <c r="L355" s="1119">
        <v>7.3347000000000069</v>
      </c>
      <c r="N355" s="1120">
        <v>30.26</v>
      </c>
      <c r="O355" s="1119">
        <v>7.1973000000000011</v>
      </c>
      <c r="P355" s="1119">
        <v>0.87429999999999986</v>
      </c>
      <c r="Q355" s="1119">
        <v>0.8708999999999999</v>
      </c>
      <c r="S355" s="1119">
        <v>7.1973000000000011</v>
      </c>
      <c r="T355" s="1120">
        <v>30.26</v>
      </c>
      <c r="U355" s="1119">
        <v>0.87429999999999986</v>
      </c>
      <c r="V355" s="1119">
        <v>0.8708999999999999</v>
      </c>
    </row>
    <row r="356" spans="4:22">
      <c r="D356" s="1119">
        <v>0.85449999999999948</v>
      </c>
      <c r="E356" s="1119">
        <v>0.85799999999999954</v>
      </c>
      <c r="F356" s="1120">
        <v>33.33</v>
      </c>
      <c r="G356" s="1119">
        <v>7.3338000000000072</v>
      </c>
      <c r="I356" s="1119">
        <v>0.85799999999999954</v>
      </c>
      <c r="J356" s="1119">
        <v>0.85449999999999948</v>
      </c>
      <c r="K356" s="1120">
        <v>33.33</v>
      </c>
      <c r="L356" s="1119">
        <v>7.3338000000000072</v>
      </c>
      <c r="N356" s="1120">
        <v>30.27</v>
      </c>
      <c r="O356" s="1119">
        <v>7.1982000000000008</v>
      </c>
      <c r="P356" s="1119">
        <v>0.87419999999999987</v>
      </c>
      <c r="Q356" s="1119">
        <v>0.87079999999999991</v>
      </c>
      <c r="S356" s="1119">
        <v>7.1982000000000008</v>
      </c>
      <c r="T356" s="1120">
        <v>30.27</v>
      </c>
      <c r="U356" s="1119">
        <v>0.87419999999999987</v>
      </c>
      <c r="V356" s="1119">
        <v>0.87079999999999991</v>
      </c>
    </row>
    <row r="357" spans="4:22">
      <c r="D357" s="1119">
        <v>0.85459999999999947</v>
      </c>
      <c r="E357" s="1119">
        <v>0.85809999999999953</v>
      </c>
      <c r="F357" s="1120">
        <v>33.31</v>
      </c>
      <c r="G357" s="1119">
        <v>7.3330000000000073</v>
      </c>
      <c r="I357" s="1119">
        <v>0.85809999999999953</v>
      </c>
      <c r="J357" s="1119">
        <v>0.85459999999999947</v>
      </c>
      <c r="K357" s="1120">
        <v>33.31</v>
      </c>
      <c r="L357" s="1119">
        <v>7.3330000000000073</v>
      </c>
      <c r="N357" s="1120">
        <v>30.29</v>
      </c>
      <c r="O357" s="1119">
        <v>7.1991000000000005</v>
      </c>
      <c r="P357" s="1119">
        <v>0.87409999999999988</v>
      </c>
      <c r="Q357" s="1119">
        <v>0.87069999999999992</v>
      </c>
      <c r="S357" s="1119">
        <v>7.1991000000000005</v>
      </c>
      <c r="T357" s="1120">
        <v>30.29</v>
      </c>
      <c r="U357" s="1119">
        <v>0.87409999999999988</v>
      </c>
      <c r="V357" s="1119">
        <v>0.87069999999999992</v>
      </c>
    </row>
    <row r="358" spans="4:22">
      <c r="D358" s="1119">
        <v>0.85469999999999946</v>
      </c>
      <c r="E358" s="1119">
        <v>0.85819999999999952</v>
      </c>
      <c r="F358" s="1120">
        <v>33.29</v>
      </c>
      <c r="G358" s="1119">
        <v>7.3322000000000074</v>
      </c>
      <c r="I358" s="1119">
        <v>0.85819999999999952</v>
      </c>
      <c r="J358" s="1119">
        <v>0.85469999999999946</v>
      </c>
      <c r="K358" s="1120">
        <v>33.29</v>
      </c>
      <c r="L358" s="1119">
        <v>7.3322000000000074</v>
      </c>
      <c r="N358" s="1120">
        <v>30.31</v>
      </c>
      <c r="O358" s="1119">
        <v>7.2</v>
      </c>
      <c r="P358" s="1119">
        <v>0.87399999999999989</v>
      </c>
      <c r="Q358" s="1119">
        <v>0.87059999999999993</v>
      </c>
      <c r="S358" s="1119">
        <v>7.2</v>
      </c>
      <c r="T358" s="1120">
        <v>30.31</v>
      </c>
      <c r="U358" s="1119">
        <v>0.87399999999999989</v>
      </c>
      <c r="V358" s="1119">
        <v>0.87059999999999993</v>
      </c>
    </row>
    <row r="359" spans="4:22">
      <c r="D359" s="1119">
        <v>0.85479999999999945</v>
      </c>
      <c r="E359" s="1119">
        <v>0.85829999999999951</v>
      </c>
      <c r="F359" s="1120">
        <v>33.270000000000003</v>
      </c>
      <c r="G359" s="1119">
        <v>7.3314000000000075</v>
      </c>
      <c r="I359" s="1119">
        <v>0.85829999999999951</v>
      </c>
      <c r="J359" s="1119">
        <v>0.85479999999999945</v>
      </c>
      <c r="K359" s="1120">
        <v>33.270000000000003</v>
      </c>
      <c r="L359" s="1119">
        <v>7.3314000000000075</v>
      </c>
      <c r="N359" s="1120">
        <v>30.33</v>
      </c>
      <c r="O359" s="1119">
        <v>7.2008000000000001</v>
      </c>
      <c r="P359" s="1119">
        <v>0.8738999999999999</v>
      </c>
      <c r="Q359" s="1119">
        <v>0.87049999999999994</v>
      </c>
      <c r="S359" s="1119">
        <v>7.2008000000000001</v>
      </c>
      <c r="T359" s="1120">
        <v>30.33</v>
      </c>
      <c r="U359" s="1119">
        <v>0.8738999999999999</v>
      </c>
      <c r="V359" s="1119">
        <v>0.87049999999999994</v>
      </c>
    </row>
    <row r="360" spans="4:22">
      <c r="D360" s="1119">
        <v>0.85489999999999944</v>
      </c>
      <c r="E360" s="1119">
        <v>0.8583999999999995</v>
      </c>
      <c r="F360" s="1120">
        <v>33.25</v>
      </c>
      <c r="G360" s="1119">
        <v>7.3306000000000076</v>
      </c>
      <c r="I360" s="1119">
        <v>0.8583999999999995</v>
      </c>
      <c r="J360" s="1119">
        <v>0.85489999999999944</v>
      </c>
      <c r="K360" s="1120">
        <v>33.25</v>
      </c>
      <c r="L360" s="1119">
        <v>7.3306000000000076</v>
      </c>
      <c r="N360" s="1120">
        <v>30.35</v>
      </c>
      <c r="O360" s="1119">
        <v>7.2016</v>
      </c>
      <c r="P360" s="1119">
        <v>0.87379999999999991</v>
      </c>
      <c r="Q360" s="1119">
        <v>0.87039999999999995</v>
      </c>
      <c r="S360" s="1119">
        <v>7.2016</v>
      </c>
      <c r="T360" s="1120">
        <v>30.35</v>
      </c>
      <c r="U360" s="1119">
        <v>0.87379999999999991</v>
      </c>
      <c r="V360" s="1119">
        <v>0.87039999999999995</v>
      </c>
    </row>
    <row r="361" spans="4:22">
      <c r="D361" s="1119">
        <v>0.85499999999999943</v>
      </c>
      <c r="E361" s="1119">
        <v>0.85849999999999949</v>
      </c>
      <c r="F361" s="1120">
        <v>33.24</v>
      </c>
      <c r="G361" s="1119">
        <v>7.3298000000000076</v>
      </c>
      <c r="I361" s="1119">
        <v>0.85849999999999949</v>
      </c>
      <c r="J361" s="1119">
        <v>0.85499999999999943</v>
      </c>
      <c r="K361" s="1120">
        <v>33.24</v>
      </c>
      <c r="L361" s="1119">
        <v>7.3298000000000076</v>
      </c>
      <c r="N361" s="1120">
        <v>30.37</v>
      </c>
      <c r="O361" s="1119">
        <v>7.2023999999999999</v>
      </c>
      <c r="P361" s="1119">
        <v>0.87369999999999992</v>
      </c>
      <c r="Q361" s="1119">
        <v>0.87029999999999996</v>
      </c>
      <c r="S361" s="1119">
        <v>7.2023999999999999</v>
      </c>
      <c r="T361" s="1120">
        <v>30.37</v>
      </c>
      <c r="U361" s="1119">
        <v>0.87369999999999992</v>
      </c>
      <c r="V361" s="1119">
        <v>0.87029999999999996</v>
      </c>
    </row>
    <row r="362" spans="4:22">
      <c r="D362" s="1119">
        <v>0.85509999999999997</v>
      </c>
      <c r="E362" s="1119">
        <v>0.85860000000000003</v>
      </c>
      <c r="F362" s="1120">
        <v>33.22</v>
      </c>
      <c r="G362" s="1119">
        <v>7.3289999999999997</v>
      </c>
      <c r="I362" s="1119">
        <v>0.85860000000000003</v>
      </c>
      <c r="J362" s="1119">
        <v>0.85509999999999997</v>
      </c>
      <c r="K362" s="1120">
        <v>33.22</v>
      </c>
      <c r="L362" s="1119">
        <v>7.3289999999999997</v>
      </c>
      <c r="N362" s="1120">
        <v>30.39</v>
      </c>
      <c r="O362" s="1119">
        <v>7.2031999999999998</v>
      </c>
      <c r="P362" s="1119">
        <v>0.87359999999999993</v>
      </c>
      <c r="Q362" s="1119">
        <v>0.87019999999999997</v>
      </c>
      <c r="S362" s="1119">
        <v>7.2031999999999998</v>
      </c>
      <c r="T362" s="1120">
        <v>30.39</v>
      </c>
      <c r="U362" s="1119">
        <v>0.87359999999999993</v>
      </c>
      <c r="V362" s="1119">
        <v>0.87019999999999997</v>
      </c>
    </row>
    <row r="363" spans="4:22">
      <c r="D363" s="1119">
        <v>0.85519999999999996</v>
      </c>
      <c r="E363" s="1119">
        <v>0.85870000000000002</v>
      </c>
      <c r="F363" s="1120">
        <v>33.200000000000003</v>
      </c>
      <c r="G363" s="1119">
        <v>7.3281999999999998</v>
      </c>
      <c r="I363" s="1119">
        <v>0.85870000000000002</v>
      </c>
      <c r="J363" s="1119">
        <v>0.85519999999999996</v>
      </c>
      <c r="K363" s="1120">
        <v>33.200000000000003</v>
      </c>
      <c r="L363" s="1119">
        <v>7.3281999999999998</v>
      </c>
      <c r="N363" s="1120">
        <v>30.41</v>
      </c>
      <c r="O363" s="1119">
        <v>7.2040000000000077</v>
      </c>
      <c r="P363" s="1119">
        <v>0.8734999999999995</v>
      </c>
      <c r="Q363" s="1119">
        <v>0.87009999999999943</v>
      </c>
      <c r="S363" s="1119">
        <v>7.2040000000000077</v>
      </c>
      <c r="T363" s="1120">
        <v>30.41</v>
      </c>
      <c r="U363" s="1119">
        <v>0.8734999999999995</v>
      </c>
      <c r="V363" s="1119">
        <v>0.87009999999999943</v>
      </c>
    </row>
    <row r="364" spans="4:22">
      <c r="D364" s="1119">
        <v>0.85529999999999995</v>
      </c>
      <c r="E364" s="1119">
        <v>0.85880000000000001</v>
      </c>
      <c r="F364" s="1120">
        <v>33.18</v>
      </c>
      <c r="G364" s="1119">
        <v>7.3273999999999999</v>
      </c>
      <c r="I364" s="1119">
        <v>0.85880000000000001</v>
      </c>
      <c r="J364" s="1119">
        <v>0.85529999999999995</v>
      </c>
      <c r="K364" s="1120">
        <v>33.18</v>
      </c>
      <c r="L364" s="1119">
        <v>7.3273999999999999</v>
      </c>
      <c r="N364" s="1120">
        <v>30.42</v>
      </c>
      <c r="O364" s="1119">
        <v>7.2048000000000076</v>
      </c>
      <c r="P364" s="1119">
        <v>0.87339999999999951</v>
      </c>
      <c r="Q364" s="1119">
        <v>0.86999999999999944</v>
      </c>
      <c r="S364" s="1119">
        <v>7.2048000000000076</v>
      </c>
      <c r="T364" s="1120">
        <v>30.42</v>
      </c>
      <c r="U364" s="1119">
        <v>0.87339999999999951</v>
      </c>
      <c r="V364" s="1119">
        <v>0.86999999999999944</v>
      </c>
    </row>
    <row r="365" spans="4:22">
      <c r="D365" s="1119">
        <v>0.85539999999999994</v>
      </c>
      <c r="E365" s="1119">
        <v>0.8589</v>
      </c>
      <c r="F365" s="1120">
        <v>33.159999999999997</v>
      </c>
      <c r="G365" s="1119">
        <v>7.3266</v>
      </c>
      <c r="I365" s="1119">
        <v>0.8589</v>
      </c>
      <c r="J365" s="1119">
        <v>0.85539999999999994</v>
      </c>
      <c r="K365" s="1120">
        <v>33.159999999999997</v>
      </c>
      <c r="L365" s="1119">
        <v>7.3266</v>
      </c>
      <c r="N365" s="1120">
        <v>30.44</v>
      </c>
      <c r="O365" s="1119">
        <v>7.2056000000000076</v>
      </c>
      <c r="P365" s="1119">
        <v>0.87329999999999952</v>
      </c>
      <c r="Q365" s="1119">
        <v>0.86989999999999945</v>
      </c>
      <c r="S365" s="1119">
        <v>7.2056000000000076</v>
      </c>
      <c r="T365" s="1120">
        <v>30.44</v>
      </c>
      <c r="U365" s="1119">
        <v>0.87329999999999952</v>
      </c>
      <c r="V365" s="1119">
        <v>0.86989999999999945</v>
      </c>
    </row>
    <row r="366" spans="4:22">
      <c r="D366" s="1119">
        <v>0.85549999999999993</v>
      </c>
      <c r="E366" s="1119">
        <v>0.85899999999999999</v>
      </c>
      <c r="F366" s="1120">
        <v>33.14</v>
      </c>
      <c r="G366" s="1119">
        <v>7.3258000000000001</v>
      </c>
      <c r="I366" s="1119">
        <v>0.85899999999999999</v>
      </c>
      <c r="J366" s="1119">
        <v>0.85549999999999993</v>
      </c>
      <c r="K366" s="1120">
        <v>33.14</v>
      </c>
      <c r="L366" s="1119">
        <v>7.3258000000000001</v>
      </c>
      <c r="N366" s="1120">
        <v>30.46</v>
      </c>
      <c r="O366" s="1119">
        <v>7.2064000000000075</v>
      </c>
      <c r="P366" s="1119">
        <v>0.87319999999999953</v>
      </c>
      <c r="Q366" s="1119">
        <v>0.86979999999999946</v>
      </c>
      <c r="S366" s="1119">
        <v>7.2064000000000075</v>
      </c>
      <c r="T366" s="1120">
        <v>30.46</v>
      </c>
      <c r="U366" s="1119">
        <v>0.87319999999999953</v>
      </c>
      <c r="V366" s="1119">
        <v>0.86979999999999946</v>
      </c>
    </row>
    <row r="367" spans="4:22">
      <c r="D367" s="1119">
        <v>0.85559999999999992</v>
      </c>
      <c r="E367" s="1119">
        <v>0.85909999999999997</v>
      </c>
      <c r="F367" s="1120">
        <v>33.119999999999997</v>
      </c>
      <c r="G367" s="1119">
        <v>7.3249000000000004</v>
      </c>
      <c r="I367" s="1119">
        <v>0.85909999999999997</v>
      </c>
      <c r="J367" s="1119">
        <v>0.85559999999999992</v>
      </c>
      <c r="K367" s="1120">
        <v>33.119999999999997</v>
      </c>
      <c r="L367" s="1119">
        <v>7.3249000000000004</v>
      </c>
      <c r="N367" s="1120">
        <v>30.48</v>
      </c>
      <c r="O367" s="1119">
        <v>7.2072000000000074</v>
      </c>
      <c r="P367" s="1119">
        <v>0.87309999999999954</v>
      </c>
      <c r="Q367" s="1119">
        <v>0.86969999999999947</v>
      </c>
      <c r="S367" s="1119">
        <v>7.2072000000000074</v>
      </c>
      <c r="T367" s="1120">
        <v>30.48</v>
      </c>
      <c r="U367" s="1119">
        <v>0.87309999999999954</v>
      </c>
      <c r="V367" s="1119">
        <v>0.86969999999999947</v>
      </c>
    </row>
    <row r="368" spans="4:22">
      <c r="D368" s="1119">
        <v>0.85569999999999991</v>
      </c>
      <c r="E368" s="1119">
        <v>0.85919999999999996</v>
      </c>
      <c r="F368" s="1120">
        <v>33.1</v>
      </c>
      <c r="G368" s="1119">
        <v>7.3240000000000007</v>
      </c>
      <c r="I368" s="1119">
        <v>0.85919999999999996</v>
      </c>
      <c r="J368" s="1119">
        <v>0.85569999999999991</v>
      </c>
      <c r="K368" s="1120">
        <v>33.1</v>
      </c>
      <c r="L368" s="1119">
        <v>7.3240000000000007</v>
      </c>
      <c r="N368" s="1120">
        <v>30.5</v>
      </c>
      <c r="O368" s="1119">
        <v>7.2080000000000073</v>
      </c>
      <c r="P368" s="1119">
        <v>0.87299999999999955</v>
      </c>
      <c r="Q368" s="1119">
        <v>0.86959999999999948</v>
      </c>
      <c r="S368" s="1119">
        <v>7.2080000000000073</v>
      </c>
      <c r="T368" s="1120">
        <v>30.5</v>
      </c>
      <c r="U368" s="1119">
        <v>0.87299999999999955</v>
      </c>
      <c r="V368" s="1119">
        <v>0.86959999999999948</v>
      </c>
    </row>
    <row r="369" spans="4:22">
      <c r="D369" s="1119">
        <v>0.85579999999999989</v>
      </c>
      <c r="E369" s="1119">
        <v>0.85929999999999995</v>
      </c>
      <c r="F369" s="1120">
        <v>33.08</v>
      </c>
      <c r="G369" s="1119">
        <v>7.3231000000000011</v>
      </c>
      <c r="I369" s="1119">
        <v>0.85929999999999995</v>
      </c>
      <c r="J369" s="1119">
        <v>0.85579999999999989</v>
      </c>
      <c r="K369" s="1120">
        <v>33.08</v>
      </c>
      <c r="L369" s="1119">
        <v>7.3231000000000011</v>
      </c>
      <c r="N369" s="1120">
        <v>30.52</v>
      </c>
      <c r="O369" s="1119">
        <v>7.2088000000000072</v>
      </c>
      <c r="P369" s="1119">
        <v>0.87289999999999957</v>
      </c>
      <c r="Q369" s="1119">
        <v>0.8694999999999995</v>
      </c>
      <c r="S369" s="1119">
        <v>7.2088000000000072</v>
      </c>
      <c r="T369" s="1120">
        <v>30.52</v>
      </c>
      <c r="U369" s="1119">
        <v>0.87289999999999957</v>
      </c>
      <c r="V369" s="1119">
        <v>0.8694999999999995</v>
      </c>
    </row>
    <row r="370" spans="4:22">
      <c r="D370" s="1119">
        <v>0.85589999999999988</v>
      </c>
      <c r="E370" s="1119">
        <v>0.85939999999999994</v>
      </c>
      <c r="F370" s="1120">
        <v>33.06</v>
      </c>
      <c r="G370" s="1119">
        <v>7.3222000000000014</v>
      </c>
      <c r="I370" s="1119">
        <v>0.85939999999999994</v>
      </c>
      <c r="J370" s="1119">
        <v>0.85589999999999988</v>
      </c>
      <c r="K370" s="1120">
        <v>33.06</v>
      </c>
      <c r="L370" s="1119">
        <v>7.3222000000000014</v>
      </c>
      <c r="N370" s="1120">
        <v>30.54</v>
      </c>
      <c r="O370" s="1119">
        <v>7.2096000000000071</v>
      </c>
      <c r="P370" s="1119">
        <v>0.87279999999999958</v>
      </c>
      <c r="Q370" s="1119">
        <v>0.86939999999999951</v>
      </c>
      <c r="S370" s="1119">
        <v>7.2096000000000071</v>
      </c>
      <c r="T370" s="1120">
        <v>30.54</v>
      </c>
      <c r="U370" s="1119">
        <v>0.87279999999999958</v>
      </c>
      <c r="V370" s="1119">
        <v>0.86939999999999951</v>
      </c>
    </row>
    <row r="371" spans="4:22">
      <c r="D371" s="1119">
        <v>0.85599999999999987</v>
      </c>
      <c r="E371" s="1119">
        <v>0.85949999999999993</v>
      </c>
      <c r="F371" s="1120">
        <v>33.049999999999997</v>
      </c>
      <c r="G371" s="1119">
        <v>7.3213000000000017</v>
      </c>
      <c r="I371" s="1119">
        <v>0.85949999999999993</v>
      </c>
      <c r="J371" s="1119">
        <v>0.85599999999999987</v>
      </c>
      <c r="K371" s="1120">
        <v>33.049999999999997</v>
      </c>
      <c r="L371" s="1119">
        <v>7.3213000000000017</v>
      </c>
      <c r="N371" s="1120">
        <v>30.55</v>
      </c>
      <c r="O371" s="1119">
        <v>7.210400000000007</v>
      </c>
      <c r="P371" s="1119">
        <v>0.87269999999999959</v>
      </c>
      <c r="Q371" s="1119">
        <v>0.86929999999999952</v>
      </c>
      <c r="S371" s="1119">
        <v>7.210400000000007</v>
      </c>
      <c r="T371" s="1120">
        <v>30.55</v>
      </c>
      <c r="U371" s="1119">
        <v>0.87269999999999959</v>
      </c>
      <c r="V371" s="1119">
        <v>0.86929999999999952</v>
      </c>
    </row>
    <row r="372" spans="4:22">
      <c r="D372" s="1119">
        <v>0.85609999999999986</v>
      </c>
      <c r="E372" s="1119">
        <v>0.85959999999999992</v>
      </c>
      <c r="F372" s="1120">
        <v>33.03</v>
      </c>
      <c r="G372" s="1119">
        <v>7.320400000000002</v>
      </c>
      <c r="I372" s="1119">
        <v>0.85959999999999992</v>
      </c>
      <c r="J372" s="1119">
        <v>0.85609999999999986</v>
      </c>
      <c r="K372" s="1120">
        <v>33.03</v>
      </c>
      <c r="L372" s="1119">
        <v>7.320400000000002</v>
      </c>
      <c r="N372" s="1120">
        <v>30.57</v>
      </c>
      <c r="O372" s="1119">
        <v>7.2112000000000069</v>
      </c>
      <c r="P372" s="1119">
        <v>0.8725999999999996</v>
      </c>
      <c r="Q372" s="1119">
        <v>0.86919999999999953</v>
      </c>
      <c r="S372" s="1119">
        <v>7.2112000000000069</v>
      </c>
      <c r="T372" s="1120">
        <v>30.57</v>
      </c>
      <c r="U372" s="1119">
        <v>0.8725999999999996</v>
      </c>
      <c r="V372" s="1119">
        <v>0.86919999999999953</v>
      </c>
    </row>
    <row r="373" spans="4:22">
      <c r="D373" s="1119">
        <v>0.85619999999999985</v>
      </c>
      <c r="E373" s="1119">
        <v>0.85969999999999991</v>
      </c>
      <c r="F373" s="1120">
        <v>33.01</v>
      </c>
      <c r="G373" s="1119">
        <v>7.3195000000000023</v>
      </c>
      <c r="I373" s="1119">
        <v>0.85969999999999991</v>
      </c>
      <c r="J373" s="1119">
        <v>0.85619999999999985</v>
      </c>
      <c r="K373" s="1120">
        <v>33.01</v>
      </c>
      <c r="L373" s="1119">
        <v>7.3195000000000023</v>
      </c>
      <c r="N373" s="1120">
        <v>30.59</v>
      </c>
      <c r="O373" s="1119">
        <v>7.2120000000000068</v>
      </c>
      <c r="P373" s="1119">
        <v>0.87250000000000005</v>
      </c>
      <c r="Q373" s="1119">
        <v>0.86909999999999954</v>
      </c>
      <c r="S373" s="1119">
        <v>7.2120000000000068</v>
      </c>
      <c r="T373" s="1120">
        <v>30.59</v>
      </c>
      <c r="U373" s="1119">
        <v>0.87250000000000005</v>
      </c>
      <c r="V373" s="1119">
        <v>0.86909999999999954</v>
      </c>
    </row>
    <row r="374" spans="4:22">
      <c r="D374" s="1119">
        <v>0.85629999999999984</v>
      </c>
      <c r="E374" s="1119">
        <v>0.8597999999999999</v>
      </c>
      <c r="F374" s="1120">
        <v>32.99</v>
      </c>
      <c r="G374" s="1119">
        <v>7.3186000000000027</v>
      </c>
      <c r="I374" s="1119">
        <v>0.8597999999999999</v>
      </c>
      <c r="J374" s="1119">
        <v>0.85629999999999984</v>
      </c>
      <c r="K374" s="1120">
        <v>32.99</v>
      </c>
      <c r="L374" s="1119">
        <v>7.3186000000000027</v>
      </c>
      <c r="N374" s="1120">
        <v>30.61</v>
      </c>
      <c r="O374" s="1119">
        <v>7.2128000000000068</v>
      </c>
      <c r="P374" s="1119">
        <v>0.87239999999999962</v>
      </c>
      <c r="Q374" s="1119">
        <v>0.86899999999999955</v>
      </c>
      <c r="S374" s="1119">
        <v>7.2128000000000068</v>
      </c>
      <c r="T374" s="1120">
        <v>30.61</v>
      </c>
      <c r="U374" s="1119">
        <v>0.87239999999999962</v>
      </c>
      <c r="V374" s="1119">
        <v>0.86899999999999955</v>
      </c>
    </row>
    <row r="375" spans="4:22">
      <c r="D375" s="1119">
        <v>0.85639999999999983</v>
      </c>
      <c r="E375" s="1119">
        <v>0.85989999999999989</v>
      </c>
      <c r="F375" s="1120">
        <v>32.97</v>
      </c>
      <c r="G375" s="1119">
        <v>7.317700000000003</v>
      </c>
      <c r="I375" s="1119">
        <v>0.85989999999999989</v>
      </c>
      <c r="J375" s="1119">
        <v>0.85639999999999983</v>
      </c>
      <c r="K375" s="1120">
        <v>32.97</v>
      </c>
      <c r="L375" s="1119">
        <v>7.317700000000003</v>
      </c>
      <c r="N375" s="1120">
        <v>30.63</v>
      </c>
      <c r="O375" s="1119">
        <v>7.2136000000000067</v>
      </c>
      <c r="P375" s="1119">
        <v>0.87229999999999963</v>
      </c>
      <c r="Q375" s="1119">
        <v>0.86889999999999956</v>
      </c>
      <c r="S375" s="1119">
        <v>7.2136000000000067</v>
      </c>
      <c r="T375" s="1120">
        <v>30.63</v>
      </c>
      <c r="U375" s="1119">
        <v>0.87229999999999963</v>
      </c>
      <c r="V375" s="1119">
        <v>0.86889999999999956</v>
      </c>
    </row>
    <row r="376" spans="4:22">
      <c r="D376" s="1119">
        <v>0.85649999999999982</v>
      </c>
      <c r="E376" s="1119">
        <v>0.86</v>
      </c>
      <c r="F376" s="1120">
        <v>32.950000000000003</v>
      </c>
      <c r="G376" s="1119">
        <v>7.3168000000000033</v>
      </c>
      <c r="I376" s="1119">
        <v>0.86</v>
      </c>
      <c r="J376" s="1119">
        <v>0.85649999999999982</v>
      </c>
      <c r="K376" s="1120">
        <v>32.950000000000003</v>
      </c>
      <c r="L376" s="1119">
        <v>7.3168000000000033</v>
      </c>
      <c r="N376" s="1120">
        <v>30.64</v>
      </c>
      <c r="O376" s="1119">
        <v>7.2144000000000066</v>
      </c>
      <c r="P376" s="1119">
        <v>0.87219999999999964</v>
      </c>
      <c r="Q376" s="1119">
        <v>0.86879999999999957</v>
      </c>
      <c r="S376" s="1119">
        <v>7.2144000000000066</v>
      </c>
      <c r="T376" s="1120">
        <v>30.64</v>
      </c>
      <c r="U376" s="1119">
        <v>0.87219999999999964</v>
      </c>
      <c r="V376" s="1119">
        <v>0.86879999999999957</v>
      </c>
    </row>
    <row r="377" spans="4:22">
      <c r="D377" s="1119">
        <v>0.85659999999999981</v>
      </c>
      <c r="E377" s="1119">
        <v>0.86009999999999986</v>
      </c>
      <c r="F377" s="1120">
        <v>32.93</v>
      </c>
      <c r="G377" s="1119">
        <v>7.3160000000000034</v>
      </c>
      <c r="I377" s="1119">
        <v>0.86009999999999986</v>
      </c>
      <c r="J377" s="1119">
        <v>0.85659999999999981</v>
      </c>
      <c r="K377" s="1120">
        <v>32.93</v>
      </c>
      <c r="L377" s="1119">
        <v>7.3160000000000034</v>
      </c>
      <c r="N377" s="1120">
        <v>30.66</v>
      </c>
      <c r="O377" s="1119">
        <v>7.2152000000000065</v>
      </c>
      <c r="P377" s="1119">
        <v>0.87209999999999965</v>
      </c>
      <c r="Q377" s="1119">
        <v>0.86869999999999958</v>
      </c>
      <c r="S377" s="1119">
        <v>7.2152000000000065</v>
      </c>
      <c r="T377" s="1120">
        <v>30.66</v>
      </c>
      <c r="U377" s="1119">
        <v>0.87209999999999965</v>
      </c>
      <c r="V377" s="1119">
        <v>0.86869999999999958</v>
      </c>
    </row>
    <row r="378" spans="4:22">
      <c r="D378" s="1119">
        <v>0.8566999999999998</v>
      </c>
      <c r="E378" s="1119">
        <v>0.86019999999999985</v>
      </c>
      <c r="F378" s="1120">
        <v>32.909999999999997</v>
      </c>
      <c r="G378" s="1119">
        <v>7.3152000000000035</v>
      </c>
      <c r="I378" s="1119">
        <v>0.86019999999999985</v>
      </c>
      <c r="J378" s="1119">
        <v>0.8566999999999998</v>
      </c>
      <c r="K378" s="1120">
        <v>32.909999999999997</v>
      </c>
      <c r="L378" s="1119">
        <v>7.3152000000000035</v>
      </c>
      <c r="N378" s="1120">
        <v>30.68</v>
      </c>
      <c r="O378" s="1119">
        <v>7.2160000000000064</v>
      </c>
      <c r="P378" s="1119">
        <v>0.87199999999999966</v>
      </c>
      <c r="Q378" s="1119">
        <v>0.86859999999999959</v>
      </c>
      <c r="S378" s="1119">
        <v>7.2160000000000064</v>
      </c>
      <c r="T378" s="1120">
        <v>30.68</v>
      </c>
      <c r="U378" s="1119">
        <v>0.87199999999999966</v>
      </c>
      <c r="V378" s="1119">
        <v>0.86859999999999959</v>
      </c>
    </row>
    <row r="379" spans="4:22">
      <c r="D379" s="1119">
        <v>0.85679999999999978</v>
      </c>
      <c r="E379" s="1119">
        <v>0.86029999999999984</v>
      </c>
      <c r="F379" s="1120">
        <v>32.89</v>
      </c>
      <c r="G379" s="1119">
        <v>7.3144000000000036</v>
      </c>
      <c r="I379" s="1119">
        <v>0.86029999999999984</v>
      </c>
      <c r="J379" s="1119">
        <v>0.85679999999999978</v>
      </c>
      <c r="K379" s="1120">
        <v>32.89</v>
      </c>
      <c r="L379" s="1119">
        <v>7.3144000000000036</v>
      </c>
      <c r="N379" s="1120">
        <v>30.7</v>
      </c>
      <c r="O379" s="1119">
        <v>7.2169000000000061</v>
      </c>
      <c r="P379" s="1119">
        <v>0.87189999999999968</v>
      </c>
      <c r="Q379" s="1119">
        <v>0.86849999999999961</v>
      </c>
      <c r="S379" s="1119">
        <v>7.2169000000000061</v>
      </c>
      <c r="T379" s="1120">
        <v>30.7</v>
      </c>
      <c r="U379" s="1119">
        <v>0.87189999999999968</v>
      </c>
      <c r="V379" s="1119">
        <v>0.86849999999999961</v>
      </c>
    </row>
    <row r="380" spans="4:22">
      <c r="D380" s="1119">
        <v>0.85689999999999977</v>
      </c>
      <c r="E380" s="1119">
        <v>0.86039999999999983</v>
      </c>
      <c r="F380" s="1120">
        <v>32.869999999999997</v>
      </c>
      <c r="G380" s="1119">
        <v>7.3136000000000037</v>
      </c>
      <c r="I380" s="1119">
        <v>0.86039999999999983</v>
      </c>
      <c r="J380" s="1119">
        <v>0.85689999999999977</v>
      </c>
      <c r="K380" s="1120">
        <v>32.869999999999997</v>
      </c>
      <c r="L380" s="1119">
        <v>7.3136000000000037</v>
      </c>
      <c r="N380" s="1120">
        <v>30.72</v>
      </c>
      <c r="O380" s="1119">
        <v>7.2178000000000058</v>
      </c>
      <c r="P380" s="1119">
        <v>0.87179999999999969</v>
      </c>
      <c r="Q380" s="1119">
        <v>0.86839999999999962</v>
      </c>
      <c r="S380" s="1119">
        <v>7.2178000000000058</v>
      </c>
      <c r="T380" s="1120">
        <v>30.72</v>
      </c>
      <c r="U380" s="1119">
        <v>0.87179999999999969</v>
      </c>
      <c r="V380" s="1119">
        <v>0.86839999999999962</v>
      </c>
    </row>
    <row r="381" spans="4:22">
      <c r="D381" s="1119">
        <v>0.85699999999999976</v>
      </c>
      <c r="E381" s="1119">
        <v>0.86049999999999982</v>
      </c>
      <c r="F381" s="1120">
        <v>32.86</v>
      </c>
      <c r="G381" s="1119">
        <v>7.3128000000000037</v>
      </c>
      <c r="I381" s="1119">
        <v>0.86049999999999982</v>
      </c>
      <c r="J381" s="1119">
        <v>0.85699999999999976</v>
      </c>
      <c r="K381" s="1120">
        <v>32.86</v>
      </c>
      <c r="L381" s="1119">
        <v>7.3128000000000037</v>
      </c>
      <c r="N381" s="1120">
        <v>30.74</v>
      </c>
      <c r="O381" s="1119">
        <v>7.2187000000000054</v>
      </c>
      <c r="P381" s="1119">
        <v>0.8716999999999997</v>
      </c>
      <c r="Q381" s="1119">
        <v>0.86829999999999963</v>
      </c>
      <c r="S381" s="1119">
        <v>7.2187000000000054</v>
      </c>
      <c r="T381" s="1120">
        <v>30.74</v>
      </c>
      <c r="U381" s="1119">
        <v>0.8716999999999997</v>
      </c>
      <c r="V381" s="1119">
        <v>0.86829999999999963</v>
      </c>
    </row>
    <row r="382" spans="4:22">
      <c r="D382" s="1119">
        <v>0.85709999999999975</v>
      </c>
      <c r="E382" s="1119">
        <v>0.86059999999999981</v>
      </c>
      <c r="F382" s="1120">
        <v>32.840000000000003</v>
      </c>
      <c r="G382" s="1119">
        <v>7.3120000000000038</v>
      </c>
      <c r="I382" s="1119">
        <v>0.86059999999999981</v>
      </c>
      <c r="J382" s="1119">
        <v>0.85709999999999975</v>
      </c>
      <c r="K382" s="1120">
        <v>32.840000000000003</v>
      </c>
      <c r="L382" s="1119">
        <v>7.3120000000000038</v>
      </c>
      <c r="N382" s="1120">
        <v>30.76</v>
      </c>
      <c r="O382" s="1119">
        <v>7.2196000000000051</v>
      </c>
      <c r="P382" s="1119">
        <v>0.87159999999999971</v>
      </c>
      <c r="Q382" s="1119">
        <v>0.86819999999999964</v>
      </c>
      <c r="S382" s="1119">
        <v>7.2196000000000051</v>
      </c>
      <c r="T382" s="1120">
        <v>30.76</v>
      </c>
      <c r="U382" s="1119">
        <v>0.87159999999999971</v>
      </c>
      <c r="V382" s="1119">
        <v>0.86819999999999964</v>
      </c>
    </row>
    <row r="383" spans="4:22">
      <c r="D383" s="1119">
        <v>0.85719999999999974</v>
      </c>
      <c r="E383" s="1119">
        <v>0.8606999999999998</v>
      </c>
      <c r="F383" s="1120">
        <v>32.82</v>
      </c>
      <c r="G383" s="1119">
        <v>7.3112000000000039</v>
      </c>
      <c r="I383" s="1119">
        <v>0.8606999999999998</v>
      </c>
      <c r="J383" s="1119">
        <v>0.85719999999999974</v>
      </c>
      <c r="K383" s="1120">
        <v>32.82</v>
      </c>
      <c r="L383" s="1119">
        <v>7.3112000000000039</v>
      </c>
      <c r="N383" s="1120">
        <v>30.78</v>
      </c>
      <c r="O383" s="1119">
        <v>7.2205000000000048</v>
      </c>
      <c r="P383" s="1119">
        <v>0.87149999999999972</v>
      </c>
      <c r="Q383" s="1119">
        <v>0.86809999999999965</v>
      </c>
      <c r="S383" s="1119">
        <v>7.2205000000000048</v>
      </c>
      <c r="T383" s="1120">
        <v>30.78</v>
      </c>
      <c r="U383" s="1119">
        <v>0.87149999999999972</v>
      </c>
      <c r="V383" s="1119">
        <v>0.86809999999999965</v>
      </c>
    </row>
    <row r="384" spans="4:22">
      <c r="D384" s="1119">
        <v>0.85729999999999973</v>
      </c>
      <c r="E384" s="1119">
        <v>0.86079999999999979</v>
      </c>
      <c r="F384" s="1120">
        <v>32.799999999999997</v>
      </c>
      <c r="G384" s="1119">
        <v>7.3105000000000038</v>
      </c>
      <c r="I384" s="1119">
        <v>0.86079999999999979</v>
      </c>
      <c r="J384" s="1119">
        <v>0.85729999999999973</v>
      </c>
      <c r="K384" s="1120">
        <v>32.799999999999997</v>
      </c>
      <c r="L384" s="1119">
        <v>7.3105000000000038</v>
      </c>
      <c r="N384" s="1120">
        <v>30.79</v>
      </c>
      <c r="O384" s="1119">
        <v>7.2214000000000045</v>
      </c>
      <c r="P384" s="1119">
        <v>0.87139999999999973</v>
      </c>
      <c r="Q384" s="1119">
        <v>0.86799999999999966</v>
      </c>
      <c r="S384" s="1119">
        <v>7.2214000000000045</v>
      </c>
      <c r="T384" s="1120">
        <v>30.79</v>
      </c>
      <c r="U384" s="1119">
        <v>0.87139999999999973</v>
      </c>
      <c r="V384" s="1119">
        <v>0.86799999999999966</v>
      </c>
    </row>
    <row r="385" spans="4:22">
      <c r="D385" s="1119">
        <v>0.85739999999999972</v>
      </c>
      <c r="E385" s="1119">
        <v>0.86089999999999978</v>
      </c>
      <c r="F385" s="1120">
        <v>32.78</v>
      </c>
      <c r="G385" s="1119">
        <v>7.3097000000000039</v>
      </c>
      <c r="I385" s="1119">
        <v>0.86089999999999978</v>
      </c>
      <c r="J385" s="1119">
        <v>0.85739999999999972</v>
      </c>
      <c r="K385" s="1120">
        <v>32.78</v>
      </c>
      <c r="L385" s="1119">
        <v>7.3097000000000039</v>
      </c>
      <c r="N385" s="1120">
        <v>30.81</v>
      </c>
      <c r="O385" s="1119">
        <v>7.2223000000000042</v>
      </c>
      <c r="P385" s="1119">
        <v>0.87129999999999974</v>
      </c>
      <c r="Q385" s="1119">
        <v>0.86789999999999967</v>
      </c>
      <c r="S385" s="1119">
        <v>7.2223000000000042</v>
      </c>
      <c r="T385" s="1120">
        <v>30.81</v>
      </c>
      <c r="U385" s="1119">
        <v>0.87129999999999974</v>
      </c>
      <c r="V385" s="1119">
        <v>0.86789999999999967</v>
      </c>
    </row>
    <row r="386" spans="4:22">
      <c r="D386" s="1119">
        <v>0.85750000000000004</v>
      </c>
      <c r="E386" s="1119">
        <v>0.86099999999999977</v>
      </c>
      <c r="F386" s="1120">
        <v>32.76</v>
      </c>
      <c r="G386" s="1119">
        <v>7.3089000000000039</v>
      </c>
      <c r="I386" s="1119">
        <v>0.86099999999999977</v>
      </c>
      <c r="J386" s="1119">
        <v>0.85750000000000004</v>
      </c>
      <c r="K386" s="1120">
        <v>32.76</v>
      </c>
      <c r="L386" s="1119">
        <v>7.3089000000000039</v>
      </c>
      <c r="N386" s="1120">
        <v>30.83</v>
      </c>
      <c r="O386" s="1119">
        <v>7.2232000000000038</v>
      </c>
      <c r="P386" s="1119">
        <v>0.87119999999999975</v>
      </c>
      <c r="Q386" s="1119">
        <v>0.86779999999999968</v>
      </c>
      <c r="S386" s="1119">
        <v>7.2232000000000038</v>
      </c>
      <c r="T386" s="1120">
        <v>30.83</v>
      </c>
      <c r="U386" s="1119">
        <v>0.87119999999999975</v>
      </c>
      <c r="V386" s="1119">
        <v>0.86779999999999968</v>
      </c>
    </row>
    <row r="387" spans="4:22">
      <c r="D387" s="1119">
        <v>0.8575999999999997</v>
      </c>
      <c r="E387" s="1119">
        <v>0.86109999999999975</v>
      </c>
      <c r="F387" s="1120">
        <v>32.74</v>
      </c>
      <c r="G387" s="1119">
        <v>7.3080000000000043</v>
      </c>
      <c r="I387" s="1119">
        <v>0.86109999999999975</v>
      </c>
      <c r="J387" s="1119">
        <v>0.8575999999999997</v>
      </c>
      <c r="K387" s="1120">
        <v>32.74</v>
      </c>
      <c r="L387" s="1119">
        <v>7.3080000000000043</v>
      </c>
      <c r="N387" s="1120">
        <v>30.85</v>
      </c>
      <c r="O387" s="1119">
        <v>7.2241000000000035</v>
      </c>
      <c r="P387" s="1119">
        <v>0.87109999999999976</v>
      </c>
      <c r="Q387" s="1119">
        <v>0.86769999999999969</v>
      </c>
      <c r="S387" s="1119">
        <v>7.2241000000000035</v>
      </c>
      <c r="T387" s="1120">
        <v>30.85</v>
      </c>
      <c r="U387" s="1119">
        <v>0.87109999999999976</v>
      </c>
      <c r="V387" s="1119">
        <v>0.86769999999999969</v>
      </c>
    </row>
    <row r="388" spans="4:22">
      <c r="D388" s="1119">
        <v>0.85769999999999968</v>
      </c>
      <c r="E388" s="1119">
        <v>0.86119999999999974</v>
      </c>
      <c r="F388" s="1120">
        <v>32.72</v>
      </c>
      <c r="G388" s="1119">
        <v>7.3071000000000046</v>
      </c>
      <c r="I388" s="1119">
        <v>0.86119999999999974</v>
      </c>
      <c r="J388" s="1119">
        <v>0.85769999999999968</v>
      </c>
      <c r="K388" s="1120">
        <v>32.72</v>
      </c>
      <c r="L388" s="1119">
        <v>7.3071000000000046</v>
      </c>
      <c r="N388" s="1120">
        <v>30.87</v>
      </c>
      <c r="O388" s="1119">
        <v>7.2249999999999996</v>
      </c>
      <c r="P388" s="1119">
        <v>0.87099999999999977</v>
      </c>
      <c r="Q388" s="1119">
        <v>0.8675999999999997</v>
      </c>
      <c r="S388" s="1119">
        <v>7.2249999999999996</v>
      </c>
      <c r="T388" s="1120">
        <v>30.87</v>
      </c>
      <c r="U388" s="1119">
        <v>0.87099999999999977</v>
      </c>
      <c r="V388" s="1119">
        <v>0.8675999999999997</v>
      </c>
    </row>
    <row r="389" spans="4:22">
      <c r="D389" s="1119">
        <v>0.85779999999999967</v>
      </c>
      <c r="E389" s="1119">
        <v>0.86129999999999973</v>
      </c>
      <c r="F389" s="1120">
        <v>32.700000000000003</v>
      </c>
      <c r="G389" s="1119">
        <v>7.3062000000000049</v>
      </c>
      <c r="I389" s="1119">
        <v>0.86129999999999973</v>
      </c>
      <c r="J389" s="1119">
        <v>0.85779999999999967</v>
      </c>
      <c r="K389" s="1120">
        <v>32.700000000000003</v>
      </c>
      <c r="L389" s="1119">
        <v>7.3062000000000049</v>
      </c>
      <c r="N389" s="1120">
        <v>30.89</v>
      </c>
      <c r="O389" s="1119">
        <v>7.2258000000000031</v>
      </c>
      <c r="P389" s="1119">
        <v>0.87089999999999979</v>
      </c>
      <c r="Q389" s="1119">
        <v>0.86750000000000005</v>
      </c>
      <c r="S389" s="1119">
        <v>7.2258000000000031</v>
      </c>
      <c r="T389" s="1120">
        <v>30.89</v>
      </c>
      <c r="U389" s="1119">
        <v>0.87089999999999979</v>
      </c>
      <c r="V389" s="1119">
        <v>0.86750000000000005</v>
      </c>
    </row>
    <row r="390" spans="4:22">
      <c r="D390" s="1119">
        <v>0.85789999999999966</v>
      </c>
      <c r="E390" s="1119">
        <v>0.86139999999999972</v>
      </c>
      <c r="F390" s="1120">
        <v>32.68</v>
      </c>
      <c r="G390" s="1119">
        <v>7.3053000000000052</v>
      </c>
      <c r="I390" s="1119">
        <v>0.86139999999999972</v>
      </c>
      <c r="J390" s="1119">
        <v>0.85789999999999966</v>
      </c>
      <c r="K390" s="1120">
        <v>32.68</v>
      </c>
      <c r="L390" s="1119">
        <v>7.3053000000000052</v>
      </c>
      <c r="N390" s="1120">
        <v>30.91</v>
      </c>
      <c r="O390" s="1119">
        <v>7.226600000000003</v>
      </c>
      <c r="P390" s="1119">
        <v>0.8707999999999998</v>
      </c>
      <c r="Q390" s="1119">
        <v>0.86739999999999973</v>
      </c>
      <c r="S390" s="1119">
        <v>7.226600000000003</v>
      </c>
      <c r="T390" s="1120">
        <v>30.91</v>
      </c>
      <c r="U390" s="1119">
        <v>0.8707999999999998</v>
      </c>
      <c r="V390" s="1119">
        <v>0.86739999999999973</v>
      </c>
    </row>
    <row r="391" spans="4:22">
      <c r="D391" s="1119">
        <v>0.85799999999999965</v>
      </c>
      <c r="E391" s="1119">
        <v>0.86149999999999971</v>
      </c>
      <c r="F391" s="1120">
        <v>32.67</v>
      </c>
      <c r="G391" s="1119">
        <v>7.3044000000000056</v>
      </c>
      <c r="I391" s="1119">
        <v>0.86149999999999971</v>
      </c>
      <c r="J391" s="1119">
        <v>0.85799999999999965</v>
      </c>
      <c r="K391" s="1120">
        <v>32.67</v>
      </c>
      <c r="L391" s="1119">
        <v>7.3044000000000056</v>
      </c>
      <c r="N391" s="1120">
        <v>30.93</v>
      </c>
      <c r="O391" s="1119">
        <v>7.2274000000000029</v>
      </c>
      <c r="P391" s="1119">
        <v>0.87069999999999981</v>
      </c>
      <c r="Q391" s="1119">
        <v>0.86729999999999974</v>
      </c>
      <c r="S391" s="1119">
        <v>7.2274000000000029</v>
      </c>
      <c r="T391" s="1120">
        <v>30.93</v>
      </c>
      <c r="U391" s="1119">
        <v>0.87069999999999981</v>
      </c>
      <c r="V391" s="1119">
        <v>0.86729999999999974</v>
      </c>
    </row>
    <row r="392" spans="4:22">
      <c r="D392" s="1119">
        <v>0.85809999999999964</v>
      </c>
      <c r="E392" s="1119">
        <v>0.8615999999999997</v>
      </c>
      <c r="F392" s="1120">
        <v>32.65</v>
      </c>
      <c r="G392" s="1119">
        <v>7.3035000000000059</v>
      </c>
      <c r="I392" s="1119">
        <v>0.8615999999999997</v>
      </c>
      <c r="J392" s="1119">
        <v>0.85809999999999964</v>
      </c>
      <c r="K392" s="1120">
        <v>32.65</v>
      </c>
      <c r="L392" s="1119">
        <v>7.3035000000000059</v>
      </c>
      <c r="N392" s="1120">
        <v>30.95</v>
      </c>
      <c r="O392" s="1119">
        <v>7.2282000000000028</v>
      </c>
      <c r="P392" s="1119">
        <v>0.87059999999999982</v>
      </c>
      <c r="Q392" s="1119">
        <v>0.86719999999999975</v>
      </c>
      <c r="S392" s="1119">
        <v>7.2282000000000028</v>
      </c>
      <c r="T392" s="1120">
        <v>30.95</v>
      </c>
      <c r="U392" s="1119">
        <v>0.87059999999999982</v>
      </c>
      <c r="V392" s="1119">
        <v>0.86719999999999975</v>
      </c>
    </row>
    <row r="393" spans="4:22">
      <c r="D393" s="1119">
        <v>0.85819999999999963</v>
      </c>
      <c r="E393" s="1119">
        <v>0.86169999999999969</v>
      </c>
      <c r="F393" s="1120">
        <v>32.630000000000003</v>
      </c>
      <c r="G393" s="1119">
        <v>7.3026000000000062</v>
      </c>
      <c r="I393" s="1119">
        <v>0.86169999999999969</v>
      </c>
      <c r="J393" s="1119">
        <v>0.85819999999999963</v>
      </c>
      <c r="K393" s="1120">
        <v>32.630000000000003</v>
      </c>
      <c r="L393" s="1119">
        <v>7.3026000000000062</v>
      </c>
      <c r="N393" s="1120">
        <v>30.97</v>
      </c>
      <c r="O393" s="1119">
        <v>7.2290000000000028</v>
      </c>
      <c r="P393" s="1119">
        <v>0.87049999999999983</v>
      </c>
      <c r="Q393" s="1119">
        <v>0.86709999999999976</v>
      </c>
      <c r="S393" s="1119">
        <v>7.2290000000000028</v>
      </c>
      <c r="T393" s="1120">
        <v>30.97</v>
      </c>
      <c r="U393" s="1119">
        <v>0.87049999999999983</v>
      </c>
      <c r="V393" s="1119">
        <v>0.86709999999999976</v>
      </c>
    </row>
    <row r="394" spans="4:22">
      <c r="D394" s="1119">
        <v>0.85829999999999962</v>
      </c>
      <c r="E394" s="1119">
        <v>0.86179999999999968</v>
      </c>
      <c r="F394" s="1120">
        <v>32.61</v>
      </c>
      <c r="G394" s="1119">
        <v>7.3017000000000065</v>
      </c>
      <c r="I394" s="1119">
        <v>0.86179999999999968</v>
      </c>
      <c r="J394" s="1119">
        <v>0.85829999999999962</v>
      </c>
      <c r="K394" s="1120">
        <v>32.61</v>
      </c>
      <c r="L394" s="1119">
        <v>7.3017000000000065</v>
      </c>
      <c r="N394" s="1120">
        <v>30.98</v>
      </c>
      <c r="O394" s="1119">
        <v>7.2298000000000027</v>
      </c>
      <c r="P394" s="1119">
        <v>0.87039999999999984</v>
      </c>
      <c r="Q394" s="1119">
        <v>0.86699999999999977</v>
      </c>
      <c r="S394" s="1119">
        <v>7.2298000000000027</v>
      </c>
      <c r="T394" s="1120">
        <v>30.98</v>
      </c>
      <c r="U394" s="1119">
        <v>0.87039999999999984</v>
      </c>
      <c r="V394" s="1119">
        <v>0.86699999999999977</v>
      </c>
    </row>
    <row r="395" spans="4:22">
      <c r="D395" s="1119">
        <v>0.85839999999999961</v>
      </c>
      <c r="E395" s="1119">
        <v>0.86189999999999967</v>
      </c>
      <c r="F395" s="1120">
        <v>32.590000000000003</v>
      </c>
      <c r="G395" s="1119">
        <v>7.3008000000000068</v>
      </c>
      <c r="I395" s="1119">
        <v>0.86189999999999967</v>
      </c>
      <c r="J395" s="1119">
        <v>0.85839999999999961</v>
      </c>
      <c r="K395" s="1120">
        <v>32.590000000000003</v>
      </c>
      <c r="L395" s="1119">
        <v>7.3008000000000068</v>
      </c>
      <c r="N395" s="1120">
        <v>31</v>
      </c>
      <c r="O395" s="1119">
        <v>7.2306000000000026</v>
      </c>
      <c r="P395" s="1119">
        <v>0.87029999999999985</v>
      </c>
      <c r="Q395" s="1119">
        <v>0.86689999999999978</v>
      </c>
      <c r="S395" s="1119">
        <v>7.2306000000000026</v>
      </c>
      <c r="T395" s="1120">
        <v>31</v>
      </c>
      <c r="U395" s="1119">
        <v>0.87029999999999985</v>
      </c>
      <c r="V395" s="1119">
        <v>0.86689999999999978</v>
      </c>
    </row>
    <row r="396" spans="4:22">
      <c r="D396" s="1119">
        <v>0.8584999999999996</v>
      </c>
      <c r="E396" s="1119">
        <v>0.86199999999999966</v>
      </c>
      <c r="F396" s="1120">
        <v>32.57</v>
      </c>
      <c r="G396" s="1119">
        <v>7.2999000000000072</v>
      </c>
      <c r="I396" s="1119">
        <v>0.86199999999999966</v>
      </c>
      <c r="J396" s="1119">
        <v>0.8584999999999996</v>
      </c>
      <c r="K396" s="1120">
        <v>32.57</v>
      </c>
      <c r="L396" s="1119">
        <v>7.2999000000000072</v>
      </c>
      <c r="N396" s="1120">
        <v>31.02</v>
      </c>
      <c r="O396" s="1119">
        <v>7.2313000000000027</v>
      </c>
      <c r="P396" s="1119">
        <v>0.87019999999999986</v>
      </c>
      <c r="Q396" s="1119">
        <v>0.86679999999999979</v>
      </c>
      <c r="S396" s="1119">
        <v>7.2313000000000027</v>
      </c>
      <c r="T396" s="1120">
        <v>31.02</v>
      </c>
      <c r="U396" s="1119">
        <v>0.87019999999999986</v>
      </c>
      <c r="V396" s="1119">
        <v>0.86679999999999979</v>
      </c>
    </row>
    <row r="397" spans="4:22">
      <c r="D397" s="1119">
        <v>0.85859999999999959</v>
      </c>
      <c r="E397" s="1119">
        <v>0.86209999999999964</v>
      </c>
      <c r="F397" s="1120">
        <v>32.549999999999997</v>
      </c>
      <c r="G397" s="1119">
        <v>7.2991000000000072</v>
      </c>
      <c r="I397" s="1119">
        <v>0.86209999999999964</v>
      </c>
      <c r="J397" s="1119">
        <v>0.85859999999999959</v>
      </c>
      <c r="K397" s="1120">
        <v>32.549999999999997</v>
      </c>
      <c r="L397" s="1119">
        <v>7.2991000000000072</v>
      </c>
      <c r="N397" s="1120">
        <v>31.04</v>
      </c>
      <c r="O397" s="1119">
        <v>7.2321000000000026</v>
      </c>
      <c r="P397" s="1119">
        <v>0.87009999999999987</v>
      </c>
      <c r="Q397" s="1119">
        <v>0.8666999999999998</v>
      </c>
      <c r="S397" s="1119">
        <v>7.2321000000000026</v>
      </c>
      <c r="T397" s="1120">
        <v>31.04</v>
      </c>
      <c r="U397" s="1119">
        <v>0.87009999999999987</v>
      </c>
      <c r="V397" s="1119">
        <v>0.8666999999999998</v>
      </c>
    </row>
    <row r="398" spans="4:22">
      <c r="D398" s="1119">
        <v>0.85869999999999957</v>
      </c>
      <c r="E398" s="1119">
        <v>0.86219999999999963</v>
      </c>
      <c r="F398" s="1120">
        <v>32.53</v>
      </c>
      <c r="G398" s="1119">
        <v>7.2983000000000073</v>
      </c>
      <c r="I398" s="1119">
        <v>0.86219999999999963</v>
      </c>
      <c r="J398" s="1119">
        <v>0.85869999999999957</v>
      </c>
      <c r="K398" s="1120">
        <v>32.53</v>
      </c>
      <c r="L398" s="1119">
        <v>7.2983000000000073</v>
      </c>
      <c r="N398" s="1120">
        <v>31.06</v>
      </c>
      <c r="O398" s="1119">
        <v>7.2329000000000025</v>
      </c>
      <c r="P398" s="1119">
        <v>0.87</v>
      </c>
      <c r="Q398" s="1119">
        <v>0.86659999999999981</v>
      </c>
      <c r="S398" s="1119">
        <v>7.2329000000000025</v>
      </c>
      <c r="T398" s="1120">
        <v>31.06</v>
      </c>
      <c r="U398" s="1119">
        <v>0.87</v>
      </c>
      <c r="V398" s="1119">
        <v>0.86659999999999981</v>
      </c>
    </row>
    <row r="399" spans="4:22">
      <c r="D399" s="1119">
        <v>0.85879999999999956</v>
      </c>
      <c r="E399" s="1119">
        <v>0.86229999999999962</v>
      </c>
      <c r="F399" s="1120">
        <v>32.51</v>
      </c>
      <c r="G399" s="1119">
        <v>7.2975000000000074</v>
      </c>
      <c r="I399" s="1119">
        <v>0.86229999999999962</v>
      </c>
      <c r="J399" s="1119">
        <v>0.85879999999999956</v>
      </c>
      <c r="K399" s="1120">
        <v>32.51</v>
      </c>
      <c r="L399" s="1119">
        <v>7.2975000000000074</v>
      </c>
      <c r="N399" s="1120">
        <v>31.08</v>
      </c>
      <c r="O399" s="1119">
        <v>7.2337000000000025</v>
      </c>
      <c r="P399" s="1119">
        <v>0.8698999999999999</v>
      </c>
      <c r="Q399" s="1119">
        <v>0.86649999999999983</v>
      </c>
      <c r="S399" s="1119">
        <v>7.2337000000000025</v>
      </c>
      <c r="T399" s="1120">
        <v>31.08</v>
      </c>
      <c r="U399" s="1119">
        <v>0.8698999999999999</v>
      </c>
      <c r="V399" s="1119">
        <v>0.86649999999999983</v>
      </c>
    </row>
    <row r="400" spans="4:22">
      <c r="D400" s="1119">
        <v>0.85889999999999955</v>
      </c>
      <c r="E400" s="1119">
        <v>0.86239999999999961</v>
      </c>
      <c r="F400" s="1120">
        <v>32.49</v>
      </c>
      <c r="G400" s="1119">
        <v>7.2967000000000075</v>
      </c>
      <c r="I400" s="1119">
        <v>0.86239999999999961</v>
      </c>
      <c r="J400" s="1119">
        <v>0.85889999999999955</v>
      </c>
      <c r="K400" s="1120">
        <v>32.49</v>
      </c>
      <c r="L400" s="1119">
        <v>7.2967000000000075</v>
      </c>
      <c r="N400" s="1120">
        <v>31.1</v>
      </c>
      <c r="O400" s="1119">
        <v>7.2345000000000024</v>
      </c>
      <c r="P400" s="1119">
        <v>0.86979999999999991</v>
      </c>
      <c r="Q400" s="1119">
        <v>0.86639999999999984</v>
      </c>
      <c r="S400" s="1119">
        <v>7.2345000000000024</v>
      </c>
      <c r="T400" s="1120">
        <v>31.1</v>
      </c>
      <c r="U400" s="1119">
        <v>0.86979999999999991</v>
      </c>
      <c r="V400" s="1119">
        <v>0.86639999999999984</v>
      </c>
    </row>
    <row r="401" spans="4:22">
      <c r="D401" s="1119">
        <v>0.85899999999999954</v>
      </c>
      <c r="E401" s="1119">
        <v>0.86250000000000004</v>
      </c>
      <c r="F401" s="1120">
        <v>32.479999999999997</v>
      </c>
      <c r="G401" s="1119">
        <v>7.2959000000000076</v>
      </c>
      <c r="I401" s="1119">
        <v>0.86250000000000004</v>
      </c>
      <c r="J401" s="1119">
        <v>0.85899999999999954</v>
      </c>
      <c r="K401" s="1120">
        <v>32.479999999999997</v>
      </c>
      <c r="L401" s="1119">
        <v>7.2959000000000076</v>
      </c>
      <c r="N401" s="1120">
        <v>31.11</v>
      </c>
      <c r="O401" s="1119">
        <v>7.2353000000000023</v>
      </c>
      <c r="P401" s="1119">
        <v>0.86969999999999992</v>
      </c>
      <c r="Q401" s="1119">
        <v>0.86629999999999985</v>
      </c>
      <c r="S401" s="1119">
        <v>7.2353000000000023</v>
      </c>
      <c r="T401" s="1120">
        <v>31.11</v>
      </c>
      <c r="U401" s="1119">
        <v>0.86969999999999992</v>
      </c>
      <c r="V401" s="1119">
        <v>0.86629999999999985</v>
      </c>
    </row>
    <row r="402" spans="4:22">
      <c r="D402" s="1119">
        <v>0.85909999999999953</v>
      </c>
      <c r="E402" s="1119">
        <v>0.86259999999999959</v>
      </c>
      <c r="F402" s="1120">
        <v>32.46</v>
      </c>
      <c r="G402" s="1119">
        <v>7.2951000000000077</v>
      </c>
      <c r="I402" s="1119">
        <v>0.86259999999999959</v>
      </c>
      <c r="J402" s="1119">
        <v>0.85909999999999953</v>
      </c>
      <c r="K402" s="1120">
        <v>32.46</v>
      </c>
      <c r="L402" s="1119">
        <v>7.2951000000000077</v>
      </c>
      <c r="N402" s="1120">
        <v>31.13</v>
      </c>
      <c r="O402" s="1119">
        <v>7.2361000000000022</v>
      </c>
      <c r="P402" s="1119">
        <v>0.86959999999999993</v>
      </c>
      <c r="Q402" s="1119">
        <v>0.86619999999999986</v>
      </c>
      <c r="S402" s="1119">
        <v>7.2361000000000022</v>
      </c>
      <c r="T402" s="1120">
        <v>31.13</v>
      </c>
      <c r="U402" s="1119">
        <v>0.86959999999999993</v>
      </c>
      <c r="V402" s="1119">
        <v>0.86619999999999986</v>
      </c>
    </row>
    <row r="403" spans="4:22">
      <c r="D403" s="1119">
        <v>0.85919999999999952</v>
      </c>
      <c r="E403" s="1119">
        <v>0.86269999999999958</v>
      </c>
      <c r="F403" s="1120">
        <v>32.44</v>
      </c>
      <c r="G403" s="1119">
        <v>7.2943000000000078</v>
      </c>
      <c r="I403" s="1119">
        <v>0.86269999999999958</v>
      </c>
      <c r="J403" s="1119">
        <v>0.85919999999999952</v>
      </c>
      <c r="K403" s="1120">
        <v>32.44</v>
      </c>
      <c r="L403" s="1119">
        <v>7.2943000000000078</v>
      </c>
      <c r="N403" s="1120">
        <v>31.15</v>
      </c>
      <c r="O403" s="1119">
        <v>7.2369000000000021</v>
      </c>
      <c r="P403" s="1119">
        <v>0.86949999999999994</v>
      </c>
      <c r="Q403" s="1119">
        <v>0.86609999999999987</v>
      </c>
      <c r="S403" s="1119">
        <v>7.2369000000000021</v>
      </c>
      <c r="T403" s="1120">
        <v>31.15</v>
      </c>
      <c r="U403" s="1119">
        <v>0.86949999999999994</v>
      </c>
      <c r="V403" s="1119">
        <v>0.86609999999999987</v>
      </c>
    </row>
    <row r="404" spans="4:22">
      <c r="D404" s="1119">
        <v>0.85929999999999951</v>
      </c>
      <c r="E404" s="1119">
        <v>0.86279999999999957</v>
      </c>
      <c r="F404" s="1120">
        <v>32.42</v>
      </c>
      <c r="G404" s="1119">
        <v>7.2935000000000079</v>
      </c>
      <c r="I404" s="1119">
        <v>0.86279999999999957</v>
      </c>
      <c r="J404" s="1119">
        <v>0.85929999999999951</v>
      </c>
      <c r="K404" s="1120">
        <v>32.42</v>
      </c>
      <c r="L404" s="1119">
        <v>7.2935000000000079</v>
      </c>
      <c r="N404" s="1120">
        <v>31.17</v>
      </c>
      <c r="O404" s="1119">
        <v>7.237700000000002</v>
      </c>
      <c r="P404" s="1119">
        <v>0.86939999999999995</v>
      </c>
      <c r="Q404" s="1119">
        <v>0.86599999999999988</v>
      </c>
      <c r="S404" s="1119">
        <v>7.237700000000002</v>
      </c>
      <c r="T404" s="1120">
        <v>31.17</v>
      </c>
      <c r="U404" s="1119">
        <v>0.86939999999999995</v>
      </c>
      <c r="V404" s="1119">
        <v>0.86599999999999988</v>
      </c>
    </row>
    <row r="405" spans="4:22">
      <c r="D405" s="1119">
        <v>0.8593999999999995</v>
      </c>
      <c r="E405" s="1119">
        <v>0.86289999999999956</v>
      </c>
      <c r="F405" s="1120">
        <v>32.4</v>
      </c>
      <c r="G405" s="1119">
        <v>7.292700000000008</v>
      </c>
      <c r="I405" s="1119">
        <v>0.86289999999999956</v>
      </c>
      <c r="J405" s="1119">
        <v>0.8593999999999995</v>
      </c>
      <c r="K405" s="1120">
        <v>32.4</v>
      </c>
      <c r="L405" s="1119">
        <v>7.292700000000008</v>
      </c>
      <c r="N405" s="1120">
        <v>31.19</v>
      </c>
      <c r="O405" s="1119">
        <v>7.2385000000000019</v>
      </c>
      <c r="P405" s="1119">
        <v>0.86929999999999996</v>
      </c>
      <c r="Q405" s="1119">
        <v>0.86589999999999989</v>
      </c>
      <c r="S405" s="1119">
        <v>7.2385000000000019</v>
      </c>
      <c r="T405" s="1120">
        <v>31.19</v>
      </c>
      <c r="U405" s="1119">
        <v>0.86929999999999996</v>
      </c>
      <c r="V405" s="1119">
        <v>0.86589999999999989</v>
      </c>
    </row>
    <row r="406" spans="4:22">
      <c r="D406" s="1119">
        <v>0.85949999999999949</v>
      </c>
      <c r="E406" s="1119">
        <v>0.86299999999999955</v>
      </c>
      <c r="F406" s="1120">
        <v>32.380000000000003</v>
      </c>
      <c r="G406" s="1119">
        <v>7.291900000000008</v>
      </c>
      <c r="I406" s="1119">
        <v>0.86299999999999955</v>
      </c>
      <c r="J406" s="1119">
        <v>0.85949999999999949</v>
      </c>
      <c r="K406" s="1120">
        <v>32.380000000000003</v>
      </c>
      <c r="L406" s="1119">
        <v>7.291900000000008</v>
      </c>
      <c r="N406" s="1120">
        <v>31.2</v>
      </c>
      <c r="O406" s="1119">
        <v>7.2393000000000018</v>
      </c>
      <c r="P406" s="1119">
        <v>0.86919999999999997</v>
      </c>
      <c r="Q406" s="1119">
        <v>0.8657999999999999</v>
      </c>
      <c r="S406" s="1119">
        <v>7.2393000000000018</v>
      </c>
      <c r="T406" s="1120">
        <v>31.2</v>
      </c>
      <c r="U406" s="1119">
        <v>0.86919999999999997</v>
      </c>
      <c r="V406" s="1119">
        <v>0.8657999999999999</v>
      </c>
    </row>
    <row r="407" spans="4:22">
      <c r="D407" s="1119">
        <v>0.85959999999999948</v>
      </c>
      <c r="E407" s="1119">
        <v>0.86309999999999953</v>
      </c>
      <c r="F407" s="1120">
        <v>32.36</v>
      </c>
      <c r="G407" s="1119">
        <v>7.2910000000000084</v>
      </c>
      <c r="I407" s="1119">
        <v>0.86309999999999953</v>
      </c>
      <c r="J407" s="1119">
        <v>0.85959999999999948</v>
      </c>
      <c r="K407" s="1120">
        <v>32.36</v>
      </c>
      <c r="L407" s="1119">
        <v>7.2910000000000084</v>
      </c>
      <c r="N407" s="1120">
        <v>31.22</v>
      </c>
      <c r="O407" s="1119">
        <v>7.2401000000000018</v>
      </c>
      <c r="P407" s="1119">
        <v>0.86909999999999998</v>
      </c>
      <c r="Q407" s="1119">
        <v>0.86569999999999991</v>
      </c>
      <c r="S407" s="1119">
        <v>7.2401000000000018</v>
      </c>
      <c r="T407" s="1120">
        <v>31.22</v>
      </c>
      <c r="U407" s="1119">
        <v>0.86909999999999998</v>
      </c>
      <c r="V407" s="1119">
        <v>0.86569999999999991</v>
      </c>
    </row>
    <row r="408" spans="4:22">
      <c r="D408" s="1119">
        <v>0.85969999999999946</v>
      </c>
      <c r="E408" s="1119">
        <v>0.86319999999999952</v>
      </c>
      <c r="F408" s="1120">
        <v>32.340000000000003</v>
      </c>
      <c r="G408" s="1119">
        <v>7.2901000000000087</v>
      </c>
      <c r="I408" s="1119">
        <v>0.86319999999999952</v>
      </c>
      <c r="J408" s="1119">
        <v>0.85969999999999946</v>
      </c>
      <c r="K408" s="1120">
        <v>32.340000000000003</v>
      </c>
      <c r="L408" s="1119">
        <v>7.2901000000000087</v>
      </c>
      <c r="N408" s="1120">
        <v>31.24</v>
      </c>
      <c r="O408" s="1119">
        <v>7.2409000000000017</v>
      </c>
      <c r="P408" s="1119">
        <v>0.86899999999999999</v>
      </c>
      <c r="Q408" s="1119">
        <v>0.86559999999999993</v>
      </c>
      <c r="S408" s="1119">
        <v>7.2409000000000017</v>
      </c>
      <c r="T408" s="1120">
        <v>31.24</v>
      </c>
      <c r="U408" s="1119">
        <v>0.86899999999999999</v>
      </c>
      <c r="V408" s="1119">
        <v>0.86559999999999993</v>
      </c>
    </row>
    <row r="409" spans="4:22">
      <c r="D409" s="1119">
        <v>0.85979999999999945</v>
      </c>
      <c r="E409" s="1119">
        <v>0.86329999999999951</v>
      </c>
      <c r="F409" s="1120">
        <v>32.32</v>
      </c>
      <c r="G409" s="1119">
        <v>7.289200000000009</v>
      </c>
      <c r="I409" s="1119">
        <v>0.86329999999999951</v>
      </c>
      <c r="J409" s="1119">
        <v>0.85979999999999945</v>
      </c>
      <c r="K409" s="1120">
        <v>32.32</v>
      </c>
      <c r="L409" s="1119">
        <v>7.289200000000009</v>
      </c>
      <c r="N409" s="1120">
        <v>31.26</v>
      </c>
      <c r="O409" s="1119">
        <v>7.2418000000000013</v>
      </c>
      <c r="P409" s="1119">
        <v>0.86890000000000001</v>
      </c>
      <c r="Q409" s="1119">
        <v>0.86549999999999994</v>
      </c>
      <c r="S409" s="1119">
        <v>7.2418000000000013</v>
      </c>
      <c r="T409" s="1120">
        <v>31.26</v>
      </c>
      <c r="U409" s="1119">
        <v>0.86890000000000001</v>
      </c>
      <c r="V409" s="1119">
        <v>0.86549999999999994</v>
      </c>
    </row>
    <row r="410" spans="4:22">
      <c r="D410" s="1119">
        <v>0.85989999999999944</v>
      </c>
      <c r="E410" s="1119">
        <v>0.8633999999999995</v>
      </c>
      <c r="F410" s="1120">
        <v>32.299999999999997</v>
      </c>
      <c r="G410" s="1119">
        <v>7.2883000000000093</v>
      </c>
      <c r="I410" s="1119">
        <v>0.8633999999999995</v>
      </c>
      <c r="J410" s="1119">
        <v>0.85989999999999944</v>
      </c>
      <c r="K410" s="1120">
        <v>32.299999999999997</v>
      </c>
      <c r="L410" s="1119">
        <v>7.2883000000000093</v>
      </c>
      <c r="N410" s="1120">
        <v>31.28</v>
      </c>
      <c r="O410" s="1119">
        <v>7.242700000000001</v>
      </c>
      <c r="P410" s="1119">
        <v>0.86880000000000002</v>
      </c>
      <c r="Q410" s="1119">
        <v>0.86539999999999995</v>
      </c>
      <c r="S410" s="1119">
        <v>7.242700000000001</v>
      </c>
      <c r="T410" s="1120">
        <v>31.28</v>
      </c>
      <c r="U410" s="1119">
        <v>0.86880000000000002</v>
      </c>
      <c r="V410" s="1119">
        <v>0.86539999999999995</v>
      </c>
    </row>
    <row r="411" spans="4:22">
      <c r="D411" s="1119">
        <v>0.85999999999999943</v>
      </c>
      <c r="E411" s="1119">
        <v>0.86349999999999949</v>
      </c>
      <c r="F411" s="1120">
        <v>32.29</v>
      </c>
      <c r="G411" s="1119">
        <v>7.2874000000000096</v>
      </c>
      <c r="I411" s="1119">
        <v>0.86349999999999949</v>
      </c>
      <c r="J411" s="1119">
        <v>0.85999999999999943</v>
      </c>
      <c r="K411" s="1120">
        <v>32.29</v>
      </c>
      <c r="L411" s="1119">
        <v>7.2874000000000096</v>
      </c>
      <c r="N411" s="1120">
        <v>31.3</v>
      </c>
      <c r="O411" s="1119">
        <v>7.2436000000000007</v>
      </c>
      <c r="P411" s="1119">
        <v>0.86870000000000003</v>
      </c>
      <c r="Q411" s="1119">
        <v>0.86529999999999996</v>
      </c>
      <c r="S411" s="1119">
        <v>7.2436000000000007</v>
      </c>
      <c r="T411" s="1120">
        <v>31.3</v>
      </c>
      <c r="U411" s="1119">
        <v>0.86870000000000003</v>
      </c>
      <c r="V411" s="1119">
        <v>0.86529999999999996</v>
      </c>
    </row>
    <row r="412" spans="4:22">
      <c r="D412" s="1119">
        <v>0.86009999999999942</v>
      </c>
      <c r="E412" s="1119">
        <v>0.86359999999999948</v>
      </c>
      <c r="F412" s="1120">
        <v>32.270000000000003</v>
      </c>
      <c r="G412" s="1119">
        <v>7.28650000000001</v>
      </c>
      <c r="I412" s="1119">
        <v>0.86359999999999948</v>
      </c>
      <c r="J412" s="1119">
        <v>0.86009999999999942</v>
      </c>
      <c r="K412" s="1120">
        <v>32.270000000000003</v>
      </c>
      <c r="L412" s="1119">
        <v>7.28650000000001</v>
      </c>
      <c r="N412" s="1120">
        <v>31.32</v>
      </c>
      <c r="O412" s="1119">
        <v>7.2445000000000004</v>
      </c>
      <c r="P412" s="1119">
        <v>0.86860000000000004</v>
      </c>
      <c r="Q412" s="1119">
        <v>0.86519999999999997</v>
      </c>
      <c r="S412" s="1119">
        <v>7.2445000000000004</v>
      </c>
      <c r="T412" s="1120">
        <v>31.32</v>
      </c>
      <c r="U412" s="1119">
        <v>0.86860000000000004</v>
      </c>
      <c r="V412" s="1119">
        <v>0.86519999999999997</v>
      </c>
    </row>
    <row r="413" spans="4:22">
      <c r="D413" s="1119">
        <v>0.86019999999999996</v>
      </c>
      <c r="E413" s="1119">
        <v>0.86370000000000002</v>
      </c>
      <c r="F413" s="1120">
        <v>32.25</v>
      </c>
      <c r="G413" s="1119">
        <v>7.2856000000000005</v>
      </c>
      <c r="I413" s="1119">
        <v>0.86370000000000002</v>
      </c>
      <c r="J413" s="1119">
        <v>0.86019999999999996</v>
      </c>
      <c r="K413" s="1120">
        <v>32.25</v>
      </c>
      <c r="L413" s="1119">
        <v>7.2856000000000005</v>
      </c>
      <c r="N413" s="1120">
        <v>31.34</v>
      </c>
      <c r="O413" s="1119">
        <v>7.2454000000000001</v>
      </c>
      <c r="P413" s="1119">
        <v>0.86850000000000005</v>
      </c>
      <c r="Q413" s="1119">
        <v>0.86509999999999998</v>
      </c>
      <c r="S413" s="1119">
        <v>7.2454000000000001</v>
      </c>
      <c r="T413" s="1120">
        <v>31.34</v>
      </c>
      <c r="U413" s="1119">
        <v>0.86850000000000005</v>
      </c>
      <c r="V413" s="1119">
        <v>0.86509999999999998</v>
      </c>
    </row>
    <row r="414" spans="4:22">
      <c r="D414" s="1119">
        <v>0.86029999999999995</v>
      </c>
      <c r="E414" s="1119">
        <v>0.86380000000000001</v>
      </c>
      <c r="F414" s="1120">
        <v>32.229999999999997</v>
      </c>
      <c r="G414" s="1119">
        <v>7.2847000000000008</v>
      </c>
      <c r="I414" s="1119">
        <v>0.86380000000000001</v>
      </c>
      <c r="J414" s="1119">
        <v>0.86029999999999995</v>
      </c>
      <c r="K414" s="1120">
        <v>32.229999999999997</v>
      </c>
      <c r="L414" s="1119">
        <v>7.2847000000000008</v>
      </c>
      <c r="N414" s="1120">
        <v>31.35</v>
      </c>
      <c r="O414" s="1119">
        <v>7.2463000000000068</v>
      </c>
      <c r="P414" s="1119">
        <v>0.86839999999999984</v>
      </c>
      <c r="Q414" s="1119">
        <v>0.86499999999999944</v>
      </c>
      <c r="S414" s="1119">
        <v>7.2463000000000068</v>
      </c>
      <c r="T414" s="1120">
        <v>31.35</v>
      </c>
      <c r="U414" s="1119">
        <v>0.86839999999999984</v>
      </c>
      <c r="V414" s="1119">
        <v>0.86499999999999944</v>
      </c>
    </row>
    <row r="415" spans="4:22">
      <c r="D415" s="1119">
        <v>0.86039999999999994</v>
      </c>
      <c r="E415" s="1119">
        <v>0.8639</v>
      </c>
      <c r="F415" s="1120">
        <v>32.21</v>
      </c>
      <c r="G415" s="1119">
        <v>7.2838000000000012</v>
      </c>
      <c r="I415" s="1119">
        <v>0.8639</v>
      </c>
      <c r="J415" s="1119">
        <v>0.86039999999999994</v>
      </c>
      <c r="K415" s="1120">
        <v>32.21</v>
      </c>
      <c r="L415" s="1119">
        <v>7.2838000000000012</v>
      </c>
      <c r="N415" s="1120">
        <v>31.37</v>
      </c>
      <c r="O415" s="1119">
        <v>7.2472000000000065</v>
      </c>
      <c r="P415" s="1119">
        <v>0.86829999999999985</v>
      </c>
      <c r="Q415" s="1119">
        <v>0.86489999999999945</v>
      </c>
      <c r="S415" s="1119">
        <v>7.2472000000000065</v>
      </c>
      <c r="T415" s="1120">
        <v>31.37</v>
      </c>
      <c r="U415" s="1119">
        <v>0.86829999999999985</v>
      </c>
      <c r="V415" s="1119">
        <v>0.86489999999999945</v>
      </c>
    </row>
    <row r="416" spans="4:22">
      <c r="D416" s="1119">
        <v>0.86049999999999993</v>
      </c>
      <c r="E416" s="1119">
        <v>0.86399999999999999</v>
      </c>
      <c r="F416" s="1120">
        <v>32.19</v>
      </c>
      <c r="G416" s="1119">
        <v>7.2829000000000015</v>
      </c>
      <c r="I416" s="1119">
        <v>0.86399999999999999</v>
      </c>
      <c r="J416" s="1119">
        <v>0.86049999999999993</v>
      </c>
      <c r="K416" s="1120">
        <v>32.19</v>
      </c>
      <c r="L416" s="1119">
        <v>7.2829000000000015</v>
      </c>
      <c r="N416" s="1120">
        <v>31.39</v>
      </c>
      <c r="O416" s="1119">
        <v>7.2481000000000062</v>
      </c>
      <c r="P416" s="1119">
        <v>0.86819999999999986</v>
      </c>
      <c r="Q416" s="1119">
        <v>0.86479999999999946</v>
      </c>
      <c r="S416" s="1119">
        <v>7.2481000000000062</v>
      </c>
      <c r="T416" s="1120">
        <v>31.39</v>
      </c>
      <c r="U416" s="1119">
        <v>0.86819999999999986</v>
      </c>
      <c r="V416" s="1119">
        <v>0.86479999999999946</v>
      </c>
    </row>
    <row r="417" spans="4:22">
      <c r="D417" s="1119">
        <v>0.86059999999999992</v>
      </c>
      <c r="E417" s="1119">
        <v>0.86409999999999998</v>
      </c>
      <c r="F417" s="1120">
        <v>32.17</v>
      </c>
      <c r="G417" s="1119">
        <v>7.2821000000000016</v>
      </c>
      <c r="I417" s="1119">
        <v>0.86409999999999998</v>
      </c>
      <c r="J417" s="1119">
        <v>0.86059999999999992</v>
      </c>
      <c r="K417" s="1120">
        <v>32.17</v>
      </c>
      <c r="L417" s="1119">
        <v>7.2821000000000016</v>
      </c>
      <c r="N417" s="1120">
        <v>31.41</v>
      </c>
      <c r="O417" s="1119">
        <v>7.2490000000000059</v>
      </c>
      <c r="P417" s="1119">
        <v>0.86809999999999987</v>
      </c>
      <c r="Q417" s="1119">
        <v>0.86469999999999947</v>
      </c>
      <c r="S417" s="1119">
        <v>7.2490000000000059</v>
      </c>
      <c r="T417" s="1120">
        <v>31.41</v>
      </c>
      <c r="U417" s="1119">
        <v>0.86809999999999987</v>
      </c>
      <c r="V417" s="1119">
        <v>0.86469999999999947</v>
      </c>
    </row>
    <row r="418" spans="4:22">
      <c r="D418" s="1119">
        <v>0.86069999999999991</v>
      </c>
      <c r="E418" s="1119">
        <v>0.86419999999999997</v>
      </c>
      <c r="F418" s="1120">
        <v>32.15</v>
      </c>
      <c r="G418" s="1119">
        <v>7.2813000000000017</v>
      </c>
      <c r="I418" s="1119">
        <v>0.86419999999999997</v>
      </c>
      <c r="J418" s="1119">
        <v>0.86069999999999991</v>
      </c>
      <c r="K418" s="1120">
        <v>32.15</v>
      </c>
      <c r="L418" s="1119">
        <v>7.2813000000000017</v>
      </c>
      <c r="N418" s="1120">
        <v>31.43</v>
      </c>
      <c r="O418" s="1119">
        <v>7.2499000000000056</v>
      </c>
      <c r="P418" s="1119">
        <v>0.86799999999999988</v>
      </c>
      <c r="Q418" s="1119">
        <v>0.86459999999999948</v>
      </c>
      <c r="S418" s="1119">
        <v>7.2499000000000056</v>
      </c>
      <c r="T418" s="1120">
        <v>31.43</v>
      </c>
      <c r="U418" s="1119">
        <v>0.86799999999999988</v>
      </c>
      <c r="V418" s="1119">
        <v>0.86459999999999948</v>
      </c>
    </row>
    <row r="419" spans="4:22">
      <c r="D419" s="1119">
        <v>0.8607999999999999</v>
      </c>
      <c r="E419" s="1119">
        <v>0.86429999999999996</v>
      </c>
      <c r="F419" s="1120">
        <v>32.130000000000003</v>
      </c>
      <c r="G419" s="1119">
        <v>7.2805000000000017</v>
      </c>
      <c r="I419" s="1119">
        <v>0.86429999999999996</v>
      </c>
      <c r="J419" s="1119">
        <v>0.8607999999999999</v>
      </c>
      <c r="K419" s="1120">
        <v>32.130000000000003</v>
      </c>
      <c r="L419" s="1119">
        <v>7.2805000000000017</v>
      </c>
      <c r="N419" s="1120">
        <v>31.45</v>
      </c>
      <c r="O419" s="1119">
        <v>7.2507000000000055</v>
      </c>
      <c r="P419" s="1119">
        <v>0.86789999999999989</v>
      </c>
      <c r="Q419" s="1119">
        <v>0.86449999999999949</v>
      </c>
      <c r="S419" s="1119">
        <v>7.2507000000000055</v>
      </c>
      <c r="T419" s="1120">
        <v>31.45</v>
      </c>
      <c r="U419" s="1119">
        <v>0.86789999999999989</v>
      </c>
      <c r="V419" s="1119">
        <v>0.86449999999999949</v>
      </c>
    </row>
    <row r="420" spans="4:22">
      <c r="D420" s="1119">
        <v>0.86089999999999989</v>
      </c>
      <c r="E420" s="1119">
        <v>0.86439999999999995</v>
      </c>
      <c r="F420" s="1120">
        <v>32.11</v>
      </c>
      <c r="G420" s="1119">
        <v>7.2797000000000018</v>
      </c>
      <c r="I420" s="1119">
        <v>0.86439999999999995</v>
      </c>
      <c r="J420" s="1119">
        <v>0.86089999999999989</v>
      </c>
      <c r="K420" s="1120">
        <v>32.11</v>
      </c>
      <c r="L420" s="1119">
        <v>7.2797000000000018</v>
      </c>
      <c r="N420" s="1120">
        <v>31.47</v>
      </c>
      <c r="O420" s="1119">
        <v>7.2515000000000054</v>
      </c>
      <c r="P420" s="1119">
        <v>0.8677999999999999</v>
      </c>
      <c r="Q420" s="1119">
        <v>0.8643999999999995</v>
      </c>
      <c r="S420" s="1119">
        <v>7.2515000000000054</v>
      </c>
      <c r="T420" s="1120">
        <v>31.47</v>
      </c>
      <c r="U420" s="1119">
        <v>0.8677999999999999</v>
      </c>
      <c r="V420" s="1119">
        <v>0.8643999999999995</v>
      </c>
    </row>
    <row r="421" spans="4:22">
      <c r="D421" s="1119">
        <v>0.86099999999999988</v>
      </c>
      <c r="E421" s="1119">
        <v>0.86449999999999994</v>
      </c>
      <c r="F421" s="1120">
        <v>32.1</v>
      </c>
      <c r="G421" s="1119">
        <v>7.2789000000000019</v>
      </c>
      <c r="I421" s="1119">
        <v>0.86449999999999994</v>
      </c>
      <c r="J421" s="1119">
        <v>0.86099999999999988</v>
      </c>
      <c r="K421" s="1120">
        <v>32.1</v>
      </c>
      <c r="L421" s="1119">
        <v>7.2789000000000019</v>
      </c>
      <c r="N421" s="1120">
        <v>31.49</v>
      </c>
      <c r="O421" s="1119">
        <v>7.2523000000000053</v>
      </c>
      <c r="P421" s="1119">
        <v>0.86769999999999992</v>
      </c>
      <c r="Q421" s="1119">
        <v>0.86429999999999951</v>
      </c>
      <c r="S421" s="1119">
        <v>7.2523000000000053</v>
      </c>
      <c r="T421" s="1120">
        <v>31.49</v>
      </c>
      <c r="U421" s="1119">
        <v>0.86769999999999992</v>
      </c>
      <c r="V421" s="1119">
        <v>0.86429999999999951</v>
      </c>
    </row>
    <row r="422" spans="4:22">
      <c r="D422" s="1119">
        <v>0.86109999999999987</v>
      </c>
      <c r="E422" s="1119">
        <v>0.86459999999999992</v>
      </c>
      <c r="F422" s="1120">
        <v>32.08</v>
      </c>
      <c r="G422" s="1119">
        <v>7.278100000000002</v>
      </c>
      <c r="I422" s="1119">
        <v>0.86459999999999992</v>
      </c>
      <c r="J422" s="1119">
        <v>0.86109999999999987</v>
      </c>
      <c r="K422" s="1120">
        <v>32.08</v>
      </c>
      <c r="L422" s="1119">
        <v>7.278100000000002</v>
      </c>
      <c r="N422" s="1120">
        <v>31.51</v>
      </c>
      <c r="O422" s="1119">
        <v>7.2531000000000052</v>
      </c>
      <c r="P422" s="1119">
        <v>0.86759999999999993</v>
      </c>
      <c r="Q422" s="1119">
        <v>0.86419999999999952</v>
      </c>
      <c r="S422" s="1119">
        <v>7.2531000000000052</v>
      </c>
      <c r="T422" s="1120">
        <v>31.51</v>
      </c>
      <c r="U422" s="1119">
        <v>0.86759999999999993</v>
      </c>
      <c r="V422" s="1119">
        <v>0.86419999999999952</v>
      </c>
    </row>
    <row r="423" spans="4:22">
      <c r="D423" s="1119">
        <v>0.86119999999999985</v>
      </c>
      <c r="E423" s="1119">
        <v>0.86469999999999991</v>
      </c>
      <c r="F423" s="1120">
        <v>32.06</v>
      </c>
      <c r="G423" s="1119">
        <v>7.2773000000000021</v>
      </c>
      <c r="I423" s="1119">
        <v>0.86469999999999991</v>
      </c>
      <c r="J423" s="1119">
        <v>0.86119999999999985</v>
      </c>
      <c r="K423" s="1120">
        <v>32.06</v>
      </c>
      <c r="L423" s="1119">
        <v>7.2773000000000021</v>
      </c>
      <c r="N423" s="1120">
        <v>31.53</v>
      </c>
      <c r="O423" s="1119">
        <v>7.2539000000000051</v>
      </c>
      <c r="P423" s="1119">
        <v>0.86750000000000005</v>
      </c>
      <c r="Q423" s="1119">
        <v>0.86409999999999954</v>
      </c>
      <c r="S423" s="1119">
        <v>7.2539000000000051</v>
      </c>
      <c r="T423" s="1120">
        <v>31.53</v>
      </c>
      <c r="U423" s="1119">
        <v>0.86750000000000005</v>
      </c>
      <c r="V423" s="1119">
        <v>0.86409999999999954</v>
      </c>
    </row>
    <row r="424" spans="4:22">
      <c r="D424" s="1119">
        <v>0.86129999999999984</v>
      </c>
      <c r="E424" s="1119">
        <v>0.8647999999999999</v>
      </c>
      <c r="F424" s="1120">
        <v>32.04</v>
      </c>
      <c r="G424" s="1119">
        <v>7.2765000000000022</v>
      </c>
      <c r="I424" s="1119">
        <v>0.8647999999999999</v>
      </c>
      <c r="J424" s="1119">
        <v>0.86129999999999984</v>
      </c>
      <c r="K424" s="1120">
        <v>32.04</v>
      </c>
      <c r="L424" s="1119">
        <v>7.2765000000000022</v>
      </c>
      <c r="N424" s="1120">
        <v>31.54</v>
      </c>
      <c r="O424" s="1119">
        <v>7.254700000000005</v>
      </c>
      <c r="P424" s="1119">
        <v>0.86739999999999995</v>
      </c>
      <c r="Q424" s="1119">
        <v>0.86399999999999955</v>
      </c>
      <c r="S424" s="1119">
        <v>7.254700000000005</v>
      </c>
      <c r="T424" s="1120">
        <v>31.54</v>
      </c>
      <c r="U424" s="1119">
        <v>0.86739999999999995</v>
      </c>
      <c r="V424" s="1119">
        <v>0.86399999999999955</v>
      </c>
    </row>
    <row r="425" spans="4:22">
      <c r="D425" s="1119">
        <v>0.86139999999999983</v>
      </c>
      <c r="E425" s="1119">
        <v>0.86489999999999989</v>
      </c>
      <c r="F425" s="1120">
        <v>32.020000000000003</v>
      </c>
      <c r="G425" s="1119">
        <v>7.2757000000000023</v>
      </c>
      <c r="I425" s="1119">
        <v>0.86489999999999989</v>
      </c>
      <c r="J425" s="1119">
        <v>0.86139999999999983</v>
      </c>
      <c r="K425" s="1120">
        <v>32.020000000000003</v>
      </c>
      <c r="L425" s="1119">
        <v>7.2757000000000023</v>
      </c>
      <c r="N425" s="1120">
        <v>31.56</v>
      </c>
      <c r="O425" s="1119">
        <v>7.2555000000000049</v>
      </c>
      <c r="P425" s="1119">
        <v>0.86731000000000003</v>
      </c>
      <c r="Q425" s="1119">
        <v>0.86389999999999956</v>
      </c>
      <c r="S425" s="1119">
        <v>7.2555000000000049</v>
      </c>
      <c r="T425" s="1120">
        <v>31.56</v>
      </c>
      <c r="U425" s="1119">
        <v>0.86731000000000003</v>
      </c>
      <c r="V425" s="1119">
        <v>0.86389999999999956</v>
      </c>
    </row>
    <row r="426" spans="4:22">
      <c r="D426" s="1119">
        <v>0.86149999999999982</v>
      </c>
      <c r="E426" s="1119">
        <v>0.86499999999999999</v>
      </c>
      <c r="F426" s="1120">
        <v>32</v>
      </c>
      <c r="G426" s="1119">
        <v>7.2749000000000024</v>
      </c>
      <c r="I426" s="1119">
        <v>0.86499999999999999</v>
      </c>
      <c r="J426" s="1119">
        <v>0.86149999999999982</v>
      </c>
      <c r="K426" s="1120">
        <v>32</v>
      </c>
      <c r="L426" s="1119">
        <v>7.2749000000000024</v>
      </c>
      <c r="N426" s="1120">
        <v>31.58</v>
      </c>
      <c r="O426" s="1119">
        <v>7.2562000000000051</v>
      </c>
      <c r="P426" s="1119">
        <v>0.86721000000000004</v>
      </c>
      <c r="Q426" s="1119">
        <v>0.86379999999999957</v>
      </c>
      <c r="S426" s="1119">
        <v>7.2562000000000051</v>
      </c>
      <c r="T426" s="1120">
        <v>31.58</v>
      </c>
      <c r="U426" s="1119">
        <v>0.86721000000000004</v>
      </c>
      <c r="V426" s="1119">
        <v>0.86379999999999957</v>
      </c>
    </row>
    <row r="427" spans="4:22">
      <c r="D427" s="1119">
        <v>0.86159999999999981</v>
      </c>
      <c r="E427" s="1119">
        <v>0.86509999999999987</v>
      </c>
      <c r="F427" s="1120">
        <v>31.98</v>
      </c>
      <c r="G427" s="1119">
        <v>7.2740000000000027</v>
      </c>
      <c r="I427" s="1119">
        <v>0.86509999999999987</v>
      </c>
      <c r="J427" s="1119">
        <v>0.86159999999999981</v>
      </c>
      <c r="K427" s="1120">
        <v>31.98</v>
      </c>
      <c r="L427" s="1119">
        <v>7.2740000000000027</v>
      </c>
      <c r="N427" s="1120">
        <v>31.6</v>
      </c>
      <c r="O427" s="1119">
        <v>7.257000000000005</v>
      </c>
      <c r="P427" s="1119">
        <v>0.86712</v>
      </c>
      <c r="Q427" s="1119">
        <v>0.86369999999999958</v>
      </c>
      <c r="S427" s="1119">
        <v>7.257000000000005</v>
      </c>
      <c r="T427" s="1120">
        <v>31.6</v>
      </c>
      <c r="U427" s="1119">
        <v>0.86712</v>
      </c>
      <c r="V427" s="1119">
        <v>0.86369999999999958</v>
      </c>
    </row>
    <row r="428" spans="4:22">
      <c r="D428" s="1119">
        <v>0.8616999999999998</v>
      </c>
      <c r="E428" s="1119">
        <v>0.86519999999999986</v>
      </c>
      <c r="F428" s="1120">
        <v>31.96</v>
      </c>
      <c r="G428" s="1119">
        <v>7.273100000000003</v>
      </c>
      <c r="I428" s="1119">
        <v>0.86519999999999986</v>
      </c>
      <c r="J428" s="1119">
        <v>0.8616999999999998</v>
      </c>
      <c r="K428" s="1120">
        <v>31.96</v>
      </c>
      <c r="L428" s="1119">
        <v>7.273100000000003</v>
      </c>
      <c r="N428" s="1120">
        <v>31.62</v>
      </c>
      <c r="O428" s="1119">
        <v>7.2578000000000049</v>
      </c>
      <c r="P428" s="1119">
        <v>0.86702000000000001</v>
      </c>
      <c r="Q428" s="1119">
        <v>0.86359999999999959</v>
      </c>
      <c r="S428" s="1119">
        <v>7.2578000000000049</v>
      </c>
      <c r="T428" s="1120">
        <v>31.62</v>
      </c>
      <c r="U428" s="1119">
        <v>0.86702000000000001</v>
      </c>
      <c r="V428" s="1119">
        <v>0.86359999999999959</v>
      </c>
    </row>
    <row r="429" spans="4:22">
      <c r="D429" s="1119">
        <v>0.86179999999999979</v>
      </c>
      <c r="E429" s="1119">
        <v>0.86529999999999985</v>
      </c>
      <c r="F429" s="1120">
        <v>31.94</v>
      </c>
      <c r="G429" s="1119">
        <v>7.2722000000000033</v>
      </c>
      <c r="I429" s="1119">
        <v>0.86529999999999985</v>
      </c>
      <c r="J429" s="1119">
        <v>0.86179999999999979</v>
      </c>
      <c r="K429" s="1120">
        <v>31.94</v>
      </c>
      <c r="L429" s="1119">
        <v>7.2722000000000033</v>
      </c>
      <c r="N429" s="1120">
        <v>31.63</v>
      </c>
      <c r="O429" s="1119">
        <v>7.2585000000000051</v>
      </c>
      <c r="P429" s="1119">
        <v>0.86692999999999998</v>
      </c>
      <c r="Q429" s="1119">
        <v>0.8634999999999996</v>
      </c>
      <c r="S429" s="1119">
        <v>7.2585000000000051</v>
      </c>
      <c r="T429" s="1120">
        <v>31.63</v>
      </c>
      <c r="U429" s="1119">
        <v>0.86692999999999998</v>
      </c>
      <c r="V429" s="1119">
        <v>0.8634999999999996</v>
      </c>
    </row>
    <row r="430" spans="4:22">
      <c r="D430" s="1119">
        <v>0.86189999999999978</v>
      </c>
      <c r="E430" s="1119">
        <v>0.86539999999999984</v>
      </c>
      <c r="F430" s="1120">
        <v>31.92</v>
      </c>
      <c r="G430" s="1119">
        <v>7.2713000000000036</v>
      </c>
      <c r="I430" s="1119">
        <v>0.86539999999999984</v>
      </c>
      <c r="J430" s="1119">
        <v>0.86189999999999978</v>
      </c>
      <c r="K430" s="1120">
        <v>31.92</v>
      </c>
      <c r="L430" s="1119">
        <v>7.2713000000000036</v>
      </c>
      <c r="N430" s="1120">
        <v>31.65</v>
      </c>
      <c r="O430" s="1119">
        <v>7.259300000000005</v>
      </c>
      <c r="P430" s="1119">
        <v>0.86682999999999999</v>
      </c>
      <c r="Q430" s="1119">
        <v>0.86339999999999961</v>
      </c>
      <c r="S430" s="1119">
        <v>7.259300000000005</v>
      </c>
      <c r="T430" s="1120">
        <v>31.65</v>
      </c>
      <c r="U430" s="1119">
        <v>0.86682999999999999</v>
      </c>
      <c r="V430" s="1119">
        <v>0.86339999999999961</v>
      </c>
    </row>
    <row r="431" spans="4:22">
      <c r="D431" s="1119">
        <v>0.86199999999999977</v>
      </c>
      <c r="E431" s="1119">
        <v>0.86549999999999983</v>
      </c>
      <c r="F431" s="1120">
        <v>31.91</v>
      </c>
      <c r="G431" s="1119">
        <v>7.270400000000004</v>
      </c>
      <c r="I431" s="1119">
        <v>0.86549999999999983</v>
      </c>
      <c r="J431" s="1119">
        <v>0.86199999999999977</v>
      </c>
      <c r="K431" s="1120">
        <v>31.91</v>
      </c>
      <c r="L431" s="1119">
        <v>7.270400000000004</v>
      </c>
      <c r="N431" s="1120">
        <v>31.67</v>
      </c>
      <c r="O431" s="1119">
        <v>7.26</v>
      </c>
      <c r="P431" s="1119">
        <v>0.86673999999999995</v>
      </c>
      <c r="Q431" s="1119">
        <v>0.86329999999999962</v>
      </c>
      <c r="S431" s="1119">
        <v>7.26</v>
      </c>
      <c r="T431" s="1120">
        <v>31.67</v>
      </c>
      <c r="U431" s="1119">
        <v>0.86673999999999995</v>
      </c>
      <c r="V431" s="1119">
        <v>0.86329999999999962</v>
      </c>
    </row>
    <row r="432" spans="4:22">
      <c r="D432" s="1119">
        <v>0.86209999999999976</v>
      </c>
      <c r="E432" s="1119">
        <v>0.86559999999999981</v>
      </c>
      <c r="F432" s="1120">
        <v>31.89</v>
      </c>
      <c r="G432" s="1119">
        <v>7.2695000000000043</v>
      </c>
      <c r="I432" s="1119">
        <v>0.86559999999999981</v>
      </c>
      <c r="J432" s="1119">
        <v>0.86209999999999976</v>
      </c>
      <c r="K432" s="1120">
        <v>31.89</v>
      </c>
      <c r="L432" s="1119">
        <v>7.2695000000000043</v>
      </c>
      <c r="N432" s="1120">
        <v>31.69</v>
      </c>
      <c r="O432" s="1119">
        <v>7.260800000000005</v>
      </c>
      <c r="P432" s="1119">
        <v>0.86663999999999997</v>
      </c>
      <c r="Q432" s="1119">
        <v>0.86319999999999963</v>
      </c>
      <c r="S432" s="1119">
        <v>7.260800000000005</v>
      </c>
      <c r="T432" s="1120">
        <v>31.69</v>
      </c>
      <c r="U432" s="1119">
        <v>0.86663999999999997</v>
      </c>
      <c r="V432" s="1119">
        <v>0.86319999999999963</v>
      </c>
    </row>
    <row r="433" spans="4:22">
      <c r="D433" s="1119">
        <v>0.86219999999999974</v>
      </c>
      <c r="E433" s="1119">
        <v>0.86568999999999996</v>
      </c>
      <c r="F433" s="1120">
        <v>31.87</v>
      </c>
      <c r="G433" s="1119">
        <v>7.2687000000000044</v>
      </c>
      <c r="I433" s="1119">
        <v>0.86568999999999996</v>
      </c>
      <c r="J433" s="1119">
        <v>0.86219999999999974</v>
      </c>
      <c r="K433" s="1120">
        <v>31.87</v>
      </c>
      <c r="L433" s="1119">
        <v>7.2687000000000044</v>
      </c>
      <c r="N433" s="1120">
        <v>31.71</v>
      </c>
      <c r="O433" s="1119">
        <v>7.2616000000000049</v>
      </c>
      <c r="P433" s="1119">
        <v>0.86655000000000004</v>
      </c>
      <c r="Q433" s="1119">
        <v>0.86309999999999965</v>
      </c>
      <c r="S433" s="1119">
        <v>7.2616000000000049</v>
      </c>
      <c r="T433" s="1120">
        <v>31.71</v>
      </c>
      <c r="U433" s="1119">
        <v>0.86655000000000004</v>
      </c>
      <c r="V433" s="1119">
        <v>0.86309999999999965</v>
      </c>
    </row>
    <row r="434" spans="4:22">
      <c r="D434" s="1119">
        <v>0.86229999999999973</v>
      </c>
      <c r="E434" s="1119">
        <v>0.86578999999999995</v>
      </c>
      <c r="F434" s="1120">
        <v>31.85</v>
      </c>
      <c r="G434" s="1119">
        <v>7.2678000000000047</v>
      </c>
      <c r="I434" s="1119">
        <v>0.86578999999999995</v>
      </c>
      <c r="J434" s="1119">
        <v>0.86229999999999973</v>
      </c>
      <c r="K434" s="1120">
        <v>31.85</v>
      </c>
      <c r="L434" s="1119">
        <v>7.2678000000000047</v>
      </c>
      <c r="N434" s="1120">
        <v>31.72</v>
      </c>
      <c r="O434" s="1119">
        <v>7.2623000000000051</v>
      </c>
      <c r="P434" s="1119">
        <v>0.86645000000000005</v>
      </c>
      <c r="Q434" s="1119">
        <v>0.86299999999999966</v>
      </c>
      <c r="S434" s="1119">
        <v>7.2623000000000051</v>
      </c>
      <c r="T434" s="1120">
        <v>31.72</v>
      </c>
      <c r="U434" s="1119">
        <v>0.86645000000000005</v>
      </c>
      <c r="V434" s="1119">
        <v>0.86299999999999966</v>
      </c>
    </row>
    <row r="435" spans="4:22">
      <c r="D435" s="1119">
        <v>0.86239999999999972</v>
      </c>
      <c r="E435" s="1119">
        <v>0.86587999999999998</v>
      </c>
      <c r="F435" s="1120">
        <v>31.83</v>
      </c>
      <c r="G435" s="1119">
        <v>7.2670000000000048</v>
      </c>
      <c r="I435" s="1119">
        <v>0.86587999999999998</v>
      </c>
      <c r="J435" s="1119">
        <v>0.86239999999999972</v>
      </c>
      <c r="K435" s="1120">
        <v>31.83</v>
      </c>
      <c r="L435" s="1119">
        <v>7.2670000000000048</v>
      </c>
      <c r="N435" s="1120">
        <v>31.74</v>
      </c>
      <c r="O435" s="1119">
        <v>7.263100000000005</v>
      </c>
      <c r="P435" s="1119">
        <v>0.86636000000000002</v>
      </c>
      <c r="Q435" s="1119">
        <v>0.86289999999999967</v>
      </c>
      <c r="S435" s="1119">
        <v>7.263100000000005</v>
      </c>
      <c r="T435" s="1120">
        <v>31.74</v>
      </c>
      <c r="U435" s="1119">
        <v>0.86636000000000002</v>
      </c>
      <c r="V435" s="1119">
        <v>0.86289999999999967</v>
      </c>
    </row>
    <row r="436" spans="4:22">
      <c r="D436" s="1119">
        <v>0.86250000000000004</v>
      </c>
      <c r="E436" s="1119">
        <v>0.86597999999999997</v>
      </c>
      <c r="F436" s="1120">
        <v>31.81</v>
      </c>
      <c r="G436" s="1119">
        <v>7.2661000000000051</v>
      </c>
      <c r="I436" s="1119">
        <v>0.86597999999999997</v>
      </c>
      <c r="J436" s="1119">
        <v>0.86250000000000004</v>
      </c>
      <c r="K436" s="1120">
        <v>31.81</v>
      </c>
      <c r="L436" s="1119">
        <v>7.2661000000000051</v>
      </c>
      <c r="N436" s="1120">
        <v>31.76</v>
      </c>
      <c r="O436" s="1119">
        <v>7.2638000000000051</v>
      </c>
      <c r="P436" s="1119">
        <v>0.86626000000000003</v>
      </c>
      <c r="Q436" s="1119">
        <v>0.86279999999999968</v>
      </c>
      <c r="S436" s="1119">
        <v>7.2638000000000051</v>
      </c>
      <c r="T436" s="1120">
        <v>31.76</v>
      </c>
      <c r="U436" s="1119">
        <v>0.86626000000000003</v>
      </c>
      <c r="V436" s="1119">
        <v>0.86279999999999968</v>
      </c>
    </row>
    <row r="437" spans="4:22">
      <c r="D437" s="1119">
        <v>0.8625999999999997</v>
      </c>
      <c r="E437" s="1119">
        <v>0.86607000000000001</v>
      </c>
      <c r="F437" s="1120">
        <v>31.8</v>
      </c>
      <c r="G437" s="1119">
        <v>7.2653000000000052</v>
      </c>
      <c r="I437" s="1119">
        <v>0.86607000000000001</v>
      </c>
      <c r="J437" s="1119">
        <v>0.8625999999999997</v>
      </c>
      <c r="K437" s="1120">
        <v>31.8</v>
      </c>
      <c r="L437" s="1119">
        <v>7.2653000000000052</v>
      </c>
      <c r="N437" s="1120">
        <v>31.78</v>
      </c>
      <c r="O437" s="1119">
        <v>7.2646000000000051</v>
      </c>
      <c r="P437" s="1119">
        <v>0.86617</v>
      </c>
      <c r="Q437" s="1119">
        <v>0.86269999999999969</v>
      </c>
      <c r="S437" s="1119">
        <v>7.2646000000000051</v>
      </c>
      <c r="T437" s="1120">
        <v>31.78</v>
      </c>
      <c r="U437" s="1119">
        <v>0.86617</v>
      </c>
      <c r="V437" s="1119">
        <v>0.86269999999999969</v>
      </c>
    </row>
    <row r="438" spans="4:22">
      <c r="D438" s="1119">
        <v>0.86269999999999969</v>
      </c>
      <c r="E438" s="1119">
        <v>0.86617</v>
      </c>
      <c r="F438" s="1120">
        <v>31.78</v>
      </c>
      <c r="G438" s="1119">
        <v>7.2646000000000051</v>
      </c>
      <c r="I438" s="1119">
        <v>0.86617</v>
      </c>
      <c r="J438" s="1119">
        <v>0.86269999999999969</v>
      </c>
      <c r="K438" s="1120">
        <v>31.78</v>
      </c>
      <c r="L438" s="1119">
        <v>7.2646000000000051</v>
      </c>
      <c r="N438" s="1120">
        <v>31.8</v>
      </c>
      <c r="O438" s="1119">
        <v>7.2653000000000052</v>
      </c>
      <c r="P438" s="1119">
        <v>0.86607000000000001</v>
      </c>
      <c r="Q438" s="1119">
        <v>0.8625999999999997</v>
      </c>
      <c r="S438" s="1119">
        <v>7.2653000000000052</v>
      </c>
      <c r="T438" s="1120">
        <v>31.8</v>
      </c>
      <c r="U438" s="1119">
        <v>0.86607000000000001</v>
      </c>
      <c r="V438" s="1119">
        <v>0.8625999999999997</v>
      </c>
    </row>
    <row r="439" spans="4:22">
      <c r="D439" s="1119">
        <v>0.86279999999999968</v>
      </c>
      <c r="E439" s="1119">
        <v>0.86626000000000003</v>
      </c>
      <c r="F439" s="1120">
        <v>31.76</v>
      </c>
      <c r="G439" s="1119">
        <v>7.2638000000000051</v>
      </c>
      <c r="I439" s="1119">
        <v>0.86626000000000003</v>
      </c>
      <c r="J439" s="1119">
        <v>0.86279999999999968</v>
      </c>
      <c r="K439" s="1120">
        <v>31.76</v>
      </c>
      <c r="L439" s="1119">
        <v>7.2638000000000051</v>
      </c>
      <c r="N439" s="1120">
        <v>31.81</v>
      </c>
      <c r="O439" s="1119">
        <v>7.2661000000000051</v>
      </c>
      <c r="P439" s="1119">
        <v>0.86597999999999997</v>
      </c>
      <c r="Q439" s="1119">
        <v>0.86250000000000004</v>
      </c>
      <c r="S439" s="1119">
        <v>7.2661000000000051</v>
      </c>
      <c r="T439" s="1120">
        <v>31.81</v>
      </c>
      <c r="U439" s="1119">
        <v>0.86597999999999997</v>
      </c>
      <c r="V439" s="1119">
        <v>0.86250000000000004</v>
      </c>
    </row>
    <row r="440" spans="4:22">
      <c r="D440" s="1119">
        <v>0.86289999999999967</v>
      </c>
      <c r="E440" s="1119">
        <v>0.86636000000000002</v>
      </c>
      <c r="F440" s="1120">
        <v>31.74</v>
      </c>
      <c r="G440" s="1119">
        <v>7.263100000000005</v>
      </c>
      <c r="I440" s="1119">
        <v>0.86636000000000002</v>
      </c>
      <c r="J440" s="1119">
        <v>0.86289999999999967</v>
      </c>
      <c r="K440" s="1120">
        <v>31.74</v>
      </c>
      <c r="L440" s="1119">
        <v>7.263100000000005</v>
      </c>
      <c r="N440" s="1120">
        <v>31.83</v>
      </c>
      <c r="O440" s="1119">
        <v>7.2670000000000048</v>
      </c>
      <c r="P440" s="1119">
        <v>0.86587999999999998</v>
      </c>
      <c r="Q440" s="1119">
        <v>0.86239999999999972</v>
      </c>
      <c r="S440" s="1119">
        <v>7.2670000000000048</v>
      </c>
      <c r="T440" s="1120">
        <v>31.83</v>
      </c>
      <c r="U440" s="1119">
        <v>0.86587999999999998</v>
      </c>
      <c r="V440" s="1119">
        <v>0.86239999999999972</v>
      </c>
    </row>
    <row r="441" spans="4:22">
      <c r="D441" s="1119">
        <v>0.86299999999999966</v>
      </c>
      <c r="E441" s="1119">
        <v>0.86645000000000005</v>
      </c>
      <c r="F441" s="1120">
        <v>31.72</v>
      </c>
      <c r="G441" s="1119">
        <v>7.2623000000000051</v>
      </c>
      <c r="I441" s="1119">
        <v>0.86645000000000005</v>
      </c>
      <c r="J441" s="1119">
        <v>0.86299999999999966</v>
      </c>
      <c r="K441" s="1120">
        <v>31.72</v>
      </c>
      <c r="L441" s="1119">
        <v>7.2623000000000051</v>
      </c>
      <c r="N441" s="1120">
        <v>31.85</v>
      </c>
      <c r="O441" s="1119">
        <v>7.2678000000000047</v>
      </c>
      <c r="P441" s="1119">
        <v>0.86578999999999995</v>
      </c>
      <c r="Q441" s="1119">
        <v>0.86229999999999973</v>
      </c>
      <c r="S441" s="1119">
        <v>7.2678000000000047</v>
      </c>
      <c r="T441" s="1120">
        <v>31.85</v>
      </c>
      <c r="U441" s="1119">
        <v>0.86578999999999995</v>
      </c>
      <c r="V441" s="1119">
        <v>0.86229999999999973</v>
      </c>
    </row>
    <row r="442" spans="4:22">
      <c r="D442" s="1119">
        <v>0.86309999999999965</v>
      </c>
      <c r="E442" s="1119">
        <v>0.86655000000000004</v>
      </c>
      <c r="F442" s="1120">
        <v>31.71</v>
      </c>
      <c r="G442" s="1119">
        <v>7.2616000000000049</v>
      </c>
      <c r="I442" s="1119">
        <v>0.86655000000000004</v>
      </c>
      <c r="J442" s="1119">
        <v>0.86309999999999965</v>
      </c>
      <c r="K442" s="1120">
        <v>31.71</v>
      </c>
      <c r="L442" s="1119">
        <v>7.2616000000000049</v>
      </c>
      <c r="N442" s="1120">
        <v>31.87</v>
      </c>
      <c r="O442" s="1119">
        <v>7.2687000000000044</v>
      </c>
      <c r="P442" s="1119">
        <v>0.86568999999999996</v>
      </c>
      <c r="Q442" s="1119">
        <v>0.86219999999999974</v>
      </c>
      <c r="S442" s="1119">
        <v>7.2687000000000044</v>
      </c>
      <c r="T442" s="1120">
        <v>31.87</v>
      </c>
      <c r="U442" s="1119">
        <v>0.86568999999999996</v>
      </c>
      <c r="V442" s="1119">
        <v>0.86219999999999974</v>
      </c>
    </row>
    <row r="443" spans="4:22">
      <c r="D443" s="1119">
        <v>0.86319999999999963</v>
      </c>
      <c r="E443" s="1119">
        <v>0.86663999999999997</v>
      </c>
      <c r="F443" s="1120">
        <v>31.69</v>
      </c>
      <c r="G443" s="1119">
        <v>7.260800000000005</v>
      </c>
      <c r="I443" s="1119">
        <v>0.86663999999999997</v>
      </c>
      <c r="J443" s="1119">
        <v>0.86319999999999963</v>
      </c>
      <c r="K443" s="1120">
        <v>31.69</v>
      </c>
      <c r="L443" s="1119">
        <v>7.260800000000005</v>
      </c>
      <c r="N443" s="1120">
        <v>31.89</v>
      </c>
      <c r="O443" s="1119">
        <v>7.2695000000000043</v>
      </c>
      <c r="P443" s="1119">
        <v>0.86559999999999981</v>
      </c>
      <c r="Q443" s="1119">
        <v>0.86209999999999976</v>
      </c>
      <c r="S443" s="1119">
        <v>7.2695000000000043</v>
      </c>
      <c r="T443" s="1120">
        <v>31.89</v>
      </c>
      <c r="U443" s="1119">
        <v>0.86559999999999981</v>
      </c>
      <c r="V443" s="1119">
        <v>0.86209999999999976</v>
      </c>
    </row>
    <row r="444" spans="4:22">
      <c r="D444" s="1119">
        <v>0.86329999999999962</v>
      </c>
      <c r="E444" s="1119">
        <v>0.86673999999999995</v>
      </c>
      <c r="F444" s="1120">
        <v>31.67</v>
      </c>
      <c r="G444" s="1119">
        <v>7.26</v>
      </c>
      <c r="I444" s="1119">
        <v>0.86673999999999995</v>
      </c>
      <c r="J444" s="1119">
        <v>0.86329999999999962</v>
      </c>
      <c r="K444" s="1120">
        <v>31.67</v>
      </c>
      <c r="L444" s="1119">
        <v>7.26</v>
      </c>
      <c r="N444" s="1120">
        <v>31.91</v>
      </c>
      <c r="O444" s="1119">
        <v>7.270400000000004</v>
      </c>
      <c r="P444" s="1119">
        <v>0.86549999999999983</v>
      </c>
      <c r="Q444" s="1119">
        <v>0.86199999999999977</v>
      </c>
      <c r="S444" s="1119">
        <v>7.270400000000004</v>
      </c>
      <c r="T444" s="1120">
        <v>31.91</v>
      </c>
      <c r="U444" s="1119">
        <v>0.86549999999999983</v>
      </c>
      <c r="V444" s="1119">
        <v>0.86199999999999977</v>
      </c>
    </row>
    <row r="445" spans="4:22">
      <c r="D445" s="1119">
        <v>0.86339999999999961</v>
      </c>
      <c r="E445" s="1119">
        <v>0.86682999999999999</v>
      </c>
      <c r="F445" s="1120">
        <v>31.65</v>
      </c>
      <c r="G445" s="1119">
        <v>7.259300000000005</v>
      </c>
      <c r="I445" s="1119">
        <v>0.86682999999999999</v>
      </c>
      <c r="J445" s="1119">
        <v>0.86339999999999961</v>
      </c>
      <c r="K445" s="1120">
        <v>31.65</v>
      </c>
      <c r="L445" s="1119">
        <v>7.259300000000005</v>
      </c>
      <c r="N445" s="1120">
        <v>31.92</v>
      </c>
      <c r="O445" s="1119">
        <v>7.2713000000000036</v>
      </c>
      <c r="P445" s="1119">
        <v>0.86539999999999984</v>
      </c>
      <c r="Q445" s="1119">
        <v>0.86189999999999978</v>
      </c>
      <c r="S445" s="1119">
        <v>7.2713000000000036</v>
      </c>
      <c r="T445" s="1120">
        <v>31.92</v>
      </c>
      <c r="U445" s="1119">
        <v>0.86539999999999984</v>
      </c>
      <c r="V445" s="1119">
        <v>0.86189999999999978</v>
      </c>
    </row>
    <row r="446" spans="4:22">
      <c r="D446" s="1119">
        <v>0.8634999999999996</v>
      </c>
      <c r="E446" s="1119">
        <v>0.86692999999999998</v>
      </c>
      <c r="F446" s="1120">
        <v>31.63</v>
      </c>
      <c r="G446" s="1119">
        <v>7.2585000000000051</v>
      </c>
      <c r="I446" s="1119">
        <v>0.86692999999999998</v>
      </c>
      <c r="J446" s="1119">
        <v>0.8634999999999996</v>
      </c>
      <c r="K446" s="1120">
        <v>31.63</v>
      </c>
      <c r="L446" s="1119">
        <v>7.2585000000000051</v>
      </c>
      <c r="N446" s="1120">
        <v>31.94</v>
      </c>
      <c r="O446" s="1119">
        <v>7.2722000000000033</v>
      </c>
      <c r="P446" s="1119">
        <v>0.86529999999999985</v>
      </c>
      <c r="Q446" s="1119">
        <v>0.86179999999999979</v>
      </c>
      <c r="S446" s="1119">
        <v>7.2722000000000033</v>
      </c>
      <c r="T446" s="1120">
        <v>31.94</v>
      </c>
      <c r="U446" s="1119">
        <v>0.86529999999999985</v>
      </c>
      <c r="V446" s="1119">
        <v>0.86179999999999979</v>
      </c>
    </row>
    <row r="447" spans="4:22">
      <c r="D447" s="1119">
        <v>0.86359999999999959</v>
      </c>
      <c r="E447" s="1119">
        <v>0.86702000000000001</v>
      </c>
      <c r="F447" s="1120">
        <v>31.62</v>
      </c>
      <c r="G447" s="1119">
        <v>7.2578000000000049</v>
      </c>
      <c r="I447" s="1119">
        <v>0.86702000000000001</v>
      </c>
      <c r="J447" s="1119">
        <v>0.86359999999999959</v>
      </c>
      <c r="K447" s="1120">
        <v>31.62</v>
      </c>
      <c r="L447" s="1119">
        <v>7.2578000000000049</v>
      </c>
      <c r="N447" s="1120">
        <v>31.96</v>
      </c>
      <c r="O447" s="1119">
        <v>7.273100000000003</v>
      </c>
      <c r="P447" s="1119">
        <v>0.86519999999999986</v>
      </c>
      <c r="Q447" s="1119">
        <v>0.8616999999999998</v>
      </c>
      <c r="S447" s="1119">
        <v>7.273100000000003</v>
      </c>
      <c r="T447" s="1120">
        <v>31.96</v>
      </c>
      <c r="U447" s="1119">
        <v>0.86519999999999986</v>
      </c>
      <c r="V447" s="1119">
        <v>0.8616999999999998</v>
      </c>
    </row>
    <row r="448" spans="4:22">
      <c r="D448" s="1119">
        <v>0.86369999999999958</v>
      </c>
      <c r="E448" s="1119">
        <v>0.86712</v>
      </c>
      <c r="F448" s="1120">
        <v>31.6</v>
      </c>
      <c r="G448" s="1119">
        <v>7.257000000000005</v>
      </c>
      <c r="I448" s="1119">
        <v>0.86712</v>
      </c>
      <c r="J448" s="1119">
        <v>0.86369999999999958</v>
      </c>
      <c r="K448" s="1120">
        <v>31.6</v>
      </c>
      <c r="L448" s="1119">
        <v>7.257000000000005</v>
      </c>
      <c r="N448" s="1120">
        <v>31.98</v>
      </c>
      <c r="O448" s="1119">
        <v>7.2740000000000027</v>
      </c>
      <c r="P448" s="1119">
        <v>0.86509999999999987</v>
      </c>
      <c r="Q448" s="1119">
        <v>0.86159999999999981</v>
      </c>
      <c r="S448" s="1119">
        <v>7.2740000000000027</v>
      </c>
      <c r="T448" s="1120">
        <v>31.98</v>
      </c>
      <c r="U448" s="1119">
        <v>0.86509999999999987</v>
      </c>
      <c r="V448" s="1119">
        <v>0.86159999999999981</v>
      </c>
    </row>
    <row r="449" spans="4:22">
      <c r="D449" s="1119">
        <v>0.86379999999999957</v>
      </c>
      <c r="E449" s="1119">
        <v>0.86721000000000004</v>
      </c>
      <c r="F449" s="1120">
        <v>31.58</v>
      </c>
      <c r="G449" s="1119">
        <v>7.2562000000000051</v>
      </c>
      <c r="I449" s="1119">
        <v>0.86721000000000004</v>
      </c>
      <c r="J449" s="1119">
        <v>0.86379999999999957</v>
      </c>
      <c r="K449" s="1120">
        <v>31.58</v>
      </c>
      <c r="L449" s="1119">
        <v>7.2562000000000051</v>
      </c>
      <c r="N449" s="1120">
        <v>32</v>
      </c>
      <c r="O449" s="1119">
        <v>7.2749000000000024</v>
      </c>
      <c r="P449" s="1119">
        <v>0.86499999999999999</v>
      </c>
      <c r="Q449" s="1119">
        <v>0.86149999999999982</v>
      </c>
      <c r="S449" s="1119">
        <v>7.2749000000000024</v>
      </c>
      <c r="T449" s="1120">
        <v>32</v>
      </c>
      <c r="U449" s="1119">
        <v>0.86499999999999999</v>
      </c>
      <c r="V449" s="1119">
        <v>0.86149999999999982</v>
      </c>
    </row>
    <row r="450" spans="4:22">
      <c r="D450" s="1119">
        <v>0.86389999999999956</v>
      </c>
      <c r="E450" s="1119">
        <v>0.86731000000000003</v>
      </c>
      <c r="F450" s="1120">
        <v>31.56</v>
      </c>
      <c r="G450" s="1119">
        <v>7.2555000000000049</v>
      </c>
      <c r="I450" s="1119">
        <v>0.86731000000000003</v>
      </c>
      <c r="J450" s="1119">
        <v>0.86389999999999956</v>
      </c>
      <c r="K450" s="1120">
        <v>31.56</v>
      </c>
      <c r="L450" s="1119">
        <v>7.2555000000000049</v>
      </c>
      <c r="N450" s="1120">
        <v>32.020000000000003</v>
      </c>
      <c r="O450" s="1119">
        <v>7.2757000000000023</v>
      </c>
      <c r="P450" s="1119">
        <v>0.86489999999999989</v>
      </c>
      <c r="Q450" s="1119">
        <v>0.86139999999999983</v>
      </c>
      <c r="S450" s="1119">
        <v>7.2757000000000023</v>
      </c>
      <c r="T450" s="1120">
        <v>32.020000000000003</v>
      </c>
      <c r="U450" s="1119">
        <v>0.86489999999999989</v>
      </c>
      <c r="V450" s="1119">
        <v>0.86139999999999983</v>
      </c>
    </row>
    <row r="451" spans="4:22">
      <c r="D451" s="1119">
        <v>0.86399999999999955</v>
      </c>
      <c r="E451" s="1119">
        <v>0.86739999999999995</v>
      </c>
      <c r="F451" s="1120">
        <v>31.54</v>
      </c>
      <c r="G451" s="1119">
        <v>7.254700000000005</v>
      </c>
      <c r="I451" s="1119">
        <v>0.86739999999999995</v>
      </c>
      <c r="J451" s="1119">
        <v>0.86399999999999955</v>
      </c>
      <c r="K451" s="1120">
        <v>31.54</v>
      </c>
      <c r="L451" s="1119">
        <v>7.254700000000005</v>
      </c>
      <c r="N451" s="1120">
        <v>32.04</v>
      </c>
      <c r="O451" s="1119">
        <v>7.2765000000000022</v>
      </c>
      <c r="P451" s="1119">
        <v>0.8647999999999999</v>
      </c>
      <c r="Q451" s="1119">
        <v>0.86129999999999984</v>
      </c>
      <c r="S451" s="1119">
        <v>7.2765000000000022</v>
      </c>
      <c r="T451" s="1120">
        <v>32.04</v>
      </c>
      <c r="U451" s="1119">
        <v>0.8647999999999999</v>
      </c>
      <c r="V451" s="1119">
        <v>0.86129999999999984</v>
      </c>
    </row>
    <row r="452" spans="4:22">
      <c r="D452" s="1119">
        <v>0.86409999999999954</v>
      </c>
      <c r="E452" s="1119">
        <v>0.86750000000000005</v>
      </c>
      <c r="F452" s="1120">
        <v>31.53</v>
      </c>
      <c r="G452" s="1119">
        <v>7.2539000000000051</v>
      </c>
      <c r="I452" s="1119">
        <v>0.86750000000000005</v>
      </c>
      <c r="J452" s="1119">
        <v>0.86409999999999954</v>
      </c>
      <c r="K452" s="1120">
        <v>31.53</v>
      </c>
      <c r="L452" s="1119">
        <v>7.2539000000000051</v>
      </c>
      <c r="N452" s="1120">
        <v>32.06</v>
      </c>
      <c r="O452" s="1119">
        <v>7.2773000000000021</v>
      </c>
      <c r="P452" s="1119">
        <v>0.86469999999999991</v>
      </c>
      <c r="Q452" s="1119">
        <v>0.86119999999999985</v>
      </c>
      <c r="S452" s="1119">
        <v>7.2773000000000021</v>
      </c>
      <c r="T452" s="1120">
        <v>32.06</v>
      </c>
      <c r="U452" s="1119">
        <v>0.86469999999999991</v>
      </c>
      <c r="V452" s="1119">
        <v>0.86119999999999985</v>
      </c>
    </row>
    <row r="453" spans="4:22">
      <c r="D453" s="1119">
        <v>0.86419999999999952</v>
      </c>
      <c r="E453" s="1119">
        <v>0.86759999999999993</v>
      </c>
      <c r="F453" s="1120">
        <v>31.51</v>
      </c>
      <c r="G453" s="1119">
        <v>7.2531000000000052</v>
      </c>
      <c r="I453" s="1119">
        <v>0.86759999999999993</v>
      </c>
      <c r="J453" s="1119">
        <v>0.86419999999999952</v>
      </c>
      <c r="K453" s="1120">
        <v>31.51</v>
      </c>
      <c r="L453" s="1119">
        <v>7.2531000000000052</v>
      </c>
      <c r="N453" s="1120">
        <v>32.08</v>
      </c>
      <c r="O453" s="1119">
        <v>7.278100000000002</v>
      </c>
      <c r="P453" s="1119">
        <v>0.86459999999999992</v>
      </c>
      <c r="Q453" s="1119">
        <v>0.86109999999999987</v>
      </c>
      <c r="S453" s="1119">
        <v>7.278100000000002</v>
      </c>
      <c r="T453" s="1120">
        <v>32.08</v>
      </c>
      <c r="U453" s="1119">
        <v>0.86459999999999992</v>
      </c>
      <c r="V453" s="1119">
        <v>0.86109999999999987</v>
      </c>
    </row>
    <row r="454" spans="4:22">
      <c r="D454" s="1119">
        <v>0.86429999999999951</v>
      </c>
      <c r="E454" s="1119">
        <v>0.86769999999999992</v>
      </c>
      <c r="F454" s="1120">
        <v>31.49</v>
      </c>
      <c r="G454" s="1119">
        <v>7.2523000000000053</v>
      </c>
      <c r="I454" s="1119">
        <v>0.86769999999999992</v>
      </c>
      <c r="J454" s="1119">
        <v>0.86429999999999951</v>
      </c>
      <c r="K454" s="1120">
        <v>31.49</v>
      </c>
      <c r="L454" s="1119">
        <v>7.2523000000000053</v>
      </c>
      <c r="N454" s="1120">
        <v>32.1</v>
      </c>
      <c r="O454" s="1119">
        <v>7.2789000000000019</v>
      </c>
      <c r="P454" s="1119">
        <v>0.86449999999999994</v>
      </c>
      <c r="Q454" s="1119">
        <v>0.86099999999999988</v>
      </c>
      <c r="S454" s="1119">
        <v>7.2789000000000019</v>
      </c>
      <c r="T454" s="1120">
        <v>32.1</v>
      </c>
      <c r="U454" s="1119">
        <v>0.86449999999999994</v>
      </c>
      <c r="V454" s="1119">
        <v>0.86099999999999988</v>
      </c>
    </row>
    <row r="455" spans="4:22">
      <c r="D455" s="1119">
        <v>0.8643999999999995</v>
      </c>
      <c r="E455" s="1119">
        <v>0.8677999999999999</v>
      </c>
      <c r="F455" s="1120">
        <v>31.47</v>
      </c>
      <c r="G455" s="1119">
        <v>7.2515000000000054</v>
      </c>
      <c r="I455" s="1119">
        <v>0.8677999999999999</v>
      </c>
      <c r="J455" s="1119">
        <v>0.8643999999999995</v>
      </c>
      <c r="K455" s="1120">
        <v>31.47</v>
      </c>
      <c r="L455" s="1119">
        <v>7.2515000000000054</v>
      </c>
      <c r="N455" s="1120">
        <v>32.11</v>
      </c>
      <c r="O455" s="1119">
        <v>7.2797000000000018</v>
      </c>
      <c r="P455" s="1119">
        <v>0.86439999999999995</v>
      </c>
      <c r="Q455" s="1119">
        <v>0.86089999999999989</v>
      </c>
      <c r="S455" s="1119">
        <v>7.2797000000000018</v>
      </c>
      <c r="T455" s="1120">
        <v>32.11</v>
      </c>
      <c r="U455" s="1119">
        <v>0.86439999999999995</v>
      </c>
      <c r="V455" s="1119">
        <v>0.86089999999999989</v>
      </c>
    </row>
    <row r="456" spans="4:22">
      <c r="D456" s="1119">
        <v>0.86449999999999949</v>
      </c>
      <c r="E456" s="1119">
        <v>0.86789999999999989</v>
      </c>
      <c r="F456" s="1120">
        <v>31.45</v>
      </c>
      <c r="G456" s="1119">
        <v>7.2507000000000055</v>
      </c>
      <c r="I456" s="1119">
        <v>0.86789999999999989</v>
      </c>
      <c r="J456" s="1119">
        <v>0.86449999999999949</v>
      </c>
      <c r="K456" s="1120">
        <v>31.45</v>
      </c>
      <c r="L456" s="1119">
        <v>7.2507000000000055</v>
      </c>
      <c r="N456" s="1120">
        <v>32.130000000000003</v>
      </c>
      <c r="O456" s="1119">
        <v>7.2805000000000017</v>
      </c>
      <c r="P456" s="1119">
        <v>0.86429999999999996</v>
      </c>
      <c r="Q456" s="1119">
        <v>0.8607999999999999</v>
      </c>
      <c r="S456" s="1119">
        <v>7.2805000000000017</v>
      </c>
      <c r="T456" s="1120">
        <v>32.130000000000003</v>
      </c>
      <c r="U456" s="1119">
        <v>0.86429999999999996</v>
      </c>
      <c r="V456" s="1119">
        <v>0.8607999999999999</v>
      </c>
    </row>
    <row r="457" spans="4:22">
      <c r="D457" s="1119">
        <v>0.86459999999999948</v>
      </c>
      <c r="E457" s="1119">
        <v>0.86799999999999988</v>
      </c>
      <c r="F457" s="1120">
        <v>31.43</v>
      </c>
      <c r="G457" s="1119">
        <v>7.2499000000000056</v>
      </c>
      <c r="I457" s="1119">
        <v>0.86799999999999988</v>
      </c>
      <c r="J457" s="1119">
        <v>0.86459999999999948</v>
      </c>
      <c r="K457" s="1120">
        <v>31.43</v>
      </c>
      <c r="L457" s="1119">
        <v>7.2499000000000056</v>
      </c>
      <c r="N457" s="1120">
        <v>32.15</v>
      </c>
      <c r="O457" s="1119">
        <v>7.2813000000000017</v>
      </c>
      <c r="P457" s="1119">
        <v>0.86419999999999997</v>
      </c>
      <c r="Q457" s="1119">
        <v>0.86069999999999991</v>
      </c>
      <c r="S457" s="1119">
        <v>7.2813000000000017</v>
      </c>
      <c r="T457" s="1120">
        <v>32.15</v>
      </c>
      <c r="U457" s="1119">
        <v>0.86419999999999997</v>
      </c>
      <c r="V457" s="1119">
        <v>0.86069999999999991</v>
      </c>
    </row>
    <row r="458" spans="4:22">
      <c r="D458" s="1119">
        <v>0.86469999999999947</v>
      </c>
      <c r="E458" s="1119">
        <v>0.86809999999999987</v>
      </c>
      <c r="F458" s="1120">
        <v>31.41</v>
      </c>
      <c r="G458" s="1119">
        <v>7.2490000000000059</v>
      </c>
      <c r="I458" s="1119">
        <v>0.86809999999999987</v>
      </c>
      <c r="J458" s="1119">
        <v>0.86469999999999947</v>
      </c>
      <c r="K458" s="1120">
        <v>31.41</v>
      </c>
      <c r="L458" s="1119">
        <v>7.2490000000000059</v>
      </c>
      <c r="N458" s="1120">
        <v>32.17</v>
      </c>
      <c r="O458" s="1119">
        <v>7.2821000000000016</v>
      </c>
      <c r="P458" s="1119">
        <v>0.86409999999999998</v>
      </c>
      <c r="Q458" s="1119">
        <v>0.86059999999999992</v>
      </c>
      <c r="S458" s="1119">
        <v>7.2821000000000016</v>
      </c>
      <c r="T458" s="1120">
        <v>32.17</v>
      </c>
      <c r="U458" s="1119">
        <v>0.86409999999999998</v>
      </c>
      <c r="V458" s="1119">
        <v>0.86059999999999992</v>
      </c>
    </row>
    <row r="459" spans="4:22">
      <c r="D459" s="1119">
        <v>0.86479999999999946</v>
      </c>
      <c r="E459" s="1119">
        <v>0.86819999999999986</v>
      </c>
      <c r="F459" s="1120">
        <v>31.39</v>
      </c>
      <c r="G459" s="1119">
        <v>7.2481000000000062</v>
      </c>
      <c r="I459" s="1119">
        <v>0.86819999999999986</v>
      </c>
      <c r="J459" s="1119">
        <v>0.86479999999999946</v>
      </c>
      <c r="K459" s="1120">
        <v>31.39</v>
      </c>
      <c r="L459" s="1119">
        <v>7.2481000000000062</v>
      </c>
      <c r="N459" s="1120">
        <v>32.19</v>
      </c>
      <c r="O459" s="1119">
        <v>7.2829000000000015</v>
      </c>
      <c r="P459" s="1119">
        <v>0.86399999999999999</v>
      </c>
      <c r="Q459" s="1119">
        <v>0.86049999999999993</v>
      </c>
      <c r="S459" s="1119">
        <v>7.2829000000000015</v>
      </c>
      <c r="T459" s="1120">
        <v>32.19</v>
      </c>
      <c r="U459" s="1119">
        <v>0.86399999999999999</v>
      </c>
      <c r="V459" s="1119">
        <v>0.86049999999999993</v>
      </c>
    </row>
    <row r="460" spans="4:22">
      <c r="D460" s="1119">
        <v>0.86489999999999945</v>
      </c>
      <c r="E460" s="1119">
        <v>0.86829999999999985</v>
      </c>
      <c r="F460" s="1120">
        <v>31.37</v>
      </c>
      <c r="G460" s="1119">
        <v>7.2472000000000065</v>
      </c>
      <c r="I460" s="1119">
        <v>0.86829999999999985</v>
      </c>
      <c r="J460" s="1119">
        <v>0.86489999999999945</v>
      </c>
      <c r="K460" s="1120">
        <v>31.37</v>
      </c>
      <c r="L460" s="1119">
        <v>7.2472000000000065</v>
      </c>
      <c r="N460" s="1120">
        <v>32.21</v>
      </c>
      <c r="O460" s="1119">
        <v>7.2838000000000012</v>
      </c>
      <c r="P460" s="1119">
        <v>0.8639</v>
      </c>
      <c r="Q460" s="1119">
        <v>0.86039999999999994</v>
      </c>
      <c r="S460" s="1119">
        <v>7.2838000000000012</v>
      </c>
      <c r="T460" s="1120">
        <v>32.21</v>
      </c>
      <c r="U460" s="1119">
        <v>0.8639</v>
      </c>
      <c r="V460" s="1119">
        <v>0.86039999999999994</v>
      </c>
    </row>
    <row r="461" spans="4:22">
      <c r="D461" s="1119">
        <v>0.86499999999999944</v>
      </c>
      <c r="E461" s="1119">
        <v>0.86839999999999984</v>
      </c>
      <c r="F461" s="1120">
        <v>31.35</v>
      </c>
      <c r="G461" s="1119">
        <v>7.2463000000000068</v>
      </c>
      <c r="I461" s="1119">
        <v>0.86839999999999984</v>
      </c>
      <c r="J461" s="1119">
        <v>0.86499999999999944</v>
      </c>
      <c r="K461" s="1120">
        <v>31.35</v>
      </c>
      <c r="L461" s="1119">
        <v>7.2463000000000068</v>
      </c>
      <c r="N461" s="1120">
        <v>32.229999999999997</v>
      </c>
      <c r="O461" s="1119">
        <v>7.2847000000000008</v>
      </c>
      <c r="P461" s="1119">
        <v>0.86380000000000001</v>
      </c>
      <c r="Q461" s="1119">
        <v>0.86029999999999995</v>
      </c>
      <c r="S461" s="1119">
        <v>7.2847000000000008</v>
      </c>
      <c r="T461" s="1120">
        <v>32.229999999999997</v>
      </c>
      <c r="U461" s="1119">
        <v>0.86380000000000001</v>
      </c>
      <c r="V461" s="1119">
        <v>0.86029999999999995</v>
      </c>
    </row>
    <row r="462" spans="4:22">
      <c r="D462" s="1119">
        <v>0.86509999999999998</v>
      </c>
      <c r="E462" s="1119">
        <v>0.86850000000000005</v>
      </c>
      <c r="F462" s="1120">
        <v>31.34</v>
      </c>
      <c r="G462" s="1119">
        <v>7.2454000000000001</v>
      </c>
      <c r="I462" s="1119">
        <v>0.86850000000000005</v>
      </c>
      <c r="J462" s="1119">
        <v>0.86509999999999998</v>
      </c>
      <c r="K462" s="1120">
        <v>31.34</v>
      </c>
      <c r="L462" s="1119">
        <v>7.2454000000000001</v>
      </c>
      <c r="N462" s="1120">
        <v>32.25</v>
      </c>
      <c r="O462" s="1119">
        <v>7.2856000000000005</v>
      </c>
      <c r="P462" s="1119">
        <v>0.86370000000000002</v>
      </c>
      <c r="Q462" s="1119">
        <v>0.86019999999999996</v>
      </c>
      <c r="S462" s="1119">
        <v>7.2856000000000005</v>
      </c>
      <c r="T462" s="1120">
        <v>32.25</v>
      </c>
      <c r="U462" s="1119">
        <v>0.86370000000000002</v>
      </c>
      <c r="V462" s="1119">
        <v>0.86019999999999996</v>
      </c>
    </row>
    <row r="463" spans="4:22">
      <c r="D463" s="1119">
        <v>0.86519999999999997</v>
      </c>
      <c r="E463" s="1119">
        <v>0.86860000000000004</v>
      </c>
      <c r="F463" s="1120">
        <v>31.32</v>
      </c>
      <c r="G463" s="1119">
        <v>7.2445000000000004</v>
      </c>
      <c r="I463" s="1119">
        <v>0.86860000000000004</v>
      </c>
      <c r="J463" s="1119">
        <v>0.86519999999999997</v>
      </c>
      <c r="K463" s="1120">
        <v>31.32</v>
      </c>
      <c r="L463" s="1119">
        <v>7.2445000000000004</v>
      </c>
      <c r="N463" s="1120">
        <v>32.270000000000003</v>
      </c>
      <c r="O463" s="1119">
        <v>7.28650000000001</v>
      </c>
      <c r="P463" s="1119">
        <v>0.86359999999999948</v>
      </c>
      <c r="Q463" s="1119">
        <v>0.86009999999999942</v>
      </c>
      <c r="S463" s="1119">
        <v>7.28650000000001</v>
      </c>
      <c r="T463" s="1120">
        <v>32.270000000000003</v>
      </c>
      <c r="U463" s="1119">
        <v>0.86359999999999948</v>
      </c>
      <c r="V463" s="1119">
        <v>0.86009999999999942</v>
      </c>
    </row>
    <row r="464" spans="4:22">
      <c r="D464" s="1119">
        <v>0.86529999999999996</v>
      </c>
      <c r="E464" s="1119">
        <v>0.86870000000000003</v>
      </c>
      <c r="F464" s="1120">
        <v>31.3</v>
      </c>
      <c r="G464" s="1119">
        <v>7.2436000000000007</v>
      </c>
      <c r="I464" s="1119">
        <v>0.86870000000000003</v>
      </c>
      <c r="J464" s="1119">
        <v>0.86529999999999996</v>
      </c>
      <c r="K464" s="1120">
        <v>31.3</v>
      </c>
      <c r="L464" s="1119">
        <v>7.2436000000000007</v>
      </c>
      <c r="N464" s="1120">
        <v>32.29</v>
      </c>
      <c r="O464" s="1119">
        <v>7.2874000000000096</v>
      </c>
      <c r="P464" s="1119">
        <v>0.86349999999999949</v>
      </c>
      <c r="Q464" s="1119">
        <v>0.85999999999999943</v>
      </c>
      <c r="S464" s="1119">
        <v>7.2874000000000096</v>
      </c>
      <c r="T464" s="1120">
        <v>32.29</v>
      </c>
      <c r="U464" s="1119">
        <v>0.86349999999999949</v>
      </c>
      <c r="V464" s="1119">
        <v>0.85999999999999943</v>
      </c>
    </row>
    <row r="465" spans="4:22">
      <c r="D465" s="1119">
        <v>0.86539999999999995</v>
      </c>
      <c r="E465" s="1119">
        <v>0.86880000000000002</v>
      </c>
      <c r="F465" s="1120">
        <v>31.28</v>
      </c>
      <c r="G465" s="1119">
        <v>7.242700000000001</v>
      </c>
      <c r="I465" s="1119">
        <v>0.86880000000000002</v>
      </c>
      <c r="J465" s="1119">
        <v>0.86539999999999995</v>
      </c>
      <c r="K465" s="1120">
        <v>31.28</v>
      </c>
      <c r="L465" s="1119">
        <v>7.242700000000001</v>
      </c>
      <c r="N465" s="1120">
        <v>32.299999999999997</v>
      </c>
      <c r="O465" s="1119">
        <v>7.2883000000000093</v>
      </c>
      <c r="P465" s="1119">
        <v>0.8633999999999995</v>
      </c>
      <c r="Q465" s="1119">
        <v>0.85989999999999944</v>
      </c>
      <c r="S465" s="1119">
        <v>7.2883000000000093</v>
      </c>
      <c r="T465" s="1120">
        <v>32.299999999999997</v>
      </c>
      <c r="U465" s="1119">
        <v>0.8633999999999995</v>
      </c>
      <c r="V465" s="1119">
        <v>0.85989999999999944</v>
      </c>
    </row>
    <row r="466" spans="4:22">
      <c r="D466" s="1119">
        <v>0.86549999999999994</v>
      </c>
      <c r="E466" s="1119">
        <v>0.86890000000000001</v>
      </c>
      <c r="F466" s="1120">
        <v>31.26</v>
      </c>
      <c r="G466" s="1119">
        <v>7.2418000000000013</v>
      </c>
      <c r="I466" s="1119">
        <v>0.86890000000000001</v>
      </c>
      <c r="J466" s="1119">
        <v>0.86549999999999994</v>
      </c>
      <c r="K466" s="1120">
        <v>31.26</v>
      </c>
      <c r="L466" s="1119">
        <v>7.2418000000000013</v>
      </c>
      <c r="N466" s="1120">
        <v>32.32</v>
      </c>
      <c r="O466" s="1119">
        <v>7.289200000000009</v>
      </c>
      <c r="P466" s="1119">
        <v>0.86329999999999951</v>
      </c>
      <c r="Q466" s="1119">
        <v>0.85979999999999945</v>
      </c>
      <c r="S466" s="1119">
        <v>7.289200000000009</v>
      </c>
      <c r="T466" s="1120">
        <v>32.32</v>
      </c>
      <c r="U466" s="1119">
        <v>0.86329999999999951</v>
      </c>
      <c r="V466" s="1119">
        <v>0.85979999999999945</v>
      </c>
    </row>
    <row r="467" spans="4:22">
      <c r="D467" s="1119">
        <v>0.86559999999999993</v>
      </c>
      <c r="E467" s="1119">
        <v>0.86899999999999999</v>
      </c>
      <c r="F467" s="1120">
        <v>31.24</v>
      </c>
      <c r="G467" s="1119">
        <v>7.2409000000000017</v>
      </c>
      <c r="I467" s="1119">
        <v>0.86899999999999999</v>
      </c>
      <c r="J467" s="1119">
        <v>0.86559999999999993</v>
      </c>
      <c r="K467" s="1120">
        <v>31.24</v>
      </c>
      <c r="L467" s="1119">
        <v>7.2409000000000017</v>
      </c>
      <c r="N467" s="1120">
        <v>32.340000000000003</v>
      </c>
      <c r="O467" s="1119">
        <v>7.2901000000000087</v>
      </c>
      <c r="P467" s="1119">
        <v>0.86319999999999952</v>
      </c>
      <c r="Q467" s="1119">
        <v>0.85969999999999946</v>
      </c>
      <c r="S467" s="1119">
        <v>7.2901000000000087</v>
      </c>
      <c r="T467" s="1120">
        <v>32.340000000000003</v>
      </c>
      <c r="U467" s="1119">
        <v>0.86319999999999952</v>
      </c>
      <c r="V467" s="1119">
        <v>0.85969999999999946</v>
      </c>
    </row>
    <row r="468" spans="4:22">
      <c r="D468" s="1119">
        <v>0.86569999999999991</v>
      </c>
      <c r="E468" s="1119">
        <v>0.86909999999999998</v>
      </c>
      <c r="F468" s="1120">
        <v>31.22</v>
      </c>
      <c r="G468" s="1119">
        <v>7.2401000000000018</v>
      </c>
      <c r="I468" s="1119">
        <v>0.86909999999999998</v>
      </c>
      <c r="J468" s="1119">
        <v>0.86569999999999991</v>
      </c>
      <c r="K468" s="1120">
        <v>31.22</v>
      </c>
      <c r="L468" s="1119">
        <v>7.2401000000000018</v>
      </c>
      <c r="N468" s="1120">
        <v>32.36</v>
      </c>
      <c r="O468" s="1119">
        <v>7.2910000000000084</v>
      </c>
      <c r="P468" s="1119">
        <v>0.86309999999999953</v>
      </c>
      <c r="Q468" s="1119">
        <v>0.85959999999999948</v>
      </c>
      <c r="S468" s="1119">
        <v>7.2910000000000084</v>
      </c>
      <c r="T468" s="1120">
        <v>32.36</v>
      </c>
      <c r="U468" s="1119">
        <v>0.86309999999999953</v>
      </c>
      <c r="V468" s="1119">
        <v>0.85959999999999948</v>
      </c>
    </row>
    <row r="469" spans="4:22">
      <c r="D469" s="1119">
        <v>0.8657999999999999</v>
      </c>
      <c r="E469" s="1119">
        <v>0.86919999999999997</v>
      </c>
      <c r="F469" s="1120">
        <v>31.2</v>
      </c>
      <c r="G469" s="1119">
        <v>7.2393000000000018</v>
      </c>
      <c r="I469" s="1119">
        <v>0.86919999999999997</v>
      </c>
      <c r="J469" s="1119">
        <v>0.8657999999999999</v>
      </c>
      <c r="K469" s="1120">
        <v>31.2</v>
      </c>
      <c r="L469" s="1119">
        <v>7.2393000000000018</v>
      </c>
      <c r="N469" s="1120">
        <v>32.380000000000003</v>
      </c>
      <c r="O469" s="1119">
        <v>7.291900000000008</v>
      </c>
      <c r="P469" s="1119">
        <v>0.86299999999999955</v>
      </c>
      <c r="Q469" s="1119">
        <v>0.85949999999999949</v>
      </c>
      <c r="S469" s="1119">
        <v>7.291900000000008</v>
      </c>
      <c r="T469" s="1120">
        <v>32.380000000000003</v>
      </c>
      <c r="U469" s="1119">
        <v>0.86299999999999955</v>
      </c>
      <c r="V469" s="1119">
        <v>0.85949999999999949</v>
      </c>
    </row>
    <row r="470" spans="4:22">
      <c r="D470" s="1119">
        <v>0.86589999999999989</v>
      </c>
      <c r="E470" s="1119">
        <v>0.86929999999999996</v>
      </c>
      <c r="F470" s="1120">
        <v>31.19</v>
      </c>
      <c r="G470" s="1119">
        <v>7.2385000000000019</v>
      </c>
      <c r="I470" s="1119">
        <v>0.86929999999999996</v>
      </c>
      <c r="J470" s="1119">
        <v>0.86589999999999989</v>
      </c>
      <c r="K470" s="1120">
        <v>31.19</v>
      </c>
      <c r="L470" s="1119">
        <v>7.2385000000000019</v>
      </c>
      <c r="N470" s="1120">
        <v>32.4</v>
      </c>
      <c r="O470" s="1119">
        <v>7.292700000000008</v>
      </c>
      <c r="P470" s="1119">
        <v>0.86289999999999956</v>
      </c>
      <c r="Q470" s="1119">
        <v>0.8593999999999995</v>
      </c>
      <c r="S470" s="1119">
        <v>7.292700000000008</v>
      </c>
      <c r="T470" s="1120">
        <v>32.4</v>
      </c>
      <c r="U470" s="1119">
        <v>0.86289999999999956</v>
      </c>
      <c r="V470" s="1119">
        <v>0.8593999999999995</v>
      </c>
    </row>
    <row r="471" spans="4:22">
      <c r="D471" s="1119">
        <v>0.86599999999999988</v>
      </c>
      <c r="E471" s="1119">
        <v>0.86939999999999995</v>
      </c>
      <c r="F471" s="1120">
        <v>31.17</v>
      </c>
      <c r="G471" s="1119">
        <v>7.237700000000002</v>
      </c>
      <c r="I471" s="1119">
        <v>0.86939999999999995</v>
      </c>
      <c r="J471" s="1119">
        <v>0.86599999999999988</v>
      </c>
      <c r="K471" s="1120">
        <v>31.17</v>
      </c>
      <c r="L471" s="1119">
        <v>7.237700000000002</v>
      </c>
      <c r="N471" s="1120">
        <v>32.42</v>
      </c>
      <c r="O471" s="1119">
        <v>7.2935000000000079</v>
      </c>
      <c r="P471" s="1119">
        <v>0.86279999999999957</v>
      </c>
      <c r="Q471" s="1119">
        <v>0.85929999999999951</v>
      </c>
      <c r="S471" s="1119">
        <v>7.2935000000000079</v>
      </c>
      <c r="T471" s="1120">
        <v>32.42</v>
      </c>
      <c r="U471" s="1119">
        <v>0.86279999999999957</v>
      </c>
      <c r="V471" s="1119">
        <v>0.85929999999999951</v>
      </c>
    </row>
    <row r="472" spans="4:22">
      <c r="D472" s="1119">
        <v>0.86609999999999987</v>
      </c>
      <c r="E472" s="1119">
        <v>0.86949999999999994</v>
      </c>
      <c r="F472" s="1120">
        <v>31.15</v>
      </c>
      <c r="G472" s="1119">
        <v>7.2369000000000021</v>
      </c>
      <c r="I472" s="1119">
        <v>0.86949999999999994</v>
      </c>
      <c r="J472" s="1119">
        <v>0.86609999999999987</v>
      </c>
      <c r="K472" s="1120">
        <v>31.15</v>
      </c>
      <c r="L472" s="1119">
        <v>7.2369000000000021</v>
      </c>
      <c r="N472" s="1120">
        <v>32.44</v>
      </c>
      <c r="O472" s="1119">
        <v>7.2943000000000078</v>
      </c>
      <c r="P472" s="1119">
        <v>0.86269999999999958</v>
      </c>
      <c r="Q472" s="1119">
        <v>0.85919999999999952</v>
      </c>
      <c r="S472" s="1119">
        <v>7.2943000000000078</v>
      </c>
      <c r="T472" s="1120">
        <v>32.44</v>
      </c>
      <c r="U472" s="1119">
        <v>0.86269999999999958</v>
      </c>
      <c r="V472" s="1119">
        <v>0.85919999999999952</v>
      </c>
    </row>
    <row r="473" spans="4:22">
      <c r="D473" s="1119">
        <v>0.86619999999999986</v>
      </c>
      <c r="E473" s="1119">
        <v>0.86959999999999993</v>
      </c>
      <c r="F473" s="1120">
        <v>31.13</v>
      </c>
      <c r="G473" s="1119">
        <v>7.2361000000000022</v>
      </c>
      <c r="I473" s="1119">
        <v>0.86959999999999993</v>
      </c>
      <c r="J473" s="1119">
        <v>0.86619999999999986</v>
      </c>
      <c r="K473" s="1120">
        <v>31.13</v>
      </c>
      <c r="L473" s="1119">
        <v>7.2361000000000022</v>
      </c>
      <c r="N473" s="1120">
        <v>32.46</v>
      </c>
      <c r="O473" s="1119">
        <v>7.2951000000000077</v>
      </c>
      <c r="P473" s="1119">
        <v>0.86259999999999959</v>
      </c>
      <c r="Q473" s="1119">
        <v>0.85909999999999953</v>
      </c>
      <c r="S473" s="1119">
        <v>7.2951000000000077</v>
      </c>
      <c r="T473" s="1120">
        <v>32.46</v>
      </c>
      <c r="U473" s="1119">
        <v>0.86259999999999959</v>
      </c>
      <c r="V473" s="1119">
        <v>0.85909999999999953</v>
      </c>
    </row>
    <row r="474" spans="4:22">
      <c r="D474" s="1119">
        <v>0.86629999999999985</v>
      </c>
      <c r="E474" s="1119">
        <v>0.86969999999999992</v>
      </c>
      <c r="F474" s="1120">
        <v>31.11</v>
      </c>
      <c r="G474" s="1119">
        <v>7.2353000000000023</v>
      </c>
      <c r="I474" s="1119">
        <v>0.86969999999999992</v>
      </c>
      <c r="J474" s="1119">
        <v>0.86629999999999985</v>
      </c>
      <c r="K474" s="1120">
        <v>31.11</v>
      </c>
      <c r="L474" s="1119">
        <v>7.2353000000000023</v>
      </c>
      <c r="N474" s="1120">
        <v>32.479999999999997</v>
      </c>
      <c r="O474" s="1119">
        <v>7.2959000000000076</v>
      </c>
      <c r="P474" s="1119">
        <v>0.86250000000000004</v>
      </c>
      <c r="Q474" s="1119">
        <v>0.85899999999999954</v>
      </c>
      <c r="S474" s="1119">
        <v>7.2959000000000076</v>
      </c>
      <c r="T474" s="1120">
        <v>32.479999999999997</v>
      </c>
      <c r="U474" s="1119">
        <v>0.86250000000000004</v>
      </c>
      <c r="V474" s="1119">
        <v>0.85899999999999954</v>
      </c>
    </row>
    <row r="475" spans="4:22">
      <c r="D475" s="1119">
        <v>0.86639999999999984</v>
      </c>
      <c r="E475" s="1119">
        <v>0.86979999999999991</v>
      </c>
      <c r="F475" s="1120">
        <v>31.1</v>
      </c>
      <c r="G475" s="1119">
        <v>7.2345000000000024</v>
      </c>
      <c r="I475" s="1119">
        <v>0.86979999999999991</v>
      </c>
      <c r="J475" s="1119">
        <v>0.86639999999999984</v>
      </c>
      <c r="K475" s="1120">
        <v>31.1</v>
      </c>
      <c r="L475" s="1119">
        <v>7.2345000000000024</v>
      </c>
      <c r="N475" s="1120">
        <v>32.49</v>
      </c>
      <c r="O475" s="1119">
        <v>7.2967000000000075</v>
      </c>
      <c r="P475" s="1119">
        <v>0.86239999999999961</v>
      </c>
      <c r="Q475" s="1119">
        <v>0.85889999999999955</v>
      </c>
      <c r="S475" s="1119">
        <v>7.2967000000000075</v>
      </c>
      <c r="T475" s="1120">
        <v>32.49</v>
      </c>
      <c r="U475" s="1119">
        <v>0.86239999999999961</v>
      </c>
      <c r="V475" s="1119">
        <v>0.85889999999999955</v>
      </c>
    </row>
    <row r="476" spans="4:22">
      <c r="D476" s="1119">
        <v>0.86649999999999983</v>
      </c>
      <c r="E476" s="1119">
        <v>0.8698999999999999</v>
      </c>
      <c r="F476" s="1120">
        <v>31.08</v>
      </c>
      <c r="G476" s="1119">
        <v>7.2337000000000025</v>
      </c>
      <c r="I476" s="1119">
        <v>0.8698999999999999</v>
      </c>
      <c r="J476" s="1119">
        <v>0.86649999999999983</v>
      </c>
      <c r="K476" s="1120">
        <v>31.08</v>
      </c>
      <c r="L476" s="1119">
        <v>7.2337000000000025</v>
      </c>
      <c r="N476" s="1120">
        <v>32.51</v>
      </c>
      <c r="O476" s="1119">
        <v>7.2975000000000074</v>
      </c>
      <c r="P476" s="1119">
        <v>0.86229999999999962</v>
      </c>
      <c r="Q476" s="1119">
        <v>0.85879999999999956</v>
      </c>
      <c r="S476" s="1119">
        <v>7.2975000000000074</v>
      </c>
      <c r="T476" s="1120">
        <v>32.51</v>
      </c>
      <c r="U476" s="1119">
        <v>0.86229999999999962</v>
      </c>
      <c r="V476" s="1119">
        <v>0.85879999999999956</v>
      </c>
    </row>
    <row r="477" spans="4:22">
      <c r="D477" s="1119">
        <v>0.86659999999999981</v>
      </c>
      <c r="E477" s="1119">
        <v>0.87</v>
      </c>
      <c r="F477" s="1120">
        <v>31.06</v>
      </c>
      <c r="G477" s="1119">
        <v>7.2329000000000025</v>
      </c>
      <c r="I477" s="1119">
        <v>0.87</v>
      </c>
      <c r="J477" s="1119">
        <v>0.86659999999999981</v>
      </c>
      <c r="K477" s="1120">
        <v>31.06</v>
      </c>
      <c r="L477" s="1119">
        <v>7.2329000000000025</v>
      </c>
      <c r="N477" s="1120">
        <v>32.53</v>
      </c>
      <c r="O477" s="1119">
        <v>7.2983000000000073</v>
      </c>
      <c r="P477" s="1119">
        <v>0.86219999999999963</v>
      </c>
      <c r="Q477" s="1119">
        <v>0.85869999999999957</v>
      </c>
      <c r="S477" s="1119">
        <v>7.2983000000000073</v>
      </c>
      <c r="T477" s="1120">
        <v>32.53</v>
      </c>
      <c r="U477" s="1119">
        <v>0.86219999999999963</v>
      </c>
      <c r="V477" s="1119">
        <v>0.85869999999999957</v>
      </c>
    </row>
    <row r="478" spans="4:22">
      <c r="D478" s="1119">
        <v>0.8666999999999998</v>
      </c>
      <c r="E478" s="1119">
        <v>0.87009999999999987</v>
      </c>
      <c r="F478" s="1120">
        <v>31.04</v>
      </c>
      <c r="G478" s="1119">
        <v>7.2321000000000026</v>
      </c>
      <c r="I478" s="1119">
        <v>0.87009999999999987</v>
      </c>
      <c r="J478" s="1119">
        <v>0.8666999999999998</v>
      </c>
      <c r="K478" s="1120">
        <v>31.04</v>
      </c>
      <c r="L478" s="1119">
        <v>7.2321000000000026</v>
      </c>
      <c r="N478" s="1120">
        <v>32.549999999999997</v>
      </c>
      <c r="O478" s="1119">
        <v>7.2991000000000072</v>
      </c>
      <c r="P478" s="1119">
        <v>0.86209999999999964</v>
      </c>
      <c r="Q478" s="1119">
        <v>0.85859999999999959</v>
      </c>
      <c r="S478" s="1119">
        <v>7.2991000000000072</v>
      </c>
      <c r="T478" s="1120">
        <v>32.549999999999997</v>
      </c>
      <c r="U478" s="1119">
        <v>0.86209999999999964</v>
      </c>
      <c r="V478" s="1119">
        <v>0.85859999999999959</v>
      </c>
    </row>
    <row r="479" spans="4:22">
      <c r="D479" s="1119">
        <v>0.86679999999999979</v>
      </c>
      <c r="E479" s="1119">
        <v>0.87019999999999986</v>
      </c>
      <c r="F479" s="1120">
        <v>31.02</v>
      </c>
      <c r="G479" s="1119">
        <v>7.2313000000000027</v>
      </c>
      <c r="I479" s="1119">
        <v>0.87019999999999986</v>
      </c>
      <c r="J479" s="1119">
        <v>0.86679999999999979</v>
      </c>
      <c r="K479" s="1120">
        <v>31.02</v>
      </c>
      <c r="L479" s="1119">
        <v>7.2313000000000027</v>
      </c>
      <c r="N479" s="1120">
        <v>32.57</v>
      </c>
      <c r="O479" s="1119">
        <v>7.2999000000000072</v>
      </c>
      <c r="P479" s="1119">
        <v>0.86199999999999966</v>
      </c>
      <c r="Q479" s="1119">
        <v>0.8584999999999996</v>
      </c>
      <c r="S479" s="1119">
        <v>7.2999000000000072</v>
      </c>
      <c r="T479" s="1120">
        <v>32.57</v>
      </c>
      <c r="U479" s="1119">
        <v>0.86199999999999966</v>
      </c>
      <c r="V479" s="1119">
        <v>0.8584999999999996</v>
      </c>
    </row>
    <row r="480" spans="4:22">
      <c r="D480" s="1119">
        <v>0.86689999999999978</v>
      </c>
      <c r="E480" s="1119">
        <v>0.87029999999999985</v>
      </c>
      <c r="F480" s="1120">
        <v>31</v>
      </c>
      <c r="G480" s="1119">
        <v>7.2306000000000026</v>
      </c>
      <c r="I480" s="1119">
        <v>0.87029999999999985</v>
      </c>
      <c r="J480" s="1119">
        <v>0.86689999999999978</v>
      </c>
      <c r="K480" s="1120">
        <v>31</v>
      </c>
      <c r="L480" s="1119">
        <v>7.2306000000000026</v>
      </c>
      <c r="N480" s="1120">
        <v>32.590000000000003</v>
      </c>
      <c r="O480" s="1119">
        <v>7.3008000000000068</v>
      </c>
      <c r="P480" s="1119">
        <v>0.86189999999999967</v>
      </c>
      <c r="Q480" s="1119">
        <v>0.85839999999999961</v>
      </c>
      <c r="S480" s="1119">
        <v>7.3008000000000068</v>
      </c>
      <c r="T480" s="1120">
        <v>32.590000000000003</v>
      </c>
      <c r="U480" s="1119">
        <v>0.86189999999999967</v>
      </c>
      <c r="V480" s="1119">
        <v>0.85839999999999961</v>
      </c>
    </row>
    <row r="481" spans="4:22">
      <c r="D481" s="1119">
        <v>0.86699999999999977</v>
      </c>
      <c r="E481" s="1119">
        <v>0.87039999999999984</v>
      </c>
      <c r="F481" s="1120">
        <v>30.98</v>
      </c>
      <c r="G481" s="1119">
        <v>7.2298000000000027</v>
      </c>
      <c r="I481" s="1119">
        <v>0.87039999999999984</v>
      </c>
      <c r="J481" s="1119">
        <v>0.86699999999999977</v>
      </c>
      <c r="K481" s="1120">
        <v>30.98</v>
      </c>
      <c r="L481" s="1119">
        <v>7.2298000000000027</v>
      </c>
      <c r="N481" s="1120">
        <v>32.61</v>
      </c>
      <c r="O481" s="1119">
        <v>7.3017000000000065</v>
      </c>
      <c r="P481" s="1119">
        <v>0.86179999999999968</v>
      </c>
      <c r="Q481" s="1119">
        <v>0.85829999999999962</v>
      </c>
      <c r="S481" s="1119">
        <v>7.3017000000000065</v>
      </c>
      <c r="T481" s="1120">
        <v>32.61</v>
      </c>
      <c r="U481" s="1119">
        <v>0.86179999999999968</v>
      </c>
      <c r="V481" s="1119">
        <v>0.85829999999999962</v>
      </c>
    </row>
    <row r="482" spans="4:22">
      <c r="D482" s="1119">
        <v>0.86709999999999976</v>
      </c>
      <c r="E482" s="1119">
        <v>0.87049999999999983</v>
      </c>
      <c r="F482" s="1120">
        <v>30.97</v>
      </c>
      <c r="G482" s="1119">
        <v>7.2290000000000028</v>
      </c>
      <c r="I482" s="1119">
        <v>0.87049999999999983</v>
      </c>
      <c r="J482" s="1119">
        <v>0.86709999999999976</v>
      </c>
      <c r="K482" s="1120">
        <v>30.97</v>
      </c>
      <c r="L482" s="1119">
        <v>7.2290000000000028</v>
      </c>
      <c r="N482" s="1120">
        <v>32.630000000000003</v>
      </c>
      <c r="O482" s="1119">
        <v>7.3026000000000062</v>
      </c>
      <c r="P482" s="1119">
        <v>0.86169999999999969</v>
      </c>
      <c r="Q482" s="1119">
        <v>0.85819999999999963</v>
      </c>
      <c r="S482" s="1119">
        <v>7.3026000000000062</v>
      </c>
      <c r="T482" s="1120">
        <v>32.630000000000003</v>
      </c>
      <c r="U482" s="1119">
        <v>0.86169999999999969</v>
      </c>
      <c r="V482" s="1119">
        <v>0.85819999999999963</v>
      </c>
    </row>
    <row r="483" spans="4:22">
      <c r="D483" s="1119">
        <v>0.86719999999999975</v>
      </c>
      <c r="E483" s="1119">
        <v>0.87059999999999982</v>
      </c>
      <c r="F483" s="1120">
        <v>30.95</v>
      </c>
      <c r="G483" s="1119">
        <v>7.2282000000000028</v>
      </c>
      <c r="I483" s="1119">
        <v>0.87059999999999982</v>
      </c>
      <c r="J483" s="1119">
        <v>0.86719999999999975</v>
      </c>
      <c r="K483" s="1120">
        <v>30.95</v>
      </c>
      <c r="L483" s="1119">
        <v>7.2282000000000028</v>
      </c>
      <c r="N483" s="1120">
        <v>32.65</v>
      </c>
      <c r="O483" s="1119">
        <v>7.3035000000000059</v>
      </c>
      <c r="P483" s="1119">
        <v>0.8615999999999997</v>
      </c>
      <c r="Q483" s="1119">
        <v>0.85809999999999964</v>
      </c>
      <c r="S483" s="1119">
        <v>7.3035000000000059</v>
      </c>
      <c r="T483" s="1120">
        <v>32.65</v>
      </c>
      <c r="U483" s="1119">
        <v>0.8615999999999997</v>
      </c>
      <c r="V483" s="1119">
        <v>0.85809999999999964</v>
      </c>
    </row>
    <row r="484" spans="4:22">
      <c r="D484" s="1119">
        <v>0.86729999999999974</v>
      </c>
      <c r="E484" s="1119">
        <v>0.87069999999999981</v>
      </c>
      <c r="F484" s="1120">
        <v>30.93</v>
      </c>
      <c r="G484" s="1119">
        <v>7.2274000000000029</v>
      </c>
      <c r="I484" s="1119">
        <v>0.87069999999999981</v>
      </c>
      <c r="J484" s="1119">
        <v>0.86729999999999974</v>
      </c>
      <c r="K484" s="1120">
        <v>30.93</v>
      </c>
      <c r="L484" s="1119">
        <v>7.2274000000000029</v>
      </c>
      <c r="N484" s="1120">
        <v>32.67</v>
      </c>
      <c r="O484" s="1119">
        <v>7.3044000000000056</v>
      </c>
      <c r="P484" s="1119">
        <v>0.86149999999999971</v>
      </c>
      <c r="Q484" s="1119">
        <v>0.85799999999999965</v>
      </c>
      <c r="S484" s="1119">
        <v>7.3044000000000056</v>
      </c>
      <c r="T484" s="1120">
        <v>32.67</v>
      </c>
      <c r="U484" s="1119">
        <v>0.86149999999999971</v>
      </c>
      <c r="V484" s="1119">
        <v>0.85799999999999965</v>
      </c>
    </row>
    <row r="485" spans="4:22">
      <c r="D485" s="1119">
        <v>0.86739999999999973</v>
      </c>
      <c r="E485" s="1119">
        <v>0.8707999999999998</v>
      </c>
      <c r="F485" s="1120">
        <v>30.91</v>
      </c>
      <c r="G485" s="1119">
        <v>7.226600000000003</v>
      </c>
      <c r="I485" s="1119">
        <v>0.8707999999999998</v>
      </c>
      <c r="J485" s="1119">
        <v>0.86739999999999973</v>
      </c>
      <c r="K485" s="1120">
        <v>30.91</v>
      </c>
      <c r="L485" s="1119">
        <v>7.226600000000003</v>
      </c>
      <c r="N485" s="1120">
        <v>32.68</v>
      </c>
      <c r="O485" s="1119">
        <v>7.3053000000000052</v>
      </c>
      <c r="P485" s="1119">
        <v>0.86139999999999972</v>
      </c>
      <c r="Q485" s="1119">
        <v>0.85789999999999966</v>
      </c>
      <c r="S485" s="1119">
        <v>7.3053000000000052</v>
      </c>
      <c r="T485" s="1120">
        <v>32.68</v>
      </c>
      <c r="U485" s="1119">
        <v>0.86139999999999972</v>
      </c>
      <c r="V485" s="1119">
        <v>0.85789999999999966</v>
      </c>
    </row>
    <row r="486" spans="4:22">
      <c r="D486" s="1119">
        <v>0.86750000000000005</v>
      </c>
      <c r="E486" s="1119">
        <v>0.87089999999999979</v>
      </c>
      <c r="F486" s="1120">
        <v>30.89</v>
      </c>
      <c r="G486" s="1119">
        <v>7.2258000000000031</v>
      </c>
      <c r="I486" s="1119">
        <v>0.87089999999999979</v>
      </c>
      <c r="J486" s="1119">
        <v>0.86750000000000005</v>
      </c>
      <c r="K486" s="1120">
        <v>30.89</v>
      </c>
      <c r="L486" s="1119">
        <v>7.2258000000000031</v>
      </c>
      <c r="N486" s="1120">
        <v>32.700000000000003</v>
      </c>
      <c r="O486" s="1119">
        <v>7.3062000000000049</v>
      </c>
      <c r="P486" s="1119">
        <v>0.86129999999999973</v>
      </c>
      <c r="Q486" s="1119">
        <v>0.85779999999999967</v>
      </c>
      <c r="S486" s="1119">
        <v>7.3062000000000049</v>
      </c>
      <c r="T486" s="1120">
        <v>32.700000000000003</v>
      </c>
      <c r="U486" s="1119">
        <v>0.86129999999999973</v>
      </c>
      <c r="V486" s="1119">
        <v>0.85779999999999967</v>
      </c>
    </row>
    <row r="487" spans="4:22">
      <c r="D487" s="1119">
        <v>0.8675999999999997</v>
      </c>
      <c r="E487" s="1119">
        <v>0.87099999999999977</v>
      </c>
      <c r="F487" s="1120">
        <v>30.87</v>
      </c>
      <c r="G487" s="1119">
        <v>7.2249999999999996</v>
      </c>
      <c r="I487" s="1119">
        <v>0.87099999999999977</v>
      </c>
      <c r="J487" s="1119">
        <v>0.8675999999999997</v>
      </c>
      <c r="K487" s="1120">
        <v>30.87</v>
      </c>
      <c r="L487" s="1119">
        <v>7.2249999999999996</v>
      </c>
      <c r="N487" s="1120">
        <v>32.72</v>
      </c>
      <c r="O487" s="1119">
        <v>7.3071000000000046</v>
      </c>
      <c r="P487" s="1119">
        <v>0.86119999999999974</v>
      </c>
      <c r="Q487" s="1119">
        <v>0.85769999999999968</v>
      </c>
      <c r="S487" s="1119">
        <v>7.3071000000000046</v>
      </c>
      <c r="T487" s="1120">
        <v>32.72</v>
      </c>
      <c r="U487" s="1119">
        <v>0.86119999999999974</v>
      </c>
      <c r="V487" s="1119">
        <v>0.85769999999999968</v>
      </c>
    </row>
    <row r="488" spans="4:22">
      <c r="D488" s="1119">
        <v>0.86769999999999969</v>
      </c>
      <c r="E488" s="1119">
        <v>0.87109999999999976</v>
      </c>
      <c r="F488" s="1120">
        <v>30.85</v>
      </c>
      <c r="G488" s="1119">
        <v>7.2241000000000035</v>
      </c>
      <c r="I488" s="1119">
        <v>0.87109999999999976</v>
      </c>
      <c r="J488" s="1119">
        <v>0.86769999999999969</v>
      </c>
      <c r="K488" s="1120">
        <v>30.85</v>
      </c>
      <c r="L488" s="1119">
        <v>7.2241000000000035</v>
      </c>
      <c r="N488" s="1120">
        <v>32.74</v>
      </c>
      <c r="O488" s="1119">
        <v>7.3080000000000043</v>
      </c>
      <c r="P488" s="1119">
        <v>0.86109999999999975</v>
      </c>
      <c r="Q488" s="1119">
        <v>0.8575999999999997</v>
      </c>
      <c r="S488" s="1119">
        <v>7.3080000000000043</v>
      </c>
      <c r="T488" s="1120">
        <v>32.74</v>
      </c>
      <c r="U488" s="1119">
        <v>0.86109999999999975</v>
      </c>
      <c r="V488" s="1119">
        <v>0.8575999999999997</v>
      </c>
    </row>
    <row r="489" spans="4:22">
      <c r="D489" s="1119">
        <v>0.86779999999999968</v>
      </c>
      <c r="E489" s="1119">
        <v>0.87119999999999975</v>
      </c>
      <c r="F489" s="1120">
        <v>30.83</v>
      </c>
      <c r="G489" s="1119">
        <v>7.2232000000000038</v>
      </c>
      <c r="I489" s="1119">
        <v>0.87119999999999975</v>
      </c>
      <c r="J489" s="1119">
        <v>0.86779999999999968</v>
      </c>
      <c r="K489" s="1120">
        <v>30.83</v>
      </c>
      <c r="L489" s="1119">
        <v>7.2232000000000038</v>
      </c>
      <c r="N489" s="1120">
        <v>32.76</v>
      </c>
      <c r="O489" s="1119">
        <v>7.3089000000000039</v>
      </c>
      <c r="P489" s="1119">
        <v>0.86099999999999977</v>
      </c>
      <c r="Q489" s="1119">
        <v>0.85750000000000004</v>
      </c>
      <c r="S489" s="1119">
        <v>7.3089000000000039</v>
      </c>
      <c r="T489" s="1120">
        <v>32.76</v>
      </c>
      <c r="U489" s="1119">
        <v>0.86099999999999977</v>
      </c>
      <c r="V489" s="1119">
        <v>0.85750000000000004</v>
      </c>
    </row>
    <row r="490" spans="4:22">
      <c r="D490" s="1119">
        <v>0.86789999999999967</v>
      </c>
      <c r="E490" s="1119">
        <v>0.87129999999999974</v>
      </c>
      <c r="F490" s="1120">
        <v>30.81</v>
      </c>
      <c r="G490" s="1119">
        <v>7.2223000000000042</v>
      </c>
      <c r="I490" s="1119">
        <v>0.87129999999999974</v>
      </c>
      <c r="J490" s="1119">
        <v>0.86789999999999967</v>
      </c>
      <c r="K490" s="1120">
        <v>30.81</v>
      </c>
      <c r="L490" s="1119">
        <v>7.2223000000000042</v>
      </c>
      <c r="N490" s="1120">
        <v>32.78</v>
      </c>
      <c r="O490" s="1119">
        <v>7.3097000000000039</v>
      </c>
      <c r="P490" s="1119">
        <v>0.86089999999999978</v>
      </c>
      <c r="Q490" s="1119">
        <v>0.85739999999999972</v>
      </c>
      <c r="S490" s="1119">
        <v>7.3097000000000039</v>
      </c>
      <c r="T490" s="1120">
        <v>32.78</v>
      </c>
      <c r="U490" s="1119">
        <v>0.86089999999999978</v>
      </c>
      <c r="V490" s="1119">
        <v>0.85739999999999972</v>
      </c>
    </row>
    <row r="491" spans="4:22">
      <c r="D491" s="1119">
        <v>0.86799999999999966</v>
      </c>
      <c r="E491" s="1119">
        <v>0.87139999999999973</v>
      </c>
      <c r="F491" s="1120">
        <v>30.79</v>
      </c>
      <c r="G491" s="1119">
        <v>7.2214000000000045</v>
      </c>
      <c r="I491" s="1119">
        <v>0.87139999999999973</v>
      </c>
      <c r="J491" s="1119">
        <v>0.86799999999999966</v>
      </c>
      <c r="K491" s="1120">
        <v>30.79</v>
      </c>
      <c r="L491" s="1119">
        <v>7.2214000000000045</v>
      </c>
      <c r="N491" s="1120">
        <v>32.799999999999997</v>
      </c>
      <c r="O491" s="1119">
        <v>7.3105000000000038</v>
      </c>
      <c r="P491" s="1119">
        <v>0.86079999999999979</v>
      </c>
      <c r="Q491" s="1119">
        <v>0.85729999999999973</v>
      </c>
      <c r="S491" s="1119">
        <v>7.3105000000000038</v>
      </c>
      <c r="T491" s="1120">
        <v>32.799999999999997</v>
      </c>
      <c r="U491" s="1119">
        <v>0.86079999999999979</v>
      </c>
      <c r="V491" s="1119">
        <v>0.85729999999999973</v>
      </c>
    </row>
    <row r="492" spans="4:22">
      <c r="D492" s="1119">
        <v>0.86809999999999965</v>
      </c>
      <c r="E492" s="1119">
        <v>0.87149999999999972</v>
      </c>
      <c r="F492" s="1120">
        <v>30.78</v>
      </c>
      <c r="G492" s="1119">
        <v>7.2205000000000048</v>
      </c>
      <c r="I492" s="1119">
        <v>0.87149999999999972</v>
      </c>
      <c r="J492" s="1119">
        <v>0.86809999999999965</v>
      </c>
      <c r="K492" s="1120">
        <v>30.78</v>
      </c>
      <c r="L492" s="1119">
        <v>7.2205000000000048</v>
      </c>
      <c r="N492" s="1120">
        <v>32.82</v>
      </c>
      <c r="O492" s="1119">
        <v>7.3112000000000039</v>
      </c>
      <c r="P492" s="1119">
        <v>0.8606999999999998</v>
      </c>
      <c r="Q492" s="1119">
        <v>0.85719999999999974</v>
      </c>
      <c r="S492" s="1119">
        <v>7.3112000000000039</v>
      </c>
      <c r="T492" s="1120">
        <v>32.82</v>
      </c>
      <c r="U492" s="1119">
        <v>0.8606999999999998</v>
      </c>
      <c r="V492" s="1119">
        <v>0.85719999999999974</v>
      </c>
    </row>
    <row r="493" spans="4:22">
      <c r="D493" s="1119">
        <v>0.86819999999999964</v>
      </c>
      <c r="E493" s="1119">
        <v>0.87159999999999971</v>
      </c>
      <c r="F493" s="1120">
        <v>30.76</v>
      </c>
      <c r="G493" s="1119">
        <v>7.2196000000000051</v>
      </c>
      <c r="I493" s="1119">
        <v>0.87159999999999971</v>
      </c>
      <c r="J493" s="1119">
        <v>0.86819999999999964</v>
      </c>
      <c r="K493" s="1120">
        <v>30.76</v>
      </c>
      <c r="L493" s="1119">
        <v>7.2196000000000051</v>
      </c>
      <c r="N493" s="1120">
        <v>32.840000000000003</v>
      </c>
      <c r="O493" s="1119">
        <v>7.3120000000000038</v>
      </c>
      <c r="P493" s="1119">
        <v>0.86059999999999981</v>
      </c>
      <c r="Q493" s="1119">
        <v>0.85709999999999975</v>
      </c>
      <c r="S493" s="1119">
        <v>7.3120000000000038</v>
      </c>
      <c r="T493" s="1120">
        <v>32.840000000000003</v>
      </c>
      <c r="U493" s="1119">
        <v>0.86059999999999981</v>
      </c>
      <c r="V493" s="1119">
        <v>0.85709999999999975</v>
      </c>
    </row>
    <row r="494" spans="4:22">
      <c r="D494" s="1119">
        <v>0.86829999999999963</v>
      </c>
      <c r="E494" s="1119">
        <v>0.8716999999999997</v>
      </c>
      <c r="F494" s="1120">
        <v>30.74</v>
      </c>
      <c r="G494" s="1119">
        <v>7.2187000000000054</v>
      </c>
      <c r="I494" s="1119">
        <v>0.8716999999999997</v>
      </c>
      <c r="J494" s="1119">
        <v>0.86829999999999963</v>
      </c>
      <c r="K494" s="1120">
        <v>30.74</v>
      </c>
      <c r="L494" s="1119">
        <v>7.2187000000000054</v>
      </c>
      <c r="N494" s="1120">
        <v>32.86</v>
      </c>
      <c r="O494" s="1119">
        <v>7.3128000000000037</v>
      </c>
      <c r="P494" s="1119">
        <v>0.86049999999999982</v>
      </c>
      <c r="Q494" s="1119">
        <v>0.85699999999999976</v>
      </c>
      <c r="S494" s="1119">
        <v>7.3128000000000037</v>
      </c>
      <c r="T494" s="1120">
        <v>32.86</v>
      </c>
      <c r="U494" s="1119">
        <v>0.86049999999999982</v>
      </c>
      <c r="V494" s="1119">
        <v>0.85699999999999976</v>
      </c>
    </row>
    <row r="495" spans="4:22">
      <c r="D495" s="1119">
        <v>0.86839999999999962</v>
      </c>
      <c r="E495" s="1119">
        <v>0.87179999999999969</v>
      </c>
      <c r="F495" s="1120">
        <v>30.72</v>
      </c>
      <c r="G495" s="1119">
        <v>7.2178000000000058</v>
      </c>
      <c r="I495" s="1119">
        <v>0.87179999999999969</v>
      </c>
      <c r="J495" s="1119">
        <v>0.86839999999999962</v>
      </c>
      <c r="K495" s="1120">
        <v>30.72</v>
      </c>
      <c r="L495" s="1119">
        <v>7.2178000000000058</v>
      </c>
      <c r="N495" s="1120">
        <v>32.869999999999997</v>
      </c>
      <c r="O495" s="1119">
        <v>7.3136000000000037</v>
      </c>
      <c r="P495" s="1119">
        <v>0.86039999999999983</v>
      </c>
      <c r="Q495" s="1119">
        <v>0.85689999999999977</v>
      </c>
      <c r="S495" s="1119">
        <v>7.3136000000000037</v>
      </c>
      <c r="T495" s="1120">
        <v>32.869999999999997</v>
      </c>
      <c r="U495" s="1119">
        <v>0.86039999999999983</v>
      </c>
      <c r="V495" s="1119">
        <v>0.85689999999999977</v>
      </c>
    </row>
    <row r="496" spans="4:22">
      <c r="D496" s="1119">
        <v>0.86849999999999961</v>
      </c>
      <c r="E496" s="1119">
        <v>0.87189999999999968</v>
      </c>
      <c r="F496" s="1120">
        <v>30.7</v>
      </c>
      <c r="G496" s="1119">
        <v>7.2169000000000061</v>
      </c>
      <c r="I496" s="1119">
        <v>0.87189999999999968</v>
      </c>
      <c r="J496" s="1119">
        <v>0.86849999999999961</v>
      </c>
      <c r="K496" s="1120">
        <v>30.7</v>
      </c>
      <c r="L496" s="1119">
        <v>7.2169000000000061</v>
      </c>
      <c r="N496" s="1120">
        <v>32.89</v>
      </c>
      <c r="O496" s="1119">
        <v>7.3144000000000036</v>
      </c>
      <c r="P496" s="1119">
        <v>0.86029999999999984</v>
      </c>
      <c r="Q496" s="1119">
        <v>0.85679999999999978</v>
      </c>
      <c r="S496" s="1119">
        <v>7.3144000000000036</v>
      </c>
      <c r="T496" s="1120">
        <v>32.89</v>
      </c>
      <c r="U496" s="1119">
        <v>0.86029999999999984</v>
      </c>
      <c r="V496" s="1119">
        <v>0.85679999999999978</v>
      </c>
    </row>
    <row r="497" spans="4:22">
      <c r="D497" s="1119">
        <v>0.86859999999999959</v>
      </c>
      <c r="E497" s="1119">
        <v>0.87199999999999966</v>
      </c>
      <c r="F497" s="1120">
        <v>30.68</v>
      </c>
      <c r="G497" s="1119">
        <v>7.2160000000000064</v>
      </c>
      <c r="I497" s="1119">
        <v>0.87199999999999966</v>
      </c>
      <c r="J497" s="1119">
        <v>0.86859999999999959</v>
      </c>
      <c r="K497" s="1120">
        <v>30.68</v>
      </c>
      <c r="L497" s="1119">
        <v>7.2160000000000064</v>
      </c>
      <c r="N497" s="1120">
        <v>32.909999999999997</v>
      </c>
      <c r="O497" s="1119">
        <v>7.3152000000000035</v>
      </c>
      <c r="P497" s="1119">
        <v>0.86019999999999985</v>
      </c>
      <c r="Q497" s="1119">
        <v>0.8566999999999998</v>
      </c>
      <c r="S497" s="1119">
        <v>7.3152000000000035</v>
      </c>
      <c r="T497" s="1120">
        <v>32.909999999999997</v>
      </c>
      <c r="U497" s="1119">
        <v>0.86019999999999985</v>
      </c>
      <c r="V497" s="1119">
        <v>0.8566999999999998</v>
      </c>
    </row>
    <row r="498" spans="4:22">
      <c r="D498" s="1121">
        <v>0.86869999999999958</v>
      </c>
      <c r="E498" s="1121">
        <v>0.87209999999999965</v>
      </c>
      <c r="F498" s="1122">
        <v>30.66</v>
      </c>
      <c r="G498" s="1121">
        <v>7.2152000000000065</v>
      </c>
      <c r="I498" s="1121">
        <v>0.87209999999999965</v>
      </c>
      <c r="J498" s="1121">
        <v>0.86869999999999958</v>
      </c>
      <c r="K498" s="1122">
        <v>30.66</v>
      </c>
      <c r="L498" s="1121">
        <v>7.2152000000000065</v>
      </c>
      <c r="N498" s="1122">
        <v>32.93</v>
      </c>
      <c r="O498" s="1121">
        <v>7.3160000000000034</v>
      </c>
      <c r="P498" s="1121">
        <v>0.86009999999999986</v>
      </c>
      <c r="Q498" s="1121">
        <v>0.85659999999999981</v>
      </c>
      <c r="S498" s="1121">
        <v>7.3160000000000034</v>
      </c>
      <c r="T498" s="1122">
        <v>32.93</v>
      </c>
      <c r="U498" s="1121">
        <v>0.86009999999999986</v>
      </c>
      <c r="V498" s="1121">
        <v>0.85659999999999981</v>
      </c>
    </row>
    <row r="499" spans="4:22">
      <c r="D499" s="1119">
        <v>0.86879999999999957</v>
      </c>
      <c r="E499" s="1119">
        <v>0.87219999999999964</v>
      </c>
      <c r="F499" s="1120">
        <v>30.64</v>
      </c>
      <c r="G499" s="1119">
        <v>7.2144000000000066</v>
      </c>
      <c r="I499" s="1119">
        <v>0.87219999999999964</v>
      </c>
      <c r="J499" s="1119">
        <v>0.86879999999999957</v>
      </c>
      <c r="K499" s="1120">
        <v>30.64</v>
      </c>
      <c r="L499" s="1119">
        <v>7.2144000000000066</v>
      </c>
      <c r="N499" s="1120">
        <v>32.950000000000003</v>
      </c>
      <c r="O499" s="1119">
        <v>7.3168000000000033</v>
      </c>
      <c r="P499" s="1119">
        <v>0.86</v>
      </c>
      <c r="Q499" s="1119">
        <v>0.85649999999999982</v>
      </c>
      <c r="S499" s="1119">
        <v>7.3168000000000033</v>
      </c>
      <c r="T499" s="1120">
        <v>32.950000000000003</v>
      </c>
      <c r="U499" s="1119">
        <v>0.86</v>
      </c>
      <c r="V499" s="1119">
        <v>0.85649999999999982</v>
      </c>
    </row>
    <row r="500" spans="4:22">
      <c r="D500" s="1119">
        <v>0.86889999999999956</v>
      </c>
      <c r="E500" s="1119">
        <v>0.87229999999999963</v>
      </c>
      <c r="F500" s="1120">
        <v>30.63</v>
      </c>
      <c r="G500" s="1119">
        <v>7.2136000000000067</v>
      </c>
      <c r="I500" s="1119">
        <v>0.87229999999999963</v>
      </c>
      <c r="J500" s="1119">
        <v>0.86889999999999956</v>
      </c>
      <c r="K500" s="1120">
        <v>30.63</v>
      </c>
      <c r="L500" s="1119">
        <v>7.2136000000000067</v>
      </c>
      <c r="N500" s="1120">
        <v>32.97</v>
      </c>
      <c r="O500" s="1119">
        <v>7.317700000000003</v>
      </c>
      <c r="P500" s="1119">
        <v>0.85989999999999989</v>
      </c>
      <c r="Q500" s="1119">
        <v>0.85639999999999983</v>
      </c>
      <c r="S500" s="1119">
        <v>7.317700000000003</v>
      </c>
      <c r="T500" s="1120">
        <v>32.97</v>
      </c>
      <c r="U500" s="1119">
        <v>0.85989999999999989</v>
      </c>
      <c r="V500" s="1119">
        <v>0.85639999999999983</v>
      </c>
    </row>
    <row r="501" spans="4:22">
      <c r="D501" s="1119">
        <v>0.86899999999999955</v>
      </c>
      <c r="E501" s="1119">
        <v>0.87239999999999962</v>
      </c>
      <c r="F501" s="1120">
        <v>30.61</v>
      </c>
      <c r="G501" s="1119">
        <v>7.2128000000000068</v>
      </c>
      <c r="I501" s="1119">
        <v>0.87239999999999962</v>
      </c>
      <c r="J501" s="1119">
        <v>0.86899999999999955</v>
      </c>
      <c r="K501" s="1120">
        <v>30.61</v>
      </c>
      <c r="L501" s="1119">
        <v>7.2128000000000068</v>
      </c>
      <c r="N501" s="1120">
        <v>32.99</v>
      </c>
      <c r="O501" s="1119">
        <v>7.3186000000000027</v>
      </c>
      <c r="P501" s="1119">
        <v>0.8597999999999999</v>
      </c>
      <c r="Q501" s="1119">
        <v>0.85629999999999984</v>
      </c>
      <c r="S501" s="1119">
        <v>7.3186000000000027</v>
      </c>
      <c r="T501" s="1120">
        <v>32.99</v>
      </c>
      <c r="U501" s="1119">
        <v>0.8597999999999999</v>
      </c>
      <c r="V501" s="1119">
        <v>0.85629999999999984</v>
      </c>
    </row>
    <row r="502" spans="4:22">
      <c r="D502" s="1119">
        <v>0.86909999999999954</v>
      </c>
      <c r="E502" s="1119">
        <v>0.87250000000000005</v>
      </c>
      <c r="F502" s="1120">
        <v>30.59</v>
      </c>
      <c r="G502" s="1119">
        <v>7.2120000000000068</v>
      </c>
      <c r="I502" s="1119">
        <v>0.87250000000000005</v>
      </c>
      <c r="J502" s="1119">
        <v>0.86909999999999954</v>
      </c>
      <c r="K502" s="1120">
        <v>30.59</v>
      </c>
      <c r="L502" s="1119">
        <v>7.2120000000000068</v>
      </c>
      <c r="N502" s="1120">
        <v>33.01</v>
      </c>
      <c r="O502" s="1119">
        <v>7.3195000000000023</v>
      </c>
      <c r="P502" s="1119">
        <v>0.85969999999999991</v>
      </c>
      <c r="Q502" s="1119">
        <v>0.85619999999999985</v>
      </c>
      <c r="S502" s="1119">
        <v>7.3195000000000023</v>
      </c>
      <c r="T502" s="1120">
        <v>33.01</v>
      </c>
      <c r="U502" s="1119">
        <v>0.85969999999999991</v>
      </c>
      <c r="V502" s="1119">
        <v>0.85619999999999985</v>
      </c>
    </row>
    <row r="503" spans="4:22">
      <c r="D503" s="1119">
        <v>0.86919999999999953</v>
      </c>
      <c r="E503" s="1119">
        <v>0.8725999999999996</v>
      </c>
      <c r="F503" s="1120">
        <v>30.57</v>
      </c>
      <c r="G503" s="1119">
        <v>7.2112000000000069</v>
      </c>
      <c r="I503" s="1119">
        <v>0.8725999999999996</v>
      </c>
      <c r="J503" s="1119">
        <v>0.86919999999999953</v>
      </c>
      <c r="K503" s="1120">
        <v>30.57</v>
      </c>
      <c r="L503" s="1119">
        <v>7.2112000000000069</v>
      </c>
      <c r="N503" s="1120">
        <v>33.03</v>
      </c>
      <c r="O503" s="1119">
        <v>7.320400000000002</v>
      </c>
      <c r="P503" s="1119">
        <v>0.85959999999999992</v>
      </c>
      <c r="Q503" s="1119">
        <v>0.85609999999999986</v>
      </c>
      <c r="S503" s="1119">
        <v>7.320400000000002</v>
      </c>
      <c r="T503" s="1120">
        <v>33.03</v>
      </c>
      <c r="U503" s="1119">
        <v>0.85959999999999992</v>
      </c>
      <c r="V503" s="1119">
        <v>0.85609999999999986</v>
      </c>
    </row>
    <row r="504" spans="4:22">
      <c r="D504" s="1119">
        <v>0.86929999999999952</v>
      </c>
      <c r="E504" s="1119">
        <v>0.87269999999999959</v>
      </c>
      <c r="F504" s="1120">
        <v>30.55</v>
      </c>
      <c r="G504" s="1119">
        <v>7.210400000000007</v>
      </c>
      <c r="I504" s="1119">
        <v>0.87269999999999959</v>
      </c>
      <c r="J504" s="1119">
        <v>0.86929999999999952</v>
      </c>
      <c r="K504" s="1120">
        <v>30.55</v>
      </c>
      <c r="L504" s="1119">
        <v>7.210400000000007</v>
      </c>
      <c r="N504" s="1120">
        <v>33.049999999999997</v>
      </c>
      <c r="O504" s="1119">
        <v>7.3213000000000017</v>
      </c>
      <c r="P504" s="1119">
        <v>0.85949999999999993</v>
      </c>
      <c r="Q504" s="1119">
        <v>0.85599999999999987</v>
      </c>
      <c r="S504" s="1119">
        <v>7.3213000000000017</v>
      </c>
      <c r="T504" s="1120">
        <v>33.049999999999997</v>
      </c>
      <c r="U504" s="1119">
        <v>0.85949999999999993</v>
      </c>
      <c r="V504" s="1119">
        <v>0.85599999999999987</v>
      </c>
    </row>
    <row r="505" spans="4:22">
      <c r="D505" s="1119">
        <v>0.86939999999999951</v>
      </c>
      <c r="E505" s="1119">
        <v>0.87279999999999958</v>
      </c>
      <c r="F505" s="1120">
        <v>30.54</v>
      </c>
      <c r="G505" s="1119">
        <v>7.2096000000000071</v>
      </c>
      <c r="I505" s="1119">
        <v>0.87279999999999958</v>
      </c>
      <c r="J505" s="1119">
        <v>0.86939999999999951</v>
      </c>
      <c r="K505" s="1120">
        <v>30.54</v>
      </c>
      <c r="L505" s="1119">
        <v>7.2096000000000071</v>
      </c>
      <c r="N505" s="1120">
        <v>33.06</v>
      </c>
      <c r="O505" s="1119">
        <v>7.3222000000000014</v>
      </c>
      <c r="P505" s="1119">
        <v>0.85939999999999994</v>
      </c>
      <c r="Q505" s="1119">
        <v>0.85589999999999988</v>
      </c>
      <c r="S505" s="1119">
        <v>7.3222000000000014</v>
      </c>
      <c r="T505" s="1120">
        <v>33.06</v>
      </c>
      <c r="U505" s="1119">
        <v>0.85939999999999994</v>
      </c>
      <c r="V505" s="1119">
        <v>0.85589999999999988</v>
      </c>
    </row>
    <row r="506" spans="4:22">
      <c r="D506" s="1119">
        <v>0.8694999999999995</v>
      </c>
      <c r="E506" s="1119">
        <v>0.87289999999999957</v>
      </c>
      <c r="F506" s="1120">
        <v>30.52</v>
      </c>
      <c r="G506" s="1119">
        <v>7.2088000000000072</v>
      </c>
      <c r="I506" s="1119">
        <v>0.87289999999999957</v>
      </c>
      <c r="J506" s="1119">
        <v>0.8694999999999995</v>
      </c>
      <c r="K506" s="1120">
        <v>30.52</v>
      </c>
      <c r="L506" s="1119">
        <v>7.2088000000000072</v>
      </c>
      <c r="N506" s="1120">
        <v>33.08</v>
      </c>
      <c r="O506" s="1119">
        <v>7.3231000000000011</v>
      </c>
      <c r="P506" s="1119">
        <v>0.85929999999999995</v>
      </c>
      <c r="Q506" s="1119">
        <v>0.85579999999999989</v>
      </c>
      <c r="S506" s="1119">
        <v>7.3231000000000011</v>
      </c>
      <c r="T506" s="1120">
        <v>33.08</v>
      </c>
      <c r="U506" s="1119">
        <v>0.85929999999999995</v>
      </c>
      <c r="V506" s="1119">
        <v>0.85579999999999989</v>
      </c>
    </row>
    <row r="507" spans="4:22">
      <c r="D507" s="1119">
        <v>0.86959999999999948</v>
      </c>
      <c r="E507" s="1119">
        <v>0.87299999999999955</v>
      </c>
      <c r="F507" s="1120">
        <v>30.5</v>
      </c>
      <c r="G507" s="1119">
        <v>7.2080000000000073</v>
      </c>
      <c r="I507" s="1119">
        <v>0.87299999999999955</v>
      </c>
      <c r="J507" s="1119">
        <v>0.86959999999999948</v>
      </c>
      <c r="K507" s="1120">
        <v>30.5</v>
      </c>
      <c r="L507" s="1119">
        <v>7.2080000000000073</v>
      </c>
      <c r="N507" s="1120">
        <v>33.1</v>
      </c>
      <c r="O507" s="1119">
        <v>7.3240000000000007</v>
      </c>
      <c r="P507" s="1119">
        <v>0.85919999999999996</v>
      </c>
      <c r="Q507" s="1119">
        <v>0.85569999999999991</v>
      </c>
      <c r="S507" s="1119">
        <v>7.3240000000000007</v>
      </c>
      <c r="T507" s="1120">
        <v>33.1</v>
      </c>
      <c r="U507" s="1119">
        <v>0.85919999999999996</v>
      </c>
      <c r="V507" s="1119">
        <v>0.85569999999999991</v>
      </c>
    </row>
    <row r="508" spans="4:22">
      <c r="D508" s="1119">
        <v>0.86969999999999947</v>
      </c>
      <c r="E508" s="1119">
        <v>0.87309999999999954</v>
      </c>
      <c r="F508" s="1120">
        <v>30.48</v>
      </c>
      <c r="G508" s="1119">
        <v>7.2072000000000074</v>
      </c>
      <c r="I508" s="1119">
        <v>0.87309999999999954</v>
      </c>
      <c r="J508" s="1119">
        <v>0.86969999999999947</v>
      </c>
      <c r="K508" s="1120">
        <v>30.48</v>
      </c>
      <c r="L508" s="1119">
        <v>7.2072000000000074</v>
      </c>
      <c r="N508" s="1120">
        <v>33.119999999999997</v>
      </c>
      <c r="O508" s="1119">
        <v>7.3249000000000004</v>
      </c>
      <c r="P508" s="1119">
        <v>0.85909999999999997</v>
      </c>
      <c r="Q508" s="1119">
        <v>0.85559999999999992</v>
      </c>
      <c r="S508" s="1119">
        <v>7.3249000000000004</v>
      </c>
      <c r="T508" s="1120">
        <v>33.119999999999997</v>
      </c>
      <c r="U508" s="1119">
        <v>0.85909999999999997</v>
      </c>
      <c r="V508" s="1119">
        <v>0.85559999999999992</v>
      </c>
    </row>
    <row r="509" spans="4:22">
      <c r="D509" s="1119">
        <v>0.86979999999999946</v>
      </c>
      <c r="E509" s="1119">
        <v>0.87319999999999953</v>
      </c>
      <c r="F509" s="1120">
        <v>30.46</v>
      </c>
      <c r="G509" s="1119">
        <v>7.2064000000000075</v>
      </c>
      <c r="I509" s="1119">
        <v>0.87319999999999953</v>
      </c>
      <c r="J509" s="1119">
        <v>0.86979999999999946</v>
      </c>
      <c r="K509" s="1120">
        <v>30.46</v>
      </c>
      <c r="L509" s="1119">
        <v>7.2064000000000075</v>
      </c>
      <c r="N509" s="1120">
        <v>33.14</v>
      </c>
      <c r="O509" s="1119">
        <v>7.3258000000000001</v>
      </c>
      <c r="P509" s="1119">
        <v>0.85899999999999999</v>
      </c>
      <c r="Q509" s="1119">
        <v>0.85549999999999993</v>
      </c>
      <c r="S509" s="1119">
        <v>7.3258000000000001</v>
      </c>
      <c r="T509" s="1120">
        <v>33.14</v>
      </c>
      <c r="U509" s="1119">
        <v>0.85899999999999999</v>
      </c>
      <c r="V509" s="1119">
        <v>0.85549999999999993</v>
      </c>
    </row>
    <row r="510" spans="4:22">
      <c r="D510" s="1119">
        <v>0.86989999999999945</v>
      </c>
      <c r="E510" s="1119">
        <v>0.87329999999999952</v>
      </c>
      <c r="F510" s="1120">
        <v>30.44</v>
      </c>
      <c r="G510" s="1119">
        <v>7.2056000000000076</v>
      </c>
      <c r="I510" s="1119">
        <v>0.87329999999999952</v>
      </c>
      <c r="J510" s="1119">
        <v>0.86989999999999945</v>
      </c>
      <c r="K510" s="1120">
        <v>30.44</v>
      </c>
      <c r="L510" s="1119">
        <v>7.2056000000000076</v>
      </c>
      <c r="N510" s="1120">
        <v>33.159999999999997</v>
      </c>
      <c r="O510" s="1119">
        <v>7.3266</v>
      </c>
      <c r="P510" s="1119">
        <v>0.8589</v>
      </c>
      <c r="Q510" s="1119">
        <v>0.85539999999999994</v>
      </c>
      <c r="S510" s="1119">
        <v>7.3266</v>
      </c>
      <c r="T510" s="1120">
        <v>33.159999999999997</v>
      </c>
      <c r="U510" s="1119">
        <v>0.8589</v>
      </c>
      <c r="V510" s="1119">
        <v>0.85539999999999994</v>
      </c>
    </row>
    <row r="511" spans="4:22">
      <c r="D511" s="1119">
        <v>0.86999999999999944</v>
      </c>
      <c r="E511" s="1119">
        <v>0.87339999999999951</v>
      </c>
      <c r="F511" s="1120">
        <v>30.42</v>
      </c>
      <c r="G511" s="1119">
        <v>7.2048000000000076</v>
      </c>
      <c r="I511" s="1119">
        <v>0.87339999999999951</v>
      </c>
      <c r="J511" s="1119">
        <v>0.86999999999999944</v>
      </c>
      <c r="K511" s="1120">
        <v>30.42</v>
      </c>
      <c r="L511" s="1119">
        <v>7.2048000000000076</v>
      </c>
      <c r="N511" s="1120">
        <v>33.18</v>
      </c>
      <c r="O511" s="1119">
        <v>7.3273999999999999</v>
      </c>
      <c r="P511" s="1119">
        <v>0.85880000000000001</v>
      </c>
      <c r="Q511" s="1119">
        <v>0.85529999999999995</v>
      </c>
      <c r="S511" s="1119">
        <v>7.3273999999999999</v>
      </c>
      <c r="T511" s="1120">
        <v>33.18</v>
      </c>
      <c r="U511" s="1119">
        <v>0.85880000000000001</v>
      </c>
      <c r="V511" s="1119">
        <v>0.85529999999999995</v>
      </c>
    </row>
    <row r="512" spans="4:22">
      <c r="D512" s="1119">
        <v>0.87009999999999943</v>
      </c>
      <c r="E512" s="1119">
        <v>0.8734999999999995</v>
      </c>
      <c r="F512" s="1120">
        <v>30.41</v>
      </c>
      <c r="G512" s="1119">
        <v>7.2040000000000077</v>
      </c>
      <c r="I512" s="1119">
        <v>0.8734999999999995</v>
      </c>
      <c r="J512" s="1119">
        <v>0.87009999999999943</v>
      </c>
      <c r="K512" s="1120">
        <v>30.41</v>
      </c>
      <c r="L512" s="1119">
        <v>7.2040000000000077</v>
      </c>
      <c r="N512" s="1120">
        <v>33.200000000000003</v>
      </c>
      <c r="O512" s="1119">
        <v>7.3281999999999998</v>
      </c>
      <c r="P512" s="1119">
        <v>0.85870000000000002</v>
      </c>
      <c r="Q512" s="1119">
        <v>0.85519999999999996</v>
      </c>
      <c r="S512" s="1119">
        <v>7.3281999999999998</v>
      </c>
      <c r="T512" s="1120">
        <v>33.200000000000003</v>
      </c>
      <c r="U512" s="1119">
        <v>0.85870000000000002</v>
      </c>
      <c r="V512" s="1119">
        <v>0.85519999999999996</v>
      </c>
    </row>
    <row r="513" spans="4:22">
      <c r="D513" s="1119">
        <v>0.87019999999999997</v>
      </c>
      <c r="E513" s="1119">
        <v>0.87359999999999993</v>
      </c>
      <c r="F513" s="1120">
        <v>30.39</v>
      </c>
      <c r="G513" s="1119">
        <v>7.2031999999999998</v>
      </c>
      <c r="I513" s="1119">
        <v>0.87359999999999993</v>
      </c>
      <c r="J513" s="1119">
        <v>0.87019999999999997</v>
      </c>
      <c r="K513" s="1120">
        <v>30.39</v>
      </c>
      <c r="L513" s="1119">
        <v>7.2031999999999998</v>
      </c>
      <c r="N513" s="1120">
        <v>33.22</v>
      </c>
      <c r="O513" s="1119">
        <v>7.3289999999999997</v>
      </c>
      <c r="P513" s="1119">
        <v>0.85860000000000003</v>
      </c>
      <c r="Q513" s="1119">
        <v>0.85509999999999997</v>
      </c>
      <c r="S513" s="1119">
        <v>7.3289999999999997</v>
      </c>
      <c r="T513" s="1120">
        <v>33.22</v>
      </c>
      <c r="U513" s="1119">
        <v>0.85860000000000003</v>
      </c>
      <c r="V513" s="1119">
        <v>0.85509999999999997</v>
      </c>
    </row>
    <row r="514" spans="4:22">
      <c r="D514" s="1119">
        <v>0.87029999999999996</v>
      </c>
      <c r="E514" s="1119">
        <v>0.87369999999999992</v>
      </c>
      <c r="F514" s="1120">
        <v>30.37</v>
      </c>
      <c r="G514" s="1119">
        <v>7.2023999999999999</v>
      </c>
      <c r="I514" s="1119">
        <v>0.87369999999999992</v>
      </c>
      <c r="J514" s="1119">
        <v>0.87029999999999996</v>
      </c>
      <c r="K514" s="1120">
        <v>30.37</v>
      </c>
      <c r="L514" s="1119">
        <v>7.2023999999999999</v>
      </c>
      <c r="N514" s="1120">
        <v>33.24</v>
      </c>
      <c r="O514" s="1119">
        <v>7.3298000000000076</v>
      </c>
      <c r="P514" s="1119">
        <v>0.85849999999999949</v>
      </c>
      <c r="Q514" s="1119">
        <v>0.85499999999999943</v>
      </c>
      <c r="S514" s="1119">
        <v>7.3298000000000076</v>
      </c>
      <c r="T514" s="1120">
        <v>33.24</v>
      </c>
      <c r="U514" s="1119">
        <v>0.85849999999999949</v>
      </c>
      <c r="V514" s="1119">
        <v>0.85499999999999943</v>
      </c>
    </row>
    <row r="515" spans="4:22">
      <c r="D515" s="1119">
        <v>0.87039999999999995</v>
      </c>
      <c r="E515" s="1119">
        <v>0.87379999999999991</v>
      </c>
      <c r="F515" s="1120">
        <v>30.35</v>
      </c>
      <c r="G515" s="1119">
        <v>7.2016</v>
      </c>
      <c r="I515" s="1119">
        <v>0.87379999999999991</v>
      </c>
      <c r="J515" s="1119">
        <v>0.87039999999999995</v>
      </c>
      <c r="K515" s="1120">
        <v>30.35</v>
      </c>
      <c r="L515" s="1119">
        <v>7.2016</v>
      </c>
      <c r="N515" s="1120">
        <v>33.25</v>
      </c>
      <c r="O515" s="1119">
        <v>7.3306000000000076</v>
      </c>
      <c r="P515" s="1119">
        <v>0.8583999999999995</v>
      </c>
      <c r="Q515" s="1119">
        <v>0.85489999999999944</v>
      </c>
      <c r="S515" s="1119">
        <v>7.3306000000000076</v>
      </c>
      <c r="T515" s="1120">
        <v>33.25</v>
      </c>
      <c r="U515" s="1119">
        <v>0.8583999999999995</v>
      </c>
      <c r="V515" s="1119">
        <v>0.85489999999999944</v>
      </c>
    </row>
    <row r="516" spans="4:22">
      <c r="D516" s="1119">
        <v>0.87049999999999994</v>
      </c>
      <c r="E516" s="1119">
        <v>0.8738999999999999</v>
      </c>
      <c r="F516" s="1120">
        <v>30.33</v>
      </c>
      <c r="G516" s="1119">
        <v>7.2008000000000001</v>
      </c>
      <c r="I516" s="1119">
        <v>0.8738999999999999</v>
      </c>
      <c r="J516" s="1119">
        <v>0.87049999999999994</v>
      </c>
      <c r="K516" s="1120">
        <v>30.33</v>
      </c>
      <c r="L516" s="1119">
        <v>7.2008000000000001</v>
      </c>
      <c r="N516" s="1120">
        <v>33.270000000000003</v>
      </c>
      <c r="O516" s="1119">
        <v>7.3314000000000075</v>
      </c>
      <c r="P516" s="1119">
        <v>0.85829999999999951</v>
      </c>
      <c r="Q516" s="1119">
        <v>0.85479999999999945</v>
      </c>
      <c r="S516" s="1119">
        <v>7.3314000000000075</v>
      </c>
      <c r="T516" s="1120">
        <v>33.270000000000003</v>
      </c>
      <c r="U516" s="1119">
        <v>0.85829999999999951</v>
      </c>
      <c r="V516" s="1119">
        <v>0.85479999999999945</v>
      </c>
    </row>
    <row r="517" spans="4:22">
      <c r="D517" s="1119">
        <v>0.87059999999999993</v>
      </c>
      <c r="E517" s="1119">
        <v>0.87399999999999989</v>
      </c>
      <c r="F517" s="1120">
        <v>30.31</v>
      </c>
      <c r="G517" s="1119">
        <v>7.2</v>
      </c>
      <c r="I517" s="1119">
        <v>0.87399999999999989</v>
      </c>
      <c r="J517" s="1119">
        <v>0.87059999999999993</v>
      </c>
      <c r="K517" s="1120">
        <v>30.31</v>
      </c>
      <c r="L517" s="1119">
        <v>7.2</v>
      </c>
      <c r="N517" s="1120">
        <v>33.29</v>
      </c>
      <c r="O517" s="1119">
        <v>7.3322000000000074</v>
      </c>
      <c r="P517" s="1119">
        <v>0.85819999999999952</v>
      </c>
      <c r="Q517" s="1119">
        <v>0.85469999999999946</v>
      </c>
      <c r="S517" s="1119">
        <v>7.3322000000000074</v>
      </c>
      <c r="T517" s="1120">
        <v>33.29</v>
      </c>
      <c r="U517" s="1119">
        <v>0.85819999999999952</v>
      </c>
      <c r="V517" s="1119">
        <v>0.85469999999999946</v>
      </c>
    </row>
    <row r="518" spans="4:22">
      <c r="D518" s="1119">
        <v>0.87069999999999992</v>
      </c>
      <c r="E518" s="1119">
        <v>0.87409999999999988</v>
      </c>
      <c r="F518" s="1120">
        <v>30.29</v>
      </c>
      <c r="G518" s="1119">
        <v>7.1991000000000005</v>
      </c>
      <c r="I518" s="1119">
        <v>0.87409999999999988</v>
      </c>
      <c r="J518" s="1119">
        <v>0.87069999999999992</v>
      </c>
      <c r="K518" s="1120">
        <v>30.29</v>
      </c>
      <c r="L518" s="1119">
        <v>7.1991000000000005</v>
      </c>
      <c r="N518" s="1120">
        <v>33.31</v>
      </c>
      <c r="O518" s="1119">
        <v>7.3330000000000073</v>
      </c>
      <c r="P518" s="1119">
        <v>0.85809999999999953</v>
      </c>
      <c r="Q518" s="1119">
        <v>0.85459999999999947</v>
      </c>
      <c r="S518" s="1119">
        <v>7.3330000000000073</v>
      </c>
      <c r="T518" s="1120">
        <v>33.31</v>
      </c>
      <c r="U518" s="1119">
        <v>0.85809999999999953</v>
      </c>
      <c r="V518" s="1119">
        <v>0.85459999999999947</v>
      </c>
    </row>
    <row r="519" spans="4:22">
      <c r="D519" s="1119">
        <v>0.87079999999999991</v>
      </c>
      <c r="E519" s="1119">
        <v>0.87419999999999987</v>
      </c>
      <c r="F519" s="1120">
        <v>30.27</v>
      </c>
      <c r="G519" s="1119">
        <v>7.1982000000000008</v>
      </c>
      <c r="I519" s="1119">
        <v>0.87419999999999987</v>
      </c>
      <c r="J519" s="1119">
        <v>0.87079999999999991</v>
      </c>
      <c r="K519" s="1120">
        <v>30.27</v>
      </c>
      <c r="L519" s="1119">
        <v>7.1982000000000008</v>
      </c>
      <c r="N519" s="1120">
        <v>33.33</v>
      </c>
      <c r="O519" s="1119">
        <v>7.3338000000000072</v>
      </c>
      <c r="P519" s="1119">
        <v>0.85799999999999954</v>
      </c>
      <c r="Q519" s="1119">
        <v>0.85449999999999948</v>
      </c>
      <c r="S519" s="1119">
        <v>7.3338000000000072</v>
      </c>
      <c r="T519" s="1120">
        <v>33.33</v>
      </c>
      <c r="U519" s="1119">
        <v>0.85799999999999954</v>
      </c>
      <c r="V519" s="1119">
        <v>0.85449999999999948</v>
      </c>
    </row>
    <row r="520" spans="4:22">
      <c r="D520" s="1119">
        <v>0.8708999999999999</v>
      </c>
      <c r="E520" s="1119">
        <v>0.87429999999999986</v>
      </c>
      <c r="F520" s="1120">
        <v>30.26</v>
      </c>
      <c r="G520" s="1119">
        <v>7.1973000000000011</v>
      </c>
      <c r="I520" s="1119">
        <v>0.87429999999999986</v>
      </c>
      <c r="J520" s="1119">
        <v>0.8708999999999999</v>
      </c>
      <c r="K520" s="1120">
        <v>30.26</v>
      </c>
      <c r="L520" s="1119">
        <v>7.1973000000000011</v>
      </c>
      <c r="N520" s="1120">
        <v>33.35</v>
      </c>
      <c r="O520" s="1119">
        <v>7.3347000000000069</v>
      </c>
      <c r="P520" s="1119">
        <v>0.85789999999999955</v>
      </c>
      <c r="Q520" s="1119">
        <v>0.85439999999999949</v>
      </c>
      <c r="S520" s="1119">
        <v>7.3347000000000069</v>
      </c>
      <c r="T520" s="1120">
        <v>33.35</v>
      </c>
      <c r="U520" s="1119">
        <v>0.85789999999999955</v>
      </c>
      <c r="V520" s="1119">
        <v>0.85439999999999949</v>
      </c>
    </row>
    <row r="521" spans="4:22">
      <c r="D521" s="1119">
        <v>0.87099999999999989</v>
      </c>
      <c r="E521" s="1119">
        <v>0.87439999999999984</v>
      </c>
      <c r="F521" s="1120">
        <v>30.24</v>
      </c>
      <c r="G521" s="1119">
        <v>7.1964000000000015</v>
      </c>
      <c r="I521" s="1119">
        <v>0.87439999999999984</v>
      </c>
      <c r="J521" s="1119">
        <v>0.87099999999999989</v>
      </c>
      <c r="K521" s="1120">
        <v>30.24</v>
      </c>
      <c r="L521" s="1119">
        <v>7.1964000000000015</v>
      </c>
      <c r="N521" s="1120">
        <v>33.369999999999997</v>
      </c>
      <c r="O521" s="1119">
        <v>7.3356000000000066</v>
      </c>
      <c r="P521" s="1119">
        <v>0.85779999999999956</v>
      </c>
      <c r="Q521" s="1119">
        <v>0.8542999999999995</v>
      </c>
      <c r="S521" s="1119">
        <v>7.3356000000000066</v>
      </c>
      <c r="T521" s="1120">
        <v>33.369999999999997</v>
      </c>
      <c r="U521" s="1119">
        <v>0.85779999999999956</v>
      </c>
      <c r="V521" s="1119">
        <v>0.8542999999999995</v>
      </c>
    </row>
    <row r="522" spans="4:22">
      <c r="D522" s="1119">
        <v>0.87109999999999987</v>
      </c>
      <c r="E522" s="1119">
        <v>0.87449999999999983</v>
      </c>
      <c r="F522" s="1120">
        <v>30.22</v>
      </c>
      <c r="G522" s="1119">
        <v>7.1955000000000018</v>
      </c>
      <c r="I522" s="1119">
        <v>0.87449999999999983</v>
      </c>
      <c r="J522" s="1119">
        <v>0.87109999999999987</v>
      </c>
      <c r="K522" s="1120">
        <v>30.22</v>
      </c>
      <c r="L522" s="1119">
        <v>7.1955000000000018</v>
      </c>
      <c r="N522" s="1120">
        <v>33.39</v>
      </c>
      <c r="O522" s="1119">
        <v>7.3365000000000062</v>
      </c>
      <c r="P522" s="1119">
        <v>0.85769999999999957</v>
      </c>
      <c r="Q522" s="1119">
        <v>0.85419999999999952</v>
      </c>
      <c r="S522" s="1119">
        <v>7.3365000000000062</v>
      </c>
      <c r="T522" s="1120">
        <v>33.39</v>
      </c>
      <c r="U522" s="1119">
        <v>0.85769999999999957</v>
      </c>
      <c r="V522" s="1119">
        <v>0.85419999999999952</v>
      </c>
    </row>
    <row r="523" spans="4:22">
      <c r="D523" s="1119">
        <v>0.87119999999999986</v>
      </c>
      <c r="E523" s="1119">
        <v>0.87459999999999982</v>
      </c>
      <c r="F523" s="1120">
        <v>30.2</v>
      </c>
      <c r="G523" s="1119">
        <v>7.1946000000000021</v>
      </c>
      <c r="I523" s="1119">
        <v>0.87459999999999982</v>
      </c>
      <c r="J523" s="1119">
        <v>0.87119999999999986</v>
      </c>
      <c r="K523" s="1120">
        <v>30.2</v>
      </c>
      <c r="L523" s="1119">
        <v>7.1946000000000021</v>
      </c>
      <c r="N523" s="1120">
        <v>33.409999999999997</v>
      </c>
      <c r="O523" s="1119">
        <v>7.3374000000000059</v>
      </c>
      <c r="P523" s="1119">
        <v>0.85759999999999958</v>
      </c>
      <c r="Q523" s="1119">
        <v>0.85409999999999953</v>
      </c>
      <c r="S523" s="1119">
        <v>7.3374000000000059</v>
      </c>
      <c r="T523" s="1120">
        <v>33.409999999999997</v>
      </c>
      <c r="U523" s="1119">
        <v>0.85759999999999958</v>
      </c>
      <c r="V523" s="1119">
        <v>0.85409999999999953</v>
      </c>
    </row>
    <row r="524" spans="4:22">
      <c r="D524" s="1119">
        <v>0.87129999999999985</v>
      </c>
      <c r="E524" s="1119">
        <v>0.87469999999999981</v>
      </c>
      <c r="F524" s="1120">
        <v>30.18</v>
      </c>
      <c r="G524" s="1119">
        <v>7.1937000000000024</v>
      </c>
      <c r="I524" s="1119">
        <v>0.87469999999999981</v>
      </c>
      <c r="J524" s="1119">
        <v>0.87129999999999985</v>
      </c>
      <c r="K524" s="1120">
        <v>30.18</v>
      </c>
      <c r="L524" s="1119">
        <v>7.1937000000000024</v>
      </c>
      <c r="N524" s="1120">
        <v>33.43</v>
      </c>
      <c r="O524" s="1119">
        <v>7.3383000000000056</v>
      </c>
      <c r="P524" s="1119">
        <v>0.85750000000000004</v>
      </c>
      <c r="Q524" s="1119">
        <v>0.85399999999999954</v>
      </c>
      <c r="S524" s="1119">
        <v>7.3383000000000056</v>
      </c>
      <c r="T524" s="1120">
        <v>33.43</v>
      </c>
      <c r="U524" s="1119">
        <v>0.85750000000000004</v>
      </c>
      <c r="V524" s="1119">
        <v>0.85399999999999954</v>
      </c>
    </row>
    <row r="525" spans="4:22">
      <c r="D525" s="1119">
        <v>0.87139999999999984</v>
      </c>
      <c r="E525" s="1119">
        <v>0.8747999999999998</v>
      </c>
      <c r="F525" s="1120">
        <v>30.17</v>
      </c>
      <c r="G525" s="1119">
        <v>7.1928000000000027</v>
      </c>
      <c r="I525" s="1119">
        <v>0.8747999999999998</v>
      </c>
      <c r="J525" s="1119">
        <v>0.87139999999999984</v>
      </c>
      <c r="K525" s="1120">
        <v>30.17</v>
      </c>
      <c r="L525" s="1119">
        <v>7.1928000000000027</v>
      </c>
      <c r="N525" s="1120">
        <v>33.44</v>
      </c>
      <c r="O525" s="1119">
        <v>7.3392000000000053</v>
      </c>
      <c r="P525" s="1119">
        <v>0.85739999999999961</v>
      </c>
      <c r="Q525" s="1119">
        <v>0.85389999999999955</v>
      </c>
      <c r="S525" s="1119">
        <v>7.3392000000000053</v>
      </c>
      <c r="T525" s="1120">
        <v>33.44</v>
      </c>
      <c r="U525" s="1119">
        <v>0.85739999999999961</v>
      </c>
      <c r="V525" s="1119">
        <v>0.85389999999999955</v>
      </c>
    </row>
    <row r="526" spans="4:22">
      <c r="D526" s="1119">
        <v>0.87149999999999983</v>
      </c>
      <c r="E526" s="1119">
        <v>0.87489999999999979</v>
      </c>
      <c r="F526" s="1120">
        <v>30.15</v>
      </c>
      <c r="G526" s="1119">
        <v>7.1919000000000031</v>
      </c>
      <c r="I526" s="1119">
        <v>0.87489999999999979</v>
      </c>
      <c r="J526" s="1119">
        <v>0.87149999999999983</v>
      </c>
      <c r="K526" s="1120">
        <v>30.15</v>
      </c>
      <c r="L526" s="1119">
        <v>7.1919000000000031</v>
      </c>
      <c r="N526" s="1120">
        <v>33.46</v>
      </c>
      <c r="O526" s="1119">
        <v>7.340100000000005</v>
      </c>
      <c r="P526" s="1119">
        <v>0.85729999999999962</v>
      </c>
      <c r="Q526" s="1119">
        <v>0.85379999999999956</v>
      </c>
      <c r="S526" s="1119">
        <v>7.340100000000005</v>
      </c>
      <c r="T526" s="1120">
        <v>33.46</v>
      </c>
      <c r="U526" s="1119">
        <v>0.85729999999999962</v>
      </c>
      <c r="V526" s="1119">
        <v>0.85379999999999956</v>
      </c>
    </row>
    <row r="527" spans="4:22">
      <c r="D527" s="1119">
        <v>0.87159999999999982</v>
      </c>
      <c r="E527" s="1119">
        <v>0.875</v>
      </c>
      <c r="F527" s="1120">
        <v>30.13</v>
      </c>
      <c r="G527" s="1119">
        <v>7.1909999999999998</v>
      </c>
      <c r="I527" s="1119">
        <v>0.875</v>
      </c>
      <c r="J527" s="1119">
        <v>0.87159999999999982</v>
      </c>
      <c r="K527" s="1120">
        <v>30.13</v>
      </c>
      <c r="L527" s="1119">
        <v>7.1909999999999998</v>
      </c>
      <c r="N527" s="1120">
        <v>33.479999999999997</v>
      </c>
      <c r="O527" s="1119">
        <v>7.3410000000000046</v>
      </c>
      <c r="P527" s="1119">
        <v>0.85719999999999963</v>
      </c>
      <c r="Q527" s="1119">
        <v>0.85369999999999957</v>
      </c>
      <c r="S527" s="1119">
        <v>7.3410000000000046</v>
      </c>
      <c r="T527" s="1120">
        <v>33.479999999999997</v>
      </c>
      <c r="U527" s="1119">
        <v>0.85719999999999963</v>
      </c>
      <c r="V527" s="1119">
        <v>0.85369999999999957</v>
      </c>
    </row>
    <row r="528" spans="4:22">
      <c r="D528" s="1119">
        <v>0.87169999999999981</v>
      </c>
      <c r="E528" s="1119">
        <v>0.87509999999999977</v>
      </c>
      <c r="F528" s="1120">
        <v>30.11</v>
      </c>
      <c r="G528" s="1119">
        <v>7.1901999999999999</v>
      </c>
      <c r="I528" s="1119">
        <v>0.87509999999999977</v>
      </c>
      <c r="J528" s="1119">
        <v>0.87169999999999981</v>
      </c>
      <c r="K528" s="1120">
        <v>30.11</v>
      </c>
      <c r="L528" s="1119">
        <v>7.1901999999999999</v>
      </c>
      <c r="N528" s="1120">
        <v>33.5</v>
      </c>
      <c r="O528" s="1119">
        <v>7.3419000000000043</v>
      </c>
      <c r="P528" s="1119">
        <v>0.85709999999999964</v>
      </c>
      <c r="Q528" s="1119">
        <v>0.85359999999999958</v>
      </c>
      <c r="S528" s="1119">
        <v>7.3419000000000043</v>
      </c>
      <c r="T528" s="1120">
        <v>33.5</v>
      </c>
      <c r="U528" s="1119">
        <v>0.85709999999999964</v>
      </c>
      <c r="V528" s="1119">
        <v>0.85359999999999958</v>
      </c>
    </row>
    <row r="529" spans="4:22">
      <c r="D529" s="1119">
        <v>0.8717999999999998</v>
      </c>
      <c r="E529" s="1119">
        <v>0.87519999999999976</v>
      </c>
      <c r="F529" s="1120">
        <v>30.09</v>
      </c>
      <c r="G529" s="1119">
        <v>7.1894</v>
      </c>
      <c r="I529" s="1119">
        <v>0.87519999999999976</v>
      </c>
      <c r="J529" s="1119">
        <v>0.8717999999999998</v>
      </c>
      <c r="K529" s="1120">
        <v>30.09</v>
      </c>
      <c r="L529" s="1119">
        <v>7.1894</v>
      </c>
      <c r="N529" s="1120">
        <v>33.520000000000003</v>
      </c>
      <c r="O529" s="1119">
        <v>7.342800000000004</v>
      </c>
      <c r="P529" s="1119">
        <v>0.85699999999999965</v>
      </c>
      <c r="Q529" s="1119">
        <v>0.85349999999999959</v>
      </c>
      <c r="S529" s="1119">
        <v>7.342800000000004</v>
      </c>
      <c r="T529" s="1120">
        <v>33.520000000000003</v>
      </c>
      <c r="U529" s="1119">
        <v>0.85699999999999965</v>
      </c>
      <c r="V529" s="1119">
        <v>0.85349999999999959</v>
      </c>
    </row>
    <row r="530" spans="4:22">
      <c r="D530" s="1119">
        <v>0.87189999999999979</v>
      </c>
      <c r="E530" s="1119">
        <v>0.87529999999999974</v>
      </c>
      <c r="F530" s="1120">
        <v>30.07</v>
      </c>
      <c r="G530" s="1119">
        <v>7.1886000000000001</v>
      </c>
      <c r="I530" s="1119">
        <v>0.87529999999999974</v>
      </c>
      <c r="J530" s="1119">
        <v>0.87189999999999979</v>
      </c>
      <c r="K530" s="1120">
        <v>30.07</v>
      </c>
      <c r="L530" s="1119">
        <v>7.1886000000000001</v>
      </c>
      <c r="N530" s="1120">
        <v>33.54</v>
      </c>
      <c r="O530" s="1119">
        <v>7.3437000000000037</v>
      </c>
      <c r="P530" s="1119">
        <v>0.85689999999999966</v>
      </c>
      <c r="Q530" s="1119">
        <v>0.8533999999999996</v>
      </c>
      <c r="S530" s="1119">
        <v>7.3437000000000037</v>
      </c>
      <c r="T530" s="1120">
        <v>33.54</v>
      </c>
      <c r="U530" s="1119">
        <v>0.85689999999999966</v>
      </c>
      <c r="V530" s="1119">
        <v>0.8533999999999996</v>
      </c>
    </row>
    <row r="531" spans="4:22">
      <c r="D531" s="1119">
        <v>0.87199999999999978</v>
      </c>
      <c r="E531" s="1119">
        <v>0.87539999999999973</v>
      </c>
      <c r="F531" s="1120">
        <v>30.05</v>
      </c>
      <c r="G531" s="1119">
        <v>7.1878000000000002</v>
      </c>
      <c r="I531" s="1119">
        <v>0.87539999999999973</v>
      </c>
      <c r="J531" s="1119">
        <v>0.87199999999999978</v>
      </c>
      <c r="K531" s="1120">
        <v>30.05</v>
      </c>
      <c r="L531" s="1119">
        <v>7.1878000000000002</v>
      </c>
      <c r="N531" s="1120">
        <v>33.56</v>
      </c>
      <c r="O531" s="1119">
        <v>7.3446000000000033</v>
      </c>
      <c r="P531" s="1119">
        <v>0.85679999999999967</v>
      </c>
      <c r="Q531" s="1119">
        <v>0.85329999999999961</v>
      </c>
      <c r="S531" s="1119">
        <v>7.3446000000000033</v>
      </c>
      <c r="T531" s="1120">
        <v>33.56</v>
      </c>
      <c r="U531" s="1119">
        <v>0.85679999999999967</v>
      </c>
      <c r="V531" s="1119">
        <v>0.85329999999999961</v>
      </c>
    </row>
    <row r="532" spans="4:22">
      <c r="D532" s="1119">
        <v>0.87209999999999976</v>
      </c>
      <c r="E532" s="1119">
        <v>0.87549999999999972</v>
      </c>
      <c r="F532" s="1120">
        <v>30.04</v>
      </c>
      <c r="G532" s="1119">
        <v>7.1870000000000003</v>
      </c>
      <c r="I532" s="1119">
        <v>0.87549999999999972</v>
      </c>
      <c r="J532" s="1119">
        <v>0.87209999999999976</v>
      </c>
      <c r="K532" s="1120">
        <v>30.04</v>
      </c>
      <c r="L532" s="1119">
        <v>7.1870000000000003</v>
      </c>
      <c r="N532" s="1120">
        <v>33.58</v>
      </c>
      <c r="O532" s="1119">
        <v>7.345500000000003</v>
      </c>
      <c r="P532" s="1119">
        <v>0.85669999999999968</v>
      </c>
      <c r="Q532" s="1119">
        <v>0.85319999999999963</v>
      </c>
      <c r="S532" s="1119">
        <v>7.345500000000003</v>
      </c>
      <c r="T532" s="1120">
        <v>33.58</v>
      </c>
      <c r="U532" s="1119">
        <v>0.85669999999999968</v>
      </c>
      <c r="V532" s="1119">
        <v>0.85319999999999963</v>
      </c>
    </row>
    <row r="533" spans="4:22">
      <c r="D533" s="1119">
        <v>0.87219999999999975</v>
      </c>
      <c r="E533" s="1119">
        <v>0.87559999999999971</v>
      </c>
      <c r="F533" s="1120">
        <v>30.02</v>
      </c>
      <c r="G533" s="1119">
        <v>7.1862000000000004</v>
      </c>
      <c r="I533" s="1119">
        <v>0.87559999999999971</v>
      </c>
      <c r="J533" s="1119">
        <v>0.87219999999999975</v>
      </c>
      <c r="K533" s="1120">
        <v>30.02</v>
      </c>
      <c r="L533" s="1119">
        <v>7.1862000000000004</v>
      </c>
      <c r="N533" s="1120">
        <v>33.6</v>
      </c>
      <c r="O533" s="1119">
        <v>7.3464000000000027</v>
      </c>
      <c r="P533" s="1119">
        <v>0.85659999999999969</v>
      </c>
      <c r="Q533" s="1119">
        <v>0.85309999999999964</v>
      </c>
      <c r="S533" s="1119">
        <v>7.3464000000000027</v>
      </c>
      <c r="T533" s="1120">
        <v>33.6</v>
      </c>
      <c r="U533" s="1119">
        <v>0.85659999999999969</v>
      </c>
      <c r="V533" s="1119">
        <v>0.85309999999999964</v>
      </c>
    </row>
    <row r="534" spans="4:22">
      <c r="D534" s="1119">
        <v>0.87229999999999974</v>
      </c>
      <c r="E534" s="1119">
        <v>0.8756999999999997</v>
      </c>
      <c r="F534" s="1120">
        <v>30</v>
      </c>
      <c r="G534" s="1119">
        <v>7.1854000000000005</v>
      </c>
      <c r="I534" s="1119">
        <v>0.8756999999999997</v>
      </c>
      <c r="J534" s="1119">
        <v>0.87229999999999974</v>
      </c>
      <c r="K534" s="1120">
        <v>30</v>
      </c>
      <c r="L534" s="1119">
        <v>7.1854000000000005</v>
      </c>
      <c r="N534" s="1120">
        <v>33.619999999999997</v>
      </c>
      <c r="O534" s="1119">
        <v>7.3473000000000024</v>
      </c>
      <c r="P534" s="1119">
        <v>0.85649999999999971</v>
      </c>
      <c r="Q534" s="1119">
        <v>0.85299999999999965</v>
      </c>
      <c r="S534" s="1119">
        <v>7.3473000000000024</v>
      </c>
      <c r="T534" s="1120">
        <v>33.619999999999997</v>
      </c>
      <c r="U534" s="1119">
        <v>0.85649999999999971</v>
      </c>
      <c r="V534" s="1119">
        <v>0.85299999999999965</v>
      </c>
    </row>
    <row r="535" spans="4:22">
      <c r="D535" s="1119">
        <v>0.87239999999999973</v>
      </c>
      <c r="E535" s="1119">
        <v>0.87579999999999969</v>
      </c>
      <c r="F535" s="1120">
        <v>29.98</v>
      </c>
      <c r="G535" s="1119">
        <v>7.1846000000000005</v>
      </c>
      <c r="I535" s="1119">
        <v>0.87579999999999969</v>
      </c>
      <c r="J535" s="1119">
        <v>0.87239999999999973</v>
      </c>
      <c r="K535" s="1120">
        <v>29.98</v>
      </c>
      <c r="L535" s="1119">
        <v>7.1846000000000005</v>
      </c>
      <c r="N535" s="1120">
        <v>33.64</v>
      </c>
      <c r="O535" s="1119">
        <v>7.3482000000000021</v>
      </c>
      <c r="P535" s="1119">
        <v>0.85639999999999972</v>
      </c>
      <c r="Q535" s="1119">
        <v>0.85289999999999966</v>
      </c>
      <c r="S535" s="1119">
        <v>7.3482000000000021</v>
      </c>
      <c r="T535" s="1120">
        <v>33.64</v>
      </c>
      <c r="U535" s="1119">
        <v>0.85639999999999972</v>
      </c>
      <c r="V535" s="1119">
        <v>0.85289999999999966</v>
      </c>
    </row>
    <row r="536" spans="4:22">
      <c r="D536" s="1119">
        <v>0.87250000000000005</v>
      </c>
      <c r="E536" s="1119">
        <v>0.87589999999999968</v>
      </c>
      <c r="F536" s="1120">
        <v>29.96</v>
      </c>
      <c r="G536" s="1119">
        <v>7.1838000000000006</v>
      </c>
      <c r="I536" s="1119">
        <v>0.87589999999999968</v>
      </c>
      <c r="J536" s="1119">
        <v>0.87250000000000005</v>
      </c>
      <c r="K536" s="1120">
        <v>29.96</v>
      </c>
      <c r="L536" s="1119">
        <v>7.1838000000000006</v>
      </c>
      <c r="N536" s="1120">
        <v>33.659999999999997</v>
      </c>
      <c r="O536" s="1119">
        <v>7.3491000000000017</v>
      </c>
      <c r="P536" s="1119">
        <v>0.85629999999999973</v>
      </c>
      <c r="Q536" s="1119">
        <v>0.85279999999999967</v>
      </c>
      <c r="S536" s="1119">
        <v>7.3491000000000017</v>
      </c>
      <c r="T536" s="1120">
        <v>33.659999999999997</v>
      </c>
      <c r="U536" s="1119">
        <v>0.85629999999999973</v>
      </c>
      <c r="V536" s="1119">
        <v>0.85279999999999967</v>
      </c>
    </row>
    <row r="537" spans="4:22">
      <c r="D537" s="1119">
        <v>0.87259999999999971</v>
      </c>
      <c r="E537" s="1119">
        <v>0.87599999999999967</v>
      </c>
      <c r="F537" s="1120">
        <v>29.94</v>
      </c>
      <c r="G537" s="1119">
        <v>7.1830000000000007</v>
      </c>
      <c r="I537" s="1119">
        <v>0.87599999999999967</v>
      </c>
      <c r="J537" s="1119">
        <v>0.87259999999999971</v>
      </c>
      <c r="K537" s="1120">
        <v>29.94</v>
      </c>
      <c r="L537" s="1119">
        <v>7.1830000000000007</v>
      </c>
      <c r="N537" s="1120">
        <v>33.68</v>
      </c>
      <c r="O537" s="1119">
        <v>7.35</v>
      </c>
      <c r="P537" s="1119">
        <v>0.85619999999999974</v>
      </c>
      <c r="Q537" s="1119">
        <v>0.85269999999999968</v>
      </c>
      <c r="S537" s="1119">
        <v>7.35</v>
      </c>
      <c r="T537" s="1120">
        <v>33.68</v>
      </c>
      <c r="U537" s="1119">
        <v>0.85619999999999974</v>
      </c>
      <c r="V537" s="1119">
        <v>0.85269999999999968</v>
      </c>
    </row>
    <row r="538" spans="4:22">
      <c r="D538" s="1119">
        <v>0.8726999999999997</v>
      </c>
      <c r="E538" s="1119">
        <v>0.87609999999999966</v>
      </c>
      <c r="F538" s="1120">
        <v>29.92</v>
      </c>
      <c r="G538" s="1119">
        <v>7.1822000000000008</v>
      </c>
      <c r="I538" s="1119">
        <v>0.87609999999999966</v>
      </c>
      <c r="J538" s="1119">
        <v>0.8726999999999997</v>
      </c>
      <c r="K538" s="1120">
        <v>29.92</v>
      </c>
      <c r="L538" s="1119">
        <v>7.1822000000000008</v>
      </c>
      <c r="N538" s="1120">
        <v>33.700000000000003</v>
      </c>
      <c r="O538" s="1119">
        <v>7.3509000000000011</v>
      </c>
      <c r="P538" s="1119">
        <v>0.85609999999999975</v>
      </c>
      <c r="Q538" s="1119">
        <v>0.85259999999999969</v>
      </c>
      <c r="S538" s="1119">
        <v>7.3509000000000011</v>
      </c>
      <c r="T538" s="1120">
        <v>33.700000000000003</v>
      </c>
      <c r="U538" s="1119">
        <v>0.85609999999999975</v>
      </c>
      <c r="V538" s="1119">
        <v>0.85259999999999969</v>
      </c>
    </row>
    <row r="539" spans="4:22">
      <c r="D539" s="1119">
        <v>0.87279999999999969</v>
      </c>
      <c r="E539" s="1119">
        <v>0.87619999999999965</v>
      </c>
      <c r="F539" s="1120">
        <v>29.9</v>
      </c>
      <c r="G539" s="1119">
        <v>7.1814000000000009</v>
      </c>
      <c r="I539" s="1119">
        <v>0.87619999999999965</v>
      </c>
      <c r="J539" s="1119">
        <v>0.87279999999999969</v>
      </c>
      <c r="K539" s="1120">
        <v>29.9</v>
      </c>
      <c r="L539" s="1119">
        <v>7.1814000000000009</v>
      </c>
      <c r="N539" s="1120">
        <v>33.72</v>
      </c>
      <c r="O539" s="1119">
        <v>7.3518000000000008</v>
      </c>
      <c r="P539" s="1119">
        <v>0.85599999999999976</v>
      </c>
      <c r="Q539" s="1119">
        <v>0.85250000000000004</v>
      </c>
      <c r="S539" s="1119">
        <v>7.3518000000000008</v>
      </c>
      <c r="T539" s="1120">
        <v>33.72</v>
      </c>
      <c r="U539" s="1119">
        <v>0.85599999999999976</v>
      </c>
      <c r="V539" s="1119">
        <v>0.85250000000000004</v>
      </c>
    </row>
    <row r="540" spans="4:22">
      <c r="D540" s="1119">
        <v>0.87289999999999968</v>
      </c>
      <c r="E540" s="1119">
        <v>0.87629999999999963</v>
      </c>
      <c r="F540" s="1120">
        <v>29.89</v>
      </c>
      <c r="G540" s="1119">
        <v>7.180600000000001</v>
      </c>
      <c r="I540" s="1119">
        <v>0.87629999999999963</v>
      </c>
      <c r="J540" s="1119">
        <v>0.87289999999999968</v>
      </c>
      <c r="K540" s="1120">
        <v>29.89</v>
      </c>
      <c r="L540" s="1119">
        <v>7.180600000000001</v>
      </c>
      <c r="N540" s="1120">
        <v>33.74</v>
      </c>
      <c r="O540" s="1119">
        <v>7.3526000000000007</v>
      </c>
      <c r="P540" s="1119">
        <v>0.85589999999999977</v>
      </c>
      <c r="Q540" s="1119">
        <v>0.85239999999999971</v>
      </c>
      <c r="S540" s="1119">
        <v>7.3526000000000007</v>
      </c>
      <c r="T540" s="1120">
        <v>33.74</v>
      </c>
      <c r="U540" s="1119">
        <v>0.85589999999999977</v>
      </c>
      <c r="V540" s="1119">
        <v>0.85239999999999971</v>
      </c>
    </row>
    <row r="541" spans="4:22">
      <c r="D541" s="1119">
        <v>0.87299999999999967</v>
      </c>
      <c r="E541" s="1119">
        <v>0.87639999999999962</v>
      </c>
      <c r="F541" s="1120">
        <v>29.87</v>
      </c>
      <c r="G541" s="1119">
        <v>7.1798000000000011</v>
      </c>
      <c r="I541" s="1119">
        <v>0.87639999999999962</v>
      </c>
      <c r="J541" s="1119">
        <v>0.87299999999999967</v>
      </c>
      <c r="K541" s="1120">
        <v>29.87</v>
      </c>
      <c r="L541" s="1119">
        <v>7.1798000000000011</v>
      </c>
      <c r="N541" s="1120">
        <v>33.76</v>
      </c>
      <c r="O541" s="1119">
        <v>7.3534000000000006</v>
      </c>
      <c r="P541" s="1119">
        <v>0.85579999999999978</v>
      </c>
      <c r="Q541" s="1119">
        <v>0.85229999999999972</v>
      </c>
      <c r="S541" s="1119">
        <v>7.3534000000000006</v>
      </c>
      <c r="T541" s="1120">
        <v>33.76</v>
      </c>
      <c r="U541" s="1119">
        <v>0.85579999999999978</v>
      </c>
      <c r="V541" s="1119">
        <v>0.85229999999999972</v>
      </c>
    </row>
    <row r="542" spans="4:22">
      <c r="D542" s="1119">
        <v>0.87309999999999965</v>
      </c>
      <c r="E542" s="1119">
        <v>0.87649999999999961</v>
      </c>
      <c r="F542" s="1120">
        <v>29.85</v>
      </c>
      <c r="G542" s="1119">
        <v>7.1790000000000012</v>
      </c>
      <c r="I542" s="1119">
        <v>0.87649999999999961</v>
      </c>
      <c r="J542" s="1119">
        <v>0.87309999999999965</v>
      </c>
      <c r="K542" s="1120">
        <v>29.85</v>
      </c>
      <c r="L542" s="1119">
        <v>7.1790000000000012</v>
      </c>
      <c r="N542" s="1120">
        <v>33.78</v>
      </c>
      <c r="O542" s="1119">
        <v>7.3542000000000005</v>
      </c>
      <c r="P542" s="1119">
        <v>0.85569999999999979</v>
      </c>
      <c r="Q542" s="1119">
        <v>0.85219999999999974</v>
      </c>
      <c r="S542" s="1119">
        <v>7.3542000000000005</v>
      </c>
      <c r="T542" s="1120">
        <v>33.78</v>
      </c>
      <c r="U542" s="1119">
        <v>0.85569999999999979</v>
      </c>
      <c r="V542" s="1119">
        <v>0.85219999999999974</v>
      </c>
    </row>
    <row r="543" spans="4:22">
      <c r="D543" s="1119">
        <v>0.87319999999999964</v>
      </c>
      <c r="E543" s="1119">
        <v>0.8765999999999996</v>
      </c>
      <c r="F543" s="1120">
        <v>29.83</v>
      </c>
      <c r="G543" s="1119">
        <v>7.1782000000000012</v>
      </c>
      <c r="I543" s="1119">
        <v>0.8765999999999996</v>
      </c>
      <c r="J543" s="1119">
        <v>0.87319999999999964</v>
      </c>
      <c r="K543" s="1120">
        <v>29.83</v>
      </c>
      <c r="L543" s="1119">
        <v>7.1782000000000012</v>
      </c>
      <c r="N543" s="1120">
        <v>33.799999999999997</v>
      </c>
      <c r="O543" s="1119">
        <v>7.3550000000000004</v>
      </c>
      <c r="P543" s="1119">
        <v>0.85559999999999981</v>
      </c>
      <c r="Q543" s="1119">
        <v>0.85209999999999975</v>
      </c>
      <c r="S543" s="1119">
        <v>7.3550000000000004</v>
      </c>
      <c r="T543" s="1120">
        <v>33.799999999999997</v>
      </c>
      <c r="U543" s="1119">
        <v>0.85559999999999981</v>
      </c>
      <c r="V543" s="1119">
        <v>0.85209999999999975</v>
      </c>
    </row>
    <row r="544" spans="4:22">
      <c r="D544" s="1119">
        <v>0.87329999999999963</v>
      </c>
      <c r="E544" s="1119">
        <v>0.87669999999999959</v>
      </c>
      <c r="F544" s="1120">
        <v>29.81</v>
      </c>
      <c r="G544" s="1119">
        <v>7.1774000000000013</v>
      </c>
      <c r="I544" s="1119">
        <v>0.87669999999999959</v>
      </c>
      <c r="J544" s="1119">
        <v>0.87329999999999963</v>
      </c>
      <c r="K544" s="1120">
        <v>29.81</v>
      </c>
      <c r="L544" s="1119">
        <v>7.1774000000000013</v>
      </c>
      <c r="N544" s="1120">
        <v>33.82</v>
      </c>
      <c r="O544" s="1119">
        <v>7.3558000000000003</v>
      </c>
      <c r="P544" s="1119">
        <v>0.85549999999999982</v>
      </c>
      <c r="Q544" s="1119">
        <v>0.85199999999999976</v>
      </c>
      <c r="S544" s="1119">
        <v>7.3558000000000003</v>
      </c>
      <c r="T544" s="1120">
        <v>33.82</v>
      </c>
      <c r="U544" s="1119">
        <v>0.85549999999999982</v>
      </c>
      <c r="V544" s="1119">
        <v>0.85199999999999976</v>
      </c>
    </row>
    <row r="545" spans="4:22">
      <c r="D545" s="1119">
        <v>0.87339999999999962</v>
      </c>
      <c r="E545" s="1119">
        <v>0.87679999999999958</v>
      </c>
      <c r="F545" s="1120">
        <v>29.8</v>
      </c>
      <c r="G545" s="1119">
        <v>7.1766000000000014</v>
      </c>
      <c r="I545" s="1119">
        <v>0.87679999999999958</v>
      </c>
      <c r="J545" s="1119">
        <v>0.87339999999999962</v>
      </c>
      <c r="K545" s="1120">
        <v>29.8</v>
      </c>
      <c r="L545" s="1119">
        <v>7.1766000000000014</v>
      </c>
      <c r="N545" s="1120">
        <v>33.83</v>
      </c>
      <c r="O545" s="1119">
        <v>7.3566000000000003</v>
      </c>
      <c r="P545" s="1119">
        <v>0.85539999999999983</v>
      </c>
      <c r="Q545" s="1119">
        <v>0.85189999999999977</v>
      </c>
      <c r="S545" s="1119">
        <v>7.3566000000000003</v>
      </c>
      <c r="T545" s="1120">
        <v>33.83</v>
      </c>
      <c r="U545" s="1119">
        <v>0.85539999999999983</v>
      </c>
      <c r="V545" s="1119">
        <v>0.85189999999999977</v>
      </c>
    </row>
    <row r="546" spans="4:22">
      <c r="D546" s="1119">
        <v>0.87349999999999961</v>
      </c>
      <c r="E546" s="1119">
        <v>0.87689999999999957</v>
      </c>
      <c r="F546" s="1120">
        <v>29.78</v>
      </c>
      <c r="G546" s="1119">
        <v>7.1758000000000015</v>
      </c>
      <c r="I546" s="1119">
        <v>0.87689999999999957</v>
      </c>
      <c r="J546" s="1119">
        <v>0.87349999999999961</v>
      </c>
      <c r="K546" s="1120">
        <v>29.78</v>
      </c>
      <c r="L546" s="1119">
        <v>7.1758000000000015</v>
      </c>
      <c r="N546" s="1120">
        <v>33.85</v>
      </c>
      <c r="O546" s="1119">
        <v>7.3574000000000002</v>
      </c>
      <c r="P546" s="1119">
        <v>0.85529999999999984</v>
      </c>
      <c r="Q546" s="1119">
        <v>0.85179999999999978</v>
      </c>
      <c r="S546" s="1119">
        <v>7.3574000000000002</v>
      </c>
      <c r="T546" s="1120">
        <v>33.85</v>
      </c>
      <c r="U546" s="1119">
        <v>0.85529999999999984</v>
      </c>
      <c r="V546" s="1119">
        <v>0.85179999999999978</v>
      </c>
    </row>
    <row r="547" spans="4:22">
      <c r="D547" s="1119">
        <v>0.8735999999999996</v>
      </c>
      <c r="E547" s="1119">
        <v>0.87699999999999956</v>
      </c>
      <c r="F547" s="1120">
        <v>29.76</v>
      </c>
      <c r="G547" s="1119">
        <v>7.1749999999999998</v>
      </c>
      <c r="I547" s="1119">
        <v>0.87699999999999956</v>
      </c>
      <c r="J547" s="1119">
        <v>0.8735999999999996</v>
      </c>
      <c r="K547" s="1120">
        <v>29.76</v>
      </c>
      <c r="L547" s="1119">
        <v>7.1749999999999998</v>
      </c>
      <c r="N547" s="1120">
        <v>33.869999999999997</v>
      </c>
      <c r="O547" s="1119">
        <v>7.3582000000000001</v>
      </c>
      <c r="P547" s="1119">
        <v>0.85519999999999985</v>
      </c>
      <c r="Q547" s="1119">
        <v>0.85169999999999979</v>
      </c>
      <c r="S547" s="1119">
        <v>7.3582000000000001</v>
      </c>
      <c r="T547" s="1120">
        <v>33.869999999999997</v>
      </c>
      <c r="U547" s="1119">
        <v>0.85519999999999985</v>
      </c>
      <c r="V547" s="1119">
        <v>0.85169999999999979</v>
      </c>
    </row>
    <row r="548" spans="4:22">
      <c r="D548" s="1119">
        <v>0.87369999999999959</v>
      </c>
      <c r="E548" s="1119">
        <v>0.87709999999999955</v>
      </c>
      <c r="F548" s="1120">
        <v>29.74</v>
      </c>
      <c r="G548" s="1119">
        <v>7.1742000000000017</v>
      </c>
      <c r="I548" s="1119">
        <v>0.87709999999999955</v>
      </c>
      <c r="J548" s="1119">
        <v>0.87369999999999959</v>
      </c>
      <c r="K548" s="1120">
        <v>29.74</v>
      </c>
      <c r="L548" s="1119">
        <v>7.1742000000000017</v>
      </c>
      <c r="N548" s="1120">
        <v>33.89</v>
      </c>
      <c r="O548" s="1119">
        <v>7.359</v>
      </c>
      <c r="P548" s="1119">
        <v>0.85509999999999986</v>
      </c>
      <c r="Q548" s="1119">
        <v>0.8515999999999998</v>
      </c>
      <c r="S548" s="1119">
        <v>7.359</v>
      </c>
      <c r="T548" s="1120">
        <v>33.89</v>
      </c>
      <c r="U548" s="1119">
        <v>0.85509999999999986</v>
      </c>
      <c r="V548" s="1119">
        <v>0.8515999999999998</v>
      </c>
    </row>
    <row r="549" spans="4:22">
      <c r="D549" s="1119">
        <v>0.87379999999999958</v>
      </c>
      <c r="E549" s="1119">
        <v>0.87719999999999954</v>
      </c>
      <c r="F549" s="1120">
        <v>29.72</v>
      </c>
      <c r="G549" s="1119">
        <v>7.1734000000000018</v>
      </c>
      <c r="I549" s="1119">
        <v>0.87719999999999954</v>
      </c>
      <c r="J549" s="1119">
        <v>0.87379999999999958</v>
      </c>
      <c r="K549" s="1120">
        <v>29.72</v>
      </c>
      <c r="L549" s="1119">
        <v>7.1734000000000018</v>
      </c>
      <c r="N549" s="1120">
        <v>33.909999999999997</v>
      </c>
      <c r="O549" s="1119">
        <v>7.3598000000000052</v>
      </c>
      <c r="P549" s="1119">
        <v>0.85499999999999998</v>
      </c>
      <c r="Q549" s="1119">
        <v>0.85149999999999981</v>
      </c>
      <c r="S549" s="1119">
        <v>7.3598000000000052</v>
      </c>
      <c r="T549" s="1120">
        <v>33.909999999999997</v>
      </c>
      <c r="U549" s="1119">
        <v>0.85499999999999998</v>
      </c>
      <c r="V549" s="1119">
        <v>0.85149999999999981</v>
      </c>
    </row>
    <row r="550" spans="4:22">
      <c r="D550" s="1119">
        <v>0.87389999999999957</v>
      </c>
      <c r="E550" s="1119">
        <v>0.87729999999999952</v>
      </c>
      <c r="F550" s="1120">
        <v>29.7</v>
      </c>
      <c r="G550" s="1119">
        <v>7.1726000000000019</v>
      </c>
      <c r="I550" s="1119">
        <v>0.87729999999999952</v>
      </c>
      <c r="J550" s="1119">
        <v>0.87389999999999957</v>
      </c>
      <c r="K550" s="1120">
        <v>29.7</v>
      </c>
      <c r="L550" s="1119">
        <v>7.1726000000000019</v>
      </c>
      <c r="N550" s="1120">
        <v>33.93</v>
      </c>
      <c r="O550" s="1119">
        <v>7.3607000000000049</v>
      </c>
      <c r="P550" s="1119">
        <v>0.85489999999999988</v>
      </c>
      <c r="Q550" s="1119">
        <v>0.85139999999999982</v>
      </c>
      <c r="S550" s="1119">
        <v>7.3607000000000049</v>
      </c>
      <c r="T550" s="1120">
        <v>33.93</v>
      </c>
      <c r="U550" s="1119">
        <v>0.85489999999999988</v>
      </c>
      <c r="V550" s="1119">
        <v>0.85139999999999982</v>
      </c>
    </row>
    <row r="551" spans="4:22">
      <c r="D551" s="1119">
        <v>0.87399999999999956</v>
      </c>
      <c r="E551" s="1119">
        <v>0.87739999999999951</v>
      </c>
      <c r="F551" s="1120">
        <v>29.68</v>
      </c>
      <c r="G551" s="1119">
        <v>7.171800000000002</v>
      </c>
      <c r="I551" s="1119">
        <v>0.87739999999999951</v>
      </c>
      <c r="J551" s="1119">
        <v>0.87399999999999956</v>
      </c>
      <c r="K551" s="1120">
        <v>29.68</v>
      </c>
      <c r="L551" s="1119">
        <v>7.171800000000002</v>
      </c>
      <c r="N551" s="1120">
        <v>33.950000000000003</v>
      </c>
      <c r="O551" s="1119">
        <v>7.3616000000000046</v>
      </c>
      <c r="P551" s="1119">
        <v>0.85479999999999989</v>
      </c>
      <c r="Q551" s="1119">
        <v>0.85129999999999983</v>
      </c>
      <c r="S551" s="1119">
        <v>7.3616000000000046</v>
      </c>
      <c r="T551" s="1120">
        <v>33.950000000000003</v>
      </c>
      <c r="U551" s="1119">
        <v>0.85479999999999989</v>
      </c>
      <c r="V551" s="1119">
        <v>0.85129999999999983</v>
      </c>
    </row>
    <row r="552" spans="4:22">
      <c r="D552" s="1119">
        <v>0.87409999999999954</v>
      </c>
      <c r="E552" s="1119">
        <v>0.8774999999999995</v>
      </c>
      <c r="F552" s="1120">
        <v>29.67</v>
      </c>
      <c r="G552" s="1119">
        <v>7.171000000000002</v>
      </c>
      <c r="I552" s="1119">
        <v>0.8774999999999995</v>
      </c>
      <c r="J552" s="1119">
        <v>0.87409999999999954</v>
      </c>
      <c r="K552" s="1120">
        <v>29.67</v>
      </c>
      <c r="L552" s="1119">
        <v>7.171000000000002</v>
      </c>
      <c r="N552" s="1120">
        <v>33.97</v>
      </c>
      <c r="O552" s="1119">
        <v>7.3624999999999998</v>
      </c>
      <c r="P552" s="1119">
        <v>0.8546999999999999</v>
      </c>
      <c r="Q552" s="1119">
        <v>0.85119999999999985</v>
      </c>
      <c r="S552" s="1119">
        <v>7.3624999999999998</v>
      </c>
      <c r="T552" s="1120">
        <v>33.97</v>
      </c>
      <c r="U552" s="1119">
        <v>0.8546999999999999</v>
      </c>
      <c r="V552" s="1119">
        <v>0.85119999999999985</v>
      </c>
    </row>
    <row r="553" spans="4:22">
      <c r="D553" s="1119">
        <v>0.87419999999999953</v>
      </c>
      <c r="E553" s="1119">
        <v>0.87759999999999949</v>
      </c>
      <c r="F553" s="1120">
        <v>29.65</v>
      </c>
      <c r="G553" s="1119">
        <v>7.1702000000000021</v>
      </c>
      <c r="I553" s="1119">
        <v>0.87759999999999949</v>
      </c>
      <c r="J553" s="1119">
        <v>0.87419999999999953</v>
      </c>
      <c r="K553" s="1120">
        <v>29.65</v>
      </c>
      <c r="L553" s="1119">
        <v>7.1702000000000021</v>
      </c>
      <c r="N553" s="1120">
        <v>33.99</v>
      </c>
      <c r="O553" s="1119">
        <v>7.3634000000000039</v>
      </c>
      <c r="P553" s="1119">
        <v>0.85459999999999992</v>
      </c>
      <c r="Q553" s="1119">
        <v>0.85109999999999986</v>
      </c>
      <c r="S553" s="1119">
        <v>7.3634000000000039</v>
      </c>
      <c r="T553" s="1120">
        <v>33.99</v>
      </c>
      <c r="U553" s="1119">
        <v>0.85459999999999992</v>
      </c>
      <c r="V553" s="1119">
        <v>0.85109999999999986</v>
      </c>
    </row>
    <row r="554" spans="4:22">
      <c r="D554" s="1119">
        <v>0.87429999999999952</v>
      </c>
      <c r="E554" s="1119">
        <v>0.87769999999999948</v>
      </c>
      <c r="F554" s="1120">
        <v>29.63</v>
      </c>
      <c r="G554" s="1119">
        <v>7.1694000000000022</v>
      </c>
      <c r="I554" s="1119">
        <v>0.87769999999999948</v>
      </c>
      <c r="J554" s="1119">
        <v>0.87429999999999952</v>
      </c>
      <c r="K554" s="1120">
        <v>29.63</v>
      </c>
      <c r="L554" s="1119">
        <v>7.1694000000000022</v>
      </c>
      <c r="N554" s="1120">
        <v>34.01</v>
      </c>
      <c r="O554" s="1119">
        <v>7.3643000000000036</v>
      </c>
      <c r="P554" s="1119">
        <v>0.85449999999999993</v>
      </c>
      <c r="Q554" s="1119">
        <v>0.85099999999999987</v>
      </c>
      <c r="S554" s="1119">
        <v>7.3643000000000036</v>
      </c>
      <c r="T554" s="1120">
        <v>34.01</v>
      </c>
      <c r="U554" s="1119">
        <v>0.85449999999999993</v>
      </c>
      <c r="V554" s="1119">
        <v>0.85099999999999987</v>
      </c>
    </row>
    <row r="555" spans="4:22">
      <c r="D555" s="1119">
        <v>0.87439999999999951</v>
      </c>
      <c r="E555" s="1119">
        <v>0.87779999999999947</v>
      </c>
      <c r="F555" s="1120">
        <v>29.61</v>
      </c>
      <c r="G555" s="1119">
        <v>7.1686000000000023</v>
      </c>
      <c r="I555" s="1119">
        <v>0.87779999999999947</v>
      </c>
      <c r="J555" s="1119">
        <v>0.87439999999999951</v>
      </c>
      <c r="K555" s="1120">
        <v>29.61</v>
      </c>
      <c r="L555" s="1119">
        <v>7.1686000000000023</v>
      </c>
      <c r="N555" s="1120">
        <v>34.020000000000003</v>
      </c>
      <c r="O555" s="1119">
        <v>7.3652000000000033</v>
      </c>
      <c r="P555" s="1119">
        <v>0.85439999999999994</v>
      </c>
      <c r="Q555" s="1119">
        <v>0.85089999999999988</v>
      </c>
      <c r="S555" s="1119">
        <v>7.3652000000000033</v>
      </c>
      <c r="T555" s="1120">
        <v>34.020000000000003</v>
      </c>
      <c r="U555" s="1119">
        <v>0.85439999999999994</v>
      </c>
      <c r="V555" s="1119">
        <v>0.85089999999999988</v>
      </c>
    </row>
    <row r="556" spans="4:22">
      <c r="D556" s="1119">
        <v>0.8744999999999995</v>
      </c>
      <c r="E556" s="1119">
        <v>0.87789999999999946</v>
      </c>
      <c r="F556" s="1120">
        <v>29.59</v>
      </c>
      <c r="G556" s="1119">
        <v>7.1678000000000024</v>
      </c>
      <c r="I556" s="1119">
        <v>0.87789999999999946</v>
      </c>
      <c r="J556" s="1119">
        <v>0.8744999999999995</v>
      </c>
      <c r="K556" s="1120">
        <v>29.59</v>
      </c>
      <c r="L556" s="1119">
        <v>7.1678000000000024</v>
      </c>
      <c r="N556" s="1120">
        <v>34.04</v>
      </c>
      <c r="O556" s="1119">
        <v>7.366100000000003</v>
      </c>
      <c r="P556" s="1119">
        <v>0.85429999999999995</v>
      </c>
      <c r="Q556" s="1119">
        <v>0.85079999999999989</v>
      </c>
      <c r="S556" s="1119">
        <v>7.366100000000003</v>
      </c>
      <c r="T556" s="1120">
        <v>34.04</v>
      </c>
      <c r="U556" s="1119">
        <v>0.85429999999999995</v>
      </c>
      <c r="V556" s="1119">
        <v>0.85079999999999989</v>
      </c>
    </row>
    <row r="557" spans="4:22">
      <c r="D557" s="1119">
        <v>0.87459999999999949</v>
      </c>
      <c r="E557" s="1119">
        <v>0.87799999999999945</v>
      </c>
      <c r="F557" s="1120">
        <v>29.57</v>
      </c>
      <c r="G557" s="1119">
        <v>7.1670000000000025</v>
      </c>
      <c r="I557" s="1119">
        <v>0.87799999999999945</v>
      </c>
      <c r="J557" s="1119">
        <v>0.87459999999999949</v>
      </c>
      <c r="K557" s="1120">
        <v>29.57</v>
      </c>
      <c r="L557" s="1119">
        <v>7.1670000000000025</v>
      </c>
      <c r="N557" s="1120">
        <v>34.06</v>
      </c>
      <c r="O557" s="1119">
        <v>7.3670000000000027</v>
      </c>
      <c r="P557" s="1119">
        <v>0.85419999999999996</v>
      </c>
      <c r="Q557" s="1119">
        <v>0.8506999999999999</v>
      </c>
      <c r="S557" s="1119">
        <v>7.3670000000000027</v>
      </c>
      <c r="T557" s="1120">
        <v>34.06</v>
      </c>
      <c r="U557" s="1119">
        <v>0.85419999999999996</v>
      </c>
      <c r="V557" s="1119">
        <v>0.8506999999999999</v>
      </c>
    </row>
    <row r="558" spans="4:22">
      <c r="D558" s="1119">
        <v>0.87469999999999948</v>
      </c>
      <c r="E558" s="1119">
        <v>0.87809999999999944</v>
      </c>
      <c r="F558" s="1120">
        <v>29.55</v>
      </c>
      <c r="G558" s="1119">
        <v>7.1662000000000026</v>
      </c>
      <c r="I558" s="1119">
        <v>0.87809999999999944</v>
      </c>
      <c r="J558" s="1119">
        <v>0.87469999999999948</v>
      </c>
      <c r="K558" s="1120">
        <v>29.55</v>
      </c>
      <c r="L558" s="1119">
        <v>7.1662000000000026</v>
      </c>
      <c r="N558" s="1120">
        <v>34.08</v>
      </c>
      <c r="O558" s="1119">
        <v>7.3679000000000023</v>
      </c>
      <c r="P558" s="1119">
        <v>0.85409999999999997</v>
      </c>
      <c r="Q558" s="1119">
        <v>0.85059999999999991</v>
      </c>
      <c r="S558" s="1119">
        <v>7.3679000000000023</v>
      </c>
      <c r="T558" s="1120">
        <v>34.08</v>
      </c>
      <c r="U558" s="1119">
        <v>0.85409999999999997</v>
      </c>
      <c r="V558" s="1119">
        <v>0.85059999999999991</v>
      </c>
    </row>
    <row r="559" spans="4:22">
      <c r="D559" s="1121">
        <v>0.87479999999999947</v>
      </c>
      <c r="E559" s="1121">
        <v>0.87819999999999943</v>
      </c>
      <c r="F559" s="1122">
        <v>29.53</v>
      </c>
      <c r="G559" s="1121">
        <v>7.1654000000000027</v>
      </c>
      <c r="I559" s="1121">
        <v>0.87819999999999943</v>
      </c>
      <c r="J559" s="1121">
        <v>0.87479999999999947</v>
      </c>
      <c r="K559" s="1122">
        <v>29.53</v>
      </c>
      <c r="L559" s="1121">
        <v>7.1654000000000027</v>
      </c>
      <c r="N559" s="1122">
        <v>34.1</v>
      </c>
      <c r="O559" s="1121">
        <v>7.368800000000002</v>
      </c>
      <c r="P559" s="1121">
        <v>0.85399999999999998</v>
      </c>
      <c r="Q559" s="1121">
        <v>0.85049999999999992</v>
      </c>
      <c r="S559" s="1121">
        <v>7.368800000000002</v>
      </c>
      <c r="T559" s="1122">
        <v>34.1</v>
      </c>
      <c r="U559" s="1121">
        <v>0.85399999999999998</v>
      </c>
      <c r="V559" s="1121">
        <v>0.85049999999999992</v>
      </c>
    </row>
    <row r="560" spans="4:22">
      <c r="D560" s="1119">
        <v>0.87489999999999946</v>
      </c>
      <c r="E560" s="1119">
        <v>0.87829999999999941</v>
      </c>
      <c r="F560" s="1120">
        <v>29.52</v>
      </c>
      <c r="G560" s="1119">
        <v>7.1646000000000027</v>
      </c>
      <c r="I560" s="1119">
        <v>0.87829999999999941</v>
      </c>
      <c r="J560" s="1119">
        <v>0.87489999999999946</v>
      </c>
      <c r="K560" s="1120">
        <v>29.52</v>
      </c>
      <c r="L560" s="1119">
        <v>7.1646000000000027</v>
      </c>
      <c r="N560" s="1120">
        <v>34.119999999999997</v>
      </c>
      <c r="O560" s="1119">
        <v>7.3697000000000017</v>
      </c>
      <c r="P560" s="1119">
        <v>0.85389999999999999</v>
      </c>
      <c r="Q560" s="1119">
        <v>0.85039999999999993</v>
      </c>
      <c r="S560" s="1119">
        <v>7.3697000000000017</v>
      </c>
      <c r="T560" s="1120">
        <v>34.119999999999997</v>
      </c>
      <c r="U560" s="1119">
        <v>0.85389999999999999</v>
      </c>
      <c r="V560" s="1119">
        <v>0.85039999999999993</v>
      </c>
    </row>
    <row r="561" spans="4:22">
      <c r="D561" s="1119">
        <v>0.87499999999999944</v>
      </c>
      <c r="E561" s="1119">
        <v>0.8783999999999994</v>
      </c>
      <c r="F561" s="1120">
        <v>29.5</v>
      </c>
      <c r="G561" s="1119">
        <v>7.1638000000000028</v>
      </c>
      <c r="I561" s="1119">
        <v>0.8783999999999994</v>
      </c>
      <c r="J561" s="1119">
        <v>0.87499999999999944</v>
      </c>
      <c r="K561" s="1120">
        <v>29.5</v>
      </c>
      <c r="L561" s="1119">
        <v>7.1638000000000028</v>
      </c>
      <c r="N561" s="1120">
        <v>34.14</v>
      </c>
      <c r="O561" s="1119">
        <v>7.3706000000000014</v>
      </c>
      <c r="P561" s="1119">
        <v>0.8538</v>
      </c>
      <c r="Q561" s="1119">
        <v>0.85029999999999994</v>
      </c>
      <c r="S561" s="1119">
        <v>7.3706000000000014</v>
      </c>
      <c r="T561" s="1120">
        <v>34.14</v>
      </c>
      <c r="U561" s="1119">
        <v>0.8538</v>
      </c>
      <c r="V561" s="1119">
        <v>0.85029999999999994</v>
      </c>
    </row>
    <row r="562" spans="4:22">
      <c r="D562" s="1119">
        <v>0.87509999999999999</v>
      </c>
      <c r="E562" s="1119">
        <v>0.87849999999999995</v>
      </c>
      <c r="F562" s="1120">
        <v>29.48</v>
      </c>
      <c r="G562" s="1119">
        <v>7.1630000000000003</v>
      </c>
      <c r="I562" s="1119">
        <v>0.87849999999999995</v>
      </c>
      <c r="J562" s="1119">
        <v>0.87509999999999999</v>
      </c>
      <c r="K562" s="1120">
        <v>29.48</v>
      </c>
      <c r="L562" s="1119">
        <v>7.1630000000000003</v>
      </c>
      <c r="N562" s="1120">
        <v>34.159999999999997</v>
      </c>
      <c r="O562" s="1119">
        <v>7.3715000000000011</v>
      </c>
      <c r="P562" s="1119">
        <v>0.85370000000000001</v>
      </c>
      <c r="Q562" s="1119">
        <v>0.85019999999999996</v>
      </c>
      <c r="S562" s="1119">
        <v>7.3715000000000011</v>
      </c>
      <c r="T562" s="1120">
        <v>34.159999999999997</v>
      </c>
      <c r="U562" s="1119">
        <v>0.85370000000000001</v>
      </c>
      <c r="V562" s="1119">
        <v>0.85019999999999996</v>
      </c>
    </row>
    <row r="563" spans="4:22">
      <c r="D563" s="1119">
        <v>0.87519999999999998</v>
      </c>
      <c r="E563" s="1119">
        <v>0.87859999999999994</v>
      </c>
      <c r="F563" s="1120">
        <v>29.46</v>
      </c>
      <c r="G563" s="1119">
        <v>7.1622000000000003</v>
      </c>
      <c r="I563" s="1119">
        <v>0.87859999999999994</v>
      </c>
      <c r="J563" s="1119">
        <v>0.87519999999999998</v>
      </c>
      <c r="K563" s="1120">
        <v>29.46</v>
      </c>
      <c r="L563" s="1119">
        <v>7.1622000000000003</v>
      </c>
      <c r="N563" s="1120">
        <v>34.18</v>
      </c>
      <c r="O563" s="1119">
        <v>7.3724000000000043</v>
      </c>
      <c r="P563" s="1119">
        <v>0.85359999999999947</v>
      </c>
      <c r="Q563" s="1119">
        <v>0.85009999999999941</v>
      </c>
      <c r="S563" s="1119">
        <v>7.3724000000000043</v>
      </c>
      <c r="T563" s="1120">
        <v>34.18</v>
      </c>
      <c r="U563" s="1119">
        <v>0.85359999999999947</v>
      </c>
      <c r="V563" s="1119">
        <v>0.85009999999999941</v>
      </c>
    </row>
    <row r="564" spans="4:22">
      <c r="D564" s="1119">
        <v>0.87529999999999997</v>
      </c>
      <c r="E564" s="1119">
        <v>0.87869999999999993</v>
      </c>
      <c r="F564" s="1120">
        <v>29.44</v>
      </c>
      <c r="G564" s="1119">
        <v>7.1614000000000004</v>
      </c>
      <c r="I564" s="1119">
        <v>0.87869999999999993</v>
      </c>
      <c r="J564" s="1119">
        <v>0.87529999999999997</v>
      </c>
      <c r="K564" s="1120">
        <v>29.44</v>
      </c>
      <c r="L564" s="1119">
        <v>7.1614000000000004</v>
      </c>
      <c r="N564" s="1120">
        <v>34.200000000000003</v>
      </c>
      <c r="O564" s="1119">
        <v>7.373300000000004</v>
      </c>
      <c r="P564" s="1119">
        <v>0.85349999999999948</v>
      </c>
      <c r="Q564" s="1119">
        <v>0.84999999999999942</v>
      </c>
      <c r="S564" s="1119">
        <v>7.373300000000004</v>
      </c>
      <c r="T564" s="1120">
        <v>34.200000000000003</v>
      </c>
      <c r="U564" s="1119">
        <v>0.85349999999999948</v>
      </c>
      <c r="V564" s="1119">
        <v>0.84999999999999942</v>
      </c>
    </row>
    <row r="565" spans="4:22">
      <c r="D565" s="1119">
        <v>0.87539999999999996</v>
      </c>
      <c r="E565" s="1119">
        <v>0.87879999999999991</v>
      </c>
      <c r="F565" s="1120">
        <v>29.43</v>
      </c>
      <c r="G565" s="1119">
        <v>7.1606000000000005</v>
      </c>
      <c r="I565" s="1119">
        <v>0.87879999999999991</v>
      </c>
      <c r="J565" s="1119">
        <v>0.87539999999999996</v>
      </c>
      <c r="K565" s="1120">
        <v>29.43</v>
      </c>
      <c r="L565" s="1119">
        <v>7.1606000000000005</v>
      </c>
      <c r="N565" s="1120">
        <v>34.22</v>
      </c>
      <c r="O565" s="1119">
        <v>7.3742000000000036</v>
      </c>
      <c r="P565" s="1119">
        <v>0.85339999999999949</v>
      </c>
      <c r="Q565" s="1119">
        <v>0.84989999999999943</v>
      </c>
      <c r="S565" s="1119">
        <v>7.3742000000000036</v>
      </c>
      <c r="T565" s="1120">
        <v>34.22</v>
      </c>
      <c r="U565" s="1119">
        <v>0.85339999999999949</v>
      </c>
      <c r="V565" s="1119">
        <v>0.84989999999999943</v>
      </c>
    </row>
    <row r="566" spans="4:22">
      <c r="D566" s="1119">
        <v>0.87549999999999994</v>
      </c>
      <c r="E566" s="1119">
        <v>0.8788999999999999</v>
      </c>
      <c r="F566" s="1120">
        <v>29.41</v>
      </c>
      <c r="G566" s="1119">
        <v>7.1598000000000006</v>
      </c>
      <c r="I566" s="1119">
        <v>0.8788999999999999</v>
      </c>
      <c r="J566" s="1119">
        <v>0.87549999999999994</v>
      </c>
      <c r="K566" s="1120">
        <v>29.41</v>
      </c>
      <c r="L566" s="1119">
        <v>7.1598000000000006</v>
      </c>
      <c r="N566" s="1120">
        <v>34.24</v>
      </c>
      <c r="O566" s="1119">
        <v>7.3751000000000033</v>
      </c>
      <c r="P566" s="1119">
        <v>0.8532999999999995</v>
      </c>
      <c r="Q566" s="1119">
        <v>0.84979999999999944</v>
      </c>
      <c r="S566" s="1119">
        <v>7.3751000000000033</v>
      </c>
      <c r="T566" s="1120">
        <v>34.24</v>
      </c>
      <c r="U566" s="1119">
        <v>0.8532999999999995</v>
      </c>
      <c r="V566" s="1119">
        <v>0.84979999999999944</v>
      </c>
    </row>
    <row r="567" spans="4:22">
      <c r="D567" s="1119">
        <v>0.87559999999999993</v>
      </c>
      <c r="E567" s="1119">
        <v>0.87899999999999989</v>
      </c>
      <c r="F567" s="1120">
        <v>29.39</v>
      </c>
      <c r="G567" s="1119">
        <v>7.1590000000000007</v>
      </c>
      <c r="I567" s="1119">
        <v>0.87899999999999989</v>
      </c>
      <c r="J567" s="1119">
        <v>0.87559999999999993</v>
      </c>
      <c r="K567" s="1120">
        <v>29.39</v>
      </c>
      <c r="L567" s="1119">
        <v>7.1590000000000007</v>
      </c>
      <c r="N567" s="1120">
        <v>34.26</v>
      </c>
      <c r="O567" s="1119">
        <v>7.376000000000003</v>
      </c>
      <c r="P567" s="1119">
        <v>0.85319999999999951</v>
      </c>
      <c r="Q567" s="1119">
        <v>0.84969999999999946</v>
      </c>
      <c r="S567" s="1119">
        <v>7.376000000000003</v>
      </c>
      <c r="T567" s="1120">
        <v>34.26</v>
      </c>
      <c r="U567" s="1119">
        <v>0.85319999999999951</v>
      </c>
      <c r="V567" s="1119">
        <v>0.84969999999999946</v>
      </c>
    </row>
    <row r="568" spans="4:22">
      <c r="D568" s="1119">
        <v>0.87569999999999992</v>
      </c>
      <c r="E568" s="1119">
        <v>0.87909999999999988</v>
      </c>
      <c r="F568" s="1120">
        <v>29.37</v>
      </c>
      <c r="G568" s="1119">
        <v>7.158100000000001</v>
      </c>
      <c r="I568" s="1119">
        <v>0.87909999999999988</v>
      </c>
      <c r="J568" s="1119">
        <v>0.87569999999999992</v>
      </c>
      <c r="K568" s="1120">
        <v>29.37</v>
      </c>
      <c r="L568" s="1119">
        <v>7.158100000000001</v>
      </c>
      <c r="N568" s="1120">
        <v>34.28</v>
      </c>
      <c r="O568" s="1119">
        <v>7.3769000000000027</v>
      </c>
      <c r="P568" s="1119">
        <v>0.85309999999999953</v>
      </c>
      <c r="Q568" s="1119">
        <v>0.84959999999999947</v>
      </c>
      <c r="S568" s="1119">
        <v>7.3769000000000027</v>
      </c>
      <c r="T568" s="1120">
        <v>34.28</v>
      </c>
      <c r="U568" s="1119">
        <v>0.85309999999999953</v>
      </c>
      <c r="V568" s="1119">
        <v>0.84959999999999947</v>
      </c>
    </row>
    <row r="569" spans="4:22">
      <c r="D569" s="1119">
        <v>0.87579999999999991</v>
      </c>
      <c r="E569" s="1119">
        <v>0.87919999999999987</v>
      </c>
      <c r="F569" s="1120">
        <v>29.35</v>
      </c>
      <c r="G569" s="1119">
        <v>7.1572000000000013</v>
      </c>
      <c r="I569" s="1119">
        <v>0.87919999999999987</v>
      </c>
      <c r="J569" s="1119">
        <v>0.87579999999999991</v>
      </c>
      <c r="K569" s="1120">
        <v>29.35</v>
      </c>
      <c r="L569" s="1119">
        <v>7.1572000000000013</v>
      </c>
      <c r="N569" s="1120">
        <v>34.299999999999997</v>
      </c>
      <c r="O569" s="1119">
        <v>7.3778000000000024</v>
      </c>
      <c r="P569" s="1119">
        <v>0.85299999999999954</v>
      </c>
      <c r="Q569" s="1119">
        <v>0.84949999999999948</v>
      </c>
      <c r="S569" s="1119">
        <v>7.3778000000000024</v>
      </c>
      <c r="T569" s="1120">
        <v>34.299999999999997</v>
      </c>
      <c r="U569" s="1119">
        <v>0.85299999999999954</v>
      </c>
      <c r="V569" s="1119">
        <v>0.84949999999999948</v>
      </c>
    </row>
    <row r="570" spans="4:22">
      <c r="D570" s="1119">
        <v>0.8758999999999999</v>
      </c>
      <c r="E570" s="1119">
        <v>0.87929999999999986</v>
      </c>
      <c r="F570" s="1120">
        <v>29.34</v>
      </c>
      <c r="G570" s="1119">
        <v>7.1563000000000017</v>
      </c>
      <c r="I570" s="1119">
        <v>0.87929999999999986</v>
      </c>
      <c r="J570" s="1119">
        <v>0.8758999999999999</v>
      </c>
      <c r="K570" s="1120">
        <v>29.34</v>
      </c>
      <c r="L570" s="1119">
        <v>7.1563000000000017</v>
      </c>
      <c r="N570" s="1120">
        <v>34.32</v>
      </c>
      <c r="O570" s="1119">
        <v>7.3786000000000023</v>
      </c>
      <c r="P570" s="1119">
        <v>0.85289999999999955</v>
      </c>
      <c r="Q570" s="1119">
        <v>0.84939999999999949</v>
      </c>
      <c r="S570" s="1119">
        <v>7.3786000000000023</v>
      </c>
      <c r="T570" s="1120">
        <v>34.32</v>
      </c>
      <c r="U570" s="1119">
        <v>0.85289999999999955</v>
      </c>
      <c r="V570" s="1119">
        <v>0.84939999999999949</v>
      </c>
    </row>
    <row r="571" spans="4:22">
      <c r="D571" s="1119">
        <v>0.87599999999999989</v>
      </c>
      <c r="E571" s="1119">
        <v>0.87939999999999985</v>
      </c>
      <c r="F571" s="1120">
        <v>29.32</v>
      </c>
      <c r="G571" s="1119">
        <v>7.155400000000002</v>
      </c>
      <c r="I571" s="1119">
        <v>0.87939999999999985</v>
      </c>
      <c r="J571" s="1119">
        <v>0.87599999999999989</v>
      </c>
      <c r="K571" s="1120">
        <v>29.32</v>
      </c>
      <c r="L571" s="1119">
        <v>7.155400000000002</v>
      </c>
      <c r="N571" s="1120">
        <v>34.340000000000003</v>
      </c>
      <c r="O571" s="1119">
        <v>7.3794000000000022</v>
      </c>
      <c r="P571" s="1119">
        <v>0.85279999999999956</v>
      </c>
      <c r="Q571" s="1119">
        <v>0.8492999999999995</v>
      </c>
      <c r="S571" s="1119">
        <v>7.3794000000000022</v>
      </c>
      <c r="T571" s="1120">
        <v>34.340000000000003</v>
      </c>
      <c r="U571" s="1119">
        <v>0.85279999999999956</v>
      </c>
      <c r="V571" s="1119">
        <v>0.8492999999999995</v>
      </c>
    </row>
    <row r="572" spans="4:22">
      <c r="D572" s="1119">
        <v>0.87609999999999988</v>
      </c>
      <c r="E572" s="1119">
        <v>0.87949999999999984</v>
      </c>
      <c r="F572" s="1120">
        <v>29.3</v>
      </c>
      <c r="G572" s="1119">
        <v>7.1545000000000023</v>
      </c>
      <c r="I572" s="1119">
        <v>0.87949999999999984</v>
      </c>
      <c r="J572" s="1119">
        <v>0.87609999999999988</v>
      </c>
      <c r="K572" s="1120">
        <v>29.3</v>
      </c>
      <c r="L572" s="1119">
        <v>7.1545000000000023</v>
      </c>
      <c r="N572" s="1120">
        <v>34.36</v>
      </c>
      <c r="O572" s="1119">
        <v>7.3802000000000021</v>
      </c>
      <c r="P572" s="1119">
        <v>0.85269999999999957</v>
      </c>
      <c r="Q572" s="1119">
        <v>0.84919999999999951</v>
      </c>
      <c r="S572" s="1119">
        <v>7.3802000000000021</v>
      </c>
      <c r="T572" s="1120">
        <v>34.36</v>
      </c>
      <c r="U572" s="1119">
        <v>0.85269999999999957</v>
      </c>
      <c r="V572" s="1119">
        <v>0.84919999999999951</v>
      </c>
    </row>
    <row r="573" spans="4:22">
      <c r="D573" s="1119">
        <v>0.87619999999999987</v>
      </c>
      <c r="E573" s="1119">
        <v>0.87959999999999983</v>
      </c>
      <c r="F573" s="1120">
        <v>29.28</v>
      </c>
      <c r="G573" s="1119">
        <v>7.1536000000000026</v>
      </c>
      <c r="I573" s="1119">
        <v>0.87959999999999983</v>
      </c>
      <c r="J573" s="1119">
        <v>0.87619999999999987</v>
      </c>
      <c r="K573" s="1120">
        <v>29.28</v>
      </c>
      <c r="L573" s="1119">
        <v>7.1536000000000026</v>
      </c>
      <c r="N573" s="1120">
        <v>34.380000000000003</v>
      </c>
      <c r="O573" s="1119">
        <v>7.381000000000002</v>
      </c>
      <c r="P573" s="1119">
        <v>0.85259999999999958</v>
      </c>
      <c r="Q573" s="1119">
        <v>0.84909999999999952</v>
      </c>
      <c r="S573" s="1119">
        <v>7.381000000000002</v>
      </c>
      <c r="T573" s="1120">
        <v>34.380000000000003</v>
      </c>
      <c r="U573" s="1119">
        <v>0.85259999999999958</v>
      </c>
      <c r="V573" s="1119">
        <v>0.84909999999999952</v>
      </c>
    </row>
    <row r="574" spans="4:22">
      <c r="D574" s="1119">
        <v>0.87629999999999986</v>
      </c>
      <c r="E574" s="1119">
        <v>0.87969999999999982</v>
      </c>
      <c r="F574" s="1120">
        <v>29.26</v>
      </c>
      <c r="G574" s="1119">
        <v>7.1527000000000029</v>
      </c>
      <c r="I574" s="1119">
        <v>0.87969999999999982</v>
      </c>
      <c r="J574" s="1119">
        <v>0.87629999999999986</v>
      </c>
      <c r="K574" s="1120">
        <v>29.26</v>
      </c>
      <c r="L574" s="1119">
        <v>7.1527000000000029</v>
      </c>
      <c r="N574" s="1120">
        <v>34.4</v>
      </c>
      <c r="O574" s="1119">
        <v>7.3818000000000019</v>
      </c>
      <c r="P574" s="1119">
        <v>0.85250000000000004</v>
      </c>
      <c r="Q574" s="1119">
        <v>0.84899999999999953</v>
      </c>
      <c r="S574" s="1119">
        <v>7.3818000000000019</v>
      </c>
      <c r="T574" s="1120">
        <v>34.4</v>
      </c>
      <c r="U574" s="1119">
        <v>0.85250000000000004</v>
      </c>
      <c r="V574" s="1119">
        <v>0.84899999999999953</v>
      </c>
    </row>
    <row r="575" spans="4:22">
      <c r="D575" s="1119">
        <v>0.87639999999999985</v>
      </c>
      <c r="E575" s="1119">
        <v>0.8797999999999998</v>
      </c>
      <c r="F575" s="1120">
        <v>29.25</v>
      </c>
      <c r="G575" s="1119">
        <v>7.1518000000000033</v>
      </c>
      <c r="I575" s="1119">
        <v>0.8797999999999998</v>
      </c>
      <c r="J575" s="1119">
        <v>0.87639999999999985</v>
      </c>
      <c r="K575" s="1120">
        <v>29.25</v>
      </c>
      <c r="L575" s="1119">
        <v>7.1518000000000033</v>
      </c>
      <c r="N575" s="1120">
        <v>34.409999999999997</v>
      </c>
      <c r="O575" s="1119">
        <v>7.3826000000000018</v>
      </c>
      <c r="P575" s="1119">
        <v>0.8523999999999996</v>
      </c>
      <c r="Q575" s="1119">
        <v>0.84889999999999954</v>
      </c>
      <c r="S575" s="1119">
        <v>7.3826000000000018</v>
      </c>
      <c r="T575" s="1120">
        <v>34.409999999999997</v>
      </c>
      <c r="U575" s="1119">
        <v>0.8523999999999996</v>
      </c>
      <c r="V575" s="1119">
        <v>0.84889999999999954</v>
      </c>
    </row>
    <row r="576" spans="4:22">
      <c r="D576" s="1119">
        <v>0.87649999999999983</v>
      </c>
      <c r="E576" s="1119">
        <v>0.87989999999999979</v>
      </c>
      <c r="F576" s="1120">
        <v>29.23</v>
      </c>
      <c r="G576" s="1119">
        <v>7.1510000000000034</v>
      </c>
      <c r="I576" s="1119">
        <v>0.87989999999999979</v>
      </c>
      <c r="J576" s="1119">
        <v>0.87649999999999983</v>
      </c>
      <c r="K576" s="1120">
        <v>29.23</v>
      </c>
      <c r="L576" s="1119">
        <v>7.1510000000000034</v>
      </c>
      <c r="N576" s="1120">
        <v>34.43</v>
      </c>
      <c r="O576" s="1119">
        <v>7.3834000000000017</v>
      </c>
      <c r="P576" s="1119">
        <v>0.85229999999999961</v>
      </c>
      <c r="Q576" s="1119">
        <v>0.84879999999999955</v>
      </c>
      <c r="S576" s="1119">
        <v>7.3834000000000017</v>
      </c>
      <c r="T576" s="1120">
        <v>34.43</v>
      </c>
      <c r="U576" s="1119">
        <v>0.85229999999999961</v>
      </c>
      <c r="V576" s="1119">
        <v>0.84879999999999955</v>
      </c>
    </row>
    <row r="577" spans="4:22">
      <c r="D577" s="1119">
        <v>0.87659999999999982</v>
      </c>
      <c r="E577" s="1119">
        <v>0.88</v>
      </c>
      <c r="F577" s="1120">
        <v>29.21</v>
      </c>
      <c r="G577" s="1119">
        <v>7.1501000000000001</v>
      </c>
      <c r="I577" s="1119">
        <v>0.88</v>
      </c>
      <c r="J577" s="1119">
        <v>0.87659999999999982</v>
      </c>
      <c r="K577" s="1120">
        <v>29.21</v>
      </c>
      <c r="L577" s="1119">
        <v>7.1501000000000001</v>
      </c>
      <c r="N577" s="1120">
        <v>34.450000000000003</v>
      </c>
      <c r="O577" s="1119">
        <v>7.3842000000000017</v>
      </c>
      <c r="P577" s="1119">
        <v>0.85219999999999962</v>
      </c>
      <c r="Q577" s="1119">
        <v>0.84869999999999957</v>
      </c>
      <c r="S577" s="1119">
        <v>7.3842000000000017</v>
      </c>
      <c r="T577" s="1120">
        <v>34.450000000000003</v>
      </c>
      <c r="U577" s="1119">
        <v>0.85219999999999962</v>
      </c>
      <c r="V577" s="1119">
        <v>0.84869999999999957</v>
      </c>
    </row>
    <row r="578" spans="4:22">
      <c r="D578" s="1119">
        <v>0.87669999999999981</v>
      </c>
      <c r="E578" s="1119">
        <v>0.88009999999999977</v>
      </c>
      <c r="F578" s="1120">
        <v>29.19</v>
      </c>
      <c r="G578" s="1119">
        <v>7.1493000000000002</v>
      </c>
      <c r="I578" s="1119">
        <v>0.88009999999999977</v>
      </c>
      <c r="J578" s="1119">
        <v>0.87669999999999981</v>
      </c>
      <c r="K578" s="1120">
        <v>29.19</v>
      </c>
      <c r="L578" s="1119">
        <v>7.1493000000000002</v>
      </c>
      <c r="N578" s="1120">
        <v>34.47</v>
      </c>
      <c r="O578" s="1119">
        <v>7.3849999999999998</v>
      </c>
      <c r="P578" s="1119">
        <v>0.85209999999999964</v>
      </c>
      <c r="Q578" s="1119">
        <v>0.84859999999999958</v>
      </c>
      <c r="S578" s="1119">
        <v>7.3849999999999998</v>
      </c>
      <c r="T578" s="1120">
        <v>34.47</v>
      </c>
      <c r="U578" s="1119">
        <v>0.85209999999999964</v>
      </c>
      <c r="V578" s="1119">
        <v>0.84859999999999958</v>
      </c>
    </row>
    <row r="579" spans="4:22">
      <c r="D579" s="1119">
        <v>0.8767999999999998</v>
      </c>
      <c r="E579" s="1119">
        <v>0.88019999999999976</v>
      </c>
      <c r="F579" s="1120">
        <v>29.17</v>
      </c>
      <c r="G579" s="1119">
        <v>7.1485000000000003</v>
      </c>
      <c r="I579" s="1119">
        <v>0.88019999999999976</v>
      </c>
      <c r="J579" s="1119">
        <v>0.8767999999999998</v>
      </c>
      <c r="K579" s="1120">
        <v>29.17</v>
      </c>
      <c r="L579" s="1119">
        <v>7.1485000000000003</v>
      </c>
      <c r="N579" s="1120">
        <v>34.49</v>
      </c>
      <c r="O579" s="1119">
        <v>7.3858000000000015</v>
      </c>
      <c r="P579" s="1119">
        <v>0.85199999999999965</v>
      </c>
      <c r="Q579" s="1119">
        <v>0.84849999999999959</v>
      </c>
      <c r="S579" s="1119">
        <v>7.3858000000000015</v>
      </c>
      <c r="T579" s="1120">
        <v>34.49</v>
      </c>
      <c r="U579" s="1119">
        <v>0.85199999999999965</v>
      </c>
      <c r="V579" s="1119">
        <v>0.84849999999999959</v>
      </c>
    </row>
    <row r="580" spans="4:22">
      <c r="D580" s="1119">
        <v>0.87689999999999979</v>
      </c>
      <c r="E580" s="1119">
        <v>0.88029999999999975</v>
      </c>
      <c r="F580" s="1120">
        <v>29.15</v>
      </c>
      <c r="G580" s="1119">
        <v>7.1477000000000004</v>
      </c>
      <c r="I580" s="1119">
        <v>0.88029999999999975</v>
      </c>
      <c r="J580" s="1119">
        <v>0.87689999999999979</v>
      </c>
      <c r="K580" s="1120">
        <v>29.15</v>
      </c>
      <c r="L580" s="1119">
        <v>7.1477000000000004</v>
      </c>
      <c r="N580" s="1120">
        <v>34.51</v>
      </c>
      <c r="O580" s="1119">
        <v>7.3867000000000012</v>
      </c>
      <c r="P580" s="1119">
        <v>0.85189999999999966</v>
      </c>
      <c r="Q580" s="1119">
        <v>0.8483999999999996</v>
      </c>
      <c r="S580" s="1119">
        <v>7.3867000000000012</v>
      </c>
      <c r="T580" s="1120">
        <v>34.51</v>
      </c>
      <c r="U580" s="1119">
        <v>0.85189999999999966</v>
      </c>
      <c r="V580" s="1119">
        <v>0.8483999999999996</v>
      </c>
    </row>
    <row r="581" spans="4:22">
      <c r="D581" s="1119">
        <v>0.87699999999999978</v>
      </c>
      <c r="E581" s="1119">
        <v>0.88039999999999974</v>
      </c>
      <c r="F581" s="1120">
        <v>29.13</v>
      </c>
      <c r="G581" s="1119">
        <v>7.1469000000000005</v>
      </c>
      <c r="I581" s="1119">
        <v>0.88039999999999974</v>
      </c>
      <c r="J581" s="1119">
        <v>0.87699999999999978</v>
      </c>
      <c r="K581" s="1120">
        <v>29.13</v>
      </c>
      <c r="L581" s="1119">
        <v>7.1469000000000005</v>
      </c>
      <c r="N581" s="1120">
        <v>34.53</v>
      </c>
      <c r="O581" s="1119">
        <v>7.3876000000000008</v>
      </c>
      <c r="P581" s="1119">
        <v>0.85179999999999967</v>
      </c>
      <c r="Q581" s="1119">
        <v>0.84829999999999961</v>
      </c>
      <c r="S581" s="1119">
        <v>7.3876000000000008</v>
      </c>
      <c r="T581" s="1120">
        <v>34.53</v>
      </c>
      <c r="U581" s="1119">
        <v>0.85179999999999967</v>
      </c>
      <c r="V581" s="1119">
        <v>0.84829999999999961</v>
      </c>
    </row>
    <row r="582" spans="4:22">
      <c r="D582" s="1119">
        <v>0.87709999999999977</v>
      </c>
      <c r="E582" s="1119">
        <v>0.88049999999999973</v>
      </c>
      <c r="F582" s="1120">
        <v>29.12</v>
      </c>
      <c r="G582" s="1119">
        <v>7.1461000000000006</v>
      </c>
      <c r="I582" s="1119">
        <v>0.88049999999999973</v>
      </c>
      <c r="J582" s="1119">
        <v>0.87709999999999977</v>
      </c>
      <c r="K582" s="1120">
        <v>29.12</v>
      </c>
      <c r="L582" s="1119">
        <v>7.1461000000000006</v>
      </c>
      <c r="N582" s="1120">
        <v>34.549999999999997</v>
      </c>
      <c r="O582" s="1119">
        <v>7.3885000000000005</v>
      </c>
      <c r="P582" s="1119">
        <v>0.85169999999999968</v>
      </c>
      <c r="Q582" s="1119">
        <v>0.84819999999999962</v>
      </c>
      <c r="S582" s="1119">
        <v>7.3885000000000005</v>
      </c>
      <c r="T582" s="1120">
        <v>34.549999999999997</v>
      </c>
      <c r="U582" s="1119">
        <v>0.85169999999999968</v>
      </c>
      <c r="V582" s="1119">
        <v>0.84819999999999962</v>
      </c>
    </row>
    <row r="583" spans="4:22">
      <c r="D583" s="1119">
        <v>0.87719999999999976</v>
      </c>
      <c r="E583" s="1119">
        <v>0.88059999999999972</v>
      </c>
      <c r="F583" s="1120">
        <v>29.1</v>
      </c>
      <c r="G583" s="1119">
        <v>7.1453000000000007</v>
      </c>
      <c r="I583" s="1119">
        <v>0.88059999999999972</v>
      </c>
      <c r="J583" s="1119">
        <v>0.87719999999999976</v>
      </c>
      <c r="K583" s="1120">
        <v>29.1</v>
      </c>
      <c r="L583" s="1119">
        <v>7.1453000000000007</v>
      </c>
      <c r="N583" s="1120">
        <v>34.57</v>
      </c>
      <c r="O583" s="1119">
        <v>7.3894000000000002</v>
      </c>
      <c r="P583" s="1119">
        <v>0.85159999999999969</v>
      </c>
      <c r="Q583" s="1119">
        <v>0.84809999999999963</v>
      </c>
      <c r="S583" s="1119">
        <v>7.3894000000000002</v>
      </c>
      <c r="T583" s="1120">
        <v>34.57</v>
      </c>
      <c r="U583" s="1119">
        <v>0.85159999999999969</v>
      </c>
      <c r="V583" s="1119">
        <v>0.84809999999999963</v>
      </c>
    </row>
    <row r="584" spans="4:22">
      <c r="D584" s="1119">
        <v>0.87729999999999975</v>
      </c>
      <c r="E584" s="1119">
        <v>0.88069999999999971</v>
      </c>
      <c r="F584" s="1120">
        <v>29.08</v>
      </c>
      <c r="G584" s="1119">
        <v>7.1445000000000007</v>
      </c>
      <c r="I584" s="1119">
        <v>0.88069999999999971</v>
      </c>
      <c r="J584" s="1119">
        <v>0.87729999999999975</v>
      </c>
      <c r="K584" s="1120">
        <v>29.08</v>
      </c>
      <c r="L584" s="1119">
        <v>7.1445000000000007</v>
      </c>
      <c r="N584" s="1120">
        <v>34.590000000000003</v>
      </c>
      <c r="O584" s="1119">
        <v>7.3902999999999999</v>
      </c>
      <c r="P584" s="1119">
        <v>0.8514999999999997</v>
      </c>
      <c r="Q584" s="1119">
        <v>0.84799999999999964</v>
      </c>
      <c r="S584" s="1119">
        <v>7.3902999999999999</v>
      </c>
      <c r="T584" s="1120">
        <v>34.590000000000003</v>
      </c>
      <c r="U584" s="1119">
        <v>0.8514999999999997</v>
      </c>
      <c r="V584" s="1119">
        <v>0.84799999999999964</v>
      </c>
    </row>
    <row r="585" spans="4:22">
      <c r="D585" s="1119">
        <v>0.87739999999999974</v>
      </c>
      <c r="E585" s="1119">
        <v>0.88079999999999969</v>
      </c>
      <c r="F585" s="1120">
        <v>29.06</v>
      </c>
      <c r="G585" s="1119">
        <v>7.1437000000000008</v>
      </c>
      <c r="I585" s="1119">
        <v>0.88079999999999969</v>
      </c>
      <c r="J585" s="1119">
        <v>0.87739999999999974</v>
      </c>
      <c r="K585" s="1120">
        <v>29.06</v>
      </c>
      <c r="L585" s="1119">
        <v>7.1437000000000008</v>
      </c>
      <c r="N585" s="1120">
        <v>34.61</v>
      </c>
      <c r="O585" s="1119">
        <v>7.3911000000000069</v>
      </c>
      <c r="P585" s="1119">
        <v>0.85139999999999971</v>
      </c>
      <c r="Q585" s="1119">
        <v>0.84789999999999965</v>
      </c>
      <c r="S585" s="1119">
        <v>7.3911000000000069</v>
      </c>
      <c r="T585" s="1120">
        <v>34.61</v>
      </c>
      <c r="U585" s="1119">
        <v>0.85139999999999971</v>
      </c>
      <c r="V585" s="1119">
        <v>0.84789999999999965</v>
      </c>
    </row>
    <row r="586" spans="4:22">
      <c r="D586" s="1119">
        <v>0.87749999999999995</v>
      </c>
      <c r="E586" s="1119">
        <v>0.88089999999999968</v>
      </c>
      <c r="F586" s="1120">
        <v>29.04</v>
      </c>
      <c r="G586" s="1119">
        <v>7.1429000000000009</v>
      </c>
      <c r="I586" s="1119">
        <v>0.88089999999999968</v>
      </c>
      <c r="J586" s="1119">
        <v>0.87749999999999995</v>
      </c>
      <c r="K586" s="1120">
        <v>29.04</v>
      </c>
      <c r="L586" s="1119">
        <v>7.1429000000000009</v>
      </c>
      <c r="N586" s="1120">
        <v>34.630000000000003</v>
      </c>
      <c r="O586" s="1119">
        <v>7.3920000000000066</v>
      </c>
      <c r="P586" s="1119">
        <v>0.85129999999999972</v>
      </c>
      <c r="Q586" s="1119">
        <v>0.84779999999999966</v>
      </c>
      <c r="S586" s="1119">
        <v>7.3920000000000066</v>
      </c>
      <c r="T586" s="1120">
        <v>34.630000000000003</v>
      </c>
      <c r="U586" s="1119">
        <v>0.85129999999999972</v>
      </c>
      <c r="V586" s="1119">
        <v>0.84779999999999966</v>
      </c>
    </row>
    <row r="587" spans="4:22">
      <c r="D587" s="1119">
        <v>0.87759999999999971</v>
      </c>
      <c r="E587" s="1119">
        <v>0.88099999999999967</v>
      </c>
      <c r="F587" s="1120">
        <v>29.02</v>
      </c>
      <c r="G587" s="1119">
        <v>7.142100000000001</v>
      </c>
      <c r="I587" s="1119">
        <v>0.88099999999999967</v>
      </c>
      <c r="J587" s="1119">
        <v>0.87759999999999971</v>
      </c>
      <c r="K587" s="1120">
        <v>29.02</v>
      </c>
      <c r="L587" s="1119">
        <v>7.142100000000001</v>
      </c>
      <c r="N587" s="1120">
        <v>34.65</v>
      </c>
      <c r="O587" s="1119">
        <v>7.3929000000000062</v>
      </c>
      <c r="P587" s="1119">
        <v>0.85119999999999973</v>
      </c>
      <c r="Q587" s="1119">
        <v>0.84769999999999968</v>
      </c>
      <c r="S587" s="1119">
        <v>7.3929000000000062</v>
      </c>
      <c r="T587" s="1120">
        <v>34.65</v>
      </c>
      <c r="U587" s="1119">
        <v>0.85119999999999973</v>
      </c>
      <c r="V587" s="1119">
        <v>0.84769999999999968</v>
      </c>
    </row>
    <row r="588" spans="4:22">
      <c r="D588" s="1119">
        <v>0.8776999999999997</v>
      </c>
      <c r="E588" s="1119">
        <v>0.88109999999999966</v>
      </c>
      <c r="F588" s="1120">
        <v>29</v>
      </c>
      <c r="G588" s="1119">
        <v>7.1413000000000011</v>
      </c>
      <c r="I588" s="1119">
        <v>0.88109999999999966</v>
      </c>
      <c r="J588" s="1119">
        <v>0.8776999999999997</v>
      </c>
      <c r="K588" s="1120">
        <v>29</v>
      </c>
      <c r="L588" s="1119">
        <v>7.1413000000000011</v>
      </c>
      <c r="N588" s="1120">
        <v>34.67</v>
      </c>
      <c r="O588" s="1119">
        <v>7.3938000000000059</v>
      </c>
      <c r="P588" s="1119">
        <v>0.85109999999999975</v>
      </c>
      <c r="Q588" s="1119">
        <v>0.84759999999999969</v>
      </c>
      <c r="S588" s="1119">
        <v>7.3938000000000059</v>
      </c>
      <c r="T588" s="1120">
        <v>34.67</v>
      </c>
      <c r="U588" s="1119">
        <v>0.85109999999999975</v>
      </c>
      <c r="V588" s="1119">
        <v>0.84759999999999969</v>
      </c>
    </row>
    <row r="589" spans="4:22">
      <c r="D589" s="1119">
        <v>0.87779999999999969</v>
      </c>
      <c r="E589" s="1119">
        <v>0.88119999999999965</v>
      </c>
      <c r="F589" s="1120">
        <v>28.98</v>
      </c>
      <c r="G589" s="1119">
        <v>7.1405000000000012</v>
      </c>
      <c r="I589" s="1119">
        <v>0.88119999999999965</v>
      </c>
      <c r="J589" s="1119">
        <v>0.87779999999999969</v>
      </c>
      <c r="K589" s="1120">
        <v>28.98</v>
      </c>
      <c r="L589" s="1119">
        <v>7.1405000000000012</v>
      </c>
      <c r="N589" s="1120">
        <v>34.69</v>
      </c>
      <c r="O589" s="1119">
        <v>7.3947000000000056</v>
      </c>
      <c r="P589" s="1119">
        <v>0.85099999999999976</v>
      </c>
      <c r="Q589" s="1119">
        <v>0.84750000000000003</v>
      </c>
      <c r="S589" s="1119">
        <v>7.3947000000000056</v>
      </c>
      <c r="T589" s="1120">
        <v>34.69</v>
      </c>
      <c r="U589" s="1119">
        <v>0.85099999999999976</v>
      </c>
      <c r="V589" s="1119">
        <v>0.84750000000000003</v>
      </c>
    </row>
    <row r="590" spans="4:22">
      <c r="D590" s="1119">
        <v>0.87789999999999968</v>
      </c>
      <c r="E590" s="1119">
        <v>0.88129999999999964</v>
      </c>
      <c r="F590" s="1120">
        <v>28.97</v>
      </c>
      <c r="G590" s="1119">
        <v>7.1397000000000013</v>
      </c>
      <c r="I590" s="1119">
        <v>0.88129999999999964</v>
      </c>
      <c r="J590" s="1119">
        <v>0.87789999999999968</v>
      </c>
      <c r="K590" s="1120">
        <v>28.97</v>
      </c>
      <c r="L590" s="1119">
        <v>7.1397000000000013</v>
      </c>
      <c r="N590" s="1120">
        <v>34.71</v>
      </c>
      <c r="O590" s="1119">
        <v>7.3956000000000053</v>
      </c>
      <c r="P590" s="1119">
        <v>0.85089999999999977</v>
      </c>
      <c r="Q590" s="1119">
        <v>0.84739999999999971</v>
      </c>
      <c r="S590" s="1119">
        <v>7.3956000000000053</v>
      </c>
      <c r="T590" s="1120">
        <v>34.71</v>
      </c>
      <c r="U590" s="1119">
        <v>0.85089999999999977</v>
      </c>
      <c r="V590" s="1119">
        <v>0.84739999999999971</v>
      </c>
    </row>
    <row r="591" spans="4:22">
      <c r="D591" s="1119">
        <v>0.87799999999999967</v>
      </c>
      <c r="E591" s="1119">
        <v>0.88139999999999963</v>
      </c>
      <c r="F591" s="1120">
        <v>28.95</v>
      </c>
      <c r="G591" s="1119">
        <v>7.1389000000000014</v>
      </c>
      <c r="I591" s="1119">
        <v>0.88139999999999963</v>
      </c>
      <c r="J591" s="1119">
        <v>0.87799999999999967</v>
      </c>
      <c r="K591" s="1120">
        <v>28.95</v>
      </c>
      <c r="L591" s="1119">
        <v>7.1389000000000014</v>
      </c>
      <c r="N591" s="1120">
        <v>34.729999999999997</v>
      </c>
      <c r="O591" s="1119">
        <v>7.396500000000005</v>
      </c>
      <c r="P591" s="1119">
        <v>0.85079999999999978</v>
      </c>
      <c r="Q591" s="1119">
        <v>0.84729999999999972</v>
      </c>
      <c r="S591" s="1119">
        <v>7.396500000000005</v>
      </c>
      <c r="T591" s="1120">
        <v>34.729999999999997</v>
      </c>
      <c r="U591" s="1119">
        <v>0.85079999999999978</v>
      </c>
      <c r="V591" s="1119">
        <v>0.84729999999999972</v>
      </c>
    </row>
    <row r="592" spans="4:22">
      <c r="D592" s="1119">
        <v>0.87809999999999966</v>
      </c>
      <c r="E592" s="1119">
        <v>0.88149999999999962</v>
      </c>
      <c r="F592" s="1120">
        <v>28.93</v>
      </c>
      <c r="G592" s="1119">
        <v>7.1381000000000014</v>
      </c>
      <c r="I592" s="1119">
        <v>0.88149999999999962</v>
      </c>
      <c r="J592" s="1119">
        <v>0.87809999999999966</v>
      </c>
      <c r="K592" s="1120">
        <v>28.93</v>
      </c>
      <c r="L592" s="1119">
        <v>7.1381000000000014</v>
      </c>
      <c r="N592" s="1120">
        <v>34.75</v>
      </c>
      <c r="O592" s="1119">
        <v>7.3974000000000046</v>
      </c>
      <c r="P592" s="1119">
        <v>0.85069999999999979</v>
      </c>
      <c r="Q592" s="1119">
        <v>0.84719999999999973</v>
      </c>
      <c r="S592" s="1119">
        <v>7.3974000000000046</v>
      </c>
      <c r="T592" s="1120">
        <v>34.75</v>
      </c>
      <c r="U592" s="1119">
        <v>0.85069999999999979</v>
      </c>
      <c r="V592" s="1119">
        <v>0.84719999999999973</v>
      </c>
    </row>
    <row r="593" spans="4:22">
      <c r="D593" s="1119">
        <v>0.87819999999999965</v>
      </c>
      <c r="E593" s="1119">
        <v>0.88159999999999961</v>
      </c>
      <c r="F593" s="1120">
        <v>28.91</v>
      </c>
      <c r="G593" s="1119">
        <v>7.1373000000000015</v>
      </c>
      <c r="I593" s="1119">
        <v>0.88159999999999961</v>
      </c>
      <c r="J593" s="1119">
        <v>0.87819999999999965</v>
      </c>
      <c r="K593" s="1120">
        <v>28.91</v>
      </c>
      <c r="L593" s="1119">
        <v>7.1373000000000015</v>
      </c>
      <c r="N593" s="1120">
        <v>34.770000000000003</v>
      </c>
      <c r="O593" s="1119">
        <v>7.3983000000000043</v>
      </c>
      <c r="P593" s="1119">
        <v>0.8505999999999998</v>
      </c>
      <c r="Q593" s="1119">
        <v>0.84709999999999974</v>
      </c>
      <c r="S593" s="1119">
        <v>7.3983000000000043</v>
      </c>
      <c r="T593" s="1120">
        <v>34.770000000000003</v>
      </c>
      <c r="U593" s="1119">
        <v>0.8505999999999998</v>
      </c>
      <c r="V593" s="1119">
        <v>0.84709999999999974</v>
      </c>
    </row>
    <row r="594" spans="4:22">
      <c r="D594" s="1119">
        <v>0.87829999999999964</v>
      </c>
      <c r="E594" s="1119">
        <v>0.8816999999999996</v>
      </c>
      <c r="F594" s="1120">
        <v>28.89</v>
      </c>
      <c r="G594" s="1119">
        <v>7.1365000000000016</v>
      </c>
      <c r="I594" s="1119">
        <v>0.8816999999999996</v>
      </c>
      <c r="J594" s="1119">
        <v>0.87829999999999964</v>
      </c>
      <c r="K594" s="1120">
        <v>28.89</v>
      </c>
      <c r="L594" s="1119">
        <v>7.1365000000000016</v>
      </c>
      <c r="N594" s="1120">
        <v>34.79</v>
      </c>
      <c r="O594" s="1119">
        <v>7.399200000000004</v>
      </c>
      <c r="P594" s="1119">
        <v>0.85049999999999981</v>
      </c>
      <c r="Q594" s="1119">
        <v>0.84699999999999975</v>
      </c>
      <c r="S594" s="1119">
        <v>7.399200000000004</v>
      </c>
      <c r="T594" s="1120">
        <v>34.79</v>
      </c>
      <c r="U594" s="1119">
        <v>0.85049999999999981</v>
      </c>
      <c r="V594" s="1119">
        <v>0.84699999999999975</v>
      </c>
    </row>
    <row r="595" spans="4:22">
      <c r="D595" s="1119">
        <v>0.87839999999999963</v>
      </c>
      <c r="E595" s="1119">
        <v>0.88179999999999958</v>
      </c>
      <c r="F595" s="1120">
        <v>28.88</v>
      </c>
      <c r="G595" s="1119">
        <v>7.1357000000000017</v>
      </c>
      <c r="I595" s="1119">
        <v>0.88179999999999958</v>
      </c>
      <c r="J595" s="1119">
        <v>0.87839999999999963</v>
      </c>
      <c r="K595" s="1120">
        <v>28.88</v>
      </c>
      <c r="L595" s="1119">
        <v>7.1357000000000017</v>
      </c>
      <c r="N595" s="1120">
        <v>34.799999999999997</v>
      </c>
      <c r="O595" s="1119">
        <v>7.4001000000000037</v>
      </c>
      <c r="P595" s="1119">
        <v>0.85039999999999982</v>
      </c>
      <c r="Q595" s="1119">
        <v>0.84689999999999976</v>
      </c>
      <c r="S595" s="1119">
        <v>7.4001000000000037</v>
      </c>
      <c r="T595" s="1120">
        <v>34.799999999999997</v>
      </c>
      <c r="U595" s="1119">
        <v>0.85039999999999982</v>
      </c>
      <c r="V595" s="1119">
        <v>0.84689999999999976</v>
      </c>
    </row>
    <row r="596" spans="4:22">
      <c r="D596" s="1119">
        <v>0.87849999999999961</v>
      </c>
      <c r="E596" s="1119">
        <v>0.88189999999999957</v>
      </c>
      <c r="F596" s="1120">
        <v>28.86</v>
      </c>
      <c r="G596" s="1119">
        <v>7.1349000000000018</v>
      </c>
      <c r="I596" s="1119">
        <v>0.88189999999999957</v>
      </c>
      <c r="J596" s="1119">
        <v>0.87849999999999961</v>
      </c>
      <c r="K596" s="1120">
        <v>28.86</v>
      </c>
      <c r="L596" s="1119">
        <v>7.1349000000000018</v>
      </c>
      <c r="N596" s="1120">
        <v>34.82</v>
      </c>
      <c r="O596" s="1119">
        <v>7.4010000000000034</v>
      </c>
      <c r="P596" s="1119">
        <v>0.85029999999999983</v>
      </c>
      <c r="Q596" s="1119">
        <v>0.84679999999999978</v>
      </c>
      <c r="S596" s="1119">
        <v>7.4010000000000034</v>
      </c>
      <c r="T596" s="1120">
        <v>34.82</v>
      </c>
      <c r="U596" s="1119">
        <v>0.85029999999999983</v>
      </c>
      <c r="V596" s="1119">
        <v>0.84679999999999978</v>
      </c>
    </row>
    <row r="597" spans="4:22">
      <c r="D597" s="1119">
        <v>0.8785999999999996</v>
      </c>
      <c r="E597" s="1119">
        <v>0.88199999999999956</v>
      </c>
      <c r="F597" s="1120">
        <v>28.84</v>
      </c>
      <c r="G597" s="1119">
        <v>7.1341000000000019</v>
      </c>
      <c r="I597" s="1119">
        <v>0.88199999999999956</v>
      </c>
      <c r="J597" s="1119">
        <v>0.8785999999999996</v>
      </c>
      <c r="K597" s="1120">
        <v>28.84</v>
      </c>
      <c r="L597" s="1119">
        <v>7.1341000000000019</v>
      </c>
      <c r="N597" s="1120">
        <v>34.840000000000003</v>
      </c>
      <c r="O597" s="1119">
        <v>7.401900000000003</v>
      </c>
      <c r="P597" s="1119">
        <v>0.85019999999999984</v>
      </c>
      <c r="Q597" s="1119">
        <v>0.84669999999999979</v>
      </c>
      <c r="S597" s="1119">
        <v>7.401900000000003</v>
      </c>
      <c r="T597" s="1120">
        <v>34.840000000000003</v>
      </c>
      <c r="U597" s="1119">
        <v>0.85019999999999984</v>
      </c>
      <c r="V597" s="1119">
        <v>0.84669999999999979</v>
      </c>
    </row>
    <row r="598" spans="4:22">
      <c r="D598" s="1119">
        <v>0.87869999999999959</v>
      </c>
      <c r="E598" s="1119">
        <v>0.88209999999999955</v>
      </c>
      <c r="F598" s="1120">
        <v>28.82</v>
      </c>
      <c r="G598" s="1119">
        <v>7.133300000000002</v>
      </c>
      <c r="I598" s="1119">
        <v>0.88209999999999955</v>
      </c>
      <c r="J598" s="1119">
        <v>0.87869999999999959</v>
      </c>
      <c r="K598" s="1120">
        <v>28.82</v>
      </c>
      <c r="L598" s="1119">
        <v>7.133300000000002</v>
      </c>
      <c r="N598" s="1120">
        <v>34.86</v>
      </c>
      <c r="O598" s="1119">
        <v>7.4028000000000027</v>
      </c>
      <c r="P598" s="1119">
        <v>0.85009999999999986</v>
      </c>
      <c r="Q598" s="1119">
        <v>0.8465999999999998</v>
      </c>
      <c r="S598" s="1119">
        <v>7.4028000000000027</v>
      </c>
      <c r="T598" s="1120">
        <v>34.86</v>
      </c>
      <c r="U598" s="1119">
        <v>0.85009999999999986</v>
      </c>
      <c r="V598" s="1119">
        <v>0.8465999999999998</v>
      </c>
    </row>
    <row r="599" spans="4:22">
      <c r="D599" s="1119">
        <v>0.87879999999999958</v>
      </c>
      <c r="E599" s="1119">
        <v>0.88219999999999954</v>
      </c>
      <c r="F599" s="1120">
        <v>28.8</v>
      </c>
      <c r="G599" s="1119">
        <v>7.1325000000000003</v>
      </c>
      <c r="I599" s="1119">
        <v>0.88219999999999954</v>
      </c>
      <c r="J599" s="1119">
        <v>0.87879999999999958</v>
      </c>
      <c r="K599" s="1120">
        <v>28.8</v>
      </c>
      <c r="L599" s="1119">
        <v>7.1325000000000003</v>
      </c>
      <c r="N599" s="1120">
        <v>34.880000000000003</v>
      </c>
      <c r="O599" s="1119">
        <v>7.4037000000000024</v>
      </c>
      <c r="P599" s="1119">
        <v>0.85</v>
      </c>
      <c r="Q599" s="1119">
        <v>0.84649999999999981</v>
      </c>
      <c r="S599" s="1119">
        <v>7.4037000000000024</v>
      </c>
      <c r="T599" s="1120">
        <v>34.880000000000003</v>
      </c>
      <c r="U599" s="1119">
        <v>0.85</v>
      </c>
      <c r="V599" s="1119">
        <v>0.84649999999999981</v>
      </c>
    </row>
    <row r="600" spans="4:22">
      <c r="D600" s="1119">
        <v>0.87889999999999957</v>
      </c>
      <c r="E600" s="1119">
        <v>0.88229999999999953</v>
      </c>
      <c r="F600" s="1120">
        <v>28.79</v>
      </c>
      <c r="G600" s="1119">
        <v>7.1317000000000021</v>
      </c>
      <c r="I600" s="1119">
        <v>0.88229999999999953</v>
      </c>
      <c r="J600" s="1119">
        <v>0.87889999999999957</v>
      </c>
      <c r="K600" s="1120">
        <v>28.79</v>
      </c>
      <c r="L600" s="1119">
        <v>7.1317000000000021</v>
      </c>
      <c r="N600" s="1120">
        <v>34.9</v>
      </c>
      <c r="O600" s="1119">
        <v>7.4045000000000023</v>
      </c>
      <c r="P600" s="1119">
        <v>0.84989999999999988</v>
      </c>
      <c r="Q600" s="1119">
        <v>0.84639999999999982</v>
      </c>
      <c r="S600" s="1119">
        <v>7.4045000000000023</v>
      </c>
      <c r="T600" s="1120">
        <v>34.9</v>
      </c>
      <c r="U600" s="1119">
        <v>0.84989999999999988</v>
      </c>
      <c r="V600" s="1119">
        <v>0.84639999999999982</v>
      </c>
    </row>
    <row r="601" spans="4:22">
      <c r="D601" s="1119">
        <v>0.87899999999999956</v>
      </c>
      <c r="E601" s="1119">
        <v>0.88239999999999952</v>
      </c>
      <c r="F601" s="1120">
        <v>28.77</v>
      </c>
      <c r="G601" s="1119">
        <v>7.1309000000000022</v>
      </c>
      <c r="I601" s="1119">
        <v>0.88239999999999952</v>
      </c>
      <c r="J601" s="1119">
        <v>0.87899999999999956</v>
      </c>
      <c r="K601" s="1120">
        <v>28.77</v>
      </c>
      <c r="L601" s="1119">
        <v>7.1309000000000022</v>
      </c>
      <c r="N601" s="1120">
        <v>34.92</v>
      </c>
      <c r="O601" s="1119">
        <v>7.4053000000000022</v>
      </c>
      <c r="P601" s="1119">
        <v>0.84979999999999989</v>
      </c>
      <c r="Q601" s="1119">
        <v>0.84629999999999983</v>
      </c>
      <c r="S601" s="1119">
        <v>7.4053000000000022</v>
      </c>
      <c r="T601" s="1120">
        <v>34.92</v>
      </c>
      <c r="U601" s="1119">
        <v>0.84979999999999989</v>
      </c>
      <c r="V601" s="1119">
        <v>0.84629999999999983</v>
      </c>
    </row>
    <row r="602" spans="4:22">
      <c r="D602" s="1119">
        <v>0.87909999999999955</v>
      </c>
      <c r="E602" s="1119">
        <v>0.88249999999999995</v>
      </c>
      <c r="F602" s="1120">
        <v>28.75</v>
      </c>
      <c r="G602" s="1119">
        <v>7.1301000000000023</v>
      </c>
      <c r="I602" s="1119">
        <v>0.88249999999999995</v>
      </c>
      <c r="J602" s="1119">
        <v>0.87909999999999955</v>
      </c>
      <c r="K602" s="1120">
        <v>28.75</v>
      </c>
      <c r="L602" s="1119">
        <v>7.1301000000000023</v>
      </c>
      <c r="N602" s="1120">
        <v>34.94</v>
      </c>
      <c r="O602" s="1119">
        <v>7.4061000000000021</v>
      </c>
      <c r="P602" s="1119">
        <v>0.8496999999999999</v>
      </c>
      <c r="Q602" s="1119">
        <v>0.84619999999999984</v>
      </c>
      <c r="S602" s="1119">
        <v>7.4061000000000021</v>
      </c>
      <c r="T602" s="1120">
        <v>34.94</v>
      </c>
      <c r="U602" s="1119">
        <v>0.8496999999999999</v>
      </c>
      <c r="V602" s="1119">
        <v>0.84619999999999984</v>
      </c>
    </row>
    <row r="603" spans="4:22">
      <c r="D603" s="1119">
        <v>0.87919999999999954</v>
      </c>
      <c r="E603" s="1119">
        <v>0.8825999999999995</v>
      </c>
      <c r="F603" s="1120">
        <v>28.73</v>
      </c>
      <c r="G603" s="1119">
        <v>7.1293000000000024</v>
      </c>
      <c r="I603" s="1119">
        <v>0.8825999999999995</v>
      </c>
      <c r="J603" s="1119">
        <v>0.87919999999999954</v>
      </c>
      <c r="K603" s="1120">
        <v>28.73</v>
      </c>
      <c r="L603" s="1119">
        <v>7.1293000000000024</v>
      </c>
      <c r="N603" s="1120">
        <v>34.96</v>
      </c>
      <c r="O603" s="1119">
        <v>7.406900000000002</v>
      </c>
      <c r="P603" s="1119">
        <v>0.84959999999999991</v>
      </c>
      <c r="Q603" s="1119">
        <v>0.84609999999999985</v>
      </c>
      <c r="S603" s="1119">
        <v>7.406900000000002</v>
      </c>
      <c r="T603" s="1120">
        <v>34.96</v>
      </c>
      <c r="U603" s="1119">
        <v>0.84959999999999991</v>
      </c>
      <c r="V603" s="1119">
        <v>0.84609999999999985</v>
      </c>
    </row>
    <row r="604" spans="4:22">
      <c r="D604" s="1119">
        <v>0.87929999999999953</v>
      </c>
      <c r="E604" s="1119">
        <v>0.88269999999999949</v>
      </c>
      <c r="F604" s="1120">
        <v>28.71</v>
      </c>
      <c r="G604" s="1119">
        <v>7.1285000000000025</v>
      </c>
      <c r="I604" s="1119">
        <v>0.88269999999999949</v>
      </c>
      <c r="J604" s="1119">
        <v>0.87929999999999953</v>
      </c>
      <c r="K604" s="1120">
        <v>28.71</v>
      </c>
      <c r="L604" s="1119">
        <v>7.1285000000000025</v>
      </c>
      <c r="N604" s="1120">
        <v>34.979999999999997</v>
      </c>
      <c r="O604" s="1119">
        <v>7.4077000000000019</v>
      </c>
      <c r="P604" s="1119">
        <v>0.84949999999999992</v>
      </c>
      <c r="Q604" s="1119">
        <v>0.84599999999999986</v>
      </c>
      <c r="S604" s="1119">
        <v>7.4077000000000019</v>
      </c>
      <c r="T604" s="1120">
        <v>34.979999999999997</v>
      </c>
      <c r="U604" s="1119">
        <v>0.84949999999999992</v>
      </c>
      <c r="V604" s="1119">
        <v>0.84599999999999986</v>
      </c>
    </row>
    <row r="605" spans="4:22">
      <c r="D605" s="1119">
        <v>0.87939999999999952</v>
      </c>
      <c r="E605" s="1119">
        <v>0.88279999999999947</v>
      </c>
      <c r="F605" s="1120">
        <v>28.7</v>
      </c>
      <c r="G605" s="1119">
        <v>7.1277000000000026</v>
      </c>
      <c r="I605" s="1119">
        <v>0.88279999999999947</v>
      </c>
      <c r="J605" s="1119">
        <v>0.87939999999999952</v>
      </c>
      <c r="K605" s="1120">
        <v>28.7</v>
      </c>
      <c r="L605" s="1119">
        <v>7.1277000000000026</v>
      </c>
      <c r="N605" s="1120">
        <v>35</v>
      </c>
      <c r="O605" s="1119">
        <v>7.4085000000000019</v>
      </c>
      <c r="P605" s="1119">
        <v>0.84939999999999993</v>
      </c>
      <c r="Q605" s="1119">
        <v>0.84589999999999987</v>
      </c>
      <c r="S605" s="1119">
        <v>7.4085000000000019</v>
      </c>
      <c r="T605" s="1120">
        <v>35</v>
      </c>
      <c r="U605" s="1119">
        <v>0.84939999999999993</v>
      </c>
      <c r="V605" s="1119">
        <v>0.84589999999999987</v>
      </c>
    </row>
    <row r="606" spans="4:22">
      <c r="D606" s="1119">
        <v>0.8794999999999995</v>
      </c>
      <c r="E606" s="1119">
        <v>0.88289999999999946</v>
      </c>
      <c r="F606" s="1120">
        <v>28.68</v>
      </c>
      <c r="G606" s="1119">
        <v>7.1269000000000027</v>
      </c>
      <c r="I606" s="1119">
        <v>0.88289999999999946</v>
      </c>
      <c r="J606" s="1119">
        <v>0.8794999999999995</v>
      </c>
      <c r="K606" s="1120">
        <v>28.68</v>
      </c>
      <c r="L606" s="1119">
        <v>7.1269000000000027</v>
      </c>
      <c r="N606" s="1120">
        <v>35.020000000000003</v>
      </c>
      <c r="O606" s="1119">
        <v>7.4093000000000018</v>
      </c>
      <c r="P606" s="1119">
        <v>0.84929999999999994</v>
      </c>
      <c r="Q606" s="1119">
        <v>0.84579999999999989</v>
      </c>
      <c r="S606" s="1119">
        <v>7.4093000000000018</v>
      </c>
      <c r="T606" s="1120">
        <v>35.020000000000003</v>
      </c>
      <c r="U606" s="1119">
        <v>0.84929999999999994</v>
      </c>
      <c r="V606" s="1119">
        <v>0.84579999999999989</v>
      </c>
    </row>
    <row r="607" spans="4:22">
      <c r="D607" s="1119">
        <v>0.87959999999999949</v>
      </c>
      <c r="E607" s="1119">
        <v>0.88299999999999945</v>
      </c>
      <c r="F607" s="1120">
        <v>28.66</v>
      </c>
      <c r="G607" s="1119">
        <v>7.1261000000000028</v>
      </c>
      <c r="I607" s="1119">
        <v>0.88299999999999945</v>
      </c>
      <c r="J607" s="1119">
        <v>0.87959999999999949</v>
      </c>
      <c r="K607" s="1120">
        <v>28.66</v>
      </c>
      <c r="L607" s="1119">
        <v>7.1261000000000028</v>
      </c>
      <c r="N607" s="1120">
        <v>35.04</v>
      </c>
      <c r="O607" s="1119">
        <v>7.4101000000000017</v>
      </c>
      <c r="P607" s="1119">
        <v>0.84919999999999995</v>
      </c>
      <c r="Q607" s="1119">
        <v>0.8456999999999999</v>
      </c>
      <c r="S607" s="1119">
        <v>7.4101000000000017</v>
      </c>
      <c r="T607" s="1120">
        <v>35.04</v>
      </c>
      <c r="U607" s="1119">
        <v>0.84919999999999995</v>
      </c>
      <c r="V607" s="1119">
        <v>0.8456999999999999</v>
      </c>
    </row>
    <row r="608" spans="4:22">
      <c r="D608" s="1119">
        <v>0.87969999999999948</v>
      </c>
      <c r="E608" s="1119">
        <v>0.88309999999999944</v>
      </c>
      <c r="F608" s="1120">
        <v>28.64</v>
      </c>
      <c r="G608" s="1119">
        <v>7.1253000000000029</v>
      </c>
      <c r="I608" s="1119">
        <v>0.88309999999999944</v>
      </c>
      <c r="J608" s="1119">
        <v>0.87969999999999948</v>
      </c>
      <c r="K608" s="1120">
        <v>28.64</v>
      </c>
      <c r="L608" s="1119">
        <v>7.1253000000000029</v>
      </c>
      <c r="N608" s="1120">
        <v>35.06</v>
      </c>
      <c r="O608" s="1119">
        <v>7.4109000000000016</v>
      </c>
      <c r="P608" s="1119">
        <v>0.84909999999999997</v>
      </c>
      <c r="Q608" s="1119">
        <v>0.84559999999999991</v>
      </c>
      <c r="S608" s="1119">
        <v>7.4109000000000016</v>
      </c>
      <c r="T608" s="1120">
        <v>35.06</v>
      </c>
      <c r="U608" s="1119">
        <v>0.84909999999999997</v>
      </c>
      <c r="V608" s="1119">
        <v>0.84559999999999991</v>
      </c>
    </row>
    <row r="609" spans="4:22">
      <c r="D609" s="1119">
        <v>0.87979999999999947</v>
      </c>
      <c r="E609" s="1119">
        <v>0.88319999999999943</v>
      </c>
      <c r="F609" s="1120">
        <v>28.62</v>
      </c>
      <c r="G609" s="1119">
        <v>7.1245000000000029</v>
      </c>
      <c r="I609" s="1119">
        <v>0.88319999999999943</v>
      </c>
      <c r="J609" s="1119">
        <v>0.87979999999999947</v>
      </c>
      <c r="K609" s="1120">
        <v>28.62</v>
      </c>
      <c r="L609" s="1119">
        <v>7.1245000000000029</v>
      </c>
      <c r="N609" s="1120">
        <v>35.08</v>
      </c>
      <c r="O609" s="1119">
        <v>7.4117000000000015</v>
      </c>
      <c r="P609" s="1119">
        <v>0.84899999999999998</v>
      </c>
      <c r="Q609" s="1119">
        <v>0.84549999999999992</v>
      </c>
      <c r="S609" s="1119">
        <v>7.4117000000000015</v>
      </c>
      <c r="T609" s="1120">
        <v>35.08</v>
      </c>
      <c r="U609" s="1119">
        <v>0.84899999999999998</v>
      </c>
      <c r="V609" s="1119">
        <v>0.84549999999999992</v>
      </c>
    </row>
    <row r="610" spans="4:22">
      <c r="D610" s="1119">
        <v>0.87989999999999946</v>
      </c>
      <c r="E610" s="1119">
        <v>0.88329999999999942</v>
      </c>
      <c r="F610" s="1120">
        <v>28.61</v>
      </c>
      <c r="G610" s="1119">
        <v>7.123700000000003</v>
      </c>
      <c r="I610" s="1119">
        <v>0.88329999999999942</v>
      </c>
      <c r="J610" s="1119">
        <v>0.87989999999999946</v>
      </c>
      <c r="K610" s="1120">
        <v>28.61</v>
      </c>
      <c r="L610" s="1119">
        <v>7.123700000000003</v>
      </c>
      <c r="N610" s="1120">
        <v>35.1</v>
      </c>
      <c r="O610" s="1119">
        <v>7.4126000000000012</v>
      </c>
      <c r="P610" s="1119">
        <v>0.84889999999999999</v>
      </c>
      <c r="Q610" s="1119">
        <v>0.84539999999999993</v>
      </c>
      <c r="S610" s="1119">
        <v>7.4126000000000012</v>
      </c>
      <c r="T610" s="1120">
        <v>35.1</v>
      </c>
      <c r="U610" s="1119">
        <v>0.84889999999999999</v>
      </c>
      <c r="V610" s="1119">
        <v>0.84539999999999993</v>
      </c>
    </row>
    <row r="611" spans="4:22">
      <c r="D611" s="1119">
        <v>0.88</v>
      </c>
      <c r="E611" s="1119">
        <v>0.88339999999999996</v>
      </c>
      <c r="F611" s="1120">
        <v>28.59</v>
      </c>
      <c r="G611" s="1119">
        <v>7.1228999999999996</v>
      </c>
      <c r="I611" s="1119">
        <v>0.88339999999999996</v>
      </c>
      <c r="J611" s="1119">
        <v>0.88</v>
      </c>
      <c r="K611" s="1120">
        <v>28.59</v>
      </c>
      <c r="L611" s="1119">
        <v>7.1228999999999996</v>
      </c>
      <c r="N611" s="1120">
        <v>35.119999999999997</v>
      </c>
      <c r="O611" s="1119">
        <v>7.4135000000000009</v>
      </c>
      <c r="P611" s="1119">
        <v>0.8488</v>
      </c>
      <c r="Q611" s="1119">
        <v>0.84529999999999994</v>
      </c>
      <c r="S611" s="1119">
        <v>7.4135000000000009</v>
      </c>
      <c r="T611" s="1120">
        <v>35.119999999999997</v>
      </c>
      <c r="U611" s="1119">
        <v>0.8488</v>
      </c>
      <c r="V611" s="1119">
        <v>0.84529999999999994</v>
      </c>
    </row>
    <row r="612" spans="4:22">
      <c r="D612" s="1119">
        <v>0.88009999999999999</v>
      </c>
      <c r="E612" s="1119">
        <v>0.88349999999999995</v>
      </c>
      <c r="F612" s="1120">
        <v>28.57</v>
      </c>
      <c r="G612" s="1119">
        <v>7.1220999999999997</v>
      </c>
      <c r="I612" s="1119">
        <v>0.88349999999999995</v>
      </c>
      <c r="J612" s="1119">
        <v>0.88009999999999999</v>
      </c>
      <c r="K612" s="1120">
        <v>28.57</v>
      </c>
      <c r="L612" s="1119">
        <v>7.1220999999999997</v>
      </c>
      <c r="N612" s="1120">
        <v>35.14</v>
      </c>
      <c r="O612" s="1119">
        <v>7.4144000000000005</v>
      </c>
      <c r="P612" s="1119">
        <v>0.84870000000000001</v>
      </c>
      <c r="Q612" s="1119">
        <v>0.84519999999999995</v>
      </c>
      <c r="S612" s="1119">
        <v>7.4144000000000005</v>
      </c>
      <c r="T612" s="1120">
        <v>35.14</v>
      </c>
      <c r="U612" s="1119">
        <v>0.84870000000000001</v>
      </c>
      <c r="V612" s="1119">
        <v>0.84519999999999995</v>
      </c>
    </row>
    <row r="613" spans="4:22">
      <c r="D613" s="1119">
        <v>0.88019999999999998</v>
      </c>
      <c r="E613" s="1119">
        <v>0.88359999999999994</v>
      </c>
      <c r="F613" s="1120">
        <v>28.55</v>
      </c>
      <c r="G613" s="1119">
        <v>7.1212999999999997</v>
      </c>
      <c r="I613" s="1119">
        <v>0.88359999999999994</v>
      </c>
      <c r="J613" s="1119">
        <v>0.88019999999999998</v>
      </c>
      <c r="K613" s="1120">
        <v>28.55</v>
      </c>
      <c r="L613" s="1119">
        <v>7.1212999999999997</v>
      </c>
      <c r="N613" s="1120">
        <v>35.159999999999997</v>
      </c>
      <c r="O613" s="1119">
        <v>7.4153000000000002</v>
      </c>
      <c r="P613" s="1119">
        <v>0.84860000000000002</v>
      </c>
      <c r="Q613" s="1119">
        <v>0.84509999999999996</v>
      </c>
      <c r="S613" s="1119">
        <v>7.4153000000000002</v>
      </c>
      <c r="T613" s="1120">
        <v>35.159999999999997</v>
      </c>
      <c r="U613" s="1119">
        <v>0.84860000000000002</v>
      </c>
      <c r="V613" s="1119">
        <v>0.84509999999999996</v>
      </c>
    </row>
    <row r="614" spans="4:22">
      <c r="D614" s="1119">
        <v>0.88029999999999997</v>
      </c>
      <c r="E614" s="1119">
        <v>0.88369999999999993</v>
      </c>
      <c r="F614" s="1120">
        <v>28.53</v>
      </c>
      <c r="G614" s="1119">
        <v>7.1204999999999998</v>
      </c>
      <c r="I614" s="1119">
        <v>0.88369999999999993</v>
      </c>
      <c r="J614" s="1119">
        <v>0.88029999999999997</v>
      </c>
      <c r="K614" s="1120">
        <v>28.53</v>
      </c>
      <c r="L614" s="1119">
        <v>7.1204999999999998</v>
      </c>
      <c r="N614" s="1120">
        <v>35.18</v>
      </c>
      <c r="O614" s="1119">
        <v>7.4162000000000106</v>
      </c>
      <c r="P614" s="1119">
        <v>0.8484999999999997</v>
      </c>
      <c r="Q614" s="1119">
        <v>0.84499999999999942</v>
      </c>
      <c r="S614" s="1119">
        <v>7.4162000000000106</v>
      </c>
      <c r="T614" s="1120">
        <v>35.18</v>
      </c>
      <c r="U614" s="1119">
        <v>0.8484999999999997</v>
      </c>
      <c r="V614" s="1119">
        <v>0.84499999999999942</v>
      </c>
    </row>
    <row r="615" spans="4:22">
      <c r="D615" s="1119">
        <v>0.88039999999999996</v>
      </c>
      <c r="E615" s="1119">
        <v>0.88379999999999992</v>
      </c>
      <c r="F615" s="1120">
        <v>28.52</v>
      </c>
      <c r="G615" s="1119">
        <v>7.1196999999999999</v>
      </c>
      <c r="I615" s="1119">
        <v>0.88379999999999992</v>
      </c>
      <c r="J615" s="1119">
        <v>0.88039999999999996</v>
      </c>
      <c r="K615" s="1120">
        <v>28.52</v>
      </c>
      <c r="L615" s="1119">
        <v>7.1196999999999999</v>
      </c>
      <c r="N615" s="1120">
        <v>35.200000000000003</v>
      </c>
      <c r="O615" s="1119">
        <v>7.4171000000000102</v>
      </c>
      <c r="P615" s="1119">
        <v>0.84839999999999971</v>
      </c>
      <c r="Q615" s="1119">
        <v>0.84489999999999943</v>
      </c>
      <c r="S615" s="1119">
        <v>7.4171000000000102</v>
      </c>
      <c r="T615" s="1120">
        <v>35.200000000000003</v>
      </c>
      <c r="U615" s="1119">
        <v>0.84839999999999971</v>
      </c>
      <c r="V615" s="1119">
        <v>0.84489999999999943</v>
      </c>
    </row>
    <row r="616" spans="4:22">
      <c r="D616" s="1119">
        <v>0.88049999999999995</v>
      </c>
      <c r="E616" s="1119">
        <v>0.88389999999999991</v>
      </c>
      <c r="F616" s="1120">
        <v>28.5</v>
      </c>
      <c r="G616" s="1119">
        <v>7.1189</v>
      </c>
      <c r="I616" s="1119">
        <v>0.88389999999999991</v>
      </c>
      <c r="J616" s="1119">
        <v>0.88049999999999995</v>
      </c>
      <c r="K616" s="1120">
        <v>28.5</v>
      </c>
      <c r="L616" s="1119">
        <v>7.1189</v>
      </c>
      <c r="N616" s="1120">
        <v>35.22</v>
      </c>
      <c r="O616" s="1119">
        <v>7.4180000000000099</v>
      </c>
      <c r="P616" s="1119">
        <v>0.84829999999999972</v>
      </c>
      <c r="Q616" s="1119">
        <v>0.84479999999999944</v>
      </c>
      <c r="S616" s="1119">
        <v>7.4180000000000099</v>
      </c>
      <c r="T616" s="1120">
        <v>35.22</v>
      </c>
      <c r="U616" s="1119">
        <v>0.84829999999999972</v>
      </c>
      <c r="V616" s="1119">
        <v>0.84479999999999944</v>
      </c>
    </row>
    <row r="617" spans="4:22">
      <c r="D617" s="1119">
        <v>0.88059999999999994</v>
      </c>
      <c r="E617" s="1119">
        <v>0.8839999999999999</v>
      </c>
      <c r="F617" s="1120">
        <v>28.48</v>
      </c>
      <c r="G617" s="1119">
        <v>7.1181000000000001</v>
      </c>
      <c r="I617" s="1119">
        <v>0.8839999999999999</v>
      </c>
      <c r="J617" s="1119">
        <v>0.88059999999999994</v>
      </c>
      <c r="K617" s="1120">
        <v>28.48</v>
      </c>
      <c r="L617" s="1119">
        <v>7.1181000000000001</v>
      </c>
      <c r="N617" s="1120">
        <v>35.24</v>
      </c>
      <c r="O617" s="1119">
        <v>7.4189000000000096</v>
      </c>
      <c r="P617" s="1119">
        <v>0.84819999999999973</v>
      </c>
      <c r="Q617" s="1119">
        <v>0.84469999999999945</v>
      </c>
      <c r="S617" s="1119">
        <v>7.4189000000000096</v>
      </c>
      <c r="T617" s="1120">
        <v>35.24</v>
      </c>
      <c r="U617" s="1119">
        <v>0.84819999999999973</v>
      </c>
      <c r="V617" s="1119">
        <v>0.84469999999999945</v>
      </c>
    </row>
    <row r="618" spans="4:22">
      <c r="D618" s="1119">
        <v>0.88069999999999993</v>
      </c>
      <c r="E618" s="1119">
        <v>0.88409999999999989</v>
      </c>
      <c r="F618" s="1120">
        <v>28.46</v>
      </c>
      <c r="G618" s="1119">
        <v>7.1173000000000002</v>
      </c>
      <c r="I618" s="1119">
        <v>0.88409999999999989</v>
      </c>
      <c r="J618" s="1119">
        <v>0.88069999999999993</v>
      </c>
      <c r="K618" s="1120">
        <v>28.46</v>
      </c>
      <c r="L618" s="1119">
        <v>7.1173000000000002</v>
      </c>
      <c r="N618" s="1120">
        <v>35.26</v>
      </c>
      <c r="O618" s="1119">
        <v>7.4198000000000093</v>
      </c>
      <c r="P618" s="1119">
        <v>0.84809999999999974</v>
      </c>
      <c r="Q618" s="1119">
        <v>0.84459999999999946</v>
      </c>
      <c r="S618" s="1119">
        <v>7.4198000000000093</v>
      </c>
      <c r="T618" s="1120">
        <v>35.26</v>
      </c>
      <c r="U618" s="1119">
        <v>0.84809999999999974</v>
      </c>
      <c r="V618" s="1119">
        <v>0.84459999999999946</v>
      </c>
    </row>
    <row r="619" spans="4:22">
      <c r="D619" s="1119">
        <v>0.88079999999999992</v>
      </c>
      <c r="E619" s="1119">
        <v>0.88419999999999987</v>
      </c>
      <c r="F619" s="1120">
        <v>28.44</v>
      </c>
      <c r="G619" s="1119">
        <v>7.1165000000000003</v>
      </c>
      <c r="I619" s="1119">
        <v>0.88419999999999987</v>
      </c>
      <c r="J619" s="1119">
        <v>0.88079999999999992</v>
      </c>
      <c r="K619" s="1120">
        <v>28.44</v>
      </c>
      <c r="L619" s="1119">
        <v>7.1165000000000003</v>
      </c>
      <c r="N619" s="1120">
        <v>35.28</v>
      </c>
      <c r="O619" s="1119">
        <v>7.420700000000009</v>
      </c>
      <c r="P619" s="1119">
        <v>0.84799999999999975</v>
      </c>
      <c r="Q619" s="1119">
        <v>0.84449999999999947</v>
      </c>
      <c r="S619" s="1119">
        <v>7.420700000000009</v>
      </c>
      <c r="T619" s="1120">
        <v>35.28</v>
      </c>
      <c r="U619" s="1119">
        <v>0.84799999999999975</v>
      </c>
      <c r="V619" s="1119">
        <v>0.84449999999999947</v>
      </c>
    </row>
    <row r="620" spans="4:22">
      <c r="D620" s="1119">
        <v>0.88089999999999991</v>
      </c>
      <c r="E620" s="1119">
        <v>0.88429999999999986</v>
      </c>
      <c r="F620" s="1120">
        <v>28.43</v>
      </c>
      <c r="G620" s="1119">
        <v>7.1157000000000004</v>
      </c>
      <c r="I620" s="1119">
        <v>0.88429999999999986</v>
      </c>
      <c r="J620" s="1119">
        <v>0.88089999999999991</v>
      </c>
      <c r="K620" s="1120">
        <v>28.43</v>
      </c>
      <c r="L620" s="1119">
        <v>7.1157000000000004</v>
      </c>
      <c r="N620" s="1120">
        <v>35.299999999999997</v>
      </c>
      <c r="O620" s="1119">
        <v>7.4216000000000086</v>
      </c>
      <c r="P620" s="1119">
        <v>0.84789999999999976</v>
      </c>
      <c r="Q620" s="1119">
        <v>0.84439999999999948</v>
      </c>
      <c r="S620" s="1119">
        <v>7.4216000000000086</v>
      </c>
      <c r="T620" s="1120">
        <v>35.299999999999997</v>
      </c>
      <c r="U620" s="1119">
        <v>0.84789999999999976</v>
      </c>
      <c r="V620" s="1119">
        <v>0.84439999999999948</v>
      </c>
    </row>
    <row r="621" spans="4:22">
      <c r="D621" s="1119">
        <v>0.88099999999999989</v>
      </c>
      <c r="E621" s="1119">
        <v>0.88439999999999985</v>
      </c>
      <c r="F621" s="1120">
        <v>28.41</v>
      </c>
      <c r="G621" s="1119">
        <v>7.1149000000000004</v>
      </c>
      <c r="I621" s="1119">
        <v>0.88439999999999985</v>
      </c>
      <c r="J621" s="1119">
        <v>0.88099999999999989</v>
      </c>
      <c r="K621" s="1120">
        <v>28.41</v>
      </c>
      <c r="L621" s="1119">
        <v>7.1149000000000004</v>
      </c>
      <c r="N621" s="1120">
        <v>35.32</v>
      </c>
      <c r="O621" s="1119">
        <v>7.4225000000000083</v>
      </c>
      <c r="P621" s="1119">
        <v>0.84779999999999978</v>
      </c>
      <c r="Q621" s="1119">
        <v>0.8442999999999995</v>
      </c>
      <c r="S621" s="1119">
        <v>7.4225000000000083</v>
      </c>
      <c r="T621" s="1120">
        <v>35.32</v>
      </c>
      <c r="U621" s="1119">
        <v>0.84779999999999978</v>
      </c>
      <c r="V621" s="1119">
        <v>0.8442999999999995</v>
      </c>
    </row>
    <row r="622" spans="4:22">
      <c r="D622" s="1119">
        <v>0.88109999999999988</v>
      </c>
      <c r="E622" s="1119">
        <v>0.88449999999999984</v>
      </c>
      <c r="F622" s="1120">
        <v>28.39</v>
      </c>
      <c r="G622" s="1119">
        <v>7.1141000000000005</v>
      </c>
      <c r="I622" s="1119">
        <v>0.88449999999999984</v>
      </c>
      <c r="J622" s="1119">
        <v>0.88109999999999988</v>
      </c>
      <c r="K622" s="1120">
        <v>28.39</v>
      </c>
      <c r="L622" s="1119">
        <v>7.1141000000000005</v>
      </c>
      <c r="N622" s="1120">
        <v>35.340000000000003</v>
      </c>
      <c r="O622" s="1119">
        <v>7.423400000000008</v>
      </c>
      <c r="P622" s="1119">
        <v>0.84769999999999979</v>
      </c>
      <c r="Q622" s="1119">
        <v>0.84419999999999951</v>
      </c>
      <c r="S622" s="1119">
        <v>7.423400000000008</v>
      </c>
      <c r="T622" s="1120">
        <v>35.340000000000003</v>
      </c>
      <c r="U622" s="1119">
        <v>0.84769999999999979</v>
      </c>
      <c r="V622" s="1119">
        <v>0.84419999999999951</v>
      </c>
    </row>
    <row r="623" spans="4:22">
      <c r="D623" s="1119">
        <v>0.88119999999999987</v>
      </c>
      <c r="E623" s="1119">
        <v>0.88459999999999983</v>
      </c>
      <c r="F623" s="1120">
        <v>28.37</v>
      </c>
      <c r="G623" s="1119">
        <v>7.1133000000000006</v>
      </c>
      <c r="I623" s="1119">
        <v>0.88459999999999983</v>
      </c>
      <c r="J623" s="1119">
        <v>0.88119999999999987</v>
      </c>
      <c r="K623" s="1120">
        <v>28.37</v>
      </c>
      <c r="L623" s="1119">
        <v>7.1133000000000006</v>
      </c>
      <c r="N623" s="1120">
        <v>35.36</v>
      </c>
      <c r="O623" s="1119">
        <v>7.4243000000000077</v>
      </c>
      <c r="P623" s="1119">
        <v>0.8475999999999998</v>
      </c>
      <c r="Q623" s="1119">
        <v>0.84409999999999952</v>
      </c>
      <c r="S623" s="1119">
        <v>7.4243000000000077</v>
      </c>
      <c r="T623" s="1120">
        <v>35.36</v>
      </c>
      <c r="U623" s="1119">
        <v>0.8475999999999998</v>
      </c>
      <c r="V623" s="1119">
        <v>0.84409999999999952</v>
      </c>
    </row>
    <row r="624" spans="4:22">
      <c r="D624" s="1119">
        <v>0.88129999999999986</v>
      </c>
      <c r="E624" s="1119">
        <v>0.88469999999999982</v>
      </c>
      <c r="F624" s="1120">
        <v>28.35</v>
      </c>
      <c r="G624" s="1119">
        <v>7.1124999999999998</v>
      </c>
      <c r="I624" s="1119">
        <v>0.88469999999999982</v>
      </c>
      <c r="J624" s="1119">
        <v>0.88129999999999986</v>
      </c>
      <c r="K624" s="1120">
        <v>28.35</v>
      </c>
      <c r="L624" s="1119">
        <v>7.1124999999999998</v>
      </c>
      <c r="N624" s="1120">
        <v>35.380000000000003</v>
      </c>
      <c r="O624" s="1119">
        <v>7.4252000000000073</v>
      </c>
      <c r="P624" s="1119">
        <v>0.84750000000000003</v>
      </c>
      <c r="Q624" s="1119">
        <v>0.84399999999999953</v>
      </c>
      <c r="S624" s="1119">
        <v>7.4252000000000073</v>
      </c>
      <c r="T624" s="1120">
        <v>35.380000000000003</v>
      </c>
      <c r="U624" s="1119">
        <v>0.84750000000000003</v>
      </c>
      <c r="V624" s="1119">
        <v>0.84399999999999953</v>
      </c>
    </row>
    <row r="625" spans="4:22">
      <c r="D625" s="1119">
        <v>0.88139999999999985</v>
      </c>
      <c r="E625" s="1119">
        <v>0.88479999999999981</v>
      </c>
      <c r="F625" s="1120">
        <v>28.34</v>
      </c>
      <c r="G625" s="1119">
        <v>7.1117000000000008</v>
      </c>
      <c r="I625" s="1119">
        <v>0.88479999999999981</v>
      </c>
      <c r="J625" s="1119">
        <v>0.88139999999999985</v>
      </c>
      <c r="K625" s="1120">
        <v>28.34</v>
      </c>
      <c r="L625" s="1119">
        <v>7.1117000000000008</v>
      </c>
      <c r="N625" s="1120">
        <v>35.39</v>
      </c>
      <c r="O625" s="1119">
        <v>7.426100000000007</v>
      </c>
      <c r="P625" s="1119">
        <v>0.84739999999999982</v>
      </c>
      <c r="Q625" s="1119">
        <v>0.84389999999999954</v>
      </c>
      <c r="S625" s="1119">
        <v>7.426100000000007</v>
      </c>
      <c r="T625" s="1120">
        <v>35.39</v>
      </c>
      <c r="U625" s="1119">
        <v>0.84739999999999982</v>
      </c>
      <c r="V625" s="1119">
        <v>0.84389999999999954</v>
      </c>
    </row>
    <row r="626" spans="4:22">
      <c r="D626" s="1119">
        <v>0.88149999999999984</v>
      </c>
      <c r="E626" s="1119">
        <v>0.8848999999999998</v>
      </c>
      <c r="F626" s="1120">
        <v>28.32</v>
      </c>
      <c r="G626" s="1119">
        <v>7.1109000000000009</v>
      </c>
      <c r="I626" s="1119">
        <v>0.8848999999999998</v>
      </c>
      <c r="J626" s="1119">
        <v>0.88149999999999984</v>
      </c>
      <c r="K626" s="1120">
        <v>28.32</v>
      </c>
      <c r="L626" s="1119">
        <v>7.1109000000000009</v>
      </c>
      <c r="N626" s="1120">
        <v>35.409999999999997</v>
      </c>
      <c r="O626" s="1119">
        <v>7.4270000000000067</v>
      </c>
      <c r="P626" s="1119">
        <v>0.84729999999999983</v>
      </c>
      <c r="Q626" s="1119">
        <v>0.84379999999999955</v>
      </c>
      <c r="S626" s="1119">
        <v>7.4270000000000067</v>
      </c>
      <c r="T626" s="1120">
        <v>35.409999999999997</v>
      </c>
      <c r="U626" s="1119">
        <v>0.84729999999999983</v>
      </c>
      <c r="V626" s="1119">
        <v>0.84379999999999955</v>
      </c>
    </row>
    <row r="627" spans="4:22">
      <c r="D627" s="1119">
        <v>0.88159999999999983</v>
      </c>
      <c r="E627" s="1119">
        <v>0.88500000000000001</v>
      </c>
      <c r="F627" s="1120">
        <v>28.3</v>
      </c>
      <c r="G627" s="1119">
        <v>7.110100000000001</v>
      </c>
      <c r="I627" s="1119">
        <v>0.88500000000000001</v>
      </c>
      <c r="J627" s="1119">
        <v>0.88159999999999983</v>
      </c>
      <c r="K627" s="1120">
        <v>28.3</v>
      </c>
      <c r="L627" s="1119">
        <v>7.110100000000001</v>
      </c>
      <c r="N627" s="1120">
        <v>35.43</v>
      </c>
      <c r="O627" s="1119">
        <v>7.4279000000000064</v>
      </c>
      <c r="P627" s="1119">
        <v>0.84719999999999984</v>
      </c>
      <c r="Q627" s="1119">
        <v>0.84369999999999956</v>
      </c>
      <c r="S627" s="1119">
        <v>7.4279000000000064</v>
      </c>
      <c r="T627" s="1120">
        <v>35.43</v>
      </c>
      <c r="U627" s="1119">
        <v>0.84719999999999984</v>
      </c>
      <c r="V627" s="1119">
        <v>0.84369999999999956</v>
      </c>
    </row>
    <row r="628" spans="4:22">
      <c r="D628" s="1119">
        <v>0.88169999999999982</v>
      </c>
      <c r="E628" s="1119">
        <v>0.88509999999999978</v>
      </c>
      <c r="F628" s="1120">
        <v>28.28</v>
      </c>
      <c r="G628" s="1119">
        <v>7.1093000000000011</v>
      </c>
      <c r="I628" s="1119">
        <v>0.88509999999999978</v>
      </c>
      <c r="J628" s="1119">
        <v>0.88169999999999982</v>
      </c>
      <c r="K628" s="1120">
        <v>28.28</v>
      </c>
      <c r="L628" s="1119">
        <v>7.1093000000000011</v>
      </c>
      <c r="N628" s="1120">
        <v>35.450000000000003</v>
      </c>
      <c r="O628" s="1119">
        <v>7.4288000000000061</v>
      </c>
      <c r="P628" s="1119">
        <v>0.84709999999999985</v>
      </c>
      <c r="Q628" s="1119">
        <v>0.84359999999999957</v>
      </c>
      <c r="S628" s="1119">
        <v>7.4288000000000061</v>
      </c>
      <c r="T628" s="1120">
        <v>35.450000000000003</v>
      </c>
      <c r="U628" s="1119">
        <v>0.84709999999999985</v>
      </c>
      <c r="V628" s="1119">
        <v>0.84359999999999957</v>
      </c>
    </row>
    <row r="629" spans="4:22">
      <c r="D629" s="1119">
        <v>0.88179999999999981</v>
      </c>
      <c r="E629" s="1119">
        <v>0.88519999999999976</v>
      </c>
      <c r="F629" s="1120">
        <v>28.26</v>
      </c>
      <c r="G629" s="1119">
        <v>7.1085000000000012</v>
      </c>
      <c r="I629" s="1119">
        <v>0.88519999999999976</v>
      </c>
      <c r="J629" s="1119">
        <v>0.88179999999999981</v>
      </c>
      <c r="K629" s="1120">
        <v>28.26</v>
      </c>
      <c r="L629" s="1119">
        <v>7.1085000000000012</v>
      </c>
      <c r="N629" s="1120">
        <v>35.47</v>
      </c>
      <c r="O629" s="1119">
        <v>7.4297000000000057</v>
      </c>
      <c r="P629" s="1119">
        <v>0.84699999999999986</v>
      </c>
      <c r="Q629" s="1119">
        <v>0.84349999999999958</v>
      </c>
      <c r="S629" s="1119">
        <v>7.4297000000000057</v>
      </c>
      <c r="T629" s="1120">
        <v>35.47</v>
      </c>
      <c r="U629" s="1119">
        <v>0.84699999999999986</v>
      </c>
      <c r="V629" s="1119">
        <v>0.84349999999999958</v>
      </c>
    </row>
    <row r="630" spans="4:22">
      <c r="D630" s="1119">
        <v>0.8818999999999998</v>
      </c>
      <c r="E630" s="1119">
        <v>0.88529999999999975</v>
      </c>
      <c r="F630" s="1120">
        <v>28.25</v>
      </c>
      <c r="G630" s="1119">
        <v>7.1077000000000012</v>
      </c>
      <c r="I630" s="1119">
        <v>0.88529999999999975</v>
      </c>
      <c r="J630" s="1119">
        <v>0.8818999999999998</v>
      </c>
      <c r="K630" s="1120">
        <v>28.25</v>
      </c>
      <c r="L630" s="1119">
        <v>7.1077000000000012</v>
      </c>
      <c r="N630" s="1120">
        <v>35.49</v>
      </c>
      <c r="O630" s="1119">
        <v>7.4306000000000054</v>
      </c>
      <c r="P630" s="1119">
        <v>0.84689999999999988</v>
      </c>
      <c r="Q630" s="1119">
        <v>0.84339999999999959</v>
      </c>
      <c r="S630" s="1119">
        <v>7.4306000000000054</v>
      </c>
      <c r="T630" s="1120">
        <v>35.49</v>
      </c>
      <c r="U630" s="1119">
        <v>0.84689999999999988</v>
      </c>
      <c r="V630" s="1119">
        <v>0.84339999999999959</v>
      </c>
    </row>
    <row r="631" spans="4:22">
      <c r="D631" s="1119">
        <v>0.88199999999999978</v>
      </c>
      <c r="E631" s="1119">
        <v>0.88539999999999974</v>
      </c>
      <c r="F631" s="1120">
        <v>28.23</v>
      </c>
      <c r="G631" s="1119">
        <v>7.1069000000000013</v>
      </c>
      <c r="I631" s="1119">
        <v>0.88539999999999974</v>
      </c>
      <c r="J631" s="1119">
        <v>0.88199999999999978</v>
      </c>
      <c r="K631" s="1120">
        <v>28.23</v>
      </c>
      <c r="L631" s="1119">
        <v>7.1069000000000013</v>
      </c>
      <c r="N631" s="1120">
        <v>35.51</v>
      </c>
      <c r="O631" s="1119">
        <v>7.4315000000000051</v>
      </c>
      <c r="P631" s="1119">
        <v>0.84679999999999989</v>
      </c>
      <c r="Q631" s="1119">
        <v>0.84329999999999961</v>
      </c>
      <c r="S631" s="1119">
        <v>7.4315000000000051</v>
      </c>
      <c r="T631" s="1120">
        <v>35.51</v>
      </c>
      <c r="U631" s="1119">
        <v>0.84679999999999989</v>
      </c>
      <c r="V631" s="1119">
        <v>0.84329999999999961</v>
      </c>
    </row>
    <row r="632" spans="4:22">
      <c r="D632" s="1119">
        <v>0.88209999999999977</v>
      </c>
      <c r="E632" s="1119">
        <v>0.88549999999999973</v>
      </c>
      <c r="F632" s="1120">
        <v>28.21</v>
      </c>
      <c r="G632" s="1119">
        <v>7.1061000000000014</v>
      </c>
      <c r="I632" s="1119">
        <v>0.88549999999999973</v>
      </c>
      <c r="J632" s="1119">
        <v>0.88209999999999977</v>
      </c>
      <c r="K632" s="1120">
        <v>28.21</v>
      </c>
      <c r="L632" s="1119">
        <v>7.1061000000000014</v>
      </c>
      <c r="N632" s="1120">
        <v>35.53</v>
      </c>
      <c r="O632" s="1119">
        <v>7.4324000000000048</v>
      </c>
      <c r="P632" s="1119">
        <v>0.8466999999999999</v>
      </c>
      <c r="Q632" s="1119">
        <v>0.84319999999999962</v>
      </c>
      <c r="S632" s="1119">
        <v>7.4324000000000048</v>
      </c>
      <c r="T632" s="1120">
        <v>35.53</v>
      </c>
      <c r="U632" s="1119">
        <v>0.8466999999999999</v>
      </c>
      <c r="V632" s="1119">
        <v>0.84319999999999962</v>
      </c>
    </row>
    <row r="633" spans="4:22">
      <c r="D633" s="1119">
        <v>0.88219999999999976</v>
      </c>
      <c r="E633" s="1119">
        <v>0.88559999999999972</v>
      </c>
      <c r="F633" s="1120">
        <v>28.19</v>
      </c>
      <c r="G633" s="1119">
        <v>7.1053000000000015</v>
      </c>
      <c r="I633" s="1119">
        <v>0.88559999999999972</v>
      </c>
      <c r="J633" s="1119">
        <v>0.88219999999999976</v>
      </c>
      <c r="K633" s="1120">
        <v>28.19</v>
      </c>
      <c r="L633" s="1119">
        <v>7.1053000000000015</v>
      </c>
      <c r="N633" s="1120">
        <v>35.549999999999997</v>
      </c>
      <c r="O633" s="1119">
        <v>7.4333000000000045</v>
      </c>
      <c r="P633" s="1119">
        <v>0.84659999999999991</v>
      </c>
      <c r="Q633" s="1119">
        <v>0.84309999999999963</v>
      </c>
      <c r="S633" s="1119">
        <v>7.4333000000000045</v>
      </c>
      <c r="T633" s="1120">
        <v>35.549999999999997</v>
      </c>
      <c r="U633" s="1119">
        <v>0.84659999999999991</v>
      </c>
      <c r="V633" s="1119">
        <v>0.84309999999999963</v>
      </c>
    </row>
    <row r="634" spans="4:22">
      <c r="D634" s="1119">
        <v>0.88229999999999975</v>
      </c>
      <c r="E634" s="1119">
        <v>0.88569999999999971</v>
      </c>
      <c r="F634" s="1120">
        <v>28.17</v>
      </c>
      <c r="G634" s="1119">
        <v>7.1045000000000016</v>
      </c>
      <c r="I634" s="1119">
        <v>0.88569999999999971</v>
      </c>
      <c r="J634" s="1119">
        <v>0.88229999999999975</v>
      </c>
      <c r="K634" s="1120">
        <v>28.17</v>
      </c>
      <c r="L634" s="1119">
        <v>7.1045000000000016</v>
      </c>
      <c r="N634" s="1120">
        <v>35.57</v>
      </c>
      <c r="O634" s="1119">
        <v>7.4342000000000041</v>
      </c>
      <c r="P634" s="1119">
        <v>0.84649999999999992</v>
      </c>
      <c r="Q634" s="1119">
        <v>0.84299999999999964</v>
      </c>
      <c r="S634" s="1119">
        <v>7.4342000000000041</v>
      </c>
      <c r="T634" s="1120">
        <v>35.57</v>
      </c>
      <c r="U634" s="1119">
        <v>0.84649999999999992</v>
      </c>
      <c r="V634" s="1119">
        <v>0.84299999999999964</v>
      </c>
    </row>
    <row r="635" spans="4:22">
      <c r="D635" s="1119">
        <v>0.88239999999999974</v>
      </c>
      <c r="E635" s="1119">
        <v>0.8857999999999997</v>
      </c>
      <c r="F635" s="1120">
        <v>28.16</v>
      </c>
      <c r="G635" s="1119">
        <v>7.1037000000000017</v>
      </c>
      <c r="I635" s="1119">
        <v>0.8857999999999997</v>
      </c>
      <c r="J635" s="1119">
        <v>0.88239999999999974</v>
      </c>
      <c r="K635" s="1120">
        <v>28.16</v>
      </c>
      <c r="L635" s="1119">
        <v>7.1037000000000017</v>
      </c>
      <c r="N635" s="1120">
        <v>35.590000000000003</v>
      </c>
      <c r="O635" s="1119">
        <v>7.4351000000000038</v>
      </c>
      <c r="P635" s="1119">
        <v>0.84639999999999993</v>
      </c>
      <c r="Q635" s="1119">
        <v>0.84289999999999965</v>
      </c>
      <c r="S635" s="1119">
        <v>7.4351000000000038</v>
      </c>
      <c r="T635" s="1120">
        <v>35.590000000000003</v>
      </c>
      <c r="U635" s="1119">
        <v>0.84639999999999993</v>
      </c>
      <c r="V635" s="1119">
        <v>0.84289999999999965</v>
      </c>
    </row>
    <row r="636" spans="4:22">
      <c r="D636" s="1119">
        <v>0.88249999999999995</v>
      </c>
      <c r="E636" s="1119">
        <v>0.88589999999999969</v>
      </c>
      <c r="F636" s="1120">
        <v>28.14</v>
      </c>
      <c r="G636" s="1119">
        <v>7.1029000000000018</v>
      </c>
      <c r="I636" s="1119">
        <v>0.88589999999999969</v>
      </c>
      <c r="J636" s="1119">
        <v>0.88249999999999995</v>
      </c>
      <c r="K636" s="1120">
        <v>28.14</v>
      </c>
      <c r="L636" s="1119">
        <v>7.1029000000000018</v>
      </c>
      <c r="N636" s="1120">
        <v>35.61</v>
      </c>
      <c r="O636" s="1119">
        <v>7.4360000000000035</v>
      </c>
      <c r="P636" s="1119">
        <v>0.84629999999999994</v>
      </c>
      <c r="Q636" s="1119">
        <v>0.84279999999999966</v>
      </c>
      <c r="S636" s="1119">
        <v>7.4360000000000035</v>
      </c>
      <c r="T636" s="1120">
        <v>35.61</v>
      </c>
      <c r="U636" s="1119">
        <v>0.84629999999999994</v>
      </c>
      <c r="V636" s="1119">
        <v>0.84279999999999966</v>
      </c>
    </row>
    <row r="637" spans="4:22">
      <c r="D637" s="1119">
        <v>0.88259999999999972</v>
      </c>
      <c r="E637" s="1119">
        <v>0.88599999999999968</v>
      </c>
      <c r="F637" s="1120">
        <v>28.12</v>
      </c>
      <c r="G637" s="1119">
        <v>7.1021000000000019</v>
      </c>
      <c r="I637" s="1119">
        <v>0.88599999999999968</v>
      </c>
      <c r="J637" s="1119">
        <v>0.88259999999999972</v>
      </c>
      <c r="K637" s="1120">
        <v>28.12</v>
      </c>
      <c r="L637" s="1119">
        <v>7.1021000000000019</v>
      </c>
      <c r="N637" s="1120">
        <v>35.630000000000003</v>
      </c>
      <c r="O637" s="1119">
        <v>7.4369000000000032</v>
      </c>
      <c r="P637" s="1119">
        <v>0.84619999999999995</v>
      </c>
      <c r="Q637" s="1119">
        <v>0.84269999999999967</v>
      </c>
      <c r="S637" s="1119">
        <v>7.4369000000000032</v>
      </c>
      <c r="T637" s="1120">
        <v>35.630000000000003</v>
      </c>
      <c r="U637" s="1119">
        <v>0.84619999999999995</v>
      </c>
      <c r="V637" s="1119">
        <v>0.84269999999999967</v>
      </c>
    </row>
    <row r="638" spans="4:22">
      <c r="D638" s="1119">
        <v>0.88269999999999971</v>
      </c>
      <c r="E638" s="1119">
        <v>0.88609999999999967</v>
      </c>
      <c r="F638" s="1120">
        <v>28.1</v>
      </c>
      <c r="G638" s="1119">
        <v>7.1013000000000019</v>
      </c>
      <c r="I638" s="1119">
        <v>0.88609999999999967</v>
      </c>
      <c r="J638" s="1119">
        <v>0.88269999999999971</v>
      </c>
      <c r="K638" s="1120">
        <v>28.1</v>
      </c>
      <c r="L638" s="1119">
        <v>7.1013000000000019</v>
      </c>
      <c r="N638" s="1120">
        <v>35.65</v>
      </c>
      <c r="O638" s="1119">
        <v>7.4378000000000029</v>
      </c>
      <c r="P638" s="1119">
        <v>0.84609999999999996</v>
      </c>
      <c r="Q638" s="1119">
        <v>0.84259999999999968</v>
      </c>
      <c r="S638" s="1119">
        <v>7.4378000000000029</v>
      </c>
      <c r="T638" s="1120">
        <v>35.65</v>
      </c>
      <c r="U638" s="1119">
        <v>0.84609999999999996</v>
      </c>
      <c r="V638" s="1119">
        <v>0.84259999999999968</v>
      </c>
    </row>
    <row r="639" spans="4:22">
      <c r="D639" s="1119">
        <v>0.8827999999999997</v>
      </c>
      <c r="E639" s="1119">
        <v>0.88619999999999965</v>
      </c>
      <c r="F639" s="1120">
        <v>28.08</v>
      </c>
      <c r="G639" s="1119">
        <v>7.100500000000002</v>
      </c>
      <c r="I639" s="1119">
        <v>0.88619999999999965</v>
      </c>
      <c r="J639" s="1119">
        <v>0.8827999999999997</v>
      </c>
      <c r="K639" s="1120">
        <v>28.08</v>
      </c>
      <c r="L639" s="1119">
        <v>7.100500000000002</v>
      </c>
      <c r="N639" s="1120">
        <v>35.67</v>
      </c>
      <c r="O639" s="1119">
        <v>7.4387000000000025</v>
      </c>
      <c r="P639" s="1119">
        <v>0.84599999999999997</v>
      </c>
      <c r="Q639" s="1119">
        <v>0.84250000000000003</v>
      </c>
      <c r="S639" s="1119">
        <v>7.4387000000000025</v>
      </c>
      <c r="T639" s="1120">
        <v>35.67</v>
      </c>
      <c r="U639" s="1119">
        <v>0.84599999999999997</v>
      </c>
      <c r="V639" s="1119">
        <v>0.84250000000000003</v>
      </c>
    </row>
    <row r="640" spans="4:22">
      <c r="D640" s="1119">
        <v>0.88289999999999969</v>
      </c>
      <c r="E640" s="1119">
        <v>0.88629999999999964</v>
      </c>
      <c r="F640" s="1120">
        <v>28.07</v>
      </c>
      <c r="G640" s="1119">
        <v>7.0997000000000021</v>
      </c>
      <c r="I640" s="1119">
        <v>0.88629999999999964</v>
      </c>
      <c r="J640" s="1119">
        <v>0.88289999999999969</v>
      </c>
      <c r="K640" s="1120">
        <v>28.07</v>
      </c>
      <c r="L640" s="1119">
        <v>7.0997000000000021</v>
      </c>
      <c r="N640" s="1120">
        <v>35.69</v>
      </c>
      <c r="O640" s="1119">
        <v>7.4396000000000022</v>
      </c>
      <c r="P640" s="1119">
        <v>0.84589999999999999</v>
      </c>
      <c r="Q640" s="1119">
        <v>0.8423999999999997</v>
      </c>
      <c r="S640" s="1119">
        <v>7.4396000000000022</v>
      </c>
      <c r="T640" s="1120">
        <v>35.69</v>
      </c>
      <c r="U640" s="1119">
        <v>0.84589999999999999</v>
      </c>
      <c r="V640" s="1119">
        <v>0.8423999999999997</v>
      </c>
    </row>
    <row r="641" spans="4:22">
      <c r="D641" s="1119">
        <v>0.88299999999999967</v>
      </c>
      <c r="E641" s="1119">
        <v>0.88639999999999963</v>
      </c>
      <c r="F641" s="1120">
        <v>28.05</v>
      </c>
      <c r="G641" s="1119">
        <v>7.0989000000000022</v>
      </c>
      <c r="I641" s="1119">
        <v>0.88639999999999963</v>
      </c>
      <c r="J641" s="1119">
        <v>0.88299999999999967</v>
      </c>
      <c r="K641" s="1120">
        <v>28.05</v>
      </c>
      <c r="L641" s="1119">
        <v>7.0989000000000022</v>
      </c>
      <c r="N641" s="1120">
        <v>35.71</v>
      </c>
      <c r="O641" s="1119">
        <v>7.4405000000000019</v>
      </c>
      <c r="P641" s="1119">
        <v>0.8458</v>
      </c>
      <c r="Q641" s="1119">
        <v>0.84229999999999972</v>
      </c>
      <c r="S641" s="1119">
        <v>7.4405000000000019</v>
      </c>
      <c r="T641" s="1120">
        <v>35.71</v>
      </c>
      <c r="U641" s="1119">
        <v>0.8458</v>
      </c>
      <c r="V641" s="1119">
        <v>0.84229999999999972</v>
      </c>
    </row>
    <row r="642" spans="4:22">
      <c r="D642" s="1119">
        <v>0.88309999999999966</v>
      </c>
      <c r="E642" s="1119">
        <v>0.88649999999999962</v>
      </c>
      <c r="F642" s="1120">
        <v>28.03</v>
      </c>
      <c r="G642" s="1119">
        <v>7.0981000000000023</v>
      </c>
      <c r="I642" s="1119">
        <v>0.88649999999999962</v>
      </c>
      <c r="J642" s="1119">
        <v>0.88309999999999966</v>
      </c>
      <c r="K642" s="1120">
        <v>28.03</v>
      </c>
      <c r="L642" s="1119">
        <v>7.0981000000000023</v>
      </c>
      <c r="N642" s="1120">
        <v>35.729999999999997</v>
      </c>
      <c r="O642" s="1119">
        <v>7.4414000000000016</v>
      </c>
      <c r="P642" s="1119">
        <v>0.84570000000000001</v>
      </c>
      <c r="Q642" s="1119">
        <v>0.84219999999999973</v>
      </c>
      <c r="S642" s="1119">
        <v>7.4414000000000016</v>
      </c>
      <c r="T642" s="1120">
        <v>35.729999999999997</v>
      </c>
      <c r="U642" s="1119">
        <v>0.84570000000000001</v>
      </c>
      <c r="V642" s="1119">
        <v>0.84219999999999973</v>
      </c>
    </row>
    <row r="643" spans="4:22">
      <c r="D643" s="1119">
        <v>0.88319999999999965</v>
      </c>
      <c r="E643" s="1119">
        <v>0.88659999999999961</v>
      </c>
      <c r="F643" s="1120">
        <v>28.01</v>
      </c>
      <c r="G643" s="1119">
        <v>7.0973000000000024</v>
      </c>
      <c r="I643" s="1119">
        <v>0.88659999999999961</v>
      </c>
      <c r="J643" s="1119">
        <v>0.88319999999999965</v>
      </c>
      <c r="K643" s="1120">
        <v>28.01</v>
      </c>
      <c r="L643" s="1119">
        <v>7.0973000000000024</v>
      </c>
      <c r="N643" s="1120">
        <v>35.75</v>
      </c>
      <c r="O643" s="1119">
        <v>7.4423000000000012</v>
      </c>
      <c r="P643" s="1119">
        <v>0.84560000000000002</v>
      </c>
      <c r="Q643" s="1119">
        <v>0.84209999999999974</v>
      </c>
      <c r="S643" s="1119">
        <v>7.4423000000000012</v>
      </c>
      <c r="T643" s="1120">
        <v>35.75</v>
      </c>
      <c r="U643" s="1119">
        <v>0.84560000000000002</v>
      </c>
      <c r="V643" s="1119">
        <v>0.84209999999999974</v>
      </c>
    </row>
    <row r="644" spans="4:22">
      <c r="D644" s="1119">
        <v>0.88329999999999964</v>
      </c>
      <c r="E644" s="1119">
        <v>0.8866999999999996</v>
      </c>
      <c r="F644" s="1120">
        <v>27.99</v>
      </c>
      <c r="G644" s="1119">
        <v>7.0965000000000025</v>
      </c>
      <c r="I644" s="1119">
        <v>0.8866999999999996</v>
      </c>
      <c r="J644" s="1119">
        <v>0.88329999999999964</v>
      </c>
      <c r="K644" s="1120">
        <v>27.99</v>
      </c>
      <c r="L644" s="1119">
        <v>7.0965000000000025</v>
      </c>
      <c r="N644" s="1120">
        <v>35.770000000000003</v>
      </c>
      <c r="O644" s="1119">
        <v>7.4432000000000009</v>
      </c>
      <c r="P644" s="1119">
        <v>0.84550000000000003</v>
      </c>
      <c r="Q644" s="1119">
        <v>0.84199999999999975</v>
      </c>
      <c r="S644" s="1119">
        <v>7.4432000000000009</v>
      </c>
      <c r="T644" s="1120">
        <v>35.770000000000003</v>
      </c>
      <c r="U644" s="1119">
        <v>0.84550000000000003</v>
      </c>
      <c r="V644" s="1119">
        <v>0.84199999999999975</v>
      </c>
    </row>
    <row r="645" spans="4:22">
      <c r="D645" s="1119">
        <v>0.88339999999999963</v>
      </c>
      <c r="E645" s="1119">
        <v>0.88679999999999959</v>
      </c>
      <c r="F645" s="1120">
        <v>27.98</v>
      </c>
      <c r="G645" s="1119">
        <v>7.0957000000000026</v>
      </c>
      <c r="I645" s="1119">
        <v>0.88679999999999959</v>
      </c>
      <c r="J645" s="1119">
        <v>0.88339999999999963</v>
      </c>
      <c r="K645" s="1120">
        <v>27.98</v>
      </c>
      <c r="L645" s="1119">
        <v>7.0957000000000026</v>
      </c>
      <c r="N645" s="1120">
        <v>35.79</v>
      </c>
      <c r="O645" s="1119">
        <v>7.4441000000000006</v>
      </c>
      <c r="P645" s="1119">
        <v>0.84539999999999982</v>
      </c>
      <c r="Q645" s="1119">
        <v>0.84189999999999976</v>
      </c>
      <c r="S645" s="1119">
        <v>7.4441000000000006</v>
      </c>
      <c r="T645" s="1120">
        <v>35.79</v>
      </c>
      <c r="U645" s="1119">
        <v>0.84539999999999982</v>
      </c>
      <c r="V645" s="1119">
        <v>0.84189999999999976</v>
      </c>
    </row>
    <row r="646" spans="4:22">
      <c r="D646" s="1119">
        <v>0.88349999999999962</v>
      </c>
      <c r="E646" s="1119">
        <v>0.88689999999999958</v>
      </c>
      <c r="F646" s="1120">
        <v>27.96</v>
      </c>
      <c r="G646" s="1119">
        <v>7.0949000000000026</v>
      </c>
      <c r="I646" s="1119">
        <v>0.88689999999999958</v>
      </c>
      <c r="J646" s="1119">
        <v>0.88349999999999962</v>
      </c>
      <c r="K646" s="1120">
        <v>27.96</v>
      </c>
      <c r="L646" s="1119">
        <v>7.0949000000000026</v>
      </c>
      <c r="N646" s="1120">
        <v>35.81</v>
      </c>
      <c r="O646" s="1119">
        <v>7.4450000000000003</v>
      </c>
      <c r="P646" s="1119">
        <v>0.84529999999999983</v>
      </c>
      <c r="Q646" s="1119">
        <v>0.84179999999999977</v>
      </c>
      <c r="S646" s="1119">
        <v>7.4450000000000003</v>
      </c>
      <c r="T646" s="1120">
        <v>35.81</v>
      </c>
      <c r="U646" s="1119">
        <v>0.84529999999999983</v>
      </c>
      <c r="V646" s="1119">
        <v>0.84179999999999977</v>
      </c>
    </row>
    <row r="647" spans="4:22">
      <c r="D647" s="1119">
        <v>0.88359999999999961</v>
      </c>
      <c r="E647" s="1119">
        <v>0.88699999999999957</v>
      </c>
      <c r="F647" s="1120">
        <v>27.94</v>
      </c>
      <c r="G647" s="1119">
        <v>7.0941000000000027</v>
      </c>
      <c r="I647" s="1119">
        <v>0.88699999999999957</v>
      </c>
      <c r="J647" s="1119">
        <v>0.88359999999999961</v>
      </c>
      <c r="K647" s="1120">
        <v>27.94</v>
      </c>
      <c r="L647" s="1119">
        <v>7.0941000000000027</v>
      </c>
      <c r="N647" s="1120">
        <v>35.83</v>
      </c>
      <c r="O647" s="1119">
        <v>7.4459</v>
      </c>
      <c r="P647" s="1119">
        <v>0.84519999999999984</v>
      </c>
      <c r="Q647" s="1119">
        <v>0.84169999999999978</v>
      </c>
      <c r="S647" s="1119">
        <v>7.4459</v>
      </c>
      <c r="T647" s="1120">
        <v>35.83</v>
      </c>
      <c r="U647" s="1119">
        <v>0.84519999999999984</v>
      </c>
      <c r="V647" s="1119">
        <v>0.84169999999999978</v>
      </c>
    </row>
    <row r="648" spans="4:22">
      <c r="D648" s="1119">
        <v>0.8836999999999996</v>
      </c>
      <c r="E648" s="1119">
        <v>0.88709999999999956</v>
      </c>
      <c r="F648" s="1120">
        <v>27.92</v>
      </c>
      <c r="G648" s="1119">
        <v>7.0933000000000028</v>
      </c>
      <c r="I648" s="1119">
        <v>0.88709999999999956</v>
      </c>
      <c r="J648" s="1119">
        <v>0.8836999999999996</v>
      </c>
      <c r="K648" s="1120">
        <v>27.92</v>
      </c>
      <c r="L648" s="1119">
        <v>7.0933000000000028</v>
      </c>
      <c r="N648" s="1120">
        <v>35.85</v>
      </c>
      <c r="O648" s="1119">
        <v>7.4467999999999996</v>
      </c>
      <c r="P648" s="1119">
        <v>0.84509999999999985</v>
      </c>
      <c r="Q648" s="1119">
        <v>0.84159999999999979</v>
      </c>
      <c r="S648" s="1119">
        <v>7.4467999999999996</v>
      </c>
      <c r="T648" s="1120">
        <v>35.85</v>
      </c>
      <c r="U648" s="1119">
        <v>0.84509999999999985</v>
      </c>
      <c r="V648" s="1119">
        <v>0.84159999999999979</v>
      </c>
    </row>
    <row r="649" spans="4:22">
      <c r="D649" s="1119">
        <v>0.88379999999999959</v>
      </c>
      <c r="E649" s="1119">
        <v>0.88719999999999954</v>
      </c>
      <c r="F649" s="1120">
        <v>27.9</v>
      </c>
      <c r="G649" s="1119">
        <v>7.0925000000000002</v>
      </c>
      <c r="I649" s="1119">
        <v>0.88719999999999954</v>
      </c>
      <c r="J649" s="1119">
        <v>0.88379999999999959</v>
      </c>
      <c r="K649" s="1120">
        <v>27.9</v>
      </c>
      <c r="L649" s="1119">
        <v>7.0925000000000002</v>
      </c>
      <c r="N649" s="1120">
        <v>35.869999999999997</v>
      </c>
      <c r="O649" s="1119">
        <v>7.4477000000000002</v>
      </c>
      <c r="P649" s="1119">
        <v>0.84499999999999997</v>
      </c>
      <c r="Q649" s="1119">
        <v>0.8414999999999998</v>
      </c>
      <c r="S649" s="1119">
        <v>7.4477000000000002</v>
      </c>
      <c r="T649" s="1120">
        <v>35.869999999999997</v>
      </c>
      <c r="U649" s="1119">
        <v>0.84499999999999997</v>
      </c>
      <c r="V649" s="1119">
        <v>0.8414999999999998</v>
      </c>
    </row>
    <row r="650" spans="4:22">
      <c r="D650" s="1119">
        <v>0.88389999999999957</v>
      </c>
      <c r="E650" s="1119">
        <v>0.88729999999999953</v>
      </c>
      <c r="F650" s="1120">
        <v>27.89</v>
      </c>
      <c r="G650" s="1119">
        <v>7.091700000000003</v>
      </c>
      <c r="I650" s="1119">
        <v>0.88729999999999953</v>
      </c>
      <c r="J650" s="1119">
        <v>0.88389999999999957</v>
      </c>
      <c r="K650" s="1120">
        <v>27.89</v>
      </c>
      <c r="L650" s="1119">
        <v>7.091700000000003</v>
      </c>
      <c r="N650" s="1120">
        <v>35.89</v>
      </c>
      <c r="O650" s="1119">
        <v>7.4485000000000001</v>
      </c>
      <c r="P650" s="1119">
        <v>0.84489999999999987</v>
      </c>
      <c r="Q650" s="1119">
        <v>0.84139999999999981</v>
      </c>
      <c r="S650" s="1119">
        <v>7.4485000000000001</v>
      </c>
      <c r="T650" s="1120">
        <v>35.89</v>
      </c>
      <c r="U650" s="1119">
        <v>0.84489999999999987</v>
      </c>
      <c r="V650" s="1119">
        <v>0.84139999999999981</v>
      </c>
    </row>
    <row r="651" spans="4:22">
      <c r="D651" s="1119">
        <v>0.88399999999999956</v>
      </c>
      <c r="E651" s="1119">
        <v>0.88739999999999952</v>
      </c>
      <c r="F651" s="1120">
        <v>27.87</v>
      </c>
      <c r="G651" s="1119">
        <v>7.0909000000000031</v>
      </c>
      <c r="I651" s="1119">
        <v>0.88739999999999952</v>
      </c>
      <c r="J651" s="1119">
        <v>0.88399999999999956</v>
      </c>
      <c r="K651" s="1120">
        <v>27.87</v>
      </c>
      <c r="L651" s="1119">
        <v>7.0909000000000031</v>
      </c>
      <c r="N651" s="1120">
        <v>35.909999999999997</v>
      </c>
      <c r="O651" s="1119">
        <v>7.4493</v>
      </c>
      <c r="P651" s="1119">
        <v>0.84479999999999988</v>
      </c>
      <c r="Q651" s="1119">
        <v>0.84129999999999983</v>
      </c>
      <c r="S651" s="1119">
        <v>7.4493</v>
      </c>
      <c r="T651" s="1120">
        <v>35.909999999999997</v>
      </c>
      <c r="U651" s="1119">
        <v>0.84479999999999988</v>
      </c>
      <c r="V651" s="1119">
        <v>0.84129999999999983</v>
      </c>
    </row>
    <row r="652" spans="4:22">
      <c r="D652" s="1119">
        <v>0.88409999999999955</v>
      </c>
      <c r="E652" s="1119">
        <v>0.88749999999999996</v>
      </c>
      <c r="F652" s="1120">
        <v>27.85</v>
      </c>
      <c r="G652" s="1119">
        <v>7.0901000000000032</v>
      </c>
      <c r="I652" s="1119">
        <v>0.88749999999999996</v>
      </c>
      <c r="J652" s="1119">
        <v>0.88409999999999955</v>
      </c>
      <c r="K652" s="1120">
        <v>27.85</v>
      </c>
      <c r="L652" s="1119">
        <v>7.0901000000000032</v>
      </c>
      <c r="N652" s="1120">
        <v>35.93</v>
      </c>
      <c r="O652" s="1119">
        <v>7.4500999999999999</v>
      </c>
      <c r="P652" s="1119">
        <v>0.8446999999999999</v>
      </c>
      <c r="Q652" s="1119">
        <v>0.84119999999999984</v>
      </c>
      <c r="S652" s="1119">
        <v>7.4500999999999999</v>
      </c>
      <c r="T652" s="1120">
        <v>35.93</v>
      </c>
      <c r="U652" s="1119">
        <v>0.8446999999999999</v>
      </c>
      <c r="V652" s="1119">
        <v>0.84119999999999984</v>
      </c>
    </row>
    <row r="653" spans="4:22">
      <c r="D653" s="1119">
        <v>0.88419999999999954</v>
      </c>
      <c r="E653" s="1119">
        <v>0.8875999999999995</v>
      </c>
      <c r="F653" s="1120">
        <v>27.83</v>
      </c>
      <c r="G653" s="1119">
        <v>7.0893000000000033</v>
      </c>
      <c r="I653" s="1119">
        <v>0.8875999999999995</v>
      </c>
      <c r="J653" s="1119">
        <v>0.88419999999999954</v>
      </c>
      <c r="K653" s="1120">
        <v>27.83</v>
      </c>
      <c r="L653" s="1119">
        <v>7.0893000000000033</v>
      </c>
      <c r="N653" s="1120">
        <v>35.950000000000003</v>
      </c>
      <c r="O653" s="1119">
        <v>7.4508999999999999</v>
      </c>
      <c r="P653" s="1119">
        <v>0.84459999999999991</v>
      </c>
      <c r="Q653" s="1119">
        <v>0.84109999999999985</v>
      </c>
      <c r="S653" s="1119">
        <v>7.4508999999999999</v>
      </c>
      <c r="T653" s="1120">
        <v>35.950000000000003</v>
      </c>
      <c r="U653" s="1119">
        <v>0.84459999999999991</v>
      </c>
      <c r="V653" s="1119">
        <v>0.84109999999999985</v>
      </c>
    </row>
    <row r="654" spans="4:22">
      <c r="D654" s="1119">
        <v>0.88429999999999953</v>
      </c>
      <c r="E654" s="1119">
        <v>0.88769999999999949</v>
      </c>
      <c r="F654" s="1120">
        <v>27.81</v>
      </c>
      <c r="G654" s="1119">
        <v>7.0885000000000034</v>
      </c>
      <c r="I654" s="1119">
        <v>0.88769999999999949</v>
      </c>
      <c r="J654" s="1119">
        <v>0.88429999999999953</v>
      </c>
      <c r="K654" s="1120">
        <v>27.81</v>
      </c>
      <c r="L654" s="1119">
        <v>7.0885000000000034</v>
      </c>
      <c r="N654" s="1120">
        <v>35.97</v>
      </c>
      <c r="O654" s="1119">
        <v>7.4516999999999998</v>
      </c>
      <c r="P654" s="1119">
        <v>0.84449999999999992</v>
      </c>
      <c r="Q654" s="1119">
        <v>0.84099999999999986</v>
      </c>
      <c r="S654" s="1119">
        <v>7.4516999999999998</v>
      </c>
      <c r="T654" s="1120">
        <v>35.97</v>
      </c>
      <c r="U654" s="1119">
        <v>0.84449999999999992</v>
      </c>
      <c r="V654" s="1119">
        <v>0.84099999999999986</v>
      </c>
    </row>
    <row r="655" spans="4:22">
      <c r="D655" s="1119">
        <v>0.88439999999999952</v>
      </c>
      <c r="E655" s="1119">
        <v>0.88779999999999948</v>
      </c>
      <c r="F655" s="1120">
        <v>27.8</v>
      </c>
      <c r="G655" s="1119">
        <v>7.0877000000000034</v>
      </c>
      <c r="I655" s="1119">
        <v>0.88779999999999948</v>
      </c>
      <c r="J655" s="1119">
        <v>0.88439999999999952</v>
      </c>
      <c r="K655" s="1120">
        <v>27.8</v>
      </c>
      <c r="L655" s="1119">
        <v>7.0877000000000034</v>
      </c>
      <c r="N655" s="1120">
        <v>35.99</v>
      </c>
      <c r="O655" s="1119">
        <v>7.4524999999999997</v>
      </c>
      <c r="P655" s="1119">
        <v>0.84439999999999993</v>
      </c>
      <c r="Q655" s="1119">
        <v>0.84089999999999987</v>
      </c>
      <c r="S655" s="1119">
        <v>7.4524999999999997</v>
      </c>
      <c r="T655" s="1120">
        <v>35.99</v>
      </c>
      <c r="U655" s="1119">
        <v>0.84439999999999993</v>
      </c>
      <c r="V655" s="1119">
        <v>0.84089999999999987</v>
      </c>
    </row>
    <row r="656" spans="4:22">
      <c r="D656" s="1119">
        <v>0.88449999999999951</v>
      </c>
      <c r="E656" s="1119">
        <v>0.88789999999999947</v>
      </c>
      <c r="F656" s="1120">
        <v>27.78</v>
      </c>
      <c r="G656" s="1119">
        <v>7.0869000000000035</v>
      </c>
      <c r="I656" s="1119">
        <v>0.88789999999999947</v>
      </c>
      <c r="J656" s="1119">
        <v>0.88449999999999951</v>
      </c>
      <c r="K656" s="1120">
        <v>27.78</v>
      </c>
      <c r="L656" s="1119">
        <v>7.0869000000000035</v>
      </c>
      <c r="N656" s="1120">
        <v>36.01</v>
      </c>
      <c r="O656" s="1119">
        <v>7.4532999999999996</v>
      </c>
      <c r="P656" s="1119">
        <v>0.84429999999999994</v>
      </c>
      <c r="Q656" s="1119">
        <v>0.84079999999999988</v>
      </c>
      <c r="S656" s="1119">
        <v>7.4532999999999996</v>
      </c>
      <c r="T656" s="1120">
        <v>36.01</v>
      </c>
      <c r="U656" s="1119">
        <v>0.84429999999999994</v>
      </c>
      <c r="V656" s="1119">
        <v>0.84079999999999988</v>
      </c>
    </row>
    <row r="657" spans="4:22">
      <c r="D657" s="1119">
        <v>0.8845999999999995</v>
      </c>
      <c r="E657" s="1119">
        <v>0.88799999999999946</v>
      </c>
      <c r="F657" s="1120">
        <v>27.76</v>
      </c>
      <c r="G657" s="1119">
        <v>7.0861000000000036</v>
      </c>
      <c r="I657" s="1119">
        <v>0.88799999999999946</v>
      </c>
      <c r="J657" s="1119">
        <v>0.8845999999999995</v>
      </c>
      <c r="K657" s="1120">
        <v>27.76</v>
      </c>
      <c r="L657" s="1119">
        <v>7.0861000000000036</v>
      </c>
      <c r="N657" s="1120">
        <v>36.03</v>
      </c>
      <c r="O657" s="1119">
        <v>7.4541000000000004</v>
      </c>
      <c r="P657" s="1119">
        <v>0.84419999999999995</v>
      </c>
      <c r="Q657" s="1119">
        <v>0.84069999999999989</v>
      </c>
      <c r="S657" s="1119">
        <v>7.4541000000000004</v>
      </c>
      <c r="T657" s="1120">
        <v>36.03</v>
      </c>
      <c r="U657" s="1119">
        <v>0.84419999999999995</v>
      </c>
      <c r="V657" s="1119">
        <v>0.84069999999999989</v>
      </c>
    </row>
    <row r="658" spans="4:22">
      <c r="D658" s="1119">
        <v>0.88469999999999949</v>
      </c>
      <c r="E658" s="1119">
        <v>0.88809999999999945</v>
      </c>
      <c r="F658" s="1120">
        <v>27.74</v>
      </c>
      <c r="G658" s="1119">
        <v>7.0853000000000037</v>
      </c>
      <c r="I658" s="1119">
        <v>0.88809999999999945</v>
      </c>
      <c r="J658" s="1119">
        <v>0.88469999999999949</v>
      </c>
      <c r="K658" s="1120">
        <v>27.74</v>
      </c>
      <c r="L658" s="1119">
        <v>7.0853000000000037</v>
      </c>
      <c r="N658" s="1120">
        <v>36.049999999999997</v>
      </c>
      <c r="O658" s="1119">
        <v>7.4549000000000021</v>
      </c>
      <c r="P658" s="1119">
        <v>0.84409999999999996</v>
      </c>
      <c r="Q658" s="1119">
        <v>0.8405999999999999</v>
      </c>
      <c r="S658" s="1119">
        <v>7.4549000000000021</v>
      </c>
      <c r="T658" s="1120">
        <v>36.049999999999997</v>
      </c>
      <c r="U658" s="1119">
        <v>0.84409999999999996</v>
      </c>
      <c r="V658" s="1119">
        <v>0.8405999999999999</v>
      </c>
    </row>
    <row r="659" spans="4:22">
      <c r="D659" s="1119">
        <v>0.88479999999999948</v>
      </c>
      <c r="E659" s="1119">
        <v>0.88819999999999943</v>
      </c>
      <c r="F659" s="1120">
        <v>27.72</v>
      </c>
      <c r="G659" s="1119">
        <v>7.0845000000000038</v>
      </c>
      <c r="I659" s="1119">
        <v>0.88819999999999943</v>
      </c>
      <c r="J659" s="1119">
        <v>0.88479999999999948</v>
      </c>
      <c r="K659" s="1120">
        <v>27.72</v>
      </c>
      <c r="L659" s="1119">
        <v>7.0845000000000038</v>
      </c>
      <c r="N659" s="1120">
        <v>36.07</v>
      </c>
      <c r="O659" s="1119">
        <v>7.455700000000002</v>
      </c>
      <c r="P659" s="1119">
        <v>0.84399999999999997</v>
      </c>
      <c r="Q659" s="1119">
        <v>0.84049999999999991</v>
      </c>
      <c r="S659" s="1119">
        <v>7.455700000000002</v>
      </c>
      <c r="T659" s="1120">
        <v>36.07</v>
      </c>
      <c r="U659" s="1119">
        <v>0.84399999999999997</v>
      </c>
      <c r="V659" s="1119">
        <v>0.84049999999999991</v>
      </c>
    </row>
    <row r="660" spans="4:22">
      <c r="D660" s="1119">
        <v>0.88489999999999946</v>
      </c>
      <c r="E660" s="1119">
        <v>0.88829999999999942</v>
      </c>
      <c r="F660" s="1120">
        <v>27.71</v>
      </c>
      <c r="G660" s="1119">
        <v>7.0837000000000039</v>
      </c>
      <c r="I660" s="1119">
        <v>0.88829999999999942</v>
      </c>
      <c r="J660" s="1119">
        <v>0.88489999999999946</v>
      </c>
      <c r="K660" s="1120">
        <v>27.71</v>
      </c>
      <c r="L660" s="1119">
        <v>7.0837000000000039</v>
      </c>
      <c r="N660" s="1120">
        <v>36.090000000000003</v>
      </c>
      <c r="O660" s="1119">
        <v>7.4566000000000017</v>
      </c>
      <c r="P660" s="1119">
        <v>0.84389999999999998</v>
      </c>
      <c r="Q660" s="1119">
        <v>0.84039999999999992</v>
      </c>
      <c r="S660" s="1119">
        <v>7.4566000000000017</v>
      </c>
      <c r="T660" s="1120">
        <v>36.090000000000003</v>
      </c>
      <c r="U660" s="1119">
        <v>0.84389999999999998</v>
      </c>
      <c r="V660" s="1119">
        <v>0.84039999999999992</v>
      </c>
    </row>
    <row r="661" spans="4:22">
      <c r="D661" s="1119">
        <v>0.88499999999999945</v>
      </c>
      <c r="E661" s="1119">
        <v>0.88839999999999941</v>
      </c>
      <c r="F661" s="1120">
        <v>27.69</v>
      </c>
      <c r="G661" s="1119">
        <v>7.082900000000004</v>
      </c>
      <c r="I661" s="1119">
        <v>0.88839999999999941</v>
      </c>
      <c r="J661" s="1119">
        <v>0.88499999999999945</v>
      </c>
      <c r="K661" s="1120">
        <v>27.69</v>
      </c>
      <c r="L661" s="1119">
        <v>7.082900000000004</v>
      </c>
      <c r="N661" s="1120">
        <v>36.11</v>
      </c>
      <c r="O661" s="1119">
        <v>7.4574999999999996</v>
      </c>
      <c r="P661" s="1119">
        <v>0.84379999999999999</v>
      </c>
      <c r="Q661" s="1119">
        <v>0.84029999999999994</v>
      </c>
      <c r="S661" s="1119">
        <v>7.4574999999999996</v>
      </c>
      <c r="T661" s="1120">
        <v>36.11</v>
      </c>
      <c r="U661" s="1119">
        <v>0.84379999999999999</v>
      </c>
      <c r="V661" s="1119">
        <v>0.84029999999999994</v>
      </c>
    </row>
    <row r="662" spans="4:22">
      <c r="D662" s="1119">
        <v>0.8851</v>
      </c>
      <c r="E662" s="1119">
        <v>0.88849999999999996</v>
      </c>
      <c r="F662" s="1120">
        <v>27.67</v>
      </c>
      <c r="G662" s="1119">
        <v>7.0820999999999996</v>
      </c>
      <c r="I662" s="1119">
        <v>0.88849999999999996</v>
      </c>
      <c r="J662" s="1119">
        <v>0.8851</v>
      </c>
      <c r="K662" s="1120">
        <v>27.67</v>
      </c>
      <c r="L662" s="1119">
        <v>7.0820999999999996</v>
      </c>
      <c r="N662" s="1120">
        <v>36.130000000000003</v>
      </c>
      <c r="O662" s="1119">
        <v>7.458400000000001</v>
      </c>
      <c r="P662" s="1119">
        <v>0.84370000000000001</v>
      </c>
      <c r="Q662" s="1119">
        <v>0.84019999999999995</v>
      </c>
      <c r="S662" s="1119">
        <v>7.458400000000001</v>
      </c>
      <c r="T662" s="1120">
        <v>36.130000000000003</v>
      </c>
      <c r="U662" s="1119">
        <v>0.84370000000000001</v>
      </c>
      <c r="V662" s="1119">
        <v>0.84019999999999995</v>
      </c>
    </row>
    <row r="663" spans="4:22">
      <c r="D663" s="1119">
        <v>0.88519999999999999</v>
      </c>
      <c r="E663" s="1119">
        <v>0.88859999999999995</v>
      </c>
      <c r="F663" s="1120">
        <v>27.65</v>
      </c>
      <c r="G663" s="1119">
        <v>7.0812999999999997</v>
      </c>
      <c r="I663" s="1119">
        <v>0.88859999999999995</v>
      </c>
      <c r="J663" s="1119">
        <v>0.88519999999999999</v>
      </c>
      <c r="K663" s="1120">
        <v>27.65</v>
      </c>
      <c r="L663" s="1119">
        <v>7.0812999999999997</v>
      </c>
      <c r="N663" s="1120">
        <v>36.15</v>
      </c>
      <c r="O663" s="1119">
        <v>7.4593000000000007</v>
      </c>
      <c r="P663" s="1119">
        <v>0.84360000000000002</v>
      </c>
      <c r="Q663" s="1119">
        <v>0.8400999999999994</v>
      </c>
      <c r="S663" s="1119">
        <v>7.4593000000000007</v>
      </c>
      <c r="T663" s="1120">
        <v>36.15</v>
      </c>
      <c r="U663" s="1119">
        <v>0.84360000000000002</v>
      </c>
      <c r="V663" s="1119">
        <v>0.8400999999999994</v>
      </c>
    </row>
    <row r="664" spans="4:22">
      <c r="D664" s="1119">
        <v>0.88529999999999998</v>
      </c>
      <c r="E664" s="1119">
        <v>0.88869999999999993</v>
      </c>
      <c r="F664" s="1120">
        <v>27.63</v>
      </c>
      <c r="G664" s="1119">
        <v>7.0804999999999998</v>
      </c>
      <c r="I664" s="1119">
        <v>0.88869999999999993</v>
      </c>
      <c r="J664" s="1119">
        <v>0.88529999999999998</v>
      </c>
      <c r="K664" s="1120">
        <v>27.63</v>
      </c>
      <c r="L664" s="1119">
        <v>7.0804999999999998</v>
      </c>
      <c r="N664" s="1120">
        <v>36.17</v>
      </c>
      <c r="O664" s="1119">
        <v>7.4602000000000004</v>
      </c>
      <c r="P664" s="1119">
        <v>0.84350000000000003</v>
      </c>
      <c r="Q664" s="1119">
        <v>0.83999999999999941</v>
      </c>
      <c r="S664" s="1119">
        <v>7.4602000000000004</v>
      </c>
      <c r="T664" s="1120">
        <v>36.17</v>
      </c>
      <c r="U664" s="1119">
        <v>0.84350000000000003</v>
      </c>
      <c r="V664" s="1119">
        <v>0.83999999999999941</v>
      </c>
    </row>
    <row r="665" spans="4:22">
      <c r="D665" s="1119">
        <v>0.88539999999999996</v>
      </c>
      <c r="E665" s="1119">
        <v>0.88879999999999992</v>
      </c>
      <c r="F665" s="1120">
        <v>27.62</v>
      </c>
      <c r="G665" s="1119">
        <v>7.0796999999999999</v>
      </c>
      <c r="I665" s="1119">
        <v>0.88879999999999992</v>
      </c>
      <c r="J665" s="1119">
        <v>0.88539999999999996</v>
      </c>
      <c r="K665" s="1120">
        <v>27.62</v>
      </c>
      <c r="L665" s="1119">
        <v>7.0796999999999999</v>
      </c>
      <c r="N665" s="1120">
        <v>36.19</v>
      </c>
      <c r="O665" s="1119">
        <v>7.4610000000000003</v>
      </c>
      <c r="P665" s="1119">
        <v>0.84340999999999999</v>
      </c>
      <c r="Q665" s="1119">
        <v>0.83989999999999942</v>
      </c>
      <c r="S665" s="1119">
        <v>7.4610000000000003</v>
      </c>
      <c r="T665" s="1120">
        <v>36.19</v>
      </c>
      <c r="U665" s="1119">
        <v>0.84340999999999999</v>
      </c>
      <c r="V665" s="1119">
        <v>0.83989999999999942</v>
      </c>
    </row>
    <row r="666" spans="4:22">
      <c r="D666" s="1119">
        <v>0.88549999999999995</v>
      </c>
      <c r="E666" s="1119">
        <v>0.88889999999999991</v>
      </c>
      <c r="F666" s="1120">
        <v>27.6</v>
      </c>
      <c r="G666" s="1119">
        <v>7.0789</v>
      </c>
      <c r="I666" s="1119">
        <v>0.88889999999999991</v>
      </c>
      <c r="J666" s="1119">
        <v>0.88549999999999995</v>
      </c>
      <c r="K666" s="1120">
        <v>27.6</v>
      </c>
      <c r="L666" s="1119">
        <v>7.0789</v>
      </c>
      <c r="N666" s="1120">
        <v>36.21</v>
      </c>
      <c r="O666" s="1119">
        <v>7.4619</v>
      </c>
      <c r="P666" s="1119">
        <v>0.84331</v>
      </c>
      <c r="Q666" s="1119">
        <v>0.83979999999999944</v>
      </c>
      <c r="S666" s="1119">
        <v>7.4619</v>
      </c>
      <c r="T666" s="1120">
        <v>36.21</v>
      </c>
      <c r="U666" s="1119">
        <v>0.84331</v>
      </c>
      <c r="V666" s="1119">
        <v>0.83979999999999944</v>
      </c>
    </row>
    <row r="667" spans="4:22">
      <c r="D667" s="1119">
        <v>0.88559999999999994</v>
      </c>
      <c r="E667" s="1119">
        <v>0.8889999999999999</v>
      </c>
      <c r="F667" s="1120">
        <v>27.58</v>
      </c>
      <c r="G667" s="1119">
        <v>7.0781000000000001</v>
      </c>
      <c r="I667" s="1119">
        <v>0.8889999999999999</v>
      </c>
      <c r="J667" s="1119">
        <v>0.88559999999999994</v>
      </c>
      <c r="K667" s="1120">
        <v>27.58</v>
      </c>
      <c r="L667" s="1119">
        <v>7.0781000000000001</v>
      </c>
      <c r="N667" s="1120">
        <v>36.229999999999997</v>
      </c>
      <c r="O667" s="1119">
        <v>7.4626999999999999</v>
      </c>
      <c r="P667" s="1119">
        <v>0.84321999999999997</v>
      </c>
      <c r="Q667" s="1119">
        <v>0.83969999999999945</v>
      </c>
      <c r="S667" s="1119">
        <v>7.4626999999999999</v>
      </c>
      <c r="T667" s="1120">
        <v>36.229999999999997</v>
      </c>
      <c r="U667" s="1119">
        <v>0.84321999999999997</v>
      </c>
      <c r="V667" s="1119">
        <v>0.83969999999999945</v>
      </c>
    </row>
    <row r="668" spans="4:22">
      <c r="D668" s="1119">
        <v>0.88569999999999993</v>
      </c>
      <c r="E668" s="1119">
        <v>0.88909999999999989</v>
      </c>
      <c r="F668" s="1120">
        <v>27.56</v>
      </c>
      <c r="G668" s="1119">
        <v>7.0773000000000001</v>
      </c>
      <c r="I668" s="1119">
        <v>0.88909999999999989</v>
      </c>
      <c r="J668" s="1119">
        <v>0.88569999999999993</v>
      </c>
      <c r="K668" s="1120">
        <v>27.56</v>
      </c>
      <c r="L668" s="1119">
        <v>7.0773000000000001</v>
      </c>
      <c r="N668" s="1120">
        <v>36.25</v>
      </c>
      <c r="O668" s="1119">
        <v>7.4635999999999996</v>
      </c>
      <c r="P668" s="1119">
        <v>0.84311999999999998</v>
      </c>
      <c r="Q668" s="1119">
        <v>0.83959999999999946</v>
      </c>
      <c r="S668" s="1119">
        <v>7.4635999999999996</v>
      </c>
      <c r="T668" s="1120">
        <v>36.25</v>
      </c>
      <c r="U668" s="1119">
        <v>0.84311999999999998</v>
      </c>
      <c r="V668" s="1119">
        <v>0.83959999999999946</v>
      </c>
    </row>
    <row r="669" spans="4:22">
      <c r="D669" s="1119">
        <v>0.88579999999999992</v>
      </c>
      <c r="E669" s="1119">
        <v>0.88919999999999988</v>
      </c>
      <c r="F669" s="1120">
        <v>27.54</v>
      </c>
      <c r="G669" s="1119">
        <v>7.0765000000000002</v>
      </c>
      <c r="I669" s="1119">
        <v>0.88919999999999988</v>
      </c>
      <c r="J669" s="1119">
        <v>0.88579999999999992</v>
      </c>
      <c r="K669" s="1120">
        <v>27.54</v>
      </c>
      <c r="L669" s="1119">
        <v>7.0765000000000002</v>
      </c>
      <c r="N669" s="1120">
        <v>36.270000000000003</v>
      </c>
      <c r="O669" s="1119">
        <v>7.4644000000000004</v>
      </c>
      <c r="P669" s="1119">
        <v>0.84302999999999995</v>
      </c>
      <c r="Q669" s="1119">
        <v>0.83949999999999947</v>
      </c>
      <c r="S669" s="1119">
        <v>7.4644000000000004</v>
      </c>
      <c r="T669" s="1120">
        <v>36.270000000000003</v>
      </c>
      <c r="U669" s="1119">
        <v>0.84302999999999995</v>
      </c>
      <c r="V669" s="1119">
        <v>0.83949999999999947</v>
      </c>
    </row>
    <row r="670" spans="4:22">
      <c r="D670" s="1119">
        <v>0.88589999999999991</v>
      </c>
      <c r="E670" s="1119">
        <v>0.88929999999999987</v>
      </c>
      <c r="F670" s="1120">
        <v>27.53</v>
      </c>
      <c r="G670" s="1119">
        <v>7.0757000000000003</v>
      </c>
      <c r="I670" s="1119">
        <v>0.88929999999999987</v>
      </c>
      <c r="J670" s="1119">
        <v>0.88589999999999991</v>
      </c>
      <c r="K670" s="1120">
        <v>27.53</v>
      </c>
      <c r="L670" s="1119">
        <v>7.0757000000000003</v>
      </c>
      <c r="N670" s="1120">
        <v>36.28</v>
      </c>
      <c r="O670" s="1119">
        <v>7.4653</v>
      </c>
      <c r="P670" s="1119">
        <v>0.84292999999999996</v>
      </c>
      <c r="Q670" s="1119">
        <v>0.83939999999999948</v>
      </c>
      <c r="S670" s="1119">
        <v>7.4653</v>
      </c>
      <c r="T670" s="1120">
        <v>36.28</v>
      </c>
      <c r="U670" s="1119">
        <v>0.84292999999999996</v>
      </c>
      <c r="V670" s="1119">
        <v>0.83939999999999948</v>
      </c>
    </row>
    <row r="671" spans="4:22">
      <c r="D671" s="1119">
        <v>0.8859999999999999</v>
      </c>
      <c r="E671" s="1119">
        <v>0.88939999999999986</v>
      </c>
      <c r="F671" s="1120">
        <v>27.51</v>
      </c>
      <c r="G671" s="1119">
        <v>7.0749000000000004</v>
      </c>
      <c r="I671" s="1119">
        <v>0.88939999999999986</v>
      </c>
      <c r="J671" s="1119">
        <v>0.8859999999999999</v>
      </c>
      <c r="K671" s="1120">
        <v>27.51</v>
      </c>
      <c r="L671" s="1119">
        <v>7.0749000000000004</v>
      </c>
      <c r="N671" s="1120">
        <v>36.299999999999997</v>
      </c>
      <c r="O671" s="1119">
        <v>7.4661000000000008</v>
      </c>
      <c r="P671" s="1119">
        <v>0.84284000000000003</v>
      </c>
      <c r="Q671" s="1119">
        <v>0.83929999999999949</v>
      </c>
      <c r="S671" s="1119">
        <v>7.4661000000000008</v>
      </c>
      <c r="T671" s="1120">
        <v>36.299999999999997</v>
      </c>
      <c r="U671" s="1119">
        <v>0.84284000000000003</v>
      </c>
      <c r="V671" s="1119">
        <v>0.83929999999999949</v>
      </c>
    </row>
    <row r="672" spans="4:22">
      <c r="D672" s="1119">
        <v>0.88609999999999989</v>
      </c>
      <c r="E672" s="1119">
        <v>0.88949999999999985</v>
      </c>
      <c r="F672" s="1120">
        <v>27.49</v>
      </c>
      <c r="G672" s="1119">
        <v>7.0742000000000003</v>
      </c>
      <c r="I672" s="1119">
        <v>0.88949999999999985</v>
      </c>
      <c r="J672" s="1119">
        <v>0.88609999999999989</v>
      </c>
      <c r="K672" s="1120">
        <v>27.49</v>
      </c>
      <c r="L672" s="1119">
        <v>7.0742000000000003</v>
      </c>
      <c r="N672" s="1120">
        <v>36.32</v>
      </c>
      <c r="O672" s="1119">
        <v>7.4670000000000005</v>
      </c>
      <c r="P672" s="1119">
        <v>0.84274000000000004</v>
      </c>
      <c r="Q672" s="1119">
        <v>0.8391999999999995</v>
      </c>
      <c r="S672" s="1119">
        <v>7.4670000000000005</v>
      </c>
      <c r="T672" s="1120">
        <v>36.32</v>
      </c>
      <c r="U672" s="1119">
        <v>0.84274000000000004</v>
      </c>
      <c r="V672" s="1119">
        <v>0.8391999999999995</v>
      </c>
    </row>
    <row r="673" spans="4:22">
      <c r="D673" s="1119">
        <v>0.88619999999999988</v>
      </c>
      <c r="E673" s="1119">
        <v>0.88958999999999999</v>
      </c>
      <c r="F673" s="1120">
        <v>27.47</v>
      </c>
      <c r="G673" s="1119">
        <v>7.0734000000000004</v>
      </c>
      <c r="I673" s="1119">
        <v>0.88958999999999999</v>
      </c>
      <c r="J673" s="1119">
        <v>0.88619999999999988</v>
      </c>
      <c r="K673" s="1120">
        <v>27.47</v>
      </c>
      <c r="L673" s="1119">
        <v>7.0734000000000004</v>
      </c>
      <c r="N673" s="1120">
        <v>36.340000000000003</v>
      </c>
      <c r="O673" s="1119">
        <v>7.4678000000000004</v>
      </c>
      <c r="P673" s="1119">
        <v>0.84265000000000001</v>
      </c>
      <c r="Q673" s="1119">
        <v>0.83909999999999951</v>
      </c>
      <c r="S673" s="1119">
        <v>7.4678000000000004</v>
      </c>
      <c r="T673" s="1120">
        <v>36.340000000000003</v>
      </c>
      <c r="U673" s="1119">
        <v>0.84265000000000001</v>
      </c>
      <c r="V673" s="1119">
        <v>0.83909999999999951</v>
      </c>
    </row>
    <row r="674" spans="4:22">
      <c r="D674" s="1119">
        <v>0.88629999999999987</v>
      </c>
      <c r="E674" s="1119">
        <v>0.88968999999999998</v>
      </c>
      <c r="F674" s="1120">
        <v>27.46</v>
      </c>
      <c r="G674" s="1119">
        <v>7.0727000000000002</v>
      </c>
      <c r="I674" s="1119">
        <v>0.88968999999999998</v>
      </c>
      <c r="J674" s="1119">
        <v>0.88629999999999987</v>
      </c>
      <c r="K674" s="1120">
        <v>27.46</v>
      </c>
      <c r="L674" s="1119">
        <v>7.0727000000000002</v>
      </c>
      <c r="N674" s="1120">
        <v>36.36</v>
      </c>
      <c r="O674" s="1119">
        <v>7.4687000000000001</v>
      </c>
      <c r="P674" s="1119">
        <v>0.84255000000000002</v>
      </c>
      <c r="Q674" s="1119">
        <v>0.83899999999999952</v>
      </c>
      <c r="S674" s="1119">
        <v>7.4687000000000001</v>
      </c>
      <c r="T674" s="1120">
        <v>36.36</v>
      </c>
      <c r="U674" s="1119">
        <v>0.84255000000000002</v>
      </c>
      <c r="V674" s="1119">
        <v>0.83899999999999952</v>
      </c>
    </row>
    <row r="675" spans="4:22">
      <c r="D675" s="1119">
        <v>0.88639999999999985</v>
      </c>
      <c r="E675" s="1119">
        <v>0.88978000000000002</v>
      </c>
      <c r="F675" s="1120">
        <v>27.44</v>
      </c>
      <c r="G675" s="1119">
        <v>7.0719000000000003</v>
      </c>
      <c r="I675" s="1119">
        <v>0.88978000000000002</v>
      </c>
      <c r="J675" s="1119">
        <v>0.88639999999999985</v>
      </c>
      <c r="K675" s="1120">
        <v>27.44</v>
      </c>
      <c r="L675" s="1119">
        <v>7.0719000000000003</v>
      </c>
      <c r="N675" s="1120">
        <v>36.369999999999997</v>
      </c>
      <c r="O675" s="1119">
        <v>7.4695999999999998</v>
      </c>
      <c r="P675" s="1119">
        <v>0.84245999999999999</v>
      </c>
      <c r="Q675" s="1119">
        <v>0.83889999999999953</v>
      </c>
      <c r="S675" s="1119">
        <v>7.4695999999999998</v>
      </c>
      <c r="T675" s="1120">
        <v>36.369999999999997</v>
      </c>
      <c r="U675" s="1119">
        <v>0.84245999999999999</v>
      </c>
      <c r="V675" s="1119">
        <v>0.83889999999999953</v>
      </c>
    </row>
    <row r="676" spans="4:22">
      <c r="D676" s="1119">
        <v>0.88649999999999984</v>
      </c>
      <c r="E676" s="1119">
        <v>0.88988</v>
      </c>
      <c r="F676" s="1120">
        <v>27.42</v>
      </c>
      <c r="G676" s="1119">
        <v>7.0712000000000002</v>
      </c>
      <c r="I676" s="1119">
        <v>0.88988</v>
      </c>
      <c r="J676" s="1119">
        <v>0.88649999999999984</v>
      </c>
      <c r="K676" s="1120">
        <v>27.42</v>
      </c>
      <c r="L676" s="1119">
        <v>7.0712000000000002</v>
      </c>
      <c r="N676" s="1120">
        <v>36.39</v>
      </c>
      <c r="O676" s="1119">
        <v>7.4703999999999997</v>
      </c>
      <c r="P676" s="1119">
        <v>0.84236</v>
      </c>
      <c r="Q676" s="1119">
        <v>0.83879999999999955</v>
      </c>
      <c r="S676" s="1119">
        <v>7.4703999999999997</v>
      </c>
      <c r="T676" s="1120">
        <v>36.39</v>
      </c>
      <c r="U676" s="1119">
        <v>0.84236</v>
      </c>
      <c r="V676" s="1119">
        <v>0.83879999999999955</v>
      </c>
    </row>
    <row r="677" spans="4:22">
      <c r="D677" s="1119">
        <v>0.88659999999999983</v>
      </c>
      <c r="E677" s="1119">
        <v>0.88997000000000004</v>
      </c>
      <c r="F677" s="1120">
        <v>27.41</v>
      </c>
      <c r="G677" s="1119">
        <v>7.0704000000000002</v>
      </c>
      <c r="I677" s="1119">
        <v>0.88997000000000004</v>
      </c>
      <c r="J677" s="1119">
        <v>0.88659999999999983</v>
      </c>
      <c r="K677" s="1120">
        <v>27.41</v>
      </c>
      <c r="L677" s="1119">
        <v>7.0704000000000002</v>
      </c>
      <c r="N677" s="1120">
        <v>36.409999999999997</v>
      </c>
      <c r="O677" s="1119">
        <v>7.4713000000000029</v>
      </c>
      <c r="P677" s="1119">
        <v>0.84226999999999996</v>
      </c>
      <c r="Q677" s="1119">
        <v>0.83869999999999956</v>
      </c>
      <c r="S677" s="1119">
        <v>7.4713000000000029</v>
      </c>
      <c r="T677" s="1120">
        <v>36.409999999999997</v>
      </c>
      <c r="U677" s="1119">
        <v>0.84226999999999996</v>
      </c>
      <c r="V677" s="1119">
        <v>0.83869999999999956</v>
      </c>
    </row>
    <row r="678" spans="4:22">
      <c r="D678" s="1119">
        <v>0.88669999999999982</v>
      </c>
      <c r="E678" s="1119">
        <v>0.89007000000000003</v>
      </c>
      <c r="F678" s="1120">
        <v>27.39</v>
      </c>
      <c r="G678" s="1119">
        <v>7.0696000000000003</v>
      </c>
      <c r="I678" s="1119">
        <v>0.89007000000000003</v>
      </c>
      <c r="J678" s="1119">
        <v>0.88669999999999982</v>
      </c>
      <c r="K678" s="1120">
        <v>27.39</v>
      </c>
      <c r="L678" s="1119">
        <v>7.0696000000000003</v>
      </c>
      <c r="N678" s="1120">
        <v>36.43</v>
      </c>
      <c r="O678" s="1119">
        <v>7.4721000000000029</v>
      </c>
      <c r="P678" s="1119">
        <v>0.84216999999999997</v>
      </c>
      <c r="Q678" s="1119">
        <v>0.83859999999999957</v>
      </c>
      <c r="S678" s="1119">
        <v>7.4721000000000029</v>
      </c>
      <c r="T678" s="1120">
        <v>36.43</v>
      </c>
      <c r="U678" s="1119">
        <v>0.84216999999999997</v>
      </c>
      <c r="V678" s="1119">
        <v>0.83859999999999957</v>
      </c>
    </row>
    <row r="679" spans="4:22">
      <c r="D679" s="1119">
        <v>0.88679999999999981</v>
      </c>
      <c r="E679" s="1119">
        <v>0.89015999999999995</v>
      </c>
      <c r="F679" s="1120">
        <v>27.37</v>
      </c>
      <c r="G679" s="1119">
        <v>7.0689000000000002</v>
      </c>
      <c r="I679" s="1119">
        <v>0.89015999999999995</v>
      </c>
      <c r="J679" s="1119">
        <v>0.88679999999999981</v>
      </c>
      <c r="K679" s="1120">
        <v>27.37</v>
      </c>
      <c r="L679" s="1119">
        <v>7.0689000000000002</v>
      </c>
      <c r="N679" s="1120">
        <v>36.450000000000003</v>
      </c>
      <c r="O679" s="1119">
        <v>7.4730000000000025</v>
      </c>
      <c r="P679" s="1119">
        <v>0.84208000000000005</v>
      </c>
      <c r="Q679" s="1119">
        <v>0.83849999999999958</v>
      </c>
      <c r="S679" s="1119">
        <v>7.4730000000000025</v>
      </c>
      <c r="T679" s="1120">
        <v>36.450000000000003</v>
      </c>
      <c r="U679" s="1119">
        <v>0.84208000000000005</v>
      </c>
      <c r="V679" s="1119">
        <v>0.83849999999999958</v>
      </c>
    </row>
    <row r="680" spans="4:22">
      <c r="D680" s="1119">
        <v>0.8868999999999998</v>
      </c>
      <c r="E680" s="1119">
        <v>0.89025999999999994</v>
      </c>
      <c r="F680" s="1120">
        <v>27.35</v>
      </c>
      <c r="G680" s="1119">
        <v>7.0681000000000003</v>
      </c>
      <c r="I680" s="1119">
        <v>0.89025999999999994</v>
      </c>
      <c r="J680" s="1119">
        <v>0.8868999999999998</v>
      </c>
      <c r="K680" s="1120">
        <v>27.35</v>
      </c>
      <c r="L680" s="1119">
        <v>7.0681000000000003</v>
      </c>
      <c r="N680" s="1120">
        <v>36.46</v>
      </c>
      <c r="O680" s="1119">
        <v>7.4738000000000024</v>
      </c>
      <c r="P680" s="1119">
        <v>0.84197999999999995</v>
      </c>
      <c r="Q680" s="1119">
        <v>0.83839999999999959</v>
      </c>
      <c r="S680" s="1119">
        <v>7.4738000000000024</v>
      </c>
      <c r="T680" s="1120">
        <v>36.46</v>
      </c>
      <c r="U680" s="1119">
        <v>0.84197999999999995</v>
      </c>
      <c r="V680" s="1119">
        <v>0.83839999999999959</v>
      </c>
    </row>
    <row r="681" spans="4:22">
      <c r="D681" s="1119">
        <v>0.88699999999999979</v>
      </c>
      <c r="E681" s="1119">
        <v>0.89034999999999997</v>
      </c>
      <c r="F681" s="1120">
        <v>27.34</v>
      </c>
      <c r="G681" s="1119">
        <v>7.0674000000000001</v>
      </c>
      <c r="I681" s="1119">
        <v>0.89034999999999997</v>
      </c>
      <c r="J681" s="1119">
        <v>0.88699999999999979</v>
      </c>
      <c r="K681" s="1120">
        <v>27.34</v>
      </c>
      <c r="L681" s="1119">
        <v>7.0674000000000001</v>
      </c>
      <c r="N681" s="1120">
        <v>36.479999999999997</v>
      </c>
      <c r="O681" s="1119">
        <v>7.4747000000000021</v>
      </c>
      <c r="P681" s="1119">
        <v>0.84189000000000003</v>
      </c>
      <c r="Q681" s="1119">
        <v>0.8382999999999996</v>
      </c>
      <c r="S681" s="1119">
        <v>7.4747000000000021</v>
      </c>
      <c r="T681" s="1120">
        <v>36.479999999999997</v>
      </c>
      <c r="U681" s="1119">
        <v>0.84189000000000003</v>
      </c>
      <c r="V681" s="1119">
        <v>0.8382999999999996</v>
      </c>
    </row>
    <row r="682" spans="4:22">
      <c r="D682" s="1119">
        <v>0.88709999999999978</v>
      </c>
      <c r="E682" s="1119">
        <v>0.89044999999999996</v>
      </c>
      <c r="F682" s="1120">
        <v>27.32</v>
      </c>
      <c r="G682" s="1119">
        <v>7.0666000000000002</v>
      </c>
      <c r="I682" s="1119">
        <v>0.89044999999999996</v>
      </c>
      <c r="J682" s="1119">
        <v>0.88709999999999978</v>
      </c>
      <c r="K682" s="1120">
        <v>27.32</v>
      </c>
      <c r="L682" s="1119">
        <v>7.0666000000000002</v>
      </c>
      <c r="N682" s="1120">
        <v>36.5</v>
      </c>
      <c r="O682" s="1119">
        <v>7.475500000000002</v>
      </c>
      <c r="P682" s="1119">
        <v>0.84179000000000004</v>
      </c>
      <c r="Q682" s="1119">
        <v>0.83819999999999961</v>
      </c>
      <c r="S682" s="1119">
        <v>7.475500000000002</v>
      </c>
      <c r="T682" s="1120">
        <v>36.5</v>
      </c>
      <c r="U682" s="1119">
        <v>0.84179000000000004</v>
      </c>
      <c r="V682" s="1119">
        <v>0.83819999999999961</v>
      </c>
    </row>
    <row r="683" spans="4:22">
      <c r="D683" s="1119">
        <v>0.88719999999999977</v>
      </c>
      <c r="E683" s="1119">
        <v>0.89054</v>
      </c>
      <c r="F683" s="1120">
        <v>27.3</v>
      </c>
      <c r="G683" s="1119">
        <v>7.0658000000000003</v>
      </c>
      <c r="I683" s="1119">
        <v>0.89054</v>
      </c>
      <c r="J683" s="1119">
        <v>0.88719999999999977</v>
      </c>
      <c r="K683" s="1120">
        <v>27.3</v>
      </c>
      <c r="L683" s="1119">
        <v>7.0658000000000003</v>
      </c>
      <c r="N683" s="1120">
        <v>36.520000000000003</v>
      </c>
      <c r="O683" s="1119">
        <v>7.4764000000000017</v>
      </c>
      <c r="P683" s="1119">
        <v>0.84169999999999967</v>
      </c>
      <c r="Q683" s="1119">
        <v>0.83809999999999962</v>
      </c>
      <c r="S683" s="1119">
        <v>7.4764000000000017</v>
      </c>
      <c r="T683" s="1120">
        <v>36.520000000000003</v>
      </c>
      <c r="U683" s="1119">
        <v>0.84169999999999967</v>
      </c>
      <c r="V683" s="1119">
        <v>0.83809999999999962</v>
      </c>
    </row>
    <row r="684" spans="4:22">
      <c r="D684" s="1119">
        <v>0.88729999999999976</v>
      </c>
      <c r="E684" s="1119">
        <v>0.89063999999999999</v>
      </c>
      <c r="F684" s="1120">
        <v>27.29</v>
      </c>
      <c r="G684" s="1119">
        <v>7.0651000000000002</v>
      </c>
      <c r="I684" s="1119">
        <v>0.89063999999999999</v>
      </c>
      <c r="J684" s="1119">
        <v>0.88729999999999976</v>
      </c>
      <c r="K684" s="1120">
        <v>27.29</v>
      </c>
      <c r="L684" s="1119">
        <v>7.0651000000000002</v>
      </c>
      <c r="N684" s="1120">
        <v>36.54</v>
      </c>
      <c r="O684" s="1119">
        <v>7.4772000000000016</v>
      </c>
      <c r="P684" s="1119">
        <v>0.84159999999999968</v>
      </c>
      <c r="Q684" s="1119">
        <v>0.83799999999999963</v>
      </c>
      <c r="S684" s="1119">
        <v>7.4772000000000016</v>
      </c>
      <c r="T684" s="1120">
        <v>36.54</v>
      </c>
      <c r="U684" s="1119">
        <v>0.84159999999999968</v>
      </c>
      <c r="V684" s="1119">
        <v>0.83799999999999963</v>
      </c>
    </row>
    <row r="685" spans="4:22">
      <c r="D685" s="1119">
        <v>0.88739999999999974</v>
      </c>
      <c r="E685" s="1119">
        <v>0.89073000000000002</v>
      </c>
      <c r="F685" s="1120">
        <v>27.27</v>
      </c>
      <c r="G685" s="1119">
        <v>7.0643000000000002</v>
      </c>
      <c r="I685" s="1119">
        <v>0.89073000000000002</v>
      </c>
      <c r="J685" s="1119">
        <v>0.88739999999999974</v>
      </c>
      <c r="K685" s="1120">
        <v>27.27</v>
      </c>
      <c r="L685" s="1119">
        <v>7.0643000000000002</v>
      </c>
      <c r="N685" s="1120">
        <v>36.56</v>
      </c>
      <c r="O685" s="1119">
        <v>7.4781000000000013</v>
      </c>
      <c r="P685" s="1119">
        <v>0.84149999999999969</v>
      </c>
      <c r="Q685" s="1119">
        <v>0.83789999999999965</v>
      </c>
      <c r="S685" s="1119">
        <v>7.4781000000000013</v>
      </c>
      <c r="T685" s="1120">
        <v>36.56</v>
      </c>
      <c r="U685" s="1119">
        <v>0.84149999999999969</v>
      </c>
      <c r="V685" s="1119">
        <v>0.83789999999999965</v>
      </c>
    </row>
    <row r="686" spans="4:22">
      <c r="D686" s="1119">
        <v>0.88749999999999996</v>
      </c>
      <c r="E686" s="1119">
        <v>0.89083000000000001</v>
      </c>
      <c r="F686" s="1120">
        <v>27.25</v>
      </c>
      <c r="G686" s="1119">
        <v>7.0636000000000001</v>
      </c>
      <c r="I686" s="1119">
        <v>0.89083000000000001</v>
      </c>
      <c r="J686" s="1119">
        <v>0.88749999999999996</v>
      </c>
      <c r="K686" s="1120">
        <v>27.25</v>
      </c>
      <c r="L686" s="1119">
        <v>7.0636000000000001</v>
      </c>
      <c r="N686" s="1120">
        <v>36.58</v>
      </c>
      <c r="O686" s="1119">
        <v>7.479000000000001</v>
      </c>
      <c r="P686" s="1119">
        <v>0.8413999999999997</v>
      </c>
      <c r="Q686" s="1119">
        <v>0.83779999999999966</v>
      </c>
      <c r="S686" s="1119">
        <v>7.479000000000001</v>
      </c>
      <c r="T686" s="1120">
        <v>36.58</v>
      </c>
      <c r="U686" s="1119">
        <v>0.8413999999999997</v>
      </c>
      <c r="V686" s="1119">
        <v>0.83779999999999966</v>
      </c>
    </row>
    <row r="687" spans="4:22">
      <c r="D687" s="1119">
        <v>0.88759999999999972</v>
      </c>
      <c r="E687" s="1119">
        <v>0.89092000000000005</v>
      </c>
      <c r="F687" s="1120">
        <v>27.23</v>
      </c>
      <c r="G687" s="1119">
        <v>7.0628000000000002</v>
      </c>
      <c r="I687" s="1119">
        <v>0.89092000000000005</v>
      </c>
      <c r="J687" s="1119">
        <v>0.88759999999999972</v>
      </c>
      <c r="K687" s="1120">
        <v>27.23</v>
      </c>
      <c r="L687" s="1119">
        <v>7.0628000000000002</v>
      </c>
      <c r="N687" s="1120">
        <v>36.6</v>
      </c>
      <c r="O687" s="1119">
        <v>7.4799000000000007</v>
      </c>
      <c r="P687" s="1119">
        <v>0.84129999999999971</v>
      </c>
      <c r="Q687" s="1119">
        <v>0.83769999999999967</v>
      </c>
      <c r="S687" s="1119">
        <v>7.4799000000000007</v>
      </c>
      <c r="T687" s="1120">
        <v>36.6</v>
      </c>
      <c r="U687" s="1119">
        <v>0.84129999999999971</v>
      </c>
      <c r="V687" s="1119">
        <v>0.83769999999999967</v>
      </c>
    </row>
    <row r="688" spans="4:22">
      <c r="D688" s="1119">
        <v>0.88769999999999971</v>
      </c>
      <c r="E688" s="1119">
        <v>0.89102000000000003</v>
      </c>
      <c r="F688" s="1120">
        <v>27.22</v>
      </c>
      <c r="G688" s="1119">
        <v>7.0620000000000003</v>
      </c>
      <c r="I688" s="1119">
        <v>0.89102000000000003</v>
      </c>
      <c r="J688" s="1119">
        <v>0.88769999999999971</v>
      </c>
      <c r="K688" s="1120">
        <v>27.22</v>
      </c>
      <c r="L688" s="1119">
        <v>7.0620000000000003</v>
      </c>
      <c r="N688" s="1120">
        <v>36.619999999999997</v>
      </c>
      <c r="O688" s="1119">
        <v>7.4808000000000003</v>
      </c>
      <c r="P688" s="1119">
        <v>0.84119999999999973</v>
      </c>
      <c r="Q688" s="1119">
        <v>0.83759999999999968</v>
      </c>
      <c r="S688" s="1119">
        <v>7.4808000000000003</v>
      </c>
      <c r="T688" s="1120">
        <v>36.619999999999997</v>
      </c>
      <c r="U688" s="1119">
        <v>0.84119999999999973</v>
      </c>
      <c r="V688" s="1119">
        <v>0.83759999999999968</v>
      </c>
    </row>
    <row r="689" spans="4:22">
      <c r="D689" s="1119">
        <v>0.8877999999999997</v>
      </c>
      <c r="E689" s="1119">
        <v>0.89110999999999996</v>
      </c>
      <c r="F689" s="1120">
        <v>27.2</v>
      </c>
      <c r="G689" s="1119">
        <v>7.0613000000000001</v>
      </c>
      <c r="I689" s="1119">
        <v>0.89110999999999996</v>
      </c>
      <c r="J689" s="1119">
        <v>0.8877999999999997</v>
      </c>
      <c r="K689" s="1120">
        <v>27.2</v>
      </c>
      <c r="L689" s="1119">
        <v>7.0613000000000001</v>
      </c>
      <c r="N689" s="1120">
        <v>36.64</v>
      </c>
      <c r="O689" s="1119">
        <v>7.4810000000000079</v>
      </c>
      <c r="P689" s="1119">
        <v>0.84109999999999974</v>
      </c>
      <c r="Q689" s="1119">
        <v>0.83750000000000002</v>
      </c>
      <c r="S689" s="1119">
        <v>7.4810000000000079</v>
      </c>
      <c r="T689" s="1120">
        <v>36.64</v>
      </c>
      <c r="U689" s="1119">
        <v>0.84109999999999974</v>
      </c>
      <c r="V689" s="1119">
        <v>0.83750000000000002</v>
      </c>
    </row>
    <row r="690" spans="4:22">
      <c r="D690" s="1119">
        <v>0.88789999999999969</v>
      </c>
      <c r="E690" s="1119">
        <v>0.89120999999999995</v>
      </c>
      <c r="F690" s="1120">
        <v>27.18</v>
      </c>
      <c r="G690" s="1119">
        <v>7.0605000000000002</v>
      </c>
      <c r="I690" s="1119">
        <v>0.89120999999999995</v>
      </c>
      <c r="J690" s="1119">
        <v>0.88789999999999969</v>
      </c>
      <c r="K690" s="1120">
        <v>27.18</v>
      </c>
      <c r="L690" s="1119">
        <v>7.0605000000000002</v>
      </c>
      <c r="N690" s="1120">
        <v>36.659999999999997</v>
      </c>
      <c r="O690" s="1119">
        <v>7.4819000000000075</v>
      </c>
      <c r="P690" s="1119">
        <v>0.84099999999999975</v>
      </c>
      <c r="Q690" s="1119">
        <v>0.8373999999999997</v>
      </c>
      <c r="S690" s="1119">
        <v>7.4819000000000075</v>
      </c>
      <c r="T690" s="1120">
        <v>36.659999999999997</v>
      </c>
      <c r="U690" s="1119">
        <v>0.84099999999999975</v>
      </c>
      <c r="V690" s="1119">
        <v>0.8373999999999997</v>
      </c>
    </row>
    <row r="691" spans="4:22">
      <c r="D691" s="1119">
        <v>0.88799999999999968</v>
      </c>
      <c r="E691" s="1119">
        <v>0.89129999999999998</v>
      </c>
      <c r="F691" s="1120">
        <v>27.17</v>
      </c>
      <c r="G691" s="1119">
        <v>7.0598000000000001</v>
      </c>
      <c r="I691" s="1119">
        <v>0.89129999999999998</v>
      </c>
      <c r="J691" s="1119">
        <v>0.88799999999999968</v>
      </c>
      <c r="K691" s="1120">
        <v>27.17</v>
      </c>
      <c r="L691" s="1119">
        <v>7.0598000000000001</v>
      </c>
      <c r="N691" s="1120">
        <v>36.68</v>
      </c>
      <c r="O691" s="1119">
        <v>7.4828000000000072</v>
      </c>
      <c r="P691" s="1119">
        <v>0.84089999999999976</v>
      </c>
      <c r="Q691" s="1119">
        <v>0.83729999999999971</v>
      </c>
      <c r="S691" s="1119">
        <v>7.4828000000000072</v>
      </c>
      <c r="T691" s="1120">
        <v>36.68</v>
      </c>
      <c r="U691" s="1119">
        <v>0.84089999999999976</v>
      </c>
      <c r="V691" s="1119">
        <v>0.83729999999999971</v>
      </c>
    </row>
    <row r="692" spans="4:22">
      <c r="D692" s="1119">
        <v>0.88809999999999967</v>
      </c>
      <c r="E692" s="1119">
        <v>0.89139999999999997</v>
      </c>
      <c r="F692" s="1120">
        <v>27.15</v>
      </c>
      <c r="G692" s="1119">
        <v>7.0590000000000002</v>
      </c>
      <c r="I692" s="1119">
        <v>0.89139999999999997</v>
      </c>
      <c r="J692" s="1119">
        <v>0.88809999999999967</v>
      </c>
      <c r="K692" s="1120">
        <v>27.15</v>
      </c>
      <c r="L692" s="1119">
        <v>7.0590000000000002</v>
      </c>
      <c r="N692" s="1120">
        <v>36.700000000000003</v>
      </c>
      <c r="O692" s="1119">
        <v>7.4837000000000069</v>
      </c>
      <c r="P692" s="1119">
        <v>0.84079999999999977</v>
      </c>
      <c r="Q692" s="1119">
        <v>0.83719999999999972</v>
      </c>
      <c r="S692" s="1119">
        <v>7.4837000000000069</v>
      </c>
      <c r="T692" s="1120">
        <v>36.700000000000003</v>
      </c>
      <c r="U692" s="1119">
        <v>0.84079999999999977</v>
      </c>
      <c r="V692" s="1119">
        <v>0.83719999999999972</v>
      </c>
    </row>
    <row r="693" spans="4:22">
      <c r="D693" s="1119">
        <v>0.88819999999999966</v>
      </c>
      <c r="E693" s="1119">
        <v>0.89149999999999996</v>
      </c>
      <c r="F693" s="1120">
        <v>27.13</v>
      </c>
      <c r="G693" s="1119">
        <v>7.0582000000000003</v>
      </c>
      <c r="I693" s="1119">
        <v>0.89149999999999996</v>
      </c>
      <c r="J693" s="1119">
        <v>0.88819999999999966</v>
      </c>
      <c r="K693" s="1120">
        <v>27.13</v>
      </c>
      <c r="L693" s="1119">
        <v>7.0582000000000003</v>
      </c>
      <c r="N693" s="1120">
        <v>36.72</v>
      </c>
      <c r="O693" s="1119">
        <v>7.4846000000000066</v>
      </c>
      <c r="P693" s="1119">
        <v>0.84069999999999978</v>
      </c>
      <c r="Q693" s="1119">
        <v>0.83709999999999973</v>
      </c>
      <c r="S693" s="1119">
        <v>7.4846000000000066</v>
      </c>
      <c r="T693" s="1120">
        <v>36.72</v>
      </c>
      <c r="U693" s="1119">
        <v>0.84069999999999978</v>
      </c>
      <c r="V693" s="1119">
        <v>0.83709999999999973</v>
      </c>
    </row>
    <row r="694" spans="4:22">
      <c r="D694" s="1119">
        <v>0.88829999999999965</v>
      </c>
      <c r="E694" s="1119">
        <v>0.89159999999999995</v>
      </c>
      <c r="F694" s="1120">
        <v>27.11</v>
      </c>
      <c r="G694" s="1119">
        <v>7.0574000000000003</v>
      </c>
      <c r="I694" s="1119">
        <v>0.89159999999999995</v>
      </c>
      <c r="J694" s="1119">
        <v>0.88829999999999965</v>
      </c>
      <c r="K694" s="1120">
        <v>27.11</v>
      </c>
      <c r="L694" s="1119">
        <v>7.0574000000000003</v>
      </c>
      <c r="N694" s="1120">
        <v>36.74</v>
      </c>
      <c r="O694" s="1119">
        <v>7.4855000000000063</v>
      </c>
      <c r="P694" s="1119">
        <v>0.84059999999999979</v>
      </c>
      <c r="Q694" s="1119">
        <v>0.83699999999999974</v>
      </c>
      <c r="S694" s="1119">
        <v>7.4855000000000063</v>
      </c>
      <c r="T694" s="1120">
        <v>36.74</v>
      </c>
      <c r="U694" s="1119">
        <v>0.84059999999999979</v>
      </c>
      <c r="V694" s="1119">
        <v>0.83699999999999974</v>
      </c>
    </row>
    <row r="695" spans="4:22">
      <c r="D695" s="1119">
        <v>0.88839999999999963</v>
      </c>
      <c r="E695" s="1119">
        <v>0.89169999999999994</v>
      </c>
      <c r="F695" s="1120">
        <v>27.09</v>
      </c>
      <c r="G695" s="1119">
        <v>7.0564999999999998</v>
      </c>
      <c r="I695" s="1119">
        <v>0.89169999999999994</v>
      </c>
      <c r="J695" s="1119">
        <v>0.88839999999999963</v>
      </c>
      <c r="K695" s="1120">
        <v>27.09</v>
      </c>
      <c r="L695" s="1119">
        <v>7.0564999999999998</v>
      </c>
      <c r="N695" s="1120">
        <v>36.76</v>
      </c>
      <c r="O695" s="1119">
        <v>7.4864000000000059</v>
      </c>
      <c r="P695" s="1119">
        <v>0.8404999999999998</v>
      </c>
      <c r="Q695" s="1119">
        <v>0.83689999999999976</v>
      </c>
      <c r="S695" s="1119">
        <v>7.4864000000000059</v>
      </c>
      <c r="T695" s="1120">
        <v>36.76</v>
      </c>
      <c r="U695" s="1119">
        <v>0.8404999999999998</v>
      </c>
      <c r="V695" s="1119">
        <v>0.83689999999999976</v>
      </c>
    </row>
    <row r="696" spans="4:22">
      <c r="D696" s="1119">
        <v>0.88849999999999962</v>
      </c>
      <c r="E696" s="1119">
        <v>0.89179999999999993</v>
      </c>
      <c r="F696" s="1120">
        <v>27.08</v>
      </c>
      <c r="G696" s="1119">
        <v>7.0557999999999996</v>
      </c>
      <c r="I696" s="1119">
        <v>0.89179999999999993</v>
      </c>
      <c r="J696" s="1119">
        <v>0.88849999999999962</v>
      </c>
      <c r="K696" s="1120">
        <v>27.08</v>
      </c>
      <c r="L696" s="1119">
        <v>7.0557999999999996</v>
      </c>
      <c r="N696" s="1120">
        <v>36.78</v>
      </c>
      <c r="O696" s="1119">
        <v>7.4873000000000056</v>
      </c>
      <c r="P696" s="1119">
        <v>0.84039999999999981</v>
      </c>
      <c r="Q696" s="1119">
        <v>0.83679999999999977</v>
      </c>
      <c r="S696" s="1119">
        <v>7.4873000000000056</v>
      </c>
      <c r="T696" s="1120">
        <v>36.78</v>
      </c>
      <c r="U696" s="1119">
        <v>0.84039999999999981</v>
      </c>
      <c r="V696" s="1119">
        <v>0.83679999999999977</v>
      </c>
    </row>
    <row r="697" spans="4:22">
      <c r="D697" s="1119">
        <v>0.88859999999999961</v>
      </c>
      <c r="E697" s="1119">
        <v>0.89189999999999992</v>
      </c>
      <c r="F697" s="1120">
        <v>27.06</v>
      </c>
      <c r="G697" s="1119">
        <v>7.0549999999999997</v>
      </c>
      <c r="I697" s="1119">
        <v>0.89189999999999992</v>
      </c>
      <c r="J697" s="1119">
        <v>0.88859999999999961</v>
      </c>
      <c r="K697" s="1120">
        <v>27.06</v>
      </c>
      <c r="L697" s="1119">
        <v>7.0549999999999997</v>
      </c>
      <c r="N697" s="1120">
        <v>36.799999999999997</v>
      </c>
      <c r="O697" s="1119">
        <v>7.4882000000000053</v>
      </c>
      <c r="P697" s="1119">
        <v>0.84029999999999982</v>
      </c>
      <c r="Q697" s="1119">
        <v>0.83669999999999978</v>
      </c>
      <c r="S697" s="1119">
        <v>7.4882000000000053</v>
      </c>
      <c r="T697" s="1120">
        <v>36.799999999999997</v>
      </c>
      <c r="U697" s="1119">
        <v>0.84029999999999982</v>
      </c>
      <c r="V697" s="1119">
        <v>0.83669999999999978</v>
      </c>
    </row>
    <row r="698" spans="4:22">
      <c r="D698" s="1119">
        <v>0.8886999999999996</v>
      </c>
      <c r="E698" s="1119">
        <v>0.8919999999999999</v>
      </c>
      <c r="F698" s="1120">
        <v>27.04</v>
      </c>
      <c r="G698" s="1119">
        <v>7.0541999999999998</v>
      </c>
      <c r="I698" s="1119">
        <v>0.8919999999999999</v>
      </c>
      <c r="J698" s="1119">
        <v>0.8886999999999996</v>
      </c>
      <c r="K698" s="1120">
        <v>27.04</v>
      </c>
      <c r="L698" s="1119">
        <v>7.0541999999999998</v>
      </c>
      <c r="N698" s="1120">
        <v>36.82</v>
      </c>
      <c r="O698" s="1119">
        <v>7.489100000000005</v>
      </c>
      <c r="P698" s="1119">
        <v>0.84019999999999984</v>
      </c>
      <c r="Q698" s="1119">
        <v>0.83659999999999979</v>
      </c>
      <c r="S698" s="1119">
        <v>7.489100000000005</v>
      </c>
      <c r="T698" s="1120">
        <v>36.82</v>
      </c>
      <c r="U698" s="1119">
        <v>0.84019999999999984</v>
      </c>
      <c r="V698" s="1119">
        <v>0.83659999999999979</v>
      </c>
    </row>
    <row r="699" spans="4:22">
      <c r="D699" s="1119">
        <v>0.88879999999999959</v>
      </c>
      <c r="E699" s="1119">
        <v>0.89209999999999989</v>
      </c>
      <c r="F699" s="1120">
        <v>27.02</v>
      </c>
      <c r="G699" s="1119">
        <v>7.0533999999999999</v>
      </c>
      <c r="I699" s="1119">
        <v>0.89209999999999989</v>
      </c>
      <c r="J699" s="1119">
        <v>0.88879999999999959</v>
      </c>
      <c r="K699" s="1120">
        <v>27.02</v>
      </c>
      <c r="L699" s="1119">
        <v>7.0533999999999999</v>
      </c>
      <c r="N699" s="1120">
        <v>36.840000000000003</v>
      </c>
      <c r="O699" s="1119">
        <v>7.49</v>
      </c>
      <c r="P699" s="1119">
        <v>0.84009999999999985</v>
      </c>
      <c r="Q699" s="1119">
        <v>0.8364999999999998</v>
      </c>
      <c r="S699" s="1119">
        <v>7.49</v>
      </c>
      <c r="T699" s="1120">
        <v>36.840000000000003</v>
      </c>
      <c r="U699" s="1119">
        <v>0.84009999999999985</v>
      </c>
      <c r="V699" s="1119">
        <v>0.8364999999999998</v>
      </c>
    </row>
    <row r="700" spans="4:22">
      <c r="D700" s="1119">
        <v>0.88889999999999958</v>
      </c>
      <c r="E700" s="1119">
        <v>0.89219999999999988</v>
      </c>
      <c r="F700" s="1120">
        <v>27.01</v>
      </c>
      <c r="G700" s="1119">
        <v>7.0526</v>
      </c>
      <c r="I700" s="1119">
        <v>0.89219999999999988</v>
      </c>
      <c r="J700" s="1119">
        <v>0.88889999999999958</v>
      </c>
      <c r="K700" s="1120">
        <v>27.01</v>
      </c>
      <c r="L700" s="1119">
        <v>7.0526</v>
      </c>
      <c r="N700" s="1120">
        <v>36.86</v>
      </c>
      <c r="O700" s="1119">
        <v>7.4909000000000043</v>
      </c>
      <c r="P700" s="1119">
        <v>0.84</v>
      </c>
      <c r="Q700" s="1119">
        <v>0.83639999999999981</v>
      </c>
      <c r="S700" s="1119">
        <v>7.4909000000000043</v>
      </c>
      <c r="T700" s="1120">
        <v>36.86</v>
      </c>
      <c r="U700" s="1119">
        <v>0.84</v>
      </c>
      <c r="V700" s="1119">
        <v>0.83639999999999981</v>
      </c>
    </row>
    <row r="701" spans="4:22">
      <c r="D701" s="1119">
        <v>0.88899999999999957</v>
      </c>
      <c r="E701" s="1119">
        <v>0.89229999999999987</v>
      </c>
      <c r="F701" s="1120">
        <v>26.99</v>
      </c>
      <c r="G701" s="1119">
        <v>7.0518000000000001</v>
      </c>
      <c r="I701" s="1119">
        <v>0.89229999999999987</v>
      </c>
      <c r="J701" s="1119">
        <v>0.88899999999999957</v>
      </c>
      <c r="K701" s="1120">
        <v>26.99</v>
      </c>
      <c r="L701" s="1119">
        <v>7.0518000000000001</v>
      </c>
      <c r="N701" s="1120">
        <v>36.880000000000003</v>
      </c>
      <c r="O701" s="1119">
        <v>7.491800000000004</v>
      </c>
      <c r="P701" s="1119">
        <v>0.83989999999999987</v>
      </c>
      <c r="Q701" s="1119">
        <v>0.83629999999999982</v>
      </c>
      <c r="S701" s="1119">
        <v>7.491800000000004</v>
      </c>
      <c r="T701" s="1120">
        <v>36.880000000000003</v>
      </c>
      <c r="U701" s="1119">
        <v>0.83989999999999987</v>
      </c>
      <c r="V701" s="1119">
        <v>0.83629999999999982</v>
      </c>
    </row>
    <row r="702" spans="4:22">
      <c r="D702" s="1119">
        <v>0.88909999999999956</v>
      </c>
      <c r="E702" s="1119">
        <v>0.89239999999999986</v>
      </c>
      <c r="F702" s="1120">
        <v>26.97</v>
      </c>
      <c r="G702" s="1119">
        <v>7.0510000000000002</v>
      </c>
      <c r="I702" s="1119">
        <v>0.89239999999999986</v>
      </c>
      <c r="J702" s="1119">
        <v>0.88909999999999956</v>
      </c>
      <c r="K702" s="1120">
        <v>26.97</v>
      </c>
      <c r="L702" s="1119">
        <v>7.0510000000000002</v>
      </c>
      <c r="N702" s="1120">
        <v>36.9</v>
      </c>
      <c r="O702" s="1119">
        <v>7.4927000000000037</v>
      </c>
      <c r="P702" s="1119">
        <v>0.83979999999999988</v>
      </c>
      <c r="Q702" s="1119">
        <v>0.83619999999999983</v>
      </c>
      <c r="S702" s="1119">
        <v>7.4927000000000037</v>
      </c>
      <c r="T702" s="1120">
        <v>36.9</v>
      </c>
      <c r="U702" s="1119">
        <v>0.83979999999999988</v>
      </c>
      <c r="V702" s="1119">
        <v>0.83619999999999983</v>
      </c>
    </row>
    <row r="703" spans="4:22">
      <c r="D703" s="1119">
        <v>0.88919999999999955</v>
      </c>
      <c r="E703" s="1119">
        <v>0.89249999999999996</v>
      </c>
      <c r="F703" s="1120">
        <v>26.96</v>
      </c>
      <c r="G703" s="1119">
        <v>7.0502000000000002</v>
      </c>
      <c r="I703" s="1119">
        <v>0.89249999999999996</v>
      </c>
      <c r="J703" s="1119">
        <v>0.88919999999999955</v>
      </c>
      <c r="K703" s="1120">
        <v>26.96</v>
      </c>
      <c r="L703" s="1119">
        <v>7.0502000000000002</v>
      </c>
      <c r="N703" s="1120">
        <v>36.92</v>
      </c>
      <c r="O703" s="1119">
        <v>7.4936000000000034</v>
      </c>
      <c r="P703" s="1119">
        <v>0.83969999999999989</v>
      </c>
      <c r="Q703" s="1119">
        <v>0.83609999999999984</v>
      </c>
      <c r="S703" s="1119">
        <v>7.4936000000000034</v>
      </c>
      <c r="T703" s="1120">
        <v>36.92</v>
      </c>
      <c r="U703" s="1119">
        <v>0.83969999999999989</v>
      </c>
      <c r="V703" s="1119">
        <v>0.83609999999999984</v>
      </c>
    </row>
    <row r="704" spans="4:22">
      <c r="D704" s="1119">
        <v>0.88929999999999954</v>
      </c>
      <c r="E704" s="1119">
        <v>0.89259999999999984</v>
      </c>
      <c r="F704" s="1120">
        <v>26.94</v>
      </c>
      <c r="G704" s="1119">
        <v>7.0494000000000003</v>
      </c>
      <c r="I704" s="1119">
        <v>0.89259999999999984</v>
      </c>
      <c r="J704" s="1119">
        <v>0.88929999999999954</v>
      </c>
      <c r="K704" s="1120">
        <v>26.94</v>
      </c>
      <c r="L704" s="1119">
        <v>7.0494000000000003</v>
      </c>
      <c r="N704" s="1120">
        <v>36.94</v>
      </c>
      <c r="O704" s="1119">
        <v>7.494500000000003</v>
      </c>
      <c r="P704" s="1119">
        <v>0.8395999999999999</v>
      </c>
      <c r="Q704" s="1119">
        <v>0.83599999999999985</v>
      </c>
      <c r="S704" s="1119">
        <v>7.494500000000003</v>
      </c>
      <c r="T704" s="1120">
        <v>36.94</v>
      </c>
      <c r="U704" s="1119">
        <v>0.8395999999999999</v>
      </c>
      <c r="V704" s="1119">
        <v>0.83599999999999985</v>
      </c>
    </row>
    <row r="705" spans="4:22">
      <c r="D705" s="1119">
        <v>0.88939999999999952</v>
      </c>
      <c r="E705" s="1119">
        <v>0.89269999999999983</v>
      </c>
      <c r="F705" s="1120">
        <v>26.92</v>
      </c>
      <c r="G705" s="1119">
        <v>7.0486000000000004</v>
      </c>
      <c r="I705" s="1119">
        <v>0.89269999999999983</v>
      </c>
      <c r="J705" s="1119">
        <v>0.88939999999999952</v>
      </c>
      <c r="K705" s="1120">
        <v>26.92</v>
      </c>
      <c r="L705" s="1119">
        <v>7.0486000000000004</v>
      </c>
      <c r="N705" s="1120">
        <v>36.97</v>
      </c>
      <c r="O705" s="1119">
        <v>7.4954000000000027</v>
      </c>
      <c r="P705" s="1119">
        <v>0.83949999999999991</v>
      </c>
      <c r="Q705" s="1119">
        <v>0.83589999999999987</v>
      </c>
      <c r="S705" s="1119">
        <v>7.4954000000000027</v>
      </c>
      <c r="T705" s="1120">
        <v>36.97</v>
      </c>
      <c r="U705" s="1119">
        <v>0.83949999999999991</v>
      </c>
      <c r="V705" s="1119">
        <v>0.83589999999999987</v>
      </c>
    </row>
    <row r="706" spans="4:22">
      <c r="D706" s="1119">
        <v>0.88949999999999951</v>
      </c>
      <c r="E706" s="1119">
        <v>0.89279999999999982</v>
      </c>
      <c r="F706" s="1120">
        <v>26.9</v>
      </c>
      <c r="G706" s="1119">
        <v>7.0477999999999996</v>
      </c>
      <c r="I706" s="1119">
        <v>0.89279999999999982</v>
      </c>
      <c r="J706" s="1119">
        <v>0.88949999999999951</v>
      </c>
      <c r="K706" s="1120">
        <v>26.9</v>
      </c>
      <c r="L706" s="1119">
        <v>7.0477999999999996</v>
      </c>
      <c r="N706" s="1120">
        <v>36.99</v>
      </c>
      <c r="O706" s="1119">
        <v>7.4963000000000024</v>
      </c>
      <c r="P706" s="1119">
        <v>0.83939999999999992</v>
      </c>
      <c r="Q706" s="1119">
        <v>0.83579999999999988</v>
      </c>
      <c r="S706" s="1119">
        <v>7.4963000000000024</v>
      </c>
      <c r="T706" s="1120">
        <v>36.99</v>
      </c>
      <c r="U706" s="1119">
        <v>0.83939999999999992</v>
      </c>
      <c r="V706" s="1119">
        <v>0.83579999999999988</v>
      </c>
    </row>
    <row r="707" spans="4:22">
      <c r="D707" s="1119">
        <v>0.8895999999999995</v>
      </c>
      <c r="E707" s="1119">
        <v>0.8928999999999998</v>
      </c>
      <c r="F707" s="1120">
        <v>26.89</v>
      </c>
      <c r="G707" s="1119">
        <v>7.0469999999999997</v>
      </c>
      <c r="I707" s="1119">
        <v>0.8928999999999998</v>
      </c>
      <c r="J707" s="1119">
        <v>0.8895999999999995</v>
      </c>
      <c r="K707" s="1120">
        <v>26.89</v>
      </c>
      <c r="L707" s="1119">
        <v>7.0469999999999997</v>
      </c>
      <c r="N707" s="1120">
        <v>37.01</v>
      </c>
      <c r="O707" s="1119">
        <v>7.4972000000000021</v>
      </c>
      <c r="P707" s="1119">
        <v>0.83929999999999993</v>
      </c>
      <c r="Q707" s="1119">
        <v>0.83569999999999989</v>
      </c>
      <c r="S707" s="1119">
        <v>7.4972000000000021</v>
      </c>
      <c r="T707" s="1120">
        <v>37.01</v>
      </c>
      <c r="U707" s="1119">
        <v>0.83929999999999993</v>
      </c>
      <c r="V707" s="1119">
        <v>0.83569999999999989</v>
      </c>
    </row>
    <row r="708" spans="4:22">
      <c r="D708" s="1119">
        <v>0.88969999999999949</v>
      </c>
      <c r="E708" s="1119">
        <v>0.89299999999999979</v>
      </c>
      <c r="F708" s="1120">
        <v>26.87</v>
      </c>
      <c r="G708" s="1119">
        <v>7.0461999999999998</v>
      </c>
      <c r="I708" s="1119">
        <v>0.89299999999999979</v>
      </c>
      <c r="J708" s="1119">
        <v>0.88969999999999949</v>
      </c>
      <c r="K708" s="1120">
        <v>26.87</v>
      </c>
      <c r="L708" s="1119">
        <v>7.0461999999999998</v>
      </c>
      <c r="N708" s="1120">
        <v>37.03</v>
      </c>
      <c r="O708" s="1119">
        <v>7.4981000000000018</v>
      </c>
      <c r="P708" s="1119">
        <v>0.83919999999999995</v>
      </c>
      <c r="Q708" s="1119">
        <v>0.8355999999999999</v>
      </c>
      <c r="S708" s="1119">
        <v>7.4981000000000018</v>
      </c>
      <c r="T708" s="1120">
        <v>37.03</v>
      </c>
      <c r="U708" s="1119">
        <v>0.83919999999999995</v>
      </c>
      <c r="V708" s="1119">
        <v>0.8355999999999999</v>
      </c>
    </row>
    <row r="709" spans="4:22">
      <c r="D709" s="1119">
        <v>0.88979999999999948</v>
      </c>
      <c r="E709" s="1119">
        <v>0.89309999999999978</v>
      </c>
      <c r="F709" s="1120">
        <v>26.85</v>
      </c>
      <c r="G709" s="1119">
        <v>7.0453999999999999</v>
      </c>
      <c r="I709" s="1119">
        <v>0.89309999999999978</v>
      </c>
      <c r="J709" s="1119">
        <v>0.88979999999999948</v>
      </c>
      <c r="K709" s="1120">
        <v>26.85</v>
      </c>
      <c r="L709" s="1119">
        <v>7.0453999999999999</v>
      </c>
      <c r="N709" s="1120">
        <v>37.049999999999997</v>
      </c>
      <c r="O709" s="1119">
        <v>7.4990000000000014</v>
      </c>
      <c r="P709" s="1119">
        <v>0.83909999999999996</v>
      </c>
      <c r="Q709" s="1119">
        <v>0.83549999999999991</v>
      </c>
      <c r="S709" s="1119">
        <v>7.4990000000000014</v>
      </c>
      <c r="T709" s="1120">
        <v>37.049999999999997</v>
      </c>
      <c r="U709" s="1119">
        <v>0.83909999999999996</v>
      </c>
      <c r="V709" s="1119">
        <v>0.83549999999999991</v>
      </c>
    </row>
    <row r="710" spans="4:22">
      <c r="D710" s="1119">
        <v>0.88989999999999947</v>
      </c>
      <c r="E710" s="1119">
        <v>0.89319999999999977</v>
      </c>
      <c r="F710" s="1120">
        <v>26.83</v>
      </c>
      <c r="G710" s="1119">
        <v>7.0446</v>
      </c>
      <c r="I710" s="1119">
        <v>0.89319999999999977</v>
      </c>
      <c r="J710" s="1119">
        <v>0.88989999999999947</v>
      </c>
      <c r="K710" s="1120">
        <v>26.83</v>
      </c>
      <c r="L710" s="1119">
        <v>7.0446</v>
      </c>
      <c r="N710" s="1120">
        <v>37.07</v>
      </c>
      <c r="O710" s="1119">
        <v>7.4999000000000011</v>
      </c>
      <c r="P710" s="1119">
        <v>0.83899999999999997</v>
      </c>
      <c r="Q710" s="1119">
        <v>0.83539999999999992</v>
      </c>
      <c r="S710" s="1119">
        <v>7.4999000000000011</v>
      </c>
      <c r="T710" s="1120">
        <v>37.07</v>
      </c>
      <c r="U710" s="1119">
        <v>0.83899999999999997</v>
      </c>
      <c r="V710" s="1119">
        <v>0.83539999999999992</v>
      </c>
    </row>
    <row r="711" spans="4:22">
      <c r="D711" s="1119">
        <v>0.88999999999999946</v>
      </c>
      <c r="E711" s="1119">
        <v>0.89329999999999976</v>
      </c>
      <c r="F711" s="1120">
        <v>26.82</v>
      </c>
      <c r="G711" s="1119">
        <v>7.0438000000000001</v>
      </c>
      <c r="I711" s="1119">
        <v>0.89329999999999976</v>
      </c>
      <c r="J711" s="1119">
        <v>0.88999999999999946</v>
      </c>
      <c r="K711" s="1120">
        <v>26.82</v>
      </c>
      <c r="L711" s="1119">
        <v>7.0438000000000001</v>
      </c>
      <c r="N711" s="1120">
        <v>37.090000000000003</v>
      </c>
      <c r="O711" s="1119">
        <v>7.5008000000000008</v>
      </c>
      <c r="P711" s="1119">
        <v>0.83889999999999998</v>
      </c>
      <c r="Q711" s="1119">
        <v>0.83529999999999993</v>
      </c>
      <c r="S711" s="1119">
        <v>7.5008000000000008</v>
      </c>
      <c r="T711" s="1120">
        <v>37.090000000000003</v>
      </c>
      <c r="U711" s="1119">
        <v>0.83889999999999998</v>
      </c>
      <c r="V711" s="1119">
        <v>0.83529999999999993</v>
      </c>
    </row>
    <row r="712" spans="4:22">
      <c r="D712" s="1119">
        <v>0.89009999999999945</v>
      </c>
      <c r="E712" s="1119">
        <v>0.89339999999999975</v>
      </c>
      <c r="F712" s="1120">
        <v>26.8</v>
      </c>
      <c r="G712" s="1119">
        <v>7.0430000000000001</v>
      </c>
      <c r="I712" s="1119">
        <v>0.89339999999999975</v>
      </c>
      <c r="J712" s="1119">
        <v>0.89009999999999945</v>
      </c>
      <c r="K712" s="1120">
        <v>26.8</v>
      </c>
      <c r="L712" s="1119">
        <v>7.0430000000000001</v>
      </c>
      <c r="N712" s="1120">
        <v>37.11</v>
      </c>
      <c r="O712" s="1119">
        <v>7.5017000000000005</v>
      </c>
      <c r="P712" s="1119">
        <v>0.83879999999999999</v>
      </c>
      <c r="Q712" s="1119">
        <v>0.83519999999999994</v>
      </c>
      <c r="S712" s="1119">
        <v>7.5017000000000005</v>
      </c>
      <c r="T712" s="1120">
        <v>37.11</v>
      </c>
      <c r="U712" s="1119">
        <v>0.83879999999999999</v>
      </c>
      <c r="V712" s="1119">
        <v>0.83519999999999994</v>
      </c>
    </row>
    <row r="713" spans="4:22">
      <c r="D713" s="1119">
        <v>0.89019999999999999</v>
      </c>
      <c r="E713" s="1119">
        <v>0.89349999999999996</v>
      </c>
      <c r="F713" s="1120">
        <v>26.78</v>
      </c>
      <c r="G713" s="1119">
        <v>7.0422000000000002</v>
      </c>
      <c r="I713" s="1119">
        <v>0.89349999999999996</v>
      </c>
      <c r="J713" s="1119">
        <v>0.89019999999999999</v>
      </c>
      <c r="K713" s="1120">
        <v>26.78</v>
      </c>
      <c r="L713" s="1119">
        <v>7.0422000000000002</v>
      </c>
      <c r="N713" s="1120">
        <v>37.130000000000003</v>
      </c>
      <c r="O713" s="1119">
        <v>7.5026000000000002</v>
      </c>
      <c r="P713" s="1119">
        <v>0.8387</v>
      </c>
      <c r="Q713" s="1119">
        <v>0.83509999999999995</v>
      </c>
      <c r="S713" s="1119">
        <v>7.5026000000000002</v>
      </c>
      <c r="T713" s="1120">
        <v>37.130000000000003</v>
      </c>
      <c r="U713" s="1119">
        <v>0.8387</v>
      </c>
      <c r="V713" s="1119">
        <v>0.83509999999999995</v>
      </c>
    </row>
    <row r="714" spans="4:22">
      <c r="D714" s="1119">
        <v>0.89029999999999998</v>
      </c>
      <c r="E714" s="1119">
        <v>0.89359999999999995</v>
      </c>
      <c r="F714" s="1120">
        <v>26.76</v>
      </c>
      <c r="G714" s="1119">
        <v>7.0414000000000003</v>
      </c>
      <c r="I714" s="1119">
        <v>0.89359999999999995</v>
      </c>
      <c r="J714" s="1119">
        <v>0.89029999999999998</v>
      </c>
      <c r="K714" s="1120">
        <v>26.76</v>
      </c>
      <c r="L714" s="1119">
        <v>7.0414000000000003</v>
      </c>
      <c r="N714" s="1120">
        <v>37.15</v>
      </c>
      <c r="O714" s="1119">
        <v>7.5035000000000016</v>
      </c>
      <c r="P714" s="1119">
        <v>0.83859999999999946</v>
      </c>
      <c r="Q714" s="1119">
        <v>0.83499999999999941</v>
      </c>
      <c r="S714" s="1119">
        <v>7.5035000000000016</v>
      </c>
      <c r="T714" s="1120">
        <v>37.15</v>
      </c>
      <c r="U714" s="1119">
        <v>0.83859999999999946</v>
      </c>
      <c r="V714" s="1119">
        <v>0.83499999999999941</v>
      </c>
    </row>
    <row r="715" spans="4:22">
      <c r="D715" s="1119">
        <v>0.89039999999999997</v>
      </c>
      <c r="E715" s="1119">
        <v>0.89369999999999994</v>
      </c>
      <c r="F715" s="1120">
        <v>26.74</v>
      </c>
      <c r="G715" s="1119">
        <v>7.0406000000000004</v>
      </c>
      <c r="I715" s="1119">
        <v>0.89369999999999994</v>
      </c>
      <c r="J715" s="1119">
        <v>0.89039999999999997</v>
      </c>
      <c r="K715" s="1120">
        <v>26.74</v>
      </c>
      <c r="L715" s="1119">
        <v>7.0406000000000004</v>
      </c>
      <c r="N715" s="1120">
        <v>37.17</v>
      </c>
      <c r="O715" s="1119">
        <v>7.5044000000000013</v>
      </c>
      <c r="P715" s="1119">
        <v>0.83849999999999947</v>
      </c>
      <c r="Q715" s="1119">
        <v>0.83489999999999942</v>
      </c>
      <c r="S715" s="1119">
        <v>7.5044000000000013</v>
      </c>
      <c r="T715" s="1120">
        <v>37.17</v>
      </c>
      <c r="U715" s="1119">
        <v>0.83849999999999947</v>
      </c>
      <c r="V715" s="1119">
        <v>0.83489999999999942</v>
      </c>
    </row>
    <row r="716" spans="4:22">
      <c r="D716" s="1119">
        <v>0.89049999999999996</v>
      </c>
      <c r="E716" s="1119">
        <v>0.89379999999999993</v>
      </c>
      <c r="F716" s="1120">
        <v>26.73</v>
      </c>
      <c r="G716" s="1119">
        <v>7.0398000000000005</v>
      </c>
      <c r="I716" s="1119">
        <v>0.89379999999999993</v>
      </c>
      <c r="J716" s="1119">
        <v>0.89049999999999996</v>
      </c>
      <c r="K716" s="1120">
        <v>26.73</v>
      </c>
      <c r="L716" s="1119">
        <v>7.0398000000000005</v>
      </c>
      <c r="N716" s="1120">
        <v>37.19</v>
      </c>
      <c r="O716" s="1119">
        <v>7.505300000000001</v>
      </c>
      <c r="P716" s="1119">
        <v>0.83839999999999948</v>
      </c>
      <c r="Q716" s="1119">
        <v>0.83479999999999943</v>
      </c>
      <c r="S716" s="1119">
        <v>7.505300000000001</v>
      </c>
      <c r="T716" s="1120">
        <v>37.19</v>
      </c>
      <c r="U716" s="1119">
        <v>0.83839999999999948</v>
      </c>
      <c r="V716" s="1119">
        <v>0.83479999999999943</v>
      </c>
    </row>
    <row r="717" spans="4:22">
      <c r="D717" s="1119">
        <v>0.89059999999999995</v>
      </c>
      <c r="E717" s="1119">
        <v>0.89389999999999992</v>
      </c>
      <c r="F717" s="1120">
        <v>26.71</v>
      </c>
      <c r="G717" s="1119">
        <v>7.0390000000000006</v>
      </c>
      <c r="I717" s="1119">
        <v>0.89389999999999992</v>
      </c>
      <c r="J717" s="1119">
        <v>0.89059999999999995</v>
      </c>
      <c r="K717" s="1120">
        <v>26.71</v>
      </c>
      <c r="L717" s="1119">
        <v>7.0390000000000006</v>
      </c>
      <c r="N717" s="1120">
        <v>37.21</v>
      </c>
      <c r="O717" s="1119">
        <v>7.5062000000000006</v>
      </c>
      <c r="P717" s="1119">
        <v>0.83829999999999949</v>
      </c>
      <c r="Q717" s="1119">
        <v>0.83469999999999944</v>
      </c>
      <c r="S717" s="1119">
        <v>7.5062000000000006</v>
      </c>
      <c r="T717" s="1120">
        <v>37.21</v>
      </c>
      <c r="U717" s="1119">
        <v>0.83829999999999949</v>
      </c>
      <c r="V717" s="1119">
        <v>0.83469999999999944</v>
      </c>
    </row>
    <row r="718" spans="4:22">
      <c r="D718" s="1119">
        <v>0.89069999999999994</v>
      </c>
      <c r="E718" s="1119">
        <v>0.89399999999999991</v>
      </c>
      <c r="F718" s="1120">
        <v>26.69</v>
      </c>
      <c r="G718" s="1119">
        <v>7.0382000000000007</v>
      </c>
      <c r="I718" s="1119">
        <v>0.89399999999999991</v>
      </c>
      <c r="J718" s="1119">
        <v>0.89069999999999994</v>
      </c>
      <c r="K718" s="1120">
        <v>26.69</v>
      </c>
      <c r="L718" s="1119">
        <v>7.0382000000000007</v>
      </c>
      <c r="N718" s="1120">
        <v>37.229999999999997</v>
      </c>
      <c r="O718" s="1119">
        <v>7.5071000000000003</v>
      </c>
      <c r="P718" s="1119">
        <v>0.8381999999999995</v>
      </c>
      <c r="Q718" s="1119">
        <v>0.83459999999999945</v>
      </c>
      <c r="S718" s="1119">
        <v>7.5071000000000003</v>
      </c>
      <c r="T718" s="1120">
        <v>37.229999999999997</v>
      </c>
      <c r="U718" s="1119">
        <v>0.8381999999999995</v>
      </c>
      <c r="V718" s="1119">
        <v>0.83459999999999945</v>
      </c>
    </row>
    <row r="719" spans="4:22">
      <c r="D719" s="1119">
        <v>0.89079999999999993</v>
      </c>
      <c r="E719" s="1119">
        <v>0.89409999999999989</v>
      </c>
      <c r="F719" s="1120">
        <v>26.67</v>
      </c>
      <c r="G719" s="1119">
        <v>7.0374000000000008</v>
      </c>
      <c r="I719" s="1119">
        <v>0.89409999999999989</v>
      </c>
      <c r="J719" s="1119">
        <v>0.89079999999999993</v>
      </c>
      <c r="K719" s="1120">
        <v>26.67</v>
      </c>
      <c r="L719" s="1119">
        <v>7.0374000000000008</v>
      </c>
      <c r="N719" s="1120">
        <v>37.25</v>
      </c>
      <c r="O719" s="1119">
        <v>7.508</v>
      </c>
      <c r="P719" s="1119">
        <v>0.83809999999999951</v>
      </c>
      <c r="Q719" s="1119">
        <v>0.83449999999999946</v>
      </c>
      <c r="S719" s="1119">
        <v>7.508</v>
      </c>
      <c r="T719" s="1120">
        <v>37.25</v>
      </c>
      <c r="U719" s="1119">
        <v>0.83809999999999951</v>
      </c>
      <c r="V719" s="1119">
        <v>0.83449999999999946</v>
      </c>
    </row>
    <row r="720" spans="4:22">
      <c r="D720" s="1119">
        <v>0.89089999999999991</v>
      </c>
      <c r="E720" s="1119">
        <v>0.89419999999999988</v>
      </c>
      <c r="F720" s="1120">
        <v>26.65</v>
      </c>
      <c r="G720" s="1119">
        <v>7.0366000000000009</v>
      </c>
      <c r="I720" s="1119">
        <v>0.89419999999999988</v>
      </c>
      <c r="J720" s="1119">
        <v>0.89089999999999991</v>
      </c>
      <c r="K720" s="1120">
        <v>26.65</v>
      </c>
      <c r="L720" s="1119">
        <v>7.0366000000000009</v>
      </c>
      <c r="N720" s="1120">
        <v>37.270000000000003</v>
      </c>
      <c r="O720" s="1119">
        <v>7.5088000000000141</v>
      </c>
      <c r="P720" s="1119">
        <v>0.83799999999999952</v>
      </c>
      <c r="Q720" s="1119">
        <v>0.83439999999999948</v>
      </c>
      <c r="S720" s="1119">
        <v>7.5088000000000141</v>
      </c>
      <c r="T720" s="1120">
        <v>37.270000000000003</v>
      </c>
      <c r="U720" s="1119">
        <v>0.83799999999999952</v>
      </c>
      <c r="V720" s="1119">
        <v>0.83439999999999948</v>
      </c>
    </row>
    <row r="721" spans="4:22">
      <c r="D721" s="1119">
        <v>0.8909999999999999</v>
      </c>
      <c r="E721" s="1119">
        <v>0.89429999999999987</v>
      </c>
      <c r="F721" s="1120">
        <v>26.64</v>
      </c>
      <c r="G721" s="1119">
        <v>7.0358000000000009</v>
      </c>
      <c r="I721" s="1119">
        <v>0.89429999999999987</v>
      </c>
      <c r="J721" s="1119">
        <v>0.8909999999999999</v>
      </c>
      <c r="K721" s="1120">
        <v>26.64</v>
      </c>
      <c r="L721" s="1119">
        <v>7.0358000000000009</v>
      </c>
      <c r="N721" s="1120">
        <v>37.29</v>
      </c>
      <c r="O721" s="1119">
        <v>7.5097000000000138</v>
      </c>
      <c r="P721" s="1119">
        <v>0.83789999999999953</v>
      </c>
      <c r="Q721" s="1119">
        <v>0.83429999999999949</v>
      </c>
      <c r="S721" s="1119">
        <v>7.5097000000000138</v>
      </c>
      <c r="T721" s="1120">
        <v>37.29</v>
      </c>
      <c r="U721" s="1119">
        <v>0.83789999999999953</v>
      </c>
      <c r="V721" s="1119">
        <v>0.83429999999999949</v>
      </c>
    </row>
    <row r="722" spans="4:22">
      <c r="D722" s="1119">
        <v>0.89109999999999989</v>
      </c>
      <c r="E722" s="1119">
        <v>0.89439999999999986</v>
      </c>
      <c r="F722" s="1120">
        <v>26.62</v>
      </c>
      <c r="G722" s="1119">
        <v>7.0350000000000001</v>
      </c>
      <c r="I722" s="1119">
        <v>0.89439999999999986</v>
      </c>
      <c r="J722" s="1119">
        <v>0.89109999999999989</v>
      </c>
      <c r="K722" s="1120">
        <v>26.62</v>
      </c>
      <c r="L722" s="1119">
        <v>7.0350000000000001</v>
      </c>
      <c r="N722" s="1120">
        <v>37.31</v>
      </c>
      <c r="O722" s="1119">
        <v>7.5106000000000135</v>
      </c>
      <c r="P722" s="1119">
        <v>0.83779999999999955</v>
      </c>
      <c r="Q722" s="1119">
        <v>0.8341999999999995</v>
      </c>
      <c r="S722" s="1119">
        <v>7.5106000000000135</v>
      </c>
      <c r="T722" s="1120">
        <v>37.31</v>
      </c>
      <c r="U722" s="1119">
        <v>0.83779999999999955</v>
      </c>
      <c r="V722" s="1119">
        <v>0.8341999999999995</v>
      </c>
    </row>
    <row r="723" spans="4:22">
      <c r="D723" s="1119">
        <v>0.89119999999999988</v>
      </c>
      <c r="E723" s="1119">
        <v>0.89449999999999985</v>
      </c>
      <c r="F723" s="1120">
        <v>26.6</v>
      </c>
      <c r="G723" s="1119">
        <v>7.0342000000000011</v>
      </c>
      <c r="I723" s="1119">
        <v>0.89449999999999985</v>
      </c>
      <c r="J723" s="1119">
        <v>0.89119999999999988</v>
      </c>
      <c r="K723" s="1120">
        <v>26.6</v>
      </c>
      <c r="L723" s="1119">
        <v>7.0342000000000011</v>
      </c>
      <c r="N723" s="1120">
        <v>37.33</v>
      </c>
      <c r="O723" s="1119">
        <v>7.5115000000000132</v>
      </c>
      <c r="P723" s="1119">
        <v>0.83769999999999956</v>
      </c>
      <c r="Q723" s="1119">
        <v>0.83409999999999951</v>
      </c>
      <c r="S723" s="1119">
        <v>7.5115000000000132</v>
      </c>
      <c r="T723" s="1120">
        <v>37.33</v>
      </c>
      <c r="U723" s="1119">
        <v>0.83769999999999956</v>
      </c>
      <c r="V723" s="1119">
        <v>0.83409999999999951</v>
      </c>
    </row>
    <row r="724" spans="4:22">
      <c r="D724" s="1119">
        <v>0.89129999999999987</v>
      </c>
      <c r="E724" s="1119">
        <v>0.89459999999999984</v>
      </c>
      <c r="F724" s="1120">
        <v>26.58</v>
      </c>
      <c r="G724" s="1119">
        <v>7.0334000000000012</v>
      </c>
      <c r="I724" s="1119">
        <v>0.89459999999999984</v>
      </c>
      <c r="J724" s="1119">
        <v>0.89129999999999987</v>
      </c>
      <c r="K724" s="1120">
        <v>26.58</v>
      </c>
      <c r="L724" s="1119">
        <v>7.0334000000000012</v>
      </c>
      <c r="N724" s="1120">
        <v>37.35</v>
      </c>
      <c r="O724" s="1119">
        <v>7.5124000000000128</v>
      </c>
      <c r="P724" s="1119">
        <v>0.83759999999999957</v>
      </c>
      <c r="Q724" s="1119">
        <v>0.83399999999999952</v>
      </c>
      <c r="S724" s="1119">
        <v>7.5124000000000128</v>
      </c>
      <c r="T724" s="1120">
        <v>37.35</v>
      </c>
      <c r="U724" s="1119">
        <v>0.83759999999999957</v>
      </c>
      <c r="V724" s="1119">
        <v>0.83399999999999952</v>
      </c>
    </row>
    <row r="725" spans="4:22">
      <c r="D725" s="1119">
        <v>0.89139999999999986</v>
      </c>
      <c r="E725" s="1119">
        <v>0.89469999999999983</v>
      </c>
      <c r="F725" s="1120">
        <v>26.56</v>
      </c>
      <c r="G725" s="1119">
        <v>7.0326000000000013</v>
      </c>
      <c r="I725" s="1119">
        <v>0.89469999999999983</v>
      </c>
      <c r="J725" s="1119">
        <v>0.89139999999999986</v>
      </c>
      <c r="K725" s="1120">
        <v>26.56</v>
      </c>
      <c r="L725" s="1119">
        <v>7.0326000000000013</v>
      </c>
      <c r="N725" s="1120">
        <v>37.369999999999997</v>
      </c>
      <c r="O725" s="1119">
        <v>7.5133000000000125</v>
      </c>
      <c r="P725" s="1119">
        <v>0.83750000000000002</v>
      </c>
      <c r="Q725" s="1119">
        <v>0.83389999999999953</v>
      </c>
      <c r="S725" s="1119">
        <v>7.5133000000000125</v>
      </c>
      <c r="T725" s="1120">
        <v>37.369999999999997</v>
      </c>
      <c r="U725" s="1119">
        <v>0.83750000000000002</v>
      </c>
      <c r="V725" s="1119">
        <v>0.83389999999999953</v>
      </c>
    </row>
    <row r="726" spans="4:22">
      <c r="D726" s="1119">
        <v>0.89149999999999985</v>
      </c>
      <c r="E726" s="1119">
        <v>0.89479999999999982</v>
      </c>
      <c r="F726" s="1120">
        <v>26.55</v>
      </c>
      <c r="G726" s="1119">
        <v>7.0318000000000014</v>
      </c>
      <c r="I726" s="1119">
        <v>0.89479999999999982</v>
      </c>
      <c r="J726" s="1119">
        <v>0.89149999999999985</v>
      </c>
      <c r="K726" s="1120">
        <v>26.55</v>
      </c>
      <c r="L726" s="1119">
        <v>7.0318000000000014</v>
      </c>
      <c r="N726" s="1120">
        <v>37.39</v>
      </c>
      <c r="O726" s="1119">
        <v>7.5142000000000122</v>
      </c>
      <c r="P726" s="1119">
        <v>0.83739999999999959</v>
      </c>
      <c r="Q726" s="1119">
        <v>0.83379999999999954</v>
      </c>
      <c r="S726" s="1119">
        <v>7.5142000000000122</v>
      </c>
      <c r="T726" s="1120">
        <v>37.39</v>
      </c>
      <c r="U726" s="1119">
        <v>0.83739999999999959</v>
      </c>
      <c r="V726" s="1119">
        <v>0.83379999999999954</v>
      </c>
    </row>
    <row r="727" spans="4:22">
      <c r="D727" s="1119">
        <v>0.89159999999999984</v>
      </c>
      <c r="E727" s="1119">
        <v>0.89489999999999981</v>
      </c>
      <c r="F727" s="1120">
        <v>26.53</v>
      </c>
      <c r="G727" s="1119">
        <v>7.0310000000000015</v>
      </c>
      <c r="I727" s="1119">
        <v>0.89489999999999981</v>
      </c>
      <c r="J727" s="1119">
        <v>0.89159999999999984</v>
      </c>
      <c r="K727" s="1120">
        <v>26.53</v>
      </c>
      <c r="L727" s="1119">
        <v>7.0310000000000015</v>
      </c>
      <c r="N727" s="1120">
        <v>37.409999999999997</v>
      </c>
      <c r="O727" s="1119">
        <v>7.5151000000000119</v>
      </c>
      <c r="P727" s="1119">
        <v>0.8372999999999996</v>
      </c>
      <c r="Q727" s="1119">
        <v>0.83369999999999955</v>
      </c>
      <c r="S727" s="1119">
        <v>7.5151000000000119</v>
      </c>
      <c r="T727" s="1120">
        <v>37.409999999999997</v>
      </c>
      <c r="U727" s="1119">
        <v>0.8372999999999996</v>
      </c>
      <c r="V727" s="1119">
        <v>0.83369999999999955</v>
      </c>
    </row>
    <row r="728" spans="4:22">
      <c r="D728" s="1119">
        <v>0.89169999999999983</v>
      </c>
      <c r="E728" s="1119">
        <v>0.89500000000000002</v>
      </c>
      <c r="F728" s="1120">
        <v>26.51</v>
      </c>
      <c r="G728" s="1119">
        <v>7.0302000000000016</v>
      </c>
      <c r="I728" s="1119">
        <v>0.89500000000000002</v>
      </c>
      <c r="J728" s="1119">
        <v>0.89169999999999983</v>
      </c>
      <c r="K728" s="1120">
        <v>26.51</v>
      </c>
      <c r="L728" s="1119">
        <v>7.0302000000000016</v>
      </c>
      <c r="N728" s="1120">
        <v>37.43</v>
      </c>
      <c r="O728" s="1119">
        <v>7.5160000000000116</v>
      </c>
      <c r="P728" s="1119">
        <v>0.83719999999999961</v>
      </c>
      <c r="Q728" s="1119">
        <v>0.83359999999999956</v>
      </c>
      <c r="S728" s="1119">
        <v>7.5160000000000116</v>
      </c>
      <c r="T728" s="1120">
        <v>37.43</v>
      </c>
      <c r="U728" s="1119">
        <v>0.83719999999999961</v>
      </c>
      <c r="V728" s="1119">
        <v>0.83359999999999956</v>
      </c>
    </row>
    <row r="729" spans="4:22">
      <c r="D729" s="1119">
        <v>0.89179999999999982</v>
      </c>
      <c r="E729" s="1119">
        <v>0.89509999999999978</v>
      </c>
      <c r="F729" s="1120">
        <v>26.49</v>
      </c>
      <c r="G729" s="1119">
        <v>7.0294000000000016</v>
      </c>
      <c r="I729" s="1119">
        <v>0.89509999999999978</v>
      </c>
      <c r="J729" s="1119">
        <v>0.89179999999999982</v>
      </c>
      <c r="K729" s="1120">
        <v>26.49</v>
      </c>
      <c r="L729" s="1119">
        <v>7.0294000000000016</v>
      </c>
      <c r="N729" s="1120">
        <v>37.450000000000003</v>
      </c>
      <c r="O729" s="1119">
        <v>7.5169000000000112</v>
      </c>
      <c r="P729" s="1119">
        <v>0.83709999999999962</v>
      </c>
      <c r="Q729" s="1119">
        <v>0.83349999999999957</v>
      </c>
      <c r="S729" s="1119">
        <v>7.5169000000000112</v>
      </c>
      <c r="T729" s="1120">
        <v>37.450000000000003</v>
      </c>
      <c r="U729" s="1119">
        <v>0.83709999999999962</v>
      </c>
      <c r="V729" s="1119">
        <v>0.83349999999999957</v>
      </c>
    </row>
    <row r="730" spans="4:22">
      <c r="D730" s="1119">
        <v>0.8918999999999998</v>
      </c>
      <c r="E730" s="1119">
        <v>0.89519999999999977</v>
      </c>
      <c r="F730" s="1120">
        <v>26.48</v>
      </c>
      <c r="G730" s="1119">
        <v>7.0286000000000017</v>
      </c>
      <c r="I730" s="1119">
        <v>0.89519999999999977</v>
      </c>
      <c r="J730" s="1119">
        <v>0.8918999999999998</v>
      </c>
      <c r="K730" s="1120">
        <v>26.48</v>
      </c>
      <c r="L730" s="1119">
        <v>7.0286000000000017</v>
      </c>
      <c r="N730" s="1120">
        <v>37.47</v>
      </c>
      <c r="O730" s="1119">
        <v>7.5178000000000109</v>
      </c>
      <c r="P730" s="1119">
        <v>0.83699999999999963</v>
      </c>
      <c r="Q730" s="1119">
        <v>0.83339999999999959</v>
      </c>
      <c r="S730" s="1119">
        <v>7.5178000000000109</v>
      </c>
      <c r="T730" s="1120">
        <v>37.47</v>
      </c>
      <c r="U730" s="1119">
        <v>0.83699999999999963</v>
      </c>
      <c r="V730" s="1119">
        <v>0.83339999999999959</v>
      </c>
    </row>
    <row r="731" spans="4:22">
      <c r="D731" s="1119">
        <v>0.89199999999999979</v>
      </c>
      <c r="E731" s="1119">
        <v>0.89529999999999976</v>
      </c>
      <c r="F731" s="1120">
        <v>26.46</v>
      </c>
      <c r="G731" s="1119">
        <v>7.0278000000000018</v>
      </c>
      <c r="I731" s="1119">
        <v>0.89529999999999976</v>
      </c>
      <c r="J731" s="1119">
        <v>0.89199999999999979</v>
      </c>
      <c r="K731" s="1120">
        <v>26.46</v>
      </c>
      <c r="L731" s="1119">
        <v>7.0278000000000018</v>
      </c>
      <c r="N731" s="1120">
        <v>37.49</v>
      </c>
      <c r="O731" s="1119">
        <v>7.5187000000000106</v>
      </c>
      <c r="P731" s="1119">
        <v>0.83689999999999964</v>
      </c>
      <c r="Q731" s="1119">
        <v>0.8332999999999996</v>
      </c>
      <c r="S731" s="1119">
        <v>7.5187000000000106</v>
      </c>
      <c r="T731" s="1120">
        <v>37.49</v>
      </c>
      <c r="U731" s="1119">
        <v>0.83689999999999964</v>
      </c>
      <c r="V731" s="1119">
        <v>0.8332999999999996</v>
      </c>
    </row>
    <row r="732" spans="4:22">
      <c r="D732" s="1119">
        <v>0.89209999999999978</v>
      </c>
      <c r="E732" s="1119">
        <v>0.89539999999999975</v>
      </c>
      <c r="F732" s="1120">
        <v>26.44</v>
      </c>
      <c r="G732" s="1119">
        <v>7.0270000000000019</v>
      </c>
      <c r="I732" s="1119">
        <v>0.89539999999999975</v>
      </c>
      <c r="J732" s="1119">
        <v>0.89209999999999978</v>
      </c>
      <c r="K732" s="1120">
        <v>26.44</v>
      </c>
      <c r="L732" s="1119">
        <v>7.0270000000000019</v>
      </c>
      <c r="N732" s="1120">
        <v>37.51</v>
      </c>
      <c r="O732" s="1119">
        <v>7.5196000000000103</v>
      </c>
      <c r="P732" s="1119">
        <v>0.83679999999999966</v>
      </c>
      <c r="Q732" s="1119">
        <v>0.83319999999999961</v>
      </c>
      <c r="S732" s="1119">
        <v>7.5196000000000103</v>
      </c>
      <c r="T732" s="1120">
        <v>37.51</v>
      </c>
      <c r="U732" s="1119">
        <v>0.83679999999999966</v>
      </c>
      <c r="V732" s="1119">
        <v>0.83319999999999961</v>
      </c>
    </row>
    <row r="733" spans="4:22">
      <c r="D733" s="1119">
        <v>0.89219999999999977</v>
      </c>
      <c r="E733" s="1119">
        <v>0.89549999999999974</v>
      </c>
      <c r="F733" s="1120">
        <v>26.43</v>
      </c>
      <c r="G733" s="1119">
        <v>7.026200000000002</v>
      </c>
      <c r="I733" s="1119">
        <v>0.89549999999999974</v>
      </c>
      <c r="J733" s="1119">
        <v>0.89219999999999977</v>
      </c>
      <c r="K733" s="1120">
        <v>26.43</v>
      </c>
      <c r="L733" s="1119">
        <v>7.026200000000002</v>
      </c>
      <c r="N733" s="1120">
        <v>37.53</v>
      </c>
      <c r="O733" s="1119">
        <v>7.52050000000001</v>
      </c>
      <c r="P733" s="1119">
        <v>0.83669999999999967</v>
      </c>
      <c r="Q733" s="1119">
        <v>0.83309999999999962</v>
      </c>
      <c r="S733" s="1119">
        <v>7.52050000000001</v>
      </c>
      <c r="T733" s="1120">
        <v>37.53</v>
      </c>
      <c r="U733" s="1119">
        <v>0.83669999999999967</v>
      </c>
      <c r="V733" s="1119">
        <v>0.83309999999999962</v>
      </c>
    </row>
    <row r="734" spans="4:22">
      <c r="D734" s="1119">
        <v>0.89229999999999976</v>
      </c>
      <c r="E734" s="1119">
        <v>0.89559999999999973</v>
      </c>
      <c r="F734" s="1120">
        <v>26.41</v>
      </c>
      <c r="G734" s="1119">
        <v>7.0254000000000021</v>
      </c>
      <c r="I734" s="1119">
        <v>0.89559999999999973</v>
      </c>
      <c r="J734" s="1119">
        <v>0.89229999999999976</v>
      </c>
      <c r="K734" s="1120">
        <v>26.41</v>
      </c>
      <c r="L734" s="1119">
        <v>7.0254000000000021</v>
      </c>
      <c r="N734" s="1120">
        <v>37.549999999999997</v>
      </c>
      <c r="O734" s="1119">
        <v>7.5214000000000096</v>
      </c>
      <c r="P734" s="1119">
        <v>0.83659999999999968</v>
      </c>
      <c r="Q734" s="1119">
        <v>0.83299999999999963</v>
      </c>
      <c r="S734" s="1119">
        <v>7.5214000000000096</v>
      </c>
      <c r="T734" s="1120">
        <v>37.549999999999997</v>
      </c>
      <c r="U734" s="1119">
        <v>0.83659999999999968</v>
      </c>
      <c r="V734" s="1119">
        <v>0.83299999999999963</v>
      </c>
    </row>
    <row r="735" spans="4:22">
      <c r="D735" s="1119">
        <v>0.89239999999999975</v>
      </c>
      <c r="E735" s="1119">
        <v>0.89569999999999972</v>
      </c>
      <c r="F735" s="1120">
        <v>26.39</v>
      </c>
      <c r="G735" s="1119">
        <v>7.0246000000000022</v>
      </c>
      <c r="I735" s="1119">
        <v>0.89569999999999972</v>
      </c>
      <c r="J735" s="1119">
        <v>0.89239999999999975</v>
      </c>
      <c r="K735" s="1120">
        <v>26.39</v>
      </c>
      <c r="L735" s="1119">
        <v>7.0246000000000022</v>
      </c>
      <c r="N735" s="1120">
        <v>37.57</v>
      </c>
      <c r="O735" s="1119">
        <v>7.5223000000000093</v>
      </c>
      <c r="P735" s="1119">
        <v>0.83649999999999969</v>
      </c>
      <c r="Q735" s="1119">
        <v>0.83289999999999964</v>
      </c>
      <c r="S735" s="1119">
        <v>7.5223000000000093</v>
      </c>
      <c r="T735" s="1120">
        <v>37.57</v>
      </c>
      <c r="U735" s="1119">
        <v>0.83649999999999969</v>
      </c>
      <c r="V735" s="1119">
        <v>0.83289999999999964</v>
      </c>
    </row>
    <row r="736" spans="4:22">
      <c r="D736" s="1119">
        <v>0.89249999999999996</v>
      </c>
      <c r="E736" s="1119">
        <v>0.89579999999999971</v>
      </c>
      <c r="F736" s="1120">
        <v>26.37</v>
      </c>
      <c r="G736" s="1119">
        <v>7.0238000000000023</v>
      </c>
      <c r="I736" s="1119">
        <v>0.89579999999999971</v>
      </c>
      <c r="J736" s="1119">
        <v>0.89249999999999996</v>
      </c>
      <c r="K736" s="1120">
        <v>26.37</v>
      </c>
      <c r="L736" s="1119">
        <v>7.0238000000000023</v>
      </c>
      <c r="N736" s="1120">
        <v>37.590000000000003</v>
      </c>
      <c r="O736" s="1119">
        <v>7.523200000000009</v>
      </c>
      <c r="P736" s="1119">
        <v>0.8363999999999997</v>
      </c>
      <c r="Q736" s="1119">
        <v>0.83279999999999965</v>
      </c>
      <c r="S736" s="1119">
        <v>7.523200000000009</v>
      </c>
      <c r="T736" s="1120">
        <v>37.590000000000003</v>
      </c>
      <c r="U736" s="1119">
        <v>0.8363999999999997</v>
      </c>
      <c r="V736" s="1119">
        <v>0.83279999999999965</v>
      </c>
    </row>
    <row r="737" spans="4:22">
      <c r="D737" s="1119">
        <v>0.89259999999999973</v>
      </c>
      <c r="E737" s="1119">
        <v>0.8958999999999997</v>
      </c>
      <c r="F737" s="1120">
        <v>26.36</v>
      </c>
      <c r="G737" s="1119">
        <v>7.0230000000000024</v>
      </c>
      <c r="I737" s="1119">
        <v>0.8958999999999997</v>
      </c>
      <c r="J737" s="1119">
        <v>0.89259999999999973</v>
      </c>
      <c r="K737" s="1120">
        <v>26.36</v>
      </c>
      <c r="L737" s="1119">
        <v>7.0230000000000024</v>
      </c>
      <c r="N737" s="1120">
        <v>37.61</v>
      </c>
      <c r="O737" s="1119">
        <v>7.5241000000000087</v>
      </c>
      <c r="P737" s="1119">
        <v>0.83629999999999971</v>
      </c>
      <c r="Q737" s="1119">
        <v>0.83269999999999966</v>
      </c>
      <c r="S737" s="1119">
        <v>7.5241000000000087</v>
      </c>
      <c r="T737" s="1120">
        <v>37.61</v>
      </c>
      <c r="U737" s="1119">
        <v>0.83629999999999971</v>
      </c>
      <c r="V737" s="1119">
        <v>0.83269999999999966</v>
      </c>
    </row>
    <row r="738" spans="4:22">
      <c r="D738" s="1119">
        <v>0.89269999999999972</v>
      </c>
      <c r="E738" s="1119">
        <v>0.89599999999999969</v>
      </c>
      <c r="F738" s="1120">
        <v>26.34</v>
      </c>
      <c r="G738" s="1119">
        <v>7.0222000000000024</v>
      </c>
      <c r="I738" s="1119">
        <v>0.89599999999999969</v>
      </c>
      <c r="J738" s="1119">
        <v>0.89269999999999972</v>
      </c>
      <c r="K738" s="1120">
        <v>26.34</v>
      </c>
      <c r="L738" s="1119">
        <v>7.0222000000000024</v>
      </c>
      <c r="N738" s="1120">
        <v>37.630000000000003</v>
      </c>
      <c r="O738" s="1119">
        <v>7.5250000000000083</v>
      </c>
      <c r="P738" s="1119">
        <v>0.83619999999999972</v>
      </c>
      <c r="Q738" s="1119">
        <v>0.83259999999999967</v>
      </c>
      <c r="S738" s="1119">
        <v>7.5250000000000083</v>
      </c>
      <c r="T738" s="1120">
        <v>37.630000000000003</v>
      </c>
      <c r="U738" s="1119">
        <v>0.83619999999999972</v>
      </c>
      <c r="V738" s="1119">
        <v>0.83259999999999967</v>
      </c>
    </row>
    <row r="739" spans="4:22">
      <c r="D739" s="1119">
        <v>0.8927999999999997</v>
      </c>
      <c r="E739" s="1119">
        <v>0.89609999999999967</v>
      </c>
      <c r="F739" s="1120">
        <v>26.32</v>
      </c>
      <c r="G739" s="1119">
        <v>7.0215000000000023</v>
      </c>
      <c r="I739" s="1119">
        <v>0.89609999999999967</v>
      </c>
      <c r="J739" s="1119">
        <v>0.8927999999999997</v>
      </c>
      <c r="K739" s="1120">
        <v>26.32</v>
      </c>
      <c r="L739" s="1119">
        <v>7.0215000000000023</v>
      </c>
      <c r="N739" s="1120">
        <v>37.65</v>
      </c>
      <c r="O739" s="1119">
        <v>7.525900000000008</v>
      </c>
      <c r="P739" s="1119">
        <v>0.83609999999999973</v>
      </c>
      <c r="Q739" s="1119">
        <v>0.83250000000000002</v>
      </c>
      <c r="S739" s="1119">
        <v>7.525900000000008</v>
      </c>
      <c r="T739" s="1120">
        <v>37.65</v>
      </c>
      <c r="U739" s="1119">
        <v>0.83609999999999973</v>
      </c>
      <c r="V739" s="1119">
        <v>0.83250000000000002</v>
      </c>
    </row>
    <row r="740" spans="4:22">
      <c r="D740" s="1119">
        <v>0.89289999999999969</v>
      </c>
      <c r="E740" s="1119">
        <v>0.89619999999999966</v>
      </c>
      <c r="F740" s="1120">
        <v>26.3</v>
      </c>
      <c r="G740" s="1119">
        <v>7.0208000000000022</v>
      </c>
      <c r="I740" s="1119">
        <v>0.89619999999999966</v>
      </c>
      <c r="J740" s="1119">
        <v>0.89289999999999969</v>
      </c>
      <c r="K740" s="1120">
        <v>26.3</v>
      </c>
      <c r="L740" s="1119">
        <v>7.0208000000000022</v>
      </c>
      <c r="N740" s="1120">
        <v>37.67</v>
      </c>
      <c r="O740" s="1119">
        <v>7.5268000000000077</v>
      </c>
      <c r="P740" s="1119">
        <v>0.83599999999999974</v>
      </c>
      <c r="Q740" s="1119">
        <v>0.8323999999999997</v>
      </c>
      <c r="S740" s="1119">
        <v>7.5268000000000077</v>
      </c>
      <c r="T740" s="1120">
        <v>37.67</v>
      </c>
      <c r="U740" s="1119">
        <v>0.83599999999999974</v>
      </c>
      <c r="V740" s="1119">
        <v>0.8323999999999997</v>
      </c>
    </row>
    <row r="741" spans="4:22">
      <c r="D741" s="1119">
        <v>0.89299999999999968</v>
      </c>
      <c r="E741" s="1119">
        <v>0.89629999999999965</v>
      </c>
      <c r="F741" s="1120">
        <v>26.29</v>
      </c>
      <c r="G741" s="1119">
        <v>7.020100000000002</v>
      </c>
      <c r="I741" s="1119">
        <v>0.89629999999999965</v>
      </c>
      <c r="J741" s="1119">
        <v>0.89299999999999968</v>
      </c>
      <c r="K741" s="1120">
        <v>26.29</v>
      </c>
      <c r="L741" s="1119">
        <v>7.020100000000002</v>
      </c>
      <c r="N741" s="1120">
        <v>37.69</v>
      </c>
      <c r="O741" s="1119">
        <v>7.5277000000000074</v>
      </c>
      <c r="P741" s="1119">
        <v>0.83589999999999975</v>
      </c>
      <c r="Q741" s="1119">
        <v>0.83229999999999971</v>
      </c>
      <c r="S741" s="1119">
        <v>7.5277000000000074</v>
      </c>
      <c r="T741" s="1120">
        <v>37.69</v>
      </c>
      <c r="U741" s="1119">
        <v>0.83589999999999975</v>
      </c>
      <c r="V741" s="1119">
        <v>0.83229999999999971</v>
      </c>
    </row>
    <row r="742" spans="4:22">
      <c r="D742" s="1119">
        <v>0.89309999999999967</v>
      </c>
      <c r="E742" s="1119">
        <v>0.89639999999999964</v>
      </c>
      <c r="F742" s="1120">
        <v>26.27</v>
      </c>
      <c r="G742" s="1119">
        <v>7.0194000000000019</v>
      </c>
      <c r="I742" s="1119">
        <v>0.89639999999999964</v>
      </c>
      <c r="J742" s="1119">
        <v>0.89309999999999967</v>
      </c>
      <c r="K742" s="1120">
        <v>26.27</v>
      </c>
      <c r="L742" s="1119">
        <v>7.0194000000000019</v>
      </c>
      <c r="N742" s="1120">
        <v>37.71</v>
      </c>
      <c r="O742" s="1119">
        <v>7.5286000000000071</v>
      </c>
      <c r="P742" s="1119">
        <v>0.83579999999999977</v>
      </c>
      <c r="Q742" s="1119">
        <v>0.83219999999999972</v>
      </c>
      <c r="S742" s="1119">
        <v>7.5286000000000071</v>
      </c>
      <c r="T742" s="1120">
        <v>37.71</v>
      </c>
      <c r="U742" s="1119">
        <v>0.83579999999999977</v>
      </c>
      <c r="V742" s="1119">
        <v>0.83219999999999972</v>
      </c>
    </row>
    <row r="743" spans="4:22">
      <c r="D743" s="1119">
        <v>0.89319999999999966</v>
      </c>
      <c r="E743" s="1119">
        <v>0.89649999999999963</v>
      </c>
      <c r="F743" s="1120">
        <v>26.25</v>
      </c>
      <c r="G743" s="1119">
        <v>7.0187000000000017</v>
      </c>
      <c r="I743" s="1119">
        <v>0.89649999999999963</v>
      </c>
      <c r="J743" s="1119">
        <v>0.89319999999999966</v>
      </c>
      <c r="K743" s="1120">
        <v>26.25</v>
      </c>
      <c r="L743" s="1119">
        <v>7.0187000000000017</v>
      </c>
      <c r="N743" s="1120">
        <v>37.729999999999997</v>
      </c>
      <c r="O743" s="1119">
        <v>7.5295000000000067</v>
      </c>
      <c r="P743" s="1119">
        <v>0.83569999999999978</v>
      </c>
      <c r="Q743" s="1119">
        <v>0.83209999999999973</v>
      </c>
      <c r="S743" s="1119">
        <v>7.5295000000000067</v>
      </c>
      <c r="T743" s="1120">
        <v>37.729999999999997</v>
      </c>
      <c r="U743" s="1119">
        <v>0.83569999999999978</v>
      </c>
      <c r="V743" s="1119">
        <v>0.83209999999999973</v>
      </c>
    </row>
    <row r="744" spans="4:22">
      <c r="D744" s="1119">
        <v>0.89329999999999965</v>
      </c>
      <c r="E744" s="1119">
        <v>0.89659999999999962</v>
      </c>
      <c r="F744" s="1120">
        <v>26.23</v>
      </c>
      <c r="G744" s="1119">
        <v>7.0180000000000016</v>
      </c>
      <c r="I744" s="1119">
        <v>0.89659999999999962</v>
      </c>
      <c r="J744" s="1119">
        <v>0.89329999999999965</v>
      </c>
      <c r="K744" s="1120">
        <v>26.23</v>
      </c>
      <c r="L744" s="1119">
        <v>7.0180000000000016</v>
      </c>
      <c r="N744" s="1120">
        <v>37.75</v>
      </c>
      <c r="O744" s="1119">
        <v>7.5304000000000064</v>
      </c>
      <c r="P744" s="1119">
        <v>0.83559999999999979</v>
      </c>
      <c r="Q744" s="1119">
        <v>0.83199999999999974</v>
      </c>
      <c r="S744" s="1119">
        <v>7.5304000000000064</v>
      </c>
      <c r="T744" s="1120">
        <v>37.75</v>
      </c>
      <c r="U744" s="1119">
        <v>0.83559999999999979</v>
      </c>
      <c r="V744" s="1119">
        <v>0.83199999999999974</v>
      </c>
    </row>
    <row r="745" spans="4:22">
      <c r="D745" s="1119">
        <v>0.89339999999999964</v>
      </c>
      <c r="E745" s="1119">
        <v>0.89669999999999961</v>
      </c>
      <c r="F745" s="1120">
        <v>26.21</v>
      </c>
      <c r="G745" s="1119">
        <v>7.0173000000000014</v>
      </c>
      <c r="I745" s="1119">
        <v>0.89669999999999961</v>
      </c>
      <c r="J745" s="1119">
        <v>0.89339999999999964</v>
      </c>
      <c r="K745" s="1120">
        <v>26.21</v>
      </c>
      <c r="L745" s="1119">
        <v>7.0173000000000014</v>
      </c>
      <c r="N745" s="1120">
        <v>37.770000000000003</v>
      </c>
      <c r="O745" s="1119">
        <v>7.5313000000000061</v>
      </c>
      <c r="P745" s="1119">
        <v>0.8354999999999998</v>
      </c>
      <c r="Q745" s="1119">
        <v>0.83189999999999975</v>
      </c>
      <c r="S745" s="1119">
        <v>7.5313000000000061</v>
      </c>
      <c r="T745" s="1120">
        <v>37.770000000000003</v>
      </c>
      <c r="U745" s="1119">
        <v>0.8354999999999998</v>
      </c>
      <c r="V745" s="1119">
        <v>0.83189999999999975</v>
      </c>
    </row>
    <row r="746" spans="4:22">
      <c r="D746" s="1119">
        <v>0.89349999999999963</v>
      </c>
      <c r="E746" s="1119">
        <v>0.8967999999999996</v>
      </c>
      <c r="F746" s="1120">
        <v>26.2</v>
      </c>
      <c r="G746" s="1119">
        <v>7.0166000000000013</v>
      </c>
      <c r="I746" s="1119">
        <v>0.8967999999999996</v>
      </c>
      <c r="J746" s="1119">
        <v>0.89349999999999963</v>
      </c>
      <c r="K746" s="1120">
        <v>26.2</v>
      </c>
      <c r="L746" s="1119">
        <v>7.0166000000000013</v>
      </c>
      <c r="N746" s="1120">
        <v>37.79</v>
      </c>
      <c r="O746" s="1119">
        <v>7.5322000000000058</v>
      </c>
      <c r="P746" s="1119">
        <v>0.83539999999999981</v>
      </c>
      <c r="Q746" s="1119">
        <v>0.83179999999999976</v>
      </c>
      <c r="S746" s="1119">
        <v>7.5322000000000058</v>
      </c>
      <c r="T746" s="1120">
        <v>37.79</v>
      </c>
      <c r="U746" s="1119">
        <v>0.83539999999999981</v>
      </c>
      <c r="V746" s="1119">
        <v>0.83179999999999976</v>
      </c>
    </row>
    <row r="747" spans="4:22">
      <c r="D747" s="1119">
        <v>0.89359999999999962</v>
      </c>
      <c r="E747" s="1119">
        <v>0.89689999999999959</v>
      </c>
      <c r="F747" s="1120">
        <v>26.18</v>
      </c>
      <c r="G747" s="1119">
        <v>7.0159000000000011</v>
      </c>
      <c r="I747" s="1119">
        <v>0.89689999999999959</v>
      </c>
      <c r="J747" s="1119">
        <v>0.89359999999999962</v>
      </c>
      <c r="K747" s="1120">
        <v>26.18</v>
      </c>
      <c r="L747" s="1119">
        <v>7.0159000000000011</v>
      </c>
      <c r="N747" s="1120">
        <v>37.81</v>
      </c>
      <c r="O747" s="1119">
        <v>7.5331000000000055</v>
      </c>
      <c r="P747" s="1119">
        <v>0.83529999999999982</v>
      </c>
      <c r="Q747" s="1119">
        <v>0.83169999999999977</v>
      </c>
      <c r="S747" s="1119">
        <v>7.5331000000000055</v>
      </c>
      <c r="T747" s="1120">
        <v>37.81</v>
      </c>
      <c r="U747" s="1119">
        <v>0.83529999999999982</v>
      </c>
      <c r="V747" s="1119">
        <v>0.83169999999999977</v>
      </c>
    </row>
    <row r="748" spans="4:22">
      <c r="D748" s="1119">
        <v>0.89369999999999961</v>
      </c>
      <c r="E748" s="1119">
        <v>0.89699999999999958</v>
      </c>
      <c r="F748" s="1120">
        <v>26.16</v>
      </c>
      <c r="G748" s="1119">
        <v>7.015200000000001</v>
      </c>
      <c r="I748" s="1119">
        <v>0.89699999999999958</v>
      </c>
      <c r="J748" s="1119">
        <v>0.89369999999999961</v>
      </c>
      <c r="K748" s="1120">
        <v>26.16</v>
      </c>
      <c r="L748" s="1119">
        <v>7.015200000000001</v>
      </c>
      <c r="N748" s="1120">
        <v>37.83</v>
      </c>
      <c r="O748" s="1119">
        <v>7.5340000000000051</v>
      </c>
      <c r="P748" s="1119">
        <v>0.83519999999999983</v>
      </c>
      <c r="Q748" s="1119">
        <v>0.83159999999999978</v>
      </c>
      <c r="S748" s="1119">
        <v>7.5340000000000051</v>
      </c>
      <c r="T748" s="1120">
        <v>37.83</v>
      </c>
      <c r="U748" s="1119">
        <v>0.83519999999999983</v>
      </c>
      <c r="V748" s="1119">
        <v>0.83159999999999978</v>
      </c>
    </row>
    <row r="749" spans="4:22">
      <c r="D749" s="1119">
        <v>0.89379999999999959</v>
      </c>
      <c r="E749" s="1119">
        <v>0.89709999999999956</v>
      </c>
      <c r="F749" s="1120">
        <v>26.14</v>
      </c>
      <c r="G749" s="1119">
        <v>7.0144000000000011</v>
      </c>
      <c r="I749" s="1119">
        <v>0.89709999999999956</v>
      </c>
      <c r="J749" s="1119">
        <v>0.89379999999999959</v>
      </c>
      <c r="K749" s="1120">
        <v>26.14</v>
      </c>
      <c r="L749" s="1119">
        <v>7.0144000000000011</v>
      </c>
      <c r="N749" s="1120">
        <v>37.85</v>
      </c>
      <c r="O749" s="1119">
        <v>7.5349000000000048</v>
      </c>
      <c r="P749" s="1119">
        <v>0.83509999999999984</v>
      </c>
      <c r="Q749" s="1119">
        <v>0.83149999999999979</v>
      </c>
      <c r="S749" s="1119">
        <v>7.5349000000000048</v>
      </c>
      <c r="T749" s="1120">
        <v>37.85</v>
      </c>
      <c r="U749" s="1119">
        <v>0.83509999999999984</v>
      </c>
      <c r="V749" s="1119">
        <v>0.83149999999999979</v>
      </c>
    </row>
    <row r="750" spans="4:22">
      <c r="D750" s="1119">
        <v>0.89389999999999958</v>
      </c>
      <c r="E750" s="1119">
        <v>0.89719999999999955</v>
      </c>
      <c r="F750" s="1120">
        <v>26.12</v>
      </c>
      <c r="G750" s="1119">
        <v>7.0136000000000012</v>
      </c>
      <c r="I750" s="1119">
        <v>0.89719999999999955</v>
      </c>
      <c r="J750" s="1119">
        <v>0.89389999999999958</v>
      </c>
      <c r="K750" s="1120">
        <v>26.12</v>
      </c>
      <c r="L750" s="1119">
        <v>7.0136000000000012</v>
      </c>
      <c r="N750" s="1120">
        <v>37.869999999999997</v>
      </c>
      <c r="O750" s="1119">
        <v>7.5358000000000045</v>
      </c>
      <c r="P750" s="1119">
        <v>0.83499999999999996</v>
      </c>
      <c r="Q750" s="1119">
        <v>0.83139999999999981</v>
      </c>
      <c r="S750" s="1119">
        <v>7.5358000000000045</v>
      </c>
      <c r="T750" s="1120">
        <v>37.869999999999997</v>
      </c>
      <c r="U750" s="1119">
        <v>0.83499999999999996</v>
      </c>
      <c r="V750" s="1119">
        <v>0.83139999999999981</v>
      </c>
    </row>
    <row r="751" spans="4:22">
      <c r="D751" s="1119">
        <v>0.89399999999999957</v>
      </c>
      <c r="E751" s="1119">
        <v>0.89729999999999954</v>
      </c>
      <c r="F751" s="1120">
        <v>26.11</v>
      </c>
      <c r="G751" s="1119">
        <v>7.0128000000000013</v>
      </c>
      <c r="I751" s="1119">
        <v>0.89729999999999954</v>
      </c>
      <c r="J751" s="1119">
        <v>0.89399999999999957</v>
      </c>
      <c r="K751" s="1120">
        <v>26.11</v>
      </c>
      <c r="L751" s="1119">
        <v>7.0128000000000013</v>
      </c>
      <c r="N751" s="1120">
        <v>37.89</v>
      </c>
      <c r="O751" s="1119">
        <v>7.5367000000000042</v>
      </c>
      <c r="P751" s="1119">
        <v>0.83489999999999986</v>
      </c>
      <c r="Q751" s="1119">
        <v>0.83129999999999982</v>
      </c>
      <c r="S751" s="1119">
        <v>7.5367000000000042</v>
      </c>
      <c r="T751" s="1120">
        <v>37.89</v>
      </c>
      <c r="U751" s="1119">
        <v>0.83489999999999986</v>
      </c>
      <c r="V751" s="1119">
        <v>0.83129999999999982</v>
      </c>
    </row>
    <row r="752" spans="4:22">
      <c r="D752" s="1119">
        <v>0.89409999999999956</v>
      </c>
      <c r="E752" s="1119">
        <v>0.89739999999999953</v>
      </c>
      <c r="F752" s="1120">
        <v>26.09</v>
      </c>
      <c r="G752" s="1119">
        <v>7.0120000000000013</v>
      </c>
      <c r="I752" s="1119">
        <v>0.89739999999999953</v>
      </c>
      <c r="J752" s="1119">
        <v>0.89409999999999956</v>
      </c>
      <c r="K752" s="1120">
        <v>26.09</v>
      </c>
      <c r="L752" s="1119">
        <v>7.0120000000000013</v>
      </c>
      <c r="N752" s="1120">
        <v>37.909999999999997</v>
      </c>
      <c r="O752" s="1119">
        <v>7.5376000000000039</v>
      </c>
      <c r="P752" s="1119">
        <v>0.83479999999999988</v>
      </c>
      <c r="Q752" s="1119">
        <v>0.83119999999999983</v>
      </c>
      <c r="S752" s="1119">
        <v>7.5376000000000039</v>
      </c>
      <c r="T752" s="1120">
        <v>37.909999999999997</v>
      </c>
      <c r="U752" s="1119">
        <v>0.83479999999999988</v>
      </c>
      <c r="V752" s="1119">
        <v>0.83119999999999983</v>
      </c>
    </row>
    <row r="753" spans="4:22">
      <c r="D753" s="1119">
        <v>0.89419999999999955</v>
      </c>
      <c r="E753" s="1119">
        <v>0.89749999999999996</v>
      </c>
      <c r="F753" s="1120">
        <v>26.07</v>
      </c>
      <c r="G753" s="1119">
        <v>7.0112000000000014</v>
      </c>
      <c r="I753" s="1119">
        <v>0.89749999999999996</v>
      </c>
      <c r="J753" s="1119">
        <v>0.89419999999999955</v>
      </c>
      <c r="K753" s="1120">
        <v>26.07</v>
      </c>
      <c r="L753" s="1119">
        <v>7.0112000000000014</v>
      </c>
      <c r="N753" s="1120">
        <v>37.93</v>
      </c>
      <c r="O753" s="1119">
        <v>7.5385000000000035</v>
      </c>
      <c r="P753" s="1119">
        <v>0.83469999999999989</v>
      </c>
      <c r="Q753" s="1119">
        <v>0.83109999999999984</v>
      </c>
      <c r="S753" s="1119">
        <v>7.5385000000000035</v>
      </c>
      <c r="T753" s="1120">
        <v>37.93</v>
      </c>
      <c r="U753" s="1119">
        <v>0.83469999999999989</v>
      </c>
      <c r="V753" s="1119">
        <v>0.83109999999999984</v>
      </c>
    </row>
    <row r="754" spans="4:22">
      <c r="D754" s="1119">
        <v>0.89429999999999954</v>
      </c>
      <c r="E754" s="1119">
        <v>0.89759999999999951</v>
      </c>
      <c r="F754" s="1120">
        <v>26.05</v>
      </c>
      <c r="G754" s="1119">
        <v>7.0104000000000015</v>
      </c>
      <c r="I754" s="1119">
        <v>0.89759999999999951</v>
      </c>
      <c r="J754" s="1119">
        <v>0.89429999999999954</v>
      </c>
      <c r="K754" s="1120">
        <v>26.05</v>
      </c>
      <c r="L754" s="1119">
        <v>7.0104000000000015</v>
      </c>
      <c r="N754" s="1120">
        <v>37.950000000000003</v>
      </c>
      <c r="O754" s="1119">
        <v>7.5394000000000032</v>
      </c>
      <c r="P754" s="1119">
        <v>0.8345999999999999</v>
      </c>
      <c r="Q754" s="1119">
        <v>0.83099999999999985</v>
      </c>
      <c r="S754" s="1119">
        <v>7.5394000000000032</v>
      </c>
      <c r="T754" s="1120">
        <v>37.950000000000003</v>
      </c>
      <c r="U754" s="1119">
        <v>0.8345999999999999</v>
      </c>
      <c r="V754" s="1119">
        <v>0.83099999999999985</v>
      </c>
    </row>
    <row r="755" spans="4:22">
      <c r="D755" s="1119">
        <v>0.89439999999999953</v>
      </c>
      <c r="E755" s="1119">
        <v>0.8976999999999995</v>
      </c>
      <c r="F755" s="1120">
        <v>26.03</v>
      </c>
      <c r="G755" s="1119">
        <v>7.0096000000000016</v>
      </c>
      <c r="I755" s="1119">
        <v>0.8976999999999995</v>
      </c>
      <c r="J755" s="1119">
        <v>0.89439999999999953</v>
      </c>
      <c r="K755" s="1120">
        <v>26.03</v>
      </c>
      <c r="L755" s="1119">
        <v>7.0096000000000016</v>
      </c>
      <c r="N755" s="1120">
        <v>37.979999999999997</v>
      </c>
      <c r="O755" s="1119">
        <v>7.5403000000000029</v>
      </c>
      <c r="P755" s="1119">
        <v>0.83449999999999991</v>
      </c>
      <c r="Q755" s="1119">
        <v>0.83089999999999986</v>
      </c>
      <c r="S755" s="1119">
        <v>7.5403000000000029</v>
      </c>
      <c r="T755" s="1120">
        <v>37.979999999999997</v>
      </c>
      <c r="U755" s="1119">
        <v>0.83449999999999991</v>
      </c>
      <c r="V755" s="1119">
        <v>0.83089999999999986</v>
      </c>
    </row>
    <row r="756" spans="4:22">
      <c r="D756" s="1119">
        <v>0.89449999999999952</v>
      </c>
      <c r="E756" s="1119">
        <v>0.89779999999999949</v>
      </c>
      <c r="F756" s="1120">
        <v>26.02</v>
      </c>
      <c r="G756" s="1119">
        <v>7.0088000000000017</v>
      </c>
      <c r="I756" s="1119">
        <v>0.89779999999999949</v>
      </c>
      <c r="J756" s="1119">
        <v>0.89449999999999952</v>
      </c>
      <c r="K756" s="1120">
        <v>26.02</v>
      </c>
      <c r="L756" s="1119">
        <v>7.0088000000000017</v>
      </c>
      <c r="N756" s="1120">
        <v>38</v>
      </c>
      <c r="O756" s="1119">
        <v>7.5412000000000026</v>
      </c>
      <c r="P756" s="1119">
        <v>0.83439999999999992</v>
      </c>
      <c r="Q756" s="1119">
        <v>0.83079999999999987</v>
      </c>
      <c r="S756" s="1119">
        <v>7.5412000000000026</v>
      </c>
      <c r="T756" s="1120">
        <v>38</v>
      </c>
      <c r="U756" s="1119">
        <v>0.83439999999999992</v>
      </c>
      <c r="V756" s="1119">
        <v>0.83079999999999987</v>
      </c>
    </row>
    <row r="757" spans="4:22">
      <c r="D757" s="1119">
        <v>0.89459999999999951</v>
      </c>
      <c r="E757" s="1119">
        <v>0.89789999999999948</v>
      </c>
      <c r="F757" s="1120">
        <v>26</v>
      </c>
      <c r="G757" s="1119">
        <v>7.0080000000000018</v>
      </c>
      <c r="I757" s="1119">
        <v>0.89789999999999948</v>
      </c>
      <c r="J757" s="1119">
        <v>0.89459999999999951</v>
      </c>
      <c r="K757" s="1120">
        <v>26</v>
      </c>
      <c r="L757" s="1119">
        <v>7.0080000000000018</v>
      </c>
      <c r="N757" s="1120">
        <v>38.020000000000003</v>
      </c>
      <c r="O757" s="1119">
        <v>7.5421000000000022</v>
      </c>
      <c r="P757" s="1119">
        <v>0.83429999999999993</v>
      </c>
      <c r="Q757" s="1119">
        <v>0.83069999999999988</v>
      </c>
      <c r="S757" s="1119">
        <v>7.5421000000000022</v>
      </c>
      <c r="T757" s="1120">
        <v>38.020000000000003</v>
      </c>
      <c r="U757" s="1119">
        <v>0.83429999999999993</v>
      </c>
      <c r="V757" s="1119">
        <v>0.83069999999999988</v>
      </c>
    </row>
    <row r="758" spans="4:22">
      <c r="D758" s="1119">
        <v>0.8946999999999995</v>
      </c>
      <c r="E758" s="1119">
        <v>0.89799999999999947</v>
      </c>
      <c r="F758" s="1120">
        <v>25.98</v>
      </c>
      <c r="G758" s="1119">
        <v>7.0072000000000019</v>
      </c>
      <c r="I758" s="1119">
        <v>0.89799999999999947</v>
      </c>
      <c r="J758" s="1119">
        <v>0.8946999999999995</v>
      </c>
      <c r="K758" s="1120">
        <v>25.98</v>
      </c>
      <c r="L758" s="1119">
        <v>7.0072000000000019</v>
      </c>
      <c r="N758" s="1120">
        <v>38.04</v>
      </c>
      <c r="O758" s="1119">
        <v>7.5430000000000019</v>
      </c>
      <c r="P758" s="1119">
        <v>0.83419999999999994</v>
      </c>
      <c r="Q758" s="1119">
        <v>0.83059999999999989</v>
      </c>
      <c r="S758" s="1119">
        <v>7.5430000000000019</v>
      </c>
      <c r="T758" s="1120">
        <v>38.04</v>
      </c>
      <c r="U758" s="1119">
        <v>0.83419999999999994</v>
      </c>
      <c r="V758" s="1119">
        <v>0.83059999999999989</v>
      </c>
    </row>
    <row r="759" spans="4:22">
      <c r="D759" s="1119">
        <v>0.89479999999999948</v>
      </c>
      <c r="E759" s="1119">
        <v>0.89809999999999945</v>
      </c>
      <c r="F759" s="1120">
        <v>25.96</v>
      </c>
      <c r="G759" s="1119">
        <v>7.006400000000002</v>
      </c>
      <c r="I759" s="1119">
        <v>0.89809999999999945</v>
      </c>
      <c r="J759" s="1119">
        <v>0.89479999999999948</v>
      </c>
      <c r="K759" s="1120">
        <v>25.96</v>
      </c>
      <c r="L759" s="1119">
        <v>7.006400000000002</v>
      </c>
      <c r="N759" s="1120">
        <v>38.06</v>
      </c>
      <c r="O759" s="1119">
        <v>7.5439000000000016</v>
      </c>
      <c r="P759" s="1119">
        <v>0.83409999999999995</v>
      </c>
      <c r="Q759" s="1119">
        <v>0.8304999999999999</v>
      </c>
      <c r="S759" s="1119">
        <v>7.5439000000000016</v>
      </c>
      <c r="T759" s="1120">
        <v>38.06</v>
      </c>
      <c r="U759" s="1119">
        <v>0.83409999999999995</v>
      </c>
      <c r="V759" s="1119">
        <v>0.8304999999999999</v>
      </c>
    </row>
    <row r="760" spans="4:22">
      <c r="D760" s="1119">
        <v>0.89489999999999947</v>
      </c>
      <c r="E760" s="1119">
        <v>0.89819999999999944</v>
      </c>
      <c r="F760" s="1120">
        <v>25.95</v>
      </c>
      <c r="G760" s="1119">
        <v>7.005600000000002</v>
      </c>
      <c r="I760" s="1119">
        <v>0.89819999999999944</v>
      </c>
      <c r="J760" s="1119">
        <v>0.89489999999999947</v>
      </c>
      <c r="K760" s="1120">
        <v>25.95</v>
      </c>
      <c r="L760" s="1119">
        <v>7.005600000000002</v>
      </c>
      <c r="N760" s="1120">
        <v>38.08</v>
      </c>
      <c r="O760" s="1119">
        <v>7.5448000000000013</v>
      </c>
      <c r="P760" s="1119">
        <v>0.83399999999999996</v>
      </c>
      <c r="Q760" s="1119">
        <v>0.83039999999999992</v>
      </c>
      <c r="S760" s="1119">
        <v>7.5448000000000013</v>
      </c>
      <c r="T760" s="1120">
        <v>38.08</v>
      </c>
      <c r="U760" s="1119">
        <v>0.83399999999999996</v>
      </c>
      <c r="V760" s="1119">
        <v>0.83039999999999992</v>
      </c>
    </row>
    <row r="761" spans="4:22">
      <c r="D761" s="1119">
        <v>0.89499999999999946</v>
      </c>
      <c r="E761" s="1119">
        <v>0.89829999999999943</v>
      </c>
      <c r="F761" s="1120">
        <v>25.93</v>
      </c>
      <c r="G761" s="1119">
        <v>7.0048000000000021</v>
      </c>
      <c r="I761" s="1119">
        <v>0.89829999999999943</v>
      </c>
      <c r="J761" s="1119">
        <v>0.89499999999999946</v>
      </c>
      <c r="K761" s="1120">
        <v>25.93</v>
      </c>
      <c r="L761" s="1119">
        <v>7.0048000000000021</v>
      </c>
      <c r="N761" s="1120">
        <v>38.1</v>
      </c>
      <c r="O761" s="1119">
        <v>7.545700000000001</v>
      </c>
      <c r="P761" s="1119">
        <v>0.83389999999999997</v>
      </c>
      <c r="Q761" s="1119">
        <v>0.83029999999999993</v>
      </c>
      <c r="S761" s="1119">
        <v>7.545700000000001</v>
      </c>
      <c r="T761" s="1120">
        <v>38.1</v>
      </c>
      <c r="U761" s="1119">
        <v>0.83389999999999997</v>
      </c>
      <c r="V761" s="1119">
        <v>0.83029999999999993</v>
      </c>
    </row>
    <row r="762" spans="4:22">
      <c r="D762" s="1119">
        <v>0.89510000000000001</v>
      </c>
      <c r="E762" s="1119">
        <v>0.89839999999999998</v>
      </c>
      <c r="F762" s="1120">
        <v>25.91</v>
      </c>
      <c r="G762" s="1119">
        <v>7.0039999999999996</v>
      </c>
      <c r="I762" s="1119">
        <v>0.89839999999999998</v>
      </c>
      <c r="J762" s="1119">
        <v>0.89510000000000001</v>
      </c>
      <c r="K762" s="1120">
        <v>25.91</v>
      </c>
      <c r="L762" s="1119">
        <v>7.0039999999999996</v>
      </c>
      <c r="N762" s="1120">
        <v>38.119999999999997</v>
      </c>
      <c r="O762" s="1119">
        <v>7.5466000000000006</v>
      </c>
      <c r="P762" s="1119">
        <v>0.83379999999999999</v>
      </c>
      <c r="Q762" s="1119">
        <v>0.83019999999999994</v>
      </c>
      <c r="S762" s="1119">
        <v>7.5466000000000006</v>
      </c>
      <c r="T762" s="1120">
        <v>38.119999999999997</v>
      </c>
      <c r="U762" s="1119">
        <v>0.83379999999999999</v>
      </c>
      <c r="V762" s="1119">
        <v>0.83019999999999994</v>
      </c>
    </row>
    <row r="763" spans="4:22">
      <c r="D763" s="1119">
        <v>0.8952</v>
      </c>
      <c r="E763" s="1119">
        <v>0.89849999999999997</v>
      </c>
      <c r="F763" s="1120">
        <v>25.89</v>
      </c>
      <c r="G763" s="1119">
        <v>7.0031999999999996</v>
      </c>
      <c r="I763" s="1119">
        <v>0.89849999999999997</v>
      </c>
      <c r="J763" s="1119">
        <v>0.8952</v>
      </c>
      <c r="K763" s="1120">
        <v>25.89</v>
      </c>
      <c r="L763" s="1119">
        <v>7.0031999999999996</v>
      </c>
      <c r="N763" s="1120">
        <v>38.14</v>
      </c>
      <c r="O763" s="1119">
        <v>7.5475000000000003</v>
      </c>
      <c r="P763" s="1119">
        <v>0.83369999999999944</v>
      </c>
      <c r="Q763" s="1119">
        <v>0.83009999999999939</v>
      </c>
      <c r="S763" s="1119">
        <v>7.5475000000000003</v>
      </c>
      <c r="T763" s="1120">
        <v>38.14</v>
      </c>
      <c r="U763" s="1119">
        <v>0.83369999999999944</v>
      </c>
      <c r="V763" s="1119">
        <v>0.83009999999999939</v>
      </c>
    </row>
    <row r="764" spans="4:22">
      <c r="D764" s="1119">
        <v>0.89529999999999998</v>
      </c>
      <c r="E764" s="1119">
        <v>0.89859999999999995</v>
      </c>
      <c r="F764" s="1120">
        <v>25.88</v>
      </c>
      <c r="G764" s="1119">
        <v>7.0023999999999997</v>
      </c>
      <c r="I764" s="1119">
        <v>0.89859999999999995</v>
      </c>
      <c r="J764" s="1119">
        <v>0.89529999999999998</v>
      </c>
      <c r="K764" s="1120">
        <v>25.88</v>
      </c>
      <c r="L764" s="1119">
        <v>7.0023999999999997</v>
      </c>
      <c r="N764" s="1120">
        <v>38.159999999999997</v>
      </c>
      <c r="O764" s="1119">
        <v>7.5484000000000018</v>
      </c>
      <c r="P764" s="1119">
        <v>0.83359999999999945</v>
      </c>
      <c r="Q764" s="1119">
        <v>0.8299999999999994</v>
      </c>
      <c r="S764" s="1119">
        <v>7.5484000000000018</v>
      </c>
      <c r="T764" s="1120">
        <v>38.159999999999997</v>
      </c>
      <c r="U764" s="1119">
        <v>0.83359999999999945</v>
      </c>
      <c r="V764" s="1119">
        <v>0.8299999999999994</v>
      </c>
    </row>
    <row r="765" spans="4:22">
      <c r="D765" s="1119">
        <v>0.89539999999999997</v>
      </c>
      <c r="E765" s="1119">
        <v>0.89869999999999994</v>
      </c>
      <c r="F765" s="1120">
        <v>25.86</v>
      </c>
      <c r="G765" s="1119">
        <v>7.0015999999999998</v>
      </c>
      <c r="I765" s="1119">
        <v>0.89869999999999994</v>
      </c>
      <c r="J765" s="1119">
        <v>0.89539999999999997</v>
      </c>
      <c r="K765" s="1120">
        <v>25.86</v>
      </c>
      <c r="L765" s="1119">
        <v>7.0015999999999998</v>
      </c>
      <c r="N765" s="1120">
        <v>38.18</v>
      </c>
      <c r="O765" s="1119">
        <v>7.5493000000000015</v>
      </c>
      <c r="P765" s="1119">
        <v>0.83349999999999946</v>
      </c>
      <c r="Q765" s="1119">
        <v>0.82989999999999942</v>
      </c>
      <c r="S765" s="1119">
        <v>7.5493000000000015</v>
      </c>
      <c r="T765" s="1120">
        <v>38.18</v>
      </c>
      <c r="U765" s="1119">
        <v>0.83349999999999946</v>
      </c>
      <c r="V765" s="1119">
        <v>0.82989999999999942</v>
      </c>
    </row>
    <row r="766" spans="4:22">
      <c r="D766" s="1119">
        <v>0.89549999999999996</v>
      </c>
      <c r="E766" s="1119">
        <v>0.89879999999999993</v>
      </c>
      <c r="F766" s="1120">
        <v>25.84</v>
      </c>
      <c r="G766" s="1119">
        <v>7.0007999999999999</v>
      </c>
      <c r="I766" s="1119">
        <v>0.89879999999999993</v>
      </c>
      <c r="J766" s="1119">
        <v>0.89549999999999996</v>
      </c>
      <c r="K766" s="1120">
        <v>25.84</v>
      </c>
      <c r="L766" s="1119">
        <v>7.0007999999999999</v>
      </c>
      <c r="N766" s="1120">
        <v>38.200000000000003</v>
      </c>
      <c r="O766" s="1119">
        <v>7.5502000000000011</v>
      </c>
      <c r="P766" s="1119">
        <v>0.83339999999999947</v>
      </c>
      <c r="Q766" s="1119">
        <v>0.82979999999999943</v>
      </c>
      <c r="S766" s="1119">
        <v>7.5502000000000011</v>
      </c>
      <c r="T766" s="1120">
        <v>38.200000000000003</v>
      </c>
      <c r="U766" s="1119">
        <v>0.83339999999999947</v>
      </c>
      <c r="V766" s="1119">
        <v>0.82979999999999943</v>
      </c>
    </row>
    <row r="767" spans="4:22">
      <c r="D767" s="1119">
        <v>0.89559999999999995</v>
      </c>
      <c r="E767" s="1119">
        <v>0.89889999999999992</v>
      </c>
      <c r="F767" s="1120">
        <v>25.83</v>
      </c>
      <c r="G767" s="1119">
        <v>7</v>
      </c>
      <c r="I767" s="1119">
        <v>0.89889999999999992</v>
      </c>
      <c r="J767" s="1119">
        <v>0.89559999999999995</v>
      </c>
      <c r="K767" s="1120">
        <v>25.83</v>
      </c>
      <c r="L767" s="1119">
        <v>7</v>
      </c>
      <c r="N767" s="1120">
        <v>38.22</v>
      </c>
      <c r="O767" s="1119">
        <v>7.5511000000000008</v>
      </c>
      <c r="P767" s="1119">
        <v>0.83329999999999949</v>
      </c>
      <c r="Q767" s="1119">
        <v>0.82969999999999944</v>
      </c>
      <c r="S767" s="1119">
        <v>7.5511000000000008</v>
      </c>
      <c r="T767" s="1120">
        <v>38.22</v>
      </c>
      <c r="U767" s="1119">
        <v>0.83329999999999949</v>
      </c>
      <c r="V767" s="1119">
        <v>0.82969999999999944</v>
      </c>
    </row>
    <row r="768" spans="4:22">
      <c r="D768" s="1119">
        <v>0.89569999999999994</v>
      </c>
      <c r="E768" s="1119">
        <v>0.89899999999999991</v>
      </c>
      <c r="F768" s="1120">
        <v>25.81</v>
      </c>
      <c r="G768" s="1119">
        <v>6.9992000000000001</v>
      </c>
      <c r="I768" s="1119">
        <v>0.89899999999999991</v>
      </c>
      <c r="J768" s="1119">
        <v>0.89569999999999994</v>
      </c>
      <c r="K768" s="1120">
        <v>25.81</v>
      </c>
      <c r="L768" s="1119">
        <v>6.9992000000000001</v>
      </c>
      <c r="N768" s="1120">
        <v>38.24</v>
      </c>
      <c r="O768" s="1119">
        <v>7.5520000000000005</v>
      </c>
      <c r="P768" s="1119">
        <v>0.8331999999999995</v>
      </c>
      <c r="Q768" s="1119">
        <v>0.82959999999999945</v>
      </c>
      <c r="S768" s="1119">
        <v>7.5520000000000005</v>
      </c>
      <c r="T768" s="1120">
        <v>38.24</v>
      </c>
      <c r="U768" s="1119">
        <v>0.8331999999999995</v>
      </c>
      <c r="V768" s="1119">
        <v>0.82959999999999945</v>
      </c>
    </row>
    <row r="769" spans="4:22">
      <c r="D769" s="1119">
        <v>0.89579999999999993</v>
      </c>
      <c r="E769" s="1119">
        <v>0.8990999999999999</v>
      </c>
      <c r="F769" s="1120">
        <v>25.79</v>
      </c>
      <c r="G769" s="1119">
        <v>6.9984000000000002</v>
      </c>
      <c r="I769" s="1119">
        <v>0.8990999999999999</v>
      </c>
      <c r="J769" s="1119">
        <v>0.89579999999999993</v>
      </c>
      <c r="K769" s="1120">
        <v>25.79</v>
      </c>
      <c r="L769" s="1119">
        <v>6.9984000000000002</v>
      </c>
      <c r="N769" s="1120">
        <v>38.26</v>
      </c>
      <c r="O769" s="1119">
        <v>7.5529000000000002</v>
      </c>
      <c r="P769" s="1119">
        <v>0.83309999999999951</v>
      </c>
      <c r="Q769" s="1119">
        <v>0.82949999999999946</v>
      </c>
      <c r="S769" s="1119">
        <v>7.5529000000000002</v>
      </c>
      <c r="T769" s="1120">
        <v>38.26</v>
      </c>
      <c r="U769" s="1119">
        <v>0.83309999999999951</v>
      </c>
      <c r="V769" s="1119">
        <v>0.82949999999999946</v>
      </c>
    </row>
    <row r="770" spans="4:22">
      <c r="D770" s="1119">
        <v>0.89589999999999992</v>
      </c>
      <c r="E770" s="1119">
        <v>0.89919999999999989</v>
      </c>
      <c r="F770" s="1120">
        <v>25.77</v>
      </c>
      <c r="G770" s="1119">
        <v>6.9976000000000003</v>
      </c>
      <c r="I770" s="1119">
        <v>0.89919999999999989</v>
      </c>
      <c r="J770" s="1119">
        <v>0.89589999999999992</v>
      </c>
      <c r="K770" s="1120">
        <v>25.77</v>
      </c>
      <c r="L770" s="1119">
        <v>6.9976000000000003</v>
      </c>
      <c r="N770" s="1120">
        <v>38.28</v>
      </c>
      <c r="O770" s="1119">
        <v>7.5537999999999998</v>
      </c>
      <c r="P770" s="1119">
        <v>0.83299999999999952</v>
      </c>
      <c r="Q770" s="1119">
        <v>0.82939999999999947</v>
      </c>
      <c r="S770" s="1119">
        <v>7.5537999999999998</v>
      </c>
      <c r="T770" s="1120">
        <v>38.28</v>
      </c>
      <c r="U770" s="1119">
        <v>0.83299999999999952</v>
      </c>
      <c r="V770" s="1119">
        <v>0.82939999999999947</v>
      </c>
    </row>
    <row r="771" spans="4:22">
      <c r="D771" s="1119">
        <v>0.89599999999999991</v>
      </c>
      <c r="E771" s="1119">
        <v>0.89929999999999988</v>
      </c>
      <c r="F771" s="1120">
        <v>25.76</v>
      </c>
      <c r="G771" s="1119">
        <v>6.9968000000000004</v>
      </c>
      <c r="I771" s="1119">
        <v>0.89929999999999988</v>
      </c>
      <c r="J771" s="1119">
        <v>0.89599999999999991</v>
      </c>
      <c r="K771" s="1120">
        <v>25.76</v>
      </c>
      <c r="L771" s="1119">
        <v>6.9968000000000004</v>
      </c>
      <c r="N771" s="1120">
        <v>38.299999999999997</v>
      </c>
      <c r="O771" s="1119">
        <v>7.5546999999999995</v>
      </c>
      <c r="P771" s="1119">
        <v>0.83289999999999953</v>
      </c>
      <c r="Q771" s="1119">
        <v>0.82929999999999948</v>
      </c>
      <c r="S771" s="1119">
        <v>7.5546999999999995</v>
      </c>
      <c r="T771" s="1120">
        <v>38.299999999999997</v>
      </c>
      <c r="U771" s="1119">
        <v>0.83289999999999953</v>
      </c>
      <c r="V771" s="1119">
        <v>0.82929999999999948</v>
      </c>
    </row>
    <row r="772" spans="4:22">
      <c r="D772" s="1119">
        <v>0.8960999999999999</v>
      </c>
      <c r="E772" s="1119">
        <v>0.89939999999999987</v>
      </c>
      <c r="F772" s="1120">
        <v>25.74</v>
      </c>
      <c r="G772" s="1119">
        <v>6.9960000000000004</v>
      </c>
      <c r="I772" s="1119">
        <v>0.89939999999999987</v>
      </c>
      <c r="J772" s="1119">
        <v>0.8960999999999999</v>
      </c>
      <c r="K772" s="1120">
        <v>25.74</v>
      </c>
      <c r="L772" s="1119">
        <v>6.9960000000000004</v>
      </c>
      <c r="N772" s="1120">
        <v>38.32</v>
      </c>
      <c r="O772" s="1119">
        <v>7.5555999999999992</v>
      </c>
      <c r="P772" s="1119">
        <v>0.83279999999999954</v>
      </c>
      <c r="Q772" s="1119">
        <v>0.82919999999999949</v>
      </c>
      <c r="S772" s="1119">
        <v>7.5555999999999992</v>
      </c>
      <c r="T772" s="1120">
        <v>38.32</v>
      </c>
      <c r="U772" s="1119">
        <v>0.83279999999999954</v>
      </c>
      <c r="V772" s="1119">
        <v>0.82919999999999949</v>
      </c>
    </row>
    <row r="773" spans="4:22">
      <c r="D773" s="1119">
        <v>0.89619999999999989</v>
      </c>
      <c r="E773" s="1119">
        <v>0.89949999999999986</v>
      </c>
      <c r="F773" s="1120">
        <v>25.72</v>
      </c>
      <c r="G773" s="1119">
        <v>6.9952000000000005</v>
      </c>
      <c r="I773" s="1119">
        <v>0.89949999999999986</v>
      </c>
      <c r="J773" s="1119">
        <v>0.89619999999999989</v>
      </c>
      <c r="K773" s="1120">
        <v>25.72</v>
      </c>
      <c r="L773" s="1119">
        <v>6.9952000000000005</v>
      </c>
      <c r="N773" s="1120">
        <v>38.340000000000003</v>
      </c>
      <c r="O773" s="1119">
        <v>7.5564999999999989</v>
      </c>
      <c r="P773" s="1119">
        <v>0.83269999999999955</v>
      </c>
      <c r="Q773" s="1119">
        <v>0.8290999999999995</v>
      </c>
      <c r="S773" s="1119">
        <v>7.5564999999999989</v>
      </c>
      <c r="T773" s="1120">
        <v>38.340000000000003</v>
      </c>
      <c r="U773" s="1119">
        <v>0.83269999999999955</v>
      </c>
      <c r="V773" s="1119">
        <v>0.8290999999999995</v>
      </c>
    </row>
    <row r="774" spans="4:22">
      <c r="D774" s="1119">
        <v>0.89629999999999987</v>
      </c>
      <c r="E774" s="1119">
        <v>0.89959999999999984</v>
      </c>
      <c r="F774" s="1120">
        <v>25.7</v>
      </c>
      <c r="G774" s="1119">
        <v>6.9944000000000006</v>
      </c>
      <c r="I774" s="1119">
        <v>0.89959999999999984</v>
      </c>
      <c r="J774" s="1119">
        <v>0.89629999999999987</v>
      </c>
      <c r="K774" s="1120">
        <v>25.7</v>
      </c>
      <c r="L774" s="1119">
        <v>6.9944000000000006</v>
      </c>
      <c r="N774" s="1120">
        <v>38.36</v>
      </c>
      <c r="O774" s="1119">
        <v>7.5573999999999986</v>
      </c>
      <c r="P774" s="1119">
        <v>0.83259999999999956</v>
      </c>
      <c r="Q774" s="1119">
        <v>0.82899999999999952</v>
      </c>
      <c r="S774" s="1119">
        <v>7.5573999999999986</v>
      </c>
      <c r="T774" s="1120">
        <v>38.36</v>
      </c>
      <c r="U774" s="1119">
        <v>0.83259999999999956</v>
      </c>
      <c r="V774" s="1119">
        <v>0.82899999999999952</v>
      </c>
    </row>
    <row r="775" spans="4:22">
      <c r="D775" s="1119">
        <v>0.89639999999999986</v>
      </c>
      <c r="E775" s="1119">
        <v>0.89969999999999983</v>
      </c>
      <c r="F775" s="1120">
        <v>25.68</v>
      </c>
      <c r="G775" s="1119">
        <v>6.9936000000000007</v>
      </c>
      <c r="I775" s="1119">
        <v>0.89969999999999983</v>
      </c>
      <c r="J775" s="1119">
        <v>0.89639999999999986</v>
      </c>
      <c r="K775" s="1120">
        <v>25.68</v>
      </c>
      <c r="L775" s="1119">
        <v>6.9936000000000007</v>
      </c>
      <c r="N775" s="1120">
        <v>38.39</v>
      </c>
      <c r="O775" s="1119">
        <v>7.5582999999999982</v>
      </c>
      <c r="P775" s="1119">
        <v>0.83250000000000002</v>
      </c>
      <c r="Q775" s="1119">
        <v>0.82889999999999953</v>
      </c>
      <c r="S775" s="1119">
        <v>7.5582999999999982</v>
      </c>
      <c r="T775" s="1120">
        <v>38.39</v>
      </c>
      <c r="U775" s="1119">
        <v>0.83250000000000002</v>
      </c>
      <c r="V775" s="1119">
        <v>0.82889999999999953</v>
      </c>
    </row>
    <row r="776" spans="4:22">
      <c r="D776" s="1119">
        <v>0.89649999999999985</v>
      </c>
      <c r="E776" s="1119">
        <v>0.89979999999999982</v>
      </c>
      <c r="F776" s="1120">
        <v>25.67</v>
      </c>
      <c r="G776" s="1119">
        <v>6.9928000000000008</v>
      </c>
      <c r="I776" s="1119">
        <v>0.89979999999999982</v>
      </c>
      <c r="J776" s="1119">
        <v>0.89649999999999985</v>
      </c>
      <c r="K776" s="1120">
        <v>25.67</v>
      </c>
      <c r="L776" s="1119">
        <v>6.9928000000000008</v>
      </c>
      <c r="N776" s="1120">
        <v>38.409999999999997</v>
      </c>
      <c r="O776" s="1119">
        <v>7.5591999999999979</v>
      </c>
      <c r="P776" s="1119">
        <v>0.83239999999999958</v>
      </c>
      <c r="Q776" s="1119">
        <v>0.82879999999999954</v>
      </c>
      <c r="S776" s="1119">
        <v>7.5591999999999979</v>
      </c>
      <c r="T776" s="1120">
        <v>38.409999999999997</v>
      </c>
      <c r="U776" s="1119">
        <v>0.83239999999999958</v>
      </c>
      <c r="V776" s="1119">
        <v>0.82879999999999954</v>
      </c>
    </row>
    <row r="777" spans="4:22">
      <c r="D777" s="1119">
        <v>0.89659999999999984</v>
      </c>
      <c r="E777" s="1119">
        <v>0.89989999999999981</v>
      </c>
      <c r="F777" s="1120">
        <v>25.65</v>
      </c>
      <c r="G777" s="1119">
        <v>6.9920000000000009</v>
      </c>
      <c r="I777" s="1119">
        <v>0.89989999999999981</v>
      </c>
      <c r="J777" s="1119">
        <v>0.89659999999999984</v>
      </c>
      <c r="K777" s="1120">
        <v>25.65</v>
      </c>
      <c r="L777" s="1119">
        <v>6.9920000000000009</v>
      </c>
      <c r="N777" s="1120">
        <v>38.43</v>
      </c>
      <c r="O777" s="1119">
        <v>7.5600999999999976</v>
      </c>
      <c r="P777" s="1119">
        <v>0.8322999999999996</v>
      </c>
      <c r="Q777" s="1119">
        <v>0.82869999999999955</v>
      </c>
      <c r="S777" s="1119">
        <v>7.5600999999999976</v>
      </c>
      <c r="T777" s="1120">
        <v>38.43</v>
      </c>
      <c r="U777" s="1119">
        <v>0.8322999999999996</v>
      </c>
      <c r="V777" s="1119">
        <v>0.82869999999999955</v>
      </c>
    </row>
    <row r="778" spans="4:22">
      <c r="D778" s="1119">
        <v>0.89669999999999983</v>
      </c>
      <c r="E778" s="1119">
        <v>0.9</v>
      </c>
      <c r="F778" s="1120">
        <v>25.63</v>
      </c>
      <c r="G778" s="1119">
        <v>6.9912999999999998</v>
      </c>
      <c r="I778" s="1119">
        <v>0.9</v>
      </c>
      <c r="J778" s="1119">
        <v>0.89669999999999983</v>
      </c>
      <c r="K778" s="1120">
        <v>25.63</v>
      </c>
      <c r="L778" s="1119">
        <v>6.9912999999999998</v>
      </c>
      <c r="N778" s="1120">
        <v>38.450000000000003</v>
      </c>
      <c r="O778" s="1119">
        <v>7.5609999999999973</v>
      </c>
      <c r="P778" s="1119">
        <v>0.83219999999999961</v>
      </c>
      <c r="Q778" s="1119">
        <v>0.82859999999999956</v>
      </c>
      <c r="S778" s="1119">
        <v>7.5609999999999973</v>
      </c>
      <c r="T778" s="1120">
        <v>38.450000000000003</v>
      </c>
      <c r="U778" s="1119">
        <v>0.83219999999999961</v>
      </c>
      <c r="V778" s="1119">
        <v>0.82859999999999956</v>
      </c>
    </row>
    <row r="779" spans="4:22">
      <c r="D779" s="1119">
        <v>0.89679999999999982</v>
      </c>
      <c r="E779" s="1119">
        <v>0.90009999999999979</v>
      </c>
      <c r="F779" s="1120">
        <v>25.61</v>
      </c>
      <c r="G779" s="1119">
        <v>6.9904999999999999</v>
      </c>
      <c r="I779" s="1119">
        <v>0.90009999999999979</v>
      </c>
      <c r="J779" s="1119">
        <v>0.89679999999999982</v>
      </c>
      <c r="K779" s="1120">
        <v>25.61</v>
      </c>
      <c r="L779" s="1119">
        <v>6.9904999999999999</v>
      </c>
      <c r="N779" s="1120">
        <v>38.47</v>
      </c>
      <c r="O779" s="1119">
        <v>7.561899999999997</v>
      </c>
      <c r="P779" s="1119">
        <v>0.83209999999999962</v>
      </c>
      <c r="Q779" s="1119">
        <v>0.82849999999999957</v>
      </c>
      <c r="S779" s="1119">
        <v>7.561899999999997</v>
      </c>
      <c r="T779" s="1120">
        <v>38.47</v>
      </c>
      <c r="U779" s="1119">
        <v>0.83209999999999962</v>
      </c>
      <c r="V779" s="1119">
        <v>0.82849999999999957</v>
      </c>
    </row>
    <row r="780" spans="4:22">
      <c r="D780" s="1119">
        <v>0.89689999999999981</v>
      </c>
      <c r="E780" s="1119">
        <v>0.90019999999999978</v>
      </c>
      <c r="F780" s="1120">
        <v>25.6</v>
      </c>
      <c r="G780" s="1119">
        <v>6.9897</v>
      </c>
      <c r="I780" s="1119">
        <v>0.90019999999999978</v>
      </c>
      <c r="J780" s="1119">
        <v>0.89689999999999981</v>
      </c>
      <c r="K780" s="1120">
        <v>25.6</v>
      </c>
      <c r="L780" s="1119">
        <v>6.9897</v>
      </c>
      <c r="N780" s="1120">
        <v>38.49</v>
      </c>
      <c r="O780" s="1119">
        <v>7.5627999999999966</v>
      </c>
      <c r="P780" s="1119">
        <v>0.83199999999999963</v>
      </c>
      <c r="Q780" s="1119">
        <v>0.82839999999999958</v>
      </c>
      <c r="S780" s="1119">
        <v>7.5627999999999966</v>
      </c>
      <c r="T780" s="1120">
        <v>38.49</v>
      </c>
      <c r="U780" s="1119">
        <v>0.83199999999999963</v>
      </c>
      <c r="V780" s="1119">
        <v>0.82839999999999958</v>
      </c>
    </row>
    <row r="781" spans="4:22">
      <c r="D781" s="1119">
        <v>0.8969999999999998</v>
      </c>
      <c r="E781" s="1119">
        <v>0.90029999999999977</v>
      </c>
      <c r="F781" s="1120">
        <v>25.58</v>
      </c>
      <c r="G781" s="1119">
        <v>6.9889000000000001</v>
      </c>
      <c r="I781" s="1119">
        <v>0.90029999999999977</v>
      </c>
      <c r="J781" s="1119">
        <v>0.8969999999999998</v>
      </c>
      <c r="K781" s="1120">
        <v>25.58</v>
      </c>
      <c r="L781" s="1119">
        <v>6.9889000000000001</v>
      </c>
      <c r="N781" s="1120">
        <v>38.51</v>
      </c>
      <c r="O781" s="1119">
        <v>7.563799999999997</v>
      </c>
      <c r="P781" s="1119">
        <v>0.83189999999999964</v>
      </c>
      <c r="Q781" s="1119">
        <v>0.82829999999999959</v>
      </c>
      <c r="S781" s="1119">
        <v>7.563799999999997</v>
      </c>
      <c r="T781" s="1120">
        <v>38.51</v>
      </c>
      <c r="U781" s="1119">
        <v>0.83189999999999964</v>
      </c>
      <c r="V781" s="1119">
        <v>0.82829999999999959</v>
      </c>
    </row>
    <row r="782" spans="4:22">
      <c r="D782" s="1119">
        <v>0.89709999999999979</v>
      </c>
      <c r="E782" s="1119">
        <v>0.90039999999999976</v>
      </c>
      <c r="F782" s="1120">
        <v>25.56</v>
      </c>
      <c r="G782" s="1119">
        <v>6.9881000000000002</v>
      </c>
      <c r="I782" s="1119">
        <v>0.90039999999999976</v>
      </c>
      <c r="J782" s="1119">
        <v>0.89709999999999979</v>
      </c>
      <c r="K782" s="1120">
        <v>25.56</v>
      </c>
      <c r="L782" s="1119">
        <v>6.9881000000000002</v>
      </c>
      <c r="N782" s="1120">
        <v>38.53</v>
      </c>
      <c r="O782" s="1119">
        <v>7.5647999999999973</v>
      </c>
      <c r="P782" s="1119">
        <v>0.83179999999999965</v>
      </c>
      <c r="Q782" s="1119">
        <v>0.8281999999999996</v>
      </c>
      <c r="S782" s="1119">
        <v>7.5647999999999973</v>
      </c>
      <c r="T782" s="1120">
        <v>38.53</v>
      </c>
      <c r="U782" s="1119">
        <v>0.83179999999999965</v>
      </c>
      <c r="V782" s="1119">
        <v>0.8281999999999996</v>
      </c>
    </row>
    <row r="783" spans="4:22">
      <c r="D783" s="1119">
        <v>0.89719999999999978</v>
      </c>
      <c r="E783" s="1119">
        <v>0.90049999999999975</v>
      </c>
      <c r="F783" s="1120">
        <v>25.54</v>
      </c>
      <c r="G783" s="1119">
        <v>6.9873000000000003</v>
      </c>
      <c r="I783" s="1119">
        <v>0.90049999999999975</v>
      </c>
      <c r="J783" s="1119">
        <v>0.89719999999999978</v>
      </c>
      <c r="K783" s="1120">
        <v>25.54</v>
      </c>
      <c r="L783" s="1119">
        <v>6.9873000000000003</v>
      </c>
      <c r="N783" s="1120">
        <v>38.549999999999997</v>
      </c>
      <c r="O783" s="1119">
        <v>7.5657999999999976</v>
      </c>
      <c r="P783" s="1119">
        <v>0.83169999999999966</v>
      </c>
      <c r="Q783" s="1119">
        <v>0.82809999999999961</v>
      </c>
      <c r="S783" s="1119">
        <v>7.5657999999999976</v>
      </c>
      <c r="T783" s="1120">
        <v>38.549999999999997</v>
      </c>
      <c r="U783" s="1119">
        <v>0.83169999999999966</v>
      </c>
      <c r="V783" s="1119">
        <v>0.82809999999999961</v>
      </c>
    </row>
    <row r="784" spans="4:22">
      <c r="D784" s="1119">
        <v>0.89729999999999976</v>
      </c>
      <c r="E784" s="1119">
        <v>0.90059999999999973</v>
      </c>
      <c r="F784" s="1120">
        <v>25.53</v>
      </c>
      <c r="G784" s="1119">
        <v>6.9865000000000004</v>
      </c>
      <c r="I784" s="1119">
        <v>0.90059999999999973</v>
      </c>
      <c r="J784" s="1119">
        <v>0.89729999999999976</v>
      </c>
      <c r="K784" s="1120">
        <v>25.53</v>
      </c>
      <c r="L784" s="1119">
        <v>6.9865000000000004</v>
      </c>
      <c r="N784" s="1120">
        <v>38.57</v>
      </c>
      <c r="O784" s="1119">
        <v>7.566799999999998</v>
      </c>
      <c r="P784" s="1119">
        <v>0.83159999999999967</v>
      </c>
      <c r="Q784" s="1119">
        <v>0.82799999999999963</v>
      </c>
      <c r="S784" s="1119">
        <v>7.566799999999998</v>
      </c>
      <c r="T784" s="1120">
        <v>38.57</v>
      </c>
      <c r="U784" s="1119">
        <v>0.83159999999999967</v>
      </c>
      <c r="V784" s="1119">
        <v>0.82799999999999963</v>
      </c>
    </row>
    <row r="785" spans="4:22">
      <c r="D785" s="1119">
        <v>0.89739999999999975</v>
      </c>
      <c r="E785" s="1119">
        <v>0.90069999999999972</v>
      </c>
      <c r="F785" s="1120">
        <v>25.51</v>
      </c>
      <c r="G785" s="1119">
        <v>6.9857000000000005</v>
      </c>
      <c r="I785" s="1119">
        <v>0.90069999999999972</v>
      </c>
      <c r="J785" s="1119">
        <v>0.89739999999999975</v>
      </c>
      <c r="K785" s="1120">
        <v>25.51</v>
      </c>
      <c r="L785" s="1119">
        <v>6.9857000000000005</v>
      </c>
      <c r="N785" s="1120">
        <v>38.590000000000003</v>
      </c>
      <c r="O785" s="1119">
        <v>7.5677999999999983</v>
      </c>
      <c r="P785" s="1119">
        <v>0.83149999999999968</v>
      </c>
      <c r="Q785" s="1119">
        <v>0.82789999999999964</v>
      </c>
      <c r="S785" s="1119">
        <v>7.5677999999999983</v>
      </c>
      <c r="T785" s="1120">
        <v>38.590000000000003</v>
      </c>
      <c r="U785" s="1119">
        <v>0.83149999999999968</v>
      </c>
      <c r="V785" s="1119">
        <v>0.82789999999999964</v>
      </c>
    </row>
    <row r="786" spans="4:22">
      <c r="D786" s="1119">
        <v>0.89749999999999996</v>
      </c>
      <c r="E786" s="1119">
        <v>0.90079999999999971</v>
      </c>
      <c r="F786" s="1120">
        <v>25.49</v>
      </c>
      <c r="G786" s="1119">
        <v>6.9849000000000006</v>
      </c>
      <c r="I786" s="1119">
        <v>0.90079999999999971</v>
      </c>
      <c r="J786" s="1119">
        <v>0.89749999999999996</v>
      </c>
      <c r="K786" s="1120">
        <v>25.49</v>
      </c>
      <c r="L786" s="1119">
        <v>6.9849000000000006</v>
      </c>
      <c r="N786" s="1120">
        <v>38.61</v>
      </c>
      <c r="O786" s="1119">
        <v>7.5687999999999986</v>
      </c>
      <c r="P786" s="1119">
        <v>0.83139999999999969</v>
      </c>
      <c r="Q786" s="1119">
        <v>0.82779999999999965</v>
      </c>
      <c r="S786" s="1119">
        <v>7.5687999999999986</v>
      </c>
      <c r="T786" s="1120">
        <v>38.61</v>
      </c>
      <c r="U786" s="1119">
        <v>0.83139999999999969</v>
      </c>
      <c r="V786" s="1119">
        <v>0.82779999999999965</v>
      </c>
    </row>
    <row r="787" spans="4:22">
      <c r="D787" s="1119">
        <v>0.89759999999999973</v>
      </c>
      <c r="E787" s="1119">
        <v>0.9008999999999997</v>
      </c>
      <c r="F787" s="1120">
        <v>25.48</v>
      </c>
      <c r="G787" s="1119">
        <v>6.9841000000000006</v>
      </c>
      <c r="I787" s="1119">
        <v>0.9008999999999997</v>
      </c>
      <c r="J787" s="1119">
        <v>0.89759999999999973</v>
      </c>
      <c r="K787" s="1120">
        <v>25.48</v>
      </c>
      <c r="L787" s="1119">
        <v>6.9841000000000006</v>
      </c>
      <c r="N787" s="1120">
        <v>38.630000000000003</v>
      </c>
      <c r="O787" s="1119">
        <v>7.569799999999999</v>
      </c>
      <c r="P787" s="1119">
        <v>0.83129999999999971</v>
      </c>
      <c r="Q787" s="1119">
        <v>0.82769999999999966</v>
      </c>
      <c r="S787" s="1119">
        <v>7.569799999999999</v>
      </c>
      <c r="T787" s="1120">
        <v>38.630000000000003</v>
      </c>
      <c r="U787" s="1119">
        <v>0.83129999999999971</v>
      </c>
      <c r="V787" s="1119">
        <v>0.82769999999999966</v>
      </c>
    </row>
    <row r="788" spans="4:22">
      <c r="D788" s="1119">
        <v>0.89769999999999972</v>
      </c>
      <c r="E788" s="1119">
        <v>0.90099999999999969</v>
      </c>
      <c r="F788" s="1120">
        <v>25.46</v>
      </c>
      <c r="G788" s="1119">
        <v>6.9833000000000007</v>
      </c>
      <c r="I788" s="1119">
        <v>0.90099999999999969</v>
      </c>
      <c r="J788" s="1119">
        <v>0.89769999999999972</v>
      </c>
      <c r="K788" s="1120">
        <v>25.46</v>
      </c>
      <c r="L788" s="1119">
        <v>6.9833000000000007</v>
      </c>
      <c r="N788" s="1120">
        <v>38.65</v>
      </c>
      <c r="O788" s="1119">
        <v>7.5707999999999993</v>
      </c>
      <c r="P788" s="1119">
        <v>0.83119999999999972</v>
      </c>
      <c r="Q788" s="1119">
        <v>0.82759999999999967</v>
      </c>
      <c r="S788" s="1119">
        <v>7.5707999999999993</v>
      </c>
      <c r="T788" s="1120">
        <v>38.65</v>
      </c>
      <c r="U788" s="1119">
        <v>0.83119999999999972</v>
      </c>
      <c r="V788" s="1119">
        <v>0.82759999999999967</v>
      </c>
    </row>
    <row r="789" spans="4:22">
      <c r="D789" s="1119">
        <v>0.89779999999999971</v>
      </c>
      <c r="E789" s="1119">
        <v>0.90109999999999968</v>
      </c>
      <c r="F789" s="1120">
        <v>25.44</v>
      </c>
      <c r="G789" s="1119">
        <v>6.9826000000000006</v>
      </c>
      <c r="I789" s="1119">
        <v>0.90109999999999968</v>
      </c>
      <c r="J789" s="1119">
        <v>0.89779999999999971</v>
      </c>
      <c r="K789" s="1120">
        <v>25.44</v>
      </c>
      <c r="L789" s="1119">
        <v>6.9826000000000006</v>
      </c>
      <c r="N789" s="1120">
        <v>38.67</v>
      </c>
      <c r="O789" s="1119">
        <v>7.5717999999999996</v>
      </c>
      <c r="P789" s="1119">
        <v>0.83109999999999973</v>
      </c>
      <c r="Q789" s="1119">
        <v>0.82750000000000001</v>
      </c>
      <c r="S789" s="1119">
        <v>7.5717999999999996</v>
      </c>
      <c r="T789" s="1120">
        <v>38.67</v>
      </c>
      <c r="U789" s="1119">
        <v>0.83109999999999973</v>
      </c>
      <c r="V789" s="1119">
        <v>0.82750000000000001</v>
      </c>
    </row>
    <row r="790" spans="4:22">
      <c r="D790" s="1119">
        <v>0.8978999999999997</v>
      </c>
      <c r="E790" s="1119">
        <v>0.90119999999999967</v>
      </c>
      <c r="F790" s="1120">
        <v>25.43</v>
      </c>
      <c r="G790" s="1119">
        <v>6.9819000000000004</v>
      </c>
      <c r="I790" s="1119">
        <v>0.90119999999999967</v>
      </c>
      <c r="J790" s="1119">
        <v>0.8978999999999997</v>
      </c>
      <c r="K790" s="1120">
        <v>25.43</v>
      </c>
      <c r="L790" s="1119">
        <v>6.9819000000000004</v>
      </c>
      <c r="N790" s="1120">
        <v>38.69</v>
      </c>
      <c r="O790" s="1119">
        <v>7.5728000000000035</v>
      </c>
      <c r="P790" s="1119">
        <v>0.83099999999999974</v>
      </c>
      <c r="Q790" s="1119">
        <v>0.82739999999999969</v>
      </c>
      <c r="S790" s="1119">
        <v>7.5728000000000035</v>
      </c>
      <c r="T790" s="1120">
        <v>38.69</v>
      </c>
      <c r="U790" s="1119">
        <v>0.83099999999999974</v>
      </c>
      <c r="V790" s="1119">
        <v>0.82739999999999969</v>
      </c>
    </row>
    <row r="791" spans="4:22">
      <c r="D791" s="1119">
        <v>0.89799999999999969</v>
      </c>
      <c r="E791" s="1119">
        <v>0.90129999999999966</v>
      </c>
      <c r="F791" s="1120">
        <v>25.41</v>
      </c>
      <c r="G791" s="1119">
        <v>6.9812000000000003</v>
      </c>
      <c r="I791" s="1119">
        <v>0.90129999999999966</v>
      </c>
      <c r="J791" s="1119">
        <v>0.89799999999999969</v>
      </c>
      <c r="K791" s="1120">
        <v>25.41</v>
      </c>
      <c r="L791" s="1119">
        <v>6.9812000000000003</v>
      </c>
      <c r="N791" s="1120">
        <v>38.71</v>
      </c>
      <c r="O791" s="1119">
        <v>7.5737000000000032</v>
      </c>
      <c r="P791" s="1119">
        <v>0.83089999999999975</v>
      </c>
      <c r="Q791" s="1119">
        <v>0.8272999999999997</v>
      </c>
      <c r="S791" s="1119">
        <v>7.5737000000000032</v>
      </c>
      <c r="T791" s="1120">
        <v>38.71</v>
      </c>
      <c r="U791" s="1119">
        <v>0.83089999999999975</v>
      </c>
      <c r="V791" s="1119">
        <v>0.8272999999999997</v>
      </c>
    </row>
    <row r="792" spans="4:22">
      <c r="D792" s="1119">
        <v>0.89809999999999968</v>
      </c>
      <c r="E792" s="1119">
        <v>0.90139999999999965</v>
      </c>
      <c r="F792" s="1120">
        <v>25.39</v>
      </c>
      <c r="G792" s="1119">
        <v>6.9805000000000001</v>
      </c>
      <c r="I792" s="1119">
        <v>0.90139999999999965</v>
      </c>
      <c r="J792" s="1119">
        <v>0.89809999999999968</v>
      </c>
      <c r="K792" s="1120">
        <v>25.39</v>
      </c>
      <c r="L792" s="1119">
        <v>6.9805000000000001</v>
      </c>
      <c r="N792" s="1120">
        <v>38.729999999999997</v>
      </c>
      <c r="O792" s="1119">
        <v>7.5746000000000029</v>
      </c>
      <c r="P792" s="1119">
        <v>0.83079999999999976</v>
      </c>
      <c r="Q792" s="1119">
        <v>0.82719999999999971</v>
      </c>
      <c r="S792" s="1119">
        <v>7.5746000000000029</v>
      </c>
      <c r="T792" s="1120">
        <v>38.729999999999997</v>
      </c>
      <c r="U792" s="1119">
        <v>0.83079999999999976</v>
      </c>
      <c r="V792" s="1119">
        <v>0.82719999999999971</v>
      </c>
    </row>
    <row r="793" spans="4:22">
      <c r="D793" s="1119">
        <v>0.89819999999999967</v>
      </c>
      <c r="E793" s="1119">
        <v>0.90149999999999963</v>
      </c>
      <c r="F793" s="1120">
        <v>25.37</v>
      </c>
      <c r="G793" s="1119">
        <v>6.9798</v>
      </c>
      <c r="I793" s="1119">
        <v>0.90149999999999963</v>
      </c>
      <c r="J793" s="1119">
        <v>0.89819999999999967</v>
      </c>
      <c r="K793" s="1120">
        <v>25.37</v>
      </c>
      <c r="L793" s="1119">
        <v>6.9798</v>
      </c>
      <c r="N793" s="1120">
        <v>38.75</v>
      </c>
      <c r="O793" s="1119">
        <v>7.5755000000000026</v>
      </c>
      <c r="P793" s="1119">
        <v>0.83069999999999977</v>
      </c>
      <c r="Q793" s="1119">
        <v>0.82709999999999972</v>
      </c>
      <c r="S793" s="1119">
        <v>7.5755000000000026</v>
      </c>
      <c r="T793" s="1120">
        <v>38.75</v>
      </c>
      <c r="U793" s="1119">
        <v>0.83069999999999977</v>
      </c>
      <c r="V793" s="1119">
        <v>0.82709999999999972</v>
      </c>
    </row>
    <row r="794" spans="4:22">
      <c r="D794" s="1119">
        <v>0.89829999999999965</v>
      </c>
      <c r="E794" s="1119">
        <v>0.90159999999999962</v>
      </c>
      <c r="F794" s="1120">
        <v>25.36</v>
      </c>
      <c r="G794" s="1119">
        <v>6.9790999999999999</v>
      </c>
      <c r="I794" s="1119">
        <v>0.90159999999999962</v>
      </c>
      <c r="J794" s="1119">
        <v>0.89829999999999965</v>
      </c>
      <c r="K794" s="1120">
        <v>25.36</v>
      </c>
      <c r="L794" s="1119">
        <v>6.9790999999999999</v>
      </c>
      <c r="N794" s="1120">
        <v>38.770000000000003</v>
      </c>
      <c r="O794" s="1119">
        <v>7.5764000000000022</v>
      </c>
      <c r="P794" s="1119">
        <v>0.83059999999999978</v>
      </c>
      <c r="Q794" s="1119">
        <v>0.82699999999999974</v>
      </c>
      <c r="S794" s="1119">
        <v>7.5764000000000022</v>
      </c>
      <c r="T794" s="1120">
        <v>38.770000000000003</v>
      </c>
      <c r="U794" s="1119">
        <v>0.83059999999999978</v>
      </c>
      <c r="V794" s="1119">
        <v>0.82699999999999974</v>
      </c>
    </row>
    <row r="795" spans="4:22">
      <c r="D795" s="1119">
        <v>0.89839999999999964</v>
      </c>
      <c r="E795" s="1119">
        <v>0.90169999999999961</v>
      </c>
      <c r="F795" s="1120">
        <v>25.34</v>
      </c>
      <c r="G795" s="1119">
        <v>6.9783999999999997</v>
      </c>
      <c r="I795" s="1119">
        <v>0.90169999999999961</v>
      </c>
      <c r="J795" s="1119">
        <v>0.89839999999999964</v>
      </c>
      <c r="K795" s="1120">
        <v>25.34</v>
      </c>
      <c r="L795" s="1119">
        <v>6.9783999999999997</v>
      </c>
      <c r="N795" s="1120">
        <v>38.799999999999997</v>
      </c>
      <c r="O795" s="1119">
        <v>7.5773000000000019</v>
      </c>
      <c r="P795" s="1119">
        <v>0.83049999999999979</v>
      </c>
      <c r="Q795" s="1119">
        <v>0.82689999999999975</v>
      </c>
      <c r="S795" s="1119">
        <v>7.5773000000000019</v>
      </c>
      <c r="T795" s="1120">
        <v>38.799999999999997</v>
      </c>
      <c r="U795" s="1119">
        <v>0.83049999999999979</v>
      </c>
      <c r="V795" s="1119">
        <v>0.82689999999999975</v>
      </c>
    </row>
    <row r="796" spans="4:22">
      <c r="D796" s="1119">
        <v>0.89849999999999963</v>
      </c>
      <c r="E796" s="1119">
        <v>0.9017999999999996</v>
      </c>
      <c r="F796" s="1120">
        <v>25.32</v>
      </c>
      <c r="G796" s="1119">
        <v>6.9776999999999996</v>
      </c>
      <c r="I796" s="1119">
        <v>0.9017999999999996</v>
      </c>
      <c r="J796" s="1119">
        <v>0.89849999999999963</v>
      </c>
      <c r="K796" s="1120">
        <v>25.32</v>
      </c>
      <c r="L796" s="1119">
        <v>6.9776999999999996</v>
      </c>
      <c r="N796" s="1120">
        <v>38.82</v>
      </c>
      <c r="O796" s="1119">
        <v>7.5782000000000016</v>
      </c>
      <c r="P796" s="1119">
        <v>0.8303999999999998</v>
      </c>
      <c r="Q796" s="1119">
        <v>0.82679999999999976</v>
      </c>
      <c r="S796" s="1119">
        <v>7.5782000000000016</v>
      </c>
      <c r="T796" s="1120">
        <v>38.82</v>
      </c>
      <c r="U796" s="1119">
        <v>0.8303999999999998</v>
      </c>
      <c r="V796" s="1119">
        <v>0.82679999999999976</v>
      </c>
    </row>
    <row r="797" spans="4:22">
      <c r="D797" s="1119">
        <v>0.89859999999999962</v>
      </c>
      <c r="E797" s="1119">
        <v>0.90189999999999959</v>
      </c>
      <c r="F797" s="1120">
        <v>25.31</v>
      </c>
      <c r="G797" s="1119">
        <v>6.9769999999999994</v>
      </c>
      <c r="I797" s="1119">
        <v>0.90189999999999959</v>
      </c>
      <c r="J797" s="1119">
        <v>0.89859999999999962</v>
      </c>
      <c r="K797" s="1120">
        <v>25.31</v>
      </c>
      <c r="L797" s="1119">
        <v>6.9769999999999994</v>
      </c>
      <c r="N797" s="1120">
        <v>38.840000000000003</v>
      </c>
      <c r="O797" s="1119">
        <v>7.5791000000000013</v>
      </c>
      <c r="P797" s="1119">
        <v>0.83029999999999982</v>
      </c>
      <c r="Q797" s="1119">
        <v>0.82669999999999977</v>
      </c>
      <c r="S797" s="1119">
        <v>7.5791000000000013</v>
      </c>
      <c r="T797" s="1120">
        <v>38.840000000000003</v>
      </c>
      <c r="U797" s="1119">
        <v>0.83029999999999982</v>
      </c>
      <c r="V797" s="1119">
        <v>0.82669999999999977</v>
      </c>
    </row>
    <row r="798" spans="4:22">
      <c r="D798" s="1119">
        <v>0.89869999999999961</v>
      </c>
      <c r="E798" s="1119">
        <v>0.90199999999999958</v>
      </c>
      <c r="F798" s="1120">
        <v>25.29</v>
      </c>
      <c r="G798" s="1119">
        <v>6.9762999999999993</v>
      </c>
      <c r="I798" s="1119">
        <v>0.90199999999999958</v>
      </c>
      <c r="J798" s="1119">
        <v>0.89869999999999961</v>
      </c>
      <c r="K798" s="1120">
        <v>25.29</v>
      </c>
      <c r="L798" s="1119">
        <v>6.9762999999999993</v>
      </c>
      <c r="N798" s="1120">
        <v>38.86</v>
      </c>
      <c r="O798" s="1119">
        <v>7.58</v>
      </c>
      <c r="P798" s="1119">
        <v>0.83019999999999983</v>
      </c>
      <c r="Q798" s="1119">
        <v>0.82659999999999978</v>
      </c>
      <c r="S798" s="1119">
        <v>7.58</v>
      </c>
      <c r="T798" s="1120">
        <v>38.86</v>
      </c>
      <c r="U798" s="1119">
        <v>0.83019999999999983</v>
      </c>
      <c r="V798" s="1119">
        <v>0.82659999999999978</v>
      </c>
    </row>
    <row r="799" spans="4:22">
      <c r="D799" s="1119">
        <v>0.8987999999999996</v>
      </c>
      <c r="E799" s="1119">
        <v>0.90209999999999957</v>
      </c>
      <c r="F799" s="1120">
        <v>25.27</v>
      </c>
      <c r="G799" s="1119">
        <v>6.9754999999999994</v>
      </c>
      <c r="I799" s="1119">
        <v>0.90209999999999957</v>
      </c>
      <c r="J799" s="1119">
        <v>0.8987999999999996</v>
      </c>
      <c r="K799" s="1120">
        <v>25.27</v>
      </c>
      <c r="L799" s="1119">
        <v>6.9754999999999994</v>
      </c>
      <c r="N799" s="1120">
        <v>38.880000000000003</v>
      </c>
      <c r="O799" s="1119">
        <v>7.5809000000000006</v>
      </c>
      <c r="P799" s="1119">
        <v>0.83009999999999984</v>
      </c>
      <c r="Q799" s="1119">
        <v>0.82649999999999979</v>
      </c>
      <c r="S799" s="1119">
        <v>7.5809000000000006</v>
      </c>
      <c r="T799" s="1120">
        <v>38.880000000000003</v>
      </c>
      <c r="U799" s="1119">
        <v>0.83009999999999984</v>
      </c>
      <c r="V799" s="1119">
        <v>0.82649999999999979</v>
      </c>
    </row>
    <row r="800" spans="4:22">
      <c r="D800" s="1119">
        <v>0.89889999999999959</v>
      </c>
      <c r="E800" s="1119">
        <v>0.90219999999999956</v>
      </c>
      <c r="F800" s="1120">
        <v>25.25</v>
      </c>
      <c r="G800" s="1119">
        <v>6.9746999999999995</v>
      </c>
      <c r="I800" s="1119">
        <v>0.90219999999999956</v>
      </c>
      <c r="J800" s="1119">
        <v>0.89889999999999959</v>
      </c>
      <c r="K800" s="1120">
        <v>25.25</v>
      </c>
      <c r="L800" s="1119">
        <v>6.9746999999999995</v>
      </c>
      <c r="N800" s="1120">
        <v>38.9</v>
      </c>
      <c r="O800" s="1119">
        <v>7.5818000000000003</v>
      </c>
      <c r="P800" s="1119">
        <v>0.83</v>
      </c>
      <c r="Q800" s="1119">
        <v>0.8263999999999998</v>
      </c>
      <c r="S800" s="1119">
        <v>7.5818000000000003</v>
      </c>
      <c r="T800" s="1120">
        <v>38.9</v>
      </c>
      <c r="U800" s="1119">
        <v>0.83</v>
      </c>
      <c r="V800" s="1119">
        <v>0.8263999999999998</v>
      </c>
    </row>
    <row r="801" spans="4:22">
      <c r="D801" s="1119">
        <v>0.89899999999999958</v>
      </c>
      <c r="E801" s="1119">
        <v>0.90229999999999955</v>
      </c>
      <c r="F801" s="1120">
        <v>25.24</v>
      </c>
      <c r="G801" s="1119">
        <v>6.9738999999999995</v>
      </c>
      <c r="I801" s="1119">
        <v>0.90229999999999955</v>
      </c>
      <c r="J801" s="1119">
        <v>0.89899999999999958</v>
      </c>
      <c r="K801" s="1120">
        <v>25.24</v>
      </c>
      <c r="L801" s="1119">
        <v>6.9738999999999995</v>
      </c>
      <c r="N801" s="1120">
        <v>38.92</v>
      </c>
      <c r="O801" s="1119">
        <v>7.5826000000000038</v>
      </c>
      <c r="P801" s="1119">
        <v>0.82989999999999986</v>
      </c>
      <c r="Q801" s="1119">
        <v>0.82629999999999981</v>
      </c>
      <c r="S801" s="1119">
        <v>7.5826000000000038</v>
      </c>
      <c r="T801" s="1120">
        <v>38.92</v>
      </c>
      <c r="U801" s="1119">
        <v>0.82989999999999986</v>
      </c>
      <c r="V801" s="1119">
        <v>0.82629999999999981</v>
      </c>
    </row>
    <row r="802" spans="4:22">
      <c r="D802" s="1119">
        <v>0.89909999999999957</v>
      </c>
      <c r="E802" s="1119">
        <v>0.90239999999999954</v>
      </c>
      <c r="F802" s="1120">
        <v>25.22</v>
      </c>
      <c r="G802" s="1119">
        <v>6.9730999999999996</v>
      </c>
      <c r="I802" s="1119">
        <v>0.90239999999999954</v>
      </c>
      <c r="J802" s="1119">
        <v>0.89909999999999957</v>
      </c>
      <c r="K802" s="1120">
        <v>25.22</v>
      </c>
      <c r="L802" s="1119">
        <v>6.9730999999999996</v>
      </c>
      <c r="N802" s="1120">
        <v>38.94</v>
      </c>
      <c r="O802" s="1119">
        <v>7.5835000000000035</v>
      </c>
      <c r="P802" s="1119">
        <v>0.82979999999999987</v>
      </c>
      <c r="Q802" s="1119">
        <v>0.82619999999999982</v>
      </c>
      <c r="S802" s="1119">
        <v>7.5835000000000035</v>
      </c>
      <c r="T802" s="1120">
        <v>38.94</v>
      </c>
      <c r="U802" s="1119">
        <v>0.82979999999999987</v>
      </c>
      <c r="V802" s="1119">
        <v>0.82619999999999982</v>
      </c>
    </row>
    <row r="803" spans="4:22">
      <c r="D803" s="1119">
        <v>0.89919999999999956</v>
      </c>
      <c r="E803" s="1119">
        <v>0.90249999999999997</v>
      </c>
      <c r="F803" s="1120">
        <v>25.2</v>
      </c>
      <c r="G803" s="1119">
        <v>6.9722999999999997</v>
      </c>
      <c r="I803" s="1119">
        <v>0.90249999999999997</v>
      </c>
      <c r="J803" s="1119">
        <v>0.89919999999999956</v>
      </c>
      <c r="K803" s="1120">
        <v>25.2</v>
      </c>
      <c r="L803" s="1119">
        <v>6.9722999999999997</v>
      </c>
      <c r="N803" s="1120">
        <v>38.96</v>
      </c>
      <c r="O803" s="1119">
        <v>7.5844000000000031</v>
      </c>
      <c r="P803" s="1119">
        <v>0.82969999999999988</v>
      </c>
      <c r="Q803" s="1119">
        <v>0.82609999999999983</v>
      </c>
      <c r="S803" s="1119">
        <v>7.5844000000000031</v>
      </c>
      <c r="T803" s="1120">
        <v>38.96</v>
      </c>
      <c r="U803" s="1119">
        <v>0.82969999999999988</v>
      </c>
      <c r="V803" s="1119">
        <v>0.82609999999999983</v>
      </c>
    </row>
    <row r="804" spans="4:22">
      <c r="D804" s="1119">
        <v>0.89929999999999954</v>
      </c>
      <c r="E804" s="1119">
        <v>0.90259999999999951</v>
      </c>
      <c r="F804" s="1120">
        <v>25.18</v>
      </c>
      <c r="G804" s="1119">
        <v>6.9714999999999998</v>
      </c>
      <c r="I804" s="1119">
        <v>0.90259999999999951</v>
      </c>
      <c r="J804" s="1119">
        <v>0.89929999999999954</v>
      </c>
      <c r="K804" s="1120">
        <v>25.18</v>
      </c>
      <c r="L804" s="1119">
        <v>6.9714999999999998</v>
      </c>
      <c r="N804" s="1120">
        <v>38.979999999999997</v>
      </c>
      <c r="O804" s="1119">
        <v>7.5853000000000028</v>
      </c>
      <c r="P804" s="1119">
        <v>0.82959999999999989</v>
      </c>
      <c r="Q804" s="1119">
        <v>0.82599999999999985</v>
      </c>
      <c r="S804" s="1119">
        <v>7.5853000000000028</v>
      </c>
      <c r="T804" s="1120">
        <v>38.979999999999997</v>
      </c>
      <c r="U804" s="1119">
        <v>0.82959999999999989</v>
      </c>
      <c r="V804" s="1119">
        <v>0.82599999999999985</v>
      </c>
    </row>
    <row r="805" spans="4:22">
      <c r="D805" s="1119">
        <v>0.89939999999999953</v>
      </c>
      <c r="E805" s="1119">
        <v>0.9026999999999995</v>
      </c>
      <c r="F805" s="1120">
        <v>25.16</v>
      </c>
      <c r="G805" s="1119">
        <v>6.9706999999999999</v>
      </c>
      <c r="I805" s="1119">
        <v>0.9026999999999995</v>
      </c>
      <c r="J805" s="1119">
        <v>0.89939999999999953</v>
      </c>
      <c r="K805" s="1120">
        <v>25.16</v>
      </c>
      <c r="L805" s="1119">
        <v>6.9706999999999999</v>
      </c>
      <c r="N805" s="1120">
        <v>39</v>
      </c>
      <c r="O805" s="1119">
        <v>7.5862000000000025</v>
      </c>
      <c r="P805" s="1119">
        <v>0.8294999999999999</v>
      </c>
      <c r="Q805" s="1119">
        <v>0.82589999999999986</v>
      </c>
      <c r="S805" s="1119">
        <v>7.5862000000000025</v>
      </c>
      <c r="T805" s="1120">
        <v>39</v>
      </c>
      <c r="U805" s="1119">
        <v>0.8294999999999999</v>
      </c>
      <c r="V805" s="1119">
        <v>0.82589999999999986</v>
      </c>
    </row>
    <row r="806" spans="4:22">
      <c r="D806" s="1119">
        <v>0.89949999999999952</v>
      </c>
      <c r="E806" s="1119">
        <v>0.90279999999999949</v>
      </c>
      <c r="F806" s="1120">
        <v>25.15</v>
      </c>
      <c r="G806" s="1119">
        <v>6.9699</v>
      </c>
      <c r="I806" s="1119">
        <v>0.90279999999999949</v>
      </c>
      <c r="J806" s="1119">
        <v>0.89949999999999952</v>
      </c>
      <c r="K806" s="1120">
        <v>25.15</v>
      </c>
      <c r="L806" s="1119">
        <v>6.9699</v>
      </c>
      <c r="N806" s="1120">
        <v>39.020000000000003</v>
      </c>
      <c r="O806" s="1119">
        <v>7.5871000000000022</v>
      </c>
      <c r="P806" s="1119">
        <v>0.82939999999999992</v>
      </c>
      <c r="Q806" s="1119">
        <v>0.82579999999999987</v>
      </c>
      <c r="S806" s="1119">
        <v>7.5871000000000022</v>
      </c>
      <c r="T806" s="1120">
        <v>39.020000000000003</v>
      </c>
      <c r="U806" s="1119">
        <v>0.82939999999999992</v>
      </c>
      <c r="V806" s="1119">
        <v>0.82579999999999987</v>
      </c>
    </row>
    <row r="807" spans="4:22">
      <c r="D807" s="1119">
        <v>0.89959999999999951</v>
      </c>
      <c r="E807" s="1119">
        <v>0.90289999999999948</v>
      </c>
      <c r="F807" s="1120">
        <v>25.13</v>
      </c>
      <c r="G807" s="1119">
        <v>6.9691000000000001</v>
      </c>
      <c r="I807" s="1119">
        <v>0.90289999999999948</v>
      </c>
      <c r="J807" s="1119">
        <v>0.89959999999999951</v>
      </c>
      <c r="K807" s="1120">
        <v>25.13</v>
      </c>
      <c r="L807" s="1119">
        <v>6.9691000000000001</v>
      </c>
      <c r="N807" s="1120">
        <v>39.04</v>
      </c>
      <c r="O807" s="1119">
        <v>7.5880000000000019</v>
      </c>
      <c r="P807" s="1119">
        <v>0.82929999999999993</v>
      </c>
      <c r="Q807" s="1119">
        <v>0.82569999999999988</v>
      </c>
      <c r="S807" s="1119">
        <v>7.5880000000000019</v>
      </c>
      <c r="T807" s="1120">
        <v>39.04</v>
      </c>
      <c r="U807" s="1119">
        <v>0.82929999999999993</v>
      </c>
      <c r="V807" s="1119">
        <v>0.82569999999999988</v>
      </c>
    </row>
    <row r="808" spans="4:22">
      <c r="D808" s="1119">
        <v>0.8996999999999995</v>
      </c>
      <c r="E808" s="1119">
        <v>0.90299999999999947</v>
      </c>
      <c r="F808" s="1120">
        <v>25.11</v>
      </c>
      <c r="G808" s="1119">
        <v>6.9683000000000002</v>
      </c>
      <c r="I808" s="1119">
        <v>0.90299999999999947</v>
      </c>
      <c r="J808" s="1119">
        <v>0.8996999999999995</v>
      </c>
      <c r="K808" s="1120">
        <v>25.11</v>
      </c>
      <c r="L808" s="1119">
        <v>6.9683000000000002</v>
      </c>
      <c r="N808" s="1120">
        <v>39.06</v>
      </c>
      <c r="O808" s="1119">
        <v>7.5889000000000015</v>
      </c>
      <c r="P808" s="1119">
        <v>0.82919999999999994</v>
      </c>
      <c r="Q808" s="1119">
        <v>0.82559999999999989</v>
      </c>
      <c r="S808" s="1119">
        <v>7.5889000000000015</v>
      </c>
      <c r="T808" s="1120">
        <v>39.06</v>
      </c>
      <c r="U808" s="1119">
        <v>0.82919999999999994</v>
      </c>
      <c r="V808" s="1119">
        <v>0.82559999999999989</v>
      </c>
    </row>
    <row r="809" spans="4:22">
      <c r="D809" s="1119">
        <v>0.89979999999999949</v>
      </c>
      <c r="E809" s="1119">
        <v>0.90309999999999946</v>
      </c>
      <c r="F809" s="1120">
        <v>25.09</v>
      </c>
      <c r="G809" s="1119">
        <v>6.9675000000000002</v>
      </c>
      <c r="I809" s="1119">
        <v>0.90309999999999946</v>
      </c>
      <c r="J809" s="1119">
        <v>0.89979999999999949</v>
      </c>
      <c r="K809" s="1120">
        <v>25.09</v>
      </c>
      <c r="L809" s="1119">
        <v>6.9675000000000002</v>
      </c>
      <c r="N809" s="1120">
        <v>39.08</v>
      </c>
      <c r="O809" s="1119">
        <v>7.5898000000000012</v>
      </c>
      <c r="P809" s="1119">
        <v>0.82909999999999995</v>
      </c>
      <c r="Q809" s="1119">
        <v>0.8254999999999999</v>
      </c>
      <c r="S809" s="1119">
        <v>7.5898000000000012</v>
      </c>
      <c r="T809" s="1120">
        <v>39.08</v>
      </c>
      <c r="U809" s="1119">
        <v>0.82909999999999995</v>
      </c>
      <c r="V809" s="1119">
        <v>0.8254999999999999</v>
      </c>
    </row>
    <row r="810" spans="4:22">
      <c r="D810" s="1119">
        <v>0.89989999999999948</v>
      </c>
      <c r="E810" s="1119">
        <v>0.90319999999999945</v>
      </c>
      <c r="F810" s="1120">
        <v>25.08</v>
      </c>
      <c r="G810" s="1119">
        <v>6.9667000000000003</v>
      </c>
      <c r="I810" s="1119">
        <v>0.90319999999999945</v>
      </c>
      <c r="J810" s="1119">
        <v>0.89989999999999948</v>
      </c>
      <c r="K810" s="1120">
        <v>25.08</v>
      </c>
      <c r="L810" s="1119">
        <v>6.9667000000000003</v>
      </c>
      <c r="N810" s="1120">
        <v>39.1</v>
      </c>
      <c r="O810" s="1119">
        <v>7.5907000000000009</v>
      </c>
      <c r="P810" s="1119">
        <v>0.82899999999999996</v>
      </c>
      <c r="Q810" s="1119">
        <v>0.82539999999999991</v>
      </c>
      <c r="S810" s="1119">
        <v>7.5907000000000009</v>
      </c>
      <c r="T810" s="1120">
        <v>39.1</v>
      </c>
      <c r="U810" s="1119">
        <v>0.82899999999999996</v>
      </c>
      <c r="V810" s="1119">
        <v>0.82539999999999991</v>
      </c>
    </row>
    <row r="811" spans="4:22">
      <c r="D811" s="1119">
        <v>0.89999999999999947</v>
      </c>
      <c r="E811" s="1119">
        <v>0.90329999999999944</v>
      </c>
      <c r="F811" s="1120">
        <v>25.06</v>
      </c>
      <c r="G811" s="1119">
        <v>6.9659000000000004</v>
      </c>
      <c r="I811" s="1119">
        <v>0.90329999999999944</v>
      </c>
      <c r="J811" s="1119">
        <v>0.89999999999999947</v>
      </c>
      <c r="K811" s="1120">
        <v>25.06</v>
      </c>
      <c r="L811" s="1119">
        <v>6.9659000000000004</v>
      </c>
      <c r="N811" s="1120">
        <v>39.119999999999997</v>
      </c>
      <c r="O811" s="1119">
        <v>7.5916000000000006</v>
      </c>
      <c r="P811" s="1119">
        <v>0.82889999999999997</v>
      </c>
      <c r="Q811" s="1119">
        <v>0.82529999999999992</v>
      </c>
      <c r="S811" s="1119">
        <v>7.5916000000000006</v>
      </c>
      <c r="T811" s="1120">
        <v>39.119999999999997</v>
      </c>
      <c r="U811" s="1119">
        <v>0.82889999999999997</v>
      </c>
      <c r="V811" s="1119">
        <v>0.82529999999999992</v>
      </c>
    </row>
    <row r="812" spans="4:22">
      <c r="D812" s="1119">
        <v>0.90009999999999946</v>
      </c>
      <c r="E812" s="1119">
        <v>0.90339999999999943</v>
      </c>
      <c r="F812" s="1120">
        <v>25.04</v>
      </c>
      <c r="G812" s="1119">
        <v>6.9651000000000005</v>
      </c>
      <c r="I812" s="1119">
        <v>0.90339999999999943</v>
      </c>
      <c r="J812" s="1119">
        <v>0.90009999999999946</v>
      </c>
      <c r="K812" s="1120">
        <v>25.04</v>
      </c>
      <c r="L812" s="1119">
        <v>6.9651000000000005</v>
      </c>
      <c r="N812" s="1120">
        <v>39.14</v>
      </c>
      <c r="O812" s="1119">
        <v>7.5925000000000002</v>
      </c>
      <c r="P812" s="1119">
        <v>0.82879999999999998</v>
      </c>
      <c r="Q812" s="1119">
        <v>0.82519999999999993</v>
      </c>
      <c r="S812" s="1119">
        <v>7.5925000000000002</v>
      </c>
      <c r="T812" s="1120">
        <v>39.14</v>
      </c>
      <c r="U812" s="1119">
        <v>0.82879999999999998</v>
      </c>
      <c r="V812" s="1119">
        <v>0.82519999999999993</v>
      </c>
    </row>
    <row r="813" spans="4:22">
      <c r="D813" s="1119">
        <v>0.9002</v>
      </c>
      <c r="E813" s="1119">
        <v>0.90349999999999997</v>
      </c>
      <c r="F813" s="1120">
        <v>25.02</v>
      </c>
      <c r="G813" s="1119">
        <v>6.9649999999999999</v>
      </c>
      <c r="I813" s="1119">
        <v>0.90349999999999997</v>
      </c>
      <c r="J813" s="1119">
        <v>0.9002</v>
      </c>
      <c r="K813" s="1120">
        <v>25.02</v>
      </c>
      <c r="L813" s="1119">
        <v>6.9649999999999999</v>
      </c>
      <c r="N813" s="1120">
        <v>39.159999999999997</v>
      </c>
      <c r="O813" s="1119">
        <v>7.5933999999999999</v>
      </c>
      <c r="P813" s="1119">
        <v>0.82869999999999999</v>
      </c>
      <c r="Q813" s="1119">
        <v>0.82509999999999994</v>
      </c>
      <c r="S813" s="1119">
        <v>7.5933999999999999</v>
      </c>
      <c r="T813" s="1120">
        <v>39.159999999999997</v>
      </c>
      <c r="U813" s="1119">
        <v>0.82869999999999999</v>
      </c>
      <c r="V813" s="1119">
        <v>0.82509999999999994</v>
      </c>
    </row>
    <row r="814" spans="4:22">
      <c r="D814" s="1119">
        <v>0.90029999999999999</v>
      </c>
      <c r="E814" s="1119">
        <v>0.90359999999999996</v>
      </c>
      <c r="F814" s="1120">
        <v>25.01</v>
      </c>
      <c r="G814" s="1119">
        <v>6.9641999999999999</v>
      </c>
      <c r="I814" s="1119">
        <v>0.90359999999999996</v>
      </c>
      <c r="J814" s="1119">
        <v>0.90029999999999999</v>
      </c>
      <c r="K814" s="1120">
        <v>25.01</v>
      </c>
      <c r="L814" s="1119">
        <v>6.9641999999999999</v>
      </c>
      <c r="N814" s="1120">
        <v>39.18</v>
      </c>
      <c r="O814" s="1119">
        <v>7.5943000000000049</v>
      </c>
      <c r="P814" s="1119">
        <v>0.82859999999999945</v>
      </c>
      <c r="Q814" s="1119">
        <v>0.8249999999999994</v>
      </c>
      <c r="S814" s="1119">
        <v>7.5943000000000049</v>
      </c>
      <c r="T814" s="1120">
        <v>39.18</v>
      </c>
      <c r="U814" s="1119">
        <v>0.82859999999999945</v>
      </c>
      <c r="V814" s="1119">
        <v>0.8249999999999994</v>
      </c>
    </row>
    <row r="815" spans="4:22">
      <c r="D815" s="1119">
        <v>0.90039999999999998</v>
      </c>
      <c r="E815" s="1119">
        <v>0.90369999999999995</v>
      </c>
      <c r="F815" s="1120">
        <v>24.99</v>
      </c>
      <c r="G815" s="1119">
        <v>6.9634</v>
      </c>
      <c r="I815" s="1119">
        <v>0.90369999999999995</v>
      </c>
      <c r="J815" s="1119">
        <v>0.90039999999999998</v>
      </c>
      <c r="K815" s="1120">
        <v>24.99</v>
      </c>
      <c r="L815" s="1119">
        <v>6.9634</v>
      </c>
      <c r="N815" s="1120">
        <v>39.21</v>
      </c>
      <c r="O815" s="1119">
        <v>7.5952000000000046</v>
      </c>
      <c r="P815" s="1119">
        <v>0.82849999999999946</v>
      </c>
      <c r="Q815" s="1119">
        <v>0.82489999999999941</v>
      </c>
      <c r="S815" s="1119">
        <v>7.5952000000000046</v>
      </c>
      <c r="T815" s="1120">
        <v>39.21</v>
      </c>
      <c r="U815" s="1119">
        <v>0.82849999999999946</v>
      </c>
      <c r="V815" s="1119">
        <v>0.82489999999999941</v>
      </c>
    </row>
    <row r="816" spans="4:22">
      <c r="D816" s="1119">
        <v>0.90049999999999997</v>
      </c>
      <c r="E816" s="1119">
        <v>0.90379999999999994</v>
      </c>
      <c r="F816" s="1120">
        <v>24.97</v>
      </c>
      <c r="G816" s="1119">
        <v>6.9626000000000001</v>
      </c>
      <c r="I816" s="1119">
        <v>0.90379999999999994</v>
      </c>
      <c r="J816" s="1119">
        <v>0.90049999999999997</v>
      </c>
      <c r="K816" s="1120">
        <v>24.97</v>
      </c>
      <c r="L816" s="1119">
        <v>6.9626000000000001</v>
      </c>
      <c r="N816" s="1120">
        <v>39.229999999999997</v>
      </c>
      <c r="O816" s="1119">
        <v>7.5961000000000043</v>
      </c>
      <c r="P816" s="1119">
        <v>0.82839999999999947</v>
      </c>
      <c r="Q816" s="1119">
        <v>0.82479999999999942</v>
      </c>
      <c r="S816" s="1119">
        <v>7.5961000000000043</v>
      </c>
      <c r="T816" s="1120">
        <v>39.229999999999997</v>
      </c>
      <c r="U816" s="1119">
        <v>0.82839999999999947</v>
      </c>
      <c r="V816" s="1119">
        <v>0.82479999999999942</v>
      </c>
    </row>
    <row r="817" spans="4:22">
      <c r="D817" s="1119">
        <v>0.90059999999999996</v>
      </c>
      <c r="E817" s="1119">
        <v>0.90389999999999993</v>
      </c>
      <c r="F817" s="1120">
        <v>24.96</v>
      </c>
      <c r="G817" s="1119">
        <v>6.9618000000000002</v>
      </c>
      <c r="I817" s="1119">
        <v>0.90389999999999993</v>
      </c>
      <c r="J817" s="1119">
        <v>0.90059999999999996</v>
      </c>
      <c r="K817" s="1120">
        <v>24.96</v>
      </c>
      <c r="L817" s="1119">
        <v>6.9618000000000002</v>
      </c>
      <c r="N817" s="1120">
        <v>39.25</v>
      </c>
      <c r="O817" s="1119">
        <v>7.597000000000004</v>
      </c>
      <c r="P817" s="1119">
        <v>0.82829999999999948</v>
      </c>
      <c r="Q817" s="1119">
        <v>0.82469999999999943</v>
      </c>
      <c r="S817" s="1119">
        <v>7.597000000000004</v>
      </c>
      <c r="T817" s="1120">
        <v>39.25</v>
      </c>
      <c r="U817" s="1119">
        <v>0.82829999999999948</v>
      </c>
      <c r="V817" s="1119">
        <v>0.82469999999999943</v>
      </c>
    </row>
    <row r="818" spans="4:22">
      <c r="D818" s="1119">
        <v>0.90069999999999995</v>
      </c>
      <c r="E818" s="1119">
        <v>0.90399999999999991</v>
      </c>
      <c r="F818" s="1120">
        <v>24.94</v>
      </c>
      <c r="G818" s="1119">
        <v>6.9610000000000003</v>
      </c>
      <c r="I818" s="1119">
        <v>0.90399999999999991</v>
      </c>
      <c r="J818" s="1119">
        <v>0.90069999999999995</v>
      </c>
      <c r="K818" s="1120">
        <v>24.94</v>
      </c>
      <c r="L818" s="1119">
        <v>6.9610000000000003</v>
      </c>
      <c r="N818" s="1120">
        <v>39.270000000000003</v>
      </c>
      <c r="O818" s="1119">
        <v>7.5979000000000037</v>
      </c>
      <c r="P818" s="1119">
        <v>0.82819999999999949</v>
      </c>
      <c r="Q818" s="1119">
        <v>0.82459999999999944</v>
      </c>
      <c r="S818" s="1119">
        <v>7.5979000000000037</v>
      </c>
      <c r="T818" s="1120">
        <v>39.270000000000003</v>
      </c>
      <c r="U818" s="1119">
        <v>0.82819999999999949</v>
      </c>
      <c r="V818" s="1119">
        <v>0.82459999999999944</v>
      </c>
    </row>
    <row r="819" spans="4:22">
      <c r="D819" s="1119">
        <v>0.90079999999999993</v>
      </c>
      <c r="E819" s="1119">
        <v>0.9040999999999999</v>
      </c>
      <c r="F819" s="1120">
        <v>24.92</v>
      </c>
      <c r="G819" s="1119">
        <v>6.9602000000000004</v>
      </c>
      <c r="I819" s="1119">
        <v>0.9040999999999999</v>
      </c>
      <c r="J819" s="1119">
        <v>0.90079999999999993</v>
      </c>
      <c r="K819" s="1120">
        <v>24.92</v>
      </c>
      <c r="L819" s="1119">
        <v>6.9602000000000004</v>
      </c>
      <c r="N819" s="1120">
        <v>39.29</v>
      </c>
      <c r="O819" s="1119">
        <v>7.5988000000000033</v>
      </c>
      <c r="P819" s="1119">
        <v>0.8280999999999995</v>
      </c>
      <c r="Q819" s="1119">
        <v>0.82449999999999946</v>
      </c>
      <c r="S819" s="1119">
        <v>7.5988000000000033</v>
      </c>
      <c r="T819" s="1120">
        <v>39.29</v>
      </c>
      <c r="U819" s="1119">
        <v>0.8280999999999995</v>
      </c>
      <c r="V819" s="1119">
        <v>0.82449999999999946</v>
      </c>
    </row>
    <row r="820" spans="4:22">
      <c r="D820" s="1119">
        <v>0.90089999999999992</v>
      </c>
      <c r="E820" s="1119">
        <v>0.90419999999999989</v>
      </c>
      <c r="F820" s="1120">
        <v>24.91</v>
      </c>
      <c r="G820" s="1119">
        <v>6.9594000000000005</v>
      </c>
      <c r="I820" s="1119">
        <v>0.90419999999999989</v>
      </c>
      <c r="J820" s="1119">
        <v>0.90089999999999992</v>
      </c>
      <c r="K820" s="1120">
        <v>24.91</v>
      </c>
      <c r="L820" s="1119">
        <v>6.9594000000000005</v>
      </c>
      <c r="N820" s="1120">
        <v>39.31</v>
      </c>
      <c r="O820" s="1119">
        <v>7.599700000000003</v>
      </c>
      <c r="P820" s="1119">
        <v>0.82799999999999951</v>
      </c>
      <c r="Q820" s="1119">
        <v>0.82439999999999947</v>
      </c>
      <c r="S820" s="1119">
        <v>7.599700000000003</v>
      </c>
      <c r="T820" s="1120">
        <v>39.31</v>
      </c>
      <c r="U820" s="1119">
        <v>0.82799999999999951</v>
      </c>
      <c r="V820" s="1119">
        <v>0.82439999999999947</v>
      </c>
    </row>
    <row r="821" spans="4:22">
      <c r="D821" s="1119">
        <v>0.90099999999999991</v>
      </c>
      <c r="E821" s="1119">
        <v>0.90429999999999988</v>
      </c>
      <c r="F821" s="1120">
        <v>24.89</v>
      </c>
      <c r="G821" s="1119">
        <v>6.9586000000000006</v>
      </c>
      <c r="I821" s="1119">
        <v>0.90429999999999988</v>
      </c>
      <c r="J821" s="1119">
        <v>0.90099999999999991</v>
      </c>
      <c r="K821" s="1120">
        <v>24.89</v>
      </c>
      <c r="L821" s="1119">
        <v>6.9586000000000006</v>
      </c>
      <c r="N821" s="1120">
        <v>39.33</v>
      </c>
      <c r="O821" s="1119">
        <v>7.6006000000000027</v>
      </c>
      <c r="P821" s="1119">
        <v>0.82789999999999953</v>
      </c>
      <c r="Q821" s="1119">
        <v>0.82429999999999948</v>
      </c>
      <c r="S821" s="1119">
        <v>7.6006000000000027</v>
      </c>
      <c r="T821" s="1120">
        <v>39.33</v>
      </c>
      <c r="U821" s="1119">
        <v>0.82789999999999953</v>
      </c>
      <c r="V821" s="1119">
        <v>0.82429999999999948</v>
      </c>
    </row>
    <row r="822" spans="4:22">
      <c r="D822" s="1119">
        <v>0.9010999999999999</v>
      </c>
      <c r="E822" s="1119">
        <v>0.90439999999999987</v>
      </c>
      <c r="F822" s="1120">
        <v>24.87</v>
      </c>
      <c r="G822" s="1119">
        <v>6.9578000000000007</v>
      </c>
      <c r="I822" s="1119">
        <v>0.90439999999999987</v>
      </c>
      <c r="J822" s="1119">
        <v>0.9010999999999999</v>
      </c>
      <c r="K822" s="1120">
        <v>24.87</v>
      </c>
      <c r="L822" s="1119">
        <v>6.9578000000000007</v>
      </c>
      <c r="N822" s="1120">
        <v>39.35</v>
      </c>
      <c r="O822" s="1119">
        <v>7.6015000000000024</v>
      </c>
      <c r="P822" s="1119">
        <v>0.82779999999999954</v>
      </c>
      <c r="Q822" s="1119">
        <v>0.82419999999999949</v>
      </c>
      <c r="S822" s="1119">
        <v>7.6015000000000024</v>
      </c>
      <c r="T822" s="1120">
        <v>39.35</v>
      </c>
      <c r="U822" s="1119">
        <v>0.82779999999999954</v>
      </c>
      <c r="V822" s="1119">
        <v>0.82419999999999949</v>
      </c>
    </row>
    <row r="823" spans="4:22">
      <c r="D823" s="1119">
        <v>0.90119999999999989</v>
      </c>
      <c r="E823" s="1119">
        <v>0.90449999999999986</v>
      </c>
      <c r="F823" s="1120">
        <v>24.85</v>
      </c>
      <c r="G823" s="1119">
        <v>6.9570000000000007</v>
      </c>
      <c r="I823" s="1119">
        <v>0.90449999999999986</v>
      </c>
      <c r="J823" s="1119">
        <v>0.90119999999999989</v>
      </c>
      <c r="K823" s="1120">
        <v>24.85</v>
      </c>
      <c r="L823" s="1119">
        <v>6.9570000000000007</v>
      </c>
      <c r="N823" s="1120">
        <v>39.369999999999997</v>
      </c>
      <c r="O823" s="1119">
        <v>7.602400000000002</v>
      </c>
      <c r="P823" s="1119">
        <v>0.82769999999999955</v>
      </c>
      <c r="Q823" s="1119">
        <v>0.8240999999999995</v>
      </c>
      <c r="S823" s="1119">
        <v>7.602400000000002</v>
      </c>
      <c r="T823" s="1120">
        <v>39.369999999999997</v>
      </c>
      <c r="U823" s="1119">
        <v>0.82769999999999955</v>
      </c>
      <c r="V823" s="1119">
        <v>0.8240999999999995</v>
      </c>
    </row>
    <row r="824" spans="4:22">
      <c r="D824" s="1119">
        <v>0.90129999999999988</v>
      </c>
      <c r="E824" s="1119">
        <v>0.90459999999999985</v>
      </c>
      <c r="F824" s="1120">
        <v>24.84</v>
      </c>
      <c r="G824" s="1119">
        <v>6.9562000000000008</v>
      </c>
      <c r="I824" s="1119">
        <v>0.90459999999999985</v>
      </c>
      <c r="J824" s="1119">
        <v>0.90129999999999988</v>
      </c>
      <c r="K824" s="1120">
        <v>24.84</v>
      </c>
      <c r="L824" s="1119">
        <v>6.9562000000000008</v>
      </c>
      <c r="N824" s="1120">
        <v>39.39</v>
      </c>
      <c r="O824" s="1119">
        <v>7.6033000000000017</v>
      </c>
      <c r="P824" s="1119">
        <v>0.82759999999999956</v>
      </c>
      <c r="Q824" s="1119">
        <v>0.82399999999999951</v>
      </c>
      <c r="S824" s="1119">
        <v>7.6033000000000017</v>
      </c>
      <c r="T824" s="1120">
        <v>39.39</v>
      </c>
      <c r="U824" s="1119">
        <v>0.82759999999999956</v>
      </c>
      <c r="V824" s="1119">
        <v>0.82399999999999951</v>
      </c>
    </row>
    <row r="825" spans="4:22">
      <c r="D825" s="1119">
        <v>0.90139999999999987</v>
      </c>
      <c r="E825" s="1119">
        <v>0.90469999999999984</v>
      </c>
      <c r="F825" s="1120">
        <v>24.82</v>
      </c>
      <c r="G825" s="1119">
        <v>6.9554000000000009</v>
      </c>
      <c r="I825" s="1119">
        <v>0.90469999999999984</v>
      </c>
      <c r="J825" s="1119">
        <v>0.90139999999999987</v>
      </c>
      <c r="K825" s="1120">
        <v>24.82</v>
      </c>
      <c r="L825" s="1119">
        <v>6.9554000000000009</v>
      </c>
      <c r="N825" s="1120">
        <v>39.409999999999997</v>
      </c>
      <c r="O825" s="1119">
        <v>7.6042000000000014</v>
      </c>
      <c r="P825" s="1119">
        <v>0.82750000000000001</v>
      </c>
      <c r="Q825" s="1119">
        <v>0.82389999999999952</v>
      </c>
      <c r="S825" s="1119">
        <v>7.6042000000000014</v>
      </c>
      <c r="T825" s="1120">
        <v>39.409999999999997</v>
      </c>
      <c r="U825" s="1119">
        <v>0.82750000000000001</v>
      </c>
      <c r="V825" s="1119">
        <v>0.82389999999999952</v>
      </c>
    </row>
    <row r="826" spans="4:22">
      <c r="D826" s="1119">
        <v>0.90149999999999986</v>
      </c>
      <c r="E826" s="1119">
        <v>0.90479999999999983</v>
      </c>
      <c r="F826" s="1120">
        <v>24.8</v>
      </c>
      <c r="G826" s="1119">
        <v>6.954600000000001</v>
      </c>
      <c r="I826" s="1119">
        <v>0.90479999999999983</v>
      </c>
      <c r="J826" s="1119">
        <v>0.90149999999999986</v>
      </c>
      <c r="K826" s="1120">
        <v>24.8</v>
      </c>
      <c r="L826" s="1119">
        <v>6.954600000000001</v>
      </c>
      <c r="N826" s="1120">
        <v>39.43</v>
      </c>
      <c r="O826" s="1119">
        <v>7.6051000000000011</v>
      </c>
      <c r="P826" s="1119">
        <v>0.82739999999999958</v>
      </c>
      <c r="Q826" s="1119">
        <v>0.82379999999999953</v>
      </c>
      <c r="S826" s="1119">
        <v>7.6051000000000011</v>
      </c>
      <c r="T826" s="1120">
        <v>39.43</v>
      </c>
      <c r="U826" s="1119">
        <v>0.82739999999999958</v>
      </c>
      <c r="V826" s="1119">
        <v>0.82379999999999953</v>
      </c>
    </row>
    <row r="827" spans="4:22">
      <c r="D827" s="1119">
        <v>0.90159999999999985</v>
      </c>
      <c r="E827" s="1119">
        <v>0.90489999999999982</v>
      </c>
      <c r="F827" s="1120">
        <v>24.79</v>
      </c>
      <c r="G827" s="1119">
        <v>6.9538000000000011</v>
      </c>
      <c r="I827" s="1119">
        <v>0.90489999999999982</v>
      </c>
      <c r="J827" s="1119">
        <v>0.90159999999999985</v>
      </c>
      <c r="K827" s="1120">
        <v>24.79</v>
      </c>
      <c r="L827" s="1119">
        <v>6.9538000000000011</v>
      </c>
      <c r="N827" s="1120">
        <v>39.450000000000003</v>
      </c>
      <c r="O827" s="1119">
        <v>7.6060000000000008</v>
      </c>
      <c r="P827" s="1119">
        <v>0.82729999999999959</v>
      </c>
      <c r="Q827" s="1119">
        <v>0.82369999999999954</v>
      </c>
      <c r="S827" s="1119">
        <v>7.6060000000000008</v>
      </c>
      <c r="T827" s="1120">
        <v>39.450000000000003</v>
      </c>
      <c r="U827" s="1119">
        <v>0.82729999999999959</v>
      </c>
      <c r="V827" s="1119">
        <v>0.82369999999999954</v>
      </c>
    </row>
    <row r="828" spans="4:22">
      <c r="D828" s="1119">
        <v>0.90169999999999983</v>
      </c>
      <c r="E828" s="1119">
        <v>0.90500000000000003</v>
      </c>
      <c r="F828" s="1120">
        <v>24.77</v>
      </c>
      <c r="G828" s="1119">
        <v>6.9530000000000012</v>
      </c>
      <c r="I828" s="1119">
        <v>0.90500000000000003</v>
      </c>
      <c r="J828" s="1119">
        <v>0.90169999999999983</v>
      </c>
      <c r="K828" s="1120">
        <v>24.77</v>
      </c>
      <c r="L828" s="1119">
        <v>6.9530000000000012</v>
      </c>
      <c r="N828" s="1120">
        <v>39.47</v>
      </c>
      <c r="O828" s="1119">
        <v>7.6069000000000004</v>
      </c>
      <c r="P828" s="1119">
        <v>0.8271999999999996</v>
      </c>
      <c r="Q828" s="1119">
        <v>0.82359999999999955</v>
      </c>
      <c r="S828" s="1119">
        <v>7.6069000000000004</v>
      </c>
      <c r="T828" s="1120">
        <v>39.47</v>
      </c>
      <c r="U828" s="1119">
        <v>0.8271999999999996</v>
      </c>
      <c r="V828" s="1119">
        <v>0.82359999999999955</v>
      </c>
    </row>
    <row r="829" spans="4:22">
      <c r="D829" s="1119">
        <v>0.90179999999999982</v>
      </c>
      <c r="E829" s="1119">
        <v>0.90509999999999979</v>
      </c>
      <c r="F829" s="1120">
        <v>24.75</v>
      </c>
      <c r="G829" s="1119">
        <v>6.952300000000001</v>
      </c>
      <c r="I829" s="1119">
        <v>0.90509999999999979</v>
      </c>
      <c r="J829" s="1119">
        <v>0.90179999999999982</v>
      </c>
      <c r="K829" s="1120">
        <v>24.75</v>
      </c>
      <c r="L829" s="1119">
        <v>6.952300000000001</v>
      </c>
      <c r="N829" s="1120">
        <v>39.49</v>
      </c>
      <c r="O829" s="1119">
        <v>7.6078000000000001</v>
      </c>
      <c r="P829" s="1119">
        <v>0.82709999999999961</v>
      </c>
      <c r="Q829" s="1119">
        <v>0.82349999999999957</v>
      </c>
      <c r="S829" s="1119">
        <v>7.6078000000000001</v>
      </c>
      <c r="T829" s="1120">
        <v>39.49</v>
      </c>
      <c r="U829" s="1119">
        <v>0.82709999999999961</v>
      </c>
      <c r="V829" s="1119">
        <v>0.82349999999999957</v>
      </c>
    </row>
    <row r="830" spans="4:22">
      <c r="D830" s="1119">
        <v>0.90189999999999981</v>
      </c>
      <c r="E830" s="1119">
        <v>0.90519999999999978</v>
      </c>
      <c r="F830" s="1120">
        <v>24.73</v>
      </c>
      <c r="G830" s="1119">
        <v>6.9516000000000009</v>
      </c>
      <c r="I830" s="1119">
        <v>0.90519999999999978</v>
      </c>
      <c r="J830" s="1119">
        <v>0.90189999999999981</v>
      </c>
      <c r="K830" s="1120">
        <v>24.73</v>
      </c>
      <c r="L830" s="1119">
        <v>6.9516000000000009</v>
      </c>
      <c r="N830" s="1120">
        <v>39.51</v>
      </c>
      <c r="O830" s="1119">
        <v>7.6086999999999998</v>
      </c>
      <c r="P830" s="1119">
        <v>0.82699999999999962</v>
      </c>
      <c r="Q830" s="1119">
        <v>0.82339999999999958</v>
      </c>
      <c r="S830" s="1119">
        <v>7.6086999999999998</v>
      </c>
      <c r="T830" s="1120">
        <v>39.51</v>
      </c>
      <c r="U830" s="1119">
        <v>0.82699999999999962</v>
      </c>
      <c r="V830" s="1119">
        <v>0.82339999999999958</v>
      </c>
    </row>
    <row r="831" spans="4:22">
      <c r="D831" s="1119">
        <v>0.9019999999999998</v>
      </c>
      <c r="E831" s="1119">
        <v>0.90529999999999977</v>
      </c>
      <c r="F831" s="1120">
        <v>24.72</v>
      </c>
      <c r="G831" s="1119">
        <v>6.9509000000000007</v>
      </c>
      <c r="I831" s="1119">
        <v>0.90529999999999977</v>
      </c>
      <c r="J831" s="1119">
        <v>0.9019999999999998</v>
      </c>
      <c r="K831" s="1120">
        <v>24.72</v>
      </c>
      <c r="L831" s="1119">
        <v>6.9509000000000007</v>
      </c>
      <c r="N831" s="1120">
        <v>39.53</v>
      </c>
      <c r="O831" s="1119">
        <v>7.6097000000000001</v>
      </c>
      <c r="P831" s="1119">
        <v>0.82689999999999964</v>
      </c>
      <c r="Q831" s="1119">
        <v>0.82329999999999959</v>
      </c>
      <c r="S831" s="1119">
        <v>7.6097000000000001</v>
      </c>
      <c r="T831" s="1120">
        <v>39.53</v>
      </c>
      <c r="U831" s="1119">
        <v>0.82689999999999964</v>
      </c>
      <c r="V831" s="1119">
        <v>0.82329999999999959</v>
      </c>
    </row>
    <row r="832" spans="4:22">
      <c r="D832" s="1119">
        <v>0.90209999999999979</v>
      </c>
      <c r="E832" s="1119">
        <v>0.90539999999999976</v>
      </c>
      <c r="F832" s="1120">
        <v>24.7</v>
      </c>
      <c r="G832" s="1119">
        <v>6.9502000000000006</v>
      </c>
      <c r="I832" s="1119">
        <v>0.90539999999999976</v>
      </c>
      <c r="J832" s="1119">
        <v>0.90209999999999979</v>
      </c>
      <c r="K832" s="1120">
        <v>24.7</v>
      </c>
      <c r="L832" s="1119">
        <v>6.9502000000000006</v>
      </c>
      <c r="N832" s="1120">
        <v>39.549999999999997</v>
      </c>
      <c r="O832" s="1119">
        <v>7.6106999999999996</v>
      </c>
      <c r="P832" s="1119">
        <v>0.82679999999999965</v>
      </c>
      <c r="Q832" s="1119">
        <v>0.8231999999999996</v>
      </c>
      <c r="S832" s="1119">
        <v>7.6106999999999996</v>
      </c>
      <c r="T832" s="1120">
        <v>39.549999999999997</v>
      </c>
      <c r="U832" s="1119">
        <v>0.82679999999999965</v>
      </c>
      <c r="V832" s="1119">
        <v>0.8231999999999996</v>
      </c>
    </row>
    <row r="833" spans="4:22">
      <c r="D833" s="1119">
        <v>0.90219999999999978</v>
      </c>
      <c r="E833" s="1119">
        <v>0.90549999999999975</v>
      </c>
      <c r="F833" s="1120">
        <v>24.68</v>
      </c>
      <c r="G833" s="1119">
        <v>6.9495000000000005</v>
      </c>
      <c r="I833" s="1119">
        <v>0.90549999999999975</v>
      </c>
      <c r="J833" s="1119">
        <v>0.90219999999999978</v>
      </c>
      <c r="K833" s="1120">
        <v>24.68</v>
      </c>
      <c r="L833" s="1119">
        <v>6.9495000000000005</v>
      </c>
      <c r="N833" s="1120">
        <v>39.57</v>
      </c>
      <c r="O833" s="1119">
        <v>7.6116999999999999</v>
      </c>
      <c r="P833" s="1119">
        <v>0.82669999999999966</v>
      </c>
      <c r="Q833" s="1119">
        <v>0.82309999999999961</v>
      </c>
      <c r="S833" s="1119">
        <v>7.6116999999999999</v>
      </c>
      <c r="T833" s="1120">
        <v>39.57</v>
      </c>
      <c r="U833" s="1119">
        <v>0.82669999999999966</v>
      </c>
      <c r="V833" s="1119">
        <v>0.82309999999999961</v>
      </c>
    </row>
    <row r="834" spans="4:22">
      <c r="D834" s="1119">
        <v>0.90229999999999977</v>
      </c>
      <c r="E834" s="1119">
        <v>0.90559999999999974</v>
      </c>
      <c r="F834" s="1120">
        <v>24.66</v>
      </c>
      <c r="G834" s="1119">
        <v>6.9488000000000003</v>
      </c>
      <c r="I834" s="1119">
        <v>0.90559999999999974</v>
      </c>
      <c r="J834" s="1119">
        <v>0.90229999999999977</v>
      </c>
      <c r="K834" s="1120">
        <v>24.66</v>
      </c>
      <c r="L834" s="1119">
        <v>6.9488000000000003</v>
      </c>
      <c r="N834" s="1120">
        <v>39.590000000000003</v>
      </c>
      <c r="O834" s="1119">
        <v>7.6127000000000002</v>
      </c>
      <c r="P834" s="1119">
        <v>0.82659999999999967</v>
      </c>
      <c r="Q834" s="1119">
        <v>0.82299999999999962</v>
      </c>
      <c r="S834" s="1119">
        <v>7.6127000000000002</v>
      </c>
      <c r="T834" s="1120">
        <v>39.590000000000003</v>
      </c>
      <c r="U834" s="1119">
        <v>0.82659999999999967</v>
      </c>
      <c r="V834" s="1119">
        <v>0.82299999999999962</v>
      </c>
    </row>
    <row r="835" spans="4:22">
      <c r="D835" s="1119">
        <v>0.90239999999999976</v>
      </c>
      <c r="E835" s="1119">
        <v>0.90569999999999973</v>
      </c>
      <c r="F835" s="1120">
        <v>24.64</v>
      </c>
      <c r="G835" s="1119">
        <v>6.9481000000000002</v>
      </c>
      <c r="I835" s="1119">
        <v>0.90569999999999973</v>
      </c>
      <c r="J835" s="1119">
        <v>0.90239999999999976</v>
      </c>
      <c r="K835" s="1120">
        <v>24.64</v>
      </c>
      <c r="L835" s="1119">
        <v>6.9481000000000002</v>
      </c>
      <c r="N835" s="1120">
        <v>39.619999999999997</v>
      </c>
      <c r="O835" s="1119">
        <v>7.6136999999999997</v>
      </c>
      <c r="P835" s="1119">
        <v>0.82649999999999968</v>
      </c>
      <c r="Q835" s="1119">
        <v>0.82289999999999963</v>
      </c>
      <c r="S835" s="1119">
        <v>7.6136999999999997</v>
      </c>
      <c r="T835" s="1120">
        <v>39.619999999999997</v>
      </c>
      <c r="U835" s="1119">
        <v>0.82649999999999968</v>
      </c>
      <c r="V835" s="1119">
        <v>0.82289999999999963</v>
      </c>
    </row>
    <row r="836" spans="4:22">
      <c r="D836" s="1119">
        <v>0.90249999999999997</v>
      </c>
      <c r="E836" s="1119">
        <v>0.90579999999999972</v>
      </c>
      <c r="F836" s="1120">
        <v>24.63</v>
      </c>
      <c r="G836" s="1119">
        <v>6.9474</v>
      </c>
      <c r="I836" s="1119">
        <v>0.90579999999999972</v>
      </c>
      <c r="J836" s="1119">
        <v>0.90249999999999997</v>
      </c>
      <c r="K836" s="1120">
        <v>24.63</v>
      </c>
      <c r="L836" s="1119">
        <v>6.9474</v>
      </c>
      <c r="N836" s="1120">
        <v>39.64</v>
      </c>
      <c r="O836" s="1119">
        <v>7.6147</v>
      </c>
      <c r="P836" s="1119">
        <v>0.82639999999999969</v>
      </c>
      <c r="Q836" s="1119">
        <v>0.82279999999999964</v>
      </c>
      <c r="S836" s="1119">
        <v>7.6147</v>
      </c>
      <c r="T836" s="1120">
        <v>39.64</v>
      </c>
      <c r="U836" s="1119">
        <v>0.82639999999999969</v>
      </c>
      <c r="V836" s="1119">
        <v>0.82279999999999964</v>
      </c>
    </row>
    <row r="837" spans="4:22">
      <c r="D837" s="1119">
        <v>0.90259999999999974</v>
      </c>
      <c r="E837" s="1119">
        <v>0.90589999999999971</v>
      </c>
      <c r="F837" s="1120">
        <v>24.61</v>
      </c>
      <c r="G837" s="1119">
        <v>6.9466999999999999</v>
      </c>
      <c r="I837" s="1119">
        <v>0.90589999999999971</v>
      </c>
      <c r="J837" s="1119">
        <v>0.90259999999999974</v>
      </c>
      <c r="K837" s="1120">
        <v>24.61</v>
      </c>
      <c r="L837" s="1119">
        <v>6.9466999999999999</v>
      </c>
      <c r="N837" s="1120">
        <v>39.659999999999997</v>
      </c>
      <c r="O837" s="1119">
        <v>7.6157000000000004</v>
      </c>
      <c r="P837" s="1119">
        <v>0.8262999999999997</v>
      </c>
      <c r="Q837" s="1119">
        <v>0.82269999999999965</v>
      </c>
      <c r="S837" s="1119">
        <v>7.6157000000000004</v>
      </c>
      <c r="T837" s="1120">
        <v>39.659999999999997</v>
      </c>
      <c r="U837" s="1119">
        <v>0.8262999999999997</v>
      </c>
      <c r="V837" s="1119">
        <v>0.82269999999999965</v>
      </c>
    </row>
    <row r="838" spans="4:22">
      <c r="D838" s="1119">
        <v>0.90269999999999972</v>
      </c>
      <c r="E838" s="1119">
        <v>0.90599999999999969</v>
      </c>
      <c r="F838" s="1120">
        <v>24.59</v>
      </c>
      <c r="G838" s="1119">
        <v>6.9459999999999997</v>
      </c>
      <c r="I838" s="1119">
        <v>0.90599999999999969</v>
      </c>
      <c r="J838" s="1119">
        <v>0.90269999999999972</v>
      </c>
      <c r="K838" s="1120">
        <v>24.59</v>
      </c>
      <c r="L838" s="1119">
        <v>6.9459999999999997</v>
      </c>
      <c r="N838" s="1120">
        <v>39.68</v>
      </c>
      <c r="O838" s="1119">
        <v>7.6166999999999998</v>
      </c>
      <c r="P838" s="1119">
        <v>0.82619999999999971</v>
      </c>
      <c r="Q838" s="1119">
        <v>0.82259999999999966</v>
      </c>
      <c r="S838" s="1119">
        <v>7.6166999999999998</v>
      </c>
      <c r="T838" s="1120">
        <v>39.68</v>
      </c>
      <c r="U838" s="1119">
        <v>0.82619999999999971</v>
      </c>
      <c r="V838" s="1119">
        <v>0.82259999999999966</v>
      </c>
    </row>
    <row r="839" spans="4:22">
      <c r="D839" s="1119">
        <v>0.90279999999999971</v>
      </c>
      <c r="E839" s="1119">
        <v>0.90609999999999968</v>
      </c>
      <c r="F839" s="1120">
        <v>24.57</v>
      </c>
      <c r="G839" s="1119">
        <v>6.9451999999999998</v>
      </c>
      <c r="I839" s="1119">
        <v>0.90609999999999968</v>
      </c>
      <c r="J839" s="1119">
        <v>0.90279999999999971</v>
      </c>
      <c r="K839" s="1120">
        <v>24.57</v>
      </c>
      <c r="L839" s="1119">
        <v>6.9451999999999998</v>
      </c>
      <c r="N839" s="1120">
        <v>39.700000000000003</v>
      </c>
      <c r="O839" s="1119">
        <v>7.6177000000000001</v>
      </c>
      <c r="P839" s="1119">
        <v>0.82609999999999972</v>
      </c>
      <c r="Q839" s="1119">
        <v>0.82250000000000001</v>
      </c>
      <c r="S839" s="1119">
        <v>7.6177000000000001</v>
      </c>
      <c r="T839" s="1120">
        <v>39.700000000000003</v>
      </c>
      <c r="U839" s="1119">
        <v>0.82609999999999972</v>
      </c>
      <c r="V839" s="1119">
        <v>0.82250000000000001</v>
      </c>
    </row>
    <row r="840" spans="4:22">
      <c r="D840" s="1119">
        <v>0.9028999999999997</v>
      </c>
      <c r="E840" s="1119">
        <v>0.90619999999999967</v>
      </c>
      <c r="F840" s="1120">
        <v>24.56</v>
      </c>
      <c r="G840" s="1119">
        <v>6.9443999999999999</v>
      </c>
      <c r="I840" s="1119">
        <v>0.90619999999999967</v>
      </c>
      <c r="J840" s="1119">
        <v>0.9028999999999997</v>
      </c>
      <c r="K840" s="1120">
        <v>24.56</v>
      </c>
      <c r="L840" s="1119">
        <v>6.9443999999999999</v>
      </c>
      <c r="N840" s="1120">
        <v>39.72</v>
      </c>
      <c r="O840" s="1119">
        <v>7.6187000000000076</v>
      </c>
      <c r="P840" s="1119">
        <v>0.82599999999999973</v>
      </c>
      <c r="Q840" s="1119">
        <v>0.82239999999999969</v>
      </c>
      <c r="S840" s="1119">
        <v>7.6187000000000076</v>
      </c>
      <c r="T840" s="1120">
        <v>39.72</v>
      </c>
      <c r="U840" s="1119">
        <v>0.82599999999999973</v>
      </c>
      <c r="V840" s="1119">
        <v>0.82239999999999969</v>
      </c>
    </row>
    <row r="841" spans="4:22">
      <c r="D841" s="1119">
        <v>0.90299999999999969</v>
      </c>
      <c r="E841" s="1119">
        <v>0.90629999999999966</v>
      </c>
      <c r="F841" s="1120">
        <v>24.54</v>
      </c>
      <c r="G841" s="1119">
        <v>6.9436</v>
      </c>
      <c r="I841" s="1119">
        <v>0.90629999999999966</v>
      </c>
      <c r="J841" s="1119">
        <v>0.90299999999999969</v>
      </c>
      <c r="K841" s="1120">
        <v>24.54</v>
      </c>
      <c r="L841" s="1119">
        <v>6.9436</v>
      </c>
      <c r="N841" s="1120">
        <v>39.74</v>
      </c>
      <c r="O841" s="1119">
        <v>7.6196000000000073</v>
      </c>
      <c r="P841" s="1119">
        <v>0.82589999999999975</v>
      </c>
      <c r="Q841" s="1119">
        <v>0.8222999999999997</v>
      </c>
      <c r="S841" s="1119">
        <v>7.6196000000000073</v>
      </c>
      <c r="T841" s="1120">
        <v>39.74</v>
      </c>
      <c r="U841" s="1119">
        <v>0.82589999999999975</v>
      </c>
      <c r="V841" s="1119">
        <v>0.8222999999999997</v>
      </c>
    </row>
    <row r="842" spans="4:22">
      <c r="D842" s="1119">
        <v>0.90309999999999968</v>
      </c>
      <c r="E842" s="1119">
        <v>0.90639999999999965</v>
      </c>
      <c r="F842" s="1120">
        <v>24.52</v>
      </c>
      <c r="G842" s="1119">
        <v>6.9428000000000001</v>
      </c>
      <c r="I842" s="1119">
        <v>0.90639999999999965</v>
      </c>
      <c r="J842" s="1119">
        <v>0.90309999999999968</v>
      </c>
      <c r="K842" s="1120">
        <v>24.52</v>
      </c>
      <c r="L842" s="1119">
        <v>6.9428000000000001</v>
      </c>
      <c r="N842" s="1120">
        <v>39.76</v>
      </c>
      <c r="O842" s="1119">
        <v>7.6205000000000069</v>
      </c>
      <c r="P842" s="1119">
        <v>0.82579999999999976</v>
      </c>
      <c r="Q842" s="1119">
        <v>0.82219999999999971</v>
      </c>
      <c r="S842" s="1119">
        <v>7.6205000000000069</v>
      </c>
      <c r="T842" s="1120">
        <v>39.76</v>
      </c>
      <c r="U842" s="1119">
        <v>0.82579999999999976</v>
      </c>
      <c r="V842" s="1119">
        <v>0.82219999999999971</v>
      </c>
    </row>
    <row r="843" spans="4:22">
      <c r="D843" s="1119">
        <v>0.90319999999999967</v>
      </c>
      <c r="E843" s="1119">
        <v>0.90649999999999964</v>
      </c>
      <c r="F843" s="1120">
        <v>24.5</v>
      </c>
      <c r="G843" s="1119">
        <v>6.9420000000000002</v>
      </c>
      <c r="I843" s="1119">
        <v>0.90649999999999964</v>
      </c>
      <c r="J843" s="1119">
        <v>0.90319999999999967</v>
      </c>
      <c r="K843" s="1120">
        <v>24.5</v>
      </c>
      <c r="L843" s="1119">
        <v>6.9420000000000002</v>
      </c>
      <c r="N843" s="1120">
        <v>39.78</v>
      </c>
      <c r="O843" s="1119">
        <v>7.6214000000000066</v>
      </c>
      <c r="P843" s="1119">
        <v>0.82569999999999977</v>
      </c>
      <c r="Q843" s="1119">
        <v>0.82209999999999972</v>
      </c>
      <c r="S843" s="1119">
        <v>7.6214000000000066</v>
      </c>
      <c r="T843" s="1120">
        <v>39.78</v>
      </c>
      <c r="U843" s="1119">
        <v>0.82569999999999977</v>
      </c>
      <c r="V843" s="1119">
        <v>0.82209999999999972</v>
      </c>
    </row>
    <row r="844" spans="4:22">
      <c r="D844" s="1119">
        <v>0.90329999999999966</v>
      </c>
      <c r="E844" s="1119">
        <v>0.90659999999999963</v>
      </c>
      <c r="F844" s="1120">
        <v>24.48</v>
      </c>
      <c r="G844" s="1119">
        <v>6.9412000000000003</v>
      </c>
      <c r="I844" s="1119">
        <v>0.90659999999999963</v>
      </c>
      <c r="J844" s="1119">
        <v>0.90329999999999966</v>
      </c>
      <c r="K844" s="1120">
        <v>24.48</v>
      </c>
      <c r="L844" s="1119">
        <v>6.9412000000000003</v>
      </c>
      <c r="N844" s="1120">
        <v>39.799999999999997</v>
      </c>
      <c r="O844" s="1119">
        <v>7.6223000000000063</v>
      </c>
      <c r="P844" s="1119">
        <v>0.82559999999999978</v>
      </c>
      <c r="Q844" s="1119">
        <v>0.82199999999999973</v>
      </c>
      <c r="S844" s="1119">
        <v>7.6223000000000063</v>
      </c>
      <c r="T844" s="1120">
        <v>39.799999999999997</v>
      </c>
      <c r="U844" s="1119">
        <v>0.82559999999999978</v>
      </c>
      <c r="V844" s="1119">
        <v>0.82199999999999973</v>
      </c>
    </row>
    <row r="845" spans="4:22">
      <c r="D845" s="1119">
        <v>0.90339999999999965</v>
      </c>
      <c r="E845" s="1119">
        <v>0.90669999999999962</v>
      </c>
      <c r="F845" s="1120">
        <v>24.47</v>
      </c>
      <c r="G845" s="1119">
        <v>6.9404000000000003</v>
      </c>
      <c r="I845" s="1119">
        <v>0.90669999999999962</v>
      </c>
      <c r="J845" s="1119">
        <v>0.90339999999999965</v>
      </c>
      <c r="K845" s="1120">
        <v>24.47</v>
      </c>
      <c r="L845" s="1119">
        <v>6.9404000000000003</v>
      </c>
      <c r="N845" s="1120">
        <v>39.83</v>
      </c>
      <c r="O845" s="1119">
        <v>7.623200000000006</v>
      </c>
      <c r="P845" s="1119">
        <v>0.82549999999999979</v>
      </c>
      <c r="Q845" s="1119">
        <v>0.82189999999999974</v>
      </c>
      <c r="S845" s="1119">
        <v>7.623200000000006</v>
      </c>
      <c r="T845" s="1120">
        <v>39.83</v>
      </c>
      <c r="U845" s="1119">
        <v>0.82549999999999979</v>
      </c>
      <c r="V845" s="1119">
        <v>0.82189999999999974</v>
      </c>
    </row>
    <row r="846" spans="4:22">
      <c r="D846" s="1119">
        <v>0.90349999999999964</v>
      </c>
      <c r="E846" s="1119">
        <v>0.90679999999999961</v>
      </c>
      <c r="F846" s="1120">
        <v>24.45</v>
      </c>
      <c r="G846" s="1119">
        <v>6.9396000000000004</v>
      </c>
      <c r="I846" s="1119">
        <v>0.90679999999999961</v>
      </c>
      <c r="J846" s="1119">
        <v>0.90349999999999964</v>
      </c>
      <c r="K846" s="1120">
        <v>24.45</v>
      </c>
      <c r="L846" s="1119">
        <v>6.9396000000000004</v>
      </c>
      <c r="N846" s="1120">
        <v>39.85</v>
      </c>
      <c r="O846" s="1119">
        <v>7.6241000000000057</v>
      </c>
      <c r="P846" s="1119">
        <v>0.8253999999999998</v>
      </c>
      <c r="Q846" s="1119">
        <v>0.82179999999999975</v>
      </c>
      <c r="S846" s="1119">
        <v>7.6241000000000057</v>
      </c>
      <c r="T846" s="1120">
        <v>39.85</v>
      </c>
      <c r="U846" s="1119">
        <v>0.8253999999999998</v>
      </c>
      <c r="V846" s="1119">
        <v>0.82179999999999975</v>
      </c>
    </row>
    <row r="847" spans="4:22">
      <c r="D847" s="1119">
        <v>0.90359999999999963</v>
      </c>
      <c r="E847" s="1119">
        <v>0.9068999999999996</v>
      </c>
      <c r="F847" s="1120">
        <v>24.44</v>
      </c>
      <c r="G847" s="1119">
        <v>6.9388000000000005</v>
      </c>
      <c r="I847" s="1119">
        <v>0.9068999999999996</v>
      </c>
      <c r="J847" s="1119">
        <v>0.90359999999999963</v>
      </c>
      <c r="K847" s="1120">
        <v>24.44</v>
      </c>
      <c r="L847" s="1119">
        <v>6.9388000000000005</v>
      </c>
      <c r="N847" s="1120">
        <v>39.869999999999997</v>
      </c>
      <c r="O847" s="1119">
        <v>7.6250000000000053</v>
      </c>
      <c r="P847" s="1119">
        <v>0.82529999999999981</v>
      </c>
      <c r="Q847" s="1119">
        <v>0.82169999999999976</v>
      </c>
      <c r="S847" s="1119">
        <v>7.6250000000000053</v>
      </c>
      <c r="T847" s="1120">
        <v>39.869999999999997</v>
      </c>
      <c r="U847" s="1119">
        <v>0.82529999999999981</v>
      </c>
      <c r="V847" s="1119">
        <v>0.82169999999999976</v>
      </c>
    </row>
    <row r="848" spans="4:22">
      <c r="D848" s="1119">
        <v>0.90369999999999961</v>
      </c>
      <c r="E848" s="1119">
        <v>0.90699999999999958</v>
      </c>
      <c r="F848" s="1120">
        <v>24.42</v>
      </c>
      <c r="G848" s="1119">
        <v>6.9380000000000006</v>
      </c>
      <c r="I848" s="1119">
        <v>0.90699999999999958</v>
      </c>
      <c r="J848" s="1119">
        <v>0.90369999999999961</v>
      </c>
      <c r="K848" s="1120">
        <v>24.42</v>
      </c>
      <c r="L848" s="1119">
        <v>6.9380000000000006</v>
      </c>
      <c r="N848" s="1120">
        <v>39.89</v>
      </c>
      <c r="O848" s="1119">
        <v>7.625900000000005</v>
      </c>
      <c r="P848" s="1119">
        <v>0.82519999999999982</v>
      </c>
      <c r="Q848" s="1119">
        <v>0.82159999999999977</v>
      </c>
      <c r="S848" s="1119">
        <v>7.625900000000005</v>
      </c>
      <c r="T848" s="1120">
        <v>39.89</v>
      </c>
      <c r="U848" s="1119">
        <v>0.82519999999999982</v>
      </c>
      <c r="V848" s="1119">
        <v>0.82159999999999977</v>
      </c>
    </row>
    <row r="849" spans="4:22">
      <c r="D849" s="1119">
        <v>0.9037999999999996</v>
      </c>
      <c r="E849" s="1119">
        <v>0.90709999999999957</v>
      </c>
      <c r="F849" s="1120">
        <v>24.4</v>
      </c>
      <c r="G849" s="1119">
        <v>6.9372000000000007</v>
      </c>
      <c r="I849" s="1119">
        <v>0.90709999999999957</v>
      </c>
      <c r="J849" s="1119">
        <v>0.9037999999999996</v>
      </c>
      <c r="K849" s="1120">
        <v>24.4</v>
      </c>
      <c r="L849" s="1119">
        <v>6.9372000000000007</v>
      </c>
      <c r="N849" s="1120">
        <v>39.909999999999997</v>
      </c>
      <c r="O849" s="1119">
        <v>7.6268000000000047</v>
      </c>
      <c r="P849" s="1119">
        <v>0.82509999999999983</v>
      </c>
      <c r="Q849" s="1119">
        <v>0.82149999999999979</v>
      </c>
      <c r="S849" s="1119">
        <v>7.6268000000000047</v>
      </c>
      <c r="T849" s="1120">
        <v>39.909999999999997</v>
      </c>
      <c r="U849" s="1119">
        <v>0.82509999999999983</v>
      </c>
      <c r="V849" s="1119">
        <v>0.82149999999999979</v>
      </c>
    </row>
    <row r="850" spans="4:22">
      <c r="D850" s="1119">
        <v>0.90389999999999959</v>
      </c>
      <c r="E850" s="1119">
        <v>0.90719999999999956</v>
      </c>
      <c r="F850" s="1120">
        <v>24.39</v>
      </c>
      <c r="G850" s="1119">
        <v>6.9364000000000008</v>
      </c>
      <c r="I850" s="1119">
        <v>0.90719999999999956</v>
      </c>
      <c r="J850" s="1119">
        <v>0.90389999999999959</v>
      </c>
      <c r="K850" s="1120">
        <v>24.39</v>
      </c>
      <c r="L850" s="1119">
        <v>6.9364000000000008</v>
      </c>
      <c r="N850" s="1120">
        <v>39.93</v>
      </c>
      <c r="O850" s="1119">
        <v>7.6277000000000044</v>
      </c>
      <c r="P850" s="1119">
        <v>0.82499999999999996</v>
      </c>
      <c r="Q850" s="1119">
        <v>0.8213999999999998</v>
      </c>
      <c r="S850" s="1119">
        <v>7.6277000000000044</v>
      </c>
      <c r="T850" s="1120">
        <v>39.93</v>
      </c>
      <c r="U850" s="1119">
        <v>0.82499999999999996</v>
      </c>
      <c r="V850" s="1119">
        <v>0.8213999999999998</v>
      </c>
    </row>
    <row r="851" spans="4:22">
      <c r="D851" s="1119">
        <v>0.90399999999999958</v>
      </c>
      <c r="E851" s="1119">
        <v>0.90729999999999955</v>
      </c>
      <c r="F851" s="1120">
        <v>24.37</v>
      </c>
      <c r="G851" s="1119">
        <v>6.9356000000000009</v>
      </c>
      <c r="I851" s="1119">
        <v>0.90729999999999955</v>
      </c>
      <c r="J851" s="1119">
        <v>0.90399999999999958</v>
      </c>
      <c r="K851" s="1120">
        <v>24.37</v>
      </c>
      <c r="L851" s="1119">
        <v>6.9356000000000009</v>
      </c>
      <c r="N851" s="1120">
        <v>39.950000000000003</v>
      </c>
      <c r="O851" s="1119">
        <v>7.628600000000004</v>
      </c>
      <c r="P851" s="1119">
        <v>0.82489999999999986</v>
      </c>
      <c r="Q851" s="1119">
        <v>0.82129999999999981</v>
      </c>
      <c r="S851" s="1119">
        <v>7.628600000000004</v>
      </c>
      <c r="T851" s="1120">
        <v>39.950000000000003</v>
      </c>
      <c r="U851" s="1119">
        <v>0.82489999999999986</v>
      </c>
      <c r="V851" s="1119">
        <v>0.82129999999999981</v>
      </c>
    </row>
    <row r="852" spans="4:22">
      <c r="D852" s="1119">
        <v>0.90409999999999957</v>
      </c>
      <c r="E852" s="1119">
        <v>0.90739999999999954</v>
      </c>
      <c r="F852" s="1120">
        <v>24.35</v>
      </c>
      <c r="G852" s="1119">
        <v>6.934800000000001</v>
      </c>
      <c r="I852" s="1119">
        <v>0.90739999999999954</v>
      </c>
      <c r="J852" s="1119">
        <v>0.90409999999999957</v>
      </c>
      <c r="K852" s="1120">
        <v>24.35</v>
      </c>
      <c r="L852" s="1119">
        <v>6.934800000000001</v>
      </c>
      <c r="N852" s="1120">
        <v>39.97</v>
      </c>
      <c r="O852" s="1119">
        <v>7.6295000000000037</v>
      </c>
      <c r="P852" s="1119">
        <v>0.82479999999999987</v>
      </c>
      <c r="Q852" s="1119">
        <v>0.82119999999999982</v>
      </c>
      <c r="S852" s="1119">
        <v>7.6295000000000037</v>
      </c>
      <c r="T852" s="1120">
        <v>39.97</v>
      </c>
      <c r="U852" s="1119">
        <v>0.82479999999999987</v>
      </c>
      <c r="V852" s="1119">
        <v>0.82119999999999982</v>
      </c>
    </row>
    <row r="853" spans="4:22">
      <c r="D853" s="1119">
        <v>0.90419999999999956</v>
      </c>
      <c r="E853" s="1119">
        <v>0.90749999999999997</v>
      </c>
      <c r="F853" s="1120">
        <v>24.33</v>
      </c>
      <c r="G853" s="1119">
        <v>6.9340000000000011</v>
      </c>
      <c r="I853" s="1119">
        <v>0.90749999999999997</v>
      </c>
      <c r="J853" s="1119">
        <v>0.90419999999999956</v>
      </c>
      <c r="K853" s="1120">
        <v>24.33</v>
      </c>
      <c r="L853" s="1119">
        <v>6.9340000000000011</v>
      </c>
      <c r="N853" s="1120">
        <v>39.99</v>
      </c>
      <c r="O853" s="1119">
        <v>7.6304000000000034</v>
      </c>
      <c r="P853" s="1119">
        <v>0.82469999999999988</v>
      </c>
      <c r="Q853" s="1119">
        <v>0.82109999999999983</v>
      </c>
      <c r="S853" s="1119">
        <v>7.6304000000000034</v>
      </c>
      <c r="T853" s="1120">
        <v>39.99</v>
      </c>
      <c r="U853" s="1119">
        <v>0.82469999999999988</v>
      </c>
      <c r="V853" s="1119">
        <v>0.82109999999999983</v>
      </c>
    </row>
    <row r="854" spans="4:22">
      <c r="D854" s="1119">
        <v>0.90429999999999955</v>
      </c>
      <c r="E854" s="1119">
        <v>0.90759999999999952</v>
      </c>
      <c r="F854" s="1120">
        <v>24.32</v>
      </c>
      <c r="G854" s="1119">
        <v>6.9332000000000011</v>
      </c>
      <c r="I854" s="1119">
        <v>0.90759999999999952</v>
      </c>
      <c r="J854" s="1119">
        <v>0.90429999999999955</v>
      </c>
      <c r="K854" s="1120">
        <v>24.32</v>
      </c>
      <c r="L854" s="1119">
        <v>6.9332000000000011</v>
      </c>
      <c r="N854" s="1120">
        <v>40.01</v>
      </c>
      <c r="O854" s="1119">
        <v>7.6313000000000031</v>
      </c>
      <c r="P854" s="1119">
        <v>0.82459999999999989</v>
      </c>
      <c r="Q854" s="1119">
        <v>0.82099999999999984</v>
      </c>
      <c r="S854" s="1119">
        <v>7.6313000000000031</v>
      </c>
      <c r="T854" s="1120">
        <v>40.01</v>
      </c>
      <c r="U854" s="1119">
        <v>0.82459999999999989</v>
      </c>
      <c r="V854" s="1119">
        <v>0.82099999999999984</v>
      </c>
    </row>
    <row r="855" spans="4:22">
      <c r="D855" s="1119">
        <v>0.90439999999999954</v>
      </c>
      <c r="E855" s="1119">
        <v>0.90769999999999951</v>
      </c>
      <c r="F855" s="1120">
        <v>24.3</v>
      </c>
      <c r="G855" s="1119">
        <v>6.9324000000000012</v>
      </c>
      <c r="I855" s="1119">
        <v>0.90769999999999951</v>
      </c>
      <c r="J855" s="1119">
        <v>0.90439999999999954</v>
      </c>
      <c r="K855" s="1120">
        <v>24.3</v>
      </c>
      <c r="L855" s="1119">
        <v>6.9324000000000012</v>
      </c>
      <c r="N855" s="1120">
        <v>40.04</v>
      </c>
      <c r="O855" s="1119">
        <v>7.6322000000000028</v>
      </c>
      <c r="P855" s="1119">
        <v>0.8244999999999999</v>
      </c>
      <c r="Q855" s="1119">
        <v>0.82089999999999985</v>
      </c>
      <c r="S855" s="1119">
        <v>7.6322000000000028</v>
      </c>
      <c r="T855" s="1120">
        <v>40.04</v>
      </c>
      <c r="U855" s="1119">
        <v>0.8244999999999999</v>
      </c>
      <c r="V855" s="1119">
        <v>0.82089999999999985</v>
      </c>
    </row>
    <row r="856" spans="4:22">
      <c r="D856" s="1119">
        <v>0.90449999999999953</v>
      </c>
      <c r="E856" s="1119">
        <v>0.9077999999999995</v>
      </c>
      <c r="F856" s="1120">
        <v>24.28</v>
      </c>
      <c r="G856" s="1119">
        <v>6.9316000000000013</v>
      </c>
      <c r="I856" s="1119">
        <v>0.9077999999999995</v>
      </c>
      <c r="J856" s="1119">
        <v>0.90449999999999953</v>
      </c>
      <c r="K856" s="1120">
        <v>24.28</v>
      </c>
      <c r="L856" s="1119">
        <v>6.9316000000000013</v>
      </c>
      <c r="N856" s="1120">
        <v>40.06</v>
      </c>
      <c r="O856" s="1119">
        <v>7.6331000000000024</v>
      </c>
      <c r="P856" s="1119">
        <v>0.82439999999999991</v>
      </c>
      <c r="Q856" s="1119">
        <v>0.82079999999999986</v>
      </c>
      <c r="S856" s="1119">
        <v>7.6331000000000024</v>
      </c>
      <c r="T856" s="1120">
        <v>40.06</v>
      </c>
      <c r="U856" s="1119">
        <v>0.82439999999999991</v>
      </c>
      <c r="V856" s="1119">
        <v>0.82079999999999986</v>
      </c>
    </row>
    <row r="857" spans="4:22">
      <c r="D857" s="1119">
        <v>0.90459999999999952</v>
      </c>
      <c r="E857" s="1119">
        <v>0.90789999999999949</v>
      </c>
      <c r="F857" s="1120">
        <v>24.27</v>
      </c>
      <c r="G857" s="1119">
        <v>6.9308000000000014</v>
      </c>
      <c r="I857" s="1119">
        <v>0.90789999999999949</v>
      </c>
      <c r="J857" s="1119">
        <v>0.90459999999999952</v>
      </c>
      <c r="K857" s="1120">
        <v>24.27</v>
      </c>
      <c r="L857" s="1119">
        <v>6.9308000000000014</v>
      </c>
      <c r="N857" s="1120">
        <v>40.08</v>
      </c>
      <c r="O857" s="1119">
        <v>7.6340000000000021</v>
      </c>
      <c r="P857" s="1119">
        <v>0.82429999999999992</v>
      </c>
      <c r="Q857" s="1119">
        <v>0.82069999999999987</v>
      </c>
      <c r="S857" s="1119">
        <v>7.6340000000000021</v>
      </c>
      <c r="T857" s="1120">
        <v>40.08</v>
      </c>
      <c r="U857" s="1119">
        <v>0.82429999999999992</v>
      </c>
      <c r="V857" s="1119">
        <v>0.82069999999999987</v>
      </c>
    </row>
    <row r="858" spans="4:22">
      <c r="D858" s="1119">
        <v>0.9046999999999995</v>
      </c>
      <c r="E858" s="1119">
        <v>0.90799999999999947</v>
      </c>
      <c r="F858" s="1120">
        <v>24.25</v>
      </c>
      <c r="G858" s="1119">
        <v>6.93</v>
      </c>
      <c r="I858" s="1119">
        <v>0.90799999999999947</v>
      </c>
      <c r="J858" s="1119">
        <v>0.9046999999999995</v>
      </c>
      <c r="K858" s="1120">
        <v>24.25</v>
      </c>
      <c r="L858" s="1119">
        <v>6.93</v>
      </c>
      <c r="N858" s="1120">
        <v>40.1</v>
      </c>
      <c r="O858" s="1119">
        <v>7.6349000000000018</v>
      </c>
      <c r="P858" s="1119">
        <v>0.82419999999999993</v>
      </c>
      <c r="Q858" s="1119">
        <v>0.82059999999999989</v>
      </c>
      <c r="S858" s="1119">
        <v>7.6349000000000018</v>
      </c>
      <c r="T858" s="1120">
        <v>40.1</v>
      </c>
      <c r="U858" s="1119">
        <v>0.82419999999999993</v>
      </c>
      <c r="V858" s="1119">
        <v>0.82059999999999989</v>
      </c>
    </row>
    <row r="859" spans="4:22">
      <c r="D859" s="1119">
        <v>0.90479999999999949</v>
      </c>
      <c r="E859" s="1119">
        <v>0.90809999999999946</v>
      </c>
      <c r="F859" s="1120">
        <v>24.23</v>
      </c>
      <c r="G859" s="1119">
        <v>6.9293000000000013</v>
      </c>
      <c r="I859" s="1119">
        <v>0.90809999999999946</v>
      </c>
      <c r="J859" s="1119">
        <v>0.90479999999999949</v>
      </c>
      <c r="K859" s="1120">
        <v>24.23</v>
      </c>
      <c r="L859" s="1119">
        <v>6.9293000000000013</v>
      </c>
      <c r="N859" s="1120">
        <v>40.119999999999997</v>
      </c>
      <c r="O859" s="1119">
        <v>7.6358000000000015</v>
      </c>
      <c r="P859" s="1119">
        <v>0.82409999999999994</v>
      </c>
      <c r="Q859" s="1119">
        <v>0.8204999999999999</v>
      </c>
      <c r="S859" s="1119">
        <v>7.6358000000000015</v>
      </c>
      <c r="T859" s="1120">
        <v>40.119999999999997</v>
      </c>
      <c r="U859" s="1119">
        <v>0.82409999999999994</v>
      </c>
      <c r="V859" s="1119">
        <v>0.8204999999999999</v>
      </c>
    </row>
    <row r="860" spans="4:22">
      <c r="D860" s="1119">
        <v>0.90489999999999948</v>
      </c>
      <c r="E860" s="1119">
        <v>0.90819999999999945</v>
      </c>
      <c r="F860" s="1120">
        <v>24.22</v>
      </c>
      <c r="G860" s="1119">
        <v>6.9286000000000012</v>
      </c>
      <c r="I860" s="1119">
        <v>0.90819999999999945</v>
      </c>
      <c r="J860" s="1119">
        <v>0.90489999999999948</v>
      </c>
      <c r="K860" s="1120">
        <v>24.22</v>
      </c>
      <c r="L860" s="1119">
        <v>6.9286000000000012</v>
      </c>
      <c r="N860" s="1120">
        <v>40.14</v>
      </c>
      <c r="O860" s="1119">
        <v>7.6367000000000012</v>
      </c>
      <c r="P860" s="1119">
        <v>0.82399999999999995</v>
      </c>
      <c r="Q860" s="1119">
        <v>0.82039999999999991</v>
      </c>
      <c r="S860" s="1119">
        <v>7.6367000000000012</v>
      </c>
      <c r="T860" s="1120">
        <v>40.14</v>
      </c>
      <c r="U860" s="1119">
        <v>0.82399999999999995</v>
      </c>
      <c r="V860" s="1119">
        <v>0.82039999999999991</v>
      </c>
    </row>
    <row r="861" spans="4:22">
      <c r="D861" s="1119">
        <v>0.90499999999999947</v>
      </c>
      <c r="E861" s="1119">
        <v>0.90829999999999944</v>
      </c>
      <c r="F861" s="1120">
        <v>24.2</v>
      </c>
      <c r="G861" s="1119">
        <v>6.9278000000000013</v>
      </c>
      <c r="I861" s="1119">
        <v>0.90829999999999944</v>
      </c>
      <c r="J861" s="1119">
        <v>0.90499999999999947</v>
      </c>
      <c r="K861" s="1120">
        <v>24.2</v>
      </c>
      <c r="L861" s="1119">
        <v>6.9278000000000013</v>
      </c>
      <c r="N861" s="1120">
        <v>40.159999999999997</v>
      </c>
      <c r="O861" s="1119">
        <v>7.6376000000000008</v>
      </c>
      <c r="P861" s="1119">
        <v>0.82389999999999997</v>
      </c>
      <c r="Q861" s="1119">
        <v>0.82029999999999992</v>
      </c>
      <c r="S861" s="1119">
        <v>7.6376000000000008</v>
      </c>
      <c r="T861" s="1120">
        <v>40.159999999999997</v>
      </c>
      <c r="U861" s="1119">
        <v>0.82389999999999997</v>
      </c>
      <c r="V861" s="1119">
        <v>0.82029999999999992</v>
      </c>
    </row>
    <row r="862" spans="4:22">
      <c r="D862" s="1119">
        <v>0.90510000000000002</v>
      </c>
      <c r="E862" s="1119">
        <v>0.90839999999999999</v>
      </c>
      <c r="F862" s="1120">
        <v>24.18</v>
      </c>
      <c r="G862" s="1119">
        <v>6.9272</v>
      </c>
      <c r="I862" s="1119">
        <v>0.90839999999999999</v>
      </c>
      <c r="J862" s="1119">
        <v>0.90510000000000002</v>
      </c>
      <c r="K862" s="1120">
        <v>24.18</v>
      </c>
      <c r="L862" s="1119">
        <v>6.9272</v>
      </c>
      <c r="N862" s="1120">
        <v>40.18</v>
      </c>
      <c r="O862" s="1119">
        <v>7.6385000000000005</v>
      </c>
      <c r="P862" s="1119">
        <v>0.82379999999999998</v>
      </c>
      <c r="Q862" s="1119">
        <v>0.82019999999999993</v>
      </c>
      <c r="S862" s="1119">
        <v>7.6385000000000005</v>
      </c>
      <c r="T862" s="1120">
        <v>40.18</v>
      </c>
      <c r="U862" s="1119">
        <v>0.82379999999999998</v>
      </c>
      <c r="V862" s="1119">
        <v>0.82019999999999993</v>
      </c>
    </row>
    <row r="863" spans="4:22">
      <c r="D863" s="1119">
        <v>0.9052</v>
      </c>
      <c r="E863" s="1119">
        <v>0.90849999999999997</v>
      </c>
      <c r="F863" s="1120">
        <v>24.16</v>
      </c>
      <c r="G863" s="1119">
        <v>6.9264999999999999</v>
      </c>
      <c r="I863" s="1119">
        <v>0.90849999999999997</v>
      </c>
      <c r="J863" s="1119">
        <v>0.9052</v>
      </c>
      <c r="K863" s="1120">
        <v>24.16</v>
      </c>
      <c r="L863" s="1119">
        <v>6.9264999999999999</v>
      </c>
      <c r="N863" s="1120">
        <v>40.200000000000003</v>
      </c>
      <c r="O863" s="1119">
        <v>7.6394000000000002</v>
      </c>
      <c r="P863" s="1119">
        <v>0.82369999999999999</v>
      </c>
      <c r="Q863" s="1119">
        <v>0.82009999999999994</v>
      </c>
      <c r="S863" s="1119">
        <v>7.6394000000000002</v>
      </c>
      <c r="T863" s="1120">
        <v>40.200000000000003</v>
      </c>
      <c r="U863" s="1119">
        <v>0.82369999999999999</v>
      </c>
      <c r="V863" s="1119">
        <v>0.82009999999999994</v>
      </c>
    </row>
    <row r="864" spans="4:22">
      <c r="D864" s="1121">
        <v>0.90529999999999999</v>
      </c>
      <c r="E864" s="1121">
        <v>0.90859999999999996</v>
      </c>
      <c r="F864" s="1122">
        <v>24.15</v>
      </c>
      <c r="G864" s="1121">
        <v>6.9257999999999997</v>
      </c>
      <c r="I864" s="1121">
        <v>0.90859999999999996</v>
      </c>
      <c r="J864" s="1121">
        <v>0.90529999999999999</v>
      </c>
      <c r="K864" s="1122">
        <v>24.15</v>
      </c>
      <c r="L864" s="1121">
        <v>6.9257999999999997</v>
      </c>
      <c r="N864" s="1122">
        <v>40.22</v>
      </c>
      <c r="O864" s="1121">
        <v>7.6402999999999999</v>
      </c>
      <c r="P864" s="1121">
        <v>0.8236</v>
      </c>
      <c r="Q864" s="1121">
        <v>0.82</v>
      </c>
      <c r="S864" s="1121">
        <v>7.6402999999999999</v>
      </c>
      <c r="T864" s="1122">
        <v>40.22</v>
      </c>
      <c r="U864" s="1121">
        <v>0.8236</v>
      </c>
      <c r="V864" s="1121">
        <v>0.82</v>
      </c>
    </row>
  </sheetData>
  <sortState xmlns:xlrd2="http://schemas.microsoft.com/office/spreadsheetml/2017/richdata2" ref="N11:Q864">
    <sortCondition ref="N11:N864"/>
  </sortState>
  <mergeCells count="2">
    <mergeCell ref="AM102:AN102"/>
    <mergeCell ref="B2:B3"/>
  </mergeCells>
  <hyperlinks>
    <hyperlink ref="B2:B3" location="Home!A1" display="HOME" xr:uid="{23300892-C585-40A0-AD11-F6A2C4EC4264}"/>
    <hyperlink ref="Z100" location="'Volume Interpolation'!A1" display="Go to Up" xr:uid="{CD627F1A-5A3D-4B11-971C-3FACD1BECABC}"/>
    <hyperlink ref="B5" location="'Documents Manager'!A1" display="DOCUMENTS MANAGER" xr:uid="{2EAF79FC-626E-4444-8810-3B80B165E83A}"/>
    <hyperlink ref="B23" location="Disclaimer!A1" display="Disclaimer" xr:uid="{BFBE2551-11AA-40FB-A0E5-FA73BEA9F3BF}"/>
    <hyperlink ref="B22" location="Help!A1" display="Help" xr:uid="{E6F2D498-2908-480C-BA4E-3E929A98A6A4}"/>
    <hyperlink ref="B20" location="'Source - Links'!A1" display="SOURCE / LINKS" xr:uid="{B956CDFE-F986-45E6-9146-9A3E339ED7D5}"/>
    <hyperlink ref="B11" location="'ASTM Converter (API)'!A1" display="• Entry with API Gravity" xr:uid="{296CDBAB-2103-4541-AC3D-E422BD937F6B}"/>
    <hyperlink ref="B12" location="'ASTM Converter (R.Density)'!A1" display="• Entry with Relative Density" xr:uid="{C41C0F87-1B0F-413E-8C70-3F88A3EEABC5}"/>
    <hyperlink ref="B13" location="'ASTM Converter (Density)'!A1" display="• Entry with Density" xr:uid="{459288D5-524C-48E7-89DD-EBBBA9BDBFA3}"/>
    <hyperlink ref="B7" location="'ASTM Converter (Tab.1)'!A1" display="ASTM - CONVERTERS" xr:uid="{ECC8EF2A-46EC-40D3-8955-6577168E9D1B}"/>
    <hyperlink ref="B8" location="'ASTM Converter (Tab.1)'!A1" display="• Converter - Table 1 (Volume XI)" xr:uid="{A7028CB3-9620-457B-950F-103EB3AD35C0}"/>
    <hyperlink ref="B9" location="'ASTM Converter (Tab.2)'!A1" display="• Converter - Table 2 (Volume XI)" xr:uid="{83B94BF8-227C-43D6-9CC2-4A5C46EF5D49}"/>
    <hyperlink ref="B10" location="'ASTM Converter API-RD-SG-Dens.'!A1" display="• Conventer API-RD-SG-Density" xr:uid="{D500F042-2D47-4118-BF05-54BAFD399016}"/>
    <hyperlink ref="B14" location="'ASTM Converter for Crude Oil'!A1" display="• Converter - Tables for Crude Oil" xr:uid="{F25CAE90-AA7A-4340-B001-9081E42B0802}"/>
    <hyperlink ref="B6" location="'ASTM Table Series'!A1" display="ASTM TABLES" xr:uid="{60C3A564-5668-4B49-A96A-51A80A079717}"/>
    <hyperlink ref="B15" location="'ASTM Calculator V.W.'!A1" display="ASTM - CALCULATORS" xr:uid="{516F1263-74C5-4CAC-B3DE-97B8AB494B1E}"/>
    <hyperlink ref="B16" location="'Initial&amp;Max. Loading Rate'!A1" display="CARGO - CALCULATORS" xr:uid="{052DC57F-36EE-49D1-A630-8FDCCDEFA46E}"/>
    <hyperlink ref="B18" location="'Guidelines - Definitions'!A1" display="GUIDELINES" xr:uid="{3047D051-0AB3-4C64-9706-E99D32EFB453}"/>
    <hyperlink ref="B19" location="'Guidelines - Bottom Lines'!A1" display="GUIDELINES - CARGO" xr:uid="{EB62FB75-7D0B-4271-A07C-41338C5FDB3F}"/>
  </hyperlinks>
  <pageMargins left="0.75" right="0.75" top="1" bottom="1" header="0.5" footer="0.5"/>
  <pageSetup paperSize="9" orientation="portrait" horizontalDpi="1200" verticalDpi="1200" r:id="rId1"/>
  <headerFooter alignWithMargins="0"/>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8">
    <tabColor rgb="FF008080"/>
  </sheetPr>
  <dimension ref="A1:IZ109"/>
  <sheetViews>
    <sheetView showGridLines="0" showRowColHeaders="0" topLeftCell="B1" zoomScaleNormal="100" workbookViewId="0">
      <selection activeCell="B5" sqref="B5"/>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16.86328125" style="514" customWidth="1"/>
    <col min="6" max="6" width="13.6640625" style="514" customWidth="1"/>
    <col min="7" max="7" width="18" style="514" customWidth="1"/>
    <col min="8" max="8" width="15.86328125" style="514" customWidth="1"/>
    <col min="9" max="10" width="3.6640625" style="514" customWidth="1"/>
    <col min="11" max="11" width="22.6640625" style="514" customWidth="1"/>
    <col min="12" max="12" width="13.6640625" style="514" customWidth="1"/>
    <col min="13" max="13" width="11.86328125" style="514" customWidth="1"/>
    <col min="14" max="14" width="3.6640625" style="514" customWidth="1"/>
    <col min="15" max="41" width="9.1328125" style="514" customWidth="1"/>
    <col min="42" max="16384" width="9.1328125" style="514"/>
  </cols>
  <sheetData>
    <row r="1" spans="1:260" ht="12.75" customHeight="1">
      <c r="B1" s="612"/>
    </row>
    <row r="2" spans="1:260" s="1398" customFormat="1" ht="21" customHeight="1">
      <c r="A2" s="514"/>
      <c r="B2" s="3210" t="s">
        <v>0</v>
      </c>
      <c r="C2" s="514"/>
      <c r="D2" s="1399" t="s">
        <v>228</v>
      </c>
      <c r="E2" s="1394"/>
      <c r="F2" s="1395"/>
      <c r="G2" s="1395"/>
      <c r="H2" s="1395"/>
      <c r="I2" s="1395"/>
      <c r="J2" s="1395"/>
      <c r="K2" s="1395"/>
      <c r="L2" s="1395"/>
      <c r="M2" s="1395"/>
      <c r="N2" s="1396"/>
      <c r="O2" s="1395"/>
      <c r="P2" s="1395"/>
      <c r="Q2" s="1395"/>
      <c r="R2" s="1397"/>
      <c r="S2" s="1397"/>
      <c r="T2" s="1395"/>
      <c r="U2" s="1395"/>
      <c r="V2" s="1395"/>
      <c r="W2" s="1395"/>
      <c r="X2" s="1395"/>
      <c r="Y2" s="1395"/>
      <c r="Z2" s="1395"/>
      <c r="AA2" s="1395"/>
      <c r="AB2" s="1395"/>
      <c r="AC2" s="1395"/>
      <c r="AD2" s="1395"/>
      <c r="AE2" s="1395"/>
      <c r="AF2" s="1395"/>
      <c r="AG2" s="1395"/>
      <c r="AH2" s="1395"/>
      <c r="AI2" s="1395"/>
      <c r="AJ2" s="1395"/>
      <c r="AK2" s="1395"/>
      <c r="AL2" s="1395"/>
      <c r="AM2" s="1395"/>
      <c r="AN2" s="1395"/>
      <c r="AO2" s="1395"/>
      <c r="AP2" s="1395"/>
      <c r="AQ2" s="1395"/>
      <c r="AR2" s="1395"/>
      <c r="AS2" s="1395"/>
      <c r="AT2" s="1395"/>
      <c r="AU2" s="1395"/>
      <c r="AV2" s="1395"/>
      <c r="AW2" s="1395"/>
      <c r="AX2" s="1395"/>
      <c r="AY2" s="1395"/>
      <c r="AZ2" s="1395"/>
      <c r="BA2" s="1395"/>
      <c r="BB2" s="1395"/>
      <c r="BC2" s="1395"/>
      <c r="BD2" s="1395"/>
      <c r="BE2" s="1395"/>
      <c r="BF2" s="1395"/>
      <c r="BG2" s="1395"/>
      <c r="BH2" s="1395"/>
      <c r="BI2" s="1395"/>
      <c r="BJ2" s="1395"/>
      <c r="BK2" s="1395"/>
      <c r="BL2" s="1395"/>
      <c r="BM2" s="1395"/>
      <c r="BN2" s="1395"/>
      <c r="BO2" s="1395"/>
      <c r="BP2" s="1395"/>
      <c r="BQ2" s="1395"/>
      <c r="BR2" s="1395"/>
      <c r="BS2" s="1395"/>
      <c r="BT2" s="1395"/>
      <c r="BU2" s="1395"/>
      <c r="BV2" s="1395"/>
      <c r="BW2" s="1395"/>
      <c r="BX2" s="1395"/>
      <c r="BY2" s="1395"/>
      <c r="BZ2" s="1395"/>
      <c r="CA2" s="1395"/>
      <c r="CB2" s="1395"/>
      <c r="CC2" s="1395"/>
      <c r="CD2" s="1395"/>
      <c r="CE2" s="1395"/>
      <c r="CF2" s="1395"/>
      <c r="CG2" s="1395"/>
      <c r="CH2" s="1395"/>
      <c r="CI2" s="1395"/>
      <c r="CJ2" s="1395"/>
      <c r="CK2" s="1395"/>
      <c r="CL2" s="1395"/>
      <c r="CM2" s="1395"/>
      <c r="CN2" s="1395"/>
      <c r="CO2" s="1395"/>
      <c r="CP2" s="1395"/>
      <c r="CQ2" s="1395"/>
      <c r="CR2" s="1395"/>
      <c r="CS2" s="1395"/>
      <c r="CT2" s="1395"/>
      <c r="CU2" s="1395"/>
      <c r="CV2" s="1395"/>
      <c r="CW2" s="1395"/>
      <c r="CX2" s="1395"/>
      <c r="CY2" s="1395"/>
      <c r="CZ2" s="1395"/>
      <c r="DA2" s="1395"/>
      <c r="DB2" s="1395"/>
      <c r="DC2" s="1395"/>
      <c r="DD2" s="1395"/>
      <c r="DE2" s="1395"/>
      <c r="DF2" s="1395"/>
      <c r="DG2" s="1395"/>
      <c r="DH2" s="1395"/>
      <c r="DI2" s="1395"/>
      <c r="DJ2" s="1395"/>
      <c r="DK2" s="1395"/>
      <c r="DL2" s="1395"/>
      <c r="DM2" s="1395"/>
      <c r="DN2" s="1395"/>
      <c r="DO2" s="1395"/>
      <c r="DP2" s="1395"/>
      <c r="DQ2" s="1395"/>
      <c r="DR2" s="1395"/>
      <c r="DS2" s="1395"/>
      <c r="DT2" s="1395"/>
      <c r="DU2" s="1395"/>
      <c r="DV2" s="1395"/>
      <c r="DW2" s="1395"/>
      <c r="DX2" s="1395"/>
      <c r="DY2" s="1395"/>
      <c r="DZ2" s="1395"/>
      <c r="EA2" s="1395"/>
      <c r="EB2" s="1395"/>
      <c r="EC2" s="1395"/>
      <c r="ED2" s="1395"/>
      <c r="EE2" s="1395"/>
      <c r="EF2" s="1395"/>
      <c r="EG2" s="1395"/>
      <c r="EH2" s="1395"/>
      <c r="EI2" s="1395"/>
      <c r="EJ2" s="1395"/>
      <c r="EK2" s="1395"/>
      <c r="EL2" s="1395"/>
      <c r="EM2" s="1395"/>
      <c r="EN2" s="1395"/>
      <c r="EO2" s="1395"/>
      <c r="EP2" s="1395"/>
      <c r="EQ2" s="1395"/>
      <c r="ER2" s="1395"/>
      <c r="ES2" s="1395"/>
      <c r="ET2" s="1395"/>
      <c r="EU2" s="1395"/>
      <c r="EV2" s="1395"/>
      <c r="EW2" s="1395"/>
      <c r="EX2" s="1395"/>
      <c r="EY2" s="1395"/>
      <c r="EZ2" s="1395"/>
      <c r="FA2" s="1395"/>
      <c r="FB2" s="1395"/>
      <c r="FC2" s="1395"/>
      <c r="FD2" s="1395"/>
      <c r="FE2" s="1395"/>
      <c r="FF2" s="1395"/>
      <c r="FG2" s="1395"/>
      <c r="FH2" s="1395"/>
      <c r="FI2" s="1395"/>
      <c r="FJ2" s="1395"/>
      <c r="FK2" s="1395"/>
      <c r="FL2" s="1395"/>
      <c r="FM2" s="1395"/>
      <c r="FN2" s="1395"/>
      <c r="FO2" s="1395"/>
      <c r="FP2" s="1395"/>
      <c r="FQ2" s="1395"/>
      <c r="FR2" s="1395"/>
      <c r="FS2" s="1395"/>
      <c r="FT2" s="1395"/>
      <c r="FU2" s="1395"/>
      <c r="FV2" s="1395"/>
      <c r="FW2" s="1395"/>
      <c r="FX2" s="1395"/>
      <c r="FY2" s="1395"/>
      <c r="FZ2" s="1395"/>
      <c r="GA2" s="1395"/>
      <c r="GB2" s="1395"/>
      <c r="GC2" s="1395"/>
      <c r="GD2" s="1395"/>
      <c r="GE2" s="1395"/>
      <c r="GF2" s="1395"/>
      <c r="GG2" s="1395"/>
      <c r="GH2" s="1395"/>
      <c r="GI2" s="1395"/>
      <c r="GJ2" s="1395"/>
      <c r="GK2" s="1395"/>
      <c r="GL2" s="1395"/>
      <c r="GM2" s="1395"/>
      <c r="GN2" s="1395"/>
      <c r="GO2" s="1395"/>
      <c r="GP2" s="1395"/>
      <c r="GQ2" s="1395"/>
      <c r="GR2" s="1395"/>
      <c r="GS2" s="1395"/>
      <c r="GT2" s="1395"/>
      <c r="GU2" s="1395"/>
      <c r="GV2" s="1395"/>
      <c r="GW2" s="1395"/>
      <c r="GX2" s="1395"/>
      <c r="GY2" s="1395"/>
      <c r="GZ2" s="1395"/>
      <c r="HA2" s="1395"/>
      <c r="HB2" s="1395"/>
      <c r="HC2" s="1395"/>
      <c r="HD2" s="1395"/>
      <c r="HE2" s="1395"/>
      <c r="HF2" s="1395"/>
      <c r="HG2" s="1395"/>
      <c r="HH2" s="1395"/>
      <c r="HI2" s="1395"/>
      <c r="HJ2" s="1395"/>
      <c r="HK2" s="1395"/>
      <c r="HL2" s="1395"/>
      <c r="HM2" s="1395"/>
      <c r="HN2" s="1395"/>
      <c r="HO2" s="1395"/>
      <c r="HP2" s="1395"/>
      <c r="HQ2" s="1395"/>
      <c r="HR2" s="1395"/>
      <c r="HS2" s="1395"/>
      <c r="HT2" s="1395"/>
      <c r="HU2" s="1395"/>
      <c r="HV2" s="1395"/>
      <c r="HW2" s="1395"/>
      <c r="HX2" s="1395"/>
      <c r="HY2" s="1395"/>
      <c r="HZ2" s="1395"/>
      <c r="IA2" s="1395"/>
      <c r="IB2" s="1395"/>
      <c r="IC2" s="1395"/>
      <c r="ID2" s="1395"/>
      <c r="IE2" s="1395"/>
      <c r="IF2" s="1395"/>
      <c r="IG2" s="1395"/>
      <c r="IH2" s="1395"/>
      <c r="II2" s="1395"/>
      <c r="IJ2" s="1395"/>
      <c r="IK2" s="1395"/>
      <c r="IL2" s="1395"/>
      <c r="IM2" s="1395"/>
      <c r="IN2" s="1395"/>
      <c r="IO2" s="1395"/>
      <c r="IP2" s="1395"/>
      <c r="IQ2" s="1395"/>
      <c r="IR2" s="1395"/>
      <c r="IS2" s="1395"/>
      <c r="IT2" s="1395"/>
      <c r="IU2" s="1395"/>
      <c r="IV2" s="1395"/>
      <c r="IW2" s="1395"/>
      <c r="IX2" s="1395"/>
      <c r="IY2" s="1395"/>
      <c r="IZ2" s="1395"/>
    </row>
    <row r="3" spans="1:260" ht="21" customHeight="1">
      <c r="B3" s="3210"/>
      <c r="D3" s="619"/>
      <c r="E3" s="619"/>
      <c r="F3" s="619"/>
      <c r="G3" s="5"/>
      <c r="H3" s="5"/>
      <c r="I3" s="5"/>
      <c r="J3" s="5"/>
      <c r="K3" s="5"/>
      <c r="L3" s="5"/>
      <c r="M3" s="5"/>
      <c r="N3" s="5"/>
    </row>
    <row r="4" spans="1:260" ht="21" customHeight="1">
      <c r="B4" s="63"/>
      <c r="D4" s="644"/>
      <c r="E4" s="645"/>
      <c r="F4" s="646"/>
      <c r="G4" s="647"/>
      <c r="H4" s="647"/>
      <c r="I4" s="647"/>
      <c r="J4" s="3218" t="s">
        <v>335</v>
      </c>
      <c r="K4" s="3219"/>
      <c r="L4" s="3219"/>
      <c r="M4" s="3219"/>
      <c r="N4" s="3220"/>
    </row>
    <row r="5" spans="1:260" ht="21" customHeight="1">
      <c r="B5" s="62" t="s">
        <v>1</v>
      </c>
      <c r="D5" s="622"/>
      <c r="E5" s="788" t="s">
        <v>191</v>
      </c>
      <c r="F5" s="730" t="s">
        <v>194</v>
      </c>
      <c r="G5" s="3211" t="str">
        <f>IF(OR('Calc ASTM V.W. Calculator'!B7=1,'Calc ASTM V.W. Calculator'!B7=3,'Calc ASTM V.W. Calculator'!B7=5)," Crude Oils",CONCATENATE(" Petroleum Products - ",'Calc ASTM V.W. Calculator'!AA74))</f>
        <v xml:space="preserve"> Crude Oils</v>
      </c>
      <c r="H5" s="3212"/>
      <c r="I5" s="648"/>
      <c r="J5" s="742"/>
      <c r="K5" s="620"/>
      <c r="L5" s="620"/>
      <c r="M5" s="620"/>
      <c r="N5" s="621"/>
    </row>
    <row r="6" spans="1:260" ht="21" customHeight="1">
      <c r="B6" s="62" t="s">
        <v>452</v>
      </c>
      <c r="D6" s="622"/>
      <c r="E6" s="788" t="str">
        <f>IF('Calc ASTM V.W. Calculator'!B7&gt;4,"Density",IF('Calc ASTM V.W. Calculator'!B7&gt;2,"Relative Density","A.P.I."))</f>
        <v>A.P.I.</v>
      </c>
      <c r="F6" s="584">
        <v>35.200000000000003</v>
      </c>
      <c r="G6" s="3213" t="str">
        <f>IF(AND('Calc ASTM V.W. Calculator'!B7&gt;4,F6&gt;2)," kg/M3 @15°C",IF(AND('Calc ASTM V.W. Calculator'!B7&gt;4,F6&lt;2)," kg/L @15°C",IF('Calc ASTM V.W. Calculator'!B7&gt;2," @60/60°F"," @60°F")))</f>
        <v xml:space="preserve"> @60°F</v>
      </c>
      <c r="H6" s="3214"/>
      <c r="I6" s="649"/>
      <c r="J6" s="650"/>
      <c r="K6" s="651" t="str">
        <f>CONCATENATE('Calc ASTM V.W. Calculator'!C7," - ",'Calc ASTM V.W. Calculator'!D7)</f>
        <v>Tab. 6A - API @60°F</v>
      </c>
      <c r="L6" s="651"/>
      <c r="M6" s="743">
        <f>'Calc ASTM V.W. Calculator'!E7</f>
        <v>35</v>
      </c>
      <c r="N6" s="623"/>
    </row>
    <row r="7" spans="1:260" ht="21" customHeight="1">
      <c r="B7" s="62" t="s">
        <v>239</v>
      </c>
      <c r="D7" s="622"/>
      <c r="E7" s="788" t="s">
        <v>332</v>
      </c>
      <c r="F7" s="515">
        <v>96</v>
      </c>
      <c r="G7" s="835" t="s">
        <v>334</v>
      </c>
      <c r="H7" s="649"/>
      <c r="I7" s="652"/>
      <c r="J7" s="653"/>
      <c r="K7" s="654" t="str">
        <f>IF('Calc ASTM V.W. Calculator'!B7&lt;5,CONCATENATE('Calc ASTM V.W. Calculator'!C7," - Temp. °F"),CONCATENATE('Calc ASTM V.W. Calculator'!C7," - Temp. °C"))</f>
        <v>Tab. 6A - Temp. °F</v>
      </c>
      <c r="L7" s="654"/>
      <c r="M7" s="743" t="str">
        <f>CONCATENATE('Calc ASTM V.W. Calculator'!F7,"°")</f>
        <v>96°</v>
      </c>
      <c r="N7" s="623"/>
    </row>
    <row r="8" spans="1:260" ht="21" customHeight="1">
      <c r="B8" s="146" t="s">
        <v>1263</v>
      </c>
      <c r="D8" s="622"/>
      <c r="E8" s="788" t="s">
        <v>231</v>
      </c>
      <c r="F8" s="516">
        <v>62900</v>
      </c>
      <c r="G8" s="611" t="s">
        <v>199</v>
      </c>
      <c r="H8" s="729"/>
      <c r="I8" s="652"/>
      <c r="J8" s="886"/>
      <c r="K8" s="887" t="str">
        <f>CONCATENATE('Calc ASTM V.W. Calculator'!C7," - VCF")</f>
        <v>Tab. 6A - VCF</v>
      </c>
      <c r="L8" s="625"/>
      <c r="M8" s="888">
        <f>'Calc ASTM V.W. Calculator'!G7</f>
        <v>0.9829</v>
      </c>
      <c r="N8" s="630"/>
    </row>
    <row r="9" spans="1:260" ht="21" customHeight="1">
      <c r="B9" s="147" t="s">
        <v>486</v>
      </c>
      <c r="D9" s="622"/>
      <c r="F9" s="716">
        <f>'Calc ASTM V.W. Calculator'!L19</f>
        <v>62900</v>
      </c>
      <c r="G9" s="655" t="str">
        <f>'Calc ASTM V.W. Calculator'!K19</f>
        <v>BBLS @ Temp.</v>
      </c>
      <c r="H9" s="655"/>
      <c r="I9" s="656"/>
      <c r="J9" s="657"/>
      <c r="K9" s="654"/>
      <c r="L9" s="654"/>
      <c r="M9" s="789"/>
      <c r="N9" s="623"/>
    </row>
    <row r="10" spans="1:260" ht="21" customHeight="1">
      <c r="B10" s="145" t="s">
        <v>487</v>
      </c>
      <c r="D10" s="622"/>
      <c r="E10" s="715"/>
      <c r="F10" s="808">
        <f>'Calc ASTM V.W. Calculator'!L20</f>
        <v>61824</v>
      </c>
      <c r="G10" s="655" t="str">
        <f>'Calc ASTM V.W. Calculator'!K20</f>
        <v>BBLS @ 60°F</v>
      </c>
      <c r="H10" s="655"/>
      <c r="I10" s="656"/>
      <c r="J10" s="657"/>
      <c r="K10" s="3221" t="s">
        <v>416</v>
      </c>
      <c r="L10" s="3222"/>
      <c r="M10" s="3223"/>
      <c r="N10" s="623"/>
    </row>
    <row r="11" spans="1:260" ht="21" customHeight="1">
      <c r="B11" s="145" t="s">
        <v>1273</v>
      </c>
      <c r="D11" s="622"/>
      <c r="F11" s="717">
        <f>'Calc ASTM V.W. Calculator'!L21</f>
        <v>10000.302</v>
      </c>
      <c r="G11" s="655" t="str">
        <f>'Calc ASTM V.W. Calculator'!K21</f>
        <v>M3 @ Temp.</v>
      </c>
      <c r="H11" s="655"/>
      <c r="I11" s="656"/>
      <c r="J11" s="657"/>
      <c r="N11" s="623"/>
    </row>
    <row r="12" spans="1:260" ht="21" customHeight="1">
      <c r="B12" s="145" t="s">
        <v>1276</v>
      </c>
      <c r="D12" s="622"/>
      <c r="F12" s="809">
        <f>'Calc ASTM V.W. Calculator'!L22</f>
        <v>9824.4519999999993</v>
      </c>
      <c r="G12" s="655" t="str">
        <f>'Calc ASTM V.W. Calculator'!K22</f>
        <v>M3 @ 15°C</v>
      </c>
      <c r="H12" s="655"/>
      <c r="I12" s="656"/>
      <c r="J12" s="657"/>
      <c r="K12" s="803" t="str">
        <f>CONCATENATE('Calc ASTM V.W. Calculator'!L129," : ")</f>
        <v xml:space="preserve">Metric Tons (in AIR) : </v>
      </c>
      <c r="L12" s="805">
        <v>8257.2999999999993</v>
      </c>
      <c r="N12" s="623"/>
    </row>
    <row r="13" spans="1:260" ht="21" customHeight="1">
      <c r="B13" s="145" t="s">
        <v>1264</v>
      </c>
      <c r="D13" s="622"/>
      <c r="F13" s="717" t="str">
        <f>IF('Calc ASTM V.W. Calculator'!$B$7=1,"",'Calc ASTM V.W. Calculator'!L23)</f>
        <v/>
      </c>
      <c r="G13" s="655" t="str">
        <f>IF('Calc ASTM V.W. Calculator'!$B$7=1,"",'Calc ASTM V.W. Calculator'!K23)</f>
        <v/>
      </c>
      <c r="H13" s="655"/>
      <c r="I13" s="656"/>
      <c r="J13" s="657"/>
      <c r="K13" s="803" t="str">
        <f>CONCATENATE('Calc ASTM V.W. Calculator'!N129," : ")</f>
        <v xml:space="preserve">ASTM Table 58 : </v>
      </c>
      <c r="L13" s="806">
        <f>'Calc ASTM V.W. Calculator'!O129</f>
        <v>7.4260000000000002</v>
      </c>
      <c r="N13" s="623"/>
    </row>
    <row r="14" spans="1:260" ht="21" customHeight="1">
      <c r="B14" s="145" t="s">
        <v>1265</v>
      </c>
      <c r="D14" s="622"/>
      <c r="F14" s="809">
        <f>'Calc ASTM V.W. Calculator'!L24</f>
        <v>8324.6020000000008</v>
      </c>
      <c r="G14" s="655" t="str">
        <f>'Calc ASTM V.W. Calculator'!K24</f>
        <v>MT (in Air)</v>
      </c>
      <c r="H14" s="655"/>
      <c r="I14" s="656"/>
      <c r="J14" s="657"/>
      <c r="K14" s="803" t="str">
        <f>CONCATENATE('Calc ASTM V.W. Calculator'!M129," : ")</f>
        <v xml:space="preserve">US Barrels at 60°F : </v>
      </c>
      <c r="L14" s="807">
        <f>L12*L13</f>
        <v>61318.709799999997</v>
      </c>
      <c r="N14" s="623"/>
    </row>
    <row r="15" spans="1:260" ht="21" customHeight="1">
      <c r="B15" s="145" t="s">
        <v>1266</v>
      </c>
      <c r="D15" s="622"/>
      <c r="F15" s="717">
        <f>'Calc ASTM V.W. Calculator'!L25</f>
        <v>8192.9159999999993</v>
      </c>
      <c r="G15" s="655" t="str">
        <f>'Calc ASTM V.W. Calculator'!K25</f>
        <v>LT</v>
      </c>
      <c r="H15" s="655"/>
      <c r="J15" s="622"/>
      <c r="N15" s="623"/>
    </row>
    <row r="16" spans="1:260" ht="21" customHeight="1">
      <c r="B16" s="145" t="s">
        <v>1267</v>
      </c>
      <c r="D16" s="622"/>
      <c r="J16" s="787"/>
      <c r="K16" s="620"/>
      <c r="L16" s="620"/>
      <c r="M16" s="620"/>
      <c r="N16" s="621"/>
    </row>
    <row r="17" spans="2:14" ht="21" customHeight="1">
      <c r="B17" s="145" t="s">
        <v>556</v>
      </c>
      <c r="D17" s="622"/>
      <c r="I17" s="623"/>
      <c r="J17" s="622"/>
      <c r="K17" s="3224" t="s">
        <v>366</v>
      </c>
      <c r="L17" s="3225"/>
      <c r="M17" s="3226"/>
      <c r="N17" s="623"/>
    </row>
    <row r="18" spans="2:14" ht="21" customHeight="1">
      <c r="B18" s="62" t="s">
        <v>557</v>
      </c>
      <c r="D18" s="624"/>
      <c r="E18" s="625"/>
      <c r="F18" s="625"/>
      <c r="G18" s="625"/>
      <c r="H18" s="625"/>
      <c r="I18" s="630"/>
      <c r="J18" s="629"/>
      <c r="L18" s="785"/>
      <c r="M18" s="786"/>
      <c r="N18" s="623"/>
    </row>
    <row r="19" spans="2:14" ht="21" customHeight="1">
      <c r="B19" s="62" t="s">
        <v>238</v>
      </c>
      <c r="D19" s="622"/>
      <c r="J19" s="622"/>
      <c r="K19" s="803" t="str">
        <f>CONCATENATE('Calc ASTM V.W. Calculator'!L175," : ")</f>
        <v xml:space="preserve">Metric Tons (Tonnes) : </v>
      </c>
      <c r="L19" s="805">
        <v>8257.2999999999993</v>
      </c>
      <c r="N19" s="623"/>
    </row>
    <row r="20" spans="2:14" ht="21" customHeight="1">
      <c r="B20" s="62" t="s">
        <v>1652</v>
      </c>
      <c r="D20" s="622"/>
      <c r="E20" s="623"/>
      <c r="F20" s="632">
        <v>20.7</v>
      </c>
      <c r="G20" s="784">
        <f>ROUND((9/5)*F20+32,1)</f>
        <v>69.3</v>
      </c>
      <c r="J20" s="622"/>
      <c r="K20" s="803" t="str">
        <f>CONCATENATE('Calc ASTM V.W. Calculator'!N175," : ")</f>
        <v xml:space="preserve">ASTM Table 1 : </v>
      </c>
      <c r="L20" s="806">
        <f>'Calc ASTM V.W. Calculator'!O175</f>
        <v>0.98420600000000003</v>
      </c>
      <c r="N20" s="623"/>
    </row>
    <row r="21" spans="2:14" ht="21" customHeight="1">
      <c r="B21" s="62" t="s">
        <v>1653</v>
      </c>
      <c r="D21" s="622"/>
      <c r="F21" s="633">
        <v>77</v>
      </c>
      <c r="G21" s="744">
        <f>ROUND((F21-32)/9*5,2)</f>
        <v>25</v>
      </c>
      <c r="J21" s="622"/>
      <c r="K21" s="803" t="str">
        <f>CONCATENATE('Calc ASTM V.W. Calculator'!M175," : ")</f>
        <v xml:space="preserve">Long Tons : </v>
      </c>
      <c r="L21" s="807">
        <f>L19*L20</f>
        <v>8126.8842037999993</v>
      </c>
      <c r="N21" s="623"/>
    </row>
    <row r="22" spans="2:14" ht="21" customHeight="1">
      <c r="B22" s="62" t="s">
        <v>40</v>
      </c>
      <c r="D22" s="624"/>
      <c r="E22" s="625"/>
      <c r="F22" s="625"/>
      <c r="G22" s="625"/>
      <c r="H22" s="625"/>
      <c r="I22" s="630"/>
      <c r="J22" s="3215" t="str">
        <f>IF('Calc ASTM V.W. Calculator'!S175=0,"",'Calc ASTM V.W. Calculator'!S175)</f>
        <v/>
      </c>
      <c r="K22" s="3216"/>
      <c r="L22" s="3216"/>
      <c r="M22" s="3216"/>
      <c r="N22" s="3217"/>
    </row>
    <row r="23" spans="2:14" ht="21" customHeight="1">
      <c r="B23" s="62" t="s">
        <v>238</v>
      </c>
    </row>
    <row r="24" spans="2:14" ht="21" customHeight="1">
      <c r="B24" s="62" t="s">
        <v>39</v>
      </c>
    </row>
    <row r="25" spans="2:14" ht="21" customHeight="1">
      <c r="B25" s="62" t="s">
        <v>38</v>
      </c>
    </row>
    <row r="26" spans="2:14" ht="21" customHeight="1">
      <c r="B26" s="62"/>
    </row>
    <row r="27" spans="2:14" ht="21" customHeight="1">
      <c r="B27" s="62"/>
    </row>
    <row r="28" spans="2:14" ht="21" customHeight="1">
      <c r="B28" s="565"/>
    </row>
    <row r="29" spans="2:14" ht="21" customHeight="1">
      <c r="B29" s="565"/>
    </row>
    <row r="30" spans="2:14" ht="21" customHeight="1">
      <c r="B30" s="565"/>
    </row>
    <row r="31" spans="2:14" ht="21" customHeight="1">
      <c r="B31" s="565"/>
    </row>
    <row r="32" spans="2:14" ht="21" customHeight="1">
      <c r="B32" s="565"/>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ht="21" customHeight="1">
      <c r="B42" s="565"/>
    </row>
    <row r="43" spans="2:2" ht="21" customHeight="1">
      <c r="B43" s="565"/>
    </row>
    <row r="44" spans="2:2" ht="21" customHeight="1">
      <c r="B44" s="565"/>
    </row>
    <row r="45" spans="2:2" ht="21" customHeight="1">
      <c r="B45" s="565"/>
    </row>
    <row r="46" spans="2:2" ht="21" customHeight="1">
      <c r="B46" s="565"/>
    </row>
    <row r="47" spans="2:2">
      <c r="B47" s="565"/>
    </row>
    <row r="48" spans="2:2">
      <c r="B48" s="565"/>
    </row>
    <row r="49" spans="2:2">
      <c r="B49" s="565"/>
    </row>
    <row r="50" spans="2:2">
      <c r="B50" s="565"/>
    </row>
    <row r="51" spans="2:2">
      <c r="B51" s="565"/>
    </row>
    <row r="52" spans="2:2">
      <c r="B52" s="565"/>
    </row>
    <row r="53" spans="2:2">
      <c r="B53" s="565"/>
    </row>
    <row r="54" spans="2:2">
      <c r="B54" s="565"/>
    </row>
    <row r="55" spans="2:2">
      <c r="B55" s="565"/>
    </row>
    <row r="56" spans="2:2">
      <c r="B56" s="565"/>
    </row>
    <row r="57" spans="2:2">
      <c r="B57" s="565"/>
    </row>
    <row r="58" spans="2:2">
      <c r="B58" s="565"/>
    </row>
    <row r="59" spans="2:2">
      <c r="B59" s="565"/>
    </row>
    <row r="60" spans="2:2">
      <c r="B60" s="565"/>
    </row>
    <row r="61" spans="2:2">
      <c r="B61" s="565"/>
    </row>
    <row r="62" spans="2:2">
      <c r="B62" s="565"/>
    </row>
    <row r="63" spans="2:2">
      <c r="B63" s="565"/>
    </row>
    <row r="64" spans="2:2">
      <c r="B64" s="565"/>
    </row>
    <row r="65" spans="2:2">
      <c r="B65" s="565"/>
    </row>
    <row r="66" spans="2:2">
      <c r="B66" s="565"/>
    </row>
    <row r="67" spans="2:2">
      <c r="B67" s="565"/>
    </row>
    <row r="68" spans="2:2">
      <c r="B68" s="565"/>
    </row>
    <row r="69" spans="2:2">
      <c r="B69" s="565"/>
    </row>
    <row r="70" spans="2:2">
      <c r="B70" s="565"/>
    </row>
    <row r="71" spans="2:2">
      <c r="B71" s="565"/>
    </row>
    <row r="72" spans="2:2">
      <c r="B72" s="565"/>
    </row>
    <row r="73" spans="2:2">
      <c r="B73" s="565"/>
    </row>
    <row r="74" spans="2:2">
      <c r="B74" s="565"/>
    </row>
    <row r="75" spans="2:2">
      <c r="B75" s="565"/>
    </row>
    <row r="76" spans="2:2">
      <c r="B76" s="565"/>
    </row>
    <row r="77" spans="2:2">
      <c r="B77" s="565"/>
    </row>
    <row r="78" spans="2:2">
      <c r="B78" s="565"/>
    </row>
    <row r="79" spans="2:2">
      <c r="B79" s="565"/>
    </row>
    <row r="80" spans="2:2">
      <c r="B80" s="565"/>
    </row>
    <row r="81" spans="2:2">
      <c r="B81" s="565"/>
    </row>
    <row r="82" spans="2:2">
      <c r="B82" s="565"/>
    </row>
    <row r="83" spans="2:2">
      <c r="B83" s="565"/>
    </row>
    <row r="84" spans="2:2">
      <c r="B84" s="565"/>
    </row>
    <row r="85" spans="2:2">
      <c r="B85" s="565"/>
    </row>
    <row r="86" spans="2:2">
      <c r="B86" s="565"/>
    </row>
    <row r="87" spans="2:2">
      <c r="B87" s="565"/>
    </row>
    <row r="88" spans="2:2">
      <c r="B88" s="565"/>
    </row>
    <row r="89" spans="2:2">
      <c r="B89" s="565"/>
    </row>
    <row r="90" spans="2:2">
      <c r="B90" s="565"/>
    </row>
    <row r="91" spans="2:2">
      <c r="B91" s="565"/>
    </row>
    <row r="92" spans="2:2">
      <c r="B92" s="565"/>
    </row>
    <row r="93" spans="2:2">
      <c r="B93" s="565"/>
    </row>
    <row r="94" spans="2:2">
      <c r="B94" s="565"/>
    </row>
    <row r="95" spans="2:2">
      <c r="B95" s="565"/>
    </row>
    <row r="96" spans="2:2">
      <c r="B96" s="565"/>
    </row>
    <row r="97" spans="2:2">
      <c r="B97" s="565"/>
    </row>
    <row r="98" spans="2:2">
      <c r="B98" s="565"/>
    </row>
    <row r="99" spans="2:2">
      <c r="B99" s="565"/>
    </row>
    <row r="100" spans="2:2">
      <c r="B100" s="565"/>
    </row>
    <row r="101" spans="2:2">
      <c r="B101" s="565"/>
    </row>
    <row r="102" spans="2:2">
      <c r="B102" s="565"/>
    </row>
    <row r="103" spans="2:2">
      <c r="B103" s="565"/>
    </row>
    <row r="104" spans="2:2">
      <c r="B104" s="565"/>
    </row>
    <row r="105" spans="2:2">
      <c r="B105" s="565"/>
    </row>
    <row r="106" spans="2:2">
      <c r="B106" s="565"/>
    </row>
    <row r="107" spans="2:2">
      <c r="B107" s="565"/>
    </row>
    <row r="108" spans="2:2">
      <c r="B108" s="565"/>
    </row>
    <row r="109" spans="2:2">
      <c r="B109" s="565"/>
    </row>
  </sheetData>
  <mergeCells count="7">
    <mergeCell ref="B2:B3"/>
    <mergeCell ref="G5:H5"/>
    <mergeCell ref="G6:H6"/>
    <mergeCell ref="J22:N22"/>
    <mergeCell ref="J4:N4"/>
    <mergeCell ref="K10:M10"/>
    <mergeCell ref="K17:M17"/>
  </mergeCells>
  <conditionalFormatting sqref="F9:F15">
    <cfRule type="expression" dxfId="111" priority="1">
      <formula>F9=$F$8</formula>
    </cfRule>
  </conditionalFormatting>
  <hyperlinks>
    <hyperlink ref="B2:B3" location="Home!A1" display="HOME" xr:uid="{00000000-0004-0000-0600-000000000000}"/>
    <hyperlink ref="B5" location="'Documents Manager'!A1" display="DOCUMENTS MANAGER" xr:uid="{00000000-0004-0000-0600-000001000000}"/>
    <hyperlink ref="B25" location="Disclaimer!A1" display="Disclaimer" xr:uid="{00000000-0004-0000-0600-000003000000}"/>
    <hyperlink ref="B24" location="Help!A1" display="Help" xr:uid="{00000000-0004-0000-0600-000004000000}"/>
    <hyperlink ref="B22" location="'Source - Links'!A1" display="SOURCE / LINKS" xr:uid="{00000000-0004-0000-0600-000005000000}"/>
    <hyperlink ref="B9" location="'ASTM Calculator V.W.'!A1" display="• Calculator - Volume &amp; Weght" xr:uid="{A9584C41-BD3A-4DD2-B870-298B1CB130A4}"/>
    <hyperlink ref="B17" location="'ASTM Calc BL Outturn Compare'!A1" display="• BL Figures &amp; Outturn Compare" xr:uid="{C22CA7DB-8E7F-45B3-8B31-85B42C8D195D}"/>
    <hyperlink ref="B8" location="'ASTM Calculator V.W.'!A1" display="ASTM - CALCULATORS" xr:uid="{B8A29815-1AA4-4E34-9B61-9FA772362B0E}"/>
    <hyperlink ref="B6" location="'ASTM Vol. XI - Tab.1'!A1" display="ASTM TABLES" xr:uid="{00000000-0004-0000-0600-000006000000}"/>
    <hyperlink ref="B7" location="'ASTM Converter (Tab.1)'!A1" display="ASTM - CONVERTERS" xr:uid="{71E02EDE-1EF7-4F90-841E-B9325037C187}"/>
    <hyperlink ref="B13" location="'ASTM CP min CARGO Check'!A1" display="• Calculator - C/P min CARGO Check" xr:uid="{7A9B66D5-165F-4E18-8B3E-A60756FCBA01}"/>
    <hyperlink ref="B18" location="'Initial&amp;Max. Loading Rate'!A1" display="CARGO - CALCULATORS" xr:uid="{ED50BD71-57F8-4870-92FE-065225194209}"/>
    <hyperlink ref="B14" location="'ASTM Calculator Blended Cargo'!A1" display="• Calculator - Blended Cargo" xr:uid="{BA9B1EBD-AAAF-42C2-A49C-8E1C59EBB37A}"/>
    <hyperlink ref="B15" location="'ASTM Blended Cargo Prediction'!A1" display="• Calculator - Blended Cargo Prediction" xr:uid="{5F3E0D0E-E7D1-4403-983E-1BA363E7014F}"/>
    <hyperlink ref="B16" location="'ASTM Shore Line Displacement'!A1" display="• Calculator - Shore Line Displacement" xr:uid="{8882CE87-5905-4C38-99A6-5BE9753A4676}"/>
    <hyperlink ref="B10" location="'ASTM Calculator Volume T.E.(1)'!A1" display="• Calculator - Volume (Therm. expansion) " xr:uid="{34FD451C-9065-4276-9E0D-DA5EB478451D}"/>
    <hyperlink ref="B12" location="'ASTM Calculator Volume T.E.(3)'!A1" display="• Calculator - Volume (Therm. expan. 3) " xr:uid="{D694C9BB-CDE7-447C-ABB0-6F86B50DD0B7}"/>
    <hyperlink ref="B11" location="'ASTM Calculator Volume T.E.(2)'!A1" display="• Calculator - Volume (Therm. expan. 2) " xr:uid="{BFAB2282-2317-464C-B263-319422927C70}"/>
    <hyperlink ref="B20" location="'Guidelines - Definitions'!A1" display="GUIDELINES" xr:uid="{7D89E5E7-36FF-47BC-B41C-ACA0093ED566}"/>
    <hyperlink ref="B21" location="'Guidelines - Bottom Lines'!A1" display="GUIDELINES - CARGO" xr:uid="{5E3E4F60-5D72-4F48-9B8B-926C2F7D8C7B}"/>
  </hyperlinks>
  <pageMargins left="0.75" right="0.75" top="1" bottom="1" header="0.5" footer="0.5"/>
  <pageSetup paperSize="9"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600-000001000000}">
          <x14:formula1>
            <xm:f>'Calc ASTM V.W. Calculator'!$K$19:$K$26</xm:f>
          </x14:formula1>
          <xm:sqref>G8</xm:sqref>
        </x14:dataValidation>
        <x14:dataValidation type="list" allowBlank="1" showInputMessage="1" showErrorMessage="1" xr:uid="{00000000-0002-0000-0600-000004000000}">
          <x14:formula1>
            <xm:f>'Calc ASTM V.W. Calculator'!$K$130:$K$171</xm:f>
          </x14:formula1>
          <xm:sqref>K10</xm:sqref>
        </x14:dataValidation>
        <x14:dataValidation type="list" allowBlank="1" showInputMessage="1" showErrorMessage="1" xr:uid="{00000000-0002-0000-0600-000005000000}">
          <x14:formula1>
            <xm:f>'Calc ASTM V.W. Calculator'!$K$176:$K$218</xm:f>
          </x14:formula1>
          <xm:sqref>K17</xm:sqref>
        </x14:dataValidation>
        <x14:dataValidation type="list" allowBlank="1" showInputMessage="1" showErrorMessage="1" xr:uid="{00000000-0002-0000-0600-000000000000}">
          <x14:formula1>
            <xm:f>'Calc ASTM V.W. Calculator'!$C$8:$C$13</xm:f>
          </x14:formula1>
          <xm:sqref>F5</xm:sqref>
        </x14:dataValidation>
        <x14:dataValidation type="list" allowBlank="1" showInputMessage="1" showErrorMessage="1" xr:uid="{00000000-0002-0000-0600-000003000000}">
          <x14:formula1>
            <xm:f>'Calc ASTM V.W. Calculator'!$C$17:$C$18</xm:f>
          </x14:formula1>
          <xm:sqref>G7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53926-23B0-4282-B968-58D2C2FE96AE}">
  <sheetPr>
    <tabColor rgb="FF008080"/>
  </sheetPr>
  <dimension ref="A1:IZ104"/>
  <sheetViews>
    <sheetView showGridLines="0" showRowColHeaders="0" topLeftCell="B1" zoomScaleNormal="100" workbookViewId="0">
      <selection activeCell="B11" sqref="B11"/>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16.86328125" style="514" customWidth="1"/>
    <col min="6" max="6" width="13.6640625" style="514" customWidth="1"/>
    <col min="7" max="7" width="18" style="514" customWidth="1"/>
    <col min="8" max="8" width="15.86328125" style="514" customWidth="1"/>
    <col min="9" max="10" width="3.6640625" style="514" customWidth="1"/>
    <col min="11" max="11" width="22.6640625" style="514" customWidth="1"/>
    <col min="12" max="12" width="13.6640625" style="514" customWidth="1"/>
    <col min="13" max="13" width="11.86328125" style="514" customWidth="1"/>
    <col min="14" max="14" width="3.6640625" style="514" customWidth="1"/>
    <col min="15" max="41" width="9.1328125" style="514" customWidth="1"/>
    <col min="42" max="16384" width="9.1328125" style="514"/>
  </cols>
  <sheetData>
    <row r="1" spans="1:260" ht="12.75" customHeight="1">
      <c r="B1" s="612"/>
    </row>
    <row r="2" spans="1:260" s="1402" customFormat="1" ht="21" customHeight="1">
      <c r="A2" s="514"/>
      <c r="B2" s="3210" t="s">
        <v>0</v>
      </c>
      <c r="C2" s="514"/>
      <c r="D2" s="1399" t="s">
        <v>488</v>
      </c>
      <c r="E2" s="1400"/>
      <c r="F2" s="1401"/>
      <c r="G2" s="1401"/>
      <c r="H2" s="1401"/>
      <c r="I2" s="1401"/>
      <c r="J2" s="1401"/>
      <c r="K2" s="1401"/>
      <c r="L2" s="1401"/>
      <c r="M2" s="1401"/>
      <c r="O2" s="1401"/>
      <c r="P2" s="1401"/>
      <c r="Q2" s="1401"/>
      <c r="R2" s="1403"/>
      <c r="S2" s="1403"/>
      <c r="T2" s="1401"/>
      <c r="U2" s="1401"/>
      <c r="V2" s="1401"/>
      <c r="W2" s="1401"/>
      <c r="X2" s="1401"/>
      <c r="Y2" s="1401"/>
      <c r="Z2" s="1401"/>
      <c r="AA2" s="1401"/>
      <c r="AB2" s="1401"/>
      <c r="AC2" s="1401"/>
      <c r="AD2" s="1401"/>
      <c r="AE2" s="1401"/>
      <c r="AF2" s="1401"/>
      <c r="AG2" s="1401"/>
      <c r="AH2" s="1401"/>
      <c r="AI2" s="1401"/>
      <c r="AJ2" s="1401"/>
      <c r="AK2" s="1401"/>
      <c r="AL2" s="1401"/>
      <c r="AM2" s="1401"/>
      <c r="AN2" s="1401"/>
      <c r="AO2" s="1401"/>
      <c r="AP2" s="1401"/>
      <c r="AQ2" s="1401"/>
      <c r="AR2" s="1401"/>
      <c r="AS2" s="1401"/>
      <c r="AT2" s="1401"/>
      <c r="AU2" s="1401"/>
      <c r="AV2" s="1401"/>
      <c r="AW2" s="1401"/>
      <c r="AX2" s="1401"/>
      <c r="AY2" s="1401"/>
      <c r="AZ2" s="1401"/>
      <c r="BA2" s="1401"/>
      <c r="BB2" s="1401"/>
      <c r="BC2" s="1401"/>
      <c r="BD2" s="1401"/>
      <c r="BE2" s="1401"/>
      <c r="BF2" s="1401"/>
      <c r="BG2" s="1401"/>
      <c r="BH2" s="1401"/>
      <c r="BI2" s="1401"/>
      <c r="BJ2" s="1401"/>
      <c r="BK2" s="1401"/>
      <c r="BL2" s="1401"/>
      <c r="BM2" s="1401"/>
      <c r="BN2" s="1401"/>
      <c r="BO2" s="1401"/>
      <c r="BP2" s="1401"/>
      <c r="BQ2" s="1401"/>
      <c r="BR2" s="1401"/>
      <c r="BS2" s="1401"/>
      <c r="BT2" s="1401"/>
      <c r="BU2" s="1401"/>
      <c r="BV2" s="1401"/>
      <c r="BW2" s="1401"/>
      <c r="BX2" s="1401"/>
      <c r="BY2" s="1401"/>
      <c r="BZ2" s="1401"/>
      <c r="CA2" s="1401"/>
      <c r="CB2" s="1401"/>
      <c r="CC2" s="1401"/>
      <c r="CD2" s="1401"/>
      <c r="CE2" s="1401"/>
      <c r="CF2" s="1401"/>
      <c r="CG2" s="1401"/>
      <c r="CH2" s="1401"/>
      <c r="CI2" s="1401"/>
      <c r="CJ2" s="1401"/>
      <c r="CK2" s="1401"/>
      <c r="CL2" s="1401"/>
      <c r="CM2" s="1401"/>
      <c r="CN2" s="1401"/>
      <c r="CO2" s="1401"/>
      <c r="CP2" s="1401"/>
      <c r="CQ2" s="1401"/>
      <c r="CR2" s="1401"/>
      <c r="CS2" s="1401"/>
      <c r="CT2" s="1401"/>
      <c r="CU2" s="1401"/>
      <c r="CV2" s="1401"/>
      <c r="CW2" s="1401"/>
      <c r="CX2" s="1401"/>
      <c r="CY2" s="1401"/>
      <c r="CZ2" s="1401"/>
      <c r="DA2" s="1401"/>
      <c r="DB2" s="1401"/>
      <c r="DC2" s="1401"/>
      <c r="DD2" s="1401"/>
      <c r="DE2" s="1401"/>
      <c r="DF2" s="1401"/>
      <c r="DG2" s="1401"/>
      <c r="DH2" s="1401"/>
      <c r="DI2" s="1401"/>
      <c r="DJ2" s="1401"/>
      <c r="DK2" s="1401"/>
      <c r="DL2" s="1401"/>
      <c r="DM2" s="1401"/>
      <c r="DN2" s="1401"/>
      <c r="DO2" s="1401"/>
      <c r="DP2" s="1401"/>
      <c r="DQ2" s="1401"/>
      <c r="DR2" s="1401"/>
      <c r="DS2" s="1401"/>
      <c r="DT2" s="1401"/>
      <c r="DU2" s="1401"/>
      <c r="DV2" s="1401"/>
      <c r="DW2" s="1401"/>
      <c r="DX2" s="1401"/>
      <c r="DY2" s="1401"/>
      <c r="DZ2" s="1401"/>
      <c r="EA2" s="1401"/>
      <c r="EB2" s="1401"/>
      <c r="EC2" s="1401"/>
      <c r="ED2" s="1401"/>
      <c r="EE2" s="1401"/>
      <c r="EF2" s="1401"/>
      <c r="EG2" s="1401"/>
      <c r="EH2" s="1401"/>
      <c r="EI2" s="1401"/>
      <c r="EJ2" s="1401"/>
      <c r="EK2" s="1401"/>
      <c r="EL2" s="1401"/>
      <c r="EM2" s="1401"/>
      <c r="EN2" s="1401"/>
      <c r="EO2" s="1401"/>
      <c r="EP2" s="1401"/>
      <c r="EQ2" s="1401"/>
      <c r="ER2" s="1401"/>
      <c r="ES2" s="1401"/>
      <c r="ET2" s="1401"/>
      <c r="EU2" s="1401"/>
      <c r="EV2" s="1401"/>
      <c r="EW2" s="1401"/>
      <c r="EX2" s="1401"/>
      <c r="EY2" s="1401"/>
      <c r="EZ2" s="1401"/>
      <c r="FA2" s="1401"/>
      <c r="FB2" s="1401"/>
      <c r="FC2" s="1401"/>
      <c r="FD2" s="1401"/>
      <c r="FE2" s="1401"/>
      <c r="FF2" s="1401"/>
      <c r="FG2" s="1401"/>
      <c r="FH2" s="1401"/>
      <c r="FI2" s="1401"/>
      <c r="FJ2" s="1401"/>
      <c r="FK2" s="1401"/>
      <c r="FL2" s="1401"/>
      <c r="FM2" s="1401"/>
      <c r="FN2" s="1401"/>
      <c r="FO2" s="1401"/>
      <c r="FP2" s="1401"/>
      <c r="FQ2" s="1401"/>
      <c r="FR2" s="1401"/>
      <c r="FS2" s="1401"/>
      <c r="FT2" s="1401"/>
      <c r="FU2" s="1401"/>
      <c r="FV2" s="1401"/>
      <c r="FW2" s="1401"/>
      <c r="FX2" s="1401"/>
      <c r="FY2" s="1401"/>
      <c r="FZ2" s="1401"/>
      <c r="GA2" s="1401"/>
      <c r="GB2" s="1401"/>
      <c r="GC2" s="1401"/>
      <c r="GD2" s="1401"/>
      <c r="GE2" s="1401"/>
      <c r="GF2" s="1401"/>
      <c r="GG2" s="1401"/>
      <c r="GH2" s="1401"/>
      <c r="GI2" s="1401"/>
      <c r="GJ2" s="1401"/>
      <c r="GK2" s="1401"/>
      <c r="GL2" s="1401"/>
      <c r="GM2" s="1401"/>
      <c r="GN2" s="1401"/>
      <c r="GO2" s="1401"/>
      <c r="GP2" s="1401"/>
      <c r="GQ2" s="1401"/>
      <c r="GR2" s="1401"/>
      <c r="GS2" s="1401"/>
      <c r="GT2" s="1401"/>
      <c r="GU2" s="1401"/>
      <c r="GV2" s="1401"/>
      <c r="GW2" s="1401"/>
      <c r="GX2" s="1401"/>
      <c r="GY2" s="1401"/>
      <c r="GZ2" s="1401"/>
      <c r="HA2" s="1401"/>
      <c r="HB2" s="1401"/>
      <c r="HC2" s="1401"/>
      <c r="HD2" s="1401"/>
      <c r="HE2" s="1401"/>
      <c r="HF2" s="1401"/>
      <c r="HG2" s="1401"/>
      <c r="HH2" s="1401"/>
      <c r="HI2" s="1401"/>
      <c r="HJ2" s="1401"/>
      <c r="HK2" s="1401"/>
      <c r="HL2" s="1401"/>
      <c r="HM2" s="1401"/>
      <c r="HN2" s="1401"/>
      <c r="HO2" s="1401"/>
      <c r="HP2" s="1401"/>
      <c r="HQ2" s="1401"/>
      <c r="HR2" s="1401"/>
      <c r="HS2" s="1401"/>
      <c r="HT2" s="1401"/>
      <c r="HU2" s="1401"/>
      <c r="HV2" s="1401"/>
      <c r="HW2" s="1401"/>
      <c r="HX2" s="1401"/>
      <c r="HY2" s="1401"/>
      <c r="HZ2" s="1401"/>
      <c r="IA2" s="1401"/>
      <c r="IB2" s="1401"/>
      <c r="IC2" s="1401"/>
      <c r="ID2" s="1401"/>
      <c r="IE2" s="1401"/>
      <c r="IF2" s="1401"/>
      <c r="IG2" s="1401"/>
      <c r="IH2" s="1401"/>
      <c r="II2" s="1401"/>
      <c r="IJ2" s="1401"/>
      <c r="IK2" s="1401"/>
      <c r="IL2" s="1401"/>
      <c r="IM2" s="1401"/>
      <c r="IN2" s="1401"/>
      <c r="IO2" s="1401"/>
      <c r="IP2" s="1401"/>
      <c r="IQ2" s="1401"/>
      <c r="IR2" s="1401"/>
      <c r="IS2" s="1401"/>
      <c r="IT2" s="1401"/>
      <c r="IU2" s="1401"/>
      <c r="IV2" s="1401"/>
      <c r="IW2" s="1401"/>
      <c r="IX2" s="1401"/>
      <c r="IY2" s="1401"/>
      <c r="IZ2" s="1401"/>
    </row>
    <row r="3" spans="1:260" ht="21" customHeight="1">
      <c r="B3" s="3210"/>
      <c r="D3" s="619"/>
      <c r="E3" s="619"/>
      <c r="F3" s="619"/>
      <c r="G3" s="5"/>
      <c r="H3" s="5"/>
      <c r="I3" s="5"/>
      <c r="J3" s="5"/>
      <c r="K3" s="5"/>
      <c r="L3" s="5"/>
      <c r="M3" s="5"/>
      <c r="N3" s="5"/>
    </row>
    <row r="4" spans="1:260" ht="21" customHeight="1">
      <c r="B4" s="63"/>
      <c r="D4" s="644"/>
      <c r="E4" s="645"/>
      <c r="F4" s="646"/>
      <c r="G4" s="647"/>
      <c r="H4" s="647"/>
      <c r="I4" s="647"/>
      <c r="J4" s="3218" t="s">
        <v>335</v>
      </c>
      <c r="K4" s="3219"/>
      <c r="L4" s="3219"/>
      <c r="M4" s="3219"/>
      <c r="N4" s="3220"/>
    </row>
    <row r="5" spans="1:260" ht="21" customHeight="1">
      <c r="B5" s="62" t="s">
        <v>1</v>
      </c>
      <c r="D5" s="622"/>
      <c r="E5" s="788" t="s">
        <v>191</v>
      </c>
      <c r="F5" s="730" t="s">
        <v>194</v>
      </c>
      <c r="G5" s="3211" t="str">
        <f>IF(OR('Calc ASTM Volume Calculator'!B8=1,'Calc ASTM Volume Calculator'!B8=3,'Calc ASTM Volume Calculator'!B8=5)," Crude Oils",CONCATENATE(" Petroleum Products - ",'Calc ASTM Volume Calculator'!AB74))</f>
        <v xml:space="preserve"> Crude Oils</v>
      </c>
      <c r="H5" s="3212"/>
      <c r="I5" s="648"/>
      <c r="J5" s="742"/>
      <c r="K5" s="620"/>
      <c r="L5" s="620"/>
      <c r="M5" s="620"/>
      <c r="N5" s="621"/>
    </row>
    <row r="6" spans="1:260" ht="21" customHeight="1">
      <c r="B6" s="62" t="s">
        <v>452</v>
      </c>
      <c r="D6" s="622"/>
      <c r="E6" s="788" t="str">
        <f>IF('Calc ASTM Volume Calculator'!B8&gt;4,"Density",IF('Calc ASTM Volume Calculator'!B8&gt;2,"Relative Density","A.P.I."))</f>
        <v>A.P.I.</v>
      </c>
      <c r="F6" s="584">
        <v>31.3</v>
      </c>
      <c r="G6" s="3213" t="str">
        <f>IF(AND('Calc ASTM Volume Calculator'!B8&gt;4,F6&gt;2)," kg/M3 @15°C",IF(AND('Calc ASTM Volume Calculator'!B8&gt;4,F6&lt;2)," kg/L @15°C",IF('Calc ASTM Volume Calculator'!B8&gt;2," @60/60°F"," @60°F")))</f>
        <v xml:space="preserve"> @60°F</v>
      </c>
      <c r="H6" s="3214"/>
      <c r="I6" s="649"/>
      <c r="J6" s="650"/>
      <c r="K6" s="651" t="str">
        <f>CONCATENATE('Calc ASTM Volume Calculator'!C8," - ",'Calc ASTM Volume Calculator'!D8)</f>
        <v>Tab. 6A - API @60°F</v>
      </c>
      <c r="L6" s="651"/>
      <c r="M6" s="743">
        <f>'Calc ASTM Volume Calculator'!E8</f>
        <v>31.5</v>
      </c>
      <c r="N6" s="623"/>
    </row>
    <row r="7" spans="1:260" ht="21" customHeight="1">
      <c r="B7" s="62" t="s">
        <v>239</v>
      </c>
      <c r="D7" s="622"/>
      <c r="E7" s="788" t="s">
        <v>490</v>
      </c>
      <c r="F7" s="978">
        <v>110</v>
      </c>
      <c r="G7" s="835" t="s">
        <v>334</v>
      </c>
      <c r="H7" s="649"/>
      <c r="I7" s="652"/>
      <c r="J7" s="653"/>
      <c r="K7" s="654" t="str">
        <f>IF('Calc ASTM Volume Calculator'!B8&lt;5,CONCATENATE('Calc ASTM Volume Calculator'!C8," - Temp. °F"),CONCATENATE('Calc ASTM Volume Calculator'!C8," - Temp. °C"))</f>
        <v>Tab. 6A - Temp. °F</v>
      </c>
      <c r="L7" s="654"/>
      <c r="M7" s="743" t="str">
        <f>CONCATENATE('Calc ASTM Volume Calculator'!F8,"°")</f>
        <v>110°</v>
      </c>
      <c r="N7" s="623"/>
    </row>
    <row r="8" spans="1:260" ht="21" customHeight="1">
      <c r="B8" s="146" t="s">
        <v>1263</v>
      </c>
      <c r="D8" s="622"/>
      <c r="E8" s="788" t="s">
        <v>491</v>
      </c>
      <c r="F8" s="979">
        <v>100000</v>
      </c>
      <c r="G8" s="611" t="s">
        <v>199</v>
      </c>
      <c r="H8" s="729"/>
      <c r="I8" s="652"/>
      <c r="J8" s="653"/>
      <c r="K8" s="654" t="str">
        <f>CONCATENATE('Calc ASTM Volume Calculator'!C8," - VCF")</f>
        <v>Tab. 6A - VCF</v>
      </c>
      <c r="M8" s="937">
        <f>'Calc ASTM Volume Calculator'!G8</f>
        <v>0.97719999999999996</v>
      </c>
      <c r="N8" s="623"/>
    </row>
    <row r="9" spans="1:260" ht="21" customHeight="1">
      <c r="B9" s="145" t="s">
        <v>486</v>
      </c>
      <c r="D9" s="622"/>
      <c r="F9" s="717">
        <f>IF(G9=G8,F8,F8/M8)</f>
        <v>100000</v>
      </c>
      <c r="G9" s="655" t="str">
        <f>'Calc ASTM Volume Calculator'!B21</f>
        <v>BBLS @ Temp.</v>
      </c>
      <c r="H9" s="655"/>
      <c r="I9" s="656"/>
      <c r="J9" s="657"/>
      <c r="K9" s="654"/>
      <c r="L9" s="654"/>
      <c r="M9" s="789"/>
      <c r="N9" s="623"/>
    </row>
    <row r="10" spans="1:260" ht="21" customHeight="1">
      <c r="B10" s="147" t="s">
        <v>487</v>
      </c>
      <c r="D10" s="622"/>
      <c r="E10" s="715"/>
      <c r="F10" s="809">
        <f>IF(G10=G8,F8,F9*M8)</f>
        <v>97720</v>
      </c>
      <c r="G10" s="655" t="str">
        <f>'Calc ASTM Volume Calculator'!B22</f>
        <v>BBLS @ 60°F</v>
      </c>
      <c r="H10" s="655"/>
      <c r="I10" s="656"/>
      <c r="J10" s="981"/>
      <c r="K10" s="881"/>
      <c r="L10" s="881"/>
      <c r="M10" s="881"/>
      <c r="N10" s="630"/>
    </row>
    <row r="11" spans="1:260" ht="21" customHeight="1">
      <c r="B11" s="145" t="s">
        <v>1273</v>
      </c>
      <c r="D11" s="622"/>
      <c r="F11" s="717"/>
      <c r="G11" s="655"/>
      <c r="H11" s="655"/>
      <c r="I11" s="656"/>
      <c r="J11" s="657"/>
      <c r="K11" s="803"/>
      <c r="L11" s="803"/>
      <c r="M11" s="803"/>
      <c r="N11" s="623"/>
    </row>
    <row r="12" spans="1:260" ht="21" customHeight="1">
      <c r="B12" s="145" t="s">
        <v>1276</v>
      </c>
      <c r="D12" s="622"/>
      <c r="E12" s="788" t="s">
        <v>507</v>
      </c>
      <c r="F12" s="978">
        <v>125</v>
      </c>
      <c r="G12" s="980" t="str">
        <f>G7</f>
        <v xml:space="preserve"> °F</v>
      </c>
      <c r="H12" s="655"/>
      <c r="I12" s="656"/>
      <c r="J12" s="657"/>
      <c r="K12" s="654" t="str">
        <f>IF('Calc ASTM Volume Calculator'!B8&lt;5,CONCATENATE('Calc ASTM Volume Calculator'!C8," - Temp. °F"),CONCATENATE('Calc ASTM Volume Calculator'!C8," - Temp. °C"))</f>
        <v>Tab. 6A - Temp. °F</v>
      </c>
      <c r="L12" s="803"/>
      <c r="M12" s="743" t="str">
        <f>CONCATENATE('Calc ASTM Volume Calculator'!H8,"°")</f>
        <v>125°</v>
      </c>
      <c r="N12" s="623"/>
    </row>
    <row r="13" spans="1:260" ht="21" customHeight="1">
      <c r="B13" s="145" t="s">
        <v>1264</v>
      </c>
      <c r="D13" s="622"/>
      <c r="E13" s="879" t="s">
        <v>492</v>
      </c>
      <c r="F13" s="717">
        <f>F14/M13</f>
        <v>100711.12027208079</v>
      </c>
      <c r="G13" s="880" t="str">
        <f>G9</f>
        <v>BBLS @ Temp.</v>
      </c>
      <c r="H13" s="655"/>
      <c r="I13" s="623"/>
      <c r="J13" s="622"/>
      <c r="K13" s="654" t="str">
        <f>CONCATENATE('Calc ASTM Volume Calculator'!C8," - VCF")</f>
        <v>Tab. 6A - VCF</v>
      </c>
      <c r="M13" s="937">
        <f>'Calc ASTM Volume Calculator'!I8</f>
        <v>0.97030000000000005</v>
      </c>
      <c r="N13" s="623"/>
    </row>
    <row r="14" spans="1:260" ht="21" customHeight="1">
      <c r="B14" s="145" t="s">
        <v>1265</v>
      </c>
      <c r="D14" s="622"/>
      <c r="E14" s="660"/>
      <c r="F14" s="809">
        <f>F10</f>
        <v>97720</v>
      </c>
      <c r="G14" s="880" t="str">
        <f>G10</f>
        <v>BBLS @ 60°F</v>
      </c>
      <c r="H14" s="877"/>
      <c r="I14" s="878"/>
      <c r="J14" s="622"/>
      <c r="N14" s="623"/>
    </row>
    <row r="15" spans="1:260" ht="21" customHeight="1">
      <c r="B15" s="145" t="s">
        <v>1266</v>
      </c>
      <c r="D15" s="622"/>
      <c r="F15" s="717"/>
      <c r="G15" s="880"/>
      <c r="H15" s="803"/>
      <c r="I15" s="878"/>
      <c r="J15" s="622"/>
      <c r="K15" s="654"/>
      <c r="M15" s="937"/>
      <c r="N15" s="623"/>
    </row>
    <row r="16" spans="1:260" ht="21" customHeight="1">
      <c r="B16" s="145" t="s">
        <v>1267</v>
      </c>
      <c r="D16" s="876"/>
      <c r="E16" s="982" t="s">
        <v>508</v>
      </c>
      <c r="F16" s="2837">
        <f>F13-F9</f>
        <v>711.12027208079235</v>
      </c>
      <c r="G16" s="983" t="str">
        <f>G9</f>
        <v>BBLS @ Temp.</v>
      </c>
      <c r="I16" s="878"/>
      <c r="J16" s="622"/>
      <c r="N16" s="623"/>
    </row>
    <row r="17" spans="2:14" ht="21" customHeight="1">
      <c r="B17" s="145" t="s">
        <v>556</v>
      </c>
      <c r="D17" s="622"/>
      <c r="I17" s="878"/>
      <c r="J17" s="622"/>
      <c r="N17" s="623"/>
    </row>
    <row r="18" spans="2:14" ht="21" customHeight="1">
      <c r="B18" s="62" t="s">
        <v>557</v>
      </c>
      <c r="D18" s="622"/>
      <c r="E18" s="660"/>
      <c r="F18" s="717"/>
      <c r="G18" s="880"/>
      <c r="H18" s="628"/>
      <c r="I18" s="878"/>
      <c r="K18" s="803"/>
      <c r="L18" s="803"/>
      <c r="M18" s="803"/>
      <c r="N18" s="623"/>
    </row>
    <row r="19" spans="2:14" ht="21" customHeight="1">
      <c r="B19" s="62" t="s">
        <v>238</v>
      </c>
      <c r="D19" s="622"/>
      <c r="E19" s="660"/>
      <c r="F19" s="717"/>
      <c r="G19" s="880"/>
      <c r="H19" s="628"/>
      <c r="I19" s="878"/>
      <c r="K19" s="803"/>
      <c r="L19" s="803"/>
      <c r="M19" s="803"/>
      <c r="N19" s="623"/>
    </row>
    <row r="20" spans="2:14" ht="21" customHeight="1">
      <c r="B20" s="62" t="s">
        <v>1652</v>
      </c>
      <c r="D20" s="622"/>
      <c r="F20" s="882"/>
      <c r="G20" s="882"/>
      <c r="H20" s="882"/>
      <c r="I20" s="883"/>
      <c r="K20" s="803"/>
      <c r="L20" s="803"/>
      <c r="M20" s="803"/>
      <c r="N20" s="623"/>
    </row>
    <row r="21" spans="2:14" ht="21" customHeight="1">
      <c r="B21" s="62" t="s">
        <v>1653</v>
      </c>
      <c r="D21" s="624"/>
      <c r="E21" s="625"/>
      <c r="F21" s="2357" t="s">
        <v>1186</v>
      </c>
      <c r="G21" s="625"/>
      <c r="H21" s="625"/>
      <c r="I21" s="630"/>
      <c r="J21" s="624"/>
      <c r="K21" s="625"/>
      <c r="L21" s="625"/>
      <c r="M21" s="881"/>
      <c r="N21" s="630"/>
    </row>
    <row r="22" spans="2:14" ht="21" customHeight="1">
      <c r="B22" s="62" t="s">
        <v>40</v>
      </c>
      <c r="D22" s="620"/>
      <c r="E22" s="620"/>
      <c r="F22" s="1067"/>
      <c r="G22" s="620"/>
      <c r="H22" s="620"/>
      <c r="I22" s="620"/>
      <c r="J22" s="620"/>
      <c r="K22" s="884"/>
      <c r="L22" s="884"/>
      <c r="M22" s="884"/>
      <c r="N22" s="620"/>
    </row>
    <row r="23" spans="2:14" ht="21" customHeight="1">
      <c r="B23" s="62" t="s">
        <v>238</v>
      </c>
      <c r="J23" s="885"/>
      <c r="K23" s="885"/>
      <c r="L23" s="885"/>
      <c r="M23" s="885"/>
      <c r="N23" s="885"/>
    </row>
    <row r="24" spans="2:14" ht="21" customHeight="1">
      <c r="B24" s="62" t="s">
        <v>39</v>
      </c>
      <c r="J24" s="675"/>
      <c r="K24" s="675"/>
      <c r="L24" s="675"/>
      <c r="M24" s="675"/>
      <c r="N24" s="675"/>
    </row>
    <row r="25" spans="2:14" ht="21" customHeight="1">
      <c r="B25" s="62" t="s">
        <v>38</v>
      </c>
    </row>
    <row r="26" spans="2:14" ht="21" customHeight="1">
      <c r="B26" s="62"/>
    </row>
    <row r="27" spans="2:14" ht="21" customHeight="1">
      <c r="B27" s="62"/>
    </row>
    <row r="28" spans="2:14" ht="21" customHeight="1">
      <c r="B28" s="565"/>
    </row>
    <row r="29" spans="2:14" ht="21" customHeight="1">
      <c r="B29" s="565"/>
    </row>
    <row r="30" spans="2:14" ht="21" customHeight="1">
      <c r="B30" s="565"/>
    </row>
    <row r="31" spans="2:14" ht="21" customHeight="1">
      <c r="B31" s="565"/>
    </row>
    <row r="32" spans="2:14" ht="21" customHeight="1">
      <c r="B32" s="565"/>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ht="21" customHeight="1">
      <c r="B42" s="565"/>
    </row>
    <row r="43" spans="2:2" ht="21" customHeight="1">
      <c r="B43" s="565"/>
    </row>
    <row r="44" spans="2:2" ht="21" customHeight="1">
      <c r="B44" s="565"/>
    </row>
    <row r="45" spans="2:2" ht="21" customHeight="1">
      <c r="B45" s="565"/>
    </row>
    <row r="46" spans="2:2" ht="21" customHeight="1">
      <c r="B46" s="565"/>
    </row>
    <row r="47" spans="2:2">
      <c r="B47" s="565"/>
    </row>
    <row r="48" spans="2:2">
      <c r="B48" s="565"/>
    </row>
    <row r="49" spans="2:2">
      <c r="B49" s="565"/>
    </row>
    <row r="50" spans="2:2">
      <c r="B50" s="565"/>
    </row>
    <row r="51" spans="2:2">
      <c r="B51" s="565"/>
    </row>
    <row r="52" spans="2:2">
      <c r="B52" s="565"/>
    </row>
    <row r="53" spans="2:2">
      <c r="B53" s="565"/>
    </row>
    <row r="54" spans="2:2">
      <c r="B54" s="565"/>
    </row>
    <row r="55" spans="2:2">
      <c r="B55" s="565"/>
    </row>
    <row r="56" spans="2:2">
      <c r="B56" s="565"/>
    </row>
    <row r="57" spans="2:2">
      <c r="B57" s="565"/>
    </row>
    <row r="58" spans="2:2">
      <c r="B58" s="565"/>
    </row>
    <row r="59" spans="2:2">
      <c r="B59" s="565"/>
    </row>
    <row r="60" spans="2:2">
      <c r="B60" s="565"/>
    </row>
    <row r="61" spans="2:2">
      <c r="B61" s="565"/>
    </row>
    <row r="62" spans="2:2">
      <c r="B62" s="565"/>
    </row>
    <row r="63" spans="2:2">
      <c r="B63" s="565"/>
    </row>
    <row r="64" spans="2:2">
      <c r="B64" s="565"/>
    </row>
    <row r="65" spans="2:2">
      <c r="B65" s="565"/>
    </row>
    <row r="66" spans="2:2">
      <c r="B66" s="565"/>
    </row>
    <row r="67" spans="2:2">
      <c r="B67" s="565"/>
    </row>
    <row r="68" spans="2:2">
      <c r="B68" s="565"/>
    </row>
    <row r="69" spans="2:2">
      <c r="B69" s="565"/>
    </row>
    <row r="70" spans="2:2">
      <c r="B70" s="565"/>
    </row>
    <row r="71" spans="2:2">
      <c r="B71" s="565"/>
    </row>
    <row r="72" spans="2:2">
      <c r="B72" s="565"/>
    </row>
    <row r="73" spans="2:2">
      <c r="B73" s="565"/>
    </row>
    <row r="74" spans="2:2">
      <c r="B74" s="565"/>
    </row>
    <row r="75" spans="2:2">
      <c r="B75" s="565"/>
    </row>
    <row r="76" spans="2:2">
      <c r="B76" s="565"/>
    </row>
    <row r="77" spans="2:2">
      <c r="B77" s="565"/>
    </row>
    <row r="78" spans="2:2">
      <c r="B78" s="565"/>
    </row>
    <row r="79" spans="2:2">
      <c r="B79" s="565"/>
    </row>
    <row r="80" spans="2:2">
      <c r="B80" s="565"/>
    </row>
    <row r="81" spans="2:2">
      <c r="B81" s="565"/>
    </row>
    <row r="82" spans="2:2">
      <c r="B82" s="565"/>
    </row>
    <row r="83" spans="2:2">
      <c r="B83" s="565"/>
    </row>
    <row r="84" spans="2:2">
      <c r="B84" s="565"/>
    </row>
    <row r="85" spans="2:2">
      <c r="B85" s="565"/>
    </row>
    <row r="86" spans="2:2">
      <c r="B86" s="565"/>
    </row>
    <row r="87" spans="2:2">
      <c r="B87" s="565"/>
    </row>
    <row r="88" spans="2:2">
      <c r="B88" s="565"/>
    </row>
    <row r="89" spans="2:2">
      <c r="B89" s="565"/>
    </row>
    <row r="90" spans="2:2">
      <c r="B90" s="565"/>
    </row>
    <row r="91" spans="2:2">
      <c r="B91" s="565"/>
    </row>
    <row r="92" spans="2:2">
      <c r="B92" s="565"/>
    </row>
    <row r="93" spans="2:2">
      <c r="B93" s="565"/>
    </row>
    <row r="94" spans="2:2">
      <c r="B94" s="565"/>
    </row>
    <row r="95" spans="2:2">
      <c r="B95" s="565"/>
    </row>
    <row r="96" spans="2:2">
      <c r="B96" s="565"/>
    </row>
    <row r="97" spans="2:2">
      <c r="B97" s="565"/>
    </row>
    <row r="98" spans="2:2">
      <c r="B98" s="565"/>
    </row>
    <row r="99" spans="2:2">
      <c r="B99" s="565"/>
    </row>
    <row r="100" spans="2:2">
      <c r="B100" s="565"/>
    </row>
    <row r="101" spans="2:2">
      <c r="B101" s="565"/>
    </row>
    <row r="102" spans="2:2">
      <c r="B102" s="565"/>
    </row>
    <row r="103" spans="2:2">
      <c r="B103" s="565"/>
    </row>
    <row r="104" spans="2:2">
      <c r="B104" s="565"/>
    </row>
  </sheetData>
  <mergeCells count="4">
    <mergeCell ref="B2:B3"/>
    <mergeCell ref="J4:N4"/>
    <mergeCell ref="G5:H5"/>
    <mergeCell ref="G6:H6"/>
  </mergeCells>
  <conditionalFormatting sqref="F9:F11">
    <cfRule type="expression" dxfId="110" priority="2">
      <formula>F9=$F$8</formula>
    </cfRule>
  </conditionalFormatting>
  <hyperlinks>
    <hyperlink ref="B2:B3" location="Home!A1" display="HOME" xr:uid="{5C238925-3B06-42D9-87E8-F066471991B6}"/>
    <hyperlink ref="B5" location="'Documents Manager'!A1" display="DOCUMENTS MANAGER" xr:uid="{EF2B8A59-186F-4498-84BF-736349BFC603}"/>
    <hyperlink ref="B25" location="Disclaimer!A1" display="Disclaimer" xr:uid="{166B67A1-A257-4CFA-9EC0-D808EE4C0CD4}"/>
    <hyperlink ref="B24" location="Help!A1" display="Help" xr:uid="{DB55DEA0-7B0C-44D5-A70A-10110635FD98}"/>
    <hyperlink ref="B22" location="'Source - Links'!A1" display="SOURCE / LINKS" xr:uid="{56A26552-1E6D-4248-9BA9-B2F5547FF362}"/>
    <hyperlink ref="B9" location="'ASTM Calculator V.W.'!A1" display="• Calculator - Volume &amp; Weght" xr:uid="{F9E6D1C2-84C2-462C-BE03-F7FE6C6B74DD}"/>
    <hyperlink ref="B17" location="'ASTM Calc BL Outturn Compare'!A1" display="• BL Figures &amp; Outturn Compare" xr:uid="{9EDF8935-09D1-417C-BE31-12A2282CC2F8}"/>
    <hyperlink ref="B8" location="'ASTM Calculator V.W.'!A1" display="ASTM - CALCULATORS" xr:uid="{976B853C-7527-43BD-A191-D0C5BE961229}"/>
    <hyperlink ref="B6" location="'ASTM Vol. XI - Tab.1'!A1" display="ASTM TABLES" xr:uid="{D1BA76C1-0C7C-4F35-A8A1-64A8458F513A}"/>
    <hyperlink ref="B7" location="'ASTM Converter (Tab.1)'!A1" display="ASTM - CONVERTERS" xr:uid="{F042C983-77F4-4786-A44B-C7B9DACE4E67}"/>
    <hyperlink ref="B13" location="'ASTM CP min CARGO Check'!A1" display="• Calculator - C/P min CARGO Check" xr:uid="{564A37B3-B1C0-4D7C-BC5C-4C5F919E14FD}"/>
    <hyperlink ref="B18" location="'Initial&amp;Max. Loading Rate'!A1" display="CARGO - CALCULATORS" xr:uid="{F88BDF6C-99F9-4BAE-9AC3-C3AB20170BB0}"/>
    <hyperlink ref="B14" location="'ASTM Calculator Blended Cargo'!A1" display="• Calculator - Blended Cargo" xr:uid="{B1B2269E-EC0C-4E1F-9E55-5D210D1A4133}"/>
    <hyperlink ref="B15" location="'ASTM Blended Cargo Prediction'!A1" display="• Calculator - Blended Cargo Prediction" xr:uid="{2651F2B4-201E-44FD-A6A3-31079DF0B6C9}"/>
    <hyperlink ref="B16" location="'ASTM Shore Line Displacement'!A1" display="• Calculator - Shore Line Displacement" xr:uid="{4F878B61-BB91-4D96-AE15-50E6EAC4D378}"/>
    <hyperlink ref="B10" location="'ASTM Calculator Volume T.E.(1)'!A1" display="• Calculator - Volume (Therm. expansion) " xr:uid="{F258ADF4-560C-4FA8-87B3-B38203323BDE}"/>
    <hyperlink ref="B12" location="'ASTM Calculator Volume T.E.(3)'!A1" display="• Calculator - Volume (Therm. expan. 3) " xr:uid="{C271CA6C-F117-472B-8F7D-CD59E675F69F}"/>
    <hyperlink ref="B11" location="'ASTM Calculator Volume T.E.(2)'!A1" display="• Calculator - Volume (Therm. expan. 2) " xr:uid="{7F9D06D2-94AB-451A-943B-B501291EB16F}"/>
    <hyperlink ref="F21" location="'Calc ASTM Volume Calculator'!A1" display="Go to Calc" xr:uid="{7B7A4473-2225-4FE1-8939-E655EF3EFD32}"/>
    <hyperlink ref="B20" location="'Guidelines - Definitions'!A1" display="GUIDELINES" xr:uid="{37541032-6C8A-4EBD-9D47-376983B80AC5}"/>
    <hyperlink ref="B21" location="'Guidelines - Bottom Lines'!A1" display="GUIDELINES - CARGO" xr:uid="{B6740F6F-F0C5-427E-BF5C-D252A7C3D19B}"/>
  </hyperlinks>
  <pageMargins left="0.75" right="0.75" top="1" bottom="1" header="0.5" footer="0.5"/>
  <pageSetup paperSize="9" orientation="portrait" horizontalDpi="1200" verticalDpi="1200" r:id="rId1"/>
  <headerFooter alignWithMargins="0"/>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16CEDC90-C19A-4AFD-BFA4-1F9DB1848B52}">
          <x14:formula1>
            <xm:f>'Calc ASTM Volume Calculator'!$C$9:$C$14</xm:f>
          </x14:formula1>
          <xm:sqref>F5</xm:sqref>
        </x14:dataValidation>
        <x14:dataValidation type="list" allowBlank="1" showInputMessage="1" showErrorMessage="1" xr:uid="{9BFA95E5-4BF2-4CE2-8CE8-1B949ABED183}">
          <x14:formula1>
            <xm:f>'Calc ASTM Volume Calculator'!$L$19:$L$26</xm:f>
          </x14:formula1>
          <xm:sqref>G8</xm:sqref>
        </x14:dataValidation>
        <x14:dataValidation type="list" allowBlank="1" showInputMessage="1" showErrorMessage="1" xr:uid="{B51C2F36-977D-4854-9D93-C7B88CE8EF6A}">
          <x14:formula1>
            <xm:f>'Calc ASTM V.W. Calculator'!$C$17:$C$18</xm:f>
          </x14:formula1>
          <xm:sqref>G7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78454-020B-4896-838E-4457BBA21F4C}">
  <sheetPr>
    <tabColor rgb="FF008080"/>
  </sheetPr>
  <dimension ref="A1:JF972"/>
  <sheetViews>
    <sheetView showGridLines="0" showRowColHeaders="0" topLeftCell="B1" zoomScaleNormal="100" workbookViewId="0">
      <selection activeCell="B9" sqref="B9"/>
    </sheetView>
  </sheetViews>
  <sheetFormatPr defaultColWidth="9.1328125" defaultRowHeight="12.75"/>
  <cols>
    <col min="1" max="1" width="0" style="514" hidden="1" customWidth="1"/>
    <col min="2" max="2" width="36.6640625" style="631" customWidth="1"/>
    <col min="3" max="3" width="2.6640625" style="514" customWidth="1"/>
    <col min="4" max="5" width="3.6640625" style="514" customWidth="1"/>
    <col min="6" max="6" width="22.6640625" style="514" customWidth="1"/>
    <col min="7" max="7" width="17.796875" style="514" customWidth="1"/>
    <col min="8" max="8" width="10.796875" style="514" customWidth="1"/>
    <col min="9" max="9" width="10.53125" style="514" bestFit="1" customWidth="1"/>
    <col min="10" max="10" width="10.796875" style="514" customWidth="1"/>
    <col min="11" max="11" width="3.6640625" style="514" customWidth="1"/>
    <col min="12" max="12" width="22.6640625" style="514" customWidth="1"/>
    <col min="13" max="13" width="13.6640625" style="514" customWidth="1"/>
    <col min="14" max="14" width="11.86328125" style="514" customWidth="1"/>
    <col min="15" max="15" width="12.86328125" style="514" customWidth="1"/>
    <col min="16" max="19" width="9.1328125" style="514" customWidth="1"/>
    <col min="20" max="20" width="13.46484375" style="514" bestFit="1" customWidth="1"/>
    <col min="21" max="27" width="9.1328125" style="514" customWidth="1"/>
    <col min="28" max="28" width="2.796875" style="514" customWidth="1"/>
    <col min="29" max="29" width="6.796875" style="514" customWidth="1"/>
    <col min="30" max="30" width="9.33203125" style="514" customWidth="1"/>
    <col min="31" max="31" width="12.1328125" style="514" customWidth="1"/>
    <col min="32" max="32" width="8.46484375" style="514" customWidth="1"/>
    <col min="33" max="33" width="2.796875" style="514" customWidth="1"/>
    <col min="34" max="34" width="6.796875" style="514" customWidth="1"/>
    <col min="35" max="35" width="14.53125" style="514" customWidth="1"/>
    <col min="36" max="36" width="2.796875" style="514" customWidth="1"/>
    <col min="37" max="37" width="13.46484375" style="514" bestFit="1" customWidth="1"/>
    <col min="38" max="38" width="11.796875" style="514" bestFit="1" customWidth="1"/>
    <col min="39" max="39" width="9.33203125" style="514" customWidth="1"/>
    <col min="40" max="40" width="14.796875" style="514" customWidth="1"/>
    <col min="41" max="41" width="10.6640625" style="514" customWidth="1"/>
    <col min="42" max="42" width="12" style="514" bestFit="1" customWidth="1"/>
    <col min="43" max="43" width="14.46484375" style="514" bestFit="1" customWidth="1"/>
    <col min="44" max="44" width="16" style="514" bestFit="1" customWidth="1"/>
    <col min="45" max="46" width="15.6640625" style="514" bestFit="1" customWidth="1"/>
    <col min="47" max="47" width="12.53125" style="514" bestFit="1" customWidth="1"/>
    <col min="48" max="48" width="14.33203125" style="514" customWidth="1"/>
    <col min="49" max="49" width="11.53125" style="514" customWidth="1"/>
    <col min="50" max="50" width="16.796875" style="514" customWidth="1"/>
    <col min="51" max="51" width="17.53125" style="514" customWidth="1"/>
    <col min="52" max="52" width="12.6640625" style="514" bestFit="1" customWidth="1"/>
    <col min="53" max="53" width="18.1328125" style="514" bestFit="1" customWidth="1"/>
    <col min="54" max="54" width="9.1328125" style="514"/>
    <col min="55" max="55" width="9" style="514" customWidth="1"/>
    <col min="56" max="56" width="13.6640625" style="514" customWidth="1"/>
    <col min="57" max="57" width="17.19921875" style="514" customWidth="1"/>
    <col min="58" max="58" width="2.796875" style="514" customWidth="1"/>
    <col min="59" max="61" width="9.1328125" style="514"/>
    <col min="62" max="62" width="2.796875" style="514" customWidth="1"/>
    <col min="63" max="64" width="9.1328125" style="514"/>
    <col min="65" max="65" width="9.53125" style="514" bestFit="1" customWidth="1"/>
    <col min="66" max="66" width="2.796875" style="514" customWidth="1"/>
    <col min="67" max="69" width="9.1328125" style="514"/>
    <col min="70" max="70" width="2.796875" style="514" customWidth="1"/>
    <col min="71" max="16384" width="9.1328125" style="514"/>
  </cols>
  <sheetData>
    <row r="1" spans="1:266" ht="12.75" customHeight="1">
      <c r="B1" s="612"/>
    </row>
    <row r="2" spans="1:266" s="1402" customFormat="1" ht="21" customHeight="1">
      <c r="A2" s="514"/>
      <c r="B2" s="3210" t="s">
        <v>0</v>
      </c>
      <c r="C2" s="514"/>
      <c r="D2" s="1399" t="s">
        <v>1272</v>
      </c>
      <c r="E2" s="1400"/>
      <c r="F2" s="1400"/>
      <c r="G2" s="1401"/>
      <c r="H2" s="1401"/>
      <c r="I2" s="1401"/>
      <c r="J2" s="1401"/>
      <c r="K2" s="2819"/>
      <c r="L2" s="2819"/>
      <c r="M2" s="1401"/>
      <c r="N2" s="1401"/>
      <c r="P2" s="1401"/>
      <c r="Q2" s="1401"/>
      <c r="R2" s="1401"/>
      <c r="S2" s="1403"/>
      <c r="T2" s="1403"/>
      <c r="U2" s="1401"/>
      <c r="V2" s="1401"/>
      <c r="W2" s="1401"/>
      <c r="X2" s="1401"/>
      <c r="Y2" s="1401"/>
      <c r="Z2" s="1401"/>
      <c r="AA2" s="1401"/>
      <c r="AB2" s="1401"/>
      <c r="AC2" s="1401"/>
      <c r="AD2" s="1401"/>
      <c r="AE2" s="1401"/>
      <c r="AF2" s="1401"/>
      <c r="AG2" s="1401"/>
      <c r="AH2" s="1401"/>
      <c r="AI2" s="1401"/>
      <c r="AJ2" s="1401"/>
      <c r="AK2" s="1401"/>
      <c r="AL2" s="1401"/>
      <c r="AM2" s="1401"/>
      <c r="AN2" s="1401"/>
      <c r="AO2" s="1401"/>
      <c r="AP2" s="1401"/>
      <c r="AQ2" s="1401"/>
      <c r="AR2" s="1401"/>
      <c r="AS2" s="1401"/>
      <c r="AT2" s="1401"/>
      <c r="AU2" s="1401"/>
      <c r="AV2" s="1401"/>
      <c r="AW2" s="1401"/>
      <c r="AX2" s="1401"/>
      <c r="AY2" s="1401"/>
      <c r="AZ2" s="1401"/>
      <c r="BA2" s="1401"/>
      <c r="BB2" s="1401"/>
      <c r="BC2" s="1401"/>
      <c r="BD2" s="1401"/>
      <c r="BE2" s="1401"/>
      <c r="BF2" s="1401"/>
      <c r="BG2" s="1401"/>
      <c r="BH2" s="1401"/>
      <c r="BI2" s="1401"/>
      <c r="BJ2" s="1401"/>
      <c r="BK2" s="1401"/>
      <c r="BL2" s="1401"/>
      <c r="BM2" s="1401"/>
      <c r="BN2" s="1401"/>
      <c r="BO2" s="1401"/>
      <c r="BP2" s="1401"/>
      <c r="BQ2" s="1401"/>
      <c r="BR2" s="1401"/>
      <c r="BS2" s="1401"/>
      <c r="BT2" s="1401"/>
      <c r="BU2" s="1401"/>
      <c r="BV2" s="1401"/>
      <c r="BW2" s="1401"/>
      <c r="BX2" s="1401"/>
      <c r="BY2" s="1401"/>
      <c r="BZ2" s="1401"/>
      <c r="CA2" s="1401"/>
      <c r="CB2" s="1401"/>
      <c r="CC2" s="1401"/>
      <c r="CD2" s="1401"/>
      <c r="CE2" s="1401"/>
      <c r="CF2" s="1401"/>
      <c r="CG2" s="1401"/>
      <c r="CH2" s="1401"/>
      <c r="CI2" s="1401"/>
      <c r="CJ2" s="1401"/>
      <c r="CK2" s="1401"/>
      <c r="CL2" s="1401"/>
      <c r="CM2" s="1401"/>
      <c r="CN2" s="1401"/>
      <c r="CO2" s="1401"/>
      <c r="CP2" s="1401"/>
      <c r="CQ2" s="1401"/>
      <c r="CR2" s="1401"/>
      <c r="CS2" s="1401"/>
      <c r="CT2" s="1401"/>
      <c r="CU2" s="1401"/>
      <c r="CV2" s="1401"/>
      <c r="CW2" s="1401"/>
      <c r="CX2" s="1401"/>
      <c r="CY2" s="1401"/>
      <c r="CZ2" s="1401"/>
      <c r="DA2" s="1401"/>
      <c r="DB2" s="1401"/>
      <c r="DC2" s="1401"/>
      <c r="DD2" s="1401"/>
      <c r="DE2" s="1401"/>
      <c r="DF2" s="1401"/>
      <c r="DG2" s="1401"/>
      <c r="DH2" s="1401"/>
      <c r="DI2" s="1401"/>
      <c r="DJ2" s="1401"/>
      <c r="DK2" s="1401"/>
      <c r="DL2" s="1401"/>
      <c r="DM2" s="1401"/>
      <c r="DN2" s="1401"/>
      <c r="DO2" s="1401"/>
      <c r="DP2" s="1401"/>
      <c r="DQ2" s="1401"/>
      <c r="DR2" s="1401"/>
      <c r="DS2" s="1401"/>
      <c r="DT2" s="1401"/>
      <c r="DU2" s="1401"/>
      <c r="DV2" s="1401"/>
      <c r="DW2" s="1401"/>
      <c r="DX2" s="1401"/>
      <c r="DY2" s="1401"/>
      <c r="DZ2" s="1401"/>
      <c r="EA2" s="1401"/>
      <c r="EB2" s="1401"/>
      <c r="EC2" s="1401"/>
      <c r="ED2" s="1401"/>
      <c r="EE2" s="1401"/>
      <c r="EF2" s="1401"/>
      <c r="EG2" s="1401"/>
      <c r="EH2" s="1401"/>
      <c r="EI2" s="1401"/>
      <c r="EJ2" s="1401"/>
      <c r="EK2" s="1401"/>
      <c r="EL2" s="1401"/>
      <c r="EM2" s="1401"/>
      <c r="EN2" s="1401"/>
      <c r="EO2" s="1401"/>
      <c r="EP2" s="1401"/>
      <c r="EQ2" s="1401"/>
      <c r="ER2" s="1401"/>
      <c r="ES2" s="1401"/>
      <c r="ET2" s="1401"/>
      <c r="EU2" s="1401"/>
      <c r="EV2" s="1401"/>
      <c r="EW2" s="1401"/>
      <c r="EX2" s="1401"/>
      <c r="EY2" s="1401"/>
      <c r="EZ2" s="1401"/>
      <c r="FA2" s="1401"/>
      <c r="FB2" s="1401"/>
      <c r="FC2" s="1401"/>
      <c r="FD2" s="1401"/>
      <c r="FE2" s="1401"/>
      <c r="FF2" s="1401"/>
      <c r="FG2" s="1401"/>
      <c r="FH2" s="1401"/>
      <c r="FI2" s="1401"/>
      <c r="FJ2" s="1401"/>
      <c r="FK2" s="1401"/>
      <c r="FL2" s="1401"/>
      <c r="FM2" s="1401"/>
      <c r="FN2" s="1401"/>
      <c r="FO2" s="1401"/>
      <c r="FP2" s="1401"/>
      <c r="FQ2" s="1401"/>
      <c r="FR2" s="1401"/>
      <c r="FS2" s="1401"/>
      <c r="FT2" s="1401"/>
      <c r="FU2" s="1401"/>
      <c r="FV2" s="1401"/>
      <c r="FW2" s="1401"/>
      <c r="FX2" s="1401"/>
      <c r="FY2" s="1401"/>
      <c r="FZ2" s="1401"/>
      <c r="GA2" s="1401"/>
      <c r="GB2" s="1401"/>
      <c r="GC2" s="1401"/>
      <c r="GD2" s="1401"/>
      <c r="GE2" s="1401"/>
      <c r="GF2" s="1401"/>
      <c r="GG2" s="1401"/>
      <c r="GH2" s="1401"/>
      <c r="GI2" s="1401"/>
      <c r="GJ2" s="1401"/>
      <c r="GK2" s="1401"/>
      <c r="GL2" s="1401"/>
      <c r="GM2" s="1401"/>
      <c r="GN2" s="1401"/>
      <c r="GO2" s="1401"/>
      <c r="GP2" s="1401"/>
      <c r="GQ2" s="1401"/>
      <c r="GR2" s="1401"/>
      <c r="GS2" s="1401"/>
      <c r="GT2" s="1401"/>
      <c r="GU2" s="1401"/>
      <c r="GV2" s="1401"/>
      <c r="GW2" s="1401"/>
      <c r="GX2" s="1401"/>
      <c r="GY2" s="1401"/>
      <c r="GZ2" s="1401"/>
      <c r="HA2" s="1401"/>
      <c r="HB2" s="1401"/>
      <c r="HC2" s="1401"/>
      <c r="HD2" s="1401"/>
      <c r="HE2" s="1401"/>
      <c r="HF2" s="1401"/>
      <c r="HG2" s="1401"/>
      <c r="HH2" s="1401"/>
      <c r="HI2" s="1401"/>
      <c r="HJ2" s="1401"/>
      <c r="HK2" s="1401"/>
      <c r="HL2" s="1401"/>
      <c r="HM2" s="1401"/>
      <c r="HN2" s="1401"/>
      <c r="HO2" s="1401"/>
      <c r="HP2" s="1401"/>
      <c r="HQ2" s="1401"/>
      <c r="HR2" s="1401"/>
      <c r="HS2" s="1401"/>
      <c r="HT2" s="1401"/>
      <c r="HU2" s="1401"/>
      <c r="HV2" s="1401"/>
      <c r="HW2" s="1401"/>
      <c r="HX2" s="1401"/>
      <c r="HY2" s="1401"/>
      <c r="HZ2" s="1401"/>
      <c r="IA2" s="1401"/>
      <c r="IB2" s="1401"/>
      <c r="IC2" s="1401"/>
      <c r="ID2" s="1401"/>
      <c r="IE2" s="1401"/>
      <c r="IF2" s="1401"/>
      <c r="IG2" s="1401"/>
      <c r="IH2" s="1401"/>
      <c r="II2" s="1401"/>
      <c r="IJ2" s="1401"/>
      <c r="IK2" s="1401"/>
      <c r="IL2" s="1401"/>
      <c r="IM2" s="1401"/>
      <c r="IN2" s="1401"/>
      <c r="IO2" s="1401"/>
      <c r="IP2" s="1401"/>
      <c r="IQ2" s="1401"/>
      <c r="IR2" s="1401"/>
      <c r="IS2" s="1401"/>
      <c r="IT2" s="1401"/>
      <c r="IU2" s="1401"/>
      <c r="IV2" s="1401"/>
      <c r="IW2" s="1401"/>
      <c r="IX2" s="1401"/>
      <c r="IY2" s="1401"/>
      <c r="IZ2" s="1401"/>
      <c r="JA2" s="1401"/>
      <c r="JB2" s="1401"/>
      <c r="JC2" s="1401"/>
      <c r="JD2" s="1401"/>
      <c r="JE2" s="1401"/>
      <c r="JF2" s="1401"/>
    </row>
    <row r="3" spans="1:266" ht="21" customHeight="1">
      <c r="B3" s="3210"/>
      <c r="D3" s="619"/>
      <c r="E3" s="619"/>
      <c r="F3" s="619"/>
      <c r="G3" s="619"/>
      <c r="H3" s="5"/>
      <c r="I3" s="5"/>
      <c r="J3" s="5"/>
      <c r="K3" s="5"/>
      <c r="L3" s="5"/>
      <c r="M3" s="5"/>
      <c r="N3" s="5"/>
      <c r="O3" s="5"/>
    </row>
    <row r="4" spans="1:266" ht="21" customHeight="1">
      <c r="B4" s="63"/>
      <c r="D4" s="787"/>
      <c r="E4" s="620"/>
      <c r="F4" s="1066"/>
      <c r="G4" s="1066"/>
      <c r="H4" s="1067"/>
      <c r="I4" s="1067"/>
      <c r="J4" s="1068"/>
      <c r="K4" s="648"/>
    </row>
    <row r="5" spans="1:266" ht="21" customHeight="1">
      <c r="B5" s="62" t="s">
        <v>1</v>
      </c>
      <c r="D5" s="622"/>
      <c r="F5" s="12"/>
      <c r="G5" s="12"/>
      <c r="H5" s="12"/>
      <c r="I5" s="12"/>
      <c r="J5" s="1069"/>
      <c r="K5" s="1065"/>
      <c r="L5" s="1064"/>
      <c r="M5" s="1064"/>
      <c r="N5" s="1064"/>
      <c r="O5" s="12"/>
      <c r="P5" s="12"/>
      <c r="Q5" s="12"/>
      <c r="R5" s="12"/>
      <c r="S5" s="12"/>
      <c r="T5" s="12"/>
      <c r="U5" s="12"/>
      <c r="V5" s="12"/>
      <c r="W5" s="12"/>
      <c r="X5" s="12"/>
      <c r="Y5" s="12"/>
      <c r="Z5" s="12"/>
      <c r="AA5" s="12"/>
      <c r="AB5" s="12"/>
      <c r="AC5" s="12"/>
      <c r="AD5" s="12"/>
      <c r="AE5" s="12"/>
      <c r="AF5" s="12"/>
      <c r="AG5" s="12"/>
      <c r="AH5" s="12"/>
      <c r="AI5" s="12"/>
      <c r="AJ5" s="12"/>
      <c r="AK5" s="12"/>
    </row>
    <row r="6" spans="1:266" ht="21" customHeight="1">
      <c r="B6" s="62" t="s">
        <v>452</v>
      </c>
      <c r="D6" s="622"/>
      <c r="F6" s="12"/>
      <c r="G6" s="12"/>
      <c r="H6" s="12"/>
      <c r="I6" s="12"/>
      <c r="J6" s="1069"/>
      <c r="K6" s="1065"/>
      <c r="L6" s="12"/>
      <c r="M6" s="1064"/>
      <c r="N6" s="1064"/>
      <c r="O6" s="12"/>
      <c r="P6" s="12"/>
      <c r="Q6" s="12"/>
      <c r="R6" s="12"/>
      <c r="S6" s="12"/>
      <c r="T6" s="12"/>
      <c r="U6" s="12"/>
      <c r="V6" s="12"/>
      <c r="W6" s="12"/>
      <c r="X6" s="12"/>
      <c r="Y6" s="12"/>
      <c r="Z6" s="12"/>
      <c r="AA6" s="12"/>
      <c r="AB6" s="12"/>
      <c r="AC6" s="12"/>
      <c r="AD6" s="12"/>
      <c r="AE6" s="12"/>
      <c r="AF6" s="12"/>
      <c r="AG6" s="12"/>
      <c r="AH6" s="12"/>
      <c r="AI6" s="12"/>
      <c r="AJ6" s="12"/>
      <c r="AK6" s="12"/>
    </row>
    <row r="7" spans="1:266" ht="21" customHeight="1">
      <c r="B7" s="62" t="s">
        <v>239</v>
      </c>
      <c r="D7" s="622"/>
      <c r="I7" s="12"/>
      <c r="J7" s="1069"/>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row>
    <row r="8" spans="1:266" ht="21" customHeight="1">
      <c r="B8" s="146" t="s">
        <v>1263</v>
      </c>
      <c r="D8" s="622"/>
      <c r="I8" s="12"/>
      <c r="J8" s="107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266" ht="21" customHeight="1">
      <c r="B9" s="145" t="s">
        <v>486</v>
      </c>
      <c r="D9" s="622"/>
      <c r="I9" s="12"/>
      <c r="J9" s="1069"/>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266" ht="21" customHeight="1">
      <c r="B10" s="145" t="s">
        <v>487</v>
      </c>
      <c r="D10" s="622"/>
      <c r="I10" s="12"/>
      <c r="J10" s="1069"/>
      <c r="K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266" ht="21" customHeight="1">
      <c r="B11" s="147" t="s">
        <v>1273</v>
      </c>
      <c r="D11" s="622"/>
      <c r="F11" s="1063" t="str">
        <f>AD114</f>
        <v xml:space="preserve">A.P.I. </v>
      </c>
      <c r="G11" s="1075">
        <v>31.2</v>
      </c>
      <c r="H11" s="278" t="str">
        <f>AF114</f>
        <v/>
      </c>
      <c r="I11" s="12"/>
      <c r="J11" s="1069"/>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266" ht="21" customHeight="1">
      <c r="B12" s="145" t="s">
        <v>1276</v>
      </c>
      <c r="D12" s="622"/>
      <c r="F12" s="1063" t="s">
        <v>571</v>
      </c>
      <c r="G12" s="2860">
        <v>100000</v>
      </c>
      <c r="H12" s="278" t="str">
        <f>AF115</f>
        <v xml:space="preserve"> Bbls @obs.temp.</v>
      </c>
      <c r="I12" s="12"/>
      <c r="J12" s="1069"/>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266" ht="21" customHeight="1">
      <c r="B13" s="145" t="s">
        <v>1264</v>
      </c>
      <c r="D13" s="622"/>
      <c r="F13" s="1063" t="s">
        <v>572</v>
      </c>
      <c r="G13" s="2861">
        <v>110</v>
      </c>
      <c r="H13" s="278" t="str">
        <f>AF116</f>
        <v xml:space="preserve"> °F</v>
      </c>
      <c r="I13" s="12"/>
      <c r="J13" s="1069"/>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266" ht="21" customHeight="1">
      <c r="B14" s="145" t="s">
        <v>1265</v>
      </c>
      <c r="D14" s="622"/>
      <c r="F14" s="1063" t="s">
        <v>573</v>
      </c>
      <c r="G14" s="2862">
        <v>125</v>
      </c>
      <c r="H14" s="278" t="str">
        <f>AF117</f>
        <v xml:space="preserve"> °F</v>
      </c>
      <c r="I14" s="12"/>
      <c r="J14" s="1069"/>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266" ht="21" customHeight="1">
      <c r="B15" s="145" t="s">
        <v>1266</v>
      </c>
      <c r="D15" s="622"/>
      <c r="F15" s="1063" t="s">
        <v>574</v>
      </c>
      <c r="G15" s="1083">
        <f>AI104</f>
        <v>101386</v>
      </c>
      <c r="H15" s="278" t="str">
        <f>IF(AC104&lt;5," Bbls@obs.temp."," Cub.m.@obs.temp.")</f>
        <v xml:space="preserve"> Bbls@obs.temp.</v>
      </c>
      <c r="I15" s="12"/>
      <c r="J15" s="1069"/>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266" ht="21" customHeight="1">
      <c r="B16" s="145" t="s">
        <v>1267</v>
      </c>
      <c r="D16" s="876"/>
      <c r="E16" s="2818"/>
      <c r="F16" s="12"/>
      <c r="G16" s="12"/>
      <c r="H16" s="12"/>
      <c r="I16" s="12"/>
      <c r="J16" s="1069"/>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2:19" ht="21" customHeight="1">
      <c r="B17" s="145" t="s">
        <v>556</v>
      </c>
      <c r="D17" s="622"/>
      <c r="F17" s="1063" t="s">
        <v>579</v>
      </c>
      <c r="G17" s="1084">
        <f>G15-AE115</f>
        <v>1386</v>
      </c>
      <c r="H17" s="278" t="str">
        <f>H15</f>
        <v xml:space="preserve"> Bbls@obs.temp.</v>
      </c>
      <c r="I17" s="12"/>
      <c r="J17" s="1069"/>
      <c r="K17" s="12"/>
      <c r="L17" s="12"/>
      <c r="M17" s="12"/>
      <c r="N17" s="12"/>
      <c r="O17" s="12"/>
      <c r="P17" s="12"/>
      <c r="Q17" s="12"/>
      <c r="R17" s="12"/>
      <c r="S17" s="12"/>
    </row>
    <row r="18" spans="2:19" ht="21" customHeight="1">
      <c r="B18" s="62" t="s">
        <v>557</v>
      </c>
      <c r="D18" s="622"/>
      <c r="I18" s="12"/>
      <c r="J18" s="1069"/>
      <c r="K18" s="12"/>
      <c r="L18" s="12"/>
      <c r="M18" s="12"/>
      <c r="N18" s="12"/>
      <c r="O18" s="12"/>
      <c r="P18" s="12"/>
      <c r="Q18" s="12"/>
      <c r="R18" s="12"/>
      <c r="S18" s="12"/>
    </row>
    <row r="19" spans="2:19" ht="21" customHeight="1">
      <c r="B19" s="62" t="s">
        <v>238</v>
      </c>
      <c r="D19" s="622"/>
      <c r="F19" s="12"/>
      <c r="H19" s="12"/>
      <c r="I19" s="12"/>
      <c r="J19" s="1069"/>
      <c r="K19" s="12"/>
      <c r="L19" s="12"/>
      <c r="M19" s="12"/>
      <c r="N19" s="12"/>
      <c r="O19" s="12"/>
      <c r="P19" s="12"/>
      <c r="Q19" s="12"/>
      <c r="R19" s="12"/>
      <c r="S19" s="12"/>
    </row>
    <row r="20" spans="2:19" ht="21" customHeight="1">
      <c r="B20" s="62" t="s">
        <v>1652</v>
      </c>
      <c r="D20" s="622"/>
      <c r="F20" s="12"/>
      <c r="G20" s="12"/>
      <c r="H20" s="12"/>
      <c r="I20" s="12"/>
      <c r="J20" s="1069"/>
      <c r="K20" s="12"/>
      <c r="L20" s="12"/>
      <c r="M20" s="12"/>
      <c r="N20" s="12"/>
      <c r="O20" s="12"/>
      <c r="P20" s="12"/>
      <c r="Q20" s="12"/>
      <c r="R20" s="12"/>
      <c r="S20" s="12"/>
    </row>
    <row r="21" spans="2:19" ht="21" customHeight="1">
      <c r="B21" s="62" t="s">
        <v>1653</v>
      </c>
      <c r="D21" s="622"/>
      <c r="F21" s="12"/>
      <c r="G21" s="2357" t="s">
        <v>1186</v>
      </c>
      <c r="H21" s="12"/>
      <c r="I21" s="12"/>
      <c r="J21" s="1069"/>
      <c r="K21" s="12"/>
      <c r="L21" s="12"/>
      <c r="M21" s="12"/>
      <c r="N21" s="12"/>
      <c r="O21" s="12"/>
      <c r="P21" s="12"/>
      <c r="Q21" s="12"/>
      <c r="R21" s="12"/>
      <c r="S21" s="12"/>
    </row>
    <row r="22" spans="2:19" ht="21" customHeight="1">
      <c r="B22" s="62" t="s">
        <v>40</v>
      </c>
      <c r="D22" s="620"/>
      <c r="E22" s="620"/>
      <c r="F22" s="1067"/>
      <c r="G22" s="1067"/>
      <c r="H22" s="1067"/>
      <c r="I22" s="1067"/>
      <c r="J22" s="1067"/>
      <c r="K22" s="12"/>
      <c r="L22" s="12"/>
      <c r="M22" s="12"/>
      <c r="N22" s="12"/>
      <c r="O22" s="12"/>
      <c r="P22" s="12"/>
      <c r="Q22" s="12"/>
      <c r="R22" s="12"/>
      <c r="S22" s="12"/>
    </row>
    <row r="23" spans="2:19" ht="21" customHeight="1">
      <c r="B23" s="62" t="s">
        <v>238</v>
      </c>
      <c r="F23" s="12"/>
      <c r="G23" s="12"/>
      <c r="H23" s="12"/>
      <c r="I23" s="12"/>
      <c r="J23" s="12"/>
      <c r="K23" s="12"/>
      <c r="L23" s="12"/>
      <c r="M23" s="12"/>
      <c r="N23" s="12"/>
      <c r="O23" s="12"/>
      <c r="P23" s="12"/>
      <c r="Q23" s="12"/>
      <c r="R23" s="12"/>
      <c r="S23" s="12"/>
    </row>
    <row r="24" spans="2:19" ht="21" customHeight="1">
      <c r="B24" s="62" t="s">
        <v>39</v>
      </c>
      <c r="F24" s="12"/>
      <c r="G24" s="12"/>
      <c r="H24" s="12"/>
      <c r="I24" s="12"/>
      <c r="J24" s="12"/>
      <c r="K24" s="12"/>
      <c r="L24" s="12"/>
      <c r="M24" s="12"/>
      <c r="N24" s="12"/>
      <c r="O24" s="12"/>
      <c r="P24" s="12"/>
      <c r="Q24" s="12"/>
      <c r="R24" s="12"/>
      <c r="S24" s="12"/>
    </row>
    <row r="25" spans="2:19" ht="21" customHeight="1">
      <c r="B25" s="62" t="s">
        <v>38</v>
      </c>
      <c r="F25" s="12"/>
      <c r="G25" s="12"/>
      <c r="H25" s="12"/>
      <c r="I25" s="12"/>
      <c r="J25" s="12"/>
      <c r="K25" s="12"/>
      <c r="L25" s="12"/>
      <c r="M25" s="12"/>
      <c r="N25" s="12"/>
      <c r="O25" s="12"/>
      <c r="P25" s="12"/>
      <c r="Q25" s="12"/>
      <c r="R25" s="12"/>
      <c r="S25" s="12"/>
    </row>
    <row r="26" spans="2:19" ht="21" customHeight="1">
      <c r="B26" s="62"/>
      <c r="F26" s="12"/>
      <c r="G26" s="12"/>
      <c r="H26" s="12"/>
      <c r="I26" s="12"/>
      <c r="J26" s="12"/>
      <c r="K26" s="12"/>
      <c r="L26" s="12"/>
      <c r="M26" s="12"/>
      <c r="N26" s="12"/>
      <c r="O26" s="12"/>
      <c r="P26" s="12"/>
      <c r="Q26" s="12"/>
      <c r="R26" s="12"/>
      <c r="S26" s="12"/>
    </row>
    <row r="27" spans="2:19" ht="21" customHeight="1">
      <c r="B27" s="62"/>
      <c r="F27" s="12"/>
      <c r="G27" s="12"/>
      <c r="H27" s="12"/>
      <c r="I27" s="12"/>
      <c r="J27" s="12"/>
      <c r="K27" s="12"/>
      <c r="L27" s="12"/>
      <c r="M27" s="12"/>
      <c r="N27" s="12"/>
      <c r="O27" s="12"/>
      <c r="P27" s="12"/>
      <c r="Q27" s="12"/>
      <c r="R27" s="12"/>
      <c r="S27" s="12"/>
    </row>
    <row r="28" spans="2:19" ht="21" customHeight="1">
      <c r="B28" s="565"/>
      <c r="K28" s="12"/>
      <c r="L28" s="12"/>
      <c r="M28" s="12"/>
      <c r="N28" s="12"/>
      <c r="O28" s="12"/>
      <c r="P28" s="12"/>
      <c r="Q28" s="12"/>
      <c r="R28" s="12"/>
      <c r="S28" s="12"/>
    </row>
    <row r="29" spans="2:19" ht="21" customHeight="1">
      <c r="B29" s="565"/>
      <c r="K29" s="12"/>
      <c r="L29" s="12"/>
      <c r="M29" s="12"/>
      <c r="N29" s="12"/>
      <c r="O29" s="12"/>
      <c r="P29" s="12"/>
      <c r="Q29" s="12"/>
      <c r="R29" s="12"/>
      <c r="S29" s="12"/>
    </row>
    <row r="30" spans="2:19" ht="21" customHeight="1">
      <c r="B30" s="565"/>
    </row>
    <row r="31" spans="2:19" ht="21" customHeight="1">
      <c r="B31" s="565"/>
    </row>
    <row r="32" spans="2:19" ht="21" customHeight="1">
      <c r="B32" s="565"/>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47">
      <c r="B49" s="565"/>
    </row>
    <row r="50" spans="2:47">
      <c r="B50" s="565"/>
    </row>
    <row r="51" spans="2:47">
      <c r="B51" s="565"/>
    </row>
    <row r="52" spans="2:47">
      <c r="B52" s="565"/>
    </row>
    <row r="53" spans="2:47">
      <c r="B53" s="565"/>
    </row>
    <row r="54" spans="2:47">
      <c r="B54" s="565"/>
    </row>
    <row r="55" spans="2:47">
      <c r="B55" s="565"/>
    </row>
    <row r="56" spans="2:47">
      <c r="B56" s="565"/>
    </row>
    <row r="57" spans="2:47">
      <c r="B57" s="565"/>
    </row>
    <row r="58" spans="2:47">
      <c r="B58" s="565"/>
    </row>
    <row r="59" spans="2:47">
      <c r="B59" s="565"/>
    </row>
    <row r="60" spans="2:47">
      <c r="B60" s="565"/>
    </row>
    <row r="61" spans="2:47">
      <c r="B61" s="565"/>
    </row>
    <row r="62" spans="2:47">
      <c r="B62" s="56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row>
    <row r="63" spans="2:47">
      <c r="B63" s="56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row>
    <row r="64" spans="2:47">
      <c r="B64" s="565"/>
    </row>
    <row r="65" spans="2:2">
      <c r="B65" s="565"/>
    </row>
    <row r="66" spans="2:2">
      <c r="B66" s="565"/>
    </row>
    <row r="100" spans="28:70">
      <c r="AC100" s="566" t="s">
        <v>550</v>
      </c>
      <c r="AD100" s="12"/>
      <c r="AE100" s="12"/>
      <c r="AK100" s="566" t="s">
        <v>550</v>
      </c>
      <c r="AL100" s="12"/>
      <c r="AM100" s="12"/>
      <c r="AN100" s="12"/>
      <c r="AO100" s="12"/>
      <c r="AP100" s="12"/>
      <c r="AQ100" s="12"/>
      <c r="AR100" s="12"/>
      <c r="AS100" s="12"/>
      <c r="AW100" s="566" t="s">
        <v>550</v>
      </c>
      <c r="BG100" s="566" t="s">
        <v>550</v>
      </c>
      <c r="BQ100" s="566" t="s">
        <v>550</v>
      </c>
    </row>
    <row r="101" spans="28:70">
      <c r="AB101" s="2503" t="s">
        <v>575</v>
      </c>
      <c r="AC101" s="2502"/>
      <c r="AD101" s="2506"/>
      <c r="AE101" s="2506"/>
      <c r="AF101" s="2502"/>
      <c r="AG101" s="2502"/>
      <c r="AH101" s="2502"/>
      <c r="AI101" s="2502"/>
      <c r="AJ101" s="2502"/>
      <c r="AK101" s="1056"/>
      <c r="AL101" s="1056"/>
      <c r="AM101" s="1057"/>
      <c r="AN101" s="1058"/>
      <c r="AO101" s="1058"/>
      <c r="AP101" s="1058"/>
      <c r="AQ101" s="1058"/>
      <c r="AR101" s="1058"/>
      <c r="AS101" s="1058"/>
      <c r="AT101" s="1058"/>
      <c r="AU101" s="1058"/>
      <c r="AV101" s="1058"/>
      <c r="AW101" s="1074" t="s">
        <v>575</v>
      </c>
      <c r="AX101" s="1058"/>
      <c r="AY101" s="1058"/>
      <c r="AZ101" s="1058"/>
      <c r="BA101" s="1058"/>
      <c r="BB101" s="1058"/>
      <c r="BC101" s="1058"/>
      <c r="BD101" s="1058"/>
      <c r="BE101" s="1058"/>
      <c r="BF101" s="1058"/>
      <c r="BG101" s="1058"/>
      <c r="BH101" s="1058"/>
      <c r="BI101" s="1058"/>
      <c r="BJ101" s="1058"/>
      <c r="BK101" s="1058"/>
      <c r="BL101" s="1058"/>
      <c r="BM101" s="1058"/>
      <c r="BN101" s="1058"/>
      <c r="BO101" s="1058"/>
      <c r="BP101" s="1058"/>
      <c r="BQ101" s="1058"/>
      <c r="BR101" s="1059"/>
    </row>
    <row r="102" spans="28:70" ht="13.15">
      <c r="AB102" s="2504"/>
      <c r="AC102" s="3246" t="s">
        <v>1199</v>
      </c>
      <c r="AD102" s="3247"/>
      <c r="AE102" s="3247"/>
      <c r="AF102" s="3248"/>
      <c r="AG102" s="2505"/>
      <c r="AH102" s="3239" t="s">
        <v>587</v>
      </c>
      <c r="AI102" s="3240"/>
      <c r="AJ102" s="2505"/>
      <c r="AK102" s="2529" t="s">
        <v>580</v>
      </c>
      <c r="AL102" s="2434"/>
      <c r="AM102" s="2434"/>
      <c r="AN102" s="2434"/>
      <c r="AO102" s="2434"/>
      <c r="AP102" s="2434"/>
      <c r="AQ102" s="2434"/>
      <c r="AR102" s="2434"/>
      <c r="AS102" s="2434"/>
      <c r="AT102" s="2434"/>
      <c r="AU102" s="2434"/>
      <c r="AV102" s="2434"/>
      <c r="AW102" s="2530"/>
      <c r="AX102" s="2434"/>
      <c r="AY102" s="2530"/>
      <c r="AZ102" s="2531"/>
      <c r="BA102" s="2531"/>
      <c r="BB102" s="2531"/>
      <c r="BC102" s="2531"/>
      <c r="BD102" s="2501"/>
      <c r="BE102" s="2481"/>
      <c r="BF102" s="2501"/>
      <c r="BG102" s="1996" t="s">
        <v>11</v>
      </c>
      <c r="BH102" s="1997"/>
      <c r="BI102" s="1997"/>
      <c r="BJ102" s="2532"/>
      <c r="BK102" s="1996" t="s">
        <v>111</v>
      </c>
      <c r="BL102" s="1997"/>
      <c r="BM102" s="1997"/>
      <c r="BN102" s="2532"/>
      <c r="BO102" s="1998" t="s">
        <v>12</v>
      </c>
      <c r="BP102" s="2342"/>
      <c r="BQ102" s="1999"/>
      <c r="BR102" s="2481"/>
    </row>
    <row r="103" spans="28:70" ht="13.15">
      <c r="AB103" s="2482"/>
      <c r="AC103" s="3249"/>
      <c r="AD103" s="3250"/>
      <c r="AE103" s="3250"/>
      <c r="AF103" s="3251"/>
      <c r="AH103" s="3241"/>
      <c r="AI103" s="3242"/>
      <c r="AK103" s="2533"/>
      <c r="AL103" s="2534" t="s">
        <v>576</v>
      </c>
      <c r="AM103" s="2535"/>
      <c r="AN103" s="2529" t="s">
        <v>203</v>
      </c>
      <c r="AO103" s="2434"/>
      <c r="AP103" s="2536"/>
      <c r="AQ103" s="2304"/>
      <c r="AR103" s="2537"/>
      <c r="AS103" s="2538"/>
      <c r="AT103" s="2538"/>
      <c r="AU103" s="2538"/>
      <c r="AV103" s="2539"/>
      <c r="AW103" s="2540" t="s">
        <v>204</v>
      </c>
      <c r="AX103" s="3227" t="s">
        <v>585</v>
      </c>
      <c r="AY103" s="3227" t="s">
        <v>586</v>
      </c>
      <c r="AZ103" s="12"/>
      <c r="BA103" s="12"/>
      <c r="BB103" s="12"/>
      <c r="BC103" s="12"/>
      <c r="BE103" s="520"/>
      <c r="BG103" s="2439" t="s">
        <v>18</v>
      </c>
      <c r="BH103" s="2439" t="s">
        <v>19</v>
      </c>
      <c r="BI103" s="2439" t="s">
        <v>20</v>
      </c>
      <c r="BJ103" s="2404"/>
      <c r="BK103" s="2439" t="s">
        <v>19</v>
      </c>
      <c r="BL103" s="2439" t="s">
        <v>18</v>
      </c>
      <c r="BM103" s="2439" t="s">
        <v>20</v>
      </c>
      <c r="BN103" s="2404"/>
      <c r="BO103" s="2439" t="s">
        <v>20</v>
      </c>
      <c r="BP103" s="2439" t="s">
        <v>19</v>
      </c>
      <c r="BQ103" s="2439" t="s">
        <v>18</v>
      </c>
      <c r="BR103" s="520"/>
    </row>
    <row r="104" spans="28:70">
      <c r="AB104" s="2482"/>
      <c r="AC104" s="2825">
        <v>1</v>
      </c>
      <c r="AD104" s="2518" t="str">
        <f>VLOOKUP(AC104,AC105:AD110,2)</f>
        <v xml:space="preserve"> ASTM T.   6A - API / Bbls / °F </v>
      </c>
      <c r="AE104" s="2519"/>
      <c r="AF104" s="2520"/>
      <c r="AG104" s="2480"/>
      <c r="AH104" s="2826">
        <f>AC104</f>
        <v>1</v>
      </c>
      <c r="AI104" s="2521">
        <f>VLOOKUP(AH104,AH105:AI110,2)</f>
        <v>101386</v>
      </c>
      <c r="AJ104" s="2480"/>
      <c r="AK104" s="1091"/>
      <c r="AL104" s="1607" t="s">
        <v>18</v>
      </c>
      <c r="AM104" s="1607" t="s">
        <v>205</v>
      </c>
      <c r="AN104" s="2529" t="s">
        <v>18</v>
      </c>
      <c r="AO104" s="2529" t="s">
        <v>205</v>
      </c>
      <c r="AP104" s="2296" t="s">
        <v>206</v>
      </c>
      <c r="AQ104" s="2296" t="s">
        <v>207</v>
      </c>
      <c r="AR104" s="2537"/>
      <c r="AS104" s="2538"/>
      <c r="AT104" s="2538"/>
      <c r="AU104" s="2538"/>
      <c r="AV104" s="2539"/>
      <c r="AW104" s="1092" t="s">
        <v>208</v>
      </c>
      <c r="AX104" s="3227"/>
      <c r="AY104" s="3227"/>
      <c r="AZ104" s="171"/>
      <c r="BA104" s="171"/>
      <c r="BB104" s="171"/>
      <c r="BC104" s="171"/>
      <c r="BE104" s="520"/>
      <c r="BG104" s="2541" t="s">
        <v>26</v>
      </c>
      <c r="BH104" s="2541" t="s">
        <v>20</v>
      </c>
      <c r="BI104" s="2541" t="s">
        <v>27</v>
      </c>
      <c r="BJ104" s="2404"/>
      <c r="BK104" s="2541" t="s">
        <v>20</v>
      </c>
      <c r="BL104" s="2541" t="s">
        <v>26</v>
      </c>
      <c r="BM104" s="2541"/>
      <c r="BN104" s="2404"/>
      <c r="BO104" s="2541" t="s">
        <v>27</v>
      </c>
      <c r="BP104" s="2541" t="s">
        <v>20</v>
      </c>
      <c r="BQ104" s="2541" t="s">
        <v>26</v>
      </c>
      <c r="BR104" s="520"/>
    </row>
    <row r="105" spans="28:70" ht="13.15">
      <c r="AB105" s="2482"/>
      <c r="AC105" s="2488">
        <v>1</v>
      </c>
      <c r="AD105" s="2489" t="s">
        <v>1187</v>
      </c>
      <c r="AE105" s="2490"/>
      <c r="AF105" s="2491"/>
      <c r="AG105" s="12"/>
      <c r="AH105" s="2488">
        <v>1</v>
      </c>
      <c r="AI105" s="2498">
        <f>ROUND(AY106,0)</f>
        <v>101386</v>
      </c>
      <c r="AJ105" s="12"/>
      <c r="AK105" s="2542" t="s">
        <v>577</v>
      </c>
      <c r="AL105" s="1786">
        <f>AE119</f>
        <v>31.2</v>
      </c>
      <c r="AM105" s="1787">
        <f>AE123</f>
        <v>230</v>
      </c>
      <c r="AN105" s="2543">
        <f>FLOOR(AL105,1)+IF(MOD(AL105,1)&lt;0.26,0,IF(MOD(AL105,1)&lt;0.76,0.5,1))</f>
        <v>31</v>
      </c>
      <c r="AO105" s="2543">
        <f>FLOOR(AM105,1)+IF(MOD(AM105,1)&lt;0.26,0,IF(MOD(AM105,1)&lt;0.76,0.5,1))</f>
        <v>230</v>
      </c>
      <c r="AP105" s="2544">
        <f>341.0957/(141.5*999.012/(AN105+131.5))^2</f>
        <v>4.5074268310149411E-4</v>
      </c>
      <c r="AQ105" s="2544">
        <f>1+0.8*AP105*(AO105-60)</f>
        <v>1.0613010049018032</v>
      </c>
      <c r="AR105" s="2545"/>
      <c r="AS105" s="2546"/>
      <c r="AT105" s="2546"/>
      <c r="AU105" s="2546"/>
      <c r="AV105" s="2547"/>
      <c r="AW105" s="2548">
        <f>ROUND(EXP(AP105*(AO105-60)*AQ105*-1),4)</f>
        <v>0.92190000000000005</v>
      </c>
      <c r="AX105" s="2549">
        <f>AY105*AW105</f>
        <v>92190</v>
      </c>
      <c r="AY105" s="2550">
        <f>AE115</f>
        <v>100000</v>
      </c>
      <c r="AZ105" s="12"/>
      <c r="BA105" s="12"/>
      <c r="BB105" s="12"/>
      <c r="BC105" s="12"/>
      <c r="BE105" s="520"/>
      <c r="BG105" s="2541" t="s">
        <v>27</v>
      </c>
      <c r="BH105" s="2541" t="s">
        <v>27</v>
      </c>
      <c r="BI105" s="2541" t="s">
        <v>27</v>
      </c>
      <c r="BJ105" s="2404"/>
      <c r="BK105" s="2541"/>
      <c r="BL105" s="2541"/>
      <c r="BM105" s="2541"/>
      <c r="BN105" s="2404"/>
      <c r="BO105" s="2541" t="s">
        <v>27</v>
      </c>
      <c r="BP105" s="2541" t="s">
        <v>27</v>
      </c>
      <c r="BQ105" s="2541" t="s">
        <v>27</v>
      </c>
      <c r="BR105" s="520"/>
    </row>
    <row r="106" spans="28:70" ht="13.15">
      <c r="AB106" s="2482"/>
      <c r="AC106" s="2492">
        <v>2</v>
      </c>
      <c r="AD106" s="2493" t="s">
        <v>1188</v>
      </c>
      <c r="AE106" s="12"/>
      <c r="AF106" s="398"/>
      <c r="AG106" s="12"/>
      <c r="AH106" s="2492">
        <v>2</v>
      </c>
      <c r="AI106" s="2499">
        <f>ROUND(AY111,0)</f>
        <v>101374</v>
      </c>
      <c r="AJ106" s="12"/>
      <c r="AK106" s="2542" t="s">
        <v>578</v>
      </c>
      <c r="AL106" s="1786">
        <f>AE119</f>
        <v>31.2</v>
      </c>
      <c r="AM106" s="1787">
        <f>AE125</f>
        <v>257</v>
      </c>
      <c r="AN106" s="2543">
        <f>FLOOR(AL106,1)+IF(MOD(AL106,1)&lt;0.26,0,IF(MOD(AL106,1)&lt;0.76,0.5,1))</f>
        <v>31</v>
      </c>
      <c r="AO106" s="2543">
        <f>FLOOR(AM106,1)+IF(MOD(AM106,1)&lt;0.26,0,IF(MOD(AM106,1)&lt;0.76,0.5,1))</f>
        <v>257</v>
      </c>
      <c r="AP106" s="2544">
        <f>341.0957/(141.5*999.012/(AN106+131.5))^2</f>
        <v>4.5074268310149411E-4</v>
      </c>
      <c r="AQ106" s="2544">
        <f>1+0.8*AP106*(AO106-60)</f>
        <v>1.0710370468567956</v>
      </c>
      <c r="AR106" s="2545"/>
      <c r="AS106" s="2546"/>
      <c r="AT106" s="2546"/>
      <c r="AU106" s="2546"/>
      <c r="AV106" s="2547"/>
      <c r="AW106" s="2548">
        <f>ROUND(EXP(AP106*(AO106-60)*AQ106*-1),4)</f>
        <v>0.9093</v>
      </c>
      <c r="AX106" s="2549">
        <f>AY106*AW106</f>
        <v>92190</v>
      </c>
      <c r="AY106" s="2550">
        <f>AX105/AW106</f>
        <v>101385.68129330254</v>
      </c>
      <c r="AZ106" s="12"/>
      <c r="BA106" s="12"/>
      <c r="BB106" s="12"/>
      <c r="BC106" s="12"/>
      <c r="BE106" s="520"/>
      <c r="BG106" s="2020" t="s">
        <v>32</v>
      </c>
      <c r="BH106" s="2020" t="s">
        <v>33</v>
      </c>
      <c r="BI106" s="2020" t="s">
        <v>31</v>
      </c>
      <c r="BJ106" s="2404"/>
      <c r="BK106" s="2020" t="s">
        <v>35</v>
      </c>
      <c r="BL106" s="2020" t="s">
        <v>32</v>
      </c>
      <c r="BM106" s="2020" t="s">
        <v>31</v>
      </c>
      <c r="BN106" s="2404"/>
      <c r="BO106" s="2020" t="s">
        <v>34</v>
      </c>
      <c r="BP106" s="2020" t="s">
        <v>35</v>
      </c>
      <c r="BQ106" s="2020" t="s">
        <v>32</v>
      </c>
      <c r="BR106" s="520"/>
    </row>
    <row r="107" spans="28:70">
      <c r="AB107" s="2482"/>
      <c r="AC107" s="2492">
        <v>3</v>
      </c>
      <c r="AD107" s="2493" t="s">
        <v>1189</v>
      </c>
      <c r="AE107" s="12"/>
      <c r="AF107" s="398"/>
      <c r="AG107" s="12"/>
      <c r="AH107" s="2492">
        <v>3</v>
      </c>
      <c r="AI107" s="2499">
        <f>ROUND(BE118,0)</f>
        <v>101397</v>
      </c>
      <c r="AJ107" s="12"/>
      <c r="AK107" s="2551"/>
      <c r="AL107" s="541"/>
      <c r="AM107" s="541"/>
      <c r="AN107" s="541"/>
      <c r="AO107" s="541"/>
      <c r="AP107" s="541"/>
      <c r="AQ107" s="541"/>
      <c r="AR107" s="541"/>
      <c r="AS107" s="541"/>
      <c r="AT107" s="541"/>
      <c r="AU107" s="541"/>
      <c r="AV107" s="541"/>
      <c r="AW107" s="2552"/>
      <c r="AX107" s="12"/>
      <c r="AY107" s="12"/>
      <c r="AZ107" s="12"/>
      <c r="BA107" s="12"/>
      <c r="BB107" s="12"/>
      <c r="BC107" s="12"/>
      <c r="BE107" s="520"/>
      <c r="BG107" s="1650">
        <f>VLOOKUP(BG108,BG120:BG970,TRUE)</f>
        <v>31.2</v>
      </c>
      <c r="BH107" s="1651">
        <f>VLOOKUP(BG107,BG120:BH970,2)</f>
        <v>0.86970000000000003</v>
      </c>
      <c r="BI107" s="1652">
        <f>VLOOKUP(BG107,BG120:BI970,3)</f>
        <v>869.2</v>
      </c>
      <c r="BJ107" s="33"/>
      <c r="BK107" s="1650">
        <f>VLOOKUP(BK108,BK120:BK545,TRUE)</f>
        <v>0.86899999999999999</v>
      </c>
      <c r="BL107" s="2522">
        <f>VLOOKUP(BK107,BK120:BL545,2)</f>
        <v>31.33</v>
      </c>
      <c r="BM107" s="2524">
        <f>VLOOKUP(BK107,BK120:BM545,3)</f>
        <v>868.5</v>
      </c>
      <c r="BN107" s="33"/>
      <c r="BO107" s="1650">
        <f>VLOOKUP(BO108,BO120:BO545,TRUE)</f>
        <v>869</v>
      </c>
      <c r="BP107" s="1651">
        <f>VLOOKUP(BO107,BO120:BP545,2)</f>
        <v>0.86950000000000005</v>
      </c>
      <c r="BQ107" s="1655">
        <f>VLOOKUP(BO107,BO120:BQ545,3)</f>
        <v>31.24</v>
      </c>
      <c r="BR107" s="520"/>
    </row>
    <row r="108" spans="28:70" ht="13.15">
      <c r="AB108" s="2482"/>
      <c r="AC108" s="2492">
        <v>4</v>
      </c>
      <c r="AD108" s="2493" t="s">
        <v>1190</v>
      </c>
      <c r="AE108" s="12"/>
      <c r="AF108" s="398"/>
      <c r="AG108" s="12"/>
      <c r="AH108" s="2492">
        <v>4</v>
      </c>
      <c r="AI108" s="2499">
        <f>ROUND(BE123,0)</f>
        <v>101374</v>
      </c>
      <c r="AJ108" s="12"/>
      <c r="AK108" s="2533"/>
      <c r="AL108" s="2534" t="s">
        <v>576</v>
      </c>
      <c r="AM108" s="2535"/>
      <c r="AN108" s="2529" t="s">
        <v>209</v>
      </c>
      <c r="AO108" s="2434"/>
      <c r="AP108" s="2291" t="s">
        <v>210</v>
      </c>
      <c r="AQ108" s="2287" t="s">
        <v>211</v>
      </c>
      <c r="AR108" s="2292"/>
      <c r="AS108" s="2292"/>
      <c r="AT108" s="2288"/>
      <c r="AU108" s="2291" t="s">
        <v>211</v>
      </c>
      <c r="AV108" s="2553" t="s">
        <v>212</v>
      </c>
      <c r="AW108" s="2540" t="s">
        <v>204</v>
      </c>
      <c r="AX108" s="3227" t="s">
        <v>585</v>
      </c>
      <c r="AY108" s="3227" t="s">
        <v>586</v>
      </c>
      <c r="AZ108" s="12"/>
      <c r="BA108" s="12"/>
      <c r="BB108" s="12"/>
      <c r="BC108" s="12"/>
      <c r="BE108" s="520"/>
      <c r="BG108" s="1656">
        <f>AE119</f>
        <v>31.2</v>
      </c>
      <c r="BH108" s="1657">
        <f>ROUND(BH107+((BG108-BG107)/(BG109-BG107))*(BH109-BH107),4)</f>
        <v>0.86970000000000003</v>
      </c>
      <c r="BI108" s="1658">
        <f>ROUND(BI107+((BG108-BG107)/(BG109-BG107))*(BI109-BI107),1)</f>
        <v>869.2</v>
      </c>
      <c r="BJ108" s="33"/>
      <c r="BK108" s="2528">
        <f>AE120</f>
        <v>0.86970000000000003</v>
      </c>
      <c r="BL108" s="2523">
        <f>BL107+((BK108-BK107)/(BK109-BK107))*(BL109-BL107)</f>
        <v>31.196999999999992</v>
      </c>
      <c r="BM108" s="2525">
        <f>BM107+((BK108-BK107)/(BK109-BK107))*(BM109-BM107)</f>
        <v>869.2</v>
      </c>
      <c r="BN108" s="33"/>
      <c r="BO108" s="1661">
        <f>AE121</f>
        <v>869.2</v>
      </c>
      <c r="BP108" s="1657">
        <f>ROUND(BP107+((BO108-BO107)/(BO109-BO107))*(BP109-BP107),4)</f>
        <v>0.86970000000000003</v>
      </c>
      <c r="BQ108" s="1662">
        <f>ROUND(BQ107+((BO108-BO107)/(BO109-BO107))*(BQ109-BQ107),2)</f>
        <v>31.2</v>
      </c>
      <c r="BR108" s="520"/>
    </row>
    <row r="109" spans="28:70">
      <c r="AB109" s="2482"/>
      <c r="AC109" s="2492">
        <v>5</v>
      </c>
      <c r="AD109" s="2493" t="s">
        <v>1191</v>
      </c>
      <c r="AE109" s="12"/>
      <c r="AF109" s="398"/>
      <c r="AG109" s="12"/>
      <c r="AH109" s="2492">
        <v>5</v>
      </c>
      <c r="AI109" s="2485">
        <f>ROUND(AY130,1)</f>
        <v>100721.7</v>
      </c>
      <c r="AJ109" s="12"/>
      <c r="AK109" s="1091"/>
      <c r="AL109" s="1607" t="s">
        <v>18</v>
      </c>
      <c r="AM109" s="1607" t="s">
        <v>205</v>
      </c>
      <c r="AN109" s="2529" t="s">
        <v>18</v>
      </c>
      <c r="AO109" s="2529" t="s">
        <v>205</v>
      </c>
      <c r="AP109" s="2299"/>
      <c r="AQ109" s="2296" t="s">
        <v>213</v>
      </c>
      <c r="AR109" s="2296" t="s">
        <v>214</v>
      </c>
      <c r="AS109" s="2296" t="s">
        <v>215</v>
      </c>
      <c r="AT109" s="2296" t="s">
        <v>216</v>
      </c>
      <c r="AU109" s="2299"/>
      <c r="AV109" s="2476"/>
      <c r="AW109" s="1092" t="s">
        <v>217</v>
      </c>
      <c r="AX109" s="3227"/>
      <c r="AY109" s="3227"/>
      <c r="AZ109" s="12"/>
      <c r="BA109" s="12"/>
      <c r="BB109" s="12"/>
      <c r="BC109" s="12"/>
      <c r="BE109" s="520"/>
      <c r="BG109" s="1650">
        <f>INDEX(BG120:BG970,(MATCH(BG107,BG120:BG970,1)+1))</f>
        <v>31.3</v>
      </c>
      <c r="BH109" s="1651">
        <f>VLOOKUP(BG109,BG120:BH970,2)</f>
        <v>0.86919999999999997</v>
      </c>
      <c r="BI109" s="1652">
        <f>VLOOKUP(BG109,BG120:BI970,3)</f>
        <v>868.7</v>
      </c>
      <c r="BJ109" s="33"/>
      <c r="BK109" s="1650">
        <f>INDEX(BK120:BK545,(MATCH(BK107,BK120:BK545,1)+1))</f>
        <v>0.87</v>
      </c>
      <c r="BL109" s="2522">
        <f>VLOOKUP(BK109,BK120:BL545,2)</f>
        <v>31.14</v>
      </c>
      <c r="BM109" s="2524">
        <f>VLOOKUP(BK109,BK120:BM545,3)</f>
        <v>869.5</v>
      </c>
      <c r="BN109" s="33"/>
      <c r="BO109" s="1650">
        <f>INDEX(BO120:BO545,(MATCH(BO107,BO120:BO545,1)+1))</f>
        <v>870</v>
      </c>
      <c r="BP109" s="1651">
        <f>VLOOKUP(BO109,BO120:BP545,2)</f>
        <v>0.87050000000000005</v>
      </c>
      <c r="BQ109" s="1655">
        <f>VLOOKUP(BO109,BO120:BQ545,3)</f>
        <v>31.06</v>
      </c>
      <c r="BR109" s="520"/>
    </row>
    <row r="110" spans="28:70" ht="13.15">
      <c r="AB110" s="2482"/>
      <c r="AC110" s="2486">
        <v>6</v>
      </c>
      <c r="AD110" s="1095" t="s">
        <v>1192</v>
      </c>
      <c r="AE110" s="2494"/>
      <c r="AF110" s="2495"/>
      <c r="AG110" s="12"/>
      <c r="AH110" s="2486">
        <v>6</v>
      </c>
      <c r="AI110" s="2487">
        <f>ROUND(AY135,1)</f>
        <v>100721.60000000001</v>
      </c>
      <c r="AJ110" s="12"/>
      <c r="AK110" s="2554" t="s">
        <v>577</v>
      </c>
      <c r="AL110" s="1786">
        <f>AE119</f>
        <v>31.2</v>
      </c>
      <c r="AM110" s="1787">
        <f>AE123</f>
        <v>230</v>
      </c>
      <c r="AN110" s="2543">
        <f>FLOOR(AL110,1)+IF(MOD(AL110,1)&lt;0.26,0,IF(MOD(AL110,1)&lt;0.76,0.5,1))</f>
        <v>31</v>
      </c>
      <c r="AO110" s="2543">
        <f>FLOOR(AM110,1)+IF(MOD(AM110,1)&lt;0.26,0,IF(MOD(AM110,1)&lt;0.76,0.5,1))</f>
        <v>230</v>
      </c>
      <c r="AP110" s="1607">
        <f>(141.5*999.012 )/(AN110+131.5)</f>
        <v>869.90891076923083</v>
      </c>
      <c r="AQ110" s="1607">
        <f>IF(AN110&lt;37,(103.872/AP110^2)+(0.2701/AP110),0)</f>
        <v>4.4775447224973386E-4</v>
      </c>
      <c r="AR110" s="1607">
        <f>IF(AND(AN110&gt;=37,AN110&lt;48),330.301/AP110^2,0)</f>
        <v>0</v>
      </c>
      <c r="AS110" s="1607">
        <f>IF(AND(AN110&gt;=48,AN110&lt;52),((1489.067/AP110^2)-0.0018684),0)</f>
        <v>0</v>
      </c>
      <c r="AT110" s="1607">
        <f>IF(AND(AN110&gt;=52,AN110&lt;85),(192.4571/AP110^2)+(0.2438/AP110),0)</f>
        <v>0</v>
      </c>
      <c r="AU110" s="1687">
        <f>MAX(AQ110:AT110)</f>
        <v>4.4775447224973386E-4</v>
      </c>
      <c r="AV110" s="1607">
        <f>1+0.8*AU110*(AO110-60)</f>
        <v>1.0608946082259638</v>
      </c>
      <c r="AW110" s="1093">
        <f>ROUND(EXP(AU110*(AO110-60)*AV110*-1),4)</f>
        <v>0.9224</v>
      </c>
      <c r="AX110" s="2549">
        <f>AY110*AW110</f>
        <v>92240</v>
      </c>
      <c r="AY110" s="2550">
        <f>AE115</f>
        <v>100000</v>
      </c>
      <c r="AZ110" s="12"/>
      <c r="BA110" s="12"/>
      <c r="BB110" s="12"/>
      <c r="BC110" s="12"/>
      <c r="BE110" s="520"/>
      <c r="BG110" s="1681"/>
      <c r="BH110" s="1682"/>
      <c r="BI110" s="1683"/>
      <c r="BJ110" s="33"/>
      <c r="BK110" s="12"/>
      <c r="BL110" s="2555"/>
      <c r="BM110" s="12"/>
      <c r="BN110" s="33"/>
      <c r="BO110" s="1681"/>
      <c r="BP110" s="1682"/>
      <c r="BQ110" s="1682"/>
      <c r="BR110" s="520"/>
    </row>
    <row r="111" spans="28:70" ht="13.15">
      <c r="AB111" s="2482"/>
      <c r="AG111" s="12"/>
      <c r="AH111" s="12"/>
      <c r="AI111" s="12"/>
      <c r="AJ111" s="12"/>
      <c r="AK111" s="2542" t="s">
        <v>578</v>
      </c>
      <c r="AL111" s="1786">
        <f>AE119</f>
        <v>31.2</v>
      </c>
      <c r="AM111" s="1787">
        <f>AE125</f>
        <v>257</v>
      </c>
      <c r="AN111" s="2543">
        <f>FLOOR(AL111,1)+IF(MOD(AL111,1)&lt;0.26,0,IF(MOD(AL111,1)&lt;0.76,0.5,1))</f>
        <v>31</v>
      </c>
      <c r="AO111" s="2543">
        <f>FLOOR(AM111,1)+IF(MOD(AM111,1)&lt;0.26,0,IF(MOD(AM111,1)&lt;0.76,0.5,1))</f>
        <v>257</v>
      </c>
      <c r="AP111" s="1607">
        <f>(141.5*999.012 )/(AN111+131.5)</f>
        <v>869.90891076923083</v>
      </c>
      <c r="AQ111" s="1607">
        <f>IF(AN111&lt;37,(103.872/AP111^2)+(0.2701/AP111),0)</f>
        <v>4.4775447224973386E-4</v>
      </c>
      <c r="AR111" s="1607">
        <f>IF(AND(AN111&gt;=37,AN111&lt;48),330.301/AP111^2,0)</f>
        <v>0</v>
      </c>
      <c r="AS111" s="1607">
        <f>IF(AND(AN111&gt;=48,AN111&lt;52),((1489.067/AP111^2)-0.0018684),0)</f>
        <v>0</v>
      </c>
      <c r="AT111" s="1607">
        <f>IF(AND(AN111&gt;=52,AN111&lt;85),(192.4571/AP111^2)+(0.2438/AP111),0)</f>
        <v>0</v>
      </c>
      <c r="AU111" s="1687">
        <f>MAX(AQ111:AT111)</f>
        <v>4.4775447224973386E-4</v>
      </c>
      <c r="AV111" s="1607">
        <f>1+0.8*AU111*(AO111-60)</f>
        <v>1.070566104826558</v>
      </c>
      <c r="AW111" s="1093">
        <f>ROUND(EXP(AU111*(AO111-60)*AV111*-1),4)</f>
        <v>0.90990000000000004</v>
      </c>
      <c r="AX111" s="2549">
        <f>AY111*AW111</f>
        <v>92240</v>
      </c>
      <c r="AY111" s="2550">
        <f>AX110/AW111</f>
        <v>101373.77733816902</v>
      </c>
      <c r="AZ111" s="171"/>
      <c r="BA111" s="171"/>
      <c r="BB111" s="171"/>
      <c r="BC111" s="171"/>
      <c r="BE111" s="520"/>
      <c r="BG111" s="1650">
        <f>VLOOKUP(BG112,BG120:BG970,TRUE)</f>
        <v>31.2</v>
      </c>
      <c r="BH111" s="1651">
        <f>VLOOKUP(BG111,BG120:BH970,2)</f>
        <v>0.86970000000000003</v>
      </c>
      <c r="BI111" s="1652">
        <f>VLOOKUP(BG111,BG120:BI970,3)</f>
        <v>869.2</v>
      </c>
      <c r="BJ111" s="33"/>
      <c r="BK111" s="1650">
        <f>VLOOKUP(BK112,BK120:BK970,TRUE)</f>
        <v>0.86899999999999999</v>
      </c>
      <c r="BL111" s="2522">
        <f>VLOOKUP(BK111,BK120:BL545,2)</f>
        <v>31.33</v>
      </c>
      <c r="BM111" s="2524">
        <f>VLOOKUP(BK111,BK120:BM545,3)</f>
        <v>868.5</v>
      </c>
      <c r="BN111" s="33"/>
      <c r="BO111" s="1650">
        <f>VLOOKUP(BO112,BO120:BO545,TRUE)</f>
        <v>869</v>
      </c>
      <c r="BP111" s="1651">
        <f>VLOOKUP(BO111,BO120:BP545,2)</f>
        <v>0.86950000000000005</v>
      </c>
      <c r="BQ111" s="1655">
        <f>VLOOKUP(BO111,BO120:BQ545,3)</f>
        <v>31.24</v>
      </c>
      <c r="BR111" s="520"/>
    </row>
    <row r="112" spans="28:70" ht="13.15">
      <c r="AB112" s="2482"/>
      <c r="AK112" s="2482"/>
      <c r="AL112" s="171"/>
      <c r="AM112" s="171"/>
      <c r="AN112" s="171"/>
      <c r="AO112" s="171"/>
      <c r="AP112" s="171"/>
      <c r="AQ112" s="171"/>
      <c r="AR112" s="171"/>
      <c r="AS112" s="171"/>
      <c r="AT112" s="171"/>
      <c r="AU112" s="171"/>
      <c r="AV112" s="171"/>
      <c r="AW112" s="171"/>
      <c r="AX112" s="171"/>
      <c r="AY112" s="171"/>
      <c r="AZ112" s="171"/>
      <c r="BA112" s="171"/>
      <c r="BB112" s="171"/>
      <c r="BC112" s="171"/>
      <c r="BE112" s="520"/>
      <c r="BG112" s="1656">
        <f>AE119</f>
        <v>31.2</v>
      </c>
      <c r="BH112" s="1657">
        <f>BH111+((BG112-BG111)/(BG113-BG111))*(BH113-BH111)</f>
        <v>0.86970000000000003</v>
      </c>
      <c r="BI112" s="1658">
        <f>BI111+((BG112-BG111)/(BG113-BG111))*(BI113-BI111)</f>
        <v>869.2</v>
      </c>
      <c r="BJ112" s="33"/>
      <c r="BK112" s="2528">
        <f>AE120</f>
        <v>0.86970000000000003</v>
      </c>
      <c r="BL112" s="2523">
        <f>BL111+((BK112-BK111)/(BK113-BK111))*(BL113-BL111)</f>
        <v>31.196999999999992</v>
      </c>
      <c r="BM112" s="2525">
        <f>BM111+((BK112-BK111)/(BK113-BK111))*(BM113-BM111)</f>
        <v>869.2</v>
      </c>
      <c r="BN112" s="33"/>
      <c r="BO112" s="1661">
        <f>AE121</f>
        <v>869.2</v>
      </c>
      <c r="BP112" s="1657">
        <f>BP111+((BO112-BO111)/(BO113-BO111))*(BP113-BP111)</f>
        <v>0.86970000000000014</v>
      </c>
      <c r="BQ112" s="1662">
        <f>BQ111+((BO112-BO111)/(BO113-BO111))*(BQ113-BQ111)</f>
        <v>31.20399999999999</v>
      </c>
      <c r="BR112" s="520"/>
    </row>
    <row r="113" spans="28:70" ht="13.15">
      <c r="AB113" s="2482"/>
      <c r="AC113" s="3243" t="s">
        <v>1198</v>
      </c>
      <c r="AD113" s="3244"/>
      <c r="AE113" s="3244"/>
      <c r="AF113" s="3244"/>
      <c r="AG113" s="3244"/>
      <c r="AH113" s="3244"/>
      <c r="AI113" s="3245"/>
      <c r="AK113" s="2482"/>
      <c r="AL113" s="171"/>
      <c r="AM113" s="171"/>
      <c r="AN113" s="171"/>
      <c r="AO113" s="171"/>
      <c r="AP113" s="171"/>
      <c r="AQ113" s="171"/>
      <c r="AR113" s="171"/>
      <c r="AS113" s="171"/>
      <c r="AT113" s="171"/>
      <c r="AU113" s="171"/>
      <c r="AV113" s="171"/>
      <c r="AW113" s="171"/>
      <c r="AX113" s="171"/>
      <c r="AY113" s="171"/>
      <c r="AZ113" s="171"/>
      <c r="BA113" s="171"/>
      <c r="BB113" s="171"/>
      <c r="BC113" s="171"/>
      <c r="BE113" s="520"/>
      <c r="BG113" s="2422">
        <f>INDEX(BG120:BG970,(MATCH(BG111,BG120:BG970,1)+1))</f>
        <v>31.3</v>
      </c>
      <c r="BH113" s="2423">
        <f>VLOOKUP(BG113,BG120:BH970,2)</f>
        <v>0.86919999999999997</v>
      </c>
      <c r="BI113" s="2424">
        <f>VLOOKUP(BG113,BG120:BI970,3)</f>
        <v>868.7</v>
      </c>
      <c r="BJ113" s="33"/>
      <c r="BK113" s="2422">
        <f>INDEX(BK120:BK545,(MATCH(BK111,BK120:BK545,1)+1))</f>
        <v>0.87</v>
      </c>
      <c r="BL113" s="2526">
        <f>VLOOKUP(BK113,BK120:BL545,2)</f>
        <v>31.14</v>
      </c>
      <c r="BM113" s="2527">
        <f>VLOOKUP(BK113,BK120:BM545,3)</f>
        <v>869.5</v>
      </c>
      <c r="BN113" s="33"/>
      <c r="BO113" s="2422">
        <f>INDEX(BO120:BO545,(MATCH(BO111,BO120:BO545,1)+1))</f>
        <v>870</v>
      </c>
      <c r="BP113" s="2423">
        <f>VLOOKUP(BO113,BO120:BP545,2)</f>
        <v>0.87050000000000005</v>
      </c>
      <c r="BQ113" s="2427">
        <f>VLOOKUP(BO113,BO120:BQ545,3)</f>
        <v>31.06</v>
      </c>
      <c r="BR113" s="520"/>
    </row>
    <row r="114" spans="28:70" ht="13.15">
      <c r="AB114" s="2482"/>
      <c r="AC114" s="2482"/>
      <c r="AD114" s="2496" t="str">
        <f>IF(AC104&lt;3,"A.P.I. ",IF(AC104&lt;5,"Relative Dencity","Density "))</f>
        <v xml:space="preserve">A.P.I. </v>
      </c>
      <c r="AE114" s="2508">
        <f>G11</f>
        <v>31.2</v>
      </c>
      <c r="AF114" s="2846" t="str">
        <f>IF(AC104&lt;5,"",IF(AE114&gt;1," kg/m³@15°C"," kg/L@15°C"))</f>
        <v/>
      </c>
      <c r="AI114" s="520"/>
      <c r="AK114" s="2529" t="s">
        <v>325</v>
      </c>
      <c r="AL114" s="2434"/>
      <c r="AM114" s="2434"/>
      <c r="AN114" s="2434"/>
      <c r="AO114" s="2434"/>
      <c r="AP114" s="2434"/>
      <c r="AQ114" s="2434"/>
      <c r="AR114" s="2434"/>
      <c r="AS114" s="2434"/>
      <c r="AT114" s="2434"/>
      <c r="AU114" s="2434"/>
      <c r="AV114" s="2434"/>
      <c r="AW114" s="2434"/>
      <c r="AX114" s="2434"/>
      <c r="AY114" s="2434"/>
      <c r="AZ114" s="2434"/>
      <c r="BA114" s="2434"/>
      <c r="BB114" s="2434"/>
      <c r="BC114" s="2530"/>
      <c r="BD114" s="2434"/>
      <c r="BE114" s="2530"/>
      <c r="BG114" s="2301" t="s">
        <v>985</v>
      </c>
      <c r="BH114" s="2292"/>
      <c r="BI114" s="2292"/>
      <c r="BJ114" s="2434"/>
      <c r="BK114" s="2292"/>
      <c r="BL114" s="2292"/>
      <c r="BM114" s="2292"/>
      <c r="BN114" s="2434"/>
      <c r="BO114" s="2292"/>
      <c r="BP114" s="2292"/>
      <c r="BQ114" s="2292"/>
      <c r="BR114" s="520"/>
    </row>
    <row r="115" spans="28:70" ht="13.15">
      <c r="AB115" s="2482"/>
      <c r="AC115" s="2482"/>
      <c r="AD115" s="2496" t="s">
        <v>571</v>
      </c>
      <c r="AE115" s="2509">
        <f>G12</f>
        <v>100000</v>
      </c>
      <c r="AF115" s="2846" t="str">
        <f>IF(AC104&lt;5," Bbls @obs.temp."," Cub.m.@obs.temp.")</f>
        <v xml:space="preserve"> Bbls @obs.temp.</v>
      </c>
      <c r="AI115" s="520"/>
      <c r="AK115" s="2533"/>
      <c r="AL115" s="2534" t="s">
        <v>576</v>
      </c>
      <c r="AM115" s="2535"/>
      <c r="AN115" s="2529" t="s">
        <v>302</v>
      </c>
      <c r="AO115" s="2434"/>
      <c r="AP115" s="2371" t="s">
        <v>307</v>
      </c>
      <c r="AQ115" s="3237" t="s">
        <v>308</v>
      </c>
      <c r="AR115" s="3238"/>
      <c r="AS115" s="3229" t="s">
        <v>311</v>
      </c>
      <c r="AT115" s="3230"/>
      <c r="AU115" s="3230"/>
      <c r="AV115" s="3231"/>
      <c r="AW115" s="2371" t="s">
        <v>316</v>
      </c>
      <c r="AX115" s="3229" t="s">
        <v>322</v>
      </c>
      <c r="AY115" s="3230"/>
      <c r="AZ115" s="3230"/>
      <c r="BA115" s="3230"/>
      <c r="BB115" s="3231"/>
      <c r="BC115" s="2540" t="s">
        <v>204</v>
      </c>
      <c r="BD115" s="3227" t="s">
        <v>585</v>
      </c>
      <c r="BE115" s="3227" t="s">
        <v>586</v>
      </c>
      <c r="BG115" s="2428" t="s">
        <v>11</v>
      </c>
      <c r="BH115" s="2429"/>
      <c r="BI115" s="2429"/>
      <c r="BJ115" s="2406"/>
      <c r="BK115" s="2556" t="s">
        <v>111</v>
      </c>
      <c r="BL115" s="2557"/>
      <c r="BM115" s="2557"/>
      <c r="BN115" s="2406"/>
      <c r="BO115" s="2431" t="s">
        <v>12</v>
      </c>
      <c r="BP115" s="2432"/>
      <c r="BQ115" s="2433"/>
      <c r="BR115" s="520"/>
    </row>
    <row r="116" spans="28:70" ht="15">
      <c r="AB116" s="2482"/>
      <c r="AC116" s="2482"/>
      <c r="AD116" s="2496" t="s">
        <v>572</v>
      </c>
      <c r="AE116" s="2510">
        <f>G13</f>
        <v>110</v>
      </c>
      <c r="AF116" s="2846" t="str">
        <f>IF(AC104&lt;5," °F"," °C")</f>
        <v xml:space="preserve"> °F</v>
      </c>
      <c r="AI116" s="520"/>
      <c r="AK116" s="1091"/>
      <c r="AL116" s="1607" t="s">
        <v>251</v>
      </c>
      <c r="AM116" s="1607" t="s">
        <v>301</v>
      </c>
      <c r="AN116" s="2558" t="s">
        <v>251</v>
      </c>
      <c r="AO116" s="2529" t="s">
        <v>205</v>
      </c>
      <c r="AP116" s="2372" t="s">
        <v>306</v>
      </c>
      <c r="AQ116" s="2372" t="s">
        <v>1193</v>
      </c>
      <c r="AR116" s="2372" t="s">
        <v>1194</v>
      </c>
      <c r="AS116" s="2372" t="s">
        <v>1195</v>
      </c>
      <c r="AT116" s="2372" t="s">
        <v>1196</v>
      </c>
      <c r="AU116" s="2372" t="s">
        <v>1197</v>
      </c>
      <c r="AV116" s="2559" t="s">
        <v>315</v>
      </c>
      <c r="AW116" s="2559" t="s">
        <v>317</v>
      </c>
      <c r="AX116" s="2477" t="s">
        <v>319</v>
      </c>
      <c r="AY116" s="2477" t="s">
        <v>318</v>
      </c>
      <c r="AZ116" s="2477" t="s">
        <v>320</v>
      </c>
      <c r="BA116" s="2477" t="s">
        <v>321</v>
      </c>
      <c r="BB116" s="2560" t="s">
        <v>323</v>
      </c>
      <c r="BC116" s="1092" t="s">
        <v>304</v>
      </c>
      <c r="BD116" s="3227"/>
      <c r="BE116" s="3227"/>
      <c r="BG116" s="2408" t="s">
        <v>18</v>
      </c>
      <c r="BH116" s="2409" t="s">
        <v>19</v>
      </c>
      <c r="BI116" s="2410" t="s">
        <v>20</v>
      </c>
      <c r="BJ116" s="2406"/>
      <c r="BK116" s="177" t="s">
        <v>19</v>
      </c>
      <c r="BL116" s="178" t="s">
        <v>18</v>
      </c>
      <c r="BM116" s="179" t="s">
        <v>20</v>
      </c>
      <c r="BN116" s="2406"/>
      <c r="BO116" s="2408" t="s">
        <v>20</v>
      </c>
      <c r="BP116" s="2409" t="s">
        <v>19</v>
      </c>
      <c r="BQ116" s="2410" t="s">
        <v>18</v>
      </c>
      <c r="BR116" s="520"/>
    </row>
    <row r="117" spans="28:70" ht="13.25" customHeight="1">
      <c r="AB117" s="2482"/>
      <c r="AC117" s="2482"/>
      <c r="AD117" s="2496" t="s">
        <v>573</v>
      </c>
      <c r="AE117" s="2510">
        <f>G14</f>
        <v>125</v>
      </c>
      <c r="AF117" s="2846" t="str">
        <f>IF(AC104&lt;5," °F"," °C")</f>
        <v xml:space="preserve"> °F</v>
      </c>
      <c r="AI117" s="520"/>
      <c r="AK117" s="2542" t="s">
        <v>577</v>
      </c>
      <c r="AL117" s="2561">
        <f>AE120</f>
        <v>0.86970000000000003</v>
      </c>
      <c r="AM117" s="1786">
        <f>AE123</f>
        <v>230</v>
      </c>
      <c r="AN117" s="2562">
        <f>MROUND(AL117,0.002)</f>
        <v>0.87</v>
      </c>
      <c r="AO117" s="2543">
        <f>FLOOR(AM117,1)+IF(MOD(AM117,1)&lt;0.26,0,IF(MOD(AM117,1)&lt;0.76,0.5,1))</f>
        <v>230</v>
      </c>
      <c r="AP117" s="1607">
        <f>MROUND(AN117*999.012,0.01)</f>
        <v>869.14</v>
      </c>
      <c r="AQ117" s="1607">
        <v>341.09570000000002</v>
      </c>
      <c r="AR117" s="2563">
        <v>0</v>
      </c>
      <c r="AS117" s="2564">
        <f>TRUNC(AQ117/AP117,8)</f>
        <v>0.39245195999999999</v>
      </c>
      <c r="AT117" s="2565">
        <f>TRUNC(AS117/AP117,10)</f>
        <v>4.5154050000000001E-4</v>
      </c>
      <c r="AU117" s="2566">
        <f>AR117/AP117</f>
        <v>0</v>
      </c>
      <c r="AV117" s="2567">
        <f>MROUND(AT117+AU117,0.0000001)</f>
        <v>4.5149999999999997E-4</v>
      </c>
      <c r="AW117" s="2568">
        <f>AO117-60</f>
        <v>170</v>
      </c>
      <c r="AX117" s="2569">
        <f>AV117*AW117</f>
        <v>7.675499999999999E-2</v>
      </c>
      <c r="AY117" s="2569">
        <f>0.8*AX117</f>
        <v>6.1403999999999993E-2</v>
      </c>
      <c r="AZ117" s="2569">
        <f>0.8*AV117^2*AW117^2</f>
        <v>4.7130640200000002E-3</v>
      </c>
      <c r="BA117" s="2569">
        <f>-AX117-AZ117</f>
        <v>-8.1468064019999994E-2</v>
      </c>
      <c r="BB117" s="2563">
        <f>TRUNC(EXP(BA117),6)</f>
        <v>0.92176199999999997</v>
      </c>
      <c r="BC117" s="2570">
        <f>ROUND(MROUND(BB117,0.00001),4)</f>
        <v>0.92179999999999995</v>
      </c>
      <c r="BD117" s="2549">
        <f>BE117*BC117</f>
        <v>92180</v>
      </c>
      <c r="BE117" s="2550">
        <f>AE115</f>
        <v>100000</v>
      </c>
      <c r="BG117" s="2412" t="s">
        <v>26</v>
      </c>
      <c r="BH117" s="2413" t="s">
        <v>20</v>
      </c>
      <c r="BI117" s="2414"/>
      <c r="BJ117" s="2406"/>
      <c r="BK117" s="180" t="s">
        <v>20</v>
      </c>
      <c r="BL117" s="181" t="s">
        <v>26</v>
      </c>
      <c r="BM117" s="182"/>
      <c r="BN117" s="2406"/>
      <c r="BO117" s="2412"/>
      <c r="BP117" s="2415" t="s">
        <v>20</v>
      </c>
      <c r="BQ117" s="2414" t="s">
        <v>26</v>
      </c>
      <c r="BR117" s="520"/>
    </row>
    <row r="118" spans="28:70" ht="13.15">
      <c r="AB118" s="2482"/>
      <c r="AC118" s="2482"/>
      <c r="AI118" s="520"/>
      <c r="AK118" s="2542" t="s">
        <v>578</v>
      </c>
      <c r="AL118" s="2561">
        <f>AE120</f>
        <v>0.86970000000000003</v>
      </c>
      <c r="AM118" s="1786">
        <f>AE125</f>
        <v>257</v>
      </c>
      <c r="AN118" s="2562">
        <f>MROUND(AL118,0.002)</f>
        <v>0.87</v>
      </c>
      <c r="AO118" s="2543">
        <f>FLOOR(AM118,1)+IF(MOD(AM118,1)&lt;0.26,0,IF(MOD(AM118,1)&lt;0.76,0.5,1))</f>
        <v>257</v>
      </c>
      <c r="AP118" s="1607">
        <f>MROUND(AN118*999.012,0.01)</f>
        <v>869.14</v>
      </c>
      <c r="AQ118" s="1607">
        <v>341.09570000000002</v>
      </c>
      <c r="AR118" s="2563">
        <v>0</v>
      </c>
      <c r="AS118" s="2564">
        <f>TRUNC(AQ118/AP118,8)</f>
        <v>0.39245195999999999</v>
      </c>
      <c r="AT118" s="2565">
        <f>TRUNC(AS118/AP118,10)</f>
        <v>4.5154050000000001E-4</v>
      </c>
      <c r="AU118" s="2566">
        <f>AR118/AP118</f>
        <v>0</v>
      </c>
      <c r="AV118" s="2567">
        <f>MROUND(AT118+AU118,0.0000001)</f>
        <v>4.5149999999999997E-4</v>
      </c>
      <c r="AW118" s="2568">
        <f>AO118-60</f>
        <v>197</v>
      </c>
      <c r="AX118" s="2569">
        <f>AV118*AW118</f>
        <v>8.8945499999999997E-2</v>
      </c>
      <c r="AY118" s="2569">
        <f>0.8*AX118</f>
        <v>7.1156399999999995E-2</v>
      </c>
      <c r="AZ118" s="2569">
        <f>0.8*AV118^2*AW118^2</f>
        <v>6.3290415761999997E-3</v>
      </c>
      <c r="BA118" s="2569">
        <f>-AX118-AZ118</f>
        <v>-9.5274541576199995E-2</v>
      </c>
      <c r="BB118" s="2563">
        <f>TRUNC(EXP(BA118),6)</f>
        <v>0.90912300000000001</v>
      </c>
      <c r="BC118" s="2570">
        <f>ROUND(MROUND(BB118,0.00001),4)</f>
        <v>0.90910000000000002</v>
      </c>
      <c r="BD118" s="2549">
        <f>BE118*BC118</f>
        <v>92180</v>
      </c>
      <c r="BE118" s="2550">
        <f>BD117/BC118</f>
        <v>101396.9860301397</v>
      </c>
      <c r="BG118" s="2412"/>
      <c r="BH118" s="2413"/>
      <c r="BI118" s="2414"/>
      <c r="BJ118" s="2406"/>
      <c r="BK118" s="180"/>
      <c r="BL118" s="181"/>
      <c r="BM118" s="182"/>
      <c r="BN118" s="2406"/>
      <c r="BO118" s="2412"/>
      <c r="BP118" s="2415"/>
      <c r="BQ118" s="2414"/>
      <c r="BR118" s="520"/>
    </row>
    <row r="119" spans="28:70">
      <c r="AB119" s="2482"/>
      <c r="AC119" s="2482"/>
      <c r="AD119" s="2511" t="s">
        <v>130</v>
      </c>
      <c r="AE119" s="2507">
        <f>IF(AC104&lt;3,AE114,IF(AC104&lt;5,BL108,BQ108))</f>
        <v>31.2</v>
      </c>
      <c r="AI119" s="520"/>
      <c r="AK119" s="2551"/>
      <c r="AL119" s="2551"/>
      <c r="AM119" s="541"/>
      <c r="AN119" s="561"/>
      <c r="AO119" s="561"/>
      <c r="AP119" s="561"/>
      <c r="AQ119" s="541"/>
      <c r="AR119" s="541"/>
      <c r="AS119" s="541"/>
      <c r="AT119" s="541"/>
      <c r="AU119" s="541"/>
      <c r="AV119" s="5"/>
      <c r="AW119" s="5"/>
      <c r="AX119" s="5"/>
      <c r="AY119" s="5"/>
      <c r="AZ119" s="5"/>
      <c r="BA119" s="5"/>
      <c r="BB119" s="5"/>
      <c r="BC119" s="542"/>
      <c r="BD119" s="12"/>
      <c r="BE119" s="398"/>
      <c r="BG119" s="2416" t="s">
        <v>32</v>
      </c>
      <c r="BH119" s="2417" t="s">
        <v>33</v>
      </c>
      <c r="BI119" s="2418" t="s">
        <v>31</v>
      </c>
      <c r="BJ119" s="2406"/>
      <c r="BK119" s="2571" t="s">
        <v>35</v>
      </c>
      <c r="BL119" s="2572" t="s">
        <v>32</v>
      </c>
      <c r="BM119" s="2573" t="s">
        <v>31</v>
      </c>
      <c r="BN119" s="2406"/>
      <c r="BO119" s="2416" t="s">
        <v>34</v>
      </c>
      <c r="BP119" s="2419" t="s">
        <v>35</v>
      </c>
      <c r="BQ119" s="2418" t="s">
        <v>32</v>
      </c>
      <c r="BR119" s="520"/>
    </row>
    <row r="120" spans="28:70" ht="13.15">
      <c r="AB120" s="2482"/>
      <c r="AC120" s="2482"/>
      <c r="AD120" s="2511" t="s">
        <v>132</v>
      </c>
      <c r="AE120" s="291">
        <f>IF(AC104&lt;3,BH108,IF(AC104&lt;5,AE114,BP108))</f>
        <v>0.86970000000000003</v>
      </c>
      <c r="AF120" s="6" t="s">
        <v>1281</v>
      </c>
      <c r="AI120" s="520"/>
      <c r="AK120" s="2533"/>
      <c r="AL120" s="2534" t="s">
        <v>576</v>
      </c>
      <c r="AM120" s="2535"/>
      <c r="AN120" s="2529" t="s">
        <v>303</v>
      </c>
      <c r="AO120" s="2434"/>
      <c r="AP120" s="1606" t="s">
        <v>307</v>
      </c>
      <c r="AQ120" s="3232" t="s">
        <v>308</v>
      </c>
      <c r="AR120" s="3233"/>
      <c r="AS120" s="3234" t="s">
        <v>311</v>
      </c>
      <c r="AT120" s="3235"/>
      <c r="AU120" s="3235"/>
      <c r="AV120" s="3236"/>
      <c r="AW120" s="1606" t="s">
        <v>316</v>
      </c>
      <c r="AX120" s="3234" t="s">
        <v>322</v>
      </c>
      <c r="AY120" s="3235"/>
      <c r="AZ120" s="3235"/>
      <c r="BA120" s="3235"/>
      <c r="BB120" s="3236"/>
      <c r="BC120" s="2540" t="s">
        <v>204</v>
      </c>
      <c r="BD120" s="3227" t="s">
        <v>581</v>
      </c>
      <c r="BE120" s="3227" t="s">
        <v>582</v>
      </c>
      <c r="BG120" s="30">
        <v>0</v>
      </c>
      <c r="BH120" s="31">
        <v>1.0760000000000001</v>
      </c>
      <c r="BI120" s="32">
        <v>1075.3</v>
      </c>
      <c r="BJ120" s="33"/>
      <c r="BK120" s="2574">
        <v>0.65</v>
      </c>
      <c r="BL120" s="2575"/>
      <c r="BM120" s="2576"/>
      <c r="BN120" s="33"/>
      <c r="BO120" s="1713">
        <v>650</v>
      </c>
      <c r="BP120" s="1714"/>
      <c r="BQ120" s="1715"/>
      <c r="BR120" s="520"/>
    </row>
    <row r="121" spans="28:70">
      <c r="AB121" s="2482"/>
      <c r="AC121" s="2482"/>
      <c r="AD121" s="2511" t="s">
        <v>131</v>
      </c>
      <c r="AE121" s="2514">
        <f>IF(AC104&lt;3,BI108,IF(AC104&lt;5,BM108,IF(AE114&gt;2,AE114,AE114*1000)))</f>
        <v>869.2</v>
      </c>
      <c r="AF121" s="6" t="s">
        <v>1282</v>
      </c>
      <c r="AI121" s="520"/>
      <c r="AK121" s="1091"/>
      <c r="AL121" s="1607" t="s">
        <v>251</v>
      </c>
      <c r="AM121" s="1607" t="s">
        <v>301</v>
      </c>
      <c r="AN121" s="2558" t="s">
        <v>251</v>
      </c>
      <c r="AO121" s="2529" t="s">
        <v>205</v>
      </c>
      <c r="AP121" s="1607" t="s">
        <v>306</v>
      </c>
      <c r="AQ121" s="1607" t="str">
        <f>IF(AN122&gt;=0.839,"Kₒ",IF(AN122&gt;=0.789,"Kₒ",IF(AN122&gt;=0.771,"B","Kₒ")))</f>
        <v>Kₒ</v>
      </c>
      <c r="AR121" s="1607" t="str">
        <f>IF(AN122&gt;=0.839,"K1",IF(AN122&gt;=0.789,"K1",IF(AN122&gt;=0.771,"A","K1")))</f>
        <v>K1</v>
      </c>
      <c r="AS121" s="1607" t="str">
        <f>IF(AN122&gt;=0.839,"Kₒ/ρ",IF(AN122&gt;=0.789,"Kₒ/ρ",IF(AN122&gt;=0.771,"B/ρ","Kₒ/ρ")))</f>
        <v>Kₒ/ρ</v>
      </c>
      <c r="AT121" s="1607" t="str">
        <f>IF(AN122&gt;=0.839,"Kₒ/ρ/ρ",IF(AN122&gt;=0.789,"Kₒ/ρ/ρ",IF(AN122&gt;=0.771,"B/ρ/ρ","Kₒ/ρ/ρ")))</f>
        <v>Kₒ/ρ/ρ</v>
      </c>
      <c r="AU121" s="1607" t="str">
        <f>IF(AN122&gt;=0.839,"K1/ρ",IF(AN122&gt;=0.789,"K1/ρ",IF(AN122&gt;=0.771,"A","K1/ρ")))</f>
        <v>K1/ρ</v>
      </c>
      <c r="AV121" s="2563" t="s">
        <v>315</v>
      </c>
      <c r="AW121" s="2563" t="s">
        <v>317</v>
      </c>
      <c r="AX121" s="1094" t="s">
        <v>319</v>
      </c>
      <c r="AY121" s="1094" t="s">
        <v>318</v>
      </c>
      <c r="AZ121" s="1094" t="s">
        <v>320</v>
      </c>
      <c r="BA121" s="1094" t="s">
        <v>321</v>
      </c>
      <c r="BB121" s="5" t="s">
        <v>323</v>
      </c>
      <c r="BC121" s="1092" t="s">
        <v>305</v>
      </c>
      <c r="BD121" s="3227"/>
      <c r="BE121" s="3227"/>
      <c r="BG121" s="30">
        <v>0.1</v>
      </c>
      <c r="BH121" s="31">
        <v>1.0751999999999999</v>
      </c>
      <c r="BI121" s="32">
        <v>1074.5</v>
      </c>
      <c r="BJ121" s="33"/>
      <c r="BK121" s="197">
        <v>0.65100000000000002</v>
      </c>
      <c r="BL121" s="198"/>
      <c r="BM121" s="199"/>
      <c r="BN121" s="33"/>
      <c r="BO121" s="37">
        <v>651</v>
      </c>
      <c r="BP121" s="38"/>
      <c r="BQ121" s="39"/>
      <c r="BR121" s="520"/>
    </row>
    <row r="122" spans="28:70" ht="13.15">
      <c r="AB122" s="2482"/>
      <c r="AC122" s="2482"/>
      <c r="AD122" s="2511" t="s">
        <v>131</v>
      </c>
      <c r="AE122" s="2515">
        <f>AE121/1000</f>
        <v>0.86920000000000008</v>
      </c>
      <c r="AF122" s="6" t="s">
        <v>1282</v>
      </c>
      <c r="AI122" s="520"/>
      <c r="AK122" s="2554" t="s">
        <v>577</v>
      </c>
      <c r="AL122" s="2561">
        <f>AE120</f>
        <v>0.86970000000000003</v>
      </c>
      <c r="AM122" s="1786">
        <f>AE123</f>
        <v>230</v>
      </c>
      <c r="AN122" s="2562">
        <f>MROUND(AL122,0.002)</f>
        <v>0.87</v>
      </c>
      <c r="AO122" s="2543">
        <f>FLOOR(AM122,1)+IF(MOD(AM122,1)&lt;0.26,0,IF(MOD(AM122,1)&lt;0.76,0.5,1))</f>
        <v>230</v>
      </c>
      <c r="AP122" s="1607">
        <f>MROUND(AN122*999.012,0.01)</f>
        <v>869.14</v>
      </c>
      <c r="AQ122" s="1607">
        <f>IF(AN122&gt;=0.839,103.872,IF(AN122&gt;=0.789,330.301,IF(AN122&gt;=0.771,1489.067,192.4571)))</f>
        <v>103.872</v>
      </c>
      <c r="AR122" s="2563">
        <f>IF(AN122&gt;=0.839,0.2701,IF(AN122&gt;=0.789,0,IF(AN122&gt;=0.771,-0.0018684,0.2438)))</f>
        <v>0.27010000000000001</v>
      </c>
      <c r="AS122" s="2564">
        <f>TRUNC(AQ122/AP122,8)</f>
        <v>0.11951124</v>
      </c>
      <c r="AT122" s="2565">
        <f>TRUNC(AS122/AP122,10)</f>
        <v>1.3750510000000001E-4</v>
      </c>
      <c r="AU122" s="2577">
        <f>IF(AN122&gt;=0.839,AR122/AP122,IF(AN122&gt;=0.789,AR122/AP122,IF(AN122&gt;=0.771,AR122,AR122/AP122)))</f>
        <v>3.1076696504590747E-4</v>
      </c>
      <c r="AV122" s="2567">
        <f>MROUND(AT122+AU122,0.0000001)</f>
        <v>4.483E-4</v>
      </c>
      <c r="AW122" s="2568">
        <f>AO122-60</f>
        <v>170</v>
      </c>
      <c r="AX122" s="2569">
        <f>AV122*AW122</f>
        <v>7.6211000000000001E-2</v>
      </c>
      <c r="AY122" s="2569">
        <f>0.8*AX122</f>
        <v>6.0968800000000004E-2</v>
      </c>
      <c r="AZ122" s="2569">
        <f>0.8*AV122^2*AW122^2</f>
        <v>4.6464932168000005E-3</v>
      </c>
      <c r="BA122" s="2569">
        <f>-AX122-AZ122</f>
        <v>-8.0857493216799997E-2</v>
      </c>
      <c r="BB122" s="2563">
        <f>TRUNC(EXP(BA122),6)</f>
        <v>0.92232499999999995</v>
      </c>
      <c r="BC122" s="2570">
        <f>ROUND(MROUND(BB122,0.00001),4)</f>
        <v>0.92230000000000001</v>
      </c>
      <c r="BD122" s="2549">
        <f>BE122*BC122</f>
        <v>92230</v>
      </c>
      <c r="BE122" s="2550">
        <f>AE115</f>
        <v>100000</v>
      </c>
      <c r="BG122" s="30">
        <v>0.2</v>
      </c>
      <c r="BH122" s="31">
        <v>1.0744</v>
      </c>
      <c r="BI122" s="32">
        <v>1073.7</v>
      </c>
      <c r="BJ122" s="33"/>
      <c r="BK122" s="197">
        <v>0.65200000000000002</v>
      </c>
      <c r="BL122" s="198"/>
      <c r="BM122" s="199"/>
      <c r="BN122" s="33"/>
      <c r="BO122" s="37">
        <v>652</v>
      </c>
      <c r="BP122" s="38"/>
      <c r="BQ122" s="39"/>
      <c r="BR122" s="520"/>
    </row>
    <row r="123" spans="28:70" ht="13.15">
      <c r="AB123" s="2482"/>
      <c r="AC123" s="2482"/>
      <c r="AD123" s="514" t="s">
        <v>1200</v>
      </c>
      <c r="AE123" s="2517">
        <f>IF(AF116="°F",AE116,ROUND((9/5)*AE116+32,1))</f>
        <v>230</v>
      </c>
      <c r="AF123" s="6" t="s">
        <v>334</v>
      </c>
      <c r="AI123" s="520"/>
      <c r="AK123" s="2542" t="s">
        <v>578</v>
      </c>
      <c r="AL123" s="2561">
        <f>AE120</f>
        <v>0.86970000000000003</v>
      </c>
      <c r="AM123" s="1786">
        <f>AE125</f>
        <v>257</v>
      </c>
      <c r="AN123" s="2562">
        <f>MROUND(AL123,0.002)</f>
        <v>0.87</v>
      </c>
      <c r="AO123" s="2543">
        <f>FLOOR(AM123,1)+IF(MOD(AM123,1)&lt;0.26,0,IF(MOD(AM123,1)&lt;0.76,0.5,1))</f>
        <v>257</v>
      </c>
      <c r="AP123" s="1607">
        <f>MROUND(AN123*999.012,0.01)</f>
        <v>869.14</v>
      </c>
      <c r="AQ123" s="1607">
        <f>IF(AN123&gt;=0.839,103.872,IF(AN123&gt;=0.789,330.301,IF(AN123&gt;=0.771,1489.067,192.4571)))</f>
        <v>103.872</v>
      </c>
      <c r="AR123" s="2563">
        <f>IF(AN123&gt;=0.839,0.2701,IF(AN123&gt;=0.789,0,IF(AN123&gt;=0.771,-0.0018684,0.2438)))</f>
        <v>0.27010000000000001</v>
      </c>
      <c r="AS123" s="2564">
        <f>TRUNC(AQ123/AP123,8)</f>
        <v>0.11951124</v>
      </c>
      <c r="AT123" s="2565">
        <f>TRUNC(AS123/AP123,10)</f>
        <v>1.3750510000000001E-4</v>
      </c>
      <c r="AU123" s="2577">
        <f>IF(AN123&gt;=0.839,AR123/AP123,IF(AN123&gt;=0.789,AR123/AP123,IF(AN123&gt;=0.771,AR123,AR123/AP123)))</f>
        <v>3.1076696504590747E-4</v>
      </c>
      <c r="AV123" s="2567">
        <f>MROUND(AT123+AU123,0.0000001)</f>
        <v>4.483E-4</v>
      </c>
      <c r="AW123" s="2568">
        <f>AO123-60</f>
        <v>197</v>
      </c>
      <c r="AX123" s="2569">
        <f>AV123*AW123</f>
        <v>8.8315099999999994E-2</v>
      </c>
      <c r="AY123" s="2569">
        <f>0.8*AX123</f>
        <v>7.0652079999999992E-2</v>
      </c>
      <c r="AZ123" s="2569">
        <f>0.8*AV123^2*AW123^2</f>
        <v>6.239645510408E-3</v>
      </c>
      <c r="BA123" s="2569">
        <f>-AX123-AZ123</f>
        <v>-9.4554745510407989E-2</v>
      </c>
      <c r="BB123" s="2563">
        <f>TRUNC(EXP(BA123),6)</f>
        <v>0.90977699999999995</v>
      </c>
      <c r="BC123" s="2570">
        <f>ROUND(MROUND(BB123,0.00001),4)</f>
        <v>0.90980000000000005</v>
      </c>
      <c r="BD123" s="2549">
        <f>BE123*BC123</f>
        <v>92230</v>
      </c>
      <c r="BE123" s="2550">
        <f>BD122/BC123</f>
        <v>101373.92833589799</v>
      </c>
      <c r="BG123" s="30">
        <v>0.3</v>
      </c>
      <c r="BH123" s="31">
        <v>1.0736000000000001</v>
      </c>
      <c r="BI123" s="32">
        <v>1072.9000000000001</v>
      </c>
      <c r="BJ123" s="33"/>
      <c r="BK123" s="197">
        <v>0.65300000000000002</v>
      </c>
      <c r="BL123" s="198"/>
      <c r="BM123" s="199"/>
      <c r="BN123" s="33"/>
      <c r="BO123" s="37">
        <v>653</v>
      </c>
      <c r="BP123" s="38"/>
      <c r="BQ123" s="39"/>
      <c r="BR123" s="520"/>
    </row>
    <row r="124" spans="28:70">
      <c r="AB124" s="2482"/>
      <c r="AC124" s="2482"/>
      <c r="AD124" s="514" t="s">
        <v>1200</v>
      </c>
      <c r="AE124" s="2516">
        <f>IF(AF116="°C",AE116,ROUND((AE116-32)/9*5,2))</f>
        <v>43.33</v>
      </c>
      <c r="AF124" s="6" t="s">
        <v>333</v>
      </c>
      <c r="AI124" s="520"/>
      <c r="AK124" s="2482"/>
      <c r="AL124" s="5"/>
      <c r="AM124" s="5"/>
      <c r="AN124" s="5"/>
      <c r="AO124" s="5"/>
      <c r="AP124" s="5"/>
      <c r="AQ124" s="5"/>
      <c r="AR124" s="5"/>
      <c r="AS124" s="5"/>
      <c r="AT124" s="5"/>
      <c r="AU124" s="5"/>
      <c r="AV124" s="5"/>
      <c r="AW124" s="5"/>
      <c r="AX124" s="5"/>
      <c r="AY124" s="5"/>
      <c r="AZ124" s="5"/>
      <c r="BA124" s="5"/>
      <c r="BB124" s="5"/>
      <c r="BC124" s="5"/>
      <c r="BE124" s="520"/>
      <c r="BG124" s="30">
        <v>0.4</v>
      </c>
      <c r="BH124" s="31">
        <v>1.0728</v>
      </c>
      <c r="BI124" s="32">
        <v>1072.0999999999999</v>
      </c>
      <c r="BJ124" s="33"/>
      <c r="BK124" s="197">
        <v>0.65400000000000003</v>
      </c>
      <c r="BL124" s="200">
        <v>84.86</v>
      </c>
      <c r="BM124" s="199">
        <v>653.9</v>
      </c>
      <c r="BN124" s="33"/>
      <c r="BO124" s="37">
        <v>654</v>
      </c>
      <c r="BP124" s="38">
        <v>0.65410000000000001</v>
      </c>
      <c r="BQ124" s="39">
        <v>84.83</v>
      </c>
      <c r="BR124" s="520"/>
    </row>
    <row r="125" spans="28:70">
      <c r="AB125" s="2482"/>
      <c r="AC125" s="2482"/>
      <c r="AD125" s="514" t="s">
        <v>1201</v>
      </c>
      <c r="AE125" s="2517">
        <f>IF(AF117="°F",AE117,ROUND((9/5)*AE117+32,1))</f>
        <v>257</v>
      </c>
      <c r="AF125" s="6" t="s">
        <v>334</v>
      </c>
      <c r="AI125" s="520"/>
      <c r="AK125" s="2482"/>
      <c r="AL125" s="5"/>
      <c r="AM125" s="5"/>
      <c r="AN125" s="5"/>
      <c r="AO125" s="5"/>
      <c r="AP125" s="5"/>
      <c r="AQ125" s="5"/>
      <c r="AR125" s="5"/>
      <c r="AS125" s="5"/>
      <c r="AT125" s="5"/>
      <c r="AU125" s="5"/>
      <c r="AV125" s="5"/>
      <c r="AW125" s="5"/>
      <c r="AX125" s="5"/>
      <c r="AY125" s="5"/>
      <c r="AZ125" s="5"/>
      <c r="BA125" s="5"/>
      <c r="BB125" s="5"/>
      <c r="BC125" s="5"/>
      <c r="BE125" s="520"/>
      <c r="BG125" s="30">
        <v>0.5</v>
      </c>
      <c r="BH125" s="31">
        <v>1.0720000000000001</v>
      </c>
      <c r="BI125" s="32">
        <v>1071.3</v>
      </c>
      <c r="BJ125" s="33"/>
      <c r="BK125" s="197">
        <v>0.65500000000000003</v>
      </c>
      <c r="BL125" s="200">
        <v>84.53</v>
      </c>
      <c r="BM125" s="199">
        <v>654.9</v>
      </c>
      <c r="BN125" s="33"/>
      <c r="BO125" s="37">
        <v>655</v>
      </c>
      <c r="BP125" s="38">
        <v>0.65510000000000002</v>
      </c>
      <c r="BQ125" s="39">
        <v>84.49</v>
      </c>
      <c r="BR125" s="520"/>
    </row>
    <row r="126" spans="28:70">
      <c r="AB126" s="2482"/>
      <c r="AC126" s="2482"/>
      <c r="AD126" s="514" t="s">
        <v>1201</v>
      </c>
      <c r="AE126" s="2516">
        <f>IF(AF117="°C",AE117,ROUND((AE117-32)/9*5,2))</f>
        <v>51.67</v>
      </c>
      <c r="AF126" s="6" t="s">
        <v>333</v>
      </c>
      <c r="AI126" s="520"/>
      <c r="AK126" s="2529" t="s">
        <v>326</v>
      </c>
      <c r="AL126" s="2434"/>
      <c r="AM126" s="2434"/>
      <c r="AN126" s="2434"/>
      <c r="AO126" s="2434"/>
      <c r="AP126" s="2434"/>
      <c r="AQ126" s="2434"/>
      <c r="AR126" s="2434"/>
      <c r="AS126" s="2434"/>
      <c r="AT126" s="2434"/>
      <c r="AU126" s="2434"/>
      <c r="AV126" s="2434"/>
      <c r="AW126" s="2434"/>
      <c r="AX126" s="2434"/>
      <c r="AY126" s="2530"/>
      <c r="AZ126" s="5"/>
      <c r="BA126" s="5"/>
      <c r="BB126" s="5"/>
      <c r="BC126" s="5"/>
      <c r="BE126" s="520"/>
      <c r="BG126" s="30">
        <v>0.6</v>
      </c>
      <c r="BH126" s="31">
        <v>1.0711999999999999</v>
      </c>
      <c r="BI126" s="32">
        <v>1070.5</v>
      </c>
      <c r="BJ126" s="33"/>
      <c r="BK126" s="197">
        <v>0.65600000000000003</v>
      </c>
      <c r="BL126" s="200">
        <v>84.2</v>
      </c>
      <c r="BM126" s="199">
        <v>655.9</v>
      </c>
      <c r="BN126" s="33"/>
      <c r="BO126" s="37">
        <v>656</v>
      </c>
      <c r="BP126" s="38">
        <v>0.65610000000000002</v>
      </c>
      <c r="BQ126" s="39">
        <v>84.16</v>
      </c>
      <c r="BR126" s="520"/>
    </row>
    <row r="127" spans="28:70" ht="13.15">
      <c r="AB127" s="2482"/>
      <c r="AC127" s="2483"/>
      <c r="AD127" s="2500"/>
      <c r="AE127" s="2500"/>
      <c r="AF127" s="2500"/>
      <c r="AG127" s="2500"/>
      <c r="AH127" s="2500"/>
      <c r="AI127" s="2484"/>
      <c r="AK127" s="2533"/>
      <c r="AL127" s="2534" t="s">
        <v>576</v>
      </c>
      <c r="AM127" s="2535"/>
      <c r="AN127" s="2529" t="s">
        <v>218</v>
      </c>
      <c r="AO127" s="2434"/>
      <c r="AP127" s="2578"/>
      <c r="AQ127" s="2579"/>
      <c r="AR127" s="2537"/>
      <c r="AS127" s="2538"/>
      <c r="AT127" s="2538"/>
      <c r="AU127" s="2539"/>
      <c r="AV127" s="2580"/>
      <c r="AW127" s="2540" t="s">
        <v>204</v>
      </c>
      <c r="AX127" s="3227" t="s">
        <v>583</v>
      </c>
      <c r="AY127" s="3227" t="s">
        <v>584</v>
      </c>
      <c r="AZ127" s="5"/>
      <c r="BA127" s="5"/>
      <c r="BB127" s="5"/>
      <c r="BC127" s="5"/>
      <c r="BE127" s="520"/>
      <c r="BG127" s="30">
        <v>0.7</v>
      </c>
      <c r="BH127" s="31">
        <v>1.0703</v>
      </c>
      <c r="BI127" s="32">
        <v>1069.7</v>
      </c>
      <c r="BJ127" s="33"/>
      <c r="BK127" s="197">
        <v>0.65700000000000003</v>
      </c>
      <c r="BL127" s="200">
        <v>83.87</v>
      </c>
      <c r="BM127" s="199">
        <v>656.9</v>
      </c>
      <c r="BN127" s="33"/>
      <c r="BO127" s="37">
        <v>657</v>
      </c>
      <c r="BP127" s="38">
        <v>0.65710000000000002</v>
      </c>
      <c r="BQ127" s="39">
        <v>83.84</v>
      </c>
      <c r="BR127" s="520"/>
    </row>
    <row r="128" spans="28:70">
      <c r="AB128" s="2482"/>
      <c r="AK128" s="1091"/>
      <c r="AL128" s="1607" t="s">
        <v>219</v>
      </c>
      <c r="AM128" s="1607" t="s">
        <v>220</v>
      </c>
      <c r="AN128" s="2529" t="s">
        <v>219</v>
      </c>
      <c r="AO128" s="2529" t="s">
        <v>220</v>
      </c>
      <c r="AP128" s="2372" t="s">
        <v>206</v>
      </c>
      <c r="AQ128" s="2372" t="s">
        <v>207</v>
      </c>
      <c r="AR128" s="2537"/>
      <c r="AS128" s="2538"/>
      <c r="AT128" s="2538"/>
      <c r="AU128" s="2539"/>
      <c r="AV128" s="2580"/>
      <c r="AW128" s="1092" t="s">
        <v>221</v>
      </c>
      <c r="AX128" s="3228"/>
      <c r="AY128" s="3228"/>
      <c r="AZ128" s="5"/>
      <c r="BA128" s="5"/>
      <c r="BB128" s="5"/>
      <c r="BC128" s="5"/>
      <c r="BE128" s="520"/>
      <c r="BG128" s="30">
        <v>0.8</v>
      </c>
      <c r="BH128" s="31">
        <v>1.0694999999999999</v>
      </c>
      <c r="BI128" s="32">
        <v>1068.8</v>
      </c>
      <c r="BJ128" s="33"/>
      <c r="BK128" s="197">
        <v>0.65800000000000003</v>
      </c>
      <c r="BL128" s="200">
        <v>83.55</v>
      </c>
      <c r="BM128" s="199">
        <v>657.9</v>
      </c>
      <c r="BN128" s="33"/>
      <c r="BO128" s="37">
        <v>658</v>
      </c>
      <c r="BP128" s="38">
        <v>0.65810000000000002</v>
      </c>
      <c r="BQ128" s="39">
        <v>83.51</v>
      </c>
      <c r="BR128" s="520"/>
    </row>
    <row r="129" spans="28:70" ht="13.15">
      <c r="AB129" s="2482"/>
      <c r="AK129" s="2542" t="s">
        <v>577</v>
      </c>
      <c r="AL129" s="1858">
        <f>AE121</f>
        <v>869.2</v>
      </c>
      <c r="AM129" s="1709">
        <f>AE124</f>
        <v>43.33</v>
      </c>
      <c r="AN129" s="1680">
        <f>IF((EVEN(AL129)-AL129)&lt;1,EVEN(AL129),EVEN(AL129)-2)</f>
        <v>870</v>
      </c>
      <c r="AO129" s="1710">
        <f>FLOOR(AM129,1)+IF(MOD(AM129,1)&lt;0.125,0,IF(MOD(AM129,1)&lt;0.375,0.25,IF(MOD(AM129,1)&lt;0.625,0.5,IF(MOD(AM129,1)&lt;0.875,0.75,1))))</f>
        <v>43.25</v>
      </c>
      <c r="AP129" s="1847">
        <f>613.9723/AN129^2</f>
        <v>8.1116699696128945E-4</v>
      </c>
      <c r="AQ129" s="1847">
        <f>1+0.8*AP129*(AO129-15)</f>
        <v>1.018332374131325</v>
      </c>
      <c r="AR129" s="2581"/>
      <c r="AS129" s="2582"/>
      <c r="AT129" s="2582"/>
      <c r="AU129" s="2583"/>
      <c r="AV129" s="2584"/>
      <c r="AW129" s="1623">
        <f>ROUND(EXP(AP129*AQ129*(AO129-15)*-1),4)</f>
        <v>0.97689999999999999</v>
      </c>
      <c r="AX129" s="2585">
        <f>AY129*AW129</f>
        <v>97690</v>
      </c>
      <c r="AY129" s="2586">
        <f>AE115</f>
        <v>100000</v>
      </c>
      <c r="AZ129" s="5"/>
      <c r="BA129" s="5"/>
      <c r="BB129" s="5"/>
      <c r="BC129" s="5"/>
      <c r="BE129" s="520"/>
      <c r="BG129" s="30">
        <v>0.9</v>
      </c>
      <c r="BH129" s="31">
        <v>1.0687</v>
      </c>
      <c r="BI129" s="32">
        <v>1068</v>
      </c>
      <c r="BJ129" s="33"/>
      <c r="BK129" s="197">
        <v>0.65900000000000003</v>
      </c>
      <c r="BL129" s="200">
        <v>83.22</v>
      </c>
      <c r="BM129" s="199">
        <v>658.9</v>
      </c>
      <c r="BN129" s="33"/>
      <c r="BO129" s="37">
        <v>659</v>
      </c>
      <c r="BP129" s="38">
        <v>0.65910000000000002</v>
      </c>
      <c r="BQ129" s="39">
        <v>83.18</v>
      </c>
      <c r="BR129" s="520"/>
    </row>
    <row r="130" spans="28:70" ht="13.15">
      <c r="AB130" s="2482"/>
      <c r="AK130" s="2542" t="s">
        <v>578</v>
      </c>
      <c r="AL130" s="1858">
        <f>AE121</f>
        <v>869.2</v>
      </c>
      <c r="AM130" s="1709">
        <f>AE126</f>
        <v>51.67</v>
      </c>
      <c r="AN130" s="1680">
        <f>IF((EVEN(AL130)-AL130)&lt;1,EVEN(AL130),EVEN(AL130)-2)</f>
        <v>870</v>
      </c>
      <c r="AO130" s="1710">
        <f>FLOOR(AM130,1)+IF(MOD(AM130,1)&lt;0.125,0,IF(MOD(AM130,1)&lt;0.375,0.25,IF(MOD(AM130,1)&lt;0.625,0.5,IF(MOD(AM130,1)&lt;0.875,0.75,1))))</f>
        <v>51.75</v>
      </c>
      <c r="AP130" s="1847">
        <f>613.9723/AN130^2</f>
        <v>8.1116699696128945E-4</v>
      </c>
      <c r="AQ130" s="1847">
        <f>1+0.8*AP130*(AO130-15)</f>
        <v>1.0238483097106619</v>
      </c>
      <c r="AR130" s="2581"/>
      <c r="AS130" s="2582"/>
      <c r="AT130" s="2582"/>
      <c r="AU130" s="2583"/>
      <c r="AV130" s="2584"/>
      <c r="AW130" s="1623">
        <f>ROUND(EXP(AP130*AQ130*(AO130-15)*-1),4)</f>
        <v>0.96989999999999998</v>
      </c>
      <c r="AX130" s="2585">
        <f>AY130*AW130</f>
        <v>97690</v>
      </c>
      <c r="AY130" s="2587">
        <f>AX129/AW130</f>
        <v>100721.72388906073</v>
      </c>
      <c r="AZ130" s="5"/>
      <c r="BA130" s="5"/>
      <c r="BB130" s="5"/>
      <c r="BC130" s="5"/>
      <c r="BE130" s="520"/>
      <c r="BG130" s="30">
        <v>1</v>
      </c>
      <c r="BH130" s="31">
        <v>1.0679000000000001</v>
      </c>
      <c r="BI130" s="32">
        <v>1067.2</v>
      </c>
      <c r="BJ130" s="33"/>
      <c r="BK130" s="197">
        <v>0.66</v>
      </c>
      <c r="BL130" s="200">
        <v>82.89</v>
      </c>
      <c r="BM130" s="199">
        <v>659.9</v>
      </c>
      <c r="BN130" s="33"/>
      <c r="BO130" s="37">
        <v>660</v>
      </c>
      <c r="BP130" s="38">
        <v>0.66010000000000002</v>
      </c>
      <c r="BQ130" s="39">
        <v>82.86</v>
      </c>
      <c r="BR130" s="520"/>
    </row>
    <row r="131" spans="28:70">
      <c r="AB131" s="2482"/>
      <c r="AK131" s="2551"/>
      <c r="AL131" s="2551"/>
      <c r="AM131" s="541"/>
      <c r="AN131" s="561"/>
      <c r="AO131" s="561"/>
      <c r="AP131" s="561"/>
      <c r="AQ131" s="541"/>
      <c r="AR131" s="541"/>
      <c r="AS131" s="541"/>
      <c r="AT131" s="541"/>
      <c r="AU131" s="541"/>
      <c r="AW131" s="541"/>
      <c r="AX131" s="5"/>
      <c r="AY131" s="5"/>
      <c r="AZ131" s="5"/>
      <c r="BA131" s="5"/>
      <c r="BB131" s="5"/>
      <c r="BC131" s="5"/>
      <c r="BE131" s="520"/>
      <c r="BG131" s="30">
        <v>1.1000000000000001</v>
      </c>
      <c r="BH131" s="31">
        <v>1.0670999999999999</v>
      </c>
      <c r="BI131" s="32">
        <v>1066.4000000000001</v>
      </c>
      <c r="BJ131" s="33"/>
      <c r="BK131" s="197">
        <v>0.66100000000000003</v>
      </c>
      <c r="BL131" s="200">
        <v>82.57</v>
      </c>
      <c r="BM131" s="199">
        <v>660.9</v>
      </c>
      <c r="BN131" s="33"/>
      <c r="BO131" s="37">
        <v>661</v>
      </c>
      <c r="BP131" s="38">
        <v>0.66110000000000002</v>
      </c>
      <c r="BQ131" s="39">
        <v>82.53</v>
      </c>
      <c r="BR131" s="520"/>
    </row>
    <row r="132" spans="28:70" ht="13.15">
      <c r="AB132" s="2482"/>
      <c r="AK132" s="2533"/>
      <c r="AL132" s="2534" t="s">
        <v>576</v>
      </c>
      <c r="AM132" s="2535"/>
      <c r="AN132" s="2529" t="s">
        <v>222</v>
      </c>
      <c r="AO132" s="2434"/>
      <c r="AP132" s="2287" t="s">
        <v>210</v>
      </c>
      <c r="AQ132" s="2292"/>
      <c r="AR132" s="2292"/>
      <c r="AS132" s="2288"/>
      <c r="AT132" s="2291" t="s">
        <v>210</v>
      </c>
      <c r="AU132" s="2315" t="s">
        <v>211</v>
      </c>
      <c r="AV132" s="2588"/>
      <c r="AW132" s="2540" t="s">
        <v>204</v>
      </c>
      <c r="AX132" s="3227" t="s">
        <v>583</v>
      </c>
      <c r="AY132" s="3227" t="s">
        <v>584</v>
      </c>
      <c r="AZ132" s="5"/>
      <c r="BA132" s="5"/>
      <c r="BB132" s="5"/>
      <c r="BC132" s="5"/>
      <c r="BE132" s="520"/>
      <c r="BG132" s="30">
        <v>1.2</v>
      </c>
      <c r="BH132" s="31">
        <v>1.0663</v>
      </c>
      <c r="BI132" s="32">
        <v>1065.5999999999999</v>
      </c>
      <c r="BJ132" s="33"/>
      <c r="BK132" s="197">
        <v>0.66200000000000003</v>
      </c>
      <c r="BL132" s="200">
        <v>82.25</v>
      </c>
      <c r="BM132" s="199">
        <v>661.9</v>
      </c>
      <c r="BN132" s="33"/>
      <c r="BO132" s="37">
        <v>662</v>
      </c>
      <c r="BP132" s="38">
        <v>0.66210000000000002</v>
      </c>
      <c r="BQ132" s="39">
        <v>82.21</v>
      </c>
      <c r="BR132" s="520"/>
    </row>
    <row r="133" spans="28:70">
      <c r="AB133" s="2482"/>
      <c r="AK133" s="1091"/>
      <c r="AL133" s="1607" t="s">
        <v>219</v>
      </c>
      <c r="AM133" s="1607" t="s">
        <v>220</v>
      </c>
      <c r="AN133" s="2529" t="s">
        <v>219</v>
      </c>
      <c r="AO133" s="2529" t="s">
        <v>220</v>
      </c>
      <c r="AP133" s="2296" t="s">
        <v>223</v>
      </c>
      <c r="AQ133" s="2296" t="s">
        <v>224</v>
      </c>
      <c r="AR133" s="2296" t="s">
        <v>225</v>
      </c>
      <c r="AS133" s="2296" t="s">
        <v>226</v>
      </c>
      <c r="AT133" s="2299"/>
      <c r="AU133" s="2317"/>
      <c r="AV133" s="2479"/>
      <c r="AW133" s="1092" t="s">
        <v>227</v>
      </c>
      <c r="AX133" s="3228"/>
      <c r="AY133" s="3228"/>
      <c r="AZ133" s="5"/>
      <c r="BA133" s="5"/>
      <c r="BB133" s="5"/>
      <c r="BC133" s="5"/>
      <c r="BE133" s="520"/>
      <c r="BG133" s="30">
        <v>1.3</v>
      </c>
      <c r="BH133" s="31">
        <v>1.0654999999999999</v>
      </c>
      <c r="BI133" s="32">
        <v>1064.8</v>
      </c>
      <c r="BJ133" s="33"/>
      <c r="BK133" s="197">
        <v>0.66300000000000003</v>
      </c>
      <c r="BL133" s="200">
        <v>81.92</v>
      </c>
      <c r="BM133" s="199">
        <v>662.9</v>
      </c>
      <c r="BN133" s="33"/>
      <c r="BO133" s="37">
        <v>663</v>
      </c>
      <c r="BP133" s="38">
        <v>0.66310000000000002</v>
      </c>
      <c r="BQ133" s="39">
        <v>81.88</v>
      </c>
      <c r="BR133" s="520"/>
    </row>
    <row r="134" spans="28:70" ht="13.15">
      <c r="AB134" s="2482"/>
      <c r="AK134" s="2554" t="s">
        <v>577</v>
      </c>
      <c r="AL134" s="1858">
        <f>AE121</f>
        <v>869.2</v>
      </c>
      <c r="AM134" s="1709">
        <f>AE124</f>
        <v>43.33</v>
      </c>
      <c r="AN134" s="1680">
        <f>IF((EVEN(AL134)-AL134)&lt;1,EVEN(AL134),EVEN(AL134)-2)</f>
        <v>870</v>
      </c>
      <c r="AO134" s="1710">
        <f>FLOOR(AM134,1)+IF(MOD(AM134,1)&lt;0.125,0,IF(MOD(AM134,1)&lt;0.375,0.25,IF(MOD(AM134,1)&lt;0.625,0.5,IF(MOD(AM134,1)&lt;0.875,0.75,1))))</f>
        <v>43.25</v>
      </c>
      <c r="AP134" s="1607">
        <f>IF(AN134&lt;770,(192.4571/AN134^2)+(0.2438/AN134),0)</f>
        <v>0</v>
      </c>
      <c r="AQ134" s="1607">
        <f>IF(AND(AN134&gt;=770,AN134&lt;787.5),(1489.0671/(AN134^2))-0.0018684,0)</f>
        <v>0</v>
      </c>
      <c r="AR134" s="1607">
        <f>IF(AND(AN134&gt;=787.5,AN134&lt;838.5),330.301/AN134^2,0)</f>
        <v>0</v>
      </c>
      <c r="AS134" s="1607">
        <f>IF(AND(AN134&gt;=838.5,AN134&lt;1075),(0.2701/AN134)+(103.873/AN134^2),0)</f>
        <v>4.4769454353283126E-4</v>
      </c>
      <c r="AT134" s="1687">
        <f>MAX(AP134:AS134)</f>
        <v>4.4769454353283126E-4</v>
      </c>
      <c r="AU134" s="1607">
        <f>((AO134+40)*1.8)-99</f>
        <v>50.849999999999994</v>
      </c>
      <c r="AV134" s="2584"/>
      <c r="AW134" s="1854">
        <f>ROUND(EXP(-1*AT134*AU134*(1+0.8*AT134*AU134)),4)</f>
        <v>0.97709999999999997</v>
      </c>
      <c r="AX134" s="2585">
        <f>AY134*AW134</f>
        <v>97710</v>
      </c>
      <c r="AY134" s="2586">
        <f>AE115</f>
        <v>100000</v>
      </c>
      <c r="AZ134" s="5"/>
      <c r="BA134" s="5"/>
      <c r="BB134" s="5"/>
      <c r="BC134" s="5"/>
      <c r="BE134" s="520"/>
      <c r="BG134" s="30">
        <v>1.4</v>
      </c>
      <c r="BH134" s="31">
        <v>1.0647</v>
      </c>
      <c r="BI134" s="32">
        <v>1064</v>
      </c>
      <c r="BJ134" s="33"/>
      <c r="BK134" s="197">
        <v>0.66400000000000003</v>
      </c>
      <c r="BL134" s="200">
        <v>81.599999999999994</v>
      </c>
      <c r="BM134" s="199">
        <v>663.9</v>
      </c>
      <c r="BN134" s="33"/>
      <c r="BO134" s="37">
        <v>664</v>
      </c>
      <c r="BP134" s="38">
        <v>0.66410000000000002</v>
      </c>
      <c r="BQ134" s="39">
        <v>81.56</v>
      </c>
      <c r="BR134" s="520"/>
    </row>
    <row r="135" spans="28:70" ht="13.15">
      <c r="AB135" s="2483"/>
      <c r="AC135" s="2500"/>
      <c r="AD135" s="2500"/>
      <c r="AE135" s="2500"/>
      <c r="AF135" s="2500"/>
      <c r="AG135" s="2500"/>
      <c r="AH135" s="2500"/>
      <c r="AI135" s="2500"/>
      <c r="AJ135" s="2500"/>
      <c r="AK135" s="2542" t="s">
        <v>578</v>
      </c>
      <c r="AL135" s="1858">
        <f>AE121</f>
        <v>869.2</v>
      </c>
      <c r="AM135" s="1709">
        <f>AE126</f>
        <v>51.67</v>
      </c>
      <c r="AN135" s="1680">
        <f>IF((EVEN(AL135)-AL135)&lt;1,EVEN(AL135),EVEN(AL135)-2)</f>
        <v>870</v>
      </c>
      <c r="AO135" s="1710">
        <f>FLOOR(AM135,1)+IF(MOD(AM135,1)&lt;0.125,0,IF(MOD(AM135,1)&lt;0.375,0.25,IF(MOD(AM135,1)&lt;0.625,0.5,IF(MOD(AM135,1)&lt;0.875,0.75,1))))</f>
        <v>51.75</v>
      </c>
      <c r="AP135" s="1607">
        <f>IF(AN135&lt;770,(192.4571/AN135^2)+(0.2438/AN135),0)</f>
        <v>0</v>
      </c>
      <c r="AQ135" s="1607">
        <f>IF(AND(AN135&gt;=770,AN135&lt;787.5),(1489.0671/(AN135^2))-0.0018684,0)</f>
        <v>0</v>
      </c>
      <c r="AR135" s="1607">
        <f>IF(AND(AN135&gt;=787.5,AN135&lt;838.5),330.301/AN135^2,0)</f>
        <v>0</v>
      </c>
      <c r="AS135" s="1607">
        <f>IF(AND(AN135&gt;=838.5,AN135&lt;1075),(0.2701/AN135)+(103.873/AN135^2),0)</f>
        <v>4.4769454353283126E-4</v>
      </c>
      <c r="AT135" s="1687">
        <f>MAX(AP135:AS135)</f>
        <v>4.4769454353283126E-4</v>
      </c>
      <c r="AU135" s="1607">
        <f>((AO135+40)*1.8)-99</f>
        <v>66.150000000000006</v>
      </c>
      <c r="AV135" s="2584"/>
      <c r="AW135" s="1854">
        <f>ROUND(EXP(-1*AT135*AU135*(1+0.8*AT135*AU135)),4)</f>
        <v>0.97009999999999996</v>
      </c>
      <c r="AX135" s="2585">
        <f>AY135*AW135</f>
        <v>97710</v>
      </c>
      <c r="AY135" s="2586">
        <f>AX134/AW135</f>
        <v>100721.575095351</v>
      </c>
      <c r="AZ135" s="312"/>
      <c r="BA135" s="312"/>
      <c r="BB135" s="312"/>
      <c r="BC135" s="312"/>
      <c r="BD135" s="538"/>
      <c r="BE135" s="537"/>
      <c r="BG135" s="30">
        <v>1.5</v>
      </c>
      <c r="BH135" s="31">
        <v>1.0639000000000001</v>
      </c>
      <c r="BI135" s="32">
        <v>1063.2</v>
      </c>
      <c r="BJ135" s="33"/>
      <c r="BK135" s="197">
        <v>0.66500000000000004</v>
      </c>
      <c r="BL135" s="200">
        <v>81.28</v>
      </c>
      <c r="BM135" s="199">
        <v>664.9</v>
      </c>
      <c r="BN135" s="33"/>
      <c r="BO135" s="37">
        <v>665</v>
      </c>
      <c r="BP135" s="38">
        <v>0.66510000000000002</v>
      </c>
      <c r="BQ135" s="39">
        <v>81.239999999999995</v>
      </c>
      <c r="BR135" s="520"/>
    </row>
    <row r="136" spans="28:70">
      <c r="AK136" s="2482"/>
      <c r="BG136" s="30">
        <v>1.6</v>
      </c>
      <c r="BH136" s="31">
        <v>1.0630999999999999</v>
      </c>
      <c r="BI136" s="32">
        <v>1062.4000000000001</v>
      </c>
      <c r="BJ136" s="33"/>
      <c r="BK136" s="197">
        <v>0.66600000000000004</v>
      </c>
      <c r="BL136" s="200">
        <v>80.959999999999994</v>
      </c>
      <c r="BM136" s="199">
        <v>665.9</v>
      </c>
      <c r="BN136" s="33"/>
      <c r="BO136" s="37">
        <v>666</v>
      </c>
      <c r="BP136" s="38">
        <v>0.66610000000000003</v>
      </c>
      <c r="BQ136" s="39">
        <v>80.92</v>
      </c>
      <c r="BR136" s="520"/>
    </row>
    <row r="137" spans="28:70">
      <c r="AK137" s="2482"/>
      <c r="BG137" s="30">
        <v>1.7</v>
      </c>
      <c r="BH137" s="31">
        <v>1.0623</v>
      </c>
      <c r="BI137" s="32">
        <v>1061.5999999999999</v>
      </c>
      <c r="BJ137" s="33"/>
      <c r="BK137" s="197">
        <v>0.66700000000000004</v>
      </c>
      <c r="BL137" s="200">
        <v>80.64</v>
      </c>
      <c r="BM137" s="199">
        <v>666.9</v>
      </c>
      <c r="BN137" s="33"/>
      <c r="BO137" s="37">
        <v>667</v>
      </c>
      <c r="BP137" s="38">
        <v>0.66710000000000003</v>
      </c>
      <c r="BQ137" s="39">
        <v>80.599999999999994</v>
      </c>
      <c r="BR137" s="520"/>
    </row>
    <row r="138" spans="28:70">
      <c r="AK138" s="2482"/>
      <c r="BG138" s="30">
        <v>1.8</v>
      </c>
      <c r="BH138" s="31">
        <v>1.0615000000000001</v>
      </c>
      <c r="BI138" s="32">
        <v>1060.8</v>
      </c>
      <c r="BJ138" s="33"/>
      <c r="BK138" s="197">
        <v>0.66800000000000004</v>
      </c>
      <c r="BL138" s="200">
        <v>80.33</v>
      </c>
      <c r="BM138" s="199">
        <v>667.9</v>
      </c>
      <c r="BN138" s="33"/>
      <c r="BO138" s="37">
        <v>668</v>
      </c>
      <c r="BP138" s="38">
        <v>0.66810000000000003</v>
      </c>
      <c r="BQ138" s="39">
        <v>80.290000000000006</v>
      </c>
      <c r="BR138" s="520"/>
    </row>
    <row r="139" spans="28:70">
      <c r="AK139" s="2482"/>
      <c r="BG139" s="30">
        <v>1.9</v>
      </c>
      <c r="BH139" s="31">
        <v>1.0607</v>
      </c>
      <c r="BI139" s="32">
        <v>1060</v>
      </c>
      <c r="BJ139" s="33"/>
      <c r="BK139" s="197">
        <v>0.66900000000000004</v>
      </c>
      <c r="BL139" s="200">
        <v>80.010000000000005</v>
      </c>
      <c r="BM139" s="199">
        <v>668.9</v>
      </c>
      <c r="BN139" s="33"/>
      <c r="BO139" s="37">
        <v>669</v>
      </c>
      <c r="BP139" s="38">
        <v>0.66910000000000003</v>
      </c>
      <c r="BQ139" s="39">
        <v>79.97</v>
      </c>
      <c r="BR139" s="520"/>
    </row>
    <row r="140" spans="28:70">
      <c r="AK140" s="2482"/>
      <c r="BG140" s="30">
        <v>2</v>
      </c>
      <c r="BH140" s="31">
        <v>1.0599000000000001</v>
      </c>
      <c r="BI140" s="32">
        <v>1059.2</v>
      </c>
      <c r="BJ140" s="33"/>
      <c r="BK140" s="197">
        <v>0.67</v>
      </c>
      <c r="BL140" s="200">
        <v>79.69</v>
      </c>
      <c r="BM140" s="199">
        <v>669.9</v>
      </c>
      <c r="BN140" s="33"/>
      <c r="BO140" s="37">
        <v>670</v>
      </c>
      <c r="BP140" s="38">
        <v>0.67010000000000003</v>
      </c>
      <c r="BQ140" s="39">
        <v>79.650000000000006</v>
      </c>
      <c r="BR140" s="520"/>
    </row>
    <row r="141" spans="28:70">
      <c r="AK141" s="2482"/>
      <c r="BG141" s="30">
        <v>2.1</v>
      </c>
      <c r="BH141" s="31">
        <v>1.0590999999999999</v>
      </c>
      <c r="BI141" s="32">
        <v>1058.5</v>
      </c>
      <c r="BJ141" s="33"/>
      <c r="BK141" s="197">
        <v>0.67100000000000004</v>
      </c>
      <c r="BL141" s="200">
        <v>79.38</v>
      </c>
      <c r="BM141" s="199">
        <v>670.9</v>
      </c>
      <c r="BN141" s="33"/>
      <c r="BO141" s="37">
        <v>671</v>
      </c>
      <c r="BP141" s="38">
        <v>0.67110000000000003</v>
      </c>
      <c r="BQ141" s="39">
        <v>79.34</v>
      </c>
      <c r="BR141" s="520"/>
    </row>
    <row r="142" spans="28:70">
      <c r="AK142" s="2482"/>
      <c r="BG142" s="30">
        <v>2.2000000000000002</v>
      </c>
      <c r="BH142" s="31">
        <v>1.0583</v>
      </c>
      <c r="BI142" s="32">
        <v>1057.7</v>
      </c>
      <c r="BJ142" s="33"/>
      <c r="BK142" s="197">
        <v>0.67200000000000004</v>
      </c>
      <c r="BL142" s="200">
        <v>79.069999999999993</v>
      </c>
      <c r="BM142" s="199">
        <v>671.9</v>
      </c>
      <c r="BN142" s="33"/>
      <c r="BO142" s="37">
        <v>672</v>
      </c>
      <c r="BP142" s="38">
        <v>0.67210000000000003</v>
      </c>
      <c r="BQ142" s="39">
        <v>79.02</v>
      </c>
      <c r="BR142" s="520"/>
    </row>
    <row r="143" spans="28:70">
      <c r="AK143" s="2482"/>
      <c r="BG143" s="30">
        <v>2.2999999999999998</v>
      </c>
      <c r="BH143" s="31">
        <v>1.0575000000000001</v>
      </c>
      <c r="BI143" s="32">
        <v>1056.9000000000001</v>
      </c>
      <c r="BJ143" s="33"/>
      <c r="BK143" s="197">
        <v>0.67300000000000004</v>
      </c>
      <c r="BL143" s="200">
        <v>78.75</v>
      </c>
      <c r="BM143" s="199">
        <v>672.9</v>
      </c>
      <c r="BN143" s="33"/>
      <c r="BO143" s="37">
        <v>673</v>
      </c>
      <c r="BP143" s="38">
        <v>0.67310000000000003</v>
      </c>
      <c r="BQ143" s="39">
        <v>78.709999999999994</v>
      </c>
      <c r="BR143" s="520"/>
    </row>
    <row r="144" spans="28:70">
      <c r="AK144" s="2482"/>
      <c r="BG144" s="30">
        <v>2.4</v>
      </c>
      <c r="BH144" s="31">
        <v>1.0568</v>
      </c>
      <c r="BI144" s="32">
        <v>1056.0999999999999</v>
      </c>
      <c r="BJ144" s="33"/>
      <c r="BK144" s="197">
        <v>0.67400000000000004</v>
      </c>
      <c r="BL144" s="200">
        <v>78.44</v>
      </c>
      <c r="BM144" s="199">
        <v>673.9</v>
      </c>
      <c r="BN144" s="33"/>
      <c r="BO144" s="37">
        <v>674</v>
      </c>
      <c r="BP144" s="38">
        <v>0.67410000000000003</v>
      </c>
      <c r="BQ144" s="39">
        <v>78.400000000000006</v>
      </c>
      <c r="BR144" s="520"/>
    </row>
    <row r="145" spans="37:70">
      <c r="AK145" s="2482"/>
      <c r="BG145" s="30">
        <v>2.5</v>
      </c>
      <c r="BH145" s="31">
        <v>1.056</v>
      </c>
      <c r="BI145" s="32">
        <v>1055.3</v>
      </c>
      <c r="BJ145" s="33"/>
      <c r="BK145" s="197">
        <v>0.67500000000000004</v>
      </c>
      <c r="BL145" s="200">
        <v>78.13</v>
      </c>
      <c r="BM145" s="199">
        <v>674.9</v>
      </c>
      <c r="BN145" s="33"/>
      <c r="BO145" s="37">
        <v>675</v>
      </c>
      <c r="BP145" s="38">
        <v>0.67510000000000003</v>
      </c>
      <c r="BQ145" s="39">
        <v>78.09</v>
      </c>
      <c r="BR145" s="520"/>
    </row>
    <row r="146" spans="37:70">
      <c r="AK146" s="2482"/>
      <c r="BG146" s="30">
        <v>2.6</v>
      </c>
      <c r="BH146" s="31">
        <v>1.0551999999999999</v>
      </c>
      <c r="BI146" s="32">
        <v>1054.5</v>
      </c>
      <c r="BJ146" s="33"/>
      <c r="BK146" s="197">
        <v>0.67600000000000005</v>
      </c>
      <c r="BL146" s="200">
        <v>77.819999999999993</v>
      </c>
      <c r="BM146" s="199">
        <v>675.9</v>
      </c>
      <c r="BN146" s="33"/>
      <c r="BO146" s="37">
        <v>676</v>
      </c>
      <c r="BP146" s="38">
        <v>0.67610000000000003</v>
      </c>
      <c r="BQ146" s="39">
        <v>77.78</v>
      </c>
      <c r="BR146" s="520"/>
    </row>
    <row r="147" spans="37:70">
      <c r="AK147" s="2482"/>
      <c r="BG147" s="30">
        <v>2.7</v>
      </c>
      <c r="BH147" s="31">
        <v>1.0544</v>
      </c>
      <c r="BI147" s="32">
        <v>1053.7</v>
      </c>
      <c r="BJ147" s="33"/>
      <c r="BK147" s="197">
        <v>0.67700000000000005</v>
      </c>
      <c r="BL147" s="200">
        <v>77.510000000000005</v>
      </c>
      <c r="BM147" s="199">
        <v>676.9</v>
      </c>
      <c r="BN147" s="33"/>
      <c r="BO147" s="37">
        <v>677</v>
      </c>
      <c r="BP147" s="38">
        <v>0.67710000000000004</v>
      </c>
      <c r="BQ147" s="39">
        <v>77.47</v>
      </c>
      <c r="BR147" s="520"/>
    </row>
    <row r="148" spans="37:70">
      <c r="AK148" s="2482"/>
      <c r="BG148" s="30">
        <v>2.8</v>
      </c>
      <c r="BH148" s="31">
        <v>1.0536000000000001</v>
      </c>
      <c r="BI148" s="32">
        <v>1052.9000000000001</v>
      </c>
      <c r="BJ148" s="33"/>
      <c r="BK148" s="197">
        <v>0.67800000000000005</v>
      </c>
      <c r="BL148" s="200">
        <v>77.2</v>
      </c>
      <c r="BM148" s="199">
        <v>677.9</v>
      </c>
      <c r="BN148" s="33"/>
      <c r="BO148" s="37">
        <v>678</v>
      </c>
      <c r="BP148" s="38">
        <v>0.67810000000000004</v>
      </c>
      <c r="BQ148" s="39">
        <v>77.16</v>
      </c>
      <c r="BR148" s="520"/>
    </row>
    <row r="149" spans="37:70">
      <c r="AK149" s="2482"/>
      <c r="BG149" s="30">
        <v>2.9</v>
      </c>
      <c r="BH149" s="31">
        <v>1.0528</v>
      </c>
      <c r="BI149" s="32">
        <v>1052.2</v>
      </c>
      <c r="BJ149" s="33"/>
      <c r="BK149" s="197">
        <v>0.67900000000000005</v>
      </c>
      <c r="BL149" s="200">
        <v>76.89</v>
      </c>
      <c r="BM149" s="199">
        <v>678.9</v>
      </c>
      <c r="BN149" s="33"/>
      <c r="BO149" s="37">
        <v>679</v>
      </c>
      <c r="BP149" s="38">
        <v>0.67910000000000004</v>
      </c>
      <c r="BQ149" s="39">
        <v>76.849999999999994</v>
      </c>
      <c r="BR149" s="520"/>
    </row>
    <row r="150" spans="37:70">
      <c r="AK150" s="2482"/>
      <c r="BG150" s="30">
        <v>3</v>
      </c>
      <c r="BH150" s="31">
        <v>1.052</v>
      </c>
      <c r="BI150" s="32">
        <v>1051.4000000000001</v>
      </c>
      <c r="BJ150" s="33"/>
      <c r="BK150" s="197">
        <v>0.68</v>
      </c>
      <c r="BL150" s="200">
        <v>76.59</v>
      </c>
      <c r="BM150" s="199">
        <v>679.9</v>
      </c>
      <c r="BN150" s="33"/>
      <c r="BO150" s="37">
        <v>680</v>
      </c>
      <c r="BP150" s="38">
        <v>0.68010000000000004</v>
      </c>
      <c r="BQ150" s="39">
        <v>76.540000000000006</v>
      </c>
      <c r="BR150" s="520"/>
    </row>
    <row r="151" spans="37:70">
      <c r="AK151" s="2482"/>
      <c r="BG151" s="30">
        <v>3.1</v>
      </c>
      <c r="BH151" s="31">
        <v>1.0512999999999999</v>
      </c>
      <c r="BI151" s="32">
        <v>1050.5999999999999</v>
      </c>
      <c r="BJ151" s="33"/>
      <c r="BK151" s="197">
        <v>0.68100000000000005</v>
      </c>
      <c r="BL151" s="200">
        <v>76.28</v>
      </c>
      <c r="BM151" s="199">
        <v>680.9</v>
      </c>
      <c r="BN151" s="33"/>
      <c r="BO151" s="37">
        <v>681</v>
      </c>
      <c r="BP151" s="38">
        <v>0.68110000000000004</v>
      </c>
      <c r="BQ151" s="39">
        <v>76.239999999999995</v>
      </c>
      <c r="BR151" s="520"/>
    </row>
    <row r="152" spans="37:70">
      <c r="AK152" s="2482"/>
      <c r="BG152" s="30">
        <v>3.2</v>
      </c>
      <c r="BH152" s="31">
        <v>1.0505</v>
      </c>
      <c r="BI152" s="32">
        <v>1049.8</v>
      </c>
      <c r="BJ152" s="33"/>
      <c r="BK152" s="197">
        <v>0.68200000000000005</v>
      </c>
      <c r="BL152" s="200">
        <v>75.98</v>
      </c>
      <c r="BM152" s="199">
        <v>681.9</v>
      </c>
      <c r="BN152" s="33"/>
      <c r="BO152" s="37">
        <v>682</v>
      </c>
      <c r="BP152" s="38">
        <v>0.68210000000000004</v>
      </c>
      <c r="BQ152" s="39">
        <v>75.930000000000007</v>
      </c>
      <c r="BR152" s="520"/>
    </row>
    <row r="153" spans="37:70">
      <c r="AK153" s="2482"/>
      <c r="BG153" s="30">
        <v>3.3</v>
      </c>
      <c r="BH153" s="31">
        <v>1.0497000000000001</v>
      </c>
      <c r="BI153" s="32">
        <v>1049</v>
      </c>
      <c r="BJ153" s="33"/>
      <c r="BK153" s="197">
        <v>0.68300000000000005</v>
      </c>
      <c r="BL153" s="200">
        <v>75.67</v>
      </c>
      <c r="BM153" s="199">
        <v>682.9</v>
      </c>
      <c r="BN153" s="33"/>
      <c r="BO153" s="37">
        <v>683</v>
      </c>
      <c r="BP153" s="38">
        <v>0.68310000000000004</v>
      </c>
      <c r="BQ153" s="39">
        <v>75.63</v>
      </c>
      <c r="BR153" s="520"/>
    </row>
    <row r="154" spans="37:70">
      <c r="AK154" s="2482"/>
      <c r="BG154" s="30">
        <v>3.4</v>
      </c>
      <c r="BH154" s="31">
        <v>1.0488999999999999</v>
      </c>
      <c r="BI154" s="32">
        <v>1048.3</v>
      </c>
      <c r="BJ154" s="33"/>
      <c r="BK154" s="197">
        <v>0.68400000000000005</v>
      </c>
      <c r="BL154" s="200">
        <v>75.37</v>
      </c>
      <c r="BM154" s="199">
        <v>683.8</v>
      </c>
      <c r="BN154" s="33"/>
      <c r="BO154" s="37">
        <v>684</v>
      </c>
      <c r="BP154" s="38">
        <v>0.68420000000000003</v>
      </c>
      <c r="BQ154" s="39">
        <v>75.33</v>
      </c>
      <c r="BR154" s="520"/>
    </row>
    <row r="155" spans="37:70">
      <c r="AK155" s="2482"/>
      <c r="BG155" s="30">
        <v>3.5</v>
      </c>
      <c r="BH155" s="31">
        <v>1.0481</v>
      </c>
      <c r="BI155" s="32">
        <v>1047.5</v>
      </c>
      <c r="BJ155" s="33"/>
      <c r="BK155" s="197">
        <v>0.68500000000000005</v>
      </c>
      <c r="BL155" s="200">
        <v>75.069999999999993</v>
      </c>
      <c r="BM155" s="199">
        <v>684.8</v>
      </c>
      <c r="BN155" s="33"/>
      <c r="BO155" s="37">
        <v>685</v>
      </c>
      <c r="BP155" s="38">
        <v>0.68520000000000003</v>
      </c>
      <c r="BQ155" s="39">
        <v>75.02</v>
      </c>
      <c r="BR155" s="520"/>
    </row>
    <row r="156" spans="37:70">
      <c r="AK156" s="2482"/>
      <c r="BG156" s="30">
        <v>3.6</v>
      </c>
      <c r="BH156" s="31">
        <v>1.0474000000000001</v>
      </c>
      <c r="BI156" s="32">
        <v>1046.7</v>
      </c>
      <c r="BJ156" s="33"/>
      <c r="BK156" s="197">
        <v>0.68600000000000005</v>
      </c>
      <c r="BL156" s="200">
        <v>74.77</v>
      </c>
      <c r="BM156" s="199">
        <v>685.8</v>
      </c>
      <c r="BN156" s="33"/>
      <c r="BO156" s="37">
        <v>686</v>
      </c>
      <c r="BP156" s="38">
        <v>0.68620000000000003</v>
      </c>
      <c r="BQ156" s="39">
        <v>74.72</v>
      </c>
      <c r="BR156" s="520"/>
    </row>
    <row r="157" spans="37:70">
      <c r="AK157" s="2482"/>
      <c r="BG157" s="30">
        <v>3.7</v>
      </c>
      <c r="BH157" s="31">
        <v>1.0466</v>
      </c>
      <c r="BI157" s="32">
        <v>1045.9000000000001</v>
      </c>
      <c r="BJ157" s="33"/>
      <c r="BK157" s="197">
        <v>0.68700000000000006</v>
      </c>
      <c r="BL157" s="200">
        <v>74.47</v>
      </c>
      <c r="BM157" s="199">
        <v>686.8</v>
      </c>
      <c r="BN157" s="33"/>
      <c r="BO157" s="37">
        <v>687</v>
      </c>
      <c r="BP157" s="38">
        <v>0.68720000000000003</v>
      </c>
      <c r="BQ157" s="39">
        <v>74.42</v>
      </c>
      <c r="BR157" s="520"/>
    </row>
    <row r="158" spans="37:70">
      <c r="AK158" s="2482"/>
      <c r="BG158" s="30">
        <v>3.8</v>
      </c>
      <c r="BH158" s="31">
        <v>1.0458000000000001</v>
      </c>
      <c r="BI158" s="32">
        <v>1045.2</v>
      </c>
      <c r="BJ158" s="33"/>
      <c r="BK158" s="197">
        <v>0.68799999999999994</v>
      </c>
      <c r="BL158" s="200">
        <v>74.17</v>
      </c>
      <c r="BM158" s="199">
        <v>687.8</v>
      </c>
      <c r="BN158" s="33"/>
      <c r="BO158" s="37">
        <v>688</v>
      </c>
      <c r="BP158" s="38">
        <v>0.68820000000000003</v>
      </c>
      <c r="BQ158" s="39">
        <v>74.12</v>
      </c>
      <c r="BR158" s="520"/>
    </row>
    <row r="159" spans="37:70">
      <c r="AK159" s="2482"/>
      <c r="BG159" s="30">
        <v>3.9</v>
      </c>
      <c r="BH159" s="31">
        <v>1.0450999999999999</v>
      </c>
      <c r="BI159" s="32">
        <v>1044.4000000000001</v>
      </c>
      <c r="BJ159" s="33"/>
      <c r="BK159" s="197">
        <v>0.68899999999999995</v>
      </c>
      <c r="BL159" s="200">
        <v>73.87</v>
      </c>
      <c r="BM159" s="199">
        <v>688.8</v>
      </c>
      <c r="BN159" s="33"/>
      <c r="BO159" s="37">
        <v>689</v>
      </c>
      <c r="BP159" s="38">
        <v>0.68920000000000003</v>
      </c>
      <c r="BQ159" s="39">
        <v>73.819999999999993</v>
      </c>
      <c r="BR159" s="520"/>
    </row>
    <row r="160" spans="37:70">
      <c r="AK160" s="2482"/>
      <c r="BG160" s="30">
        <v>4</v>
      </c>
      <c r="BH160" s="31">
        <v>1.0443</v>
      </c>
      <c r="BI160" s="32">
        <v>1043.5999999999999</v>
      </c>
      <c r="BJ160" s="33"/>
      <c r="BK160" s="197">
        <v>0.69</v>
      </c>
      <c r="BL160" s="200">
        <v>73.569999999999993</v>
      </c>
      <c r="BM160" s="199">
        <v>689.8</v>
      </c>
      <c r="BN160" s="33"/>
      <c r="BO160" s="37">
        <v>690</v>
      </c>
      <c r="BP160" s="38">
        <v>0.69020000000000004</v>
      </c>
      <c r="BQ160" s="39">
        <v>73.53</v>
      </c>
      <c r="BR160" s="520"/>
    </row>
    <row r="161" spans="37:70">
      <c r="AK161" s="2482"/>
      <c r="BG161" s="30">
        <v>4.0999999999999996</v>
      </c>
      <c r="BH161" s="31">
        <v>1.0435000000000001</v>
      </c>
      <c r="BI161" s="32">
        <v>1042.8</v>
      </c>
      <c r="BJ161" s="33"/>
      <c r="BK161" s="197">
        <v>0.69099999999999995</v>
      </c>
      <c r="BL161" s="200">
        <v>73.28</v>
      </c>
      <c r="BM161" s="199">
        <v>690.8</v>
      </c>
      <c r="BN161" s="33"/>
      <c r="BO161" s="37">
        <v>691</v>
      </c>
      <c r="BP161" s="38">
        <v>0.69120000000000004</v>
      </c>
      <c r="BQ161" s="39">
        <v>73.23</v>
      </c>
      <c r="BR161" s="520"/>
    </row>
    <row r="162" spans="37:70">
      <c r="AK162" s="2482"/>
      <c r="BG162" s="30">
        <v>4.2</v>
      </c>
      <c r="BH162" s="31">
        <v>1.0427</v>
      </c>
      <c r="BI162" s="32">
        <v>1042.0999999999999</v>
      </c>
      <c r="BJ162" s="33"/>
      <c r="BK162" s="197">
        <v>0.69199999999999995</v>
      </c>
      <c r="BL162" s="200">
        <v>72.98</v>
      </c>
      <c r="BM162" s="199">
        <v>691.8</v>
      </c>
      <c r="BN162" s="33"/>
      <c r="BO162" s="37">
        <v>692</v>
      </c>
      <c r="BP162" s="38">
        <v>0.69220000000000004</v>
      </c>
      <c r="BQ162" s="39">
        <v>72.930000000000007</v>
      </c>
      <c r="BR162" s="520"/>
    </row>
    <row r="163" spans="37:70">
      <c r="AK163" s="2482"/>
      <c r="BG163" s="30">
        <v>4.3</v>
      </c>
      <c r="BH163" s="31">
        <v>1.042</v>
      </c>
      <c r="BI163" s="32">
        <v>1041.3</v>
      </c>
      <c r="BJ163" s="33"/>
      <c r="BK163" s="197">
        <v>0.69299999999999995</v>
      </c>
      <c r="BL163" s="200">
        <v>72.680000000000007</v>
      </c>
      <c r="BM163" s="199">
        <v>692.8</v>
      </c>
      <c r="BN163" s="33"/>
      <c r="BO163" s="37">
        <v>693</v>
      </c>
      <c r="BP163" s="38">
        <v>0.69320000000000004</v>
      </c>
      <c r="BQ163" s="39">
        <v>72.64</v>
      </c>
      <c r="BR163" s="520"/>
    </row>
    <row r="164" spans="37:70">
      <c r="AK164" s="2482"/>
      <c r="BG164" s="30">
        <v>4.4000000000000004</v>
      </c>
      <c r="BH164" s="31">
        <v>1.0411999999999999</v>
      </c>
      <c r="BI164" s="32">
        <v>1040.5</v>
      </c>
      <c r="BJ164" s="33"/>
      <c r="BK164" s="197">
        <v>0.69399999999999995</v>
      </c>
      <c r="BL164" s="200">
        <v>72.39</v>
      </c>
      <c r="BM164" s="199">
        <v>693.8</v>
      </c>
      <c r="BN164" s="33"/>
      <c r="BO164" s="37">
        <v>694</v>
      </c>
      <c r="BP164" s="38">
        <v>0.69420000000000004</v>
      </c>
      <c r="BQ164" s="39">
        <v>72.34</v>
      </c>
      <c r="BR164" s="520"/>
    </row>
    <row r="165" spans="37:70">
      <c r="AK165" s="2482"/>
      <c r="BG165" s="30">
        <v>4.5</v>
      </c>
      <c r="BH165" s="31">
        <v>1.0404</v>
      </c>
      <c r="BI165" s="32">
        <v>1039.8</v>
      </c>
      <c r="BJ165" s="33"/>
      <c r="BK165" s="197">
        <v>0.69499999999999995</v>
      </c>
      <c r="BL165" s="200">
        <v>72.099999999999994</v>
      </c>
      <c r="BM165" s="199">
        <v>694.8</v>
      </c>
      <c r="BN165" s="33"/>
      <c r="BO165" s="37">
        <v>695</v>
      </c>
      <c r="BP165" s="38">
        <v>0.69520000000000004</v>
      </c>
      <c r="BQ165" s="39">
        <v>72.05</v>
      </c>
      <c r="BR165" s="520"/>
    </row>
    <row r="166" spans="37:70">
      <c r="AK166" s="2482"/>
      <c r="BG166" s="30">
        <v>4.5999999999999996</v>
      </c>
      <c r="BH166" s="31">
        <v>1.0397000000000001</v>
      </c>
      <c r="BI166" s="32">
        <v>1039</v>
      </c>
      <c r="BJ166" s="33"/>
      <c r="BK166" s="197">
        <v>0.69599999999999995</v>
      </c>
      <c r="BL166" s="200">
        <v>71.8</v>
      </c>
      <c r="BM166" s="199">
        <v>695.8</v>
      </c>
      <c r="BN166" s="33"/>
      <c r="BO166" s="37">
        <v>696</v>
      </c>
      <c r="BP166" s="38">
        <v>0.69620000000000004</v>
      </c>
      <c r="BQ166" s="39">
        <v>71.760000000000005</v>
      </c>
      <c r="BR166" s="520"/>
    </row>
    <row r="167" spans="37:70">
      <c r="AK167" s="2482"/>
      <c r="BG167" s="30">
        <v>4.7</v>
      </c>
      <c r="BH167" s="31">
        <v>1.0388999999999999</v>
      </c>
      <c r="BI167" s="32">
        <v>1038.3</v>
      </c>
      <c r="BJ167" s="33"/>
      <c r="BK167" s="197">
        <v>0.69699999999999995</v>
      </c>
      <c r="BL167" s="200">
        <v>71.510000000000005</v>
      </c>
      <c r="BM167" s="199">
        <v>696.8</v>
      </c>
      <c r="BN167" s="33"/>
      <c r="BO167" s="37">
        <v>697</v>
      </c>
      <c r="BP167" s="38">
        <v>0.69720000000000004</v>
      </c>
      <c r="BQ167" s="39">
        <v>71.459999999999994</v>
      </c>
      <c r="BR167" s="520"/>
    </row>
    <row r="168" spans="37:70">
      <c r="AK168" s="2482"/>
      <c r="BG168" s="30">
        <v>4.8</v>
      </c>
      <c r="BH168" s="31">
        <v>1.0382</v>
      </c>
      <c r="BI168" s="32">
        <v>1037.5</v>
      </c>
      <c r="BJ168" s="33"/>
      <c r="BK168" s="197">
        <v>0.69799999999999995</v>
      </c>
      <c r="BL168" s="200">
        <v>71.22</v>
      </c>
      <c r="BM168" s="199">
        <v>697.8</v>
      </c>
      <c r="BN168" s="33"/>
      <c r="BO168" s="37">
        <v>698</v>
      </c>
      <c r="BP168" s="38">
        <v>0.69820000000000004</v>
      </c>
      <c r="BQ168" s="39">
        <v>71.17</v>
      </c>
      <c r="BR168" s="520"/>
    </row>
    <row r="169" spans="37:70">
      <c r="AK169" s="2482"/>
      <c r="BG169" s="30">
        <v>4.9000000000000004</v>
      </c>
      <c r="BH169" s="31">
        <v>1.0374000000000001</v>
      </c>
      <c r="BI169" s="32">
        <v>1036.7</v>
      </c>
      <c r="BJ169" s="33"/>
      <c r="BK169" s="197">
        <v>0.69899999999999995</v>
      </c>
      <c r="BL169" s="200">
        <v>70.930000000000007</v>
      </c>
      <c r="BM169" s="199">
        <v>698.8</v>
      </c>
      <c r="BN169" s="33"/>
      <c r="BO169" s="37">
        <v>699</v>
      </c>
      <c r="BP169" s="38">
        <v>0.69920000000000004</v>
      </c>
      <c r="BQ169" s="39">
        <v>70.88</v>
      </c>
      <c r="BR169" s="520"/>
    </row>
    <row r="170" spans="37:70">
      <c r="AK170" s="2482"/>
      <c r="BG170" s="30">
        <v>5</v>
      </c>
      <c r="BH170" s="31">
        <v>1.0366</v>
      </c>
      <c r="BI170" s="32">
        <v>1036</v>
      </c>
      <c r="BJ170" s="33"/>
      <c r="BK170" s="197">
        <v>0.7</v>
      </c>
      <c r="BL170" s="200">
        <v>70.64</v>
      </c>
      <c r="BM170" s="199">
        <v>699.8</v>
      </c>
      <c r="BN170" s="33"/>
      <c r="BO170" s="37">
        <v>700</v>
      </c>
      <c r="BP170" s="38">
        <v>0.70020000000000004</v>
      </c>
      <c r="BQ170" s="39">
        <v>70.59</v>
      </c>
      <c r="BR170" s="520"/>
    </row>
    <row r="171" spans="37:70">
      <c r="AK171" s="2482"/>
      <c r="BG171" s="30">
        <v>5.0999999999999996</v>
      </c>
      <c r="BH171" s="31">
        <v>1.0359</v>
      </c>
      <c r="BI171" s="32">
        <v>1035.2</v>
      </c>
      <c r="BJ171" s="33"/>
      <c r="BK171" s="197">
        <v>0.70099999999999996</v>
      </c>
      <c r="BL171" s="200">
        <v>70.349999999999994</v>
      </c>
      <c r="BM171" s="199">
        <v>700.8</v>
      </c>
      <c r="BN171" s="33"/>
      <c r="BO171" s="37">
        <v>701</v>
      </c>
      <c r="BP171" s="38">
        <v>0.70120000000000005</v>
      </c>
      <c r="BQ171" s="39">
        <v>70.3</v>
      </c>
      <c r="BR171" s="520"/>
    </row>
    <row r="172" spans="37:70">
      <c r="AK172" s="2482"/>
      <c r="BG172" s="30">
        <v>5.2</v>
      </c>
      <c r="BH172" s="31">
        <v>1.0350999999999999</v>
      </c>
      <c r="BI172" s="32">
        <v>1034.5</v>
      </c>
      <c r="BJ172" s="33"/>
      <c r="BK172" s="197">
        <v>0.70199999999999996</v>
      </c>
      <c r="BL172" s="200">
        <v>70.069999999999993</v>
      </c>
      <c r="BM172" s="199">
        <v>701.8</v>
      </c>
      <c r="BN172" s="33"/>
      <c r="BO172" s="37">
        <v>702</v>
      </c>
      <c r="BP172" s="38">
        <v>0.70220000000000005</v>
      </c>
      <c r="BQ172" s="39">
        <v>70.02</v>
      </c>
      <c r="BR172" s="520"/>
    </row>
    <row r="173" spans="37:70">
      <c r="AK173" s="2482"/>
      <c r="BG173" s="30">
        <v>5.3</v>
      </c>
      <c r="BH173" s="31">
        <v>1.0344</v>
      </c>
      <c r="BI173" s="32">
        <v>1033.7</v>
      </c>
      <c r="BJ173" s="33"/>
      <c r="BK173" s="197">
        <v>0.70299999999999996</v>
      </c>
      <c r="BL173" s="200">
        <v>69.78</v>
      </c>
      <c r="BM173" s="199">
        <v>702.8</v>
      </c>
      <c r="BN173" s="33"/>
      <c r="BO173" s="37">
        <v>703</v>
      </c>
      <c r="BP173" s="38">
        <v>0.70320000000000005</v>
      </c>
      <c r="BQ173" s="39">
        <v>69.73</v>
      </c>
      <c r="BR173" s="520"/>
    </row>
    <row r="174" spans="37:70">
      <c r="AK174" s="2482"/>
      <c r="BG174" s="30">
        <v>5.4</v>
      </c>
      <c r="BH174" s="31">
        <v>1.0336000000000001</v>
      </c>
      <c r="BI174" s="32">
        <v>1033</v>
      </c>
      <c r="BJ174" s="33"/>
      <c r="BK174" s="197">
        <v>0.70399999999999996</v>
      </c>
      <c r="BL174" s="200">
        <v>69.489999999999995</v>
      </c>
      <c r="BM174" s="199">
        <v>703.8</v>
      </c>
      <c r="BN174" s="33"/>
      <c r="BO174" s="37">
        <v>704</v>
      </c>
      <c r="BP174" s="38">
        <v>0.70420000000000005</v>
      </c>
      <c r="BQ174" s="39">
        <v>69.44</v>
      </c>
      <c r="BR174" s="520"/>
    </row>
    <row r="175" spans="37:70">
      <c r="AK175" s="2482"/>
      <c r="BG175" s="30">
        <v>5.5</v>
      </c>
      <c r="BH175" s="31">
        <v>1.0327999999999999</v>
      </c>
      <c r="BI175" s="32">
        <v>1032.2</v>
      </c>
      <c r="BJ175" s="33"/>
      <c r="BK175" s="197">
        <v>0.70499999999999996</v>
      </c>
      <c r="BL175" s="200">
        <v>69.209999999999994</v>
      </c>
      <c r="BM175" s="199">
        <v>704.8</v>
      </c>
      <c r="BN175" s="33"/>
      <c r="BO175" s="37">
        <v>705</v>
      </c>
      <c r="BP175" s="38">
        <v>0.70520000000000005</v>
      </c>
      <c r="BQ175" s="39">
        <v>69.16</v>
      </c>
      <c r="BR175" s="520"/>
    </row>
    <row r="176" spans="37:70">
      <c r="AK176" s="2482"/>
      <c r="BG176" s="30">
        <v>5.6</v>
      </c>
      <c r="BH176" s="31">
        <v>1.0321</v>
      </c>
      <c r="BI176" s="32">
        <v>1031.4000000000001</v>
      </c>
      <c r="BJ176" s="33"/>
      <c r="BK176" s="197">
        <v>0.70599999999999996</v>
      </c>
      <c r="BL176" s="200">
        <v>68.92</v>
      </c>
      <c r="BM176" s="199">
        <v>705.8</v>
      </c>
      <c r="BN176" s="33"/>
      <c r="BO176" s="37">
        <v>706</v>
      </c>
      <c r="BP176" s="38">
        <v>0.70620000000000005</v>
      </c>
      <c r="BQ176" s="39">
        <v>68.87</v>
      </c>
      <c r="BR176" s="520"/>
    </row>
    <row r="177" spans="37:70">
      <c r="AK177" s="2482"/>
      <c r="BG177" s="30">
        <v>5.7</v>
      </c>
      <c r="BH177" s="31">
        <v>1.0313000000000001</v>
      </c>
      <c r="BI177" s="32">
        <v>1030.7</v>
      </c>
      <c r="BJ177" s="33"/>
      <c r="BK177" s="197">
        <v>0.70699999999999996</v>
      </c>
      <c r="BL177" s="200">
        <v>68.64</v>
      </c>
      <c r="BM177" s="199">
        <v>706.8</v>
      </c>
      <c r="BN177" s="33"/>
      <c r="BO177" s="37">
        <v>707</v>
      </c>
      <c r="BP177" s="38">
        <v>0.70720000000000005</v>
      </c>
      <c r="BQ177" s="39">
        <v>68.59</v>
      </c>
      <c r="BR177" s="520"/>
    </row>
    <row r="178" spans="37:70">
      <c r="AK178" s="2482"/>
      <c r="BG178" s="30">
        <v>5.8</v>
      </c>
      <c r="BH178" s="31">
        <v>1.0306</v>
      </c>
      <c r="BI178" s="32">
        <v>1029.9000000000001</v>
      </c>
      <c r="BJ178" s="33"/>
      <c r="BK178" s="197">
        <v>0.70799999999999996</v>
      </c>
      <c r="BL178" s="200">
        <v>68.36</v>
      </c>
      <c r="BM178" s="199">
        <v>707.8</v>
      </c>
      <c r="BN178" s="33"/>
      <c r="BO178" s="37">
        <v>708</v>
      </c>
      <c r="BP178" s="38">
        <v>0.70820000000000005</v>
      </c>
      <c r="BQ178" s="39">
        <v>68.31</v>
      </c>
      <c r="BR178" s="520"/>
    </row>
    <row r="179" spans="37:70">
      <c r="AK179" s="2482"/>
      <c r="BG179" s="30">
        <v>5.9</v>
      </c>
      <c r="BH179" s="31">
        <v>1.0298</v>
      </c>
      <c r="BI179" s="32">
        <v>1029.2</v>
      </c>
      <c r="BJ179" s="33"/>
      <c r="BK179" s="197">
        <v>0.70899999999999996</v>
      </c>
      <c r="BL179" s="200">
        <v>68.08</v>
      </c>
      <c r="BM179" s="199">
        <v>708.8</v>
      </c>
      <c r="BN179" s="33"/>
      <c r="BO179" s="37">
        <v>709</v>
      </c>
      <c r="BP179" s="38">
        <v>0.70920000000000005</v>
      </c>
      <c r="BQ179" s="39">
        <v>68.02</v>
      </c>
      <c r="BR179" s="520"/>
    </row>
    <row r="180" spans="37:70">
      <c r="AK180" s="2482"/>
      <c r="BG180" s="30">
        <v>6</v>
      </c>
      <c r="BH180" s="31">
        <v>1.0290999999999999</v>
      </c>
      <c r="BI180" s="32">
        <v>1028.4000000000001</v>
      </c>
      <c r="BJ180" s="33"/>
      <c r="BK180" s="197">
        <v>0.71</v>
      </c>
      <c r="BL180" s="200">
        <v>67.8</v>
      </c>
      <c r="BM180" s="199">
        <v>709.8</v>
      </c>
      <c r="BN180" s="33"/>
      <c r="BO180" s="37">
        <v>710</v>
      </c>
      <c r="BP180" s="38">
        <v>0.71020000000000005</v>
      </c>
      <c r="BQ180" s="39">
        <v>67.739999999999995</v>
      </c>
      <c r="BR180" s="520"/>
    </row>
    <row r="181" spans="37:70">
      <c r="AK181" s="2482"/>
      <c r="BG181" s="30">
        <v>6.1</v>
      </c>
      <c r="BH181" s="31">
        <v>1.0283</v>
      </c>
      <c r="BI181" s="32">
        <v>1027.7</v>
      </c>
      <c r="BJ181" s="33"/>
      <c r="BK181" s="197">
        <v>0.71099999999999997</v>
      </c>
      <c r="BL181" s="200">
        <v>67.52</v>
      </c>
      <c r="BM181" s="199">
        <v>710.8</v>
      </c>
      <c r="BN181" s="33"/>
      <c r="BO181" s="37">
        <v>711</v>
      </c>
      <c r="BP181" s="38">
        <v>0.71120000000000005</v>
      </c>
      <c r="BQ181" s="39">
        <v>67.459999999999994</v>
      </c>
      <c r="BR181" s="520"/>
    </row>
    <row r="182" spans="37:70">
      <c r="AK182" s="2482"/>
      <c r="BG182" s="30">
        <v>6.2</v>
      </c>
      <c r="BH182" s="31">
        <v>1.0276000000000001</v>
      </c>
      <c r="BI182" s="32">
        <v>1027</v>
      </c>
      <c r="BJ182" s="33"/>
      <c r="BK182" s="197">
        <v>0.71199999999999997</v>
      </c>
      <c r="BL182" s="200">
        <v>67.239999999999995</v>
      </c>
      <c r="BM182" s="199">
        <v>711.8</v>
      </c>
      <c r="BN182" s="33"/>
      <c r="BO182" s="37">
        <v>712</v>
      </c>
      <c r="BP182" s="38">
        <v>0.71220000000000006</v>
      </c>
      <c r="BQ182" s="39">
        <v>67.180000000000007</v>
      </c>
      <c r="BR182" s="520"/>
    </row>
    <row r="183" spans="37:70">
      <c r="AK183" s="2482"/>
      <c r="BG183" s="30">
        <v>6.3</v>
      </c>
      <c r="BH183" s="31">
        <v>1.0268999999999999</v>
      </c>
      <c r="BI183" s="32">
        <v>1026.2</v>
      </c>
      <c r="BJ183" s="33"/>
      <c r="BK183" s="197">
        <v>0.71299999999999997</v>
      </c>
      <c r="BL183" s="200">
        <v>66.959999999999994</v>
      </c>
      <c r="BM183" s="199">
        <v>712.8</v>
      </c>
      <c r="BN183" s="33"/>
      <c r="BO183" s="37">
        <v>713</v>
      </c>
      <c r="BP183" s="38">
        <v>0.71319999999999995</v>
      </c>
      <c r="BQ183" s="39">
        <v>66.900000000000006</v>
      </c>
      <c r="BR183" s="520"/>
    </row>
    <row r="184" spans="37:70">
      <c r="AK184" s="2482"/>
      <c r="BG184" s="30">
        <v>6.4</v>
      </c>
      <c r="BH184" s="31">
        <v>1.0261</v>
      </c>
      <c r="BI184" s="32">
        <v>1025.5</v>
      </c>
      <c r="BJ184" s="33"/>
      <c r="BK184" s="197">
        <v>0.71399999999999997</v>
      </c>
      <c r="BL184" s="200">
        <v>66.680000000000007</v>
      </c>
      <c r="BM184" s="199">
        <v>713.8</v>
      </c>
      <c r="BN184" s="33"/>
      <c r="BO184" s="37">
        <v>714</v>
      </c>
      <c r="BP184" s="38">
        <v>0.71419999999999995</v>
      </c>
      <c r="BQ184" s="39">
        <v>66.63</v>
      </c>
      <c r="BR184" s="520"/>
    </row>
    <row r="185" spans="37:70">
      <c r="AK185" s="2482"/>
      <c r="BG185" s="30">
        <v>6.5</v>
      </c>
      <c r="BH185" s="31">
        <v>1.0254000000000001</v>
      </c>
      <c r="BI185" s="32">
        <v>1024.7</v>
      </c>
      <c r="BJ185" s="33"/>
      <c r="BK185" s="197">
        <v>0.71499999999999997</v>
      </c>
      <c r="BL185" s="200">
        <v>66.400000000000006</v>
      </c>
      <c r="BM185" s="199">
        <v>714.8</v>
      </c>
      <c r="BN185" s="33"/>
      <c r="BO185" s="37">
        <v>715</v>
      </c>
      <c r="BP185" s="38">
        <v>0.71519999999999995</v>
      </c>
      <c r="BQ185" s="39">
        <v>66.349999999999994</v>
      </c>
      <c r="BR185" s="520"/>
    </row>
    <row r="186" spans="37:70">
      <c r="AK186" s="2482"/>
      <c r="BG186" s="30">
        <v>6.6</v>
      </c>
      <c r="BH186" s="31">
        <v>1.0246</v>
      </c>
      <c r="BI186" s="32">
        <v>1024</v>
      </c>
      <c r="BJ186" s="33"/>
      <c r="BK186" s="197">
        <v>0.71599999999999997</v>
      </c>
      <c r="BL186" s="200">
        <v>66.13</v>
      </c>
      <c r="BM186" s="199">
        <v>715.8</v>
      </c>
      <c r="BN186" s="33"/>
      <c r="BO186" s="37">
        <v>716</v>
      </c>
      <c r="BP186" s="38">
        <v>0.71619999999999995</v>
      </c>
      <c r="BQ186" s="39">
        <v>66.069999999999993</v>
      </c>
      <c r="BR186" s="520"/>
    </row>
    <row r="187" spans="37:70">
      <c r="AK187" s="2482"/>
      <c r="BG187" s="30">
        <v>6.7</v>
      </c>
      <c r="BH187" s="31">
        <v>1.0239</v>
      </c>
      <c r="BI187" s="32">
        <v>1023.2</v>
      </c>
      <c r="BJ187" s="33"/>
      <c r="BK187" s="197">
        <v>0.71699999999999997</v>
      </c>
      <c r="BL187" s="200">
        <v>65.849999999999994</v>
      </c>
      <c r="BM187" s="199">
        <v>716.8</v>
      </c>
      <c r="BN187" s="33"/>
      <c r="BO187" s="37">
        <v>717</v>
      </c>
      <c r="BP187" s="38">
        <v>0.71719999999999995</v>
      </c>
      <c r="BQ187" s="39">
        <v>65.8</v>
      </c>
      <c r="BR187" s="520"/>
    </row>
    <row r="188" spans="37:70">
      <c r="AK188" s="2482"/>
      <c r="BG188" s="30">
        <v>6.8</v>
      </c>
      <c r="BH188" s="31">
        <v>1.0230999999999999</v>
      </c>
      <c r="BI188" s="32">
        <v>1022.5</v>
      </c>
      <c r="BJ188" s="33"/>
      <c r="BK188" s="197">
        <v>0.71799999999999997</v>
      </c>
      <c r="BL188" s="200">
        <v>65.58</v>
      </c>
      <c r="BM188" s="199">
        <v>717.8</v>
      </c>
      <c r="BN188" s="33"/>
      <c r="BO188" s="37">
        <v>718</v>
      </c>
      <c r="BP188" s="38">
        <v>0.71819999999999995</v>
      </c>
      <c r="BQ188" s="39">
        <v>65.52</v>
      </c>
      <c r="BR188" s="520"/>
    </row>
    <row r="189" spans="37:70">
      <c r="AK189" s="2482"/>
      <c r="BG189" s="30">
        <v>6.9</v>
      </c>
      <c r="BH189" s="31">
        <v>1.0224</v>
      </c>
      <c r="BI189" s="32">
        <v>1021.8</v>
      </c>
      <c r="BJ189" s="33"/>
      <c r="BK189" s="197">
        <v>0.71899999999999997</v>
      </c>
      <c r="BL189" s="200">
        <v>65.3</v>
      </c>
      <c r="BM189" s="199">
        <v>718.8</v>
      </c>
      <c r="BN189" s="33"/>
      <c r="BO189" s="37">
        <v>719</v>
      </c>
      <c r="BP189" s="38">
        <v>0.71919999999999995</v>
      </c>
      <c r="BQ189" s="39">
        <v>65.25</v>
      </c>
      <c r="BR189" s="520"/>
    </row>
    <row r="190" spans="37:70">
      <c r="AK190" s="2482"/>
      <c r="BG190" s="30">
        <v>7</v>
      </c>
      <c r="BH190" s="31">
        <v>1.0217000000000001</v>
      </c>
      <c r="BI190" s="32">
        <v>1021</v>
      </c>
      <c r="BJ190" s="33"/>
      <c r="BK190" s="197">
        <v>0.72</v>
      </c>
      <c r="BL190" s="200">
        <v>65.03</v>
      </c>
      <c r="BM190" s="199">
        <v>719.8</v>
      </c>
      <c r="BN190" s="33"/>
      <c r="BO190" s="37">
        <v>720</v>
      </c>
      <c r="BP190" s="38">
        <v>0.72019999999999995</v>
      </c>
      <c r="BQ190" s="39">
        <v>64.97</v>
      </c>
      <c r="BR190" s="520"/>
    </row>
    <row r="191" spans="37:70">
      <c r="AK191" s="2482"/>
      <c r="BG191" s="30">
        <v>7.1</v>
      </c>
      <c r="BH191" s="31">
        <v>1.0208999999999999</v>
      </c>
      <c r="BI191" s="32">
        <v>1020.3</v>
      </c>
      <c r="BJ191" s="33"/>
      <c r="BK191" s="197">
        <v>0.72099999999999997</v>
      </c>
      <c r="BL191" s="200">
        <v>64.760000000000005</v>
      </c>
      <c r="BM191" s="199">
        <v>720.8</v>
      </c>
      <c r="BN191" s="33"/>
      <c r="BO191" s="37">
        <v>721</v>
      </c>
      <c r="BP191" s="38">
        <v>0.72119999999999995</v>
      </c>
      <c r="BQ191" s="39">
        <v>64.7</v>
      </c>
      <c r="BR191" s="520"/>
    </row>
    <row r="192" spans="37:70">
      <c r="AK192" s="2482"/>
      <c r="BG192" s="30">
        <v>7.2</v>
      </c>
      <c r="BH192" s="31">
        <v>1.0202</v>
      </c>
      <c r="BI192" s="32">
        <v>1019.6</v>
      </c>
      <c r="BJ192" s="33"/>
      <c r="BK192" s="197">
        <v>0.72199999999999998</v>
      </c>
      <c r="BL192" s="200">
        <v>64.48</v>
      </c>
      <c r="BM192" s="199">
        <v>721.8</v>
      </c>
      <c r="BN192" s="33"/>
      <c r="BO192" s="37">
        <v>722</v>
      </c>
      <c r="BP192" s="38">
        <v>0.72219999999999995</v>
      </c>
      <c r="BQ192" s="39">
        <v>64.430000000000007</v>
      </c>
      <c r="BR192" s="520"/>
    </row>
    <row r="193" spans="37:70">
      <c r="AK193" s="2482"/>
      <c r="BG193" s="30">
        <v>7.3</v>
      </c>
      <c r="BH193" s="31">
        <v>1.0195000000000001</v>
      </c>
      <c r="BI193" s="32">
        <v>1018.8</v>
      </c>
      <c r="BJ193" s="33"/>
      <c r="BK193" s="197">
        <v>0.72299999999999998</v>
      </c>
      <c r="BL193" s="200">
        <v>64.209999999999994</v>
      </c>
      <c r="BM193" s="199">
        <v>722.8</v>
      </c>
      <c r="BN193" s="33"/>
      <c r="BO193" s="37">
        <v>723</v>
      </c>
      <c r="BP193" s="38">
        <v>0.72319999999999995</v>
      </c>
      <c r="BQ193" s="39">
        <v>64.16</v>
      </c>
      <c r="BR193" s="520"/>
    </row>
    <row r="194" spans="37:70">
      <c r="AK194" s="2482"/>
      <c r="BG194" s="30">
        <v>7.4</v>
      </c>
      <c r="BH194" s="31">
        <v>1.0186999999999999</v>
      </c>
      <c r="BI194" s="32">
        <v>1018.1</v>
      </c>
      <c r="BJ194" s="33"/>
      <c r="BK194" s="197">
        <v>0.72399999999999998</v>
      </c>
      <c r="BL194" s="200">
        <v>63.94</v>
      </c>
      <c r="BM194" s="199">
        <v>723.8</v>
      </c>
      <c r="BN194" s="33"/>
      <c r="BO194" s="37">
        <v>724</v>
      </c>
      <c r="BP194" s="38">
        <v>0.72419999999999995</v>
      </c>
      <c r="BQ194" s="39">
        <v>63.89</v>
      </c>
      <c r="BR194" s="520"/>
    </row>
    <row r="195" spans="37:70">
      <c r="AK195" s="2482"/>
      <c r="BG195" s="30">
        <v>7.5</v>
      </c>
      <c r="BH195" s="31">
        <v>1.018</v>
      </c>
      <c r="BI195" s="32">
        <v>1017.4</v>
      </c>
      <c r="BJ195" s="33"/>
      <c r="BK195" s="197">
        <v>0.72499999999999998</v>
      </c>
      <c r="BL195" s="200">
        <v>63.67</v>
      </c>
      <c r="BM195" s="199">
        <v>724.8</v>
      </c>
      <c r="BN195" s="33"/>
      <c r="BO195" s="37">
        <v>725</v>
      </c>
      <c r="BP195" s="38">
        <v>0.72519999999999996</v>
      </c>
      <c r="BQ195" s="39">
        <v>63.62</v>
      </c>
      <c r="BR195" s="520"/>
    </row>
    <row r="196" spans="37:70">
      <c r="AK196" s="2482"/>
      <c r="BG196" s="30">
        <v>7.6</v>
      </c>
      <c r="BH196" s="31">
        <v>1.0173000000000001</v>
      </c>
      <c r="BI196" s="32">
        <v>1016.6</v>
      </c>
      <c r="BJ196" s="33"/>
      <c r="BK196" s="197">
        <v>0.72599999999999998</v>
      </c>
      <c r="BL196" s="200">
        <v>63.4</v>
      </c>
      <c r="BM196" s="199">
        <v>725.8</v>
      </c>
      <c r="BN196" s="33"/>
      <c r="BO196" s="37">
        <v>726</v>
      </c>
      <c r="BP196" s="38">
        <v>0.72619999999999996</v>
      </c>
      <c r="BQ196" s="39">
        <v>63.35</v>
      </c>
      <c r="BR196" s="520"/>
    </row>
    <row r="197" spans="37:70">
      <c r="AK197" s="2482"/>
      <c r="BG197" s="30">
        <v>7.7</v>
      </c>
      <c r="BH197" s="31">
        <v>1.0165</v>
      </c>
      <c r="BI197" s="32">
        <v>1015.9</v>
      </c>
      <c r="BJ197" s="33"/>
      <c r="BK197" s="197">
        <v>0.72699999999999998</v>
      </c>
      <c r="BL197" s="200">
        <v>63.14</v>
      </c>
      <c r="BM197" s="199">
        <v>726.8</v>
      </c>
      <c r="BN197" s="33"/>
      <c r="BO197" s="37">
        <v>727</v>
      </c>
      <c r="BP197" s="38">
        <v>0.72719999999999996</v>
      </c>
      <c r="BQ197" s="39">
        <v>63.08</v>
      </c>
      <c r="BR197" s="520"/>
    </row>
    <row r="198" spans="37:70">
      <c r="AK198" s="2482"/>
      <c r="BG198" s="30">
        <v>7.8</v>
      </c>
      <c r="BH198" s="31">
        <v>1.0158</v>
      </c>
      <c r="BI198" s="32">
        <v>1015.2</v>
      </c>
      <c r="BJ198" s="33"/>
      <c r="BK198" s="197">
        <v>0.72799999999999998</v>
      </c>
      <c r="BL198" s="200">
        <v>62.87</v>
      </c>
      <c r="BM198" s="199">
        <v>727.8</v>
      </c>
      <c r="BN198" s="33"/>
      <c r="BO198" s="37">
        <v>728</v>
      </c>
      <c r="BP198" s="38">
        <v>0.72819999999999996</v>
      </c>
      <c r="BQ198" s="39">
        <v>62.81</v>
      </c>
      <c r="BR198" s="520"/>
    </row>
    <row r="199" spans="37:70">
      <c r="AK199" s="2482"/>
      <c r="BG199" s="30">
        <v>7.9</v>
      </c>
      <c r="BH199" s="31">
        <v>1.0150999999999999</v>
      </c>
      <c r="BI199" s="32">
        <v>1014.4</v>
      </c>
      <c r="BJ199" s="33"/>
      <c r="BK199" s="197">
        <v>0.72899999999999998</v>
      </c>
      <c r="BL199" s="200">
        <v>62.6</v>
      </c>
      <c r="BM199" s="199">
        <v>728.8</v>
      </c>
      <c r="BN199" s="33"/>
      <c r="BO199" s="37">
        <v>729</v>
      </c>
      <c r="BP199" s="38">
        <v>0.72919999999999996</v>
      </c>
      <c r="BQ199" s="39">
        <v>62.54</v>
      </c>
      <c r="BR199" s="520"/>
    </row>
    <row r="200" spans="37:70">
      <c r="AK200" s="2482"/>
      <c r="BG200" s="30">
        <v>8</v>
      </c>
      <c r="BH200" s="31">
        <v>1.0143</v>
      </c>
      <c r="BI200" s="32">
        <v>1013.7</v>
      </c>
      <c r="BJ200" s="33"/>
      <c r="BK200" s="197">
        <v>0.73</v>
      </c>
      <c r="BL200" s="200">
        <v>62.34</v>
      </c>
      <c r="BM200" s="199">
        <v>729.8</v>
      </c>
      <c r="BN200" s="33"/>
      <c r="BO200" s="37">
        <v>730</v>
      </c>
      <c r="BP200" s="38">
        <v>0.73019999999999996</v>
      </c>
      <c r="BQ200" s="39">
        <v>62.28</v>
      </c>
      <c r="BR200" s="520"/>
    </row>
    <row r="201" spans="37:70">
      <c r="AK201" s="2482"/>
      <c r="BG201" s="30">
        <v>8.1</v>
      </c>
      <c r="BH201" s="31">
        <v>1.0136000000000001</v>
      </c>
      <c r="BI201" s="32">
        <v>1013</v>
      </c>
      <c r="BJ201" s="33"/>
      <c r="BK201" s="197">
        <v>0.73099999999999998</v>
      </c>
      <c r="BL201" s="200">
        <v>62.07</v>
      </c>
      <c r="BM201" s="199">
        <v>730.8</v>
      </c>
      <c r="BN201" s="33"/>
      <c r="BO201" s="37">
        <v>731</v>
      </c>
      <c r="BP201" s="38">
        <v>0.73119999999999996</v>
      </c>
      <c r="BQ201" s="39">
        <v>62.01</v>
      </c>
      <c r="BR201" s="520"/>
    </row>
    <row r="202" spans="37:70">
      <c r="AK202" s="2482"/>
      <c r="BG202" s="30">
        <v>8.1999999999999993</v>
      </c>
      <c r="BH202" s="31">
        <v>1.0128999999999999</v>
      </c>
      <c r="BI202" s="32">
        <v>1012.3</v>
      </c>
      <c r="BJ202" s="33"/>
      <c r="BK202" s="197">
        <v>0.73199999999999998</v>
      </c>
      <c r="BL202" s="200">
        <v>61.81</v>
      </c>
      <c r="BM202" s="199">
        <v>731.8</v>
      </c>
      <c r="BN202" s="33"/>
      <c r="BO202" s="37">
        <v>732</v>
      </c>
      <c r="BP202" s="38">
        <v>0.73219999999999996</v>
      </c>
      <c r="BQ202" s="39">
        <v>61.75</v>
      </c>
      <c r="BR202" s="520"/>
    </row>
    <row r="203" spans="37:70">
      <c r="AK203" s="2482"/>
      <c r="BG203" s="30">
        <v>8.3000000000000007</v>
      </c>
      <c r="BH203" s="31">
        <v>1.0122</v>
      </c>
      <c r="BI203" s="32">
        <v>1011.5</v>
      </c>
      <c r="BJ203" s="33"/>
      <c r="BK203" s="197">
        <v>0.73299999999999998</v>
      </c>
      <c r="BL203" s="200">
        <v>61.54</v>
      </c>
      <c r="BM203" s="199">
        <v>732.8</v>
      </c>
      <c r="BN203" s="33"/>
      <c r="BO203" s="37">
        <v>733</v>
      </c>
      <c r="BP203" s="38">
        <v>0.73319999999999996</v>
      </c>
      <c r="BQ203" s="39">
        <v>61.48</v>
      </c>
      <c r="BR203" s="520"/>
    </row>
    <row r="204" spans="37:70">
      <c r="AK204" s="2482"/>
      <c r="BG204" s="30">
        <v>8.4</v>
      </c>
      <c r="BH204" s="31">
        <v>1.0114000000000001</v>
      </c>
      <c r="BI204" s="32">
        <v>1010.8</v>
      </c>
      <c r="BJ204" s="33"/>
      <c r="BK204" s="197">
        <v>0.73399999999999999</v>
      </c>
      <c r="BL204" s="200">
        <v>61.28</v>
      </c>
      <c r="BM204" s="199">
        <v>733.8</v>
      </c>
      <c r="BN204" s="33"/>
      <c r="BO204" s="37">
        <v>734</v>
      </c>
      <c r="BP204" s="38">
        <v>0.73419999999999996</v>
      </c>
      <c r="BQ204" s="39">
        <v>61.22</v>
      </c>
      <c r="BR204" s="520"/>
    </row>
    <row r="205" spans="37:70">
      <c r="AK205" s="2482"/>
      <c r="BG205" s="30">
        <v>8.5</v>
      </c>
      <c r="BH205" s="31">
        <v>1.0106999999999999</v>
      </c>
      <c r="BI205" s="32">
        <v>1010.1</v>
      </c>
      <c r="BJ205" s="33"/>
      <c r="BK205" s="197">
        <v>0.73499999999999999</v>
      </c>
      <c r="BL205" s="200">
        <v>61.02</v>
      </c>
      <c r="BM205" s="199">
        <v>734.8</v>
      </c>
      <c r="BN205" s="33"/>
      <c r="BO205" s="37">
        <v>735</v>
      </c>
      <c r="BP205" s="38">
        <v>0.73519999999999996</v>
      </c>
      <c r="BQ205" s="39">
        <v>60.96</v>
      </c>
      <c r="BR205" s="520"/>
    </row>
    <row r="206" spans="37:70">
      <c r="AK206" s="2482"/>
      <c r="BG206" s="30">
        <v>8.6</v>
      </c>
      <c r="BH206" s="31">
        <v>1.01</v>
      </c>
      <c r="BI206" s="32">
        <v>1009.4</v>
      </c>
      <c r="BJ206" s="33"/>
      <c r="BK206" s="197">
        <v>0.73599999999999999</v>
      </c>
      <c r="BL206" s="200">
        <v>60.76</v>
      </c>
      <c r="BM206" s="199">
        <v>735.8</v>
      </c>
      <c r="BN206" s="33"/>
      <c r="BO206" s="37">
        <v>736</v>
      </c>
      <c r="BP206" s="38">
        <v>0.73619999999999997</v>
      </c>
      <c r="BQ206" s="39">
        <v>60.7</v>
      </c>
      <c r="BR206" s="520"/>
    </row>
    <row r="207" spans="37:70">
      <c r="AK207" s="2482"/>
      <c r="BG207" s="30">
        <v>8.6999999999999993</v>
      </c>
      <c r="BH207" s="31">
        <v>1.0093000000000001</v>
      </c>
      <c r="BI207" s="32">
        <v>1008.6</v>
      </c>
      <c r="BJ207" s="33"/>
      <c r="BK207" s="197">
        <v>0.73699999999999999</v>
      </c>
      <c r="BL207" s="200">
        <v>60.49</v>
      </c>
      <c r="BM207" s="199">
        <v>736.8</v>
      </c>
      <c r="BN207" s="33"/>
      <c r="BO207" s="37">
        <v>737</v>
      </c>
      <c r="BP207" s="38">
        <v>0.73719999999999997</v>
      </c>
      <c r="BQ207" s="39">
        <v>60.44</v>
      </c>
      <c r="BR207" s="520"/>
    </row>
    <row r="208" spans="37:70">
      <c r="AK208" s="2482"/>
      <c r="BG208" s="30">
        <v>8.8000000000000007</v>
      </c>
      <c r="BH208" s="31">
        <v>1.0085999999999999</v>
      </c>
      <c r="BI208" s="32">
        <v>1007.9</v>
      </c>
      <c r="BJ208" s="33"/>
      <c r="BK208" s="197">
        <v>0.73799999999999999</v>
      </c>
      <c r="BL208" s="200">
        <v>60.23</v>
      </c>
      <c r="BM208" s="199">
        <v>737.8</v>
      </c>
      <c r="BN208" s="33"/>
      <c r="BO208" s="37">
        <v>738</v>
      </c>
      <c r="BP208" s="38">
        <v>0.73819999999999997</v>
      </c>
      <c r="BQ208" s="39">
        <v>60.18</v>
      </c>
      <c r="BR208" s="520"/>
    </row>
    <row r="209" spans="37:70">
      <c r="AK209" s="2482"/>
      <c r="BG209" s="30">
        <v>8.9</v>
      </c>
      <c r="BH209" s="31">
        <v>1.0078</v>
      </c>
      <c r="BI209" s="32">
        <v>1007.2</v>
      </c>
      <c r="BJ209" s="33"/>
      <c r="BK209" s="197">
        <v>0.73899999999999999</v>
      </c>
      <c r="BL209" s="200">
        <v>59.97</v>
      </c>
      <c r="BM209" s="199">
        <v>738.8</v>
      </c>
      <c r="BN209" s="33"/>
      <c r="BO209" s="37">
        <v>739</v>
      </c>
      <c r="BP209" s="38">
        <v>0.73919999999999997</v>
      </c>
      <c r="BQ209" s="39">
        <v>59.92</v>
      </c>
      <c r="BR209" s="520"/>
    </row>
    <row r="210" spans="37:70">
      <c r="AK210" s="2482"/>
      <c r="BG210" s="30">
        <v>9</v>
      </c>
      <c r="BH210" s="31">
        <v>1.0071000000000001</v>
      </c>
      <c r="BI210" s="32">
        <v>1006.5</v>
      </c>
      <c r="BJ210" s="33"/>
      <c r="BK210" s="197">
        <v>0.74</v>
      </c>
      <c r="BL210" s="200">
        <v>59.72</v>
      </c>
      <c r="BM210" s="199">
        <v>739.8</v>
      </c>
      <c r="BN210" s="33"/>
      <c r="BO210" s="37">
        <v>740</v>
      </c>
      <c r="BP210" s="38">
        <v>0.74019999999999997</v>
      </c>
      <c r="BQ210" s="39">
        <v>59.66</v>
      </c>
      <c r="BR210" s="520"/>
    </row>
    <row r="211" spans="37:70">
      <c r="AK211" s="2482"/>
      <c r="BG211" s="30">
        <v>9.1</v>
      </c>
      <c r="BH211" s="31">
        <v>1.0064</v>
      </c>
      <c r="BI211" s="32">
        <v>1005.8</v>
      </c>
      <c r="BJ211" s="33"/>
      <c r="BK211" s="197">
        <v>0.74099999999999999</v>
      </c>
      <c r="BL211" s="200">
        <v>59.46</v>
      </c>
      <c r="BM211" s="199">
        <v>740.8</v>
      </c>
      <c r="BN211" s="33"/>
      <c r="BO211" s="37">
        <v>741</v>
      </c>
      <c r="BP211" s="38">
        <v>0.74119999999999997</v>
      </c>
      <c r="BQ211" s="39">
        <v>59.4</v>
      </c>
      <c r="BR211" s="520"/>
    </row>
    <row r="212" spans="37:70">
      <c r="AK212" s="2482"/>
      <c r="BG212" s="30">
        <v>9.1999999999999993</v>
      </c>
      <c r="BH212" s="31">
        <v>1.0057</v>
      </c>
      <c r="BI212" s="32">
        <v>1005.1</v>
      </c>
      <c r="BJ212" s="33"/>
      <c r="BK212" s="197">
        <v>0.74199999999999999</v>
      </c>
      <c r="BL212" s="200">
        <v>59.2</v>
      </c>
      <c r="BM212" s="199">
        <v>741.8</v>
      </c>
      <c r="BN212" s="33"/>
      <c r="BO212" s="37">
        <v>742</v>
      </c>
      <c r="BP212" s="38">
        <v>0.74219999999999997</v>
      </c>
      <c r="BQ212" s="39">
        <v>59.14</v>
      </c>
      <c r="BR212" s="520"/>
    </row>
    <row r="213" spans="37:70">
      <c r="AK213" s="2482"/>
      <c r="BG213" s="30">
        <v>9.3000000000000007</v>
      </c>
      <c r="BH213" s="31">
        <v>1.0049999999999999</v>
      </c>
      <c r="BI213" s="32">
        <v>1004.4</v>
      </c>
      <c r="BJ213" s="33"/>
      <c r="BK213" s="197">
        <v>0.74299999999999999</v>
      </c>
      <c r="BL213" s="200">
        <v>58.94</v>
      </c>
      <c r="BM213" s="199">
        <v>742.8</v>
      </c>
      <c r="BN213" s="33"/>
      <c r="BO213" s="37">
        <v>743</v>
      </c>
      <c r="BP213" s="38">
        <v>0.74319999999999997</v>
      </c>
      <c r="BQ213" s="39">
        <v>58.88</v>
      </c>
      <c r="BR213" s="520"/>
    </row>
    <row r="214" spans="37:70">
      <c r="AK214" s="2482"/>
      <c r="BG214" s="30">
        <v>9.4</v>
      </c>
      <c r="BH214" s="31">
        <v>1.0043</v>
      </c>
      <c r="BI214" s="32">
        <v>1003.6</v>
      </c>
      <c r="BJ214" s="33"/>
      <c r="BK214" s="197">
        <v>0.74399999999999999</v>
      </c>
      <c r="BL214" s="200">
        <v>58.69</v>
      </c>
      <c r="BM214" s="199">
        <v>743.8</v>
      </c>
      <c r="BN214" s="33"/>
      <c r="BO214" s="37">
        <v>744</v>
      </c>
      <c r="BP214" s="38">
        <v>0.74419999999999997</v>
      </c>
      <c r="BQ214" s="39">
        <v>58.63</v>
      </c>
      <c r="BR214" s="520"/>
    </row>
    <row r="215" spans="37:70">
      <c r="AK215" s="2482"/>
      <c r="BG215" s="30">
        <v>9.5</v>
      </c>
      <c r="BH215" s="31">
        <v>1.0035000000000001</v>
      </c>
      <c r="BI215" s="32">
        <v>1002.9</v>
      </c>
      <c r="BJ215" s="33"/>
      <c r="BK215" s="197">
        <v>0.745</v>
      </c>
      <c r="BL215" s="200">
        <v>58.43</v>
      </c>
      <c r="BM215" s="199">
        <v>744.8</v>
      </c>
      <c r="BN215" s="33"/>
      <c r="BO215" s="37">
        <v>745</v>
      </c>
      <c r="BP215" s="38">
        <v>0.74519999999999997</v>
      </c>
      <c r="BQ215" s="39">
        <v>58.37</v>
      </c>
      <c r="BR215" s="520"/>
    </row>
    <row r="216" spans="37:70">
      <c r="AK216" s="2482"/>
      <c r="BG216" s="30">
        <v>9.6</v>
      </c>
      <c r="BH216" s="31">
        <v>1.0027999999999999</v>
      </c>
      <c r="BI216" s="32">
        <v>1002.2</v>
      </c>
      <c r="BJ216" s="33"/>
      <c r="BK216" s="197">
        <v>0.746</v>
      </c>
      <c r="BL216" s="200">
        <v>58.18</v>
      </c>
      <c r="BM216" s="199">
        <v>745.8</v>
      </c>
      <c r="BN216" s="33"/>
      <c r="BO216" s="37">
        <v>746</v>
      </c>
      <c r="BP216" s="38">
        <v>0.74619999999999997</v>
      </c>
      <c r="BQ216" s="39">
        <v>58.12</v>
      </c>
      <c r="BR216" s="520"/>
    </row>
    <row r="217" spans="37:70">
      <c r="AK217" s="2482"/>
      <c r="BG217" s="30">
        <v>9.6999999999999993</v>
      </c>
      <c r="BH217" s="31">
        <v>1.0021</v>
      </c>
      <c r="BI217" s="32">
        <v>1001.5</v>
      </c>
      <c r="BJ217" s="33"/>
      <c r="BK217" s="197">
        <v>0.747</v>
      </c>
      <c r="BL217" s="200">
        <v>57.92</v>
      </c>
      <c r="BM217" s="199">
        <v>746.8</v>
      </c>
      <c r="BN217" s="33"/>
      <c r="BO217" s="37">
        <v>747</v>
      </c>
      <c r="BP217" s="38">
        <v>0.74719999999999998</v>
      </c>
      <c r="BQ217" s="39">
        <v>57.86</v>
      </c>
      <c r="BR217" s="520"/>
    </row>
    <row r="218" spans="37:70">
      <c r="AK218" s="2482"/>
      <c r="BG218" s="30">
        <v>9.8000000000000007</v>
      </c>
      <c r="BH218" s="31">
        <v>1.0014000000000001</v>
      </c>
      <c r="BI218" s="32">
        <v>1000.8</v>
      </c>
      <c r="BJ218" s="33"/>
      <c r="BK218" s="197">
        <v>0.748</v>
      </c>
      <c r="BL218" s="200">
        <v>57.67</v>
      </c>
      <c r="BM218" s="199">
        <v>747.8</v>
      </c>
      <c r="BN218" s="33"/>
      <c r="BO218" s="37">
        <v>748</v>
      </c>
      <c r="BP218" s="38">
        <v>0.74819999999999998</v>
      </c>
      <c r="BQ218" s="39">
        <v>57.61</v>
      </c>
      <c r="BR218" s="520"/>
    </row>
    <row r="219" spans="37:70">
      <c r="AK219" s="2482"/>
      <c r="BG219" s="30">
        <v>9.9</v>
      </c>
      <c r="BH219" s="31">
        <v>1.0006999999999999</v>
      </c>
      <c r="BI219" s="32">
        <v>1000.1</v>
      </c>
      <c r="BJ219" s="33"/>
      <c r="BK219" s="197">
        <v>0.749</v>
      </c>
      <c r="BL219" s="200">
        <v>57.42</v>
      </c>
      <c r="BM219" s="199">
        <v>748.8</v>
      </c>
      <c r="BN219" s="33"/>
      <c r="BO219" s="37">
        <v>749</v>
      </c>
      <c r="BP219" s="38">
        <v>0.74919999999999998</v>
      </c>
      <c r="BQ219" s="39">
        <v>57.36</v>
      </c>
      <c r="BR219" s="520"/>
    </row>
    <row r="220" spans="37:70">
      <c r="AK220" s="2482"/>
      <c r="BG220" s="30">
        <v>10</v>
      </c>
      <c r="BH220" s="31">
        <v>1</v>
      </c>
      <c r="BI220" s="32">
        <v>999.4</v>
      </c>
      <c r="BJ220" s="33"/>
      <c r="BK220" s="197">
        <v>0.75</v>
      </c>
      <c r="BL220" s="200">
        <v>57.17</v>
      </c>
      <c r="BM220" s="199">
        <v>749.8</v>
      </c>
      <c r="BN220" s="33"/>
      <c r="BO220" s="37">
        <v>750</v>
      </c>
      <c r="BP220" s="38">
        <v>0.75019999999999998</v>
      </c>
      <c r="BQ220" s="39">
        <v>57.11</v>
      </c>
      <c r="BR220" s="520"/>
    </row>
    <row r="221" spans="37:70">
      <c r="AK221" s="2482"/>
      <c r="BG221" s="30">
        <v>10.1</v>
      </c>
      <c r="BH221" s="31">
        <v>0.99929999999999997</v>
      </c>
      <c r="BI221" s="32">
        <v>998.7</v>
      </c>
      <c r="BJ221" s="33"/>
      <c r="BK221" s="197">
        <v>0.751</v>
      </c>
      <c r="BL221" s="200">
        <v>56.92</v>
      </c>
      <c r="BM221" s="199">
        <v>750.8</v>
      </c>
      <c r="BN221" s="33"/>
      <c r="BO221" s="37">
        <v>751</v>
      </c>
      <c r="BP221" s="38">
        <v>0.75119999999999998</v>
      </c>
      <c r="BQ221" s="39">
        <v>56.85</v>
      </c>
      <c r="BR221" s="520"/>
    </row>
    <row r="222" spans="37:70">
      <c r="AK222" s="2482"/>
      <c r="BG222" s="30">
        <v>10.199999999999999</v>
      </c>
      <c r="BH222" s="31">
        <v>0.99860000000000004</v>
      </c>
      <c r="BI222" s="32">
        <v>998</v>
      </c>
      <c r="BJ222" s="33"/>
      <c r="BK222" s="197">
        <v>0.752</v>
      </c>
      <c r="BL222" s="200">
        <v>56.66</v>
      </c>
      <c r="BM222" s="199">
        <v>751.8</v>
      </c>
      <c r="BN222" s="33"/>
      <c r="BO222" s="37">
        <v>752</v>
      </c>
      <c r="BP222" s="38">
        <v>0.75219999999999998</v>
      </c>
      <c r="BQ222" s="39">
        <v>56.6</v>
      </c>
      <c r="BR222" s="520"/>
    </row>
    <row r="223" spans="37:70">
      <c r="AK223" s="2482"/>
      <c r="BG223" s="30">
        <v>10.3</v>
      </c>
      <c r="BH223" s="31">
        <v>0.99790000000000001</v>
      </c>
      <c r="BI223" s="32">
        <v>997.3</v>
      </c>
      <c r="BJ223" s="33"/>
      <c r="BK223" s="197">
        <v>0.753</v>
      </c>
      <c r="BL223" s="200">
        <v>56.42</v>
      </c>
      <c r="BM223" s="199">
        <v>752.8</v>
      </c>
      <c r="BN223" s="33"/>
      <c r="BO223" s="37">
        <v>753</v>
      </c>
      <c r="BP223" s="38">
        <v>0.75319999999999998</v>
      </c>
      <c r="BQ223" s="39">
        <v>56.35</v>
      </c>
      <c r="BR223" s="520"/>
    </row>
    <row r="224" spans="37:70">
      <c r="AK224" s="2482"/>
      <c r="BG224" s="30">
        <v>10.4</v>
      </c>
      <c r="BH224" s="31">
        <v>0.99719999999999998</v>
      </c>
      <c r="BI224" s="32">
        <v>996.6</v>
      </c>
      <c r="BJ224" s="33"/>
      <c r="BK224" s="197">
        <v>0.754</v>
      </c>
      <c r="BL224" s="200">
        <v>56.17</v>
      </c>
      <c r="BM224" s="199">
        <v>753.8</v>
      </c>
      <c r="BN224" s="33"/>
      <c r="BO224" s="37">
        <v>754</v>
      </c>
      <c r="BP224" s="38">
        <v>0.75419999999999998</v>
      </c>
      <c r="BQ224" s="39">
        <v>56.1</v>
      </c>
      <c r="BR224" s="520"/>
    </row>
    <row r="225" spans="37:70">
      <c r="AK225" s="2482"/>
      <c r="BG225" s="30">
        <v>10.5</v>
      </c>
      <c r="BH225" s="31">
        <v>0.99650000000000005</v>
      </c>
      <c r="BI225" s="32">
        <v>995.9</v>
      </c>
      <c r="BJ225" s="33"/>
      <c r="BK225" s="197">
        <v>0.755</v>
      </c>
      <c r="BL225" s="200">
        <v>55.92</v>
      </c>
      <c r="BM225" s="199">
        <v>754.8</v>
      </c>
      <c r="BN225" s="33"/>
      <c r="BO225" s="37">
        <v>755</v>
      </c>
      <c r="BP225" s="38">
        <v>0.75519999999999998</v>
      </c>
      <c r="BQ225" s="39">
        <v>55.86</v>
      </c>
      <c r="BR225" s="520"/>
    </row>
    <row r="226" spans="37:70">
      <c r="AK226" s="2482"/>
      <c r="BG226" s="30">
        <v>10.6</v>
      </c>
      <c r="BH226" s="31">
        <v>0.99580000000000002</v>
      </c>
      <c r="BI226" s="32">
        <v>995.2</v>
      </c>
      <c r="BJ226" s="33"/>
      <c r="BK226" s="197">
        <v>0.75600000000000001</v>
      </c>
      <c r="BL226" s="200">
        <v>55.67</v>
      </c>
      <c r="BM226" s="199">
        <v>755.8</v>
      </c>
      <c r="BN226" s="33"/>
      <c r="BO226" s="37">
        <v>756</v>
      </c>
      <c r="BP226" s="38">
        <v>0.75619999999999998</v>
      </c>
      <c r="BQ226" s="39">
        <v>55.61</v>
      </c>
      <c r="BR226" s="520"/>
    </row>
    <row r="227" spans="37:70">
      <c r="AK227" s="2482"/>
      <c r="BG227" s="30">
        <v>10.7</v>
      </c>
      <c r="BH227" s="31">
        <v>0.99509999999999998</v>
      </c>
      <c r="BI227" s="32">
        <v>994.5</v>
      </c>
      <c r="BJ227" s="33"/>
      <c r="BK227" s="197">
        <v>0.75700000000000001</v>
      </c>
      <c r="BL227" s="200">
        <v>55.42</v>
      </c>
      <c r="BM227" s="199">
        <v>756.8</v>
      </c>
      <c r="BN227" s="33"/>
      <c r="BO227" s="37">
        <v>757</v>
      </c>
      <c r="BP227" s="38">
        <v>0.75729999999999997</v>
      </c>
      <c r="BQ227" s="39">
        <v>55.36</v>
      </c>
      <c r="BR227" s="520"/>
    </row>
    <row r="228" spans="37:70">
      <c r="AK228" s="2482"/>
      <c r="BG228" s="30">
        <v>10.8</v>
      </c>
      <c r="BH228" s="31">
        <v>0.99439999999999995</v>
      </c>
      <c r="BI228" s="32">
        <v>993.8</v>
      </c>
      <c r="BJ228" s="33"/>
      <c r="BK228" s="197">
        <v>0.75800000000000001</v>
      </c>
      <c r="BL228" s="200">
        <v>55.18</v>
      </c>
      <c r="BM228" s="199">
        <v>757.7</v>
      </c>
      <c r="BN228" s="33"/>
      <c r="BO228" s="37">
        <v>758</v>
      </c>
      <c r="BP228" s="38">
        <v>0.75829999999999997</v>
      </c>
      <c r="BQ228" s="39">
        <v>55.11</v>
      </c>
      <c r="BR228" s="520"/>
    </row>
    <row r="229" spans="37:70">
      <c r="AK229" s="2482"/>
      <c r="BG229" s="30">
        <v>10.9</v>
      </c>
      <c r="BH229" s="31">
        <v>0.99370000000000003</v>
      </c>
      <c r="BI229" s="32">
        <v>993.1</v>
      </c>
      <c r="BJ229" s="33"/>
      <c r="BK229" s="197">
        <v>0.75900000000000001</v>
      </c>
      <c r="BL229" s="200">
        <v>54.93</v>
      </c>
      <c r="BM229" s="199">
        <v>758.7</v>
      </c>
      <c r="BN229" s="33"/>
      <c r="BO229" s="37">
        <v>759</v>
      </c>
      <c r="BP229" s="38">
        <v>0.75929999999999997</v>
      </c>
      <c r="BQ229" s="39">
        <v>54.87</v>
      </c>
      <c r="BR229" s="520"/>
    </row>
    <row r="230" spans="37:70">
      <c r="AK230" s="2482"/>
      <c r="BG230" s="30">
        <v>11</v>
      </c>
      <c r="BH230" s="31">
        <v>0.99299999999999999</v>
      </c>
      <c r="BI230" s="32">
        <v>992.4</v>
      </c>
      <c r="BJ230" s="33"/>
      <c r="BK230" s="197">
        <v>0.76</v>
      </c>
      <c r="BL230" s="200">
        <v>54.68</v>
      </c>
      <c r="BM230" s="199">
        <v>759.7</v>
      </c>
      <c r="BN230" s="33"/>
      <c r="BO230" s="37">
        <v>760</v>
      </c>
      <c r="BP230" s="38">
        <v>0.76029999999999998</v>
      </c>
      <c r="BQ230" s="39">
        <v>54.62</v>
      </c>
      <c r="BR230" s="520"/>
    </row>
    <row r="231" spans="37:70">
      <c r="AK231" s="2482"/>
      <c r="BG231" s="30">
        <v>11.1</v>
      </c>
      <c r="BH231" s="31">
        <v>0.99229999999999996</v>
      </c>
      <c r="BI231" s="32">
        <v>991.7</v>
      </c>
      <c r="BJ231" s="33"/>
      <c r="BK231" s="197">
        <v>0.76100000000000001</v>
      </c>
      <c r="BL231" s="200">
        <v>54.44</v>
      </c>
      <c r="BM231" s="199">
        <v>760.7</v>
      </c>
      <c r="BN231" s="33"/>
      <c r="BO231" s="37">
        <v>761</v>
      </c>
      <c r="BP231" s="38">
        <v>0.76129999999999998</v>
      </c>
      <c r="BQ231" s="39">
        <v>54.38</v>
      </c>
      <c r="BR231" s="520"/>
    </row>
    <row r="232" spans="37:70">
      <c r="AK232" s="2482"/>
      <c r="BG232" s="30">
        <v>11.2</v>
      </c>
      <c r="BH232" s="31">
        <v>0.99160000000000004</v>
      </c>
      <c r="BI232" s="32">
        <v>991</v>
      </c>
      <c r="BJ232" s="33"/>
      <c r="BK232" s="197">
        <v>0.76200000000000001</v>
      </c>
      <c r="BL232" s="200">
        <v>54.2</v>
      </c>
      <c r="BM232" s="199">
        <v>761.7</v>
      </c>
      <c r="BN232" s="33"/>
      <c r="BO232" s="37">
        <v>762</v>
      </c>
      <c r="BP232" s="38">
        <v>0.76229999999999998</v>
      </c>
      <c r="BQ232" s="39">
        <v>54.13</v>
      </c>
      <c r="BR232" s="520"/>
    </row>
    <row r="233" spans="37:70">
      <c r="AK233" s="2482"/>
      <c r="BG233" s="30">
        <v>11.3</v>
      </c>
      <c r="BH233" s="31">
        <v>0.9909</v>
      </c>
      <c r="BI233" s="32">
        <v>990.3</v>
      </c>
      <c r="BJ233" s="33"/>
      <c r="BK233" s="197">
        <v>0.76300000000000001</v>
      </c>
      <c r="BL233" s="200">
        <v>53.95</v>
      </c>
      <c r="BM233" s="199">
        <v>762.7</v>
      </c>
      <c r="BN233" s="33"/>
      <c r="BO233" s="37">
        <v>763</v>
      </c>
      <c r="BP233" s="38">
        <v>0.76329999999999998</v>
      </c>
      <c r="BQ233" s="39">
        <v>53.89</v>
      </c>
      <c r="BR233" s="520"/>
    </row>
    <row r="234" spans="37:70">
      <c r="AK234" s="2482"/>
      <c r="BG234" s="30">
        <v>11.4</v>
      </c>
      <c r="BH234" s="31">
        <v>0.99019999999999997</v>
      </c>
      <c r="BI234" s="32">
        <v>989.6</v>
      </c>
      <c r="BJ234" s="33"/>
      <c r="BK234" s="197">
        <v>0.76400000000000001</v>
      </c>
      <c r="BL234" s="200">
        <v>53.71</v>
      </c>
      <c r="BM234" s="199">
        <v>763.7</v>
      </c>
      <c r="BN234" s="33"/>
      <c r="BO234" s="37">
        <v>764</v>
      </c>
      <c r="BP234" s="38">
        <v>0.76429999999999998</v>
      </c>
      <c r="BQ234" s="39">
        <v>53.65</v>
      </c>
      <c r="BR234" s="520"/>
    </row>
    <row r="235" spans="37:70">
      <c r="AK235" s="2482"/>
      <c r="BG235" s="30">
        <v>11.5</v>
      </c>
      <c r="BH235" s="31">
        <v>0.98950000000000005</v>
      </c>
      <c r="BI235" s="32">
        <v>988.9</v>
      </c>
      <c r="BJ235" s="33"/>
      <c r="BK235" s="197">
        <v>0.76500000000000001</v>
      </c>
      <c r="BL235" s="200">
        <v>53.47</v>
      </c>
      <c r="BM235" s="199">
        <v>764.7</v>
      </c>
      <c r="BN235" s="33"/>
      <c r="BO235" s="37">
        <v>765</v>
      </c>
      <c r="BP235" s="38">
        <v>0.76529999999999998</v>
      </c>
      <c r="BQ235" s="39">
        <v>53.4</v>
      </c>
      <c r="BR235" s="520"/>
    </row>
    <row r="236" spans="37:70">
      <c r="AK236" s="2482"/>
      <c r="BG236" s="30">
        <v>11.6</v>
      </c>
      <c r="BH236" s="31">
        <v>0.98880000000000001</v>
      </c>
      <c r="BI236" s="32">
        <v>988.2</v>
      </c>
      <c r="BJ236" s="33"/>
      <c r="BK236" s="197">
        <v>0.76600000000000001</v>
      </c>
      <c r="BL236" s="200">
        <v>53.23</v>
      </c>
      <c r="BM236" s="199">
        <v>765.7</v>
      </c>
      <c r="BN236" s="33"/>
      <c r="BO236" s="37">
        <v>766</v>
      </c>
      <c r="BP236" s="38">
        <v>0.76629999999999998</v>
      </c>
      <c r="BQ236" s="39">
        <v>53.16</v>
      </c>
      <c r="BR236" s="520"/>
    </row>
    <row r="237" spans="37:70">
      <c r="AK237" s="2482"/>
      <c r="BG237" s="30">
        <v>11.7</v>
      </c>
      <c r="BH237" s="31">
        <v>0.98809999999999998</v>
      </c>
      <c r="BI237" s="32">
        <v>987.5</v>
      </c>
      <c r="BJ237" s="33"/>
      <c r="BK237" s="197">
        <v>0.76700000000000002</v>
      </c>
      <c r="BL237" s="200">
        <v>52.99</v>
      </c>
      <c r="BM237" s="199">
        <v>766.7</v>
      </c>
      <c r="BN237" s="33"/>
      <c r="BO237" s="37">
        <v>767</v>
      </c>
      <c r="BP237" s="38">
        <v>0.76729999999999998</v>
      </c>
      <c r="BQ237" s="39">
        <v>52.92</v>
      </c>
      <c r="BR237" s="520"/>
    </row>
    <row r="238" spans="37:70">
      <c r="AK238" s="2482"/>
      <c r="BG238" s="30">
        <v>11.8</v>
      </c>
      <c r="BH238" s="31">
        <v>0.98740000000000006</v>
      </c>
      <c r="BI238" s="32">
        <v>986.8</v>
      </c>
      <c r="BJ238" s="33"/>
      <c r="BK238" s="197">
        <v>0.76800000000000002</v>
      </c>
      <c r="BL238" s="200">
        <v>52.74</v>
      </c>
      <c r="BM238" s="199">
        <v>767.7</v>
      </c>
      <c r="BN238" s="33"/>
      <c r="BO238" s="37">
        <v>768</v>
      </c>
      <c r="BP238" s="38">
        <v>0.76829999999999998</v>
      </c>
      <c r="BQ238" s="39">
        <v>52.68</v>
      </c>
      <c r="BR238" s="520"/>
    </row>
    <row r="239" spans="37:70">
      <c r="AK239" s="2482"/>
      <c r="BG239" s="30">
        <v>11.9</v>
      </c>
      <c r="BH239" s="31">
        <v>0.98680000000000001</v>
      </c>
      <c r="BI239" s="32">
        <v>986.2</v>
      </c>
      <c r="BJ239" s="33"/>
      <c r="BK239" s="197">
        <v>0.76900000000000002</v>
      </c>
      <c r="BL239" s="200">
        <v>52.51</v>
      </c>
      <c r="BM239" s="199">
        <v>768.7</v>
      </c>
      <c r="BN239" s="33"/>
      <c r="BO239" s="37">
        <v>769</v>
      </c>
      <c r="BP239" s="38">
        <v>0.76929999999999998</v>
      </c>
      <c r="BQ239" s="39">
        <v>52.44</v>
      </c>
      <c r="BR239" s="520"/>
    </row>
    <row r="240" spans="37:70">
      <c r="AK240" s="2482"/>
      <c r="BG240" s="30">
        <v>12</v>
      </c>
      <c r="BH240" s="31">
        <v>0.98609999999999998</v>
      </c>
      <c r="BI240" s="32">
        <v>985.5</v>
      </c>
      <c r="BJ240" s="33"/>
      <c r="BK240" s="197">
        <v>0.77</v>
      </c>
      <c r="BL240" s="200">
        <v>52.27</v>
      </c>
      <c r="BM240" s="199">
        <v>769.7</v>
      </c>
      <c r="BN240" s="33"/>
      <c r="BO240" s="37">
        <v>770</v>
      </c>
      <c r="BP240" s="38">
        <v>0.77029999999999998</v>
      </c>
      <c r="BQ240" s="39">
        <v>52.2</v>
      </c>
      <c r="BR240" s="520"/>
    </row>
    <row r="241" spans="37:70">
      <c r="AK241" s="2482"/>
      <c r="BG241" s="30">
        <v>12.1</v>
      </c>
      <c r="BH241" s="31">
        <v>0.98540000000000005</v>
      </c>
      <c r="BI241" s="32">
        <v>984.8</v>
      </c>
      <c r="BJ241" s="33"/>
      <c r="BK241" s="197">
        <v>0.77100000000000002</v>
      </c>
      <c r="BL241" s="200">
        <v>52.03</v>
      </c>
      <c r="BM241" s="199">
        <v>770.7</v>
      </c>
      <c r="BN241" s="33"/>
      <c r="BO241" s="37">
        <v>771</v>
      </c>
      <c r="BP241" s="38">
        <v>0.77129999999999999</v>
      </c>
      <c r="BQ241" s="39">
        <v>51.96</v>
      </c>
      <c r="BR241" s="520"/>
    </row>
    <row r="242" spans="37:70">
      <c r="AK242" s="2482"/>
      <c r="BG242" s="30">
        <v>12.2</v>
      </c>
      <c r="BH242" s="31">
        <v>0.98470000000000002</v>
      </c>
      <c r="BI242" s="32">
        <v>984.1</v>
      </c>
      <c r="BJ242" s="33"/>
      <c r="BK242" s="197">
        <v>0.77200000000000002</v>
      </c>
      <c r="BL242" s="200">
        <v>51.79</v>
      </c>
      <c r="BM242" s="199">
        <v>771.7</v>
      </c>
      <c r="BN242" s="33"/>
      <c r="BO242" s="37">
        <v>772</v>
      </c>
      <c r="BP242" s="38">
        <v>0.77229999999999999</v>
      </c>
      <c r="BQ242" s="39">
        <v>51.72</v>
      </c>
      <c r="BR242" s="520"/>
    </row>
    <row r="243" spans="37:70">
      <c r="AK243" s="2482"/>
      <c r="BG243" s="30">
        <v>12.3</v>
      </c>
      <c r="BH243" s="31">
        <v>0.98399999999999999</v>
      </c>
      <c r="BI243" s="32">
        <v>983.4</v>
      </c>
      <c r="BJ243" s="33"/>
      <c r="BK243" s="197">
        <v>0.77300000000000002</v>
      </c>
      <c r="BL243" s="200">
        <v>51.55</v>
      </c>
      <c r="BM243" s="199">
        <v>772.7</v>
      </c>
      <c r="BN243" s="33"/>
      <c r="BO243" s="37">
        <v>773</v>
      </c>
      <c r="BP243" s="38">
        <v>0.77329999999999999</v>
      </c>
      <c r="BQ243" s="39">
        <v>51.49</v>
      </c>
      <c r="BR243" s="520"/>
    </row>
    <row r="244" spans="37:70">
      <c r="AK244" s="2482"/>
      <c r="BG244" s="30">
        <v>12.4</v>
      </c>
      <c r="BH244" s="31">
        <v>0.98329999999999995</v>
      </c>
      <c r="BI244" s="32">
        <v>982.7</v>
      </c>
      <c r="BJ244" s="33"/>
      <c r="BK244" s="197">
        <v>0.77400000000000002</v>
      </c>
      <c r="BL244" s="200">
        <v>51.32</v>
      </c>
      <c r="BM244" s="199">
        <v>773.7</v>
      </c>
      <c r="BN244" s="33"/>
      <c r="BO244" s="37">
        <v>774</v>
      </c>
      <c r="BP244" s="38">
        <v>0.77429999999999999</v>
      </c>
      <c r="BQ244" s="39">
        <v>51.25</v>
      </c>
      <c r="BR244" s="520"/>
    </row>
    <row r="245" spans="37:70">
      <c r="AK245" s="2482"/>
      <c r="BG245" s="30">
        <v>12.5</v>
      </c>
      <c r="BH245" s="31">
        <v>0.98260000000000003</v>
      </c>
      <c r="BI245" s="32">
        <v>982</v>
      </c>
      <c r="BJ245" s="33"/>
      <c r="BK245" s="197">
        <v>0.77500000000000002</v>
      </c>
      <c r="BL245" s="200">
        <v>51.08</v>
      </c>
      <c r="BM245" s="199">
        <v>774.7</v>
      </c>
      <c r="BN245" s="33"/>
      <c r="BO245" s="37">
        <v>775</v>
      </c>
      <c r="BP245" s="38">
        <v>0.77529999999999999</v>
      </c>
      <c r="BQ245" s="39">
        <v>51.01</v>
      </c>
      <c r="BR245" s="520"/>
    </row>
    <row r="246" spans="37:70">
      <c r="AK246" s="2482"/>
      <c r="BG246" s="30">
        <v>12.6</v>
      </c>
      <c r="BH246" s="31">
        <v>0.98199999999999998</v>
      </c>
      <c r="BI246" s="32">
        <v>981.4</v>
      </c>
      <c r="BJ246" s="33"/>
      <c r="BK246" s="197">
        <v>0.77600000000000002</v>
      </c>
      <c r="BL246" s="200">
        <v>50.85</v>
      </c>
      <c r="BM246" s="199">
        <v>775.7</v>
      </c>
      <c r="BN246" s="33"/>
      <c r="BO246" s="37">
        <v>776</v>
      </c>
      <c r="BP246" s="38">
        <v>0.77629999999999999</v>
      </c>
      <c r="BQ246" s="39">
        <v>50.78</v>
      </c>
      <c r="BR246" s="520"/>
    </row>
    <row r="247" spans="37:70">
      <c r="AK247" s="2482"/>
      <c r="BG247" s="30">
        <v>12.7</v>
      </c>
      <c r="BH247" s="31">
        <v>0.98129999999999995</v>
      </c>
      <c r="BI247" s="32">
        <v>980.7</v>
      </c>
      <c r="BJ247" s="33"/>
      <c r="BK247" s="197">
        <v>0.77700000000000002</v>
      </c>
      <c r="BL247" s="200">
        <v>50.61</v>
      </c>
      <c r="BM247" s="199">
        <v>776.7</v>
      </c>
      <c r="BN247" s="33"/>
      <c r="BO247" s="37">
        <v>777</v>
      </c>
      <c r="BP247" s="38">
        <v>0.77729999999999999</v>
      </c>
      <c r="BQ247" s="39">
        <v>50.54</v>
      </c>
      <c r="BR247" s="520"/>
    </row>
    <row r="248" spans="37:70">
      <c r="AK248" s="2482"/>
      <c r="BG248" s="30">
        <v>12.8</v>
      </c>
      <c r="BH248" s="31">
        <v>0.98060000000000003</v>
      </c>
      <c r="BI248" s="32">
        <v>980</v>
      </c>
      <c r="BJ248" s="33"/>
      <c r="BK248" s="197">
        <v>0.77800000000000002</v>
      </c>
      <c r="BL248" s="200">
        <v>50.38</v>
      </c>
      <c r="BM248" s="199">
        <v>777.7</v>
      </c>
      <c r="BN248" s="33"/>
      <c r="BO248" s="37">
        <v>778</v>
      </c>
      <c r="BP248" s="38">
        <v>0.77829999999999999</v>
      </c>
      <c r="BQ248" s="39">
        <v>50.3</v>
      </c>
      <c r="BR248" s="520"/>
    </row>
    <row r="249" spans="37:70">
      <c r="AK249" s="2482"/>
      <c r="BG249" s="30">
        <v>12.9</v>
      </c>
      <c r="BH249" s="31">
        <v>0.97989999999999999</v>
      </c>
      <c r="BI249" s="32">
        <v>979.3</v>
      </c>
      <c r="BJ249" s="33"/>
      <c r="BK249" s="197">
        <v>0.77900000000000003</v>
      </c>
      <c r="BL249" s="200">
        <v>50.14</v>
      </c>
      <c r="BM249" s="199">
        <v>778.7</v>
      </c>
      <c r="BN249" s="33"/>
      <c r="BO249" s="37">
        <v>779</v>
      </c>
      <c r="BP249" s="38">
        <v>0.77929999999999999</v>
      </c>
      <c r="BQ249" s="39">
        <v>50.07</v>
      </c>
      <c r="BR249" s="520"/>
    </row>
    <row r="250" spans="37:70">
      <c r="AK250" s="2482"/>
      <c r="BG250" s="30">
        <v>13</v>
      </c>
      <c r="BH250" s="31">
        <v>0.97919999999999996</v>
      </c>
      <c r="BI250" s="32">
        <v>978.6</v>
      </c>
      <c r="BJ250" s="33"/>
      <c r="BK250" s="197">
        <v>0.78</v>
      </c>
      <c r="BL250" s="200">
        <v>49.91</v>
      </c>
      <c r="BM250" s="199">
        <v>779.7</v>
      </c>
      <c r="BN250" s="33"/>
      <c r="BO250" s="37">
        <v>780</v>
      </c>
      <c r="BP250" s="38">
        <v>0.78029999999999999</v>
      </c>
      <c r="BQ250" s="39">
        <v>49.84</v>
      </c>
      <c r="BR250" s="520"/>
    </row>
    <row r="251" spans="37:70">
      <c r="AK251" s="2482"/>
      <c r="BG251" s="30">
        <v>13.1</v>
      </c>
      <c r="BH251" s="31">
        <v>0.97860000000000003</v>
      </c>
      <c r="BI251" s="32">
        <v>978</v>
      </c>
      <c r="BJ251" s="33"/>
      <c r="BK251" s="197">
        <v>0.78100000000000003</v>
      </c>
      <c r="BL251" s="200">
        <v>49.68</v>
      </c>
      <c r="BM251" s="199">
        <v>780.7</v>
      </c>
      <c r="BN251" s="33"/>
      <c r="BO251" s="37">
        <v>781</v>
      </c>
      <c r="BP251" s="38">
        <v>0.78129999999999999</v>
      </c>
      <c r="BQ251" s="39">
        <v>49.6</v>
      </c>
      <c r="BR251" s="520"/>
    </row>
    <row r="252" spans="37:70">
      <c r="AK252" s="2482"/>
      <c r="BG252" s="30">
        <v>13.2</v>
      </c>
      <c r="BH252" s="31">
        <v>0.97789999999999999</v>
      </c>
      <c r="BI252" s="32">
        <v>977.3</v>
      </c>
      <c r="BJ252" s="33"/>
      <c r="BK252" s="197">
        <v>0.78200000000000003</v>
      </c>
      <c r="BL252" s="200">
        <v>49.45</v>
      </c>
      <c r="BM252" s="199">
        <v>781.7</v>
      </c>
      <c r="BN252" s="33"/>
      <c r="BO252" s="37">
        <v>782</v>
      </c>
      <c r="BP252" s="38">
        <v>0.7823</v>
      </c>
      <c r="BQ252" s="39">
        <v>49.37</v>
      </c>
      <c r="BR252" s="520"/>
    </row>
    <row r="253" spans="37:70">
      <c r="AK253" s="2482"/>
      <c r="BG253" s="30">
        <v>13.3</v>
      </c>
      <c r="BH253" s="31">
        <v>0.97719999999999996</v>
      </c>
      <c r="BI253" s="32">
        <v>976.6</v>
      </c>
      <c r="BJ253" s="33"/>
      <c r="BK253" s="197">
        <v>0.78300000000000003</v>
      </c>
      <c r="BL253" s="200">
        <v>49.22</v>
      </c>
      <c r="BM253" s="199">
        <v>782.7</v>
      </c>
      <c r="BN253" s="33"/>
      <c r="BO253" s="37">
        <v>783</v>
      </c>
      <c r="BP253" s="38">
        <v>0.7833</v>
      </c>
      <c r="BQ253" s="39">
        <v>49.14</v>
      </c>
      <c r="BR253" s="520"/>
    </row>
    <row r="254" spans="37:70">
      <c r="AK254" s="2482"/>
      <c r="BG254" s="30">
        <v>13.4</v>
      </c>
      <c r="BH254" s="31">
        <v>0.97650000000000003</v>
      </c>
      <c r="BI254" s="32">
        <v>975.9</v>
      </c>
      <c r="BJ254" s="33"/>
      <c r="BK254" s="197">
        <v>0.78400000000000003</v>
      </c>
      <c r="BL254" s="200">
        <v>48.98</v>
      </c>
      <c r="BM254" s="199">
        <v>783.7</v>
      </c>
      <c r="BN254" s="33"/>
      <c r="BO254" s="37">
        <v>784</v>
      </c>
      <c r="BP254" s="38">
        <v>0.7843</v>
      </c>
      <c r="BQ254" s="39">
        <v>48.91</v>
      </c>
      <c r="BR254" s="520"/>
    </row>
    <row r="255" spans="37:70">
      <c r="AK255" s="2482"/>
      <c r="BG255" s="30">
        <v>13.5</v>
      </c>
      <c r="BH255" s="31">
        <v>0.97589999999999999</v>
      </c>
      <c r="BI255" s="32">
        <v>975.3</v>
      </c>
      <c r="BJ255" s="33"/>
      <c r="BK255" s="197">
        <v>0.78500000000000003</v>
      </c>
      <c r="BL255" s="200">
        <v>48.75</v>
      </c>
      <c r="BM255" s="199">
        <v>784.7</v>
      </c>
      <c r="BN255" s="33"/>
      <c r="BO255" s="37">
        <v>785</v>
      </c>
      <c r="BP255" s="38">
        <v>0.7853</v>
      </c>
      <c r="BQ255" s="39">
        <v>48.68</v>
      </c>
      <c r="BR255" s="520"/>
    </row>
    <row r="256" spans="37:70">
      <c r="AK256" s="2482"/>
      <c r="BG256" s="30">
        <v>13.6</v>
      </c>
      <c r="BH256" s="31">
        <v>0.97519999999999996</v>
      </c>
      <c r="BI256" s="32">
        <v>974.6</v>
      </c>
      <c r="BJ256" s="33"/>
      <c r="BK256" s="197">
        <v>0.78600000000000003</v>
      </c>
      <c r="BL256" s="200">
        <v>48.53</v>
      </c>
      <c r="BM256" s="199">
        <v>785.7</v>
      </c>
      <c r="BN256" s="33"/>
      <c r="BO256" s="37">
        <v>786</v>
      </c>
      <c r="BP256" s="38">
        <v>0.78639999999999999</v>
      </c>
      <c r="BQ256" s="39">
        <v>48.45</v>
      </c>
      <c r="BR256" s="520"/>
    </row>
    <row r="257" spans="37:70">
      <c r="AK257" s="2482"/>
      <c r="BG257" s="30">
        <v>13.7</v>
      </c>
      <c r="BH257" s="31">
        <v>0.97450000000000003</v>
      </c>
      <c r="BI257" s="32">
        <v>973.9</v>
      </c>
      <c r="BJ257" s="33"/>
      <c r="BK257" s="197">
        <v>0.78700000000000003</v>
      </c>
      <c r="BL257" s="200">
        <v>48.3</v>
      </c>
      <c r="BM257" s="199">
        <v>786.6</v>
      </c>
      <c r="BN257" s="33"/>
      <c r="BO257" s="37">
        <v>787</v>
      </c>
      <c r="BP257" s="38">
        <v>0.78739999999999999</v>
      </c>
      <c r="BQ257" s="39">
        <v>48.22</v>
      </c>
      <c r="BR257" s="520"/>
    </row>
    <row r="258" spans="37:70">
      <c r="AK258" s="2482"/>
      <c r="BG258" s="30">
        <v>13.8</v>
      </c>
      <c r="BH258" s="31">
        <v>0.9738</v>
      </c>
      <c r="BI258" s="32">
        <v>973.3</v>
      </c>
      <c r="BJ258" s="33"/>
      <c r="BK258" s="197">
        <v>0.78800000000000003</v>
      </c>
      <c r="BL258" s="200">
        <v>48.07</v>
      </c>
      <c r="BM258" s="199">
        <v>787.6</v>
      </c>
      <c r="BN258" s="33"/>
      <c r="BO258" s="37">
        <v>788</v>
      </c>
      <c r="BP258" s="38">
        <v>0.78839999999999999</v>
      </c>
      <c r="BQ258" s="39">
        <v>47.99</v>
      </c>
      <c r="BR258" s="520"/>
    </row>
    <row r="259" spans="37:70">
      <c r="AK259" s="2482"/>
      <c r="BG259" s="30">
        <v>13.9</v>
      </c>
      <c r="BH259" s="31">
        <v>0.97319999999999995</v>
      </c>
      <c r="BI259" s="32">
        <v>972.6</v>
      </c>
      <c r="BJ259" s="33"/>
      <c r="BK259" s="197">
        <v>0.78900000000000003</v>
      </c>
      <c r="BL259" s="200">
        <v>47.84</v>
      </c>
      <c r="BM259" s="199">
        <v>788.6</v>
      </c>
      <c r="BN259" s="33"/>
      <c r="BO259" s="37">
        <v>789</v>
      </c>
      <c r="BP259" s="38">
        <v>0.78939999999999999</v>
      </c>
      <c r="BQ259" s="39">
        <v>47.76</v>
      </c>
      <c r="BR259" s="520"/>
    </row>
    <row r="260" spans="37:70">
      <c r="AK260" s="2482"/>
      <c r="BG260" s="30">
        <v>14</v>
      </c>
      <c r="BH260" s="31">
        <v>0.97250000000000003</v>
      </c>
      <c r="BI260" s="32">
        <v>971.9</v>
      </c>
      <c r="BJ260" s="33"/>
      <c r="BK260" s="197">
        <v>0.79</v>
      </c>
      <c r="BL260" s="200">
        <v>47.61</v>
      </c>
      <c r="BM260" s="199">
        <v>789.6</v>
      </c>
      <c r="BN260" s="33"/>
      <c r="BO260" s="37">
        <v>790</v>
      </c>
      <c r="BP260" s="38">
        <v>0.79039999999999999</v>
      </c>
      <c r="BQ260" s="39">
        <v>47.53</v>
      </c>
      <c r="BR260" s="520"/>
    </row>
    <row r="261" spans="37:70">
      <c r="AK261" s="2482"/>
      <c r="BG261" s="30">
        <v>14.1</v>
      </c>
      <c r="BH261" s="31">
        <v>0.9718</v>
      </c>
      <c r="BI261" s="32">
        <v>971.3</v>
      </c>
      <c r="BJ261" s="33"/>
      <c r="BK261" s="197">
        <v>0.79100000000000004</v>
      </c>
      <c r="BL261" s="200">
        <v>47.39</v>
      </c>
      <c r="BM261" s="199">
        <v>790.6</v>
      </c>
      <c r="BN261" s="33"/>
      <c r="BO261" s="37">
        <v>791</v>
      </c>
      <c r="BP261" s="38">
        <v>0.79139999999999999</v>
      </c>
      <c r="BQ261" s="39">
        <v>47.31</v>
      </c>
      <c r="BR261" s="520"/>
    </row>
    <row r="262" spans="37:70">
      <c r="AK262" s="2482"/>
      <c r="BG262" s="30">
        <v>14.2</v>
      </c>
      <c r="BH262" s="31">
        <v>0.97119999999999995</v>
      </c>
      <c r="BI262" s="32">
        <v>970.6</v>
      </c>
      <c r="BJ262" s="33"/>
      <c r="BK262" s="197">
        <v>0.79200000000000004</v>
      </c>
      <c r="BL262" s="200">
        <v>47.16</v>
      </c>
      <c r="BM262" s="199">
        <v>791.6</v>
      </c>
      <c r="BN262" s="33"/>
      <c r="BO262" s="37">
        <v>792</v>
      </c>
      <c r="BP262" s="38">
        <v>0.79239999999999999</v>
      </c>
      <c r="BQ262" s="39">
        <v>47.08</v>
      </c>
      <c r="BR262" s="520"/>
    </row>
    <row r="263" spans="37:70">
      <c r="AK263" s="2482"/>
      <c r="BG263" s="30">
        <v>14.3</v>
      </c>
      <c r="BH263" s="31">
        <v>0.97050000000000003</v>
      </c>
      <c r="BI263" s="32">
        <v>969.9</v>
      </c>
      <c r="BJ263" s="33"/>
      <c r="BK263" s="197">
        <v>0.79300000000000004</v>
      </c>
      <c r="BL263" s="200">
        <v>46.94</v>
      </c>
      <c r="BM263" s="199">
        <v>792.6</v>
      </c>
      <c r="BN263" s="33"/>
      <c r="BO263" s="37">
        <v>793</v>
      </c>
      <c r="BP263" s="38">
        <v>0.79339999999999999</v>
      </c>
      <c r="BQ263" s="39">
        <v>46.85</v>
      </c>
      <c r="BR263" s="520"/>
    </row>
    <row r="264" spans="37:70">
      <c r="AK264" s="2482"/>
      <c r="BG264" s="30">
        <v>14.4</v>
      </c>
      <c r="BH264" s="31">
        <v>0.9698</v>
      </c>
      <c r="BI264" s="32">
        <v>969.3</v>
      </c>
      <c r="BJ264" s="33"/>
      <c r="BK264" s="197">
        <v>0.79400000000000004</v>
      </c>
      <c r="BL264" s="200">
        <v>46.71</v>
      </c>
      <c r="BM264" s="199">
        <v>793.6</v>
      </c>
      <c r="BN264" s="33"/>
      <c r="BO264" s="37">
        <v>794</v>
      </c>
      <c r="BP264" s="38">
        <v>0.7944</v>
      </c>
      <c r="BQ264" s="39">
        <v>46.63</v>
      </c>
      <c r="BR264" s="520"/>
    </row>
    <row r="265" spans="37:70">
      <c r="AK265" s="2482"/>
      <c r="BG265" s="30">
        <v>14.5</v>
      </c>
      <c r="BH265" s="31">
        <v>0.96919999999999995</v>
      </c>
      <c r="BI265" s="32">
        <v>968.6</v>
      </c>
      <c r="BJ265" s="33"/>
      <c r="BK265" s="197">
        <v>0.79500000000000004</v>
      </c>
      <c r="BL265" s="200">
        <v>46.49</v>
      </c>
      <c r="BM265" s="199">
        <v>794.6</v>
      </c>
      <c r="BN265" s="33"/>
      <c r="BO265" s="37">
        <v>795</v>
      </c>
      <c r="BP265" s="38">
        <v>0.7954</v>
      </c>
      <c r="BQ265" s="39">
        <v>46.4</v>
      </c>
      <c r="BR265" s="520"/>
    </row>
    <row r="266" spans="37:70">
      <c r="AK266" s="2482"/>
      <c r="BG266" s="30">
        <v>14.6</v>
      </c>
      <c r="BH266" s="31">
        <v>0.96850000000000003</v>
      </c>
      <c r="BI266" s="32">
        <v>967.9</v>
      </c>
      <c r="BJ266" s="33"/>
      <c r="BK266" s="197">
        <v>0.79600000000000004</v>
      </c>
      <c r="BL266" s="200">
        <v>46.26</v>
      </c>
      <c r="BM266" s="199">
        <v>795.6</v>
      </c>
      <c r="BN266" s="33"/>
      <c r="BO266" s="37">
        <v>796</v>
      </c>
      <c r="BP266" s="38">
        <v>0.7964</v>
      </c>
      <c r="BQ266" s="39">
        <v>46.18</v>
      </c>
      <c r="BR266" s="520"/>
    </row>
    <row r="267" spans="37:70">
      <c r="AK267" s="2482"/>
      <c r="BG267" s="30">
        <v>14.7</v>
      </c>
      <c r="BH267" s="31">
        <v>0.96789999999999998</v>
      </c>
      <c r="BI267" s="32">
        <v>967.3</v>
      </c>
      <c r="BJ267" s="33"/>
      <c r="BK267" s="197">
        <v>0.79700000000000004</v>
      </c>
      <c r="BL267" s="200">
        <v>46.04</v>
      </c>
      <c r="BM267" s="199">
        <v>796.6</v>
      </c>
      <c r="BN267" s="33"/>
      <c r="BO267" s="37">
        <v>797</v>
      </c>
      <c r="BP267" s="38">
        <v>0.7974</v>
      </c>
      <c r="BQ267" s="39">
        <v>45.96</v>
      </c>
      <c r="BR267" s="520"/>
    </row>
    <row r="268" spans="37:70">
      <c r="AK268" s="2482"/>
      <c r="BG268" s="30">
        <v>14.8</v>
      </c>
      <c r="BH268" s="31">
        <v>0.96719999999999995</v>
      </c>
      <c r="BI268" s="32">
        <v>966.6</v>
      </c>
      <c r="BJ268" s="33"/>
      <c r="BK268" s="197">
        <v>0.79800000000000004</v>
      </c>
      <c r="BL268" s="200">
        <v>45.82</v>
      </c>
      <c r="BM268" s="199">
        <v>797.6</v>
      </c>
      <c r="BN268" s="33"/>
      <c r="BO268" s="37">
        <v>798</v>
      </c>
      <c r="BP268" s="38">
        <v>0.7984</v>
      </c>
      <c r="BQ268" s="39">
        <v>45.74</v>
      </c>
      <c r="BR268" s="520"/>
    </row>
    <row r="269" spans="37:70">
      <c r="AK269" s="2482"/>
      <c r="BG269" s="30">
        <v>14.9</v>
      </c>
      <c r="BH269" s="31">
        <v>0.96650000000000003</v>
      </c>
      <c r="BI269" s="32">
        <v>966</v>
      </c>
      <c r="BJ269" s="33"/>
      <c r="BK269" s="197">
        <v>0.79900000000000004</v>
      </c>
      <c r="BL269" s="200">
        <v>45.6</v>
      </c>
      <c r="BM269" s="199">
        <v>798.6</v>
      </c>
      <c r="BN269" s="33"/>
      <c r="BO269" s="37">
        <v>799</v>
      </c>
      <c r="BP269" s="38">
        <v>0.7994</v>
      </c>
      <c r="BQ269" s="39">
        <v>45.51</v>
      </c>
      <c r="BR269" s="520"/>
    </row>
    <row r="270" spans="37:70">
      <c r="AK270" s="2482"/>
      <c r="BG270" s="30">
        <v>15</v>
      </c>
      <c r="BH270" s="31">
        <v>0.96589999999999998</v>
      </c>
      <c r="BI270" s="32">
        <v>965.3</v>
      </c>
      <c r="BJ270" s="33"/>
      <c r="BK270" s="197">
        <v>0.8</v>
      </c>
      <c r="BL270" s="200">
        <v>45.38</v>
      </c>
      <c r="BM270" s="199">
        <v>799.6</v>
      </c>
      <c r="BN270" s="33"/>
      <c r="BO270" s="37">
        <v>800</v>
      </c>
      <c r="BP270" s="38">
        <v>0.8004</v>
      </c>
      <c r="BQ270" s="39">
        <v>45.29</v>
      </c>
      <c r="BR270" s="520"/>
    </row>
    <row r="271" spans="37:70">
      <c r="AK271" s="2482"/>
      <c r="BG271" s="30">
        <v>15.1</v>
      </c>
      <c r="BH271" s="31">
        <v>0.96519999999999995</v>
      </c>
      <c r="BI271" s="32">
        <v>964.6</v>
      </c>
      <c r="BJ271" s="33"/>
      <c r="BK271" s="197">
        <v>0.80100000000000005</v>
      </c>
      <c r="BL271" s="200">
        <v>45.15</v>
      </c>
      <c r="BM271" s="199">
        <v>800.6</v>
      </c>
      <c r="BN271" s="33"/>
      <c r="BO271" s="37">
        <v>801</v>
      </c>
      <c r="BP271" s="38">
        <v>0.8014</v>
      </c>
      <c r="BQ271" s="39">
        <v>45.07</v>
      </c>
      <c r="BR271" s="520"/>
    </row>
    <row r="272" spans="37:70">
      <c r="AK272" s="2482"/>
      <c r="BG272" s="30">
        <v>15.2</v>
      </c>
      <c r="BH272" s="31">
        <v>0.96460000000000001</v>
      </c>
      <c r="BI272" s="32">
        <v>964</v>
      </c>
      <c r="BJ272" s="33"/>
      <c r="BK272" s="197">
        <v>0.80200000000000005</v>
      </c>
      <c r="BL272" s="200">
        <v>44.93</v>
      </c>
      <c r="BM272" s="199">
        <v>801.6</v>
      </c>
      <c r="BN272" s="33"/>
      <c r="BO272" s="37">
        <v>802</v>
      </c>
      <c r="BP272" s="38">
        <v>0.8024</v>
      </c>
      <c r="BQ272" s="39">
        <v>44.85</v>
      </c>
      <c r="BR272" s="520"/>
    </row>
    <row r="273" spans="37:70">
      <c r="AK273" s="2482"/>
      <c r="BG273" s="30">
        <v>15.3</v>
      </c>
      <c r="BH273" s="31">
        <v>0.96389999999999998</v>
      </c>
      <c r="BI273" s="32">
        <v>963.3</v>
      </c>
      <c r="BJ273" s="33"/>
      <c r="BK273" s="197">
        <v>0.80300000000000005</v>
      </c>
      <c r="BL273" s="200">
        <v>44.71</v>
      </c>
      <c r="BM273" s="199">
        <v>802.6</v>
      </c>
      <c r="BN273" s="33"/>
      <c r="BO273" s="37">
        <v>803</v>
      </c>
      <c r="BP273" s="38">
        <v>0.8034</v>
      </c>
      <c r="BQ273" s="39">
        <v>44.63</v>
      </c>
      <c r="BR273" s="520"/>
    </row>
    <row r="274" spans="37:70">
      <c r="AK274" s="2482"/>
      <c r="BG274" s="30">
        <v>15.4</v>
      </c>
      <c r="BH274" s="31">
        <v>0.96319999999999995</v>
      </c>
      <c r="BI274" s="32">
        <v>962.7</v>
      </c>
      <c r="BJ274" s="33"/>
      <c r="BK274" s="197">
        <v>0.80400000000000005</v>
      </c>
      <c r="BL274" s="200">
        <v>44.5</v>
      </c>
      <c r="BM274" s="199">
        <v>803.6</v>
      </c>
      <c r="BN274" s="33"/>
      <c r="BO274" s="37">
        <v>804</v>
      </c>
      <c r="BP274" s="38">
        <v>0.8044</v>
      </c>
      <c r="BQ274" s="39">
        <v>44.41</v>
      </c>
      <c r="BR274" s="520"/>
    </row>
    <row r="275" spans="37:70">
      <c r="AK275" s="2482"/>
      <c r="BG275" s="30">
        <v>15.5</v>
      </c>
      <c r="BH275" s="31">
        <v>0.96260000000000001</v>
      </c>
      <c r="BI275" s="32">
        <v>962</v>
      </c>
      <c r="BJ275" s="33"/>
      <c r="BK275" s="197">
        <v>0.80500000000000005</v>
      </c>
      <c r="BL275" s="200">
        <v>44.28</v>
      </c>
      <c r="BM275" s="199">
        <v>804.6</v>
      </c>
      <c r="BN275" s="33"/>
      <c r="BO275" s="37">
        <v>805</v>
      </c>
      <c r="BP275" s="38">
        <v>0.8054</v>
      </c>
      <c r="BQ275" s="39">
        <v>44.19</v>
      </c>
      <c r="BR275" s="520"/>
    </row>
    <row r="276" spans="37:70">
      <c r="AK276" s="2482"/>
      <c r="BG276" s="30">
        <v>15.6</v>
      </c>
      <c r="BH276" s="31">
        <v>0.96189999999999998</v>
      </c>
      <c r="BI276" s="32">
        <v>961.4</v>
      </c>
      <c r="BJ276" s="33"/>
      <c r="BK276" s="197">
        <v>0.80600000000000005</v>
      </c>
      <c r="BL276" s="200">
        <v>44.06</v>
      </c>
      <c r="BM276" s="199">
        <v>805.6</v>
      </c>
      <c r="BN276" s="33"/>
      <c r="BO276" s="37">
        <v>806</v>
      </c>
      <c r="BP276" s="38">
        <v>0.80640000000000001</v>
      </c>
      <c r="BQ276" s="39">
        <v>43.97</v>
      </c>
      <c r="BR276" s="520"/>
    </row>
    <row r="277" spans="37:70">
      <c r="AK277" s="2482"/>
      <c r="BG277" s="30">
        <v>15.7</v>
      </c>
      <c r="BH277" s="31">
        <v>0.96130000000000004</v>
      </c>
      <c r="BI277" s="32">
        <v>960.7</v>
      </c>
      <c r="BJ277" s="33"/>
      <c r="BK277" s="197">
        <v>0.80700000000000005</v>
      </c>
      <c r="BL277" s="200">
        <v>43.84</v>
      </c>
      <c r="BM277" s="199">
        <v>806.6</v>
      </c>
      <c r="BN277" s="33"/>
      <c r="BO277" s="37">
        <v>807</v>
      </c>
      <c r="BP277" s="38">
        <v>0.80740000000000001</v>
      </c>
      <c r="BQ277" s="39">
        <v>43.76</v>
      </c>
      <c r="BR277" s="520"/>
    </row>
    <row r="278" spans="37:70">
      <c r="AK278" s="2482"/>
      <c r="BG278" s="30">
        <v>15.8</v>
      </c>
      <c r="BH278" s="31">
        <v>0.96060000000000001</v>
      </c>
      <c r="BI278" s="32">
        <v>960.1</v>
      </c>
      <c r="BJ278" s="33"/>
      <c r="BK278" s="197">
        <v>0.80800000000000005</v>
      </c>
      <c r="BL278" s="200">
        <v>43.62</v>
      </c>
      <c r="BM278" s="199">
        <v>807.6</v>
      </c>
      <c r="BN278" s="33"/>
      <c r="BO278" s="37">
        <v>808</v>
      </c>
      <c r="BP278" s="38">
        <v>0.80840000000000001</v>
      </c>
      <c r="BQ278" s="39">
        <v>43.54</v>
      </c>
      <c r="BR278" s="520"/>
    </row>
    <row r="279" spans="37:70">
      <c r="AK279" s="2482"/>
      <c r="BG279" s="30">
        <v>15.9</v>
      </c>
      <c r="BH279" s="31">
        <v>0.96</v>
      </c>
      <c r="BI279" s="32">
        <v>959.4</v>
      </c>
      <c r="BJ279" s="33"/>
      <c r="BK279" s="197">
        <v>0.80900000000000005</v>
      </c>
      <c r="BL279" s="200">
        <v>43.41</v>
      </c>
      <c r="BM279" s="199">
        <v>808.6</v>
      </c>
      <c r="BN279" s="33"/>
      <c r="BO279" s="37">
        <v>809</v>
      </c>
      <c r="BP279" s="38">
        <v>0.80940000000000001</v>
      </c>
      <c r="BQ279" s="39">
        <v>43.32</v>
      </c>
      <c r="BR279" s="520"/>
    </row>
    <row r="280" spans="37:70">
      <c r="AK280" s="2482"/>
      <c r="BG280" s="30">
        <v>16</v>
      </c>
      <c r="BH280" s="31">
        <v>0.95930000000000004</v>
      </c>
      <c r="BI280" s="32">
        <v>958.8</v>
      </c>
      <c r="BJ280" s="33"/>
      <c r="BK280" s="197">
        <v>0.81</v>
      </c>
      <c r="BL280" s="200">
        <v>43.19</v>
      </c>
      <c r="BM280" s="199">
        <v>809.6</v>
      </c>
      <c r="BN280" s="33"/>
      <c r="BO280" s="37">
        <v>810</v>
      </c>
      <c r="BP280" s="38">
        <v>0.81040000000000001</v>
      </c>
      <c r="BQ280" s="39">
        <v>43.11</v>
      </c>
      <c r="BR280" s="520"/>
    </row>
    <row r="281" spans="37:70">
      <c r="AK281" s="2482"/>
      <c r="BG281" s="30">
        <v>16.100000000000001</v>
      </c>
      <c r="BH281" s="31">
        <v>0.9587</v>
      </c>
      <c r="BI281" s="32">
        <v>958.1</v>
      </c>
      <c r="BJ281" s="33"/>
      <c r="BK281" s="197">
        <v>0.81100000000000005</v>
      </c>
      <c r="BL281" s="200">
        <v>42.98</v>
      </c>
      <c r="BM281" s="199">
        <v>810.6</v>
      </c>
      <c r="BN281" s="33"/>
      <c r="BO281" s="37">
        <v>811</v>
      </c>
      <c r="BP281" s="38">
        <v>0.81140000000000001</v>
      </c>
      <c r="BQ281" s="39">
        <v>42.89</v>
      </c>
      <c r="BR281" s="520"/>
    </row>
    <row r="282" spans="37:70">
      <c r="AK282" s="2482"/>
      <c r="BG282" s="30">
        <v>16.2</v>
      </c>
      <c r="BH282" s="31">
        <v>0.95799999999999996</v>
      </c>
      <c r="BI282" s="32">
        <v>957.5</v>
      </c>
      <c r="BJ282" s="33"/>
      <c r="BK282" s="197">
        <v>0.81200000000000006</v>
      </c>
      <c r="BL282" s="200">
        <v>42.76</v>
      </c>
      <c r="BM282" s="199">
        <v>811.6</v>
      </c>
      <c r="BN282" s="33"/>
      <c r="BO282" s="37">
        <v>812</v>
      </c>
      <c r="BP282" s="38">
        <v>0.81240000000000001</v>
      </c>
      <c r="BQ282" s="39">
        <v>42.68</v>
      </c>
      <c r="BR282" s="520"/>
    </row>
    <row r="283" spans="37:70">
      <c r="AK283" s="2482"/>
      <c r="BG283" s="30">
        <v>16.3</v>
      </c>
      <c r="BH283" s="31">
        <v>0.95740000000000003</v>
      </c>
      <c r="BI283" s="32">
        <v>956.8</v>
      </c>
      <c r="BJ283" s="33"/>
      <c r="BK283" s="197">
        <v>0.81299999999999994</v>
      </c>
      <c r="BL283" s="200">
        <v>42.55</v>
      </c>
      <c r="BM283" s="199">
        <v>812.6</v>
      </c>
      <c r="BN283" s="33"/>
      <c r="BO283" s="37">
        <v>813</v>
      </c>
      <c r="BP283" s="38">
        <v>0.81340000000000001</v>
      </c>
      <c r="BQ283" s="39">
        <v>42.46</v>
      </c>
      <c r="BR283" s="520"/>
    </row>
    <row r="284" spans="37:70">
      <c r="AK284" s="2482"/>
      <c r="BG284" s="30">
        <v>16.399999999999999</v>
      </c>
      <c r="BH284" s="31">
        <v>0.95669999999999999</v>
      </c>
      <c r="BI284" s="32">
        <v>956.2</v>
      </c>
      <c r="BJ284" s="33"/>
      <c r="BK284" s="197">
        <v>0.81399999999999995</v>
      </c>
      <c r="BL284" s="200">
        <v>42.33</v>
      </c>
      <c r="BM284" s="199">
        <v>813.6</v>
      </c>
      <c r="BN284" s="33"/>
      <c r="BO284" s="37">
        <v>814</v>
      </c>
      <c r="BP284" s="38">
        <v>0.81440000000000001</v>
      </c>
      <c r="BQ284" s="39">
        <v>42.25</v>
      </c>
      <c r="BR284" s="520"/>
    </row>
    <row r="285" spans="37:70">
      <c r="AK285" s="2482"/>
      <c r="BG285" s="30">
        <v>16.5</v>
      </c>
      <c r="BH285" s="31">
        <v>0.95609999999999995</v>
      </c>
      <c r="BI285" s="32">
        <v>955.5</v>
      </c>
      <c r="BJ285" s="33"/>
      <c r="BK285" s="197">
        <v>0.81499999999999995</v>
      </c>
      <c r="BL285" s="200">
        <v>42.12</v>
      </c>
      <c r="BM285" s="199">
        <v>814.6</v>
      </c>
      <c r="BN285" s="33"/>
      <c r="BO285" s="37">
        <v>815</v>
      </c>
      <c r="BP285" s="38">
        <v>0.81540000000000001</v>
      </c>
      <c r="BQ285" s="39">
        <v>42.03</v>
      </c>
      <c r="BR285" s="520"/>
    </row>
    <row r="286" spans="37:70">
      <c r="AK286" s="2482"/>
      <c r="BG286" s="30">
        <v>16.600000000000001</v>
      </c>
      <c r="BH286" s="31">
        <v>0.95540000000000003</v>
      </c>
      <c r="BI286" s="32">
        <v>954.9</v>
      </c>
      <c r="BJ286" s="33"/>
      <c r="BK286" s="197">
        <v>0.81599999999999995</v>
      </c>
      <c r="BL286" s="200">
        <v>41.91</v>
      </c>
      <c r="BM286" s="199">
        <v>815.6</v>
      </c>
      <c r="BN286" s="33"/>
      <c r="BO286" s="37">
        <v>816</v>
      </c>
      <c r="BP286" s="38">
        <v>0.81640000000000001</v>
      </c>
      <c r="BQ286" s="39">
        <v>41.82</v>
      </c>
      <c r="BR286" s="520"/>
    </row>
    <row r="287" spans="37:70">
      <c r="AK287" s="2482"/>
      <c r="BG287" s="30">
        <v>16.7</v>
      </c>
      <c r="BH287" s="31">
        <v>0.95479999999999998</v>
      </c>
      <c r="BI287" s="32">
        <v>954.2</v>
      </c>
      <c r="BJ287" s="33"/>
      <c r="BK287" s="197">
        <v>0.81699999999999995</v>
      </c>
      <c r="BL287" s="200">
        <v>41.69</v>
      </c>
      <c r="BM287" s="199">
        <v>816.6</v>
      </c>
      <c r="BN287" s="33"/>
      <c r="BO287" s="37">
        <v>817</v>
      </c>
      <c r="BP287" s="38">
        <v>0.81740000000000002</v>
      </c>
      <c r="BQ287" s="39">
        <v>41.61</v>
      </c>
      <c r="BR287" s="520"/>
    </row>
    <row r="288" spans="37:70">
      <c r="AK288" s="2482"/>
      <c r="BG288" s="30">
        <v>16.8</v>
      </c>
      <c r="BH288" s="31">
        <v>0.95409999999999995</v>
      </c>
      <c r="BI288" s="32">
        <v>953.6</v>
      </c>
      <c r="BJ288" s="33"/>
      <c r="BK288" s="197">
        <v>0.81799999999999995</v>
      </c>
      <c r="BL288" s="200">
        <v>41.48</v>
      </c>
      <c r="BM288" s="199">
        <v>817.6</v>
      </c>
      <c r="BN288" s="33"/>
      <c r="BO288" s="37">
        <v>818</v>
      </c>
      <c r="BP288" s="38">
        <v>0.81840000000000002</v>
      </c>
      <c r="BQ288" s="39">
        <v>41.4</v>
      </c>
      <c r="BR288" s="520"/>
    </row>
    <row r="289" spans="37:70">
      <c r="AK289" s="2482"/>
      <c r="BG289" s="30">
        <v>16.899999999999999</v>
      </c>
      <c r="BH289" s="31">
        <v>0.95350000000000001</v>
      </c>
      <c r="BI289" s="32">
        <v>952.9</v>
      </c>
      <c r="BJ289" s="33"/>
      <c r="BK289" s="197">
        <v>0.81899999999999995</v>
      </c>
      <c r="BL289" s="200">
        <v>41.27</v>
      </c>
      <c r="BM289" s="199">
        <v>818.6</v>
      </c>
      <c r="BN289" s="33"/>
      <c r="BO289" s="37">
        <v>819</v>
      </c>
      <c r="BP289" s="38">
        <v>0.81940000000000002</v>
      </c>
      <c r="BQ289" s="39">
        <v>41.19</v>
      </c>
      <c r="BR289" s="520"/>
    </row>
    <row r="290" spans="37:70">
      <c r="AK290" s="2482"/>
      <c r="BG290" s="30">
        <v>17</v>
      </c>
      <c r="BH290" s="31">
        <v>0.95289999999999997</v>
      </c>
      <c r="BI290" s="32">
        <v>952.3</v>
      </c>
      <c r="BJ290" s="33"/>
      <c r="BK290" s="197">
        <v>0.82</v>
      </c>
      <c r="BL290" s="200">
        <v>41.06</v>
      </c>
      <c r="BM290" s="199">
        <v>819.6</v>
      </c>
      <c r="BN290" s="33"/>
      <c r="BO290" s="37">
        <v>820</v>
      </c>
      <c r="BP290" s="38">
        <v>0.82040000000000002</v>
      </c>
      <c r="BQ290" s="39">
        <v>40.98</v>
      </c>
      <c r="BR290" s="520"/>
    </row>
    <row r="291" spans="37:70">
      <c r="AK291" s="2482"/>
      <c r="BG291" s="30">
        <v>17.100000000000001</v>
      </c>
      <c r="BH291" s="31">
        <v>0.95220000000000005</v>
      </c>
      <c r="BI291" s="32">
        <v>951.7</v>
      </c>
      <c r="BJ291" s="33"/>
      <c r="BK291" s="197">
        <v>0.82099999999999995</v>
      </c>
      <c r="BL291" s="200">
        <v>40.85</v>
      </c>
      <c r="BM291" s="199">
        <v>820.6</v>
      </c>
      <c r="BN291" s="33"/>
      <c r="BO291" s="37">
        <v>821</v>
      </c>
      <c r="BP291" s="38">
        <v>0.82140000000000002</v>
      </c>
      <c r="BQ291" s="39">
        <v>40.76</v>
      </c>
      <c r="BR291" s="520"/>
    </row>
    <row r="292" spans="37:70">
      <c r="AK292" s="2482"/>
      <c r="BG292" s="30">
        <v>17.2</v>
      </c>
      <c r="BH292" s="31">
        <v>0.9516</v>
      </c>
      <c r="BI292" s="32">
        <v>951</v>
      </c>
      <c r="BJ292" s="33"/>
      <c r="BK292" s="197">
        <v>0.82199999999999995</v>
      </c>
      <c r="BL292" s="200">
        <v>40.64</v>
      </c>
      <c r="BM292" s="199">
        <v>821.6</v>
      </c>
      <c r="BN292" s="33"/>
      <c r="BO292" s="37">
        <v>822</v>
      </c>
      <c r="BP292" s="38">
        <v>0.82240000000000002</v>
      </c>
      <c r="BQ292" s="39">
        <v>40.56</v>
      </c>
      <c r="BR292" s="520"/>
    </row>
    <row r="293" spans="37:70">
      <c r="AK293" s="2482"/>
      <c r="BG293" s="30">
        <v>17.3</v>
      </c>
      <c r="BH293" s="31">
        <v>0.95089999999999997</v>
      </c>
      <c r="BI293" s="32">
        <v>950.4</v>
      </c>
      <c r="BJ293" s="33"/>
      <c r="BK293" s="197">
        <v>0.82299999999999995</v>
      </c>
      <c r="BL293" s="200">
        <v>40.43</v>
      </c>
      <c r="BM293" s="199">
        <v>822.6</v>
      </c>
      <c r="BN293" s="33"/>
      <c r="BO293" s="37">
        <v>823</v>
      </c>
      <c r="BP293" s="38">
        <v>0.82340000000000002</v>
      </c>
      <c r="BQ293" s="39">
        <v>40.35</v>
      </c>
      <c r="BR293" s="520"/>
    </row>
    <row r="294" spans="37:70">
      <c r="AK294" s="2482"/>
      <c r="BG294" s="30">
        <v>17.399999999999999</v>
      </c>
      <c r="BH294" s="31">
        <v>0.95030000000000003</v>
      </c>
      <c r="BI294" s="32">
        <v>949.7</v>
      </c>
      <c r="BJ294" s="33"/>
      <c r="BK294" s="197">
        <v>0.82399999999999995</v>
      </c>
      <c r="BL294" s="200">
        <v>40.22</v>
      </c>
      <c r="BM294" s="199">
        <v>823.6</v>
      </c>
      <c r="BN294" s="33"/>
      <c r="BO294" s="37">
        <v>824</v>
      </c>
      <c r="BP294" s="38">
        <v>0.82440000000000002</v>
      </c>
      <c r="BQ294" s="39">
        <v>40.14</v>
      </c>
      <c r="BR294" s="520"/>
    </row>
    <row r="295" spans="37:70">
      <c r="AK295" s="2482"/>
      <c r="BG295" s="30">
        <v>17.5</v>
      </c>
      <c r="BH295" s="31">
        <v>0.94969999999999999</v>
      </c>
      <c r="BI295" s="32">
        <v>949.1</v>
      </c>
      <c r="BJ295" s="33"/>
      <c r="BK295" s="197">
        <v>0.82499999999999996</v>
      </c>
      <c r="BL295" s="200">
        <v>40.020000000000003</v>
      </c>
      <c r="BM295" s="199">
        <v>824.6</v>
      </c>
      <c r="BN295" s="33"/>
      <c r="BO295" s="37">
        <v>825</v>
      </c>
      <c r="BP295" s="38">
        <v>0.82540000000000002</v>
      </c>
      <c r="BQ295" s="39">
        <v>39.93</v>
      </c>
      <c r="BR295" s="520"/>
    </row>
    <row r="296" spans="37:70">
      <c r="AK296" s="2482"/>
      <c r="BG296" s="30">
        <v>17.600000000000001</v>
      </c>
      <c r="BH296" s="31">
        <v>0.94899999999999995</v>
      </c>
      <c r="BI296" s="32">
        <v>948.5</v>
      </c>
      <c r="BJ296" s="33"/>
      <c r="BK296" s="197">
        <v>0.82599999999999996</v>
      </c>
      <c r="BL296" s="200">
        <v>39.81</v>
      </c>
      <c r="BM296" s="199">
        <v>825.6</v>
      </c>
      <c r="BN296" s="33"/>
      <c r="BO296" s="37">
        <v>826</v>
      </c>
      <c r="BP296" s="38">
        <v>0.82640000000000002</v>
      </c>
      <c r="BQ296" s="39">
        <v>39.72</v>
      </c>
      <c r="BR296" s="520"/>
    </row>
    <row r="297" spans="37:70">
      <c r="AK297" s="2482"/>
      <c r="BG297" s="30">
        <v>17.7</v>
      </c>
      <c r="BH297" s="31">
        <v>0.94840000000000002</v>
      </c>
      <c r="BI297" s="32">
        <v>947.8</v>
      </c>
      <c r="BJ297" s="33"/>
      <c r="BK297" s="197">
        <v>0.82699999999999996</v>
      </c>
      <c r="BL297" s="200">
        <v>39.6</v>
      </c>
      <c r="BM297" s="199">
        <v>826.6</v>
      </c>
      <c r="BN297" s="33"/>
      <c r="BO297" s="37">
        <v>827</v>
      </c>
      <c r="BP297" s="38">
        <v>0.82740000000000002</v>
      </c>
      <c r="BQ297" s="39">
        <v>39.51</v>
      </c>
      <c r="BR297" s="520"/>
    </row>
    <row r="298" spans="37:70">
      <c r="AK298" s="2482"/>
      <c r="BG298" s="30">
        <v>17.8</v>
      </c>
      <c r="BH298" s="31">
        <v>0.94779999999999998</v>
      </c>
      <c r="BI298" s="32">
        <v>947.2</v>
      </c>
      <c r="BJ298" s="33"/>
      <c r="BK298" s="197">
        <v>0.82799999999999996</v>
      </c>
      <c r="BL298" s="200">
        <v>39.39</v>
      </c>
      <c r="BM298" s="199">
        <v>827.6</v>
      </c>
      <c r="BN298" s="33"/>
      <c r="BO298" s="37">
        <v>828</v>
      </c>
      <c r="BP298" s="38">
        <v>0.82840000000000003</v>
      </c>
      <c r="BQ298" s="39">
        <v>39.31</v>
      </c>
      <c r="BR298" s="520"/>
    </row>
    <row r="299" spans="37:70">
      <c r="AK299" s="2482"/>
      <c r="BG299" s="30">
        <v>17.899999999999999</v>
      </c>
      <c r="BH299" s="31">
        <v>0.94710000000000005</v>
      </c>
      <c r="BI299" s="32">
        <v>946.6</v>
      </c>
      <c r="BJ299" s="33"/>
      <c r="BK299" s="197">
        <v>0.82899999999999996</v>
      </c>
      <c r="BL299" s="200">
        <v>39.19</v>
      </c>
      <c r="BM299" s="199">
        <v>828.6</v>
      </c>
      <c r="BN299" s="33"/>
      <c r="BO299" s="37">
        <v>829</v>
      </c>
      <c r="BP299" s="38">
        <v>0.82940000000000003</v>
      </c>
      <c r="BQ299" s="39">
        <v>39.1</v>
      </c>
      <c r="BR299" s="520"/>
    </row>
    <row r="300" spans="37:70">
      <c r="AK300" s="2482"/>
      <c r="BG300" s="30">
        <v>18</v>
      </c>
      <c r="BH300" s="31">
        <v>0.94650000000000001</v>
      </c>
      <c r="BI300" s="32">
        <v>945.9</v>
      </c>
      <c r="BJ300" s="33"/>
      <c r="BK300" s="197">
        <v>0.83</v>
      </c>
      <c r="BL300" s="200">
        <v>38.979999999999997</v>
      </c>
      <c r="BM300" s="199">
        <v>829.6</v>
      </c>
      <c r="BN300" s="33"/>
      <c r="BO300" s="37">
        <v>830</v>
      </c>
      <c r="BP300" s="38">
        <v>0.83040000000000003</v>
      </c>
      <c r="BQ300" s="39">
        <v>38.9</v>
      </c>
      <c r="BR300" s="520"/>
    </row>
    <row r="301" spans="37:70">
      <c r="AK301" s="2482"/>
      <c r="BG301" s="30">
        <v>18.100000000000001</v>
      </c>
      <c r="BH301" s="31">
        <v>0.94589999999999996</v>
      </c>
      <c r="BI301" s="32">
        <v>945.3</v>
      </c>
      <c r="BJ301" s="33"/>
      <c r="BK301" s="197">
        <v>0.83099999999999996</v>
      </c>
      <c r="BL301" s="200">
        <v>38.78</v>
      </c>
      <c r="BM301" s="199">
        <v>830.6</v>
      </c>
      <c r="BN301" s="33"/>
      <c r="BO301" s="37">
        <v>831</v>
      </c>
      <c r="BP301" s="38">
        <v>0.83140000000000003</v>
      </c>
      <c r="BQ301" s="39">
        <v>38.69</v>
      </c>
      <c r="BR301" s="520"/>
    </row>
    <row r="302" spans="37:70">
      <c r="AK302" s="2482"/>
      <c r="BG302" s="30">
        <v>18.2</v>
      </c>
      <c r="BH302" s="31">
        <v>0.94520000000000004</v>
      </c>
      <c r="BI302" s="32">
        <v>944.7</v>
      </c>
      <c r="BJ302" s="33"/>
      <c r="BK302" s="197">
        <v>0.83199999999999996</v>
      </c>
      <c r="BL302" s="200">
        <v>38.57</v>
      </c>
      <c r="BM302" s="199">
        <v>831.6</v>
      </c>
      <c r="BN302" s="33"/>
      <c r="BO302" s="37">
        <v>832</v>
      </c>
      <c r="BP302" s="38">
        <v>0.83240000000000003</v>
      </c>
      <c r="BQ302" s="39">
        <v>38.49</v>
      </c>
      <c r="BR302" s="520"/>
    </row>
    <row r="303" spans="37:70">
      <c r="AK303" s="2482"/>
      <c r="BG303" s="30">
        <v>18.3</v>
      </c>
      <c r="BH303" s="31">
        <v>0.9446</v>
      </c>
      <c r="BI303" s="32">
        <v>944</v>
      </c>
      <c r="BJ303" s="33"/>
      <c r="BK303" s="197">
        <v>0.83299999999999996</v>
      </c>
      <c r="BL303" s="200">
        <v>38.369999999999997</v>
      </c>
      <c r="BM303" s="199">
        <v>832.6</v>
      </c>
      <c r="BN303" s="33"/>
      <c r="BO303" s="37">
        <v>833</v>
      </c>
      <c r="BP303" s="38">
        <v>0.83340000000000003</v>
      </c>
      <c r="BQ303" s="39">
        <v>38.28</v>
      </c>
      <c r="BR303" s="520"/>
    </row>
    <row r="304" spans="37:70">
      <c r="AK304" s="2482"/>
      <c r="BG304" s="30">
        <v>18.399999999999999</v>
      </c>
      <c r="BH304" s="31">
        <v>0.94399999999999995</v>
      </c>
      <c r="BI304" s="32">
        <v>943.4</v>
      </c>
      <c r="BJ304" s="33"/>
      <c r="BK304" s="197">
        <v>0.83399999999999996</v>
      </c>
      <c r="BL304" s="200">
        <v>38.159999999999997</v>
      </c>
      <c r="BM304" s="199">
        <v>833.6</v>
      </c>
      <c r="BN304" s="33"/>
      <c r="BO304" s="37">
        <v>834</v>
      </c>
      <c r="BP304" s="38">
        <v>0.83440000000000003</v>
      </c>
      <c r="BQ304" s="39">
        <v>38.08</v>
      </c>
      <c r="BR304" s="520"/>
    </row>
    <row r="305" spans="37:70">
      <c r="AK305" s="2482"/>
      <c r="BG305" s="30">
        <v>18.5</v>
      </c>
      <c r="BH305" s="31">
        <v>0.94330000000000003</v>
      </c>
      <c r="BI305" s="32">
        <v>942.8</v>
      </c>
      <c r="BJ305" s="33"/>
      <c r="BK305" s="197">
        <v>0.83499999999999996</v>
      </c>
      <c r="BL305" s="200">
        <v>37.96</v>
      </c>
      <c r="BM305" s="199">
        <v>834.6</v>
      </c>
      <c r="BN305" s="33"/>
      <c r="BO305" s="37">
        <v>835</v>
      </c>
      <c r="BP305" s="38">
        <v>0.83540000000000003</v>
      </c>
      <c r="BQ305" s="39">
        <v>37.869999999999997</v>
      </c>
      <c r="BR305" s="520"/>
    </row>
    <row r="306" spans="37:70">
      <c r="AK306" s="2482"/>
      <c r="BG306" s="30">
        <v>18.600000000000001</v>
      </c>
      <c r="BH306" s="31">
        <v>0.94269999999999998</v>
      </c>
      <c r="BI306" s="32">
        <v>942.2</v>
      </c>
      <c r="BJ306" s="33"/>
      <c r="BK306" s="197">
        <v>0.83599999999999997</v>
      </c>
      <c r="BL306" s="200">
        <v>37.76</v>
      </c>
      <c r="BM306" s="199">
        <v>835.6</v>
      </c>
      <c r="BN306" s="33"/>
      <c r="BO306" s="37">
        <v>836</v>
      </c>
      <c r="BP306" s="38">
        <v>0.83640000000000003</v>
      </c>
      <c r="BQ306" s="39">
        <v>37.67</v>
      </c>
      <c r="BR306" s="520"/>
    </row>
    <row r="307" spans="37:70">
      <c r="AK307" s="2482"/>
      <c r="BG307" s="30">
        <v>18.7</v>
      </c>
      <c r="BH307" s="31">
        <v>0.94210000000000005</v>
      </c>
      <c r="BI307" s="32">
        <v>941.5</v>
      </c>
      <c r="BJ307" s="33"/>
      <c r="BK307" s="197">
        <v>0.83699999999999997</v>
      </c>
      <c r="BL307" s="200">
        <v>37.56</v>
      </c>
      <c r="BM307" s="199">
        <v>836.6</v>
      </c>
      <c r="BN307" s="33"/>
      <c r="BO307" s="37">
        <v>837</v>
      </c>
      <c r="BP307" s="38">
        <v>0.83740000000000003</v>
      </c>
      <c r="BQ307" s="39">
        <v>37.47</v>
      </c>
      <c r="BR307" s="520"/>
    </row>
    <row r="308" spans="37:70">
      <c r="AK308" s="2482"/>
      <c r="BG308" s="30">
        <v>18.8</v>
      </c>
      <c r="BH308" s="31">
        <v>0.9415</v>
      </c>
      <c r="BI308" s="32">
        <v>940.9</v>
      </c>
      <c r="BJ308" s="33"/>
      <c r="BK308" s="197">
        <v>0.83799999999999997</v>
      </c>
      <c r="BL308" s="200">
        <v>37.35</v>
      </c>
      <c r="BM308" s="199">
        <v>837.6</v>
      </c>
      <c r="BN308" s="33"/>
      <c r="BO308" s="37">
        <v>838</v>
      </c>
      <c r="BP308" s="38">
        <v>0.83840000000000003</v>
      </c>
      <c r="BQ308" s="39">
        <v>37.270000000000003</v>
      </c>
      <c r="BR308" s="520"/>
    </row>
    <row r="309" spans="37:70">
      <c r="AK309" s="2482"/>
      <c r="BG309" s="30">
        <v>18.899999999999999</v>
      </c>
      <c r="BH309" s="31">
        <v>0.94079999999999997</v>
      </c>
      <c r="BI309" s="32">
        <v>940.3</v>
      </c>
      <c r="BJ309" s="33"/>
      <c r="BK309" s="197">
        <v>0.83899999999999997</v>
      </c>
      <c r="BL309" s="200">
        <v>37.15</v>
      </c>
      <c r="BM309" s="199">
        <v>838.6</v>
      </c>
      <c r="BN309" s="33"/>
      <c r="BO309" s="37">
        <v>839</v>
      </c>
      <c r="BP309" s="38">
        <v>0.83940000000000003</v>
      </c>
      <c r="BQ309" s="39">
        <v>37.07</v>
      </c>
      <c r="BR309" s="520"/>
    </row>
    <row r="310" spans="37:70">
      <c r="AK310" s="2482"/>
      <c r="BG310" s="30">
        <v>19</v>
      </c>
      <c r="BH310" s="31">
        <v>0.94020000000000004</v>
      </c>
      <c r="BI310" s="32">
        <v>939.7</v>
      </c>
      <c r="BJ310" s="33"/>
      <c r="BK310" s="197">
        <v>0.84</v>
      </c>
      <c r="BL310" s="200">
        <v>36.950000000000003</v>
      </c>
      <c r="BM310" s="199">
        <v>839.6</v>
      </c>
      <c r="BN310" s="33"/>
      <c r="BO310" s="37">
        <v>840</v>
      </c>
      <c r="BP310" s="38">
        <v>0.84040000000000004</v>
      </c>
      <c r="BQ310" s="39">
        <v>36.86</v>
      </c>
      <c r="BR310" s="520"/>
    </row>
    <row r="311" spans="37:70">
      <c r="AK311" s="2482"/>
      <c r="BG311" s="30">
        <v>19.100000000000001</v>
      </c>
      <c r="BH311" s="31">
        <v>0.93959999999999999</v>
      </c>
      <c r="BI311" s="32">
        <v>939</v>
      </c>
      <c r="BJ311" s="33"/>
      <c r="BK311" s="197">
        <v>0.84099999999999997</v>
      </c>
      <c r="BL311" s="200">
        <v>36.75</v>
      </c>
      <c r="BM311" s="199">
        <v>840.6</v>
      </c>
      <c r="BN311" s="33"/>
      <c r="BO311" s="37">
        <v>841</v>
      </c>
      <c r="BP311" s="38">
        <v>0.84140000000000004</v>
      </c>
      <c r="BQ311" s="39">
        <v>36.659999999999997</v>
      </c>
      <c r="BR311" s="520"/>
    </row>
    <row r="312" spans="37:70">
      <c r="AK312" s="2482"/>
      <c r="BG312" s="30">
        <v>19.2</v>
      </c>
      <c r="BH312" s="31">
        <v>0.93899999999999995</v>
      </c>
      <c r="BI312" s="32">
        <v>938.4</v>
      </c>
      <c r="BJ312" s="33"/>
      <c r="BK312" s="197">
        <v>0.84199999999999997</v>
      </c>
      <c r="BL312" s="200">
        <v>36.549999999999997</v>
      </c>
      <c r="BM312" s="199">
        <v>841.6</v>
      </c>
      <c r="BN312" s="33"/>
      <c r="BO312" s="37">
        <v>842</v>
      </c>
      <c r="BP312" s="38">
        <v>0.84240000000000004</v>
      </c>
      <c r="BQ312" s="39">
        <v>36.46</v>
      </c>
      <c r="BR312" s="520"/>
    </row>
    <row r="313" spans="37:70">
      <c r="AK313" s="2482"/>
      <c r="BG313" s="30">
        <v>19.3</v>
      </c>
      <c r="BH313" s="31">
        <v>0.93830000000000002</v>
      </c>
      <c r="BI313" s="32">
        <v>937.8</v>
      </c>
      <c r="BJ313" s="33"/>
      <c r="BK313" s="197">
        <v>0.84299999999999997</v>
      </c>
      <c r="BL313" s="200">
        <v>36.35</v>
      </c>
      <c r="BM313" s="199">
        <v>842.6</v>
      </c>
      <c r="BN313" s="33"/>
      <c r="BO313" s="37">
        <v>843</v>
      </c>
      <c r="BP313" s="38">
        <v>0.84340000000000004</v>
      </c>
      <c r="BQ313" s="39">
        <v>36.270000000000003</v>
      </c>
      <c r="BR313" s="520"/>
    </row>
    <row r="314" spans="37:70">
      <c r="AK314" s="2482"/>
      <c r="BG314" s="30">
        <v>19.399999999999999</v>
      </c>
      <c r="BH314" s="31">
        <v>0.93769999999999998</v>
      </c>
      <c r="BI314" s="32">
        <v>937.2</v>
      </c>
      <c r="BJ314" s="33"/>
      <c r="BK314" s="197">
        <v>0.84399999999999997</v>
      </c>
      <c r="BL314" s="200">
        <v>36.15</v>
      </c>
      <c r="BM314" s="199">
        <v>843.6</v>
      </c>
      <c r="BN314" s="33"/>
      <c r="BO314" s="37">
        <v>844</v>
      </c>
      <c r="BP314" s="38">
        <v>0.84440000000000004</v>
      </c>
      <c r="BQ314" s="39">
        <v>36.07</v>
      </c>
      <c r="BR314" s="520"/>
    </row>
    <row r="315" spans="37:70">
      <c r="AK315" s="2482"/>
      <c r="BG315" s="30">
        <v>19.5</v>
      </c>
      <c r="BH315" s="31">
        <v>0.93710000000000004</v>
      </c>
      <c r="BI315" s="32">
        <v>936.5</v>
      </c>
      <c r="BJ315" s="33"/>
      <c r="BK315" s="197">
        <v>0.84499999999999997</v>
      </c>
      <c r="BL315" s="200">
        <v>35.96</v>
      </c>
      <c r="BM315" s="199">
        <v>844.6</v>
      </c>
      <c r="BN315" s="33"/>
      <c r="BO315" s="37">
        <v>845</v>
      </c>
      <c r="BP315" s="38">
        <v>0.84540000000000004</v>
      </c>
      <c r="BQ315" s="39">
        <v>35.869999999999997</v>
      </c>
      <c r="BR315" s="520"/>
    </row>
    <row r="316" spans="37:70">
      <c r="AK316" s="2482"/>
      <c r="BG316" s="30">
        <v>19.600000000000001</v>
      </c>
      <c r="BH316" s="31">
        <v>0.9365</v>
      </c>
      <c r="BI316" s="32">
        <v>935.9</v>
      </c>
      <c r="BJ316" s="33"/>
      <c r="BK316" s="197">
        <v>0.84599999999999997</v>
      </c>
      <c r="BL316" s="200">
        <v>35.76</v>
      </c>
      <c r="BM316" s="199">
        <v>845.6</v>
      </c>
      <c r="BN316" s="33"/>
      <c r="BO316" s="37">
        <v>846</v>
      </c>
      <c r="BP316" s="38">
        <v>0.84640000000000004</v>
      </c>
      <c r="BQ316" s="39">
        <v>35.67</v>
      </c>
      <c r="BR316" s="520"/>
    </row>
    <row r="317" spans="37:70">
      <c r="AK317" s="2482"/>
      <c r="BG317" s="30">
        <v>19.7</v>
      </c>
      <c r="BH317" s="31">
        <v>0.93579999999999997</v>
      </c>
      <c r="BI317" s="32">
        <v>935.3</v>
      </c>
      <c r="BJ317" s="33"/>
      <c r="BK317" s="197">
        <v>0.84699999999999998</v>
      </c>
      <c r="BL317" s="200">
        <v>35.56</v>
      </c>
      <c r="BM317" s="199">
        <v>846.6</v>
      </c>
      <c r="BN317" s="33"/>
      <c r="BO317" s="37">
        <v>847</v>
      </c>
      <c r="BP317" s="38">
        <v>0.84740000000000004</v>
      </c>
      <c r="BQ317" s="39">
        <v>35.47</v>
      </c>
      <c r="BR317" s="520"/>
    </row>
    <row r="318" spans="37:70">
      <c r="AK318" s="2482"/>
      <c r="BG318" s="30">
        <v>19.8</v>
      </c>
      <c r="BH318" s="31">
        <v>0.93520000000000003</v>
      </c>
      <c r="BI318" s="32">
        <v>934.7</v>
      </c>
      <c r="BJ318" s="33"/>
      <c r="BK318" s="197">
        <v>0.84799999999999998</v>
      </c>
      <c r="BL318" s="200">
        <v>35.36</v>
      </c>
      <c r="BM318" s="199">
        <v>847.6</v>
      </c>
      <c r="BN318" s="33"/>
      <c r="BO318" s="37">
        <v>848</v>
      </c>
      <c r="BP318" s="38">
        <v>0.84840000000000004</v>
      </c>
      <c r="BQ318" s="39">
        <v>35.28</v>
      </c>
      <c r="BR318" s="520"/>
    </row>
    <row r="319" spans="37:70">
      <c r="AK319" s="2482"/>
      <c r="BG319" s="30">
        <v>19.899999999999999</v>
      </c>
      <c r="BH319" s="31">
        <v>0.93459999999999999</v>
      </c>
      <c r="BI319" s="32">
        <v>934.1</v>
      </c>
      <c r="BJ319" s="33"/>
      <c r="BK319" s="197">
        <v>0.84899999999999998</v>
      </c>
      <c r="BL319" s="200">
        <v>35.17</v>
      </c>
      <c r="BM319" s="199">
        <v>848.6</v>
      </c>
      <c r="BN319" s="33"/>
      <c r="BO319" s="37">
        <v>849</v>
      </c>
      <c r="BP319" s="38">
        <v>0.84940000000000004</v>
      </c>
      <c r="BQ319" s="39">
        <v>35.08</v>
      </c>
      <c r="BR319" s="520"/>
    </row>
    <row r="320" spans="37:70">
      <c r="AK320" s="2482"/>
      <c r="BG320" s="30">
        <v>20</v>
      </c>
      <c r="BH320" s="31">
        <v>0.93400000000000005</v>
      </c>
      <c r="BI320" s="32">
        <v>933.5</v>
      </c>
      <c r="BJ320" s="33"/>
      <c r="BK320" s="197">
        <v>0.85</v>
      </c>
      <c r="BL320" s="200">
        <v>34.97</v>
      </c>
      <c r="BM320" s="199">
        <v>849.6</v>
      </c>
      <c r="BN320" s="33"/>
      <c r="BO320" s="37">
        <v>850</v>
      </c>
      <c r="BP320" s="38">
        <v>0.85040000000000004</v>
      </c>
      <c r="BQ320" s="39">
        <v>34.880000000000003</v>
      </c>
      <c r="BR320" s="520"/>
    </row>
    <row r="321" spans="37:70">
      <c r="AK321" s="2482"/>
      <c r="BG321" s="30">
        <v>20.100000000000001</v>
      </c>
      <c r="BH321" s="31">
        <v>0.93340000000000001</v>
      </c>
      <c r="BI321" s="32">
        <v>932.8</v>
      </c>
      <c r="BJ321" s="33"/>
      <c r="BK321" s="197">
        <v>0.85099999999999998</v>
      </c>
      <c r="BL321" s="200">
        <v>34.770000000000003</v>
      </c>
      <c r="BM321" s="199">
        <v>850.6</v>
      </c>
      <c r="BN321" s="33"/>
      <c r="BO321" s="37">
        <v>851</v>
      </c>
      <c r="BP321" s="38">
        <v>0.85140000000000005</v>
      </c>
      <c r="BQ321" s="39">
        <v>34.69</v>
      </c>
      <c r="BR321" s="520"/>
    </row>
    <row r="322" spans="37:70">
      <c r="AK322" s="2482"/>
      <c r="BG322" s="30">
        <v>20.2</v>
      </c>
      <c r="BH322" s="31">
        <v>0.93279999999999996</v>
      </c>
      <c r="BI322" s="32">
        <v>932.2</v>
      </c>
      <c r="BJ322" s="33"/>
      <c r="BK322" s="197">
        <v>0.85199999999999998</v>
      </c>
      <c r="BL322" s="200">
        <v>34.58</v>
      </c>
      <c r="BM322" s="199">
        <v>851.6</v>
      </c>
      <c r="BN322" s="33"/>
      <c r="BO322" s="37">
        <v>852</v>
      </c>
      <c r="BP322" s="38">
        <v>0.85250000000000004</v>
      </c>
      <c r="BQ322" s="39">
        <v>34.49</v>
      </c>
      <c r="BR322" s="520"/>
    </row>
    <row r="323" spans="37:70">
      <c r="AK323" s="2482"/>
      <c r="BG323" s="30">
        <v>20.3</v>
      </c>
      <c r="BH323" s="31">
        <v>0.93210000000000004</v>
      </c>
      <c r="BI323" s="32">
        <v>931.6</v>
      </c>
      <c r="BJ323" s="33"/>
      <c r="BK323" s="197">
        <v>0.85299999999999998</v>
      </c>
      <c r="BL323" s="200">
        <v>34.39</v>
      </c>
      <c r="BM323" s="199">
        <v>852.5</v>
      </c>
      <c r="BN323" s="33"/>
      <c r="BO323" s="37">
        <v>853</v>
      </c>
      <c r="BP323" s="38">
        <v>0.85350000000000004</v>
      </c>
      <c r="BQ323" s="39">
        <v>34.299999999999997</v>
      </c>
      <c r="BR323" s="520"/>
    </row>
    <row r="324" spans="37:70">
      <c r="AK324" s="2482"/>
      <c r="BG324" s="30">
        <v>20.399999999999999</v>
      </c>
      <c r="BH324" s="31">
        <v>0.93149999999999999</v>
      </c>
      <c r="BI324" s="32">
        <v>931</v>
      </c>
      <c r="BJ324" s="33"/>
      <c r="BK324" s="197">
        <v>0.85399999999999998</v>
      </c>
      <c r="BL324" s="200">
        <v>34.19</v>
      </c>
      <c r="BM324" s="199">
        <v>853.5</v>
      </c>
      <c r="BN324" s="33"/>
      <c r="BO324" s="37">
        <v>854</v>
      </c>
      <c r="BP324" s="38">
        <v>0.85450000000000004</v>
      </c>
      <c r="BQ324" s="39">
        <v>34.1</v>
      </c>
      <c r="BR324" s="520"/>
    </row>
    <row r="325" spans="37:70">
      <c r="AK325" s="2482"/>
      <c r="BG325" s="30">
        <v>20.5</v>
      </c>
      <c r="BH325" s="31">
        <v>0.93089999999999995</v>
      </c>
      <c r="BI325" s="32">
        <v>930.4</v>
      </c>
      <c r="BJ325" s="33"/>
      <c r="BK325" s="197">
        <v>0.85499999999999998</v>
      </c>
      <c r="BL325" s="200">
        <v>34</v>
      </c>
      <c r="BM325" s="199">
        <v>854.5</v>
      </c>
      <c r="BN325" s="33"/>
      <c r="BO325" s="37">
        <v>855</v>
      </c>
      <c r="BP325" s="38">
        <v>0.85550000000000004</v>
      </c>
      <c r="BQ325" s="39">
        <v>33.909999999999997</v>
      </c>
      <c r="BR325" s="520"/>
    </row>
    <row r="326" spans="37:70">
      <c r="AK326" s="2482"/>
      <c r="BG326" s="30">
        <v>20.6</v>
      </c>
      <c r="BH326" s="31">
        <v>0.93030000000000002</v>
      </c>
      <c r="BI326" s="32">
        <v>929.8</v>
      </c>
      <c r="BJ326" s="33"/>
      <c r="BK326" s="197">
        <v>0.85599999999999998</v>
      </c>
      <c r="BL326" s="200">
        <v>33.799999999999997</v>
      </c>
      <c r="BM326" s="199">
        <v>855.5</v>
      </c>
      <c r="BN326" s="33"/>
      <c r="BO326" s="37">
        <v>856</v>
      </c>
      <c r="BP326" s="38">
        <v>0.85650000000000004</v>
      </c>
      <c r="BQ326" s="39">
        <v>33.72</v>
      </c>
      <c r="BR326" s="520"/>
    </row>
    <row r="327" spans="37:70">
      <c r="AK327" s="2482"/>
      <c r="BG327" s="30">
        <v>20.7</v>
      </c>
      <c r="BH327" s="31">
        <v>0.92969999999999997</v>
      </c>
      <c r="BI327" s="32">
        <v>929.2</v>
      </c>
      <c r="BJ327" s="33"/>
      <c r="BK327" s="197">
        <v>0.85699999999999998</v>
      </c>
      <c r="BL327" s="200">
        <v>33.61</v>
      </c>
      <c r="BM327" s="199">
        <v>856.5</v>
      </c>
      <c r="BN327" s="33"/>
      <c r="BO327" s="37">
        <v>857</v>
      </c>
      <c r="BP327" s="38">
        <v>0.85750000000000004</v>
      </c>
      <c r="BQ327" s="39">
        <v>33.520000000000003</v>
      </c>
      <c r="BR327" s="520"/>
    </row>
    <row r="328" spans="37:70">
      <c r="AK328" s="2482"/>
      <c r="BG328" s="30">
        <v>20.8</v>
      </c>
      <c r="BH328" s="31">
        <v>0.92910000000000004</v>
      </c>
      <c r="BI328" s="32">
        <v>928.6</v>
      </c>
      <c r="BJ328" s="33"/>
      <c r="BK328" s="197">
        <v>0.85799999999999998</v>
      </c>
      <c r="BL328" s="200">
        <v>33.42</v>
      </c>
      <c r="BM328" s="199">
        <v>857.5</v>
      </c>
      <c r="BN328" s="33"/>
      <c r="BO328" s="37">
        <v>858</v>
      </c>
      <c r="BP328" s="38">
        <v>0.85850000000000004</v>
      </c>
      <c r="BQ328" s="39">
        <v>33.33</v>
      </c>
      <c r="BR328" s="520"/>
    </row>
    <row r="329" spans="37:70">
      <c r="AK329" s="2482"/>
      <c r="BG329" s="30">
        <v>20.9</v>
      </c>
      <c r="BH329" s="31">
        <v>0.92849999999999999</v>
      </c>
      <c r="BI329" s="32">
        <v>927.9</v>
      </c>
      <c r="BJ329" s="33"/>
      <c r="BK329" s="197">
        <v>0.85899999999999999</v>
      </c>
      <c r="BL329" s="200">
        <v>33.229999999999997</v>
      </c>
      <c r="BM329" s="199">
        <v>858.5</v>
      </c>
      <c r="BN329" s="33"/>
      <c r="BO329" s="37">
        <v>859</v>
      </c>
      <c r="BP329" s="38">
        <v>0.85950000000000004</v>
      </c>
      <c r="BQ329" s="39">
        <v>33.14</v>
      </c>
      <c r="BR329" s="520"/>
    </row>
    <row r="330" spans="37:70">
      <c r="AK330" s="2482"/>
      <c r="BG330" s="30">
        <v>21</v>
      </c>
      <c r="BH330" s="31">
        <v>0.92789999999999995</v>
      </c>
      <c r="BI330" s="32">
        <v>927.3</v>
      </c>
      <c r="BJ330" s="33"/>
      <c r="BK330" s="197">
        <v>0.86</v>
      </c>
      <c r="BL330" s="200">
        <v>33.03</v>
      </c>
      <c r="BM330" s="199">
        <v>859.5</v>
      </c>
      <c r="BN330" s="33"/>
      <c r="BO330" s="37">
        <v>860</v>
      </c>
      <c r="BP330" s="38">
        <v>0.86050000000000004</v>
      </c>
      <c r="BQ330" s="39">
        <v>32.950000000000003</v>
      </c>
      <c r="BR330" s="520"/>
    </row>
    <row r="331" spans="37:70">
      <c r="AK331" s="2482"/>
      <c r="BG331" s="30">
        <v>21.1</v>
      </c>
      <c r="BH331" s="31">
        <v>0.92730000000000001</v>
      </c>
      <c r="BI331" s="32">
        <v>926.7</v>
      </c>
      <c r="BJ331" s="33"/>
      <c r="BK331" s="197">
        <v>0.86099999999999999</v>
      </c>
      <c r="BL331" s="200">
        <v>32.840000000000003</v>
      </c>
      <c r="BM331" s="199">
        <v>860.5</v>
      </c>
      <c r="BN331" s="33"/>
      <c r="BO331" s="37">
        <v>861</v>
      </c>
      <c r="BP331" s="38">
        <v>0.86150000000000004</v>
      </c>
      <c r="BQ331" s="39">
        <v>32.76</v>
      </c>
      <c r="BR331" s="520"/>
    </row>
    <row r="332" spans="37:70">
      <c r="AK332" s="2482"/>
      <c r="BG332" s="30">
        <v>21.2</v>
      </c>
      <c r="BH332" s="31">
        <v>0.92669999999999997</v>
      </c>
      <c r="BI332" s="32">
        <v>926.1</v>
      </c>
      <c r="BJ332" s="33"/>
      <c r="BK332" s="197">
        <v>0.86199999999999999</v>
      </c>
      <c r="BL332" s="200">
        <v>32.65</v>
      </c>
      <c r="BM332" s="199">
        <v>861.5</v>
      </c>
      <c r="BN332" s="33"/>
      <c r="BO332" s="37">
        <v>862</v>
      </c>
      <c r="BP332" s="38">
        <v>0.86250000000000004</v>
      </c>
      <c r="BQ332" s="39">
        <v>32.57</v>
      </c>
      <c r="BR332" s="520"/>
    </row>
    <row r="333" spans="37:70">
      <c r="AK333" s="2482"/>
      <c r="BG333" s="30">
        <v>21.3</v>
      </c>
      <c r="BH333" s="31">
        <v>0.92600000000000005</v>
      </c>
      <c r="BI333" s="32">
        <v>925.5</v>
      </c>
      <c r="BJ333" s="33"/>
      <c r="BK333" s="197">
        <v>0.86299999999999999</v>
      </c>
      <c r="BL333" s="200">
        <v>32.46</v>
      </c>
      <c r="BM333" s="199">
        <v>862.5</v>
      </c>
      <c r="BN333" s="33"/>
      <c r="BO333" s="37">
        <v>863</v>
      </c>
      <c r="BP333" s="38">
        <v>0.86350000000000005</v>
      </c>
      <c r="BQ333" s="39">
        <v>32.380000000000003</v>
      </c>
      <c r="BR333" s="520"/>
    </row>
    <row r="334" spans="37:70">
      <c r="AK334" s="2482"/>
      <c r="BG334" s="30">
        <v>21.4</v>
      </c>
      <c r="BH334" s="31">
        <v>0.9254</v>
      </c>
      <c r="BI334" s="32">
        <v>924.9</v>
      </c>
      <c r="BJ334" s="33"/>
      <c r="BK334" s="197">
        <v>0.86399999999999999</v>
      </c>
      <c r="BL334" s="200">
        <v>32.270000000000003</v>
      </c>
      <c r="BM334" s="199">
        <v>863.5</v>
      </c>
      <c r="BN334" s="33"/>
      <c r="BO334" s="37">
        <v>864</v>
      </c>
      <c r="BP334" s="38">
        <v>0.86450000000000005</v>
      </c>
      <c r="BQ334" s="39">
        <v>32.19</v>
      </c>
      <c r="BR334" s="520"/>
    </row>
    <row r="335" spans="37:70">
      <c r="AK335" s="2482"/>
      <c r="BG335" s="30">
        <v>21.5</v>
      </c>
      <c r="BH335" s="31">
        <v>0.92479999999999996</v>
      </c>
      <c r="BI335" s="32">
        <v>924.3</v>
      </c>
      <c r="BJ335" s="33"/>
      <c r="BK335" s="197">
        <v>0.86499999999999999</v>
      </c>
      <c r="BL335" s="200">
        <v>32.08</v>
      </c>
      <c r="BM335" s="199">
        <v>864.5</v>
      </c>
      <c r="BN335" s="33"/>
      <c r="BO335" s="37">
        <v>865</v>
      </c>
      <c r="BP335" s="38">
        <v>0.86550000000000005</v>
      </c>
      <c r="BQ335" s="39">
        <v>32</v>
      </c>
      <c r="BR335" s="520"/>
    </row>
    <row r="336" spans="37:70">
      <c r="AK336" s="2482"/>
      <c r="BG336" s="30">
        <v>21.6</v>
      </c>
      <c r="BH336" s="31">
        <v>0.92420000000000002</v>
      </c>
      <c r="BI336" s="32">
        <v>923.7</v>
      </c>
      <c r="BJ336" s="33"/>
      <c r="BK336" s="197">
        <v>0.86599999999999999</v>
      </c>
      <c r="BL336" s="200">
        <v>31.89</v>
      </c>
      <c r="BM336" s="199">
        <v>865.5</v>
      </c>
      <c r="BN336" s="33"/>
      <c r="BO336" s="37">
        <v>866</v>
      </c>
      <c r="BP336" s="38">
        <v>0.86650000000000005</v>
      </c>
      <c r="BQ336" s="39">
        <v>31.81</v>
      </c>
      <c r="BR336" s="520"/>
    </row>
    <row r="337" spans="37:70">
      <c r="AK337" s="2482"/>
      <c r="BG337" s="30">
        <v>21.7</v>
      </c>
      <c r="BH337" s="31">
        <v>0.92359999999999998</v>
      </c>
      <c r="BI337" s="32">
        <v>923.1</v>
      </c>
      <c r="BJ337" s="33"/>
      <c r="BK337" s="197">
        <v>0.86699999999999999</v>
      </c>
      <c r="BL337" s="200">
        <v>31.71</v>
      </c>
      <c r="BM337" s="199">
        <v>866.5</v>
      </c>
      <c r="BN337" s="33"/>
      <c r="BO337" s="37">
        <v>867</v>
      </c>
      <c r="BP337" s="38">
        <v>0.86750000000000005</v>
      </c>
      <c r="BQ337" s="39">
        <v>31.62</v>
      </c>
      <c r="BR337" s="520"/>
    </row>
    <row r="338" spans="37:70">
      <c r="AK338" s="2482"/>
      <c r="BG338" s="30">
        <v>21.8</v>
      </c>
      <c r="BH338" s="31">
        <v>0.92300000000000004</v>
      </c>
      <c r="BI338" s="32">
        <v>922.5</v>
      </c>
      <c r="BJ338" s="33"/>
      <c r="BK338" s="197">
        <v>0.86799999999999999</v>
      </c>
      <c r="BL338" s="200">
        <v>31.52</v>
      </c>
      <c r="BM338" s="199">
        <v>867.5</v>
      </c>
      <c r="BN338" s="33"/>
      <c r="BO338" s="37">
        <v>868</v>
      </c>
      <c r="BP338" s="38">
        <v>0.86850000000000005</v>
      </c>
      <c r="BQ338" s="39">
        <v>31.43</v>
      </c>
      <c r="BR338" s="520"/>
    </row>
    <row r="339" spans="37:70">
      <c r="AK339" s="2482"/>
      <c r="BG339" s="30">
        <v>21.9</v>
      </c>
      <c r="BH339" s="31">
        <v>0.9224</v>
      </c>
      <c r="BI339" s="32">
        <v>921.9</v>
      </c>
      <c r="BJ339" s="33"/>
      <c r="BK339" s="197">
        <v>0.86899999999999999</v>
      </c>
      <c r="BL339" s="200">
        <v>31.33</v>
      </c>
      <c r="BM339" s="199">
        <v>868.5</v>
      </c>
      <c r="BN339" s="33"/>
      <c r="BO339" s="37">
        <v>869</v>
      </c>
      <c r="BP339" s="38">
        <v>0.86950000000000005</v>
      </c>
      <c r="BQ339" s="39">
        <v>31.24</v>
      </c>
      <c r="BR339" s="520"/>
    </row>
    <row r="340" spans="37:70">
      <c r="AK340" s="2482"/>
      <c r="BG340" s="30">
        <v>22</v>
      </c>
      <c r="BH340" s="31">
        <v>0.92179999999999995</v>
      </c>
      <c r="BI340" s="32">
        <v>921.3</v>
      </c>
      <c r="BJ340" s="33"/>
      <c r="BK340" s="197">
        <v>0.87</v>
      </c>
      <c r="BL340" s="200">
        <v>31.14</v>
      </c>
      <c r="BM340" s="199">
        <v>869.5</v>
      </c>
      <c r="BN340" s="33"/>
      <c r="BO340" s="37">
        <v>870</v>
      </c>
      <c r="BP340" s="38">
        <v>0.87050000000000005</v>
      </c>
      <c r="BQ340" s="39">
        <v>31.06</v>
      </c>
      <c r="BR340" s="520"/>
    </row>
    <row r="341" spans="37:70">
      <c r="AK341" s="2482"/>
      <c r="BG341" s="30">
        <v>22.1</v>
      </c>
      <c r="BH341" s="31">
        <v>0.92120000000000002</v>
      </c>
      <c r="BI341" s="32">
        <v>920.7</v>
      </c>
      <c r="BJ341" s="33"/>
      <c r="BK341" s="197">
        <v>0.871</v>
      </c>
      <c r="BL341" s="200">
        <v>30.96</v>
      </c>
      <c r="BM341" s="199">
        <v>870.5</v>
      </c>
      <c r="BN341" s="33"/>
      <c r="BO341" s="37">
        <v>871</v>
      </c>
      <c r="BP341" s="38">
        <v>0.87150000000000005</v>
      </c>
      <c r="BQ341" s="39">
        <v>30.87</v>
      </c>
      <c r="BR341" s="520"/>
    </row>
    <row r="342" spans="37:70">
      <c r="AK342" s="2482"/>
      <c r="BG342" s="30">
        <v>22.2</v>
      </c>
      <c r="BH342" s="31">
        <v>0.92059999999999997</v>
      </c>
      <c r="BI342" s="32">
        <v>920.1</v>
      </c>
      <c r="BJ342" s="33"/>
      <c r="BK342" s="197">
        <v>0.872</v>
      </c>
      <c r="BL342" s="200">
        <v>30.77</v>
      </c>
      <c r="BM342" s="199">
        <v>871.5</v>
      </c>
      <c r="BN342" s="33"/>
      <c r="BO342" s="37">
        <v>872</v>
      </c>
      <c r="BP342" s="38">
        <v>0.87250000000000005</v>
      </c>
      <c r="BQ342" s="39">
        <v>30.68</v>
      </c>
      <c r="BR342" s="520"/>
    </row>
    <row r="343" spans="37:70">
      <c r="AK343" s="2482"/>
      <c r="BG343" s="30">
        <v>22.3</v>
      </c>
      <c r="BH343" s="31">
        <v>0.92</v>
      </c>
      <c r="BI343" s="32">
        <v>919.5</v>
      </c>
      <c r="BJ343" s="33"/>
      <c r="BK343" s="197">
        <v>0.873</v>
      </c>
      <c r="BL343" s="200">
        <v>30.58</v>
      </c>
      <c r="BM343" s="199">
        <v>872.5</v>
      </c>
      <c r="BN343" s="33"/>
      <c r="BO343" s="37">
        <v>873</v>
      </c>
      <c r="BP343" s="38">
        <v>0.87350000000000005</v>
      </c>
      <c r="BQ343" s="39">
        <v>30.5</v>
      </c>
      <c r="BR343" s="520"/>
    </row>
    <row r="344" spans="37:70">
      <c r="AK344" s="2482"/>
      <c r="BG344" s="30">
        <v>22.4</v>
      </c>
      <c r="BH344" s="31">
        <v>0.9194</v>
      </c>
      <c r="BI344" s="32">
        <v>918.9</v>
      </c>
      <c r="BJ344" s="33"/>
      <c r="BK344" s="197">
        <v>0.874</v>
      </c>
      <c r="BL344" s="200">
        <v>30.4</v>
      </c>
      <c r="BM344" s="199">
        <v>873.5</v>
      </c>
      <c r="BN344" s="33"/>
      <c r="BO344" s="37">
        <v>874</v>
      </c>
      <c r="BP344" s="38">
        <v>0.87450000000000006</v>
      </c>
      <c r="BQ344" s="39">
        <v>30.31</v>
      </c>
      <c r="BR344" s="520"/>
    </row>
    <row r="345" spans="37:70">
      <c r="AK345" s="2482"/>
      <c r="BG345" s="30">
        <v>22.5</v>
      </c>
      <c r="BH345" s="31">
        <v>0.91879999999999995</v>
      </c>
      <c r="BI345" s="32">
        <v>918.3</v>
      </c>
      <c r="BJ345" s="33"/>
      <c r="BK345" s="197">
        <v>0.875</v>
      </c>
      <c r="BL345" s="200">
        <v>30.21</v>
      </c>
      <c r="BM345" s="199">
        <v>874.5</v>
      </c>
      <c r="BN345" s="33"/>
      <c r="BO345" s="37">
        <v>875</v>
      </c>
      <c r="BP345" s="38">
        <v>0.87549999999999994</v>
      </c>
      <c r="BQ345" s="39">
        <v>30.13</v>
      </c>
      <c r="BR345" s="520"/>
    </row>
    <row r="346" spans="37:70">
      <c r="AK346" s="2482"/>
      <c r="BG346" s="30">
        <v>22.6</v>
      </c>
      <c r="BH346" s="31">
        <v>0.91820000000000002</v>
      </c>
      <c r="BI346" s="32">
        <v>917.7</v>
      </c>
      <c r="BJ346" s="33"/>
      <c r="BK346" s="197">
        <v>0.876</v>
      </c>
      <c r="BL346" s="200">
        <v>30.03</v>
      </c>
      <c r="BM346" s="199">
        <v>875.5</v>
      </c>
      <c r="BN346" s="33"/>
      <c r="BO346" s="37">
        <v>876</v>
      </c>
      <c r="BP346" s="38">
        <v>0.87649999999999995</v>
      </c>
      <c r="BQ346" s="39">
        <v>29.94</v>
      </c>
      <c r="BR346" s="520"/>
    </row>
    <row r="347" spans="37:70">
      <c r="AK347" s="2482"/>
      <c r="BG347" s="30">
        <v>22.7</v>
      </c>
      <c r="BH347" s="31">
        <v>0.91759999999999997</v>
      </c>
      <c r="BI347" s="32">
        <v>917.1</v>
      </c>
      <c r="BJ347" s="33"/>
      <c r="BK347" s="197">
        <v>0.877</v>
      </c>
      <c r="BL347" s="200">
        <v>29.85</v>
      </c>
      <c r="BM347" s="199">
        <v>876.5</v>
      </c>
      <c r="BN347" s="33"/>
      <c r="BO347" s="37">
        <v>877</v>
      </c>
      <c r="BP347" s="38">
        <v>0.87749999999999995</v>
      </c>
      <c r="BQ347" s="39">
        <v>29.76</v>
      </c>
      <c r="BR347" s="520"/>
    </row>
    <row r="348" spans="37:70">
      <c r="AK348" s="2482"/>
      <c r="BG348" s="30">
        <v>22.8</v>
      </c>
      <c r="BH348" s="31">
        <v>0.91700000000000004</v>
      </c>
      <c r="BI348" s="32">
        <v>916.5</v>
      </c>
      <c r="BJ348" s="33"/>
      <c r="BK348" s="197">
        <v>0.878</v>
      </c>
      <c r="BL348" s="200">
        <v>29.66</v>
      </c>
      <c r="BM348" s="199">
        <v>877.5</v>
      </c>
      <c r="BN348" s="33"/>
      <c r="BO348" s="37">
        <v>878</v>
      </c>
      <c r="BP348" s="38">
        <v>0.87849999999999995</v>
      </c>
      <c r="BQ348" s="39">
        <v>29.57</v>
      </c>
      <c r="BR348" s="520"/>
    </row>
    <row r="349" spans="37:70">
      <c r="AK349" s="2482"/>
      <c r="BG349" s="30">
        <v>22.9</v>
      </c>
      <c r="BH349" s="31">
        <v>0.91649999999999998</v>
      </c>
      <c r="BI349" s="32">
        <v>915.9</v>
      </c>
      <c r="BJ349" s="33"/>
      <c r="BK349" s="197">
        <v>0.879</v>
      </c>
      <c r="BL349" s="200">
        <v>29.48</v>
      </c>
      <c r="BM349" s="199">
        <v>878.5</v>
      </c>
      <c r="BN349" s="33"/>
      <c r="BO349" s="37">
        <v>879</v>
      </c>
      <c r="BP349" s="38">
        <v>0.87949999999999995</v>
      </c>
      <c r="BQ349" s="39">
        <v>29.39</v>
      </c>
      <c r="BR349" s="520"/>
    </row>
    <row r="350" spans="37:70">
      <c r="AK350" s="2482"/>
      <c r="BG350" s="30">
        <v>23</v>
      </c>
      <c r="BH350" s="31">
        <v>0.91590000000000005</v>
      </c>
      <c r="BI350" s="32">
        <v>915.3</v>
      </c>
      <c r="BJ350" s="33"/>
      <c r="BK350" s="197">
        <v>0.88</v>
      </c>
      <c r="BL350" s="200">
        <v>29.3</v>
      </c>
      <c r="BM350" s="199">
        <v>879.5</v>
      </c>
      <c r="BN350" s="33"/>
      <c r="BO350" s="37">
        <v>880</v>
      </c>
      <c r="BP350" s="38">
        <v>0.88049999999999995</v>
      </c>
      <c r="BQ350" s="39">
        <v>29.21</v>
      </c>
      <c r="BR350" s="520"/>
    </row>
    <row r="351" spans="37:70">
      <c r="AK351" s="2482"/>
      <c r="BG351" s="30">
        <v>23.1</v>
      </c>
      <c r="BH351" s="31">
        <v>0.9153</v>
      </c>
      <c r="BI351" s="32">
        <v>914.7</v>
      </c>
      <c r="BJ351" s="33"/>
      <c r="BK351" s="197">
        <v>0.88100000000000001</v>
      </c>
      <c r="BL351" s="200">
        <v>29.11</v>
      </c>
      <c r="BM351" s="199">
        <v>880.5</v>
      </c>
      <c r="BN351" s="33"/>
      <c r="BO351" s="37">
        <v>881</v>
      </c>
      <c r="BP351" s="38">
        <v>0.88149999999999995</v>
      </c>
      <c r="BQ351" s="39">
        <v>29.02</v>
      </c>
      <c r="BR351" s="520"/>
    </row>
    <row r="352" spans="37:70">
      <c r="AK352" s="2482"/>
      <c r="BG352" s="30">
        <v>23.2</v>
      </c>
      <c r="BH352" s="31">
        <v>0.91469999999999996</v>
      </c>
      <c r="BI352" s="32">
        <v>914.2</v>
      </c>
      <c r="BJ352" s="33"/>
      <c r="BK352" s="197">
        <v>0.88200000000000001</v>
      </c>
      <c r="BL352" s="200">
        <v>28.93</v>
      </c>
      <c r="BM352" s="199">
        <v>881.5</v>
      </c>
      <c r="BN352" s="33"/>
      <c r="BO352" s="37">
        <v>882</v>
      </c>
      <c r="BP352" s="38">
        <v>0.88249999999999995</v>
      </c>
      <c r="BQ352" s="39">
        <v>28.84</v>
      </c>
      <c r="BR352" s="520"/>
    </row>
    <row r="353" spans="37:70">
      <c r="AK353" s="2482"/>
      <c r="BG353" s="30">
        <v>23.3</v>
      </c>
      <c r="BH353" s="31">
        <v>0.91410000000000002</v>
      </c>
      <c r="BI353" s="32">
        <v>913.6</v>
      </c>
      <c r="BJ353" s="33"/>
      <c r="BK353" s="197">
        <v>0.88300000000000001</v>
      </c>
      <c r="BL353" s="200">
        <v>28.75</v>
      </c>
      <c r="BM353" s="199">
        <v>882.5</v>
      </c>
      <c r="BN353" s="33"/>
      <c r="BO353" s="37">
        <v>883</v>
      </c>
      <c r="BP353" s="38">
        <v>0.88349999999999995</v>
      </c>
      <c r="BQ353" s="39">
        <v>28.66</v>
      </c>
      <c r="BR353" s="520"/>
    </row>
    <row r="354" spans="37:70">
      <c r="AK354" s="2482"/>
      <c r="BG354" s="30">
        <v>23.4</v>
      </c>
      <c r="BH354" s="31">
        <v>0.91349999999999998</v>
      </c>
      <c r="BI354" s="32">
        <v>913</v>
      </c>
      <c r="BJ354" s="33"/>
      <c r="BK354" s="197">
        <v>0.88400000000000001</v>
      </c>
      <c r="BL354" s="200">
        <v>28.57</v>
      </c>
      <c r="BM354" s="199">
        <v>883.5</v>
      </c>
      <c r="BN354" s="33"/>
      <c r="BO354" s="37">
        <v>884</v>
      </c>
      <c r="BP354" s="38">
        <v>0.88449999999999995</v>
      </c>
      <c r="BQ354" s="39">
        <v>28.48</v>
      </c>
      <c r="BR354" s="520"/>
    </row>
    <row r="355" spans="37:70">
      <c r="AK355" s="2482"/>
      <c r="BG355" s="30">
        <v>23.5</v>
      </c>
      <c r="BH355" s="31">
        <v>0.91290000000000004</v>
      </c>
      <c r="BI355" s="32">
        <v>912.4</v>
      </c>
      <c r="BJ355" s="33"/>
      <c r="BK355" s="197">
        <v>0.88500000000000001</v>
      </c>
      <c r="BL355" s="200">
        <v>28.39</v>
      </c>
      <c r="BM355" s="199">
        <v>884.5</v>
      </c>
      <c r="BN355" s="33"/>
      <c r="BO355" s="37">
        <v>885</v>
      </c>
      <c r="BP355" s="38">
        <v>0.88549999999999995</v>
      </c>
      <c r="BQ355" s="39">
        <v>28.3</v>
      </c>
      <c r="BR355" s="520"/>
    </row>
    <row r="356" spans="37:70">
      <c r="AK356" s="2482"/>
      <c r="BG356" s="30">
        <v>23.6</v>
      </c>
      <c r="BH356" s="31">
        <v>0.9123</v>
      </c>
      <c r="BI356" s="32">
        <v>911.8</v>
      </c>
      <c r="BJ356" s="33"/>
      <c r="BK356" s="197">
        <v>0.88600000000000001</v>
      </c>
      <c r="BL356" s="200">
        <v>28.21</v>
      </c>
      <c r="BM356" s="199">
        <v>885.5</v>
      </c>
      <c r="BN356" s="33"/>
      <c r="BO356" s="37">
        <v>886</v>
      </c>
      <c r="BP356" s="38">
        <v>0.88649999999999995</v>
      </c>
      <c r="BQ356" s="39">
        <v>28.12</v>
      </c>
      <c r="BR356" s="520"/>
    </row>
    <row r="357" spans="37:70">
      <c r="AK357" s="2482"/>
      <c r="BG357" s="30">
        <v>23.7</v>
      </c>
      <c r="BH357" s="31">
        <v>0.91169999999999995</v>
      </c>
      <c r="BI357" s="32">
        <v>911.2</v>
      </c>
      <c r="BJ357" s="33"/>
      <c r="BK357" s="197">
        <v>0.88700000000000001</v>
      </c>
      <c r="BL357" s="200">
        <v>28.03</v>
      </c>
      <c r="BM357" s="199">
        <v>886.5</v>
      </c>
      <c r="BN357" s="33"/>
      <c r="BO357" s="37">
        <v>887</v>
      </c>
      <c r="BP357" s="38">
        <v>0.88749999999999996</v>
      </c>
      <c r="BQ357" s="39">
        <v>27.94</v>
      </c>
      <c r="BR357" s="520"/>
    </row>
    <row r="358" spans="37:70">
      <c r="AK358" s="2482"/>
      <c r="BG358" s="30">
        <v>23.8</v>
      </c>
      <c r="BH358" s="31">
        <v>0.91110000000000002</v>
      </c>
      <c r="BI358" s="32">
        <v>910.6</v>
      </c>
      <c r="BJ358" s="33"/>
      <c r="BK358" s="197">
        <v>0.88800000000000001</v>
      </c>
      <c r="BL358" s="200">
        <v>27.85</v>
      </c>
      <c r="BM358" s="199">
        <v>887.5</v>
      </c>
      <c r="BN358" s="33"/>
      <c r="BO358" s="37">
        <v>888</v>
      </c>
      <c r="BP358" s="38">
        <v>0.88849999999999996</v>
      </c>
      <c r="BQ358" s="39">
        <v>27.76</v>
      </c>
      <c r="BR358" s="520"/>
    </row>
    <row r="359" spans="37:70">
      <c r="AK359" s="2482"/>
      <c r="BG359" s="30">
        <v>23.9</v>
      </c>
      <c r="BH359" s="31">
        <v>0.91059999999999997</v>
      </c>
      <c r="BI359" s="32">
        <v>910</v>
      </c>
      <c r="BJ359" s="33"/>
      <c r="BK359" s="197">
        <v>0.88900000000000001</v>
      </c>
      <c r="BL359" s="200">
        <v>27.67</v>
      </c>
      <c r="BM359" s="199">
        <v>888.5</v>
      </c>
      <c r="BN359" s="33"/>
      <c r="BO359" s="37">
        <v>889</v>
      </c>
      <c r="BP359" s="38">
        <v>0.88949999999999996</v>
      </c>
      <c r="BQ359" s="39">
        <v>27.58</v>
      </c>
      <c r="BR359" s="520"/>
    </row>
    <row r="360" spans="37:70">
      <c r="AK360" s="2482"/>
      <c r="BG360" s="30">
        <v>24</v>
      </c>
      <c r="BH360" s="31">
        <v>0.91</v>
      </c>
      <c r="BI360" s="32">
        <v>909.5</v>
      </c>
      <c r="BJ360" s="33"/>
      <c r="BK360" s="197">
        <v>0.89</v>
      </c>
      <c r="BL360" s="200">
        <v>27.49</v>
      </c>
      <c r="BM360" s="199">
        <v>889.5</v>
      </c>
      <c r="BN360" s="33"/>
      <c r="BO360" s="37">
        <v>890</v>
      </c>
      <c r="BP360" s="38">
        <v>0.89049999999999996</v>
      </c>
      <c r="BQ360" s="39">
        <v>27.4</v>
      </c>
      <c r="BR360" s="520"/>
    </row>
    <row r="361" spans="37:70">
      <c r="AK361" s="2482"/>
      <c r="BG361" s="30">
        <v>24.1</v>
      </c>
      <c r="BH361" s="31">
        <v>0.90939999999999999</v>
      </c>
      <c r="BI361" s="32">
        <v>908.9</v>
      </c>
      <c r="BJ361" s="33"/>
      <c r="BK361" s="197">
        <v>0.89100000000000001</v>
      </c>
      <c r="BL361" s="200">
        <v>27.31</v>
      </c>
      <c r="BM361" s="199">
        <v>890.5</v>
      </c>
      <c r="BN361" s="33"/>
      <c r="BO361" s="37">
        <v>891</v>
      </c>
      <c r="BP361" s="38">
        <v>0.89149999999999996</v>
      </c>
      <c r="BQ361" s="39">
        <v>27.22</v>
      </c>
      <c r="BR361" s="520"/>
    </row>
    <row r="362" spans="37:70">
      <c r="AK362" s="2482"/>
      <c r="BG362" s="30">
        <v>24.2</v>
      </c>
      <c r="BH362" s="31">
        <v>0.90880000000000005</v>
      </c>
      <c r="BI362" s="32">
        <v>908.3</v>
      </c>
      <c r="BJ362" s="33"/>
      <c r="BK362" s="197">
        <v>0.89200000000000002</v>
      </c>
      <c r="BL362" s="200">
        <v>27.13</v>
      </c>
      <c r="BM362" s="199">
        <v>891.5</v>
      </c>
      <c r="BN362" s="33"/>
      <c r="BO362" s="37">
        <v>892</v>
      </c>
      <c r="BP362" s="38">
        <v>0.89249999999999996</v>
      </c>
      <c r="BQ362" s="39">
        <v>27.04</v>
      </c>
      <c r="BR362" s="520"/>
    </row>
    <row r="363" spans="37:70">
      <c r="AK363" s="2482"/>
      <c r="BG363" s="30">
        <v>24.3</v>
      </c>
      <c r="BH363" s="31">
        <v>0.90820000000000001</v>
      </c>
      <c r="BI363" s="32">
        <v>907.7</v>
      </c>
      <c r="BJ363" s="33"/>
      <c r="BK363" s="197">
        <v>0.89300000000000002</v>
      </c>
      <c r="BL363" s="200">
        <v>26.95</v>
      </c>
      <c r="BM363" s="199">
        <v>892.5</v>
      </c>
      <c r="BN363" s="33"/>
      <c r="BO363" s="37">
        <v>893</v>
      </c>
      <c r="BP363" s="38">
        <v>0.89349999999999996</v>
      </c>
      <c r="BQ363" s="39">
        <v>26.87</v>
      </c>
      <c r="BR363" s="520"/>
    </row>
    <row r="364" spans="37:70">
      <c r="AK364" s="2482"/>
      <c r="BG364" s="30">
        <v>24.4</v>
      </c>
      <c r="BH364" s="31">
        <v>0.90759999999999996</v>
      </c>
      <c r="BI364" s="32">
        <v>907.1</v>
      </c>
      <c r="BJ364" s="33"/>
      <c r="BK364" s="197">
        <v>0.89400000000000002</v>
      </c>
      <c r="BL364" s="200">
        <v>26.78</v>
      </c>
      <c r="BM364" s="199">
        <v>893.5</v>
      </c>
      <c r="BN364" s="33"/>
      <c r="BO364" s="37">
        <v>894</v>
      </c>
      <c r="BP364" s="38">
        <v>0.89449999999999996</v>
      </c>
      <c r="BQ364" s="39">
        <v>26.69</v>
      </c>
      <c r="BR364" s="520"/>
    </row>
    <row r="365" spans="37:70">
      <c r="AK365" s="2482"/>
      <c r="BG365" s="30">
        <v>24.5</v>
      </c>
      <c r="BH365" s="31">
        <v>0.90710000000000002</v>
      </c>
      <c r="BI365" s="32">
        <v>906.5</v>
      </c>
      <c r="BJ365" s="33"/>
      <c r="BK365" s="197">
        <v>0.89500000000000002</v>
      </c>
      <c r="BL365" s="200">
        <v>26.6</v>
      </c>
      <c r="BM365" s="199">
        <v>894.5</v>
      </c>
      <c r="BN365" s="33"/>
      <c r="BO365" s="37">
        <v>895</v>
      </c>
      <c r="BP365" s="38">
        <v>0.89549999999999996</v>
      </c>
      <c r="BQ365" s="39">
        <v>26.51</v>
      </c>
      <c r="BR365" s="520"/>
    </row>
    <row r="366" spans="37:70">
      <c r="AK366" s="2482"/>
      <c r="BG366" s="30">
        <v>24.6</v>
      </c>
      <c r="BH366" s="31">
        <v>0.90649999999999997</v>
      </c>
      <c r="BI366" s="32">
        <v>906</v>
      </c>
      <c r="BJ366" s="33"/>
      <c r="BK366" s="197">
        <v>0.89600000000000002</v>
      </c>
      <c r="BL366" s="200">
        <v>26.42</v>
      </c>
      <c r="BM366" s="199">
        <v>895.5</v>
      </c>
      <c r="BN366" s="33"/>
      <c r="BO366" s="37">
        <v>896</v>
      </c>
      <c r="BP366" s="38">
        <v>0.89649999999999996</v>
      </c>
      <c r="BQ366" s="39">
        <v>26.34</v>
      </c>
      <c r="BR366" s="520"/>
    </row>
    <row r="367" spans="37:70">
      <c r="AK367" s="2482"/>
      <c r="BG367" s="30">
        <v>24.7</v>
      </c>
      <c r="BH367" s="31">
        <v>0.90590000000000004</v>
      </c>
      <c r="BI367" s="32">
        <v>905.4</v>
      </c>
      <c r="BJ367" s="33"/>
      <c r="BK367" s="197">
        <v>0.89700000000000002</v>
      </c>
      <c r="BL367" s="200">
        <v>26.25</v>
      </c>
      <c r="BM367" s="199">
        <v>896.5</v>
      </c>
      <c r="BN367" s="33"/>
      <c r="BO367" s="37">
        <v>897</v>
      </c>
      <c r="BP367" s="38">
        <v>0.89749999999999996</v>
      </c>
      <c r="BQ367" s="39">
        <v>26.16</v>
      </c>
      <c r="BR367" s="520"/>
    </row>
    <row r="368" spans="37:70">
      <c r="AK368" s="2482"/>
      <c r="BG368" s="30">
        <v>24.8</v>
      </c>
      <c r="BH368" s="31">
        <v>0.90529999999999999</v>
      </c>
      <c r="BI368" s="32">
        <v>904.8</v>
      </c>
      <c r="BJ368" s="33"/>
      <c r="BK368" s="197">
        <v>0.89800000000000002</v>
      </c>
      <c r="BL368" s="200">
        <v>26.07</v>
      </c>
      <c r="BM368" s="199">
        <v>897.5</v>
      </c>
      <c r="BN368" s="33"/>
      <c r="BO368" s="37">
        <v>898</v>
      </c>
      <c r="BP368" s="38">
        <v>0.89849999999999997</v>
      </c>
      <c r="BQ368" s="39">
        <v>25.98</v>
      </c>
      <c r="BR368" s="520"/>
    </row>
    <row r="369" spans="37:70">
      <c r="AK369" s="2482"/>
      <c r="BG369" s="30">
        <v>24.9</v>
      </c>
      <c r="BH369" s="31">
        <v>0.90469999999999995</v>
      </c>
      <c r="BI369" s="32">
        <v>904.2</v>
      </c>
      <c r="BJ369" s="33"/>
      <c r="BK369" s="197">
        <v>0.89900000000000002</v>
      </c>
      <c r="BL369" s="200">
        <v>25.9</v>
      </c>
      <c r="BM369" s="199">
        <v>898.5</v>
      </c>
      <c r="BN369" s="33"/>
      <c r="BO369" s="37">
        <v>899</v>
      </c>
      <c r="BP369" s="38">
        <v>0.89949999999999997</v>
      </c>
      <c r="BQ369" s="39">
        <v>25.81</v>
      </c>
      <c r="BR369" s="520"/>
    </row>
    <row r="370" spans="37:70">
      <c r="AK370" s="2482"/>
      <c r="BG370" s="30">
        <v>25</v>
      </c>
      <c r="BH370" s="31">
        <v>0.9042</v>
      </c>
      <c r="BI370" s="32">
        <v>903.6</v>
      </c>
      <c r="BJ370" s="33"/>
      <c r="BK370" s="197">
        <v>0.9</v>
      </c>
      <c r="BL370" s="200">
        <v>25.72</v>
      </c>
      <c r="BM370" s="199">
        <v>899.5</v>
      </c>
      <c r="BN370" s="33"/>
      <c r="BO370" s="37">
        <v>900</v>
      </c>
      <c r="BP370" s="38">
        <v>0.90049999999999997</v>
      </c>
      <c r="BQ370" s="39">
        <v>25.63</v>
      </c>
      <c r="BR370" s="520"/>
    </row>
    <row r="371" spans="37:70">
      <c r="AK371" s="2482"/>
      <c r="BG371" s="30">
        <v>25.1</v>
      </c>
      <c r="BH371" s="31">
        <v>0.90359999999999996</v>
      </c>
      <c r="BI371" s="32">
        <v>903.1</v>
      </c>
      <c r="BJ371" s="33"/>
      <c r="BK371" s="197">
        <v>0.90100000000000002</v>
      </c>
      <c r="BL371" s="200">
        <v>25.55</v>
      </c>
      <c r="BM371" s="199">
        <v>900.5</v>
      </c>
      <c r="BN371" s="33"/>
      <c r="BO371" s="37">
        <v>901</v>
      </c>
      <c r="BP371" s="38">
        <v>0.90149999999999997</v>
      </c>
      <c r="BQ371" s="39">
        <v>25.46</v>
      </c>
      <c r="BR371" s="520"/>
    </row>
    <row r="372" spans="37:70">
      <c r="AK372" s="2482"/>
      <c r="BG372" s="30">
        <v>25.2</v>
      </c>
      <c r="BH372" s="31">
        <v>0.90300000000000002</v>
      </c>
      <c r="BI372" s="32">
        <v>902.5</v>
      </c>
      <c r="BJ372" s="33"/>
      <c r="BK372" s="197">
        <v>0.90200000000000002</v>
      </c>
      <c r="BL372" s="200">
        <v>25.37</v>
      </c>
      <c r="BM372" s="199">
        <v>901.5</v>
      </c>
      <c r="BN372" s="33"/>
      <c r="BO372" s="37">
        <v>902</v>
      </c>
      <c r="BP372" s="38">
        <v>0.90249999999999997</v>
      </c>
      <c r="BQ372" s="39">
        <v>25.29</v>
      </c>
      <c r="BR372" s="520"/>
    </row>
    <row r="373" spans="37:70">
      <c r="AK373" s="2482"/>
      <c r="BG373" s="30">
        <v>25.3</v>
      </c>
      <c r="BH373" s="31">
        <v>0.90239999999999998</v>
      </c>
      <c r="BI373" s="32">
        <v>901.9</v>
      </c>
      <c r="BJ373" s="33"/>
      <c r="BK373" s="197">
        <v>0.90300000000000002</v>
      </c>
      <c r="BL373" s="200">
        <v>25.2</v>
      </c>
      <c r="BM373" s="199">
        <v>902.5</v>
      </c>
      <c r="BN373" s="33"/>
      <c r="BO373" s="37">
        <v>903</v>
      </c>
      <c r="BP373" s="38">
        <v>0.90349999999999997</v>
      </c>
      <c r="BQ373" s="39">
        <v>25.11</v>
      </c>
      <c r="BR373" s="520"/>
    </row>
    <row r="374" spans="37:70">
      <c r="AK374" s="2482"/>
      <c r="BG374" s="30">
        <v>25.4</v>
      </c>
      <c r="BH374" s="31">
        <v>0.90180000000000005</v>
      </c>
      <c r="BI374" s="32">
        <v>901.3</v>
      </c>
      <c r="BJ374" s="33"/>
      <c r="BK374" s="197">
        <v>0.90400000000000003</v>
      </c>
      <c r="BL374" s="200">
        <v>25.03</v>
      </c>
      <c r="BM374" s="199">
        <v>903.5</v>
      </c>
      <c r="BN374" s="33"/>
      <c r="BO374" s="37">
        <v>904</v>
      </c>
      <c r="BP374" s="38">
        <v>0.90449999999999997</v>
      </c>
      <c r="BQ374" s="39">
        <v>24.94</v>
      </c>
      <c r="BR374" s="520"/>
    </row>
    <row r="375" spans="37:70">
      <c r="AK375" s="2482"/>
      <c r="BG375" s="30">
        <v>25.5</v>
      </c>
      <c r="BH375" s="31">
        <v>0.90129999999999999</v>
      </c>
      <c r="BI375" s="32">
        <v>900.8</v>
      </c>
      <c r="BJ375" s="33"/>
      <c r="BK375" s="197">
        <v>0.90500000000000003</v>
      </c>
      <c r="BL375" s="200">
        <v>24.85</v>
      </c>
      <c r="BM375" s="199">
        <v>904.5</v>
      </c>
      <c r="BN375" s="33"/>
      <c r="BO375" s="37">
        <v>905</v>
      </c>
      <c r="BP375" s="38">
        <v>0.90549999999999997</v>
      </c>
      <c r="BQ375" s="39">
        <v>24.77</v>
      </c>
      <c r="BR375" s="520"/>
    </row>
    <row r="376" spans="37:70">
      <c r="AK376" s="2482"/>
      <c r="BG376" s="30">
        <v>25.6</v>
      </c>
      <c r="BH376" s="31">
        <v>0.90069999999999995</v>
      </c>
      <c r="BI376" s="32">
        <v>900.2</v>
      </c>
      <c r="BJ376" s="33"/>
      <c r="BK376" s="197">
        <v>0.90600000000000003</v>
      </c>
      <c r="BL376" s="200">
        <v>24.68</v>
      </c>
      <c r="BM376" s="199">
        <v>905.5</v>
      </c>
      <c r="BN376" s="33"/>
      <c r="BO376" s="37">
        <v>906</v>
      </c>
      <c r="BP376" s="38">
        <v>0.90649999999999997</v>
      </c>
      <c r="BQ376" s="39">
        <v>24.59</v>
      </c>
      <c r="BR376" s="520"/>
    </row>
    <row r="377" spans="37:70">
      <c r="AK377" s="2482"/>
      <c r="BG377" s="30">
        <v>25.7</v>
      </c>
      <c r="BH377" s="31">
        <v>0.90010000000000001</v>
      </c>
      <c r="BI377" s="32">
        <v>899.6</v>
      </c>
      <c r="BJ377" s="33"/>
      <c r="BK377" s="197">
        <v>0.90700000000000003</v>
      </c>
      <c r="BL377" s="200">
        <v>24.51</v>
      </c>
      <c r="BM377" s="199">
        <v>906.5</v>
      </c>
      <c r="BN377" s="33"/>
      <c r="BO377" s="37">
        <v>907</v>
      </c>
      <c r="BP377" s="38">
        <v>0.90749999999999997</v>
      </c>
      <c r="BQ377" s="39">
        <v>24.42</v>
      </c>
      <c r="BR377" s="520"/>
    </row>
    <row r="378" spans="37:70">
      <c r="AK378" s="2482"/>
      <c r="BG378" s="30">
        <v>25.8</v>
      </c>
      <c r="BH378" s="31">
        <v>0.89959999999999996</v>
      </c>
      <c r="BI378" s="32">
        <v>899.1</v>
      </c>
      <c r="BJ378" s="33"/>
      <c r="BK378" s="197">
        <v>0.90800000000000003</v>
      </c>
      <c r="BL378" s="200">
        <v>24.34</v>
      </c>
      <c r="BM378" s="199">
        <v>907.5</v>
      </c>
      <c r="BN378" s="33"/>
      <c r="BO378" s="37">
        <v>908</v>
      </c>
      <c r="BP378" s="38">
        <v>0.90849999999999997</v>
      </c>
      <c r="BQ378" s="39">
        <v>24.25</v>
      </c>
      <c r="BR378" s="520"/>
    </row>
    <row r="379" spans="37:70">
      <c r="AK379" s="2482"/>
      <c r="BG379" s="30">
        <v>25.9</v>
      </c>
      <c r="BH379" s="31">
        <v>0.89900000000000002</v>
      </c>
      <c r="BI379" s="32">
        <v>898.5</v>
      </c>
      <c r="BJ379" s="33"/>
      <c r="BK379" s="197">
        <v>0.90900000000000003</v>
      </c>
      <c r="BL379" s="200">
        <v>24.17</v>
      </c>
      <c r="BM379" s="199">
        <v>908.5</v>
      </c>
      <c r="BN379" s="33"/>
      <c r="BO379" s="37">
        <v>909</v>
      </c>
      <c r="BP379" s="38">
        <v>0.90949999999999998</v>
      </c>
      <c r="BQ379" s="39">
        <v>24.08</v>
      </c>
      <c r="BR379" s="520"/>
    </row>
    <row r="380" spans="37:70">
      <c r="AK380" s="2482"/>
      <c r="BG380" s="30">
        <v>26</v>
      </c>
      <c r="BH380" s="31">
        <v>0.89839999999999998</v>
      </c>
      <c r="BI380" s="32">
        <v>897.9</v>
      </c>
      <c r="BJ380" s="33"/>
      <c r="BK380" s="197">
        <v>0.91</v>
      </c>
      <c r="BL380" s="200">
        <v>23.99</v>
      </c>
      <c r="BM380" s="199">
        <v>909.5</v>
      </c>
      <c r="BN380" s="33"/>
      <c r="BO380" s="37">
        <v>910</v>
      </c>
      <c r="BP380" s="38">
        <v>0.91049999999999998</v>
      </c>
      <c r="BQ380" s="39">
        <v>23.91</v>
      </c>
      <c r="BR380" s="520"/>
    </row>
    <row r="381" spans="37:70">
      <c r="AK381" s="2482"/>
      <c r="BG381" s="30">
        <v>26.1</v>
      </c>
      <c r="BH381" s="31">
        <v>0.89780000000000004</v>
      </c>
      <c r="BI381" s="32">
        <v>897.3</v>
      </c>
      <c r="BJ381" s="33"/>
      <c r="BK381" s="197">
        <v>0.91100000000000003</v>
      </c>
      <c r="BL381" s="200">
        <v>23.82</v>
      </c>
      <c r="BM381" s="199">
        <v>910.5</v>
      </c>
      <c r="BN381" s="33"/>
      <c r="BO381" s="37">
        <v>911</v>
      </c>
      <c r="BP381" s="38">
        <v>0.91149999999999998</v>
      </c>
      <c r="BQ381" s="39">
        <v>23.74</v>
      </c>
      <c r="BR381" s="520"/>
    </row>
    <row r="382" spans="37:70">
      <c r="AK382" s="2482"/>
      <c r="BG382" s="30">
        <v>26.2</v>
      </c>
      <c r="BH382" s="31">
        <v>0.89729999999999999</v>
      </c>
      <c r="BI382" s="32">
        <v>896.8</v>
      </c>
      <c r="BJ382" s="33"/>
      <c r="BK382" s="197">
        <v>0.91200000000000003</v>
      </c>
      <c r="BL382" s="200">
        <v>23.65</v>
      </c>
      <c r="BM382" s="199">
        <v>911.5</v>
      </c>
      <c r="BN382" s="33"/>
      <c r="BO382" s="37">
        <v>912</v>
      </c>
      <c r="BP382" s="38">
        <v>0.91249999999999998</v>
      </c>
      <c r="BQ382" s="39">
        <v>23.57</v>
      </c>
      <c r="BR382" s="520"/>
    </row>
    <row r="383" spans="37:70">
      <c r="AK383" s="2482"/>
      <c r="BG383" s="30">
        <v>26.3</v>
      </c>
      <c r="BH383" s="31">
        <v>0.89670000000000005</v>
      </c>
      <c r="BI383" s="32">
        <v>896.2</v>
      </c>
      <c r="BJ383" s="33"/>
      <c r="BK383" s="197">
        <v>0.91300000000000003</v>
      </c>
      <c r="BL383" s="200">
        <v>23.48</v>
      </c>
      <c r="BM383" s="199">
        <v>912.5</v>
      </c>
      <c r="BN383" s="33"/>
      <c r="BO383" s="37">
        <v>913</v>
      </c>
      <c r="BP383" s="38">
        <v>0.91349999999999998</v>
      </c>
      <c r="BQ383" s="39">
        <v>23.4</v>
      </c>
      <c r="BR383" s="520"/>
    </row>
    <row r="384" spans="37:70">
      <c r="AK384" s="2482"/>
      <c r="BG384" s="30">
        <v>26.4</v>
      </c>
      <c r="BH384" s="31">
        <v>0.89610000000000001</v>
      </c>
      <c r="BI384" s="32">
        <v>895.6</v>
      </c>
      <c r="BJ384" s="33"/>
      <c r="BK384" s="197">
        <v>0.91400000000000003</v>
      </c>
      <c r="BL384" s="200">
        <v>23.31</v>
      </c>
      <c r="BM384" s="199">
        <v>913.5</v>
      </c>
      <c r="BN384" s="33"/>
      <c r="BO384" s="37">
        <v>914</v>
      </c>
      <c r="BP384" s="38">
        <v>0.91449999999999998</v>
      </c>
      <c r="BQ384" s="39">
        <v>23.23</v>
      </c>
      <c r="BR384" s="520"/>
    </row>
    <row r="385" spans="37:70">
      <c r="AK385" s="2482"/>
      <c r="BG385" s="30">
        <v>26.5</v>
      </c>
      <c r="BH385" s="31">
        <v>0.89559999999999995</v>
      </c>
      <c r="BI385" s="32">
        <v>895.1</v>
      </c>
      <c r="BJ385" s="33"/>
      <c r="BK385" s="197">
        <v>0.91500000000000004</v>
      </c>
      <c r="BL385" s="200">
        <v>23.14</v>
      </c>
      <c r="BM385" s="199">
        <v>914.5</v>
      </c>
      <c r="BN385" s="33"/>
      <c r="BO385" s="37">
        <v>915</v>
      </c>
      <c r="BP385" s="38">
        <v>0.91549999999999998</v>
      </c>
      <c r="BQ385" s="39">
        <v>23.06</v>
      </c>
      <c r="BR385" s="520"/>
    </row>
    <row r="386" spans="37:70">
      <c r="AK386" s="2482"/>
      <c r="BG386" s="30">
        <v>26.6</v>
      </c>
      <c r="BH386" s="31">
        <v>0.89500000000000002</v>
      </c>
      <c r="BI386" s="32">
        <v>894.5</v>
      </c>
      <c r="BJ386" s="33"/>
      <c r="BK386" s="197">
        <v>0.91600000000000004</v>
      </c>
      <c r="BL386" s="200">
        <v>22.98</v>
      </c>
      <c r="BM386" s="199">
        <v>915.5</v>
      </c>
      <c r="BN386" s="33"/>
      <c r="BO386" s="37">
        <v>916</v>
      </c>
      <c r="BP386" s="38">
        <v>0.91649999999999998</v>
      </c>
      <c r="BQ386" s="39">
        <v>22.89</v>
      </c>
      <c r="BR386" s="520"/>
    </row>
    <row r="387" spans="37:70">
      <c r="AK387" s="2482"/>
      <c r="BG387" s="30">
        <v>26.7</v>
      </c>
      <c r="BH387" s="31">
        <v>0.89439999999999997</v>
      </c>
      <c r="BI387" s="32">
        <v>893.9</v>
      </c>
      <c r="BJ387" s="33"/>
      <c r="BK387" s="197">
        <v>0.91700000000000004</v>
      </c>
      <c r="BL387" s="200">
        <v>22.81</v>
      </c>
      <c r="BM387" s="199">
        <v>916.5</v>
      </c>
      <c r="BN387" s="33"/>
      <c r="BO387" s="37">
        <v>917</v>
      </c>
      <c r="BP387" s="38">
        <v>0.91749999999999998</v>
      </c>
      <c r="BQ387" s="39">
        <v>22.72</v>
      </c>
      <c r="BR387" s="520"/>
    </row>
    <row r="388" spans="37:70">
      <c r="AK388" s="2482"/>
      <c r="BG388" s="30">
        <v>26.8</v>
      </c>
      <c r="BH388" s="31">
        <v>0.89390000000000003</v>
      </c>
      <c r="BI388" s="32">
        <v>893.4</v>
      </c>
      <c r="BJ388" s="33"/>
      <c r="BK388" s="197">
        <v>0.91800000000000004</v>
      </c>
      <c r="BL388" s="200">
        <v>22.64</v>
      </c>
      <c r="BM388" s="199">
        <v>917.5</v>
      </c>
      <c r="BN388" s="33"/>
      <c r="BO388" s="37">
        <v>918</v>
      </c>
      <c r="BP388" s="38">
        <v>0.91849999999999998</v>
      </c>
      <c r="BQ388" s="39">
        <v>22.55</v>
      </c>
      <c r="BR388" s="520"/>
    </row>
    <row r="389" spans="37:70">
      <c r="AK389" s="2482"/>
      <c r="BG389" s="30">
        <v>26.9</v>
      </c>
      <c r="BH389" s="31">
        <v>0.89329999999999998</v>
      </c>
      <c r="BI389" s="32">
        <v>892.8</v>
      </c>
      <c r="BJ389" s="33"/>
      <c r="BK389" s="197">
        <v>0.91900000000000004</v>
      </c>
      <c r="BL389" s="200">
        <v>22.47</v>
      </c>
      <c r="BM389" s="199">
        <v>918.5</v>
      </c>
      <c r="BN389" s="33"/>
      <c r="BO389" s="37">
        <v>919</v>
      </c>
      <c r="BP389" s="38">
        <v>0.91949999999999998</v>
      </c>
      <c r="BQ389" s="39">
        <v>22.38</v>
      </c>
      <c r="BR389" s="520"/>
    </row>
    <row r="390" spans="37:70">
      <c r="AK390" s="2482"/>
      <c r="BG390" s="30">
        <v>27</v>
      </c>
      <c r="BH390" s="31">
        <v>0.89270000000000005</v>
      </c>
      <c r="BI390" s="32">
        <v>892.2</v>
      </c>
      <c r="BJ390" s="33"/>
      <c r="BK390" s="197">
        <v>0.92</v>
      </c>
      <c r="BL390" s="200">
        <v>22.3</v>
      </c>
      <c r="BM390" s="199">
        <v>919.5</v>
      </c>
      <c r="BN390" s="33"/>
      <c r="BO390" s="37">
        <v>920</v>
      </c>
      <c r="BP390" s="38">
        <v>0.92049999999999998</v>
      </c>
      <c r="BQ390" s="39">
        <v>22.22</v>
      </c>
      <c r="BR390" s="520"/>
    </row>
    <row r="391" spans="37:70">
      <c r="AK391" s="2482"/>
      <c r="BG391" s="30">
        <v>27.1</v>
      </c>
      <c r="BH391" s="31">
        <v>0.89219999999999999</v>
      </c>
      <c r="BI391" s="32">
        <v>891.7</v>
      </c>
      <c r="BJ391" s="33"/>
      <c r="BK391" s="197">
        <v>0.92100000000000004</v>
      </c>
      <c r="BL391" s="200">
        <v>22.14</v>
      </c>
      <c r="BM391" s="199">
        <v>920.5</v>
      </c>
      <c r="BN391" s="33"/>
      <c r="BO391" s="37">
        <v>921</v>
      </c>
      <c r="BP391" s="38">
        <v>0.92149999999999999</v>
      </c>
      <c r="BQ391" s="39">
        <v>22.05</v>
      </c>
      <c r="BR391" s="520"/>
    </row>
    <row r="392" spans="37:70">
      <c r="AK392" s="2482"/>
      <c r="BG392" s="30">
        <v>27.2</v>
      </c>
      <c r="BH392" s="31">
        <v>0.89159999999999995</v>
      </c>
      <c r="BI392" s="32">
        <v>891.1</v>
      </c>
      <c r="BJ392" s="33"/>
      <c r="BK392" s="197">
        <v>0.92200000000000004</v>
      </c>
      <c r="BL392" s="200">
        <v>21.97</v>
      </c>
      <c r="BM392" s="199">
        <v>921.5</v>
      </c>
      <c r="BN392" s="33"/>
      <c r="BO392" s="37">
        <v>922</v>
      </c>
      <c r="BP392" s="38">
        <v>0.92249999999999999</v>
      </c>
      <c r="BQ392" s="39">
        <v>21.88</v>
      </c>
      <c r="BR392" s="520"/>
    </row>
    <row r="393" spans="37:70">
      <c r="AK393" s="2482"/>
      <c r="BG393" s="30">
        <v>27.3</v>
      </c>
      <c r="BH393" s="31">
        <v>0.8911</v>
      </c>
      <c r="BI393" s="32">
        <v>890.6</v>
      </c>
      <c r="BJ393" s="33"/>
      <c r="BK393" s="197">
        <v>0.92300000000000004</v>
      </c>
      <c r="BL393" s="200">
        <v>21.8</v>
      </c>
      <c r="BM393" s="199">
        <v>922.5</v>
      </c>
      <c r="BN393" s="33"/>
      <c r="BO393" s="37">
        <v>923</v>
      </c>
      <c r="BP393" s="38">
        <v>0.92349999999999999</v>
      </c>
      <c r="BQ393" s="39">
        <v>21.72</v>
      </c>
      <c r="BR393" s="520"/>
    </row>
    <row r="394" spans="37:70">
      <c r="AK394" s="2482"/>
      <c r="BG394" s="30">
        <v>27.4</v>
      </c>
      <c r="BH394" s="31">
        <v>0.89049999999999996</v>
      </c>
      <c r="BI394" s="32">
        <v>890</v>
      </c>
      <c r="BJ394" s="33"/>
      <c r="BK394" s="197">
        <v>0.92400000000000004</v>
      </c>
      <c r="BL394" s="200">
        <v>21.64</v>
      </c>
      <c r="BM394" s="199">
        <v>923.5</v>
      </c>
      <c r="BN394" s="33"/>
      <c r="BO394" s="37">
        <v>924</v>
      </c>
      <c r="BP394" s="38">
        <v>0.92449999999999999</v>
      </c>
      <c r="BQ394" s="39">
        <v>21.55</v>
      </c>
      <c r="BR394" s="520"/>
    </row>
    <row r="395" spans="37:70">
      <c r="AK395" s="2482"/>
      <c r="BG395" s="30">
        <v>27.5</v>
      </c>
      <c r="BH395" s="31">
        <v>0.88990000000000002</v>
      </c>
      <c r="BI395" s="32">
        <v>889.4</v>
      </c>
      <c r="BJ395" s="33"/>
      <c r="BK395" s="197">
        <v>0.92500000000000004</v>
      </c>
      <c r="BL395" s="200">
        <v>21.47</v>
      </c>
      <c r="BM395" s="199">
        <v>924.5</v>
      </c>
      <c r="BN395" s="33"/>
      <c r="BO395" s="37">
        <v>925</v>
      </c>
      <c r="BP395" s="38">
        <v>0.92549999999999999</v>
      </c>
      <c r="BQ395" s="39">
        <v>21.39</v>
      </c>
      <c r="BR395" s="520"/>
    </row>
    <row r="396" spans="37:70">
      <c r="AK396" s="2482"/>
      <c r="BG396" s="30">
        <v>27.6</v>
      </c>
      <c r="BH396" s="31">
        <v>0.88939999999999997</v>
      </c>
      <c r="BI396" s="32">
        <v>888.9</v>
      </c>
      <c r="BJ396" s="33"/>
      <c r="BK396" s="197">
        <v>0.92600000000000005</v>
      </c>
      <c r="BL396" s="200">
        <v>21.31</v>
      </c>
      <c r="BM396" s="199">
        <v>925.5</v>
      </c>
      <c r="BN396" s="33"/>
      <c r="BO396" s="37">
        <v>926</v>
      </c>
      <c r="BP396" s="38">
        <v>0.92649999999999999</v>
      </c>
      <c r="BQ396" s="39">
        <v>21.22</v>
      </c>
      <c r="BR396" s="520"/>
    </row>
    <row r="397" spans="37:70">
      <c r="AK397" s="2482"/>
      <c r="BG397" s="30">
        <v>27.7</v>
      </c>
      <c r="BH397" s="31">
        <v>0.88880000000000003</v>
      </c>
      <c r="BI397" s="32">
        <v>888.3</v>
      </c>
      <c r="BJ397" s="33"/>
      <c r="BK397" s="197">
        <v>0.92700000000000005</v>
      </c>
      <c r="BL397" s="200">
        <v>21.14</v>
      </c>
      <c r="BM397" s="199">
        <v>926.5</v>
      </c>
      <c r="BN397" s="33"/>
      <c r="BO397" s="37">
        <v>927</v>
      </c>
      <c r="BP397" s="38">
        <v>0.92749999999999999</v>
      </c>
      <c r="BQ397" s="39">
        <v>21.06</v>
      </c>
      <c r="BR397" s="520"/>
    </row>
    <row r="398" spans="37:70">
      <c r="AK398" s="2482"/>
      <c r="BG398" s="30">
        <v>27.8</v>
      </c>
      <c r="BH398" s="31">
        <v>0.88829999999999998</v>
      </c>
      <c r="BI398" s="32">
        <v>887.8</v>
      </c>
      <c r="BJ398" s="33"/>
      <c r="BK398" s="197">
        <v>0.92800000000000005</v>
      </c>
      <c r="BL398" s="200">
        <v>20.98</v>
      </c>
      <c r="BM398" s="199">
        <v>927.5</v>
      </c>
      <c r="BN398" s="33"/>
      <c r="BO398" s="37">
        <v>928</v>
      </c>
      <c r="BP398" s="38">
        <v>0.92849999999999999</v>
      </c>
      <c r="BQ398" s="39">
        <v>20.89</v>
      </c>
      <c r="BR398" s="520"/>
    </row>
    <row r="399" spans="37:70">
      <c r="AK399" s="2482"/>
      <c r="BG399" s="30">
        <v>27.9</v>
      </c>
      <c r="BH399" s="31">
        <v>0.88770000000000004</v>
      </c>
      <c r="BI399" s="32">
        <v>887.2</v>
      </c>
      <c r="BJ399" s="33"/>
      <c r="BK399" s="197">
        <v>0.92900000000000005</v>
      </c>
      <c r="BL399" s="200">
        <v>20.81</v>
      </c>
      <c r="BM399" s="199">
        <v>928.5</v>
      </c>
      <c r="BN399" s="33"/>
      <c r="BO399" s="37">
        <v>929</v>
      </c>
      <c r="BP399" s="38">
        <v>0.92949999999999999</v>
      </c>
      <c r="BQ399" s="39">
        <v>20.73</v>
      </c>
      <c r="BR399" s="520"/>
    </row>
    <row r="400" spans="37:70">
      <c r="AK400" s="2482"/>
      <c r="BG400" s="30">
        <v>28</v>
      </c>
      <c r="BH400" s="31">
        <v>0.8871</v>
      </c>
      <c r="BI400" s="32">
        <v>886.7</v>
      </c>
      <c r="BJ400" s="33"/>
      <c r="BK400" s="197">
        <v>0.93</v>
      </c>
      <c r="BL400" s="200">
        <v>20.65</v>
      </c>
      <c r="BM400" s="199">
        <v>929.5</v>
      </c>
      <c r="BN400" s="33"/>
      <c r="BO400" s="37">
        <v>930</v>
      </c>
      <c r="BP400" s="38">
        <v>0.93049999999999999</v>
      </c>
      <c r="BQ400" s="39">
        <v>20.56</v>
      </c>
      <c r="BR400" s="520"/>
    </row>
    <row r="401" spans="37:70">
      <c r="AK401" s="2482"/>
      <c r="BG401" s="30">
        <v>28.1</v>
      </c>
      <c r="BH401" s="31">
        <v>0.88660000000000005</v>
      </c>
      <c r="BI401" s="32">
        <v>886.1</v>
      </c>
      <c r="BJ401" s="33"/>
      <c r="BK401" s="197">
        <v>0.93100000000000005</v>
      </c>
      <c r="BL401" s="200">
        <v>20.49</v>
      </c>
      <c r="BM401" s="199">
        <v>930.5</v>
      </c>
      <c r="BN401" s="33"/>
      <c r="BO401" s="37">
        <v>931</v>
      </c>
      <c r="BP401" s="38">
        <v>0.93149999999999999</v>
      </c>
      <c r="BQ401" s="39">
        <v>20.399999999999999</v>
      </c>
      <c r="BR401" s="520"/>
    </row>
    <row r="402" spans="37:70">
      <c r="AK402" s="2482"/>
      <c r="BG402" s="30">
        <v>28.2</v>
      </c>
      <c r="BH402" s="31">
        <v>0.88600000000000001</v>
      </c>
      <c r="BI402" s="32">
        <v>885.5</v>
      </c>
      <c r="BJ402" s="33"/>
      <c r="BK402" s="197">
        <v>0.93200000000000005</v>
      </c>
      <c r="BL402" s="200">
        <v>20.32</v>
      </c>
      <c r="BM402" s="199">
        <v>931.5</v>
      </c>
      <c r="BN402" s="33"/>
      <c r="BO402" s="37">
        <v>932</v>
      </c>
      <c r="BP402" s="38">
        <v>0.9325</v>
      </c>
      <c r="BQ402" s="39">
        <v>20.239999999999998</v>
      </c>
      <c r="BR402" s="520"/>
    </row>
    <row r="403" spans="37:70">
      <c r="AK403" s="2482"/>
      <c r="BG403" s="30">
        <v>28.3</v>
      </c>
      <c r="BH403" s="31">
        <v>0.88549999999999995</v>
      </c>
      <c r="BI403" s="32">
        <v>885</v>
      </c>
      <c r="BJ403" s="33"/>
      <c r="BK403" s="197">
        <v>0.93300000000000005</v>
      </c>
      <c r="BL403" s="200">
        <v>20.16</v>
      </c>
      <c r="BM403" s="199">
        <v>932.5</v>
      </c>
      <c r="BN403" s="33"/>
      <c r="BO403" s="37">
        <v>933</v>
      </c>
      <c r="BP403" s="38">
        <v>0.9335</v>
      </c>
      <c r="BQ403" s="39">
        <v>20.07</v>
      </c>
      <c r="BR403" s="520"/>
    </row>
    <row r="404" spans="37:70">
      <c r="AK404" s="2482"/>
      <c r="BG404" s="30">
        <v>28.4</v>
      </c>
      <c r="BH404" s="31">
        <v>0.88490000000000002</v>
      </c>
      <c r="BI404" s="32">
        <v>884.4</v>
      </c>
      <c r="BJ404" s="33"/>
      <c r="BK404" s="197">
        <v>0.93400000000000005</v>
      </c>
      <c r="BL404" s="200">
        <v>20</v>
      </c>
      <c r="BM404" s="199">
        <v>933.5</v>
      </c>
      <c r="BN404" s="33"/>
      <c r="BO404" s="37">
        <v>934</v>
      </c>
      <c r="BP404" s="38">
        <v>0.9345</v>
      </c>
      <c r="BQ404" s="39">
        <v>19.91</v>
      </c>
      <c r="BR404" s="520"/>
    </row>
    <row r="405" spans="37:70">
      <c r="AK405" s="2482"/>
      <c r="BG405" s="30">
        <v>28.5</v>
      </c>
      <c r="BH405" s="31">
        <v>0.88439999999999996</v>
      </c>
      <c r="BI405" s="32">
        <v>883.9</v>
      </c>
      <c r="BJ405" s="33"/>
      <c r="BK405" s="197">
        <v>0.93500000000000005</v>
      </c>
      <c r="BL405" s="200">
        <v>19.84</v>
      </c>
      <c r="BM405" s="199">
        <v>934.5</v>
      </c>
      <c r="BN405" s="33"/>
      <c r="BO405" s="37">
        <v>935</v>
      </c>
      <c r="BP405" s="38">
        <v>0.9355</v>
      </c>
      <c r="BQ405" s="39">
        <v>19.75</v>
      </c>
      <c r="BR405" s="520"/>
    </row>
    <row r="406" spans="37:70">
      <c r="AK406" s="2482"/>
      <c r="BG406" s="30">
        <v>28.6</v>
      </c>
      <c r="BH406" s="31">
        <v>0.88380000000000003</v>
      </c>
      <c r="BI406" s="32">
        <v>883.3</v>
      </c>
      <c r="BJ406" s="33"/>
      <c r="BK406" s="197">
        <v>0.93600000000000005</v>
      </c>
      <c r="BL406" s="200">
        <v>19.68</v>
      </c>
      <c r="BM406" s="199">
        <v>935.5</v>
      </c>
      <c r="BN406" s="33"/>
      <c r="BO406" s="37">
        <v>936</v>
      </c>
      <c r="BP406" s="38">
        <v>0.9365</v>
      </c>
      <c r="BQ406" s="39">
        <v>19.59</v>
      </c>
      <c r="BR406" s="520"/>
    </row>
    <row r="407" spans="37:70">
      <c r="AK407" s="2482"/>
      <c r="BG407" s="30">
        <v>28.7</v>
      </c>
      <c r="BH407" s="31">
        <v>0.88329999999999997</v>
      </c>
      <c r="BI407" s="32">
        <v>882.8</v>
      </c>
      <c r="BJ407" s="33"/>
      <c r="BK407" s="197">
        <v>0.93700000000000006</v>
      </c>
      <c r="BL407" s="200">
        <v>19.510000000000002</v>
      </c>
      <c r="BM407" s="199">
        <v>936.5</v>
      </c>
      <c r="BN407" s="33"/>
      <c r="BO407" s="37">
        <v>937</v>
      </c>
      <c r="BP407" s="38">
        <v>0.9375</v>
      </c>
      <c r="BQ407" s="39">
        <v>19.43</v>
      </c>
      <c r="BR407" s="520"/>
    </row>
    <row r="408" spans="37:70">
      <c r="AK408" s="2482"/>
      <c r="BG408" s="30">
        <v>28.8</v>
      </c>
      <c r="BH408" s="31">
        <v>0.88270000000000004</v>
      </c>
      <c r="BI408" s="32">
        <v>882.2</v>
      </c>
      <c r="BJ408" s="33"/>
      <c r="BK408" s="197">
        <v>0.93799999999999994</v>
      </c>
      <c r="BL408" s="200">
        <v>19.350000000000001</v>
      </c>
      <c r="BM408" s="199">
        <v>937.5</v>
      </c>
      <c r="BN408" s="33"/>
      <c r="BO408" s="37">
        <v>938</v>
      </c>
      <c r="BP408" s="38">
        <v>0.9385</v>
      </c>
      <c r="BQ408" s="39">
        <v>19.27</v>
      </c>
      <c r="BR408" s="520"/>
    </row>
    <row r="409" spans="37:70">
      <c r="AK409" s="2482"/>
      <c r="BG409" s="30">
        <v>28.9</v>
      </c>
      <c r="BH409" s="31">
        <v>0.88219999999999998</v>
      </c>
      <c r="BI409" s="32">
        <v>881.7</v>
      </c>
      <c r="BJ409" s="33"/>
      <c r="BK409" s="197">
        <v>0.93899999999999995</v>
      </c>
      <c r="BL409" s="200">
        <v>19.190000000000001</v>
      </c>
      <c r="BM409" s="199">
        <v>938.5</v>
      </c>
      <c r="BN409" s="33"/>
      <c r="BO409" s="37">
        <v>939</v>
      </c>
      <c r="BP409" s="38">
        <v>0.9395</v>
      </c>
      <c r="BQ409" s="39">
        <v>19.100000000000001</v>
      </c>
      <c r="BR409" s="520"/>
    </row>
    <row r="410" spans="37:70">
      <c r="AK410" s="2482"/>
      <c r="BG410" s="30">
        <v>29</v>
      </c>
      <c r="BH410" s="31">
        <v>0.88160000000000005</v>
      </c>
      <c r="BI410" s="32">
        <v>881.1</v>
      </c>
      <c r="BJ410" s="33"/>
      <c r="BK410" s="197">
        <v>0.94</v>
      </c>
      <c r="BL410" s="200">
        <v>19.03</v>
      </c>
      <c r="BM410" s="199">
        <v>939.5</v>
      </c>
      <c r="BN410" s="33"/>
      <c r="BO410" s="37">
        <v>940</v>
      </c>
      <c r="BP410" s="38">
        <v>0.9405</v>
      </c>
      <c r="BQ410" s="39">
        <v>18.940000000000001</v>
      </c>
      <c r="BR410" s="520"/>
    </row>
    <row r="411" spans="37:70">
      <c r="AK411" s="2482"/>
      <c r="BG411" s="30">
        <v>29.1</v>
      </c>
      <c r="BH411" s="31">
        <v>0.88109999999999999</v>
      </c>
      <c r="BI411" s="32">
        <v>880.6</v>
      </c>
      <c r="BJ411" s="33"/>
      <c r="BK411" s="197">
        <v>0.94099999999999995</v>
      </c>
      <c r="BL411" s="200">
        <v>18.87</v>
      </c>
      <c r="BM411" s="199">
        <v>940.5</v>
      </c>
      <c r="BN411" s="33"/>
      <c r="BO411" s="37">
        <v>941</v>
      </c>
      <c r="BP411" s="38">
        <v>0.9415</v>
      </c>
      <c r="BQ411" s="39">
        <v>18.78</v>
      </c>
      <c r="BR411" s="520"/>
    </row>
    <row r="412" spans="37:70">
      <c r="AK412" s="2482"/>
      <c r="BG412" s="30">
        <v>29.2</v>
      </c>
      <c r="BH412" s="31">
        <v>0.88049999999999995</v>
      </c>
      <c r="BI412" s="32">
        <v>880</v>
      </c>
      <c r="BJ412" s="33"/>
      <c r="BK412" s="197">
        <v>0.94199999999999995</v>
      </c>
      <c r="BL412" s="200">
        <v>18.71</v>
      </c>
      <c r="BM412" s="199">
        <v>941.4</v>
      </c>
      <c r="BN412" s="33"/>
      <c r="BO412" s="37">
        <v>942</v>
      </c>
      <c r="BP412" s="38">
        <v>0.94259999999999999</v>
      </c>
      <c r="BQ412" s="39">
        <v>18.62</v>
      </c>
      <c r="BR412" s="520"/>
    </row>
    <row r="413" spans="37:70">
      <c r="AK413" s="2482"/>
      <c r="BG413" s="30">
        <v>29.3</v>
      </c>
      <c r="BH413" s="31">
        <v>0.88</v>
      </c>
      <c r="BI413" s="32">
        <v>879.5</v>
      </c>
      <c r="BJ413" s="33"/>
      <c r="BK413" s="197">
        <v>0.94299999999999995</v>
      </c>
      <c r="BL413" s="200">
        <v>18.55</v>
      </c>
      <c r="BM413" s="199">
        <v>942.4</v>
      </c>
      <c r="BN413" s="33"/>
      <c r="BO413" s="37">
        <v>943</v>
      </c>
      <c r="BP413" s="38">
        <v>0.94359999999999999</v>
      </c>
      <c r="BQ413" s="39">
        <v>18.47</v>
      </c>
      <c r="BR413" s="520"/>
    </row>
    <row r="414" spans="37:70">
      <c r="AK414" s="2482"/>
      <c r="BG414" s="30">
        <v>29.4</v>
      </c>
      <c r="BH414" s="31">
        <v>0.87939999999999996</v>
      </c>
      <c r="BI414" s="32">
        <v>878.9</v>
      </c>
      <c r="BJ414" s="33"/>
      <c r="BK414" s="197">
        <v>0.94399999999999995</v>
      </c>
      <c r="BL414" s="200">
        <v>18.39</v>
      </c>
      <c r="BM414" s="199">
        <v>943.4</v>
      </c>
      <c r="BN414" s="33"/>
      <c r="BO414" s="37">
        <v>944</v>
      </c>
      <c r="BP414" s="38">
        <v>0.9446</v>
      </c>
      <c r="BQ414" s="39">
        <v>18.309999999999999</v>
      </c>
      <c r="BR414" s="520"/>
    </row>
    <row r="415" spans="37:70">
      <c r="AK415" s="2482"/>
      <c r="BG415" s="30">
        <v>29.5</v>
      </c>
      <c r="BH415" s="31">
        <v>0.87890000000000001</v>
      </c>
      <c r="BI415" s="32">
        <v>878.4</v>
      </c>
      <c r="BJ415" s="33"/>
      <c r="BK415" s="197">
        <v>0.94499999999999995</v>
      </c>
      <c r="BL415" s="200">
        <v>18.239999999999998</v>
      </c>
      <c r="BM415" s="199">
        <v>944.4</v>
      </c>
      <c r="BN415" s="33"/>
      <c r="BO415" s="37">
        <v>945</v>
      </c>
      <c r="BP415" s="38">
        <v>0.9456</v>
      </c>
      <c r="BQ415" s="39">
        <v>18.149999999999999</v>
      </c>
      <c r="BR415" s="520"/>
    </row>
    <row r="416" spans="37:70">
      <c r="AK416" s="2482"/>
      <c r="BG416" s="30">
        <v>29.6</v>
      </c>
      <c r="BH416" s="31">
        <v>0.87829999999999997</v>
      </c>
      <c r="BI416" s="32">
        <v>877.9</v>
      </c>
      <c r="BJ416" s="33"/>
      <c r="BK416" s="197">
        <v>0.94599999999999995</v>
      </c>
      <c r="BL416" s="200">
        <v>18.079999999999998</v>
      </c>
      <c r="BM416" s="199">
        <v>945.4</v>
      </c>
      <c r="BN416" s="33"/>
      <c r="BO416" s="37">
        <v>946</v>
      </c>
      <c r="BP416" s="38">
        <v>0.9466</v>
      </c>
      <c r="BQ416" s="39">
        <v>17.989999999999998</v>
      </c>
      <c r="BR416" s="520"/>
    </row>
    <row r="417" spans="37:70">
      <c r="AK417" s="2482"/>
      <c r="BG417" s="30">
        <v>29.7</v>
      </c>
      <c r="BH417" s="31">
        <v>0.87780000000000002</v>
      </c>
      <c r="BI417" s="32">
        <v>877.3</v>
      </c>
      <c r="BJ417" s="33"/>
      <c r="BK417" s="197">
        <v>0.94699999999999995</v>
      </c>
      <c r="BL417" s="200">
        <v>17.920000000000002</v>
      </c>
      <c r="BM417" s="199">
        <v>946.4</v>
      </c>
      <c r="BN417" s="33"/>
      <c r="BO417" s="37">
        <v>947</v>
      </c>
      <c r="BP417" s="38">
        <v>0.9476</v>
      </c>
      <c r="BQ417" s="39">
        <v>17.829999999999998</v>
      </c>
      <c r="BR417" s="520"/>
    </row>
    <row r="418" spans="37:70">
      <c r="AK418" s="2482"/>
      <c r="BG418" s="30">
        <v>29.8</v>
      </c>
      <c r="BH418" s="31">
        <v>0.87719999999999998</v>
      </c>
      <c r="BI418" s="32">
        <v>876.8</v>
      </c>
      <c r="BJ418" s="33"/>
      <c r="BK418" s="197">
        <v>0.94799999999999995</v>
      </c>
      <c r="BL418" s="200">
        <v>17.760000000000002</v>
      </c>
      <c r="BM418" s="199">
        <v>947.4</v>
      </c>
      <c r="BN418" s="33"/>
      <c r="BO418" s="37">
        <v>948</v>
      </c>
      <c r="BP418" s="38">
        <v>0.9486</v>
      </c>
      <c r="BQ418" s="39">
        <v>17.670000000000002</v>
      </c>
      <c r="BR418" s="520"/>
    </row>
    <row r="419" spans="37:70">
      <c r="AK419" s="2482"/>
      <c r="BG419" s="30">
        <v>29.9</v>
      </c>
      <c r="BH419" s="31">
        <v>0.87670000000000003</v>
      </c>
      <c r="BI419" s="32">
        <v>876.2</v>
      </c>
      <c r="BJ419" s="33"/>
      <c r="BK419" s="197">
        <v>0.94899999999999995</v>
      </c>
      <c r="BL419" s="200">
        <v>17.600000000000001</v>
      </c>
      <c r="BM419" s="199">
        <v>948.4</v>
      </c>
      <c r="BN419" s="33"/>
      <c r="BO419" s="37">
        <v>949</v>
      </c>
      <c r="BP419" s="38">
        <v>0.9496</v>
      </c>
      <c r="BQ419" s="39">
        <v>17.52</v>
      </c>
      <c r="BR419" s="520"/>
    </row>
    <row r="420" spans="37:70">
      <c r="AK420" s="2482"/>
      <c r="BG420" s="30">
        <v>30</v>
      </c>
      <c r="BH420" s="31">
        <v>0.87619999999999998</v>
      </c>
      <c r="BI420" s="32">
        <v>875.7</v>
      </c>
      <c r="BJ420" s="33"/>
      <c r="BK420" s="197">
        <v>0.95</v>
      </c>
      <c r="BL420" s="200">
        <v>17.45</v>
      </c>
      <c r="BM420" s="199">
        <v>949.4</v>
      </c>
      <c r="BN420" s="33"/>
      <c r="BO420" s="37">
        <v>950</v>
      </c>
      <c r="BP420" s="38">
        <v>0.9506</v>
      </c>
      <c r="BQ420" s="39">
        <v>17.36</v>
      </c>
      <c r="BR420" s="520"/>
    </row>
    <row r="421" spans="37:70">
      <c r="AK421" s="2482"/>
      <c r="BG421" s="30">
        <v>30.1</v>
      </c>
      <c r="BH421" s="31">
        <v>0.87560000000000004</v>
      </c>
      <c r="BI421" s="32">
        <v>875.1</v>
      </c>
      <c r="BJ421" s="33"/>
      <c r="BK421" s="197">
        <v>0.95099999999999996</v>
      </c>
      <c r="BL421" s="200">
        <v>17.29</v>
      </c>
      <c r="BM421" s="199">
        <v>950.4</v>
      </c>
      <c r="BN421" s="33"/>
      <c r="BO421" s="37">
        <v>951</v>
      </c>
      <c r="BP421" s="38">
        <v>0.9516</v>
      </c>
      <c r="BQ421" s="39">
        <v>17.2</v>
      </c>
      <c r="BR421" s="520"/>
    </row>
    <row r="422" spans="37:70">
      <c r="AK422" s="2482"/>
      <c r="BG422" s="30">
        <v>30.2</v>
      </c>
      <c r="BH422" s="31">
        <v>0.87509999999999999</v>
      </c>
      <c r="BI422" s="32">
        <v>874.6</v>
      </c>
      <c r="BJ422" s="33"/>
      <c r="BK422" s="197">
        <v>0.95199999999999996</v>
      </c>
      <c r="BL422" s="200">
        <v>17.13</v>
      </c>
      <c r="BM422" s="199">
        <v>951.4</v>
      </c>
      <c r="BN422" s="33"/>
      <c r="BO422" s="37">
        <v>952</v>
      </c>
      <c r="BP422" s="38">
        <v>0.9526</v>
      </c>
      <c r="BQ422" s="39">
        <v>17.05</v>
      </c>
      <c r="BR422" s="520"/>
    </row>
    <row r="423" spans="37:70">
      <c r="AK423" s="2482"/>
      <c r="BG423" s="30">
        <v>30.3</v>
      </c>
      <c r="BH423" s="31">
        <v>0.87450000000000006</v>
      </c>
      <c r="BI423" s="32">
        <v>874.1</v>
      </c>
      <c r="BJ423" s="33"/>
      <c r="BK423" s="197">
        <v>0.95299999999999996</v>
      </c>
      <c r="BL423" s="200">
        <v>16.98</v>
      </c>
      <c r="BM423" s="199">
        <v>952.4</v>
      </c>
      <c r="BN423" s="33"/>
      <c r="BO423" s="37">
        <v>953</v>
      </c>
      <c r="BP423" s="38">
        <v>0.9536</v>
      </c>
      <c r="BQ423" s="39">
        <v>16.89</v>
      </c>
      <c r="BR423" s="520"/>
    </row>
    <row r="424" spans="37:70">
      <c r="AK424" s="2482"/>
      <c r="BG424" s="30">
        <v>30.4</v>
      </c>
      <c r="BH424" s="31">
        <v>0.874</v>
      </c>
      <c r="BI424" s="32">
        <v>873.5</v>
      </c>
      <c r="BJ424" s="33"/>
      <c r="BK424" s="197">
        <v>0.95399999999999996</v>
      </c>
      <c r="BL424" s="200">
        <v>16.82</v>
      </c>
      <c r="BM424" s="199">
        <v>953.4</v>
      </c>
      <c r="BN424" s="33"/>
      <c r="BO424" s="37">
        <v>954</v>
      </c>
      <c r="BP424" s="38">
        <v>0.9546</v>
      </c>
      <c r="BQ424" s="39">
        <v>16.739999999999998</v>
      </c>
      <c r="BR424" s="520"/>
    </row>
    <row r="425" spans="37:70">
      <c r="AK425" s="2482"/>
      <c r="BG425" s="30">
        <v>30.5</v>
      </c>
      <c r="BH425" s="31">
        <v>0.87350000000000005</v>
      </c>
      <c r="BI425" s="32">
        <v>873</v>
      </c>
      <c r="BJ425" s="33"/>
      <c r="BK425" s="197">
        <v>0.95499999999999996</v>
      </c>
      <c r="BL425" s="200">
        <v>16.670000000000002</v>
      </c>
      <c r="BM425" s="199">
        <v>954.4</v>
      </c>
      <c r="BN425" s="33"/>
      <c r="BO425" s="37">
        <v>955</v>
      </c>
      <c r="BP425" s="38">
        <v>0.9556</v>
      </c>
      <c r="BQ425" s="39">
        <v>16.579999999999998</v>
      </c>
      <c r="BR425" s="520"/>
    </row>
    <row r="426" spans="37:70">
      <c r="AK426" s="2482"/>
      <c r="BG426" s="30">
        <v>30.6</v>
      </c>
      <c r="BH426" s="31">
        <v>0.87290000000000001</v>
      </c>
      <c r="BI426" s="32">
        <v>872.4</v>
      </c>
      <c r="BJ426" s="33"/>
      <c r="BK426" s="197">
        <v>0.95599999999999996</v>
      </c>
      <c r="BL426" s="200">
        <v>16.510000000000002</v>
      </c>
      <c r="BM426" s="199">
        <v>955.4</v>
      </c>
      <c r="BN426" s="33"/>
      <c r="BO426" s="37">
        <v>956</v>
      </c>
      <c r="BP426" s="38">
        <v>0.95660000000000001</v>
      </c>
      <c r="BQ426" s="39">
        <v>16.420000000000002</v>
      </c>
      <c r="BR426" s="520"/>
    </row>
    <row r="427" spans="37:70">
      <c r="AK427" s="2482"/>
      <c r="BG427" s="30">
        <v>30.7</v>
      </c>
      <c r="BH427" s="31">
        <v>0.87239999999999995</v>
      </c>
      <c r="BI427" s="32">
        <v>871.9</v>
      </c>
      <c r="BJ427" s="33"/>
      <c r="BK427" s="197">
        <v>0.95699999999999996</v>
      </c>
      <c r="BL427" s="200">
        <v>16.36</v>
      </c>
      <c r="BM427" s="199">
        <v>956.4</v>
      </c>
      <c r="BN427" s="33"/>
      <c r="BO427" s="37">
        <v>957</v>
      </c>
      <c r="BP427" s="38">
        <v>0.95760000000000001</v>
      </c>
      <c r="BQ427" s="39">
        <v>16.27</v>
      </c>
      <c r="BR427" s="520"/>
    </row>
    <row r="428" spans="37:70">
      <c r="AK428" s="2482"/>
      <c r="BG428" s="30">
        <v>30.8</v>
      </c>
      <c r="BH428" s="31">
        <v>0.87180000000000002</v>
      </c>
      <c r="BI428" s="32">
        <v>871.4</v>
      </c>
      <c r="BJ428" s="33"/>
      <c r="BK428" s="197">
        <v>0.95799999999999996</v>
      </c>
      <c r="BL428" s="200">
        <v>16.2</v>
      </c>
      <c r="BM428" s="199">
        <v>957.4</v>
      </c>
      <c r="BN428" s="33"/>
      <c r="BO428" s="37">
        <v>958</v>
      </c>
      <c r="BP428" s="38">
        <v>0.95860000000000001</v>
      </c>
      <c r="BQ428" s="39">
        <v>16.12</v>
      </c>
      <c r="BR428" s="520"/>
    </row>
    <row r="429" spans="37:70">
      <c r="AK429" s="2482"/>
      <c r="BG429" s="30">
        <v>30.9</v>
      </c>
      <c r="BH429" s="31">
        <v>0.87129999999999996</v>
      </c>
      <c r="BI429" s="32">
        <v>870.8</v>
      </c>
      <c r="BJ429" s="33"/>
      <c r="BK429" s="197">
        <v>0.95899999999999996</v>
      </c>
      <c r="BL429" s="200">
        <v>16.05</v>
      </c>
      <c r="BM429" s="199">
        <v>958.4</v>
      </c>
      <c r="BN429" s="33"/>
      <c r="BO429" s="37">
        <v>959</v>
      </c>
      <c r="BP429" s="38">
        <v>0.95960000000000001</v>
      </c>
      <c r="BQ429" s="39">
        <v>15.96</v>
      </c>
      <c r="BR429" s="520"/>
    </row>
    <row r="430" spans="37:70">
      <c r="AK430" s="2482"/>
      <c r="BG430" s="30">
        <v>31</v>
      </c>
      <c r="BH430" s="31">
        <v>0.87080000000000002</v>
      </c>
      <c r="BI430" s="32">
        <v>870.3</v>
      </c>
      <c r="BJ430" s="33"/>
      <c r="BK430" s="197">
        <v>0.96</v>
      </c>
      <c r="BL430" s="200">
        <v>15.9</v>
      </c>
      <c r="BM430" s="199">
        <v>959.4</v>
      </c>
      <c r="BN430" s="33"/>
      <c r="BO430" s="37">
        <v>960</v>
      </c>
      <c r="BP430" s="38">
        <v>0.96060000000000001</v>
      </c>
      <c r="BQ430" s="39">
        <v>15.81</v>
      </c>
      <c r="BR430" s="520"/>
    </row>
    <row r="431" spans="37:70">
      <c r="AK431" s="2482"/>
      <c r="BG431" s="30">
        <v>31.1</v>
      </c>
      <c r="BH431" s="31">
        <v>0.87019999999999997</v>
      </c>
      <c r="BI431" s="32">
        <v>869.8</v>
      </c>
      <c r="BJ431" s="33"/>
      <c r="BK431" s="197">
        <v>0.96099999999999997</v>
      </c>
      <c r="BL431" s="200">
        <v>15.74</v>
      </c>
      <c r="BM431" s="199">
        <v>960.4</v>
      </c>
      <c r="BN431" s="33"/>
      <c r="BO431" s="37">
        <v>961</v>
      </c>
      <c r="BP431" s="38">
        <v>0.96160000000000001</v>
      </c>
      <c r="BQ431" s="39">
        <v>15.65</v>
      </c>
      <c r="BR431" s="520"/>
    </row>
    <row r="432" spans="37:70">
      <c r="AK432" s="2482"/>
      <c r="BG432" s="30">
        <v>31.2</v>
      </c>
      <c r="BH432" s="31">
        <v>0.86970000000000003</v>
      </c>
      <c r="BI432" s="32">
        <v>869.2</v>
      </c>
      <c r="BJ432" s="33"/>
      <c r="BK432" s="197">
        <v>0.96199999999999997</v>
      </c>
      <c r="BL432" s="200">
        <v>15.59</v>
      </c>
      <c r="BM432" s="199">
        <v>961.4</v>
      </c>
      <c r="BN432" s="33"/>
      <c r="BO432" s="37">
        <v>962</v>
      </c>
      <c r="BP432" s="38">
        <v>0.96260000000000001</v>
      </c>
      <c r="BQ432" s="39">
        <v>15.5</v>
      </c>
      <c r="BR432" s="520"/>
    </row>
    <row r="433" spans="37:70">
      <c r="AK433" s="2482"/>
      <c r="BG433" s="30">
        <v>31.3</v>
      </c>
      <c r="BH433" s="31">
        <v>0.86919999999999997</v>
      </c>
      <c r="BI433" s="32">
        <v>868.7</v>
      </c>
      <c r="BJ433" s="33"/>
      <c r="BK433" s="197">
        <v>0.96299999999999997</v>
      </c>
      <c r="BL433" s="200">
        <v>15.44</v>
      </c>
      <c r="BM433" s="199">
        <v>962.4</v>
      </c>
      <c r="BN433" s="33"/>
      <c r="BO433" s="37">
        <v>963</v>
      </c>
      <c r="BP433" s="38">
        <v>0.96360000000000001</v>
      </c>
      <c r="BQ433" s="39">
        <v>15.35</v>
      </c>
      <c r="BR433" s="520"/>
    </row>
    <row r="434" spans="37:70">
      <c r="AK434" s="2482"/>
      <c r="BG434" s="30">
        <v>31.4</v>
      </c>
      <c r="BH434" s="31">
        <v>0.86860000000000004</v>
      </c>
      <c r="BI434" s="32">
        <v>868.2</v>
      </c>
      <c r="BJ434" s="33"/>
      <c r="BK434" s="197">
        <v>0.96399999999999997</v>
      </c>
      <c r="BL434" s="200">
        <v>15.28</v>
      </c>
      <c r="BM434" s="199">
        <v>963.4</v>
      </c>
      <c r="BN434" s="33"/>
      <c r="BO434" s="37">
        <v>964</v>
      </c>
      <c r="BP434" s="38">
        <v>0.96460000000000001</v>
      </c>
      <c r="BQ434" s="39">
        <v>15.2</v>
      </c>
      <c r="BR434" s="520"/>
    </row>
    <row r="435" spans="37:70">
      <c r="AK435" s="2482"/>
      <c r="BG435" s="30">
        <v>31.5</v>
      </c>
      <c r="BH435" s="31">
        <v>0.86809999999999998</v>
      </c>
      <c r="BI435" s="32">
        <v>867.6</v>
      </c>
      <c r="BJ435" s="33"/>
      <c r="BK435" s="197">
        <v>0.96499999999999997</v>
      </c>
      <c r="BL435" s="200">
        <v>15.13</v>
      </c>
      <c r="BM435" s="199">
        <v>964.4</v>
      </c>
      <c r="BN435" s="33"/>
      <c r="BO435" s="37">
        <v>965</v>
      </c>
      <c r="BP435" s="38">
        <v>0.96560000000000001</v>
      </c>
      <c r="BQ435" s="39">
        <v>15.04</v>
      </c>
      <c r="BR435" s="520"/>
    </row>
    <row r="436" spans="37:70">
      <c r="AK436" s="2482"/>
      <c r="BG436" s="30">
        <v>31.6</v>
      </c>
      <c r="BH436" s="31">
        <v>0.86760000000000004</v>
      </c>
      <c r="BI436" s="32">
        <v>867.1</v>
      </c>
      <c r="BJ436" s="33"/>
      <c r="BK436" s="197">
        <v>0.96599999999999997</v>
      </c>
      <c r="BL436" s="200">
        <v>14.98</v>
      </c>
      <c r="BM436" s="199">
        <v>965.4</v>
      </c>
      <c r="BN436" s="33"/>
      <c r="BO436" s="37">
        <v>966</v>
      </c>
      <c r="BP436" s="38">
        <v>0.96660000000000001</v>
      </c>
      <c r="BQ436" s="39">
        <v>14.89</v>
      </c>
      <c r="BR436" s="520"/>
    </row>
    <row r="437" spans="37:70">
      <c r="AK437" s="2482"/>
      <c r="BG437" s="30">
        <v>31.7</v>
      </c>
      <c r="BH437" s="31">
        <v>0.86699999999999999</v>
      </c>
      <c r="BI437" s="32">
        <v>866.6</v>
      </c>
      <c r="BJ437" s="33"/>
      <c r="BK437" s="197">
        <v>0.96699999999999997</v>
      </c>
      <c r="BL437" s="200">
        <v>14.83</v>
      </c>
      <c r="BM437" s="199">
        <v>966.4</v>
      </c>
      <c r="BN437" s="33"/>
      <c r="BO437" s="37">
        <v>967</v>
      </c>
      <c r="BP437" s="38">
        <v>0.96760000000000002</v>
      </c>
      <c r="BQ437" s="39">
        <v>14.74</v>
      </c>
      <c r="BR437" s="520"/>
    </row>
    <row r="438" spans="37:70">
      <c r="AK438" s="2482"/>
      <c r="BG438" s="30">
        <v>31.8</v>
      </c>
      <c r="BH438" s="31">
        <v>0.86650000000000005</v>
      </c>
      <c r="BI438" s="32">
        <v>866</v>
      </c>
      <c r="BJ438" s="33"/>
      <c r="BK438" s="197">
        <v>0.96799999999999997</v>
      </c>
      <c r="BL438" s="200">
        <v>14.68</v>
      </c>
      <c r="BM438" s="199">
        <v>967.4</v>
      </c>
      <c r="BN438" s="33"/>
      <c r="BO438" s="37">
        <v>968</v>
      </c>
      <c r="BP438" s="38">
        <v>0.96860000000000002</v>
      </c>
      <c r="BQ438" s="39">
        <v>14.59</v>
      </c>
      <c r="BR438" s="520"/>
    </row>
    <row r="439" spans="37:70">
      <c r="AK439" s="2482"/>
      <c r="BG439" s="30">
        <v>31.9</v>
      </c>
      <c r="BH439" s="31">
        <v>0.86599999999999999</v>
      </c>
      <c r="BI439" s="32">
        <v>865.5</v>
      </c>
      <c r="BJ439" s="33"/>
      <c r="BK439" s="197">
        <v>0.96899999999999997</v>
      </c>
      <c r="BL439" s="200">
        <v>14.53</v>
      </c>
      <c r="BM439" s="199">
        <v>968.4</v>
      </c>
      <c r="BN439" s="33"/>
      <c r="BO439" s="37">
        <v>969</v>
      </c>
      <c r="BP439" s="38">
        <v>0.96960000000000002</v>
      </c>
      <c r="BQ439" s="39">
        <v>14.44</v>
      </c>
      <c r="BR439" s="520"/>
    </row>
    <row r="440" spans="37:70">
      <c r="AK440" s="2482"/>
      <c r="BG440" s="30">
        <v>32</v>
      </c>
      <c r="BH440" s="31">
        <v>0.86539999999999995</v>
      </c>
      <c r="BI440" s="32">
        <v>865</v>
      </c>
      <c r="BJ440" s="33"/>
      <c r="BK440" s="197">
        <v>0.97</v>
      </c>
      <c r="BL440" s="200">
        <v>14.38</v>
      </c>
      <c r="BM440" s="199">
        <v>969.4</v>
      </c>
      <c r="BN440" s="33"/>
      <c r="BO440" s="37">
        <v>970</v>
      </c>
      <c r="BP440" s="38">
        <v>0.97060000000000002</v>
      </c>
      <c r="BQ440" s="39">
        <v>14.29</v>
      </c>
      <c r="BR440" s="520"/>
    </row>
    <row r="441" spans="37:70">
      <c r="AK441" s="2482"/>
      <c r="BG441" s="30">
        <v>32.1</v>
      </c>
      <c r="BH441" s="31">
        <v>0.8649</v>
      </c>
      <c r="BI441" s="32">
        <v>864.5</v>
      </c>
      <c r="BJ441" s="33"/>
      <c r="BK441" s="197">
        <v>0.97099999999999997</v>
      </c>
      <c r="BL441" s="200">
        <v>14.23</v>
      </c>
      <c r="BM441" s="199">
        <v>970.4</v>
      </c>
      <c r="BN441" s="33"/>
      <c r="BO441" s="37">
        <v>971</v>
      </c>
      <c r="BP441" s="38">
        <v>0.97160000000000002</v>
      </c>
      <c r="BQ441" s="39">
        <v>14.14</v>
      </c>
      <c r="BR441" s="520"/>
    </row>
    <row r="442" spans="37:70">
      <c r="AK442" s="2482"/>
      <c r="BG442" s="30">
        <v>32.200000000000003</v>
      </c>
      <c r="BH442" s="31">
        <v>0.86439999999999995</v>
      </c>
      <c r="BI442" s="32">
        <v>863.9</v>
      </c>
      <c r="BJ442" s="33"/>
      <c r="BK442" s="197">
        <v>0.97199999999999998</v>
      </c>
      <c r="BL442" s="200">
        <v>14.08</v>
      </c>
      <c r="BM442" s="199">
        <v>971.4</v>
      </c>
      <c r="BN442" s="33"/>
      <c r="BO442" s="37">
        <v>972</v>
      </c>
      <c r="BP442" s="38">
        <v>0.97260000000000002</v>
      </c>
      <c r="BQ442" s="39">
        <v>13.99</v>
      </c>
      <c r="BR442" s="520"/>
    </row>
    <row r="443" spans="37:70">
      <c r="AK443" s="2482"/>
      <c r="BG443" s="30">
        <v>32.299999999999997</v>
      </c>
      <c r="BH443" s="31">
        <v>0.8639</v>
      </c>
      <c r="BI443" s="32">
        <v>863.4</v>
      </c>
      <c r="BJ443" s="33"/>
      <c r="BK443" s="197">
        <v>0.97299999999999998</v>
      </c>
      <c r="BL443" s="200">
        <v>13.93</v>
      </c>
      <c r="BM443" s="199">
        <v>972.4</v>
      </c>
      <c r="BN443" s="33"/>
      <c r="BO443" s="37">
        <v>973</v>
      </c>
      <c r="BP443" s="38">
        <v>0.97360000000000002</v>
      </c>
      <c r="BQ443" s="39">
        <v>13.84</v>
      </c>
      <c r="BR443" s="520"/>
    </row>
    <row r="444" spans="37:70">
      <c r="AK444" s="2482"/>
      <c r="BG444" s="30">
        <v>32.4</v>
      </c>
      <c r="BH444" s="31">
        <v>0.86329999999999996</v>
      </c>
      <c r="BI444" s="32">
        <v>862.9</v>
      </c>
      <c r="BJ444" s="33"/>
      <c r="BK444" s="197">
        <v>0.97399999999999998</v>
      </c>
      <c r="BL444" s="200">
        <v>13.78</v>
      </c>
      <c r="BM444" s="199">
        <v>973.4</v>
      </c>
      <c r="BN444" s="33"/>
      <c r="BO444" s="37">
        <v>974</v>
      </c>
      <c r="BP444" s="38">
        <v>0.97460000000000002</v>
      </c>
      <c r="BQ444" s="39">
        <v>13.69</v>
      </c>
      <c r="BR444" s="520"/>
    </row>
    <row r="445" spans="37:70">
      <c r="AK445" s="2482"/>
      <c r="BG445" s="30">
        <v>32.5</v>
      </c>
      <c r="BH445" s="31">
        <v>0.86280000000000001</v>
      </c>
      <c r="BI445" s="32">
        <v>862.3</v>
      </c>
      <c r="BJ445" s="33"/>
      <c r="BK445" s="197">
        <v>0.97499999999999998</v>
      </c>
      <c r="BL445" s="200">
        <v>13.63</v>
      </c>
      <c r="BM445" s="199">
        <v>974.4</v>
      </c>
      <c r="BN445" s="33"/>
      <c r="BO445" s="37">
        <v>975</v>
      </c>
      <c r="BP445" s="38">
        <v>0.97560000000000002</v>
      </c>
      <c r="BQ445" s="39">
        <v>13.54</v>
      </c>
      <c r="BR445" s="520"/>
    </row>
    <row r="446" spans="37:70">
      <c r="AK446" s="2482"/>
      <c r="BG446" s="30">
        <v>32.6</v>
      </c>
      <c r="BH446" s="31">
        <v>0.86229999999999996</v>
      </c>
      <c r="BI446" s="32">
        <v>861.8</v>
      </c>
      <c r="BJ446" s="33"/>
      <c r="BK446" s="197">
        <v>0.97599999999999998</v>
      </c>
      <c r="BL446" s="200">
        <v>13.48</v>
      </c>
      <c r="BM446" s="199">
        <v>975.4</v>
      </c>
      <c r="BN446" s="33"/>
      <c r="BO446" s="37">
        <v>976</v>
      </c>
      <c r="BP446" s="38">
        <v>0.97660000000000002</v>
      </c>
      <c r="BQ446" s="39">
        <v>13.39</v>
      </c>
      <c r="BR446" s="520"/>
    </row>
    <row r="447" spans="37:70">
      <c r="AK447" s="2482"/>
      <c r="BG447" s="30">
        <v>32.700000000000003</v>
      </c>
      <c r="BH447" s="31">
        <v>0.86180000000000001</v>
      </c>
      <c r="BI447" s="32">
        <v>861.3</v>
      </c>
      <c r="BJ447" s="33"/>
      <c r="BK447" s="197">
        <v>0.97699999999999998</v>
      </c>
      <c r="BL447" s="200">
        <v>13.33</v>
      </c>
      <c r="BM447" s="199">
        <v>976.4</v>
      </c>
      <c r="BN447" s="33"/>
      <c r="BO447" s="37">
        <v>977</v>
      </c>
      <c r="BP447" s="38">
        <v>0.97760000000000002</v>
      </c>
      <c r="BQ447" s="39">
        <v>13.24</v>
      </c>
      <c r="BR447" s="520"/>
    </row>
    <row r="448" spans="37:70">
      <c r="AK448" s="2482"/>
      <c r="BG448" s="30">
        <v>32.799999999999997</v>
      </c>
      <c r="BH448" s="31">
        <v>0.86119999999999997</v>
      </c>
      <c r="BI448" s="32">
        <v>860.8</v>
      </c>
      <c r="BJ448" s="33"/>
      <c r="BK448" s="197">
        <v>0.97799999999999998</v>
      </c>
      <c r="BL448" s="200">
        <v>13.18</v>
      </c>
      <c r="BM448" s="199">
        <v>977.4</v>
      </c>
      <c r="BN448" s="33"/>
      <c r="BO448" s="37">
        <v>978</v>
      </c>
      <c r="BP448" s="38">
        <v>0.97860000000000003</v>
      </c>
      <c r="BQ448" s="39">
        <v>13.1</v>
      </c>
      <c r="BR448" s="520"/>
    </row>
    <row r="449" spans="37:70">
      <c r="AK449" s="2482"/>
      <c r="BG449" s="30">
        <v>32.9</v>
      </c>
      <c r="BH449" s="31">
        <v>0.86070000000000002</v>
      </c>
      <c r="BI449" s="32">
        <v>860.2</v>
      </c>
      <c r="BJ449" s="33"/>
      <c r="BK449" s="197">
        <v>0.97899999999999998</v>
      </c>
      <c r="BL449" s="200">
        <v>13.04</v>
      </c>
      <c r="BM449" s="199">
        <v>978.4</v>
      </c>
      <c r="BN449" s="33"/>
      <c r="BO449" s="37">
        <v>979</v>
      </c>
      <c r="BP449" s="38">
        <v>0.97960000000000003</v>
      </c>
      <c r="BQ449" s="39">
        <v>12.95</v>
      </c>
      <c r="BR449" s="520"/>
    </row>
    <row r="450" spans="37:70">
      <c r="AK450" s="2482"/>
      <c r="BG450" s="30">
        <v>33</v>
      </c>
      <c r="BH450" s="31">
        <v>0.86019999999999996</v>
      </c>
      <c r="BI450" s="32">
        <v>859.7</v>
      </c>
      <c r="BJ450" s="33"/>
      <c r="BK450" s="197">
        <v>0.98</v>
      </c>
      <c r="BL450" s="200">
        <v>12.89</v>
      </c>
      <c r="BM450" s="199">
        <v>979.4</v>
      </c>
      <c r="BN450" s="33"/>
      <c r="BO450" s="37">
        <v>980</v>
      </c>
      <c r="BP450" s="38">
        <v>0.98060000000000003</v>
      </c>
      <c r="BQ450" s="39">
        <v>12.8</v>
      </c>
      <c r="BR450" s="520"/>
    </row>
    <row r="451" spans="37:70">
      <c r="AK451" s="2482"/>
      <c r="BG451" s="30">
        <v>33.1</v>
      </c>
      <c r="BH451" s="31">
        <v>0.85970000000000002</v>
      </c>
      <c r="BI451" s="32">
        <v>859.2</v>
      </c>
      <c r="BJ451" s="33"/>
      <c r="BK451" s="197">
        <v>0.98099999999999998</v>
      </c>
      <c r="BL451" s="200">
        <v>12.74</v>
      </c>
      <c r="BM451" s="199">
        <v>980.4</v>
      </c>
      <c r="BN451" s="33"/>
      <c r="BO451" s="37">
        <v>981</v>
      </c>
      <c r="BP451" s="38">
        <v>0.98160000000000003</v>
      </c>
      <c r="BQ451" s="39">
        <v>12.65</v>
      </c>
      <c r="BR451" s="520"/>
    </row>
    <row r="452" spans="37:70">
      <c r="AK452" s="2482"/>
      <c r="BG452" s="30">
        <v>33.200000000000003</v>
      </c>
      <c r="BH452" s="31">
        <v>0.85909999999999997</v>
      </c>
      <c r="BI452" s="32">
        <v>858.7</v>
      </c>
      <c r="BJ452" s="33"/>
      <c r="BK452" s="197">
        <v>0.98199999999999998</v>
      </c>
      <c r="BL452" s="200">
        <v>12.59</v>
      </c>
      <c r="BM452" s="199">
        <v>981.4</v>
      </c>
      <c r="BN452" s="33"/>
      <c r="BO452" s="37">
        <v>982</v>
      </c>
      <c r="BP452" s="38">
        <v>0.98260000000000003</v>
      </c>
      <c r="BQ452" s="39">
        <v>12.51</v>
      </c>
      <c r="BR452" s="520"/>
    </row>
    <row r="453" spans="37:70">
      <c r="AK453" s="2482"/>
      <c r="BG453" s="30">
        <v>33.299999999999997</v>
      </c>
      <c r="BH453" s="31">
        <v>0.85860000000000003</v>
      </c>
      <c r="BI453" s="32">
        <v>858.2</v>
      </c>
      <c r="BJ453" s="33"/>
      <c r="BK453" s="197">
        <v>0.98299999999999998</v>
      </c>
      <c r="BL453" s="200">
        <v>12.45</v>
      </c>
      <c r="BM453" s="199">
        <v>982.4</v>
      </c>
      <c r="BN453" s="33"/>
      <c r="BO453" s="37">
        <v>983</v>
      </c>
      <c r="BP453" s="38">
        <v>0.98360000000000003</v>
      </c>
      <c r="BQ453" s="39">
        <v>12.36</v>
      </c>
      <c r="BR453" s="520"/>
    </row>
    <row r="454" spans="37:70">
      <c r="AK454" s="2482"/>
      <c r="BG454" s="30">
        <v>33.4</v>
      </c>
      <c r="BH454" s="31">
        <v>0.85809999999999997</v>
      </c>
      <c r="BI454" s="32">
        <v>857.6</v>
      </c>
      <c r="BJ454" s="33"/>
      <c r="BK454" s="197">
        <v>0.98399999999999999</v>
      </c>
      <c r="BL454" s="200">
        <v>12.3</v>
      </c>
      <c r="BM454" s="199">
        <v>983.4</v>
      </c>
      <c r="BN454" s="33"/>
      <c r="BO454" s="37">
        <v>984</v>
      </c>
      <c r="BP454" s="38">
        <v>0.98460000000000003</v>
      </c>
      <c r="BQ454" s="39">
        <v>12.21</v>
      </c>
      <c r="BR454" s="520"/>
    </row>
    <row r="455" spans="37:70">
      <c r="AK455" s="2482"/>
      <c r="BG455" s="30">
        <v>33.5</v>
      </c>
      <c r="BH455" s="31">
        <v>0.85760000000000003</v>
      </c>
      <c r="BI455" s="32">
        <v>857.1</v>
      </c>
      <c r="BJ455" s="33"/>
      <c r="BK455" s="197">
        <v>0.98499999999999999</v>
      </c>
      <c r="BL455" s="200">
        <v>12.15</v>
      </c>
      <c r="BM455" s="199">
        <v>984.4</v>
      </c>
      <c r="BN455" s="33"/>
      <c r="BO455" s="37">
        <v>985</v>
      </c>
      <c r="BP455" s="38">
        <v>0.98560000000000003</v>
      </c>
      <c r="BQ455" s="39">
        <v>12.07</v>
      </c>
      <c r="BR455" s="520"/>
    </row>
    <row r="456" spans="37:70">
      <c r="AK456" s="2482"/>
      <c r="BG456" s="30">
        <v>33.6</v>
      </c>
      <c r="BH456" s="31">
        <v>0.85709999999999997</v>
      </c>
      <c r="BI456" s="32">
        <v>856.6</v>
      </c>
      <c r="BJ456" s="33"/>
      <c r="BK456" s="197">
        <v>0.98599999999999999</v>
      </c>
      <c r="BL456" s="200">
        <v>12.01</v>
      </c>
      <c r="BM456" s="199">
        <v>985.4</v>
      </c>
      <c r="BN456" s="33"/>
      <c r="BO456" s="37">
        <v>986</v>
      </c>
      <c r="BP456" s="38">
        <v>0.98660000000000003</v>
      </c>
      <c r="BQ456" s="39">
        <v>11.92</v>
      </c>
      <c r="BR456" s="520"/>
    </row>
    <row r="457" spans="37:70">
      <c r="AK457" s="2482"/>
      <c r="BG457" s="30">
        <v>33.700000000000003</v>
      </c>
      <c r="BH457" s="31">
        <v>0.85650000000000004</v>
      </c>
      <c r="BI457" s="32">
        <v>856.1</v>
      </c>
      <c r="BJ457" s="33"/>
      <c r="BK457" s="197">
        <v>0.98699999999999999</v>
      </c>
      <c r="BL457" s="200">
        <v>11.86</v>
      </c>
      <c r="BM457" s="199">
        <v>986.4</v>
      </c>
      <c r="BN457" s="33"/>
      <c r="BO457" s="37">
        <v>987</v>
      </c>
      <c r="BP457" s="38">
        <v>0.98760000000000003</v>
      </c>
      <c r="BQ457" s="39">
        <v>11.78</v>
      </c>
      <c r="BR457" s="520"/>
    </row>
    <row r="458" spans="37:70">
      <c r="AK458" s="2482"/>
      <c r="BG458" s="30">
        <v>33.799999999999997</v>
      </c>
      <c r="BH458" s="31">
        <v>0.85599999999999998</v>
      </c>
      <c r="BI458" s="32">
        <v>855.6</v>
      </c>
      <c r="BJ458" s="33"/>
      <c r="BK458" s="197">
        <v>0.98799999999999999</v>
      </c>
      <c r="BL458" s="200">
        <v>11.72</v>
      </c>
      <c r="BM458" s="199">
        <v>987.4</v>
      </c>
      <c r="BN458" s="33"/>
      <c r="BO458" s="37">
        <v>988</v>
      </c>
      <c r="BP458" s="38">
        <v>0.98860000000000003</v>
      </c>
      <c r="BQ458" s="39">
        <v>11.63</v>
      </c>
      <c r="BR458" s="520"/>
    </row>
    <row r="459" spans="37:70">
      <c r="AK459" s="2482"/>
      <c r="BG459" s="30">
        <v>33.9</v>
      </c>
      <c r="BH459" s="31">
        <v>0.85550000000000004</v>
      </c>
      <c r="BI459" s="32">
        <v>855</v>
      </c>
      <c r="BJ459" s="33"/>
      <c r="BK459" s="197">
        <v>0.98899999999999999</v>
      </c>
      <c r="BL459" s="200">
        <v>11.57</v>
      </c>
      <c r="BM459" s="199">
        <v>988.4</v>
      </c>
      <c r="BN459" s="33"/>
      <c r="BO459" s="37">
        <v>989</v>
      </c>
      <c r="BP459" s="38">
        <v>0.98960000000000004</v>
      </c>
      <c r="BQ459" s="39">
        <v>11.49</v>
      </c>
      <c r="BR459" s="520"/>
    </row>
    <row r="460" spans="37:70">
      <c r="AK460" s="2482"/>
      <c r="BG460" s="30">
        <v>34</v>
      </c>
      <c r="BH460" s="31">
        <v>0.85499999999999998</v>
      </c>
      <c r="BI460" s="32">
        <v>854.5</v>
      </c>
      <c r="BJ460" s="33"/>
      <c r="BK460" s="197">
        <v>0.99</v>
      </c>
      <c r="BL460" s="200">
        <v>11.43</v>
      </c>
      <c r="BM460" s="199">
        <v>989.4</v>
      </c>
      <c r="BN460" s="33"/>
      <c r="BO460" s="37">
        <v>990</v>
      </c>
      <c r="BP460" s="38">
        <v>0.99060000000000004</v>
      </c>
      <c r="BQ460" s="39">
        <v>11.34</v>
      </c>
      <c r="BR460" s="520"/>
    </row>
    <row r="461" spans="37:70">
      <c r="AK461" s="2482"/>
      <c r="BG461" s="30">
        <v>34.1</v>
      </c>
      <c r="BH461" s="31">
        <v>0.85450000000000004</v>
      </c>
      <c r="BI461" s="32">
        <v>854</v>
      </c>
      <c r="BJ461" s="33"/>
      <c r="BK461" s="197">
        <v>0.99099999999999999</v>
      </c>
      <c r="BL461" s="200">
        <v>11.29</v>
      </c>
      <c r="BM461" s="199">
        <v>990.4</v>
      </c>
      <c r="BN461" s="33"/>
      <c r="BO461" s="37">
        <v>991</v>
      </c>
      <c r="BP461" s="38">
        <v>0.99160000000000004</v>
      </c>
      <c r="BQ461" s="39">
        <v>11.2</v>
      </c>
      <c r="BR461" s="520"/>
    </row>
    <row r="462" spans="37:70">
      <c r="AK462" s="2482"/>
      <c r="BG462" s="30">
        <v>34.200000000000003</v>
      </c>
      <c r="BH462" s="31">
        <v>0.85399999999999998</v>
      </c>
      <c r="BI462" s="32">
        <v>853.5</v>
      </c>
      <c r="BJ462" s="33"/>
      <c r="BK462" s="197">
        <v>0.99199999999999999</v>
      </c>
      <c r="BL462" s="200">
        <v>11.14</v>
      </c>
      <c r="BM462" s="199">
        <v>991.4</v>
      </c>
      <c r="BN462" s="33"/>
      <c r="BO462" s="37">
        <v>992</v>
      </c>
      <c r="BP462" s="38">
        <v>0.99260000000000004</v>
      </c>
      <c r="BQ462" s="39">
        <v>11.05</v>
      </c>
      <c r="BR462" s="520"/>
    </row>
    <row r="463" spans="37:70">
      <c r="AK463" s="2482"/>
      <c r="BG463" s="30">
        <v>34.299999999999997</v>
      </c>
      <c r="BH463" s="31">
        <v>0.85340000000000005</v>
      </c>
      <c r="BI463" s="32">
        <v>853</v>
      </c>
      <c r="BJ463" s="33"/>
      <c r="BK463" s="197">
        <v>0.99299999999999999</v>
      </c>
      <c r="BL463" s="200">
        <v>11</v>
      </c>
      <c r="BM463" s="199">
        <v>992.4</v>
      </c>
      <c r="BN463" s="33"/>
      <c r="BO463" s="37">
        <v>993</v>
      </c>
      <c r="BP463" s="38">
        <v>0.99360000000000004</v>
      </c>
      <c r="BQ463" s="39">
        <v>10.91</v>
      </c>
      <c r="BR463" s="520"/>
    </row>
    <row r="464" spans="37:70">
      <c r="AK464" s="2482"/>
      <c r="BG464" s="30">
        <v>34.4</v>
      </c>
      <c r="BH464" s="31">
        <v>0.85289999999999999</v>
      </c>
      <c r="BI464" s="32">
        <v>852.5</v>
      </c>
      <c r="BJ464" s="33"/>
      <c r="BK464" s="197">
        <v>0.99399999999999999</v>
      </c>
      <c r="BL464" s="200">
        <v>10.85</v>
      </c>
      <c r="BM464" s="199">
        <v>993.4</v>
      </c>
      <c r="BN464" s="33"/>
      <c r="BO464" s="37">
        <v>994</v>
      </c>
      <c r="BP464" s="38">
        <v>0.99460000000000004</v>
      </c>
      <c r="BQ464" s="39">
        <v>10.77</v>
      </c>
      <c r="BR464" s="520"/>
    </row>
    <row r="465" spans="37:70">
      <c r="AK465" s="2482"/>
      <c r="BG465" s="30">
        <v>34.5</v>
      </c>
      <c r="BH465" s="31">
        <v>0.85240000000000005</v>
      </c>
      <c r="BI465" s="32">
        <v>852</v>
      </c>
      <c r="BJ465" s="33"/>
      <c r="BK465" s="197">
        <v>0.995</v>
      </c>
      <c r="BL465" s="200">
        <v>10.71</v>
      </c>
      <c r="BM465" s="199">
        <v>994.4</v>
      </c>
      <c r="BN465" s="33"/>
      <c r="BO465" s="37">
        <v>995</v>
      </c>
      <c r="BP465" s="38">
        <v>0.99560000000000004</v>
      </c>
      <c r="BQ465" s="39">
        <v>10.62</v>
      </c>
      <c r="BR465" s="520"/>
    </row>
    <row r="466" spans="37:70">
      <c r="AK466" s="2482"/>
      <c r="BG466" s="30">
        <v>34.6</v>
      </c>
      <c r="BH466" s="31">
        <v>0.85189999999999999</v>
      </c>
      <c r="BI466" s="32">
        <v>851.4</v>
      </c>
      <c r="BJ466" s="33"/>
      <c r="BK466" s="197">
        <v>0.996</v>
      </c>
      <c r="BL466" s="200">
        <v>10.57</v>
      </c>
      <c r="BM466" s="199">
        <v>995.4</v>
      </c>
      <c r="BN466" s="33"/>
      <c r="BO466" s="37">
        <v>996</v>
      </c>
      <c r="BP466" s="38">
        <v>0.99660000000000004</v>
      </c>
      <c r="BQ466" s="39">
        <v>10.48</v>
      </c>
      <c r="BR466" s="520"/>
    </row>
    <row r="467" spans="37:70">
      <c r="AK467" s="2482"/>
      <c r="BG467" s="30">
        <v>34.700000000000003</v>
      </c>
      <c r="BH467" s="31">
        <v>0.85140000000000005</v>
      </c>
      <c r="BI467" s="32">
        <v>850.9</v>
      </c>
      <c r="BJ467" s="33"/>
      <c r="BK467" s="197">
        <v>0.997</v>
      </c>
      <c r="BL467" s="200">
        <v>10.43</v>
      </c>
      <c r="BM467" s="199">
        <v>996.4</v>
      </c>
      <c r="BN467" s="33"/>
      <c r="BO467" s="37">
        <v>997</v>
      </c>
      <c r="BP467" s="38">
        <v>0.99760000000000004</v>
      </c>
      <c r="BQ467" s="39">
        <v>10.34</v>
      </c>
      <c r="BR467" s="520"/>
    </row>
    <row r="468" spans="37:70">
      <c r="AK468" s="2482"/>
      <c r="BG468" s="30">
        <v>34.799999999999997</v>
      </c>
      <c r="BH468" s="31">
        <v>0.85089999999999999</v>
      </c>
      <c r="BI468" s="32">
        <v>850.4</v>
      </c>
      <c r="BJ468" s="33"/>
      <c r="BK468" s="197">
        <v>0.998</v>
      </c>
      <c r="BL468" s="200">
        <v>10.28</v>
      </c>
      <c r="BM468" s="199">
        <v>997.4</v>
      </c>
      <c r="BN468" s="33"/>
      <c r="BO468" s="37">
        <v>998</v>
      </c>
      <c r="BP468" s="38">
        <v>0.99860000000000004</v>
      </c>
      <c r="BQ468" s="39">
        <v>10.199999999999999</v>
      </c>
      <c r="BR468" s="520"/>
    </row>
    <row r="469" spans="37:70">
      <c r="AK469" s="2482"/>
      <c r="BG469" s="30">
        <v>34.9</v>
      </c>
      <c r="BH469" s="31">
        <v>0.85040000000000004</v>
      </c>
      <c r="BI469" s="32">
        <v>849.9</v>
      </c>
      <c r="BJ469" s="33"/>
      <c r="BK469" s="197">
        <v>0.999</v>
      </c>
      <c r="BL469" s="200">
        <v>10.14</v>
      </c>
      <c r="BM469" s="199">
        <v>998.4</v>
      </c>
      <c r="BN469" s="33"/>
      <c r="BO469" s="37">
        <v>999</v>
      </c>
      <c r="BP469" s="38">
        <v>0.99960000000000004</v>
      </c>
      <c r="BQ469" s="39">
        <v>10.050000000000001</v>
      </c>
      <c r="BR469" s="520"/>
    </row>
    <row r="470" spans="37:70">
      <c r="AK470" s="2482"/>
      <c r="BG470" s="30">
        <v>35</v>
      </c>
      <c r="BH470" s="31">
        <v>0.8498</v>
      </c>
      <c r="BI470" s="32">
        <v>849.4</v>
      </c>
      <c r="BJ470" s="33"/>
      <c r="BK470" s="197">
        <v>1</v>
      </c>
      <c r="BL470" s="200">
        <v>10</v>
      </c>
      <c r="BM470" s="199">
        <v>999.4</v>
      </c>
      <c r="BN470" s="33"/>
      <c r="BO470" s="37">
        <v>1000</v>
      </c>
      <c r="BP470" s="38">
        <v>1.0005999999999999</v>
      </c>
      <c r="BQ470" s="39">
        <v>9.91</v>
      </c>
      <c r="BR470" s="520"/>
    </row>
    <row r="471" spans="37:70">
      <c r="AK471" s="2482"/>
      <c r="BG471" s="30">
        <v>35.1</v>
      </c>
      <c r="BH471" s="31">
        <v>0.84930000000000005</v>
      </c>
      <c r="BI471" s="32">
        <v>848.9</v>
      </c>
      <c r="BJ471" s="33"/>
      <c r="BK471" s="197">
        <v>1.0009999999999999</v>
      </c>
      <c r="BL471" s="200">
        <v>9.86</v>
      </c>
      <c r="BM471" s="199">
        <v>1000.4</v>
      </c>
      <c r="BN471" s="33"/>
      <c r="BO471" s="37">
        <v>1001</v>
      </c>
      <c r="BP471" s="38">
        <v>1.0016</v>
      </c>
      <c r="BQ471" s="39">
        <v>9.77</v>
      </c>
      <c r="BR471" s="520"/>
    </row>
    <row r="472" spans="37:70">
      <c r="AK472" s="2482"/>
      <c r="BG472" s="30">
        <v>35.200000000000003</v>
      </c>
      <c r="BH472" s="31">
        <v>0.8488</v>
      </c>
      <c r="BI472" s="32">
        <v>848.4</v>
      </c>
      <c r="BJ472" s="33"/>
      <c r="BK472" s="197">
        <v>1.002</v>
      </c>
      <c r="BL472" s="200">
        <v>9.7200000000000006</v>
      </c>
      <c r="BM472" s="199">
        <v>1001.4</v>
      </c>
      <c r="BN472" s="33"/>
      <c r="BO472" s="37">
        <v>1002</v>
      </c>
      <c r="BP472" s="38">
        <v>1.0025999999999999</v>
      </c>
      <c r="BQ472" s="39">
        <v>9.6300000000000008</v>
      </c>
      <c r="BR472" s="520"/>
    </row>
    <row r="473" spans="37:70">
      <c r="AK473" s="2482"/>
      <c r="BG473" s="30">
        <v>35.299999999999997</v>
      </c>
      <c r="BH473" s="31">
        <v>0.84830000000000005</v>
      </c>
      <c r="BI473" s="32">
        <v>847.9</v>
      </c>
      <c r="BJ473" s="33"/>
      <c r="BK473" s="197">
        <v>1.0029999999999999</v>
      </c>
      <c r="BL473" s="200">
        <v>9.58</v>
      </c>
      <c r="BM473" s="199">
        <v>1002.4</v>
      </c>
      <c r="BN473" s="33"/>
      <c r="BO473" s="37">
        <v>1003</v>
      </c>
      <c r="BP473" s="38">
        <v>1.0036</v>
      </c>
      <c r="BQ473" s="39">
        <v>9.49</v>
      </c>
      <c r="BR473" s="520"/>
    </row>
    <row r="474" spans="37:70">
      <c r="AK474" s="2482"/>
      <c r="BG474" s="30">
        <v>35.4</v>
      </c>
      <c r="BH474" s="31">
        <v>0.8478</v>
      </c>
      <c r="BI474" s="32">
        <v>847.4</v>
      </c>
      <c r="BJ474" s="33"/>
      <c r="BK474" s="197">
        <v>1.004</v>
      </c>
      <c r="BL474" s="200">
        <v>9.44</v>
      </c>
      <c r="BM474" s="199">
        <v>1003.4</v>
      </c>
      <c r="BN474" s="33"/>
      <c r="BO474" s="37">
        <v>1004</v>
      </c>
      <c r="BP474" s="38">
        <v>1.0045999999999999</v>
      </c>
      <c r="BQ474" s="39">
        <v>9.35</v>
      </c>
      <c r="BR474" s="520"/>
    </row>
    <row r="475" spans="37:70">
      <c r="AK475" s="2482"/>
      <c r="BG475" s="30">
        <v>35.5</v>
      </c>
      <c r="BH475" s="31">
        <v>0.84730000000000005</v>
      </c>
      <c r="BI475" s="32">
        <v>846.9</v>
      </c>
      <c r="BJ475" s="33"/>
      <c r="BK475" s="197">
        <v>1.0049999999999999</v>
      </c>
      <c r="BL475" s="200">
        <v>9.3000000000000007</v>
      </c>
      <c r="BM475" s="199">
        <v>1004.4</v>
      </c>
      <c r="BN475" s="33"/>
      <c r="BO475" s="37">
        <v>1005</v>
      </c>
      <c r="BP475" s="38">
        <v>1.0056</v>
      </c>
      <c r="BQ475" s="39">
        <v>9.2100000000000009</v>
      </c>
      <c r="BR475" s="520"/>
    </row>
    <row r="476" spans="37:70">
      <c r="AK476" s="2482"/>
      <c r="BG476" s="30">
        <v>35.6</v>
      </c>
      <c r="BH476" s="31">
        <v>0.8468</v>
      </c>
      <c r="BI476" s="32">
        <v>846.4</v>
      </c>
      <c r="BJ476" s="33"/>
      <c r="BK476" s="197">
        <v>1.006</v>
      </c>
      <c r="BL476" s="200">
        <v>9.16</v>
      </c>
      <c r="BM476" s="199">
        <v>1005.4</v>
      </c>
      <c r="BN476" s="33"/>
      <c r="BO476" s="37">
        <v>1006</v>
      </c>
      <c r="BP476" s="38">
        <v>1.0065999999999999</v>
      </c>
      <c r="BQ476" s="39">
        <v>9.07</v>
      </c>
      <c r="BR476" s="520"/>
    </row>
    <row r="477" spans="37:70">
      <c r="AK477" s="2482"/>
      <c r="BG477" s="30">
        <v>35.700000000000003</v>
      </c>
      <c r="BH477" s="31">
        <v>0.84630000000000005</v>
      </c>
      <c r="BI477" s="32">
        <v>845.8</v>
      </c>
      <c r="BJ477" s="33"/>
      <c r="BK477" s="197">
        <v>1.0069999999999999</v>
      </c>
      <c r="BL477" s="200">
        <v>9.02</v>
      </c>
      <c r="BM477" s="199">
        <v>1006.4</v>
      </c>
      <c r="BN477" s="33"/>
      <c r="BO477" s="37">
        <v>1007</v>
      </c>
      <c r="BP477" s="38">
        <v>1.0076000000000001</v>
      </c>
      <c r="BQ477" s="39">
        <v>8.93</v>
      </c>
      <c r="BR477" s="520"/>
    </row>
    <row r="478" spans="37:70">
      <c r="AK478" s="2482"/>
      <c r="BG478" s="30">
        <v>35.799999999999997</v>
      </c>
      <c r="BH478" s="31">
        <v>0.8458</v>
      </c>
      <c r="BI478" s="32">
        <v>845.3</v>
      </c>
      <c r="BJ478" s="33"/>
      <c r="BK478" s="197">
        <v>1.008</v>
      </c>
      <c r="BL478" s="200">
        <v>8.8800000000000008</v>
      </c>
      <c r="BM478" s="199">
        <v>1007.4</v>
      </c>
      <c r="BN478" s="33"/>
      <c r="BO478" s="37">
        <v>1008</v>
      </c>
      <c r="BP478" s="38">
        <v>1.0085999999999999</v>
      </c>
      <c r="BQ478" s="39">
        <v>8.7899999999999991</v>
      </c>
      <c r="BR478" s="520"/>
    </row>
    <row r="479" spans="37:70">
      <c r="AK479" s="2482"/>
      <c r="BG479" s="30">
        <v>35.9</v>
      </c>
      <c r="BH479" s="31">
        <v>0.84530000000000005</v>
      </c>
      <c r="BI479" s="32">
        <v>844.8</v>
      </c>
      <c r="BJ479" s="33"/>
      <c r="BK479" s="197">
        <v>1.0089999999999999</v>
      </c>
      <c r="BL479" s="200">
        <v>8.74</v>
      </c>
      <c r="BM479" s="199">
        <v>1008.4</v>
      </c>
      <c r="BN479" s="33"/>
      <c r="BO479" s="37">
        <v>1009</v>
      </c>
      <c r="BP479" s="38">
        <v>1.0096000000000001</v>
      </c>
      <c r="BQ479" s="39">
        <v>8.65</v>
      </c>
      <c r="BR479" s="520"/>
    </row>
    <row r="480" spans="37:70">
      <c r="AK480" s="2482"/>
      <c r="BG480" s="30">
        <v>36</v>
      </c>
      <c r="BH480" s="31">
        <v>0.8448</v>
      </c>
      <c r="BI480" s="32">
        <v>844.3</v>
      </c>
      <c r="BJ480" s="33"/>
      <c r="BK480" s="197">
        <v>1.01</v>
      </c>
      <c r="BL480" s="200">
        <v>8.6</v>
      </c>
      <c r="BM480" s="199">
        <v>1009.4</v>
      </c>
      <c r="BN480" s="33"/>
      <c r="BO480" s="37">
        <v>1010</v>
      </c>
      <c r="BP480" s="38">
        <v>1.0105999999999999</v>
      </c>
      <c r="BQ480" s="39">
        <v>8.51</v>
      </c>
      <c r="BR480" s="520"/>
    </row>
    <row r="481" spans="37:70">
      <c r="AK481" s="2482"/>
      <c r="BG481" s="30">
        <v>36.1</v>
      </c>
      <c r="BH481" s="31">
        <v>0.84430000000000005</v>
      </c>
      <c r="BI481" s="32">
        <v>843.8</v>
      </c>
      <c r="BJ481" s="33"/>
      <c r="BK481" s="197">
        <v>1.0109999999999999</v>
      </c>
      <c r="BL481" s="200">
        <v>8.4600000000000009</v>
      </c>
      <c r="BM481" s="199">
        <v>1010.4</v>
      </c>
      <c r="BN481" s="33"/>
      <c r="BO481" s="37">
        <v>1011</v>
      </c>
      <c r="BP481" s="38">
        <v>1.0116000000000001</v>
      </c>
      <c r="BQ481" s="39">
        <v>8.3699999999999992</v>
      </c>
      <c r="BR481" s="520"/>
    </row>
    <row r="482" spans="37:70">
      <c r="AK482" s="2482"/>
      <c r="BG482" s="30">
        <v>36.200000000000003</v>
      </c>
      <c r="BH482" s="31">
        <v>0.84379999999999999</v>
      </c>
      <c r="BI482" s="32">
        <v>843.3</v>
      </c>
      <c r="BJ482" s="33"/>
      <c r="BK482" s="197">
        <v>1.012</v>
      </c>
      <c r="BL482" s="200">
        <v>8.32</v>
      </c>
      <c r="BM482" s="199">
        <v>1011.4</v>
      </c>
      <c r="BN482" s="33"/>
      <c r="BO482" s="37">
        <v>1012</v>
      </c>
      <c r="BP482" s="38">
        <v>1.0125999999999999</v>
      </c>
      <c r="BQ482" s="39">
        <v>8.24</v>
      </c>
      <c r="BR482" s="520"/>
    </row>
    <row r="483" spans="37:70">
      <c r="AK483" s="2482"/>
      <c r="BG483" s="30">
        <v>36.299999999999997</v>
      </c>
      <c r="BH483" s="31">
        <v>0.84330000000000005</v>
      </c>
      <c r="BI483" s="32">
        <v>842.8</v>
      </c>
      <c r="BJ483" s="33"/>
      <c r="BK483" s="197">
        <v>1.0129999999999999</v>
      </c>
      <c r="BL483" s="200">
        <v>8.18</v>
      </c>
      <c r="BM483" s="199">
        <v>1012.4</v>
      </c>
      <c r="BN483" s="33"/>
      <c r="BO483" s="37">
        <v>1013</v>
      </c>
      <c r="BP483" s="38">
        <v>1.0136000000000001</v>
      </c>
      <c r="BQ483" s="39">
        <v>8.1</v>
      </c>
      <c r="BR483" s="520"/>
    </row>
    <row r="484" spans="37:70">
      <c r="AK484" s="2482"/>
      <c r="BG484" s="30">
        <v>36.4</v>
      </c>
      <c r="BH484" s="31">
        <v>0.84279999999999999</v>
      </c>
      <c r="BI484" s="32">
        <v>842.3</v>
      </c>
      <c r="BJ484" s="33"/>
      <c r="BK484" s="197">
        <v>1.014</v>
      </c>
      <c r="BL484" s="200">
        <v>8.0500000000000007</v>
      </c>
      <c r="BM484" s="199">
        <v>1013.4</v>
      </c>
      <c r="BN484" s="33"/>
      <c r="BO484" s="37">
        <v>1014</v>
      </c>
      <c r="BP484" s="38">
        <v>1.0145999999999999</v>
      </c>
      <c r="BQ484" s="39">
        <v>7.96</v>
      </c>
      <c r="BR484" s="520"/>
    </row>
    <row r="485" spans="37:70">
      <c r="AK485" s="2482"/>
      <c r="BG485" s="30">
        <v>36.5</v>
      </c>
      <c r="BH485" s="31">
        <v>0.84230000000000005</v>
      </c>
      <c r="BI485" s="32">
        <v>841.8</v>
      </c>
      <c r="BJ485" s="33"/>
      <c r="BK485" s="197">
        <v>1.0149999999999999</v>
      </c>
      <c r="BL485" s="200">
        <v>7.91</v>
      </c>
      <c r="BM485" s="199">
        <v>1014.4</v>
      </c>
      <c r="BN485" s="33"/>
      <c r="BO485" s="37">
        <v>1015</v>
      </c>
      <c r="BP485" s="38">
        <v>1.0156000000000001</v>
      </c>
      <c r="BQ485" s="39">
        <v>7.82</v>
      </c>
      <c r="BR485" s="520"/>
    </row>
    <row r="486" spans="37:70">
      <c r="AK486" s="2482"/>
      <c r="BG486" s="30">
        <v>36.6</v>
      </c>
      <c r="BH486" s="31">
        <v>0.84179999999999999</v>
      </c>
      <c r="BI486" s="32">
        <v>841.3</v>
      </c>
      <c r="BJ486" s="33"/>
      <c r="BK486" s="197">
        <v>1.016</v>
      </c>
      <c r="BL486" s="200">
        <v>7.77</v>
      </c>
      <c r="BM486" s="199">
        <v>1015.4</v>
      </c>
      <c r="BN486" s="33"/>
      <c r="BO486" s="37">
        <v>1016</v>
      </c>
      <c r="BP486" s="38">
        <v>1.0165999999999999</v>
      </c>
      <c r="BQ486" s="39">
        <v>7.69</v>
      </c>
      <c r="BR486" s="520"/>
    </row>
    <row r="487" spans="37:70">
      <c r="AK487" s="2482"/>
      <c r="BG487" s="30">
        <v>36.700000000000003</v>
      </c>
      <c r="BH487" s="31">
        <v>0.84130000000000005</v>
      </c>
      <c r="BI487" s="32">
        <v>840.8</v>
      </c>
      <c r="BJ487" s="33"/>
      <c r="BK487" s="197">
        <v>1.0169999999999999</v>
      </c>
      <c r="BL487" s="200">
        <v>7.63</v>
      </c>
      <c r="BM487" s="199">
        <v>1016.4</v>
      </c>
      <c r="BN487" s="33"/>
      <c r="BO487" s="37">
        <v>1017</v>
      </c>
      <c r="BP487" s="38">
        <v>1.0176000000000001</v>
      </c>
      <c r="BQ487" s="39">
        <v>7.55</v>
      </c>
      <c r="BR487" s="520"/>
    </row>
    <row r="488" spans="37:70">
      <c r="AK488" s="2482"/>
      <c r="BG488" s="30">
        <v>36.799999999999997</v>
      </c>
      <c r="BH488" s="31">
        <v>0.84079999999999999</v>
      </c>
      <c r="BI488" s="32">
        <v>840.3</v>
      </c>
      <c r="BJ488" s="33"/>
      <c r="BK488" s="197">
        <v>1.018</v>
      </c>
      <c r="BL488" s="200">
        <v>7.5</v>
      </c>
      <c r="BM488" s="199">
        <v>1017.4</v>
      </c>
      <c r="BN488" s="33"/>
      <c r="BO488" s="37">
        <v>1018</v>
      </c>
      <c r="BP488" s="38">
        <v>1.0185999999999999</v>
      </c>
      <c r="BQ488" s="39">
        <v>7.41</v>
      </c>
      <c r="BR488" s="520"/>
    </row>
    <row r="489" spans="37:70">
      <c r="AK489" s="2482"/>
      <c r="BG489" s="30">
        <v>36.9</v>
      </c>
      <c r="BH489" s="31">
        <v>0.84030000000000005</v>
      </c>
      <c r="BI489" s="32">
        <v>839.8</v>
      </c>
      <c r="BJ489" s="33"/>
      <c r="BK489" s="197">
        <v>1.0189999999999999</v>
      </c>
      <c r="BL489" s="200">
        <v>7.36</v>
      </c>
      <c r="BM489" s="199">
        <v>1018.4</v>
      </c>
      <c r="BN489" s="33"/>
      <c r="BO489" s="37">
        <v>1019</v>
      </c>
      <c r="BP489" s="38">
        <v>1.0196000000000001</v>
      </c>
      <c r="BQ489" s="39">
        <v>7.28</v>
      </c>
      <c r="BR489" s="520"/>
    </row>
    <row r="490" spans="37:70">
      <c r="AK490" s="2482"/>
      <c r="BG490" s="30">
        <v>37</v>
      </c>
      <c r="BH490" s="31">
        <v>0.83979999999999999</v>
      </c>
      <c r="BI490" s="32">
        <v>839.3</v>
      </c>
      <c r="BJ490" s="33"/>
      <c r="BK490" s="197">
        <v>1.02</v>
      </c>
      <c r="BL490" s="200">
        <v>7.23</v>
      </c>
      <c r="BM490" s="199">
        <v>1019.4</v>
      </c>
      <c r="BN490" s="33"/>
      <c r="BO490" s="37">
        <v>1020</v>
      </c>
      <c r="BP490" s="38">
        <v>1.0206</v>
      </c>
      <c r="BQ490" s="39">
        <v>7.14</v>
      </c>
      <c r="BR490" s="520"/>
    </row>
    <row r="491" spans="37:70">
      <c r="AK491" s="2482"/>
      <c r="BG491" s="30">
        <v>37.1</v>
      </c>
      <c r="BH491" s="31">
        <v>0.83930000000000005</v>
      </c>
      <c r="BI491" s="32">
        <v>838.8</v>
      </c>
      <c r="BJ491" s="33"/>
      <c r="BK491" s="197">
        <v>1.0209999999999999</v>
      </c>
      <c r="BL491" s="200">
        <v>7.09</v>
      </c>
      <c r="BM491" s="199">
        <v>1020.4</v>
      </c>
      <c r="BN491" s="33"/>
      <c r="BO491" s="37">
        <v>1021</v>
      </c>
      <c r="BP491" s="38">
        <v>1.0216000000000001</v>
      </c>
      <c r="BQ491" s="39">
        <v>7</v>
      </c>
      <c r="BR491" s="520"/>
    </row>
    <row r="492" spans="37:70">
      <c r="AK492" s="2482"/>
      <c r="BG492" s="30">
        <v>37.200000000000003</v>
      </c>
      <c r="BH492" s="31">
        <v>0.83879999999999999</v>
      </c>
      <c r="BI492" s="32">
        <v>838.3</v>
      </c>
      <c r="BJ492" s="33"/>
      <c r="BK492" s="197">
        <v>1.022</v>
      </c>
      <c r="BL492" s="200">
        <v>6.95</v>
      </c>
      <c r="BM492" s="199">
        <v>1021.4</v>
      </c>
      <c r="BN492" s="33"/>
      <c r="BO492" s="37">
        <v>1022</v>
      </c>
      <c r="BP492" s="38">
        <v>1.0226</v>
      </c>
      <c r="BQ492" s="39">
        <v>6.87</v>
      </c>
      <c r="BR492" s="520"/>
    </row>
    <row r="493" spans="37:70">
      <c r="AK493" s="2482"/>
      <c r="BG493" s="30">
        <v>37.299999999999997</v>
      </c>
      <c r="BH493" s="31">
        <v>0.83830000000000005</v>
      </c>
      <c r="BI493" s="32">
        <v>837.8</v>
      </c>
      <c r="BJ493" s="33"/>
      <c r="BK493" s="197">
        <v>1.0229999999999999</v>
      </c>
      <c r="BL493" s="200">
        <v>6.82</v>
      </c>
      <c r="BM493" s="199">
        <v>1022.4</v>
      </c>
      <c r="BN493" s="33"/>
      <c r="BO493" s="37">
        <v>1023</v>
      </c>
      <c r="BP493" s="38">
        <v>1.0236000000000001</v>
      </c>
      <c r="BQ493" s="39">
        <v>6.73</v>
      </c>
      <c r="BR493" s="520"/>
    </row>
    <row r="494" spans="37:70">
      <c r="AK494" s="2482"/>
      <c r="BG494" s="30">
        <v>37.4</v>
      </c>
      <c r="BH494" s="31">
        <v>0.83779999999999999</v>
      </c>
      <c r="BI494" s="32">
        <v>837.3</v>
      </c>
      <c r="BJ494" s="33"/>
      <c r="BK494" s="197">
        <v>1.024</v>
      </c>
      <c r="BL494" s="200">
        <v>6.68</v>
      </c>
      <c r="BM494" s="199">
        <v>1023.4</v>
      </c>
      <c r="BN494" s="33"/>
      <c r="BO494" s="37">
        <v>1024</v>
      </c>
      <c r="BP494" s="38">
        <v>1.0246</v>
      </c>
      <c r="BQ494" s="39">
        <v>6.6</v>
      </c>
      <c r="BR494" s="520"/>
    </row>
    <row r="495" spans="37:70">
      <c r="AK495" s="2482"/>
      <c r="BG495" s="30">
        <v>37.5</v>
      </c>
      <c r="BH495" s="31">
        <v>0.83730000000000004</v>
      </c>
      <c r="BI495" s="32">
        <v>836.8</v>
      </c>
      <c r="BJ495" s="33"/>
      <c r="BK495" s="197">
        <v>1.0249999999999999</v>
      </c>
      <c r="BL495" s="200">
        <v>6.55</v>
      </c>
      <c r="BM495" s="199">
        <v>1024.4000000000001</v>
      </c>
      <c r="BN495" s="33"/>
      <c r="BO495" s="37">
        <v>1025</v>
      </c>
      <c r="BP495" s="38">
        <v>1.0256000000000001</v>
      </c>
      <c r="BQ495" s="39">
        <v>6.46</v>
      </c>
      <c r="BR495" s="520"/>
    </row>
    <row r="496" spans="37:70">
      <c r="AK496" s="2482"/>
      <c r="BG496" s="30">
        <v>37.6</v>
      </c>
      <c r="BH496" s="31">
        <v>0.83679999999999999</v>
      </c>
      <c r="BI496" s="32">
        <v>836.4</v>
      </c>
      <c r="BJ496" s="33"/>
      <c r="BK496" s="197">
        <v>1.026</v>
      </c>
      <c r="BL496" s="200">
        <v>6.41</v>
      </c>
      <c r="BM496" s="199">
        <v>1025.4000000000001</v>
      </c>
      <c r="BN496" s="33"/>
      <c r="BO496" s="37">
        <v>1026</v>
      </c>
      <c r="BP496" s="38">
        <v>1.0266</v>
      </c>
      <c r="BQ496" s="39">
        <v>6.33</v>
      </c>
      <c r="BR496" s="520"/>
    </row>
    <row r="497" spans="37:70">
      <c r="AK497" s="2482"/>
      <c r="BG497" s="30">
        <v>37.700000000000003</v>
      </c>
      <c r="BH497" s="31">
        <v>0.83630000000000004</v>
      </c>
      <c r="BI497" s="32">
        <v>835.9</v>
      </c>
      <c r="BJ497" s="33"/>
      <c r="BK497" s="197">
        <v>1.0269999999999999</v>
      </c>
      <c r="BL497" s="200">
        <v>6.28</v>
      </c>
      <c r="BM497" s="199">
        <v>1026.4000000000001</v>
      </c>
      <c r="BN497" s="33"/>
      <c r="BO497" s="37">
        <v>1027</v>
      </c>
      <c r="BP497" s="38">
        <v>1.0276000000000001</v>
      </c>
      <c r="BQ497" s="39">
        <v>6.19</v>
      </c>
      <c r="BR497" s="520"/>
    </row>
    <row r="498" spans="37:70">
      <c r="AK498" s="2482"/>
      <c r="BG498" s="30">
        <v>37.799999999999997</v>
      </c>
      <c r="BH498" s="31">
        <v>0.83579999999999999</v>
      </c>
      <c r="BI498" s="32">
        <v>835.4</v>
      </c>
      <c r="BJ498" s="33"/>
      <c r="BK498" s="197">
        <v>1.028</v>
      </c>
      <c r="BL498" s="200">
        <v>6.15</v>
      </c>
      <c r="BM498" s="199">
        <v>1027.4000000000001</v>
      </c>
      <c r="BN498" s="33"/>
      <c r="BO498" s="37">
        <v>1028</v>
      </c>
      <c r="BP498" s="38">
        <v>1.0286</v>
      </c>
      <c r="BQ498" s="39">
        <v>6.06</v>
      </c>
      <c r="BR498" s="520"/>
    </row>
    <row r="499" spans="37:70">
      <c r="AK499" s="2482"/>
      <c r="BG499" s="30">
        <v>37.9</v>
      </c>
      <c r="BH499" s="31">
        <v>0.83530000000000004</v>
      </c>
      <c r="BI499" s="32">
        <v>834.9</v>
      </c>
      <c r="BJ499" s="33"/>
      <c r="BK499" s="197">
        <v>1.0289999999999999</v>
      </c>
      <c r="BL499" s="200">
        <v>6.01</v>
      </c>
      <c r="BM499" s="199">
        <v>1028.4000000000001</v>
      </c>
      <c r="BN499" s="33"/>
      <c r="BO499" s="37">
        <v>1029</v>
      </c>
      <c r="BP499" s="38">
        <v>1.0296000000000001</v>
      </c>
      <c r="BQ499" s="39">
        <v>5.93</v>
      </c>
      <c r="BR499" s="520"/>
    </row>
    <row r="500" spans="37:70">
      <c r="AK500" s="2482"/>
      <c r="BG500" s="30">
        <v>38</v>
      </c>
      <c r="BH500" s="31">
        <v>0.83479999999999999</v>
      </c>
      <c r="BI500" s="32">
        <v>834.4</v>
      </c>
      <c r="BJ500" s="33"/>
      <c r="BK500" s="197">
        <v>1.03</v>
      </c>
      <c r="BL500" s="200">
        <v>5.88</v>
      </c>
      <c r="BM500" s="199">
        <v>1029.4000000000001</v>
      </c>
      <c r="BN500" s="33"/>
      <c r="BO500" s="37">
        <v>1030</v>
      </c>
      <c r="BP500" s="38">
        <v>1.0306</v>
      </c>
      <c r="BQ500" s="39">
        <v>5.79</v>
      </c>
      <c r="BR500" s="520"/>
    </row>
    <row r="501" spans="37:70">
      <c r="AK501" s="2482"/>
      <c r="BG501" s="30">
        <v>38.1</v>
      </c>
      <c r="BH501" s="31">
        <v>0.83430000000000004</v>
      </c>
      <c r="BI501" s="32">
        <v>833.9</v>
      </c>
      <c r="BJ501" s="33"/>
      <c r="BK501" s="197">
        <v>1.0309999999999999</v>
      </c>
      <c r="BL501" s="200">
        <v>5.75</v>
      </c>
      <c r="BM501" s="199">
        <v>1030.4000000000001</v>
      </c>
      <c r="BN501" s="33"/>
      <c r="BO501" s="37">
        <v>1031</v>
      </c>
      <c r="BP501" s="38">
        <v>1.0316000000000001</v>
      </c>
      <c r="BQ501" s="39">
        <v>5.66</v>
      </c>
      <c r="BR501" s="520"/>
    </row>
    <row r="502" spans="37:70">
      <c r="AK502" s="2482"/>
      <c r="BG502" s="30">
        <v>38.200000000000003</v>
      </c>
      <c r="BH502" s="31">
        <v>0.83379999999999999</v>
      </c>
      <c r="BI502" s="32">
        <v>833.4</v>
      </c>
      <c r="BJ502" s="33"/>
      <c r="BK502" s="197">
        <v>1.032</v>
      </c>
      <c r="BL502" s="200">
        <v>5.61</v>
      </c>
      <c r="BM502" s="199">
        <v>1031.4000000000001</v>
      </c>
      <c r="BN502" s="33"/>
      <c r="BO502" s="37">
        <v>1032</v>
      </c>
      <c r="BP502" s="38">
        <v>1.0326</v>
      </c>
      <c r="BQ502" s="39">
        <v>5.53</v>
      </c>
      <c r="BR502" s="520"/>
    </row>
    <row r="503" spans="37:70">
      <c r="AK503" s="2482"/>
      <c r="BG503" s="30">
        <v>38.299999999999997</v>
      </c>
      <c r="BH503" s="31">
        <v>0.83330000000000004</v>
      </c>
      <c r="BI503" s="32">
        <v>832.9</v>
      </c>
      <c r="BJ503" s="33"/>
      <c r="BK503" s="197">
        <v>1.0329999999999999</v>
      </c>
      <c r="BL503" s="200">
        <v>5.48</v>
      </c>
      <c r="BM503" s="199">
        <v>1032.4000000000001</v>
      </c>
      <c r="BN503" s="33"/>
      <c r="BO503" s="37">
        <v>1033</v>
      </c>
      <c r="BP503" s="38">
        <v>1.0337000000000001</v>
      </c>
      <c r="BQ503" s="39">
        <v>5.39</v>
      </c>
      <c r="BR503" s="520"/>
    </row>
    <row r="504" spans="37:70">
      <c r="AK504" s="2482"/>
      <c r="BG504" s="30">
        <v>38.4</v>
      </c>
      <c r="BH504" s="31">
        <v>0.83279999999999998</v>
      </c>
      <c r="BI504" s="32">
        <v>832.4</v>
      </c>
      <c r="BJ504" s="33"/>
      <c r="BK504" s="197">
        <v>1.034</v>
      </c>
      <c r="BL504" s="200">
        <v>5.35</v>
      </c>
      <c r="BM504" s="199">
        <v>1033.3</v>
      </c>
      <c r="BN504" s="33"/>
      <c r="BO504" s="37">
        <v>1034</v>
      </c>
      <c r="BP504" s="38">
        <v>1.0347</v>
      </c>
      <c r="BQ504" s="39">
        <v>5.26</v>
      </c>
      <c r="BR504" s="520"/>
    </row>
    <row r="505" spans="37:70">
      <c r="AK505" s="2482"/>
      <c r="BG505" s="30">
        <v>38.5</v>
      </c>
      <c r="BH505" s="31">
        <v>0.83240000000000003</v>
      </c>
      <c r="BI505" s="32">
        <v>831.9</v>
      </c>
      <c r="BJ505" s="33"/>
      <c r="BK505" s="197">
        <v>1.0349999999999999</v>
      </c>
      <c r="BL505" s="200">
        <v>5.21</v>
      </c>
      <c r="BM505" s="199">
        <v>1034.3</v>
      </c>
      <c r="BN505" s="33"/>
      <c r="BO505" s="37">
        <v>1035</v>
      </c>
      <c r="BP505" s="38">
        <v>1.0357000000000001</v>
      </c>
      <c r="BQ505" s="39">
        <v>5.13</v>
      </c>
      <c r="BR505" s="520"/>
    </row>
    <row r="506" spans="37:70">
      <c r="AK506" s="2482"/>
      <c r="BG506" s="30">
        <v>38.6</v>
      </c>
      <c r="BH506" s="31">
        <v>0.83189999999999997</v>
      </c>
      <c r="BI506" s="32">
        <v>831.4</v>
      </c>
      <c r="BJ506" s="33"/>
      <c r="BK506" s="197">
        <v>1.036</v>
      </c>
      <c r="BL506" s="200">
        <v>5.08</v>
      </c>
      <c r="BM506" s="199">
        <v>1035.3</v>
      </c>
      <c r="BN506" s="33"/>
      <c r="BO506" s="37">
        <v>1036</v>
      </c>
      <c r="BP506" s="38">
        <v>1.0367</v>
      </c>
      <c r="BQ506" s="39">
        <v>5</v>
      </c>
      <c r="BR506" s="520"/>
    </row>
    <row r="507" spans="37:70">
      <c r="AK507" s="2482"/>
      <c r="BG507" s="30">
        <v>38.700000000000003</v>
      </c>
      <c r="BH507" s="31">
        <v>0.83140000000000003</v>
      </c>
      <c r="BI507" s="32">
        <v>831</v>
      </c>
      <c r="BJ507" s="33"/>
      <c r="BK507" s="197">
        <v>1.0369999999999999</v>
      </c>
      <c r="BL507" s="200">
        <v>4.95</v>
      </c>
      <c r="BM507" s="199">
        <v>1036.3</v>
      </c>
      <c r="BN507" s="33"/>
      <c r="BO507" s="37">
        <v>1037</v>
      </c>
      <c r="BP507" s="38">
        <v>1.0377000000000001</v>
      </c>
      <c r="BQ507" s="39">
        <v>4.87</v>
      </c>
      <c r="BR507" s="520"/>
    </row>
    <row r="508" spans="37:70">
      <c r="AK508" s="2482"/>
      <c r="BG508" s="30">
        <v>38.799999999999997</v>
      </c>
      <c r="BH508" s="31">
        <v>0.83089999999999997</v>
      </c>
      <c r="BI508" s="32">
        <v>830.5</v>
      </c>
      <c r="BJ508" s="33"/>
      <c r="BK508" s="197">
        <v>1.038</v>
      </c>
      <c r="BL508" s="200">
        <v>4.82</v>
      </c>
      <c r="BM508" s="199">
        <v>1037.3</v>
      </c>
      <c r="BN508" s="33"/>
      <c r="BO508" s="37">
        <v>1038</v>
      </c>
      <c r="BP508" s="38">
        <v>1.0387</v>
      </c>
      <c r="BQ508" s="39">
        <v>4.7300000000000004</v>
      </c>
      <c r="BR508" s="520"/>
    </row>
    <row r="509" spans="37:70">
      <c r="AK509" s="2482"/>
      <c r="BG509" s="30">
        <v>38.9</v>
      </c>
      <c r="BH509" s="31">
        <v>0.83040000000000003</v>
      </c>
      <c r="BI509" s="32">
        <v>830</v>
      </c>
      <c r="BJ509" s="33"/>
      <c r="BK509" s="197">
        <v>1.0389999999999999</v>
      </c>
      <c r="BL509" s="200">
        <v>4.6900000000000004</v>
      </c>
      <c r="BM509" s="199">
        <v>1038.3</v>
      </c>
      <c r="BN509" s="33"/>
      <c r="BO509" s="37">
        <v>1039</v>
      </c>
      <c r="BP509" s="38">
        <v>1.0397000000000001</v>
      </c>
      <c r="BQ509" s="39">
        <v>4.5999999999999996</v>
      </c>
      <c r="BR509" s="520"/>
    </row>
    <row r="510" spans="37:70">
      <c r="AK510" s="2482"/>
      <c r="BG510" s="30">
        <v>39</v>
      </c>
      <c r="BH510" s="31">
        <v>0.82989999999999997</v>
      </c>
      <c r="BI510" s="32">
        <v>829.5</v>
      </c>
      <c r="BJ510" s="33"/>
      <c r="BK510" s="197">
        <v>1.04</v>
      </c>
      <c r="BL510" s="200">
        <v>4.5599999999999996</v>
      </c>
      <c r="BM510" s="199">
        <v>1039.3</v>
      </c>
      <c r="BN510" s="33"/>
      <c r="BO510" s="37">
        <v>1040</v>
      </c>
      <c r="BP510" s="38">
        <v>1.0407</v>
      </c>
      <c r="BQ510" s="39">
        <v>4.47</v>
      </c>
      <c r="BR510" s="520"/>
    </row>
    <row r="511" spans="37:70">
      <c r="AK511" s="2482"/>
      <c r="BG511" s="30">
        <v>39.1</v>
      </c>
      <c r="BH511" s="31">
        <v>0.82940000000000003</v>
      </c>
      <c r="BI511" s="32">
        <v>829</v>
      </c>
      <c r="BJ511" s="33"/>
      <c r="BK511" s="197">
        <v>1.0409999999999999</v>
      </c>
      <c r="BL511" s="200">
        <v>4.43</v>
      </c>
      <c r="BM511" s="199">
        <v>1040.3</v>
      </c>
      <c r="BN511" s="33"/>
      <c r="BO511" s="37">
        <v>1041</v>
      </c>
      <c r="BP511" s="38">
        <v>1.0417000000000001</v>
      </c>
      <c r="BQ511" s="39">
        <v>4.34</v>
      </c>
      <c r="BR511" s="520"/>
    </row>
    <row r="512" spans="37:70">
      <c r="AK512" s="2482"/>
      <c r="BG512" s="30">
        <v>39.200000000000003</v>
      </c>
      <c r="BH512" s="31">
        <v>0.82889999999999997</v>
      </c>
      <c r="BI512" s="32">
        <v>828.5</v>
      </c>
      <c r="BJ512" s="33"/>
      <c r="BK512" s="197">
        <v>1.042</v>
      </c>
      <c r="BL512" s="200">
        <v>4.3</v>
      </c>
      <c r="BM512" s="199">
        <v>1041.3</v>
      </c>
      <c r="BN512" s="33"/>
      <c r="BO512" s="37">
        <v>1042</v>
      </c>
      <c r="BP512" s="38">
        <v>1.0427</v>
      </c>
      <c r="BQ512" s="39">
        <v>4.21</v>
      </c>
      <c r="BR512" s="520"/>
    </row>
    <row r="513" spans="37:70">
      <c r="AK513" s="2482"/>
      <c r="BG513" s="30">
        <v>39.299999999999997</v>
      </c>
      <c r="BH513" s="31">
        <v>0.82850000000000001</v>
      </c>
      <c r="BI513" s="32">
        <v>828</v>
      </c>
      <c r="BJ513" s="33"/>
      <c r="BK513" s="197">
        <v>1.0429999999999999</v>
      </c>
      <c r="BL513" s="200">
        <v>4.17</v>
      </c>
      <c r="BM513" s="199">
        <v>1042.3</v>
      </c>
      <c r="BN513" s="33"/>
      <c r="BO513" s="37">
        <v>1043</v>
      </c>
      <c r="BP513" s="38">
        <v>1.0437000000000001</v>
      </c>
      <c r="BQ513" s="39">
        <v>4.08</v>
      </c>
      <c r="BR513" s="520"/>
    </row>
    <row r="514" spans="37:70">
      <c r="AK514" s="2482"/>
      <c r="BG514" s="30">
        <v>39.4</v>
      </c>
      <c r="BH514" s="31">
        <v>0.82799999999999996</v>
      </c>
      <c r="BI514" s="32">
        <v>827.6</v>
      </c>
      <c r="BJ514" s="33"/>
      <c r="BK514" s="197">
        <v>1.044</v>
      </c>
      <c r="BL514" s="200">
        <v>4.04</v>
      </c>
      <c r="BM514" s="199">
        <v>1043.3</v>
      </c>
      <c r="BN514" s="33"/>
      <c r="BO514" s="37">
        <v>1044</v>
      </c>
      <c r="BP514" s="38">
        <v>1.0447</v>
      </c>
      <c r="BQ514" s="39">
        <v>3.95</v>
      </c>
      <c r="BR514" s="520"/>
    </row>
    <row r="515" spans="37:70">
      <c r="AK515" s="2482"/>
      <c r="BG515" s="30">
        <v>39.5</v>
      </c>
      <c r="BH515" s="31">
        <v>0.82750000000000001</v>
      </c>
      <c r="BI515" s="32">
        <v>827.13</v>
      </c>
      <c r="BJ515" s="33"/>
      <c r="BK515" s="197">
        <v>1.0449999999999999</v>
      </c>
      <c r="BL515" s="200">
        <v>3.91</v>
      </c>
      <c r="BM515" s="199">
        <v>1044.3</v>
      </c>
      <c r="BN515" s="33"/>
      <c r="BO515" s="37">
        <v>1045</v>
      </c>
      <c r="BP515" s="38">
        <v>1.0457000000000001</v>
      </c>
      <c r="BQ515" s="39">
        <v>3.82</v>
      </c>
      <c r="BR515" s="520"/>
    </row>
    <row r="516" spans="37:70">
      <c r="AK516" s="2482"/>
      <c r="BG516" s="30">
        <v>39.6</v>
      </c>
      <c r="BH516" s="31">
        <v>0.82699999999999996</v>
      </c>
      <c r="BI516" s="32">
        <v>826.6</v>
      </c>
      <c r="BJ516" s="33"/>
      <c r="BK516" s="197">
        <v>1.046</v>
      </c>
      <c r="BL516" s="200">
        <v>3.78</v>
      </c>
      <c r="BM516" s="199">
        <v>1045.3</v>
      </c>
      <c r="BN516" s="33"/>
      <c r="BO516" s="37">
        <v>1046</v>
      </c>
      <c r="BP516" s="38">
        <v>1.0467</v>
      </c>
      <c r="BQ516" s="39">
        <v>3.69</v>
      </c>
      <c r="BR516" s="520"/>
    </row>
    <row r="517" spans="37:70">
      <c r="AK517" s="2482"/>
      <c r="BG517" s="30">
        <v>39.700000000000003</v>
      </c>
      <c r="BH517" s="31">
        <v>0.82650000000000001</v>
      </c>
      <c r="BI517" s="32">
        <v>826.1</v>
      </c>
      <c r="BJ517" s="33"/>
      <c r="BK517" s="197">
        <v>1.0469999999999999</v>
      </c>
      <c r="BL517" s="200">
        <v>3.65</v>
      </c>
      <c r="BM517" s="199">
        <v>1046.3</v>
      </c>
      <c r="BN517" s="33"/>
      <c r="BO517" s="37">
        <v>1047</v>
      </c>
      <c r="BP517" s="38">
        <v>1.0477000000000001</v>
      </c>
      <c r="BQ517" s="39">
        <v>3.56</v>
      </c>
      <c r="BR517" s="520"/>
    </row>
    <row r="518" spans="37:70">
      <c r="AK518" s="2482"/>
      <c r="BG518" s="30">
        <v>39.799999999999997</v>
      </c>
      <c r="BH518" s="31">
        <v>0.82599999999999996</v>
      </c>
      <c r="BI518" s="32">
        <v>825.6</v>
      </c>
      <c r="BJ518" s="33"/>
      <c r="BK518" s="197">
        <v>1.048</v>
      </c>
      <c r="BL518" s="200">
        <v>3.52</v>
      </c>
      <c r="BM518" s="199">
        <v>1047.3</v>
      </c>
      <c r="BN518" s="33"/>
      <c r="BO518" s="37">
        <v>1048</v>
      </c>
      <c r="BP518" s="38">
        <v>1.0487</v>
      </c>
      <c r="BQ518" s="39">
        <v>3.43</v>
      </c>
      <c r="BR518" s="520"/>
    </row>
    <row r="519" spans="37:70">
      <c r="AK519" s="2482"/>
      <c r="BG519" s="30">
        <v>39.9</v>
      </c>
      <c r="BH519" s="31">
        <v>0.8256</v>
      </c>
      <c r="BI519" s="32">
        <v>825.1</v>
      </c>
      <c r="BJ519" s="33"/>
      <c r="BK519" s="197">
        <v>1.0489999999999999</v>
      </c>
      <c r="BL519" s="200">
        <v>3.39</v>
      </c>
      <c r="BM519" s="199">
        <v>1048.3</v>
      </c>
      <c r="BN519" s="33"/>
      <c r="BO519" s="37">
        <v>1049</v>
      </c>
      <c r="BP519" s="38">
        <v>1.0497000000000001</v>
      </c>
      <c r="BQ519" s="39">
        <v>3.3</v>
      </c>
      <c r="BR519" s="520"/>
    </row>
    <row r="520" spans="37:70">
      <c r="AK520" s="2482"/>
      <c r="BG520" s="30">
        <v>40</v>
      </c>
      <c r="BH520" s="31">
        <v>0.82509999999999994</v>
      </c>
      <c r="BI520" s="32">
        <v>824.7</v>
      </c>
      <c r="BJ520" s="33"/>
      <c r="BK520" s="197">
        <v>1.05</v>
      </c>
      <c r="BL520" s="200">
        <v>3.26</v>
      </c>
      <c r="BM520" s="199">
        <v>1049.3</v>
      </c>
      <c r="BN520" s="33"/>
      <c r="BO520" s="37">
        <v>1050</v>
      </c>
      <c r="BP520" s="38">
        <v>1.0507</v>
      </c>
      <c r="BQ520" s="39">
        <v>3.18</v>
      </c>
      <c r="BR520" s="520"/>
    </row>
    <row r="521" spans="37:70">
      <c r="AK521" s="2482"/>
      <c r="BG521" s="30">
        <v>40.1</v>
      </c>
      <c r="BH521" s="31">
        <v>0.8246</v>
      </c>
      <c r="BI521" s="32">
        <v>824.2</v>
      </c>
      <c r="BJ521" s="33"/>
      <c r="BK521" s="197">
        <v>1.0509999999999999</v>
      </c>
      <c r="BL521" s="200">
        <v>3.13</v>
      </c>
      <c r="BM521" s="199">
        <v>1050.3</v>
      </c>
      <c r="BN521" s="33"/>
      <c r="BO521" s="37">
        <v>1051</v>
      </c>
      <c r="BP521" s="38">
        <v>1.0517000000000001</v>
      </c>
      <c r="BQ521" s="39">
        <v>3.05</v>
      </c>
      <c r="BR521" s="520"/>
    </row>
    <row r="522" spans="37:70">
      <c r="AK522" s="2482"/>
      <c r="BG522" s="30">
        <v>40.200000000000003</v>
      </c>
      <c r="BH522" s="31">
        <v>0.82410000000000005</v>
      </c>
      <c r="BI522" s="32">
        <v>823.7</v>
      </c>
      <c r="BJ522" s="33"/>
      <c r="BK522" s="197">
        <v>1.052</v>
      </c>
      <c r="BL522" s="200">
        <v>3.01</v>
      </c>
      <c r="BM522" s="199">
        <v>1051.3</v>
      </c>
      <c r="BN522" s="33"/>
      <c r="BO522" s="37">
        <v>1052</v>
      </c>
      <c r="BP522" s="38">
        <v>1.0527</v>
      </c>
      <c r="BQ522" s="39">
        <v>2.92</v>
      </c>
      <c r="BR522" s="520"/>
    </row>
    <row r="523" spans="37:70">
      <c r="AK523" s="2482"/>
      <c r="BG523" s="30">
        <v>40.299999999999997</v>
      </c>
      <c r="BH523" s="31">
        <v>0.8236</v>
      </c>
      <c r="BI523" s="32">
        <v>823.2</v>
      </c>
      <c r="BJ523" s="33"/>
      <c r="BK523" s="197">
        <v>1.0529999999999999</v>
      </c>
      <c r="BL523" s="200">
        <v>2.88</v>
      </c>
      <c r="BM523" s="199">
        <v>1052.3</v>
      </c>
      <c r="BN523" s="33"/>
      <c r="BO523" s="37">
        <v>1053</v>
      </c>
      <c r="BP523" s="38">
        <v>1.0537000000000001</v>
      </c>
      <c r="BQ523" s="39">
        <v>2.79</v>
      </c>
      <c r="BR523" s="520"/>
    </row>
    <row r="524" spans="37:70">
      <c r="AK524" s="2482"/>
      <c r="BG524" s="30">
        <v>40.4</v>
      </c>
      <c r="BH524" s="31">
        <v>0.82320000000000004</v>
      </c>
      <c r="BI524" s="32">
        <v>822.7</v>
      </c>
      <c r="BJ524" s="33"/>
      <c r="BK524" s="197">
        <v>1.054</v>
      </c>
      <c r="BL524" s="200">
        <v>2.75</v>
      </c>
      <c r="BM524" s="199">
        <v>1053.3</v>
      </c>
      <c r="BN524" s="33"/>
      <c r="BO524" s="37">
        <v>1054</v>
      </c>
      <c r="BP524" s="38">
        <v>1.0547</v>
      </c>
      <c r="BQ524" s="39">
        <v>2.66</v>
      </c>
      <c r="BR524" s="520"/>
    </row>
    <row r="525" spans="37:70">
      <c r="AK525" s="2482"/>
      <c r="BG525" s="30">
        <v>40.5</v>
      </c>
      <c r="BH525" s="31">
        <v>0.82269999999999999</v>
      </c>
      <c r="BI525" s="32">
        <v>822.3</v>
      </c>
      <c r="BJ525" s="33"/>
      <c r="BK525" s="197">
        <v>1.0549999999999999</v>
      </c>
      <c r="BL525" s="200">
        <v>2.62</v>
      </c>
      <c r="BM525" s="199">
        <v>1054.3</v>
      </c>
      <c r="BN525" s="33"/>
      <c r="BO525" s="37">
        <v>1055</v>
      </c>
      <c r="BP525" s="38">
        <v>1.0557000000000001</v>
      </c>
      <c r="BQ525" s="39">
        <v>2.54</v>
      </c>
      <c r="BR525" s="520"/>
    </row>
    <row r="526" spans="37:70">
      <c r="AK526" s="2482"/>
      <c r="BG526" s="30">
        <v>40.6</v>
      </c>
      <c r="BH526" s="31">
        <v>0.82220000000000004</v>
      </c>
      <c r="BI526" s="32">
        <v>821.8</v>
      </c>
      <c r="BJ526" s="33"/>
      <c r="BK526" s="197">
        <v>1.056</v>
      </c>
      <c r="BL526" s="200">
        <v>2.5</v>
      </c>
      <c r="BM526" s="199">
        <v>1055.3</v>
      </c>
      <c r="BN526" s="33"/>
      <c r="BO526" s="37">
        <v>1056</v>
      </c>
      <c r="BP526" s="38">
        <v>1.0567</v>
      </c>
      <c r="BQ526" s="39">
        <v>2.41</v>
      </c>
      <c r="BR526" s="520"/>
    </row>
    <row r="527" spans="37:70">
      <c r="AK527" s="2482"/>
      <c r="BG527" s="30">
        <v>40.700000000000003</v>
      </c>
      <c r="BH527" s="31">
        <v>0.82169999999999999</v>
      </c>
      <c r="BI527" s="32">
        <v>821.3</v>
      </c>
      <c r="BJ527" s="33"/>
      <c r="BK527" s="197">
        <v>1.0569999999999999</v>
      </c>
      <c r="BL527" s="200">
        <v>2.37</v>
      </c>
      <c r="BM527" s="199">
        <v>1056.3</v>
      </c>
      <c r="BN527" s="33"/>
      <c r="BO527" s="37">
        <v>1057</v>
      </c>
      <c r="BP527" s="38">
        <v>1.0577000000000001</v>
      </c>
      <c r="BQ527" s="39">
        <v>2.2799999999999998</v>
      </c>
      <c r="BR527" s="520"/>
    </row>
    <row r="528" spans="37:70">
      <c r="AK528" s="2482"/>
      <c r="BG528" s="30">
        <v>40.799999999999997</v>
      </c>
      <c r="BH528" s="31">
        <v>0.82120000000000004</v>
      </c>
      <c r="BI528" s="32">
        <v>820.8</v>
      </c>
      <c r="BJ528" s="33"/>
      <c r="BK528" s="197">
        <v>1.0580000000000001</v>
      </c>
      <c r="BL528" s="200">
        <v>2.2400000000000002</v>
      </c>
      <c r="BM528" s="199">
        <v>1057.3</v>
      </c>
      <c r="BN528" s="33"/>
      <c r="BO528" s="37">
        <v>1058</v>
      </c>
      <c r="BP528" s="38">
        <v>1.0587</v>
      </c>
      <c r="BQ528" s="39">
        <v>2.16</v>
      </c>
      <c r="BR528" s="520"/>
    </row>
    <row r="529" spans="37:70">
      <c r="AK529" s="2482"/>
      <c r="BG529" s="30">
        <v>40.9</v>
      </c>
      <c r="BH529" s="31">
        <v>0.82079999999999997</v>
      </c>
      <c r="BI529" s="32">
        <v>820.4</v>
      </c>
      <c r="BJ529" s="33"/>
      <c r="BK529" s="197">
        <v>1.0589999999999999</v>
      </c>
      <c r="BL529" s="200">
        <v>2.12</v>
      </c>
      <c r="BM529" s="199">
        <v>1058.3</v>
      </c>
      <c r="BN529" s="33"/>
      <c r="BO529" s="37">
        <v>1059</v>
      </c>
      <c r="BP529" s="38">
        <v>1.0597000000000001</v>
      </c>
      <c r="BQ529" s="39">
        <v>2.0299999999999998</v>
      </c>
      <c r="BR529" s="520"/>
    </row>
    <row r="530" spans="37:70">
      <c r="AK530" s="2482"/>
      <c r="BG530" s="30">
        <v>41</v>
      </c>
      <c r="BH530" s="31">
        <v>0.82030000000000003</v>
      </c>
      <c r="BI530" s="32">
        <v>819.9</v>
      </c>
      <c r="BJ530" s="33"/>
      <c r="BK530" s="197">
        <v>1.06</v>
      </c>
      <c r="BL530" s="200">
        <v>1.99</v>
      </c>
      <c r="BM530" s="199">
        <v>1059.3</v>
      </c>
      <c r="BN530" s="33"/>
      <c r="BO530" s="37">
        <v>1060</v>
      </c>
      <c r="BP530" s="38">
        <v>1.0607</v>
      </c>
      <c r="BQ530" s="39">
        <v>1.91</v>
      </c>
      <c r="BR530" s="520"/>
    </row>
    <row r="531" spans="37:70">
      <c r="AK531" s="2482"/>
      <c r="BG531" s="30">
        <v>41.1</v>
      </c>
      <c r="BH531" s="31">
        <v>0.81979999999999997</v>
      </c>
      <c r="BI531" s="32">
        <v>819.4</v>
      </c>
      <c r="BJ531" s="33"/>
      <c r="BK531" s="197">
        <v>1.0609999999999999</v>
      </c>
      <c r="BL531" s="200">
        <v>1.86</v>
      </c>
      <c r="BM531" s="199">
        <v>1060.3</v>
      </c>
      <c r="BN531" s="33"/>
      <c r="BO531" s="37">
        <v>1061</v>
      </c>
      <c r="BP531" s="38">
        <v>1.0617000000000001</v>
      </c>
      <c r="BQ531" s="39">
        <v>1.78</v>
      </c>
      <c r="BR531" s="520"/>
    </row>
    <row r="532" spans="37:70">
      <c r="AK532" s="2482"/>
      <c r="BG532" s="30">
        <v>41.2</v>
      </c>
      <c r="BH532" s="31">
        <v>0.81930000000000003</v>
      </c>
      <c r="BI532" s="32">
        <v>818.9</v>
      </c>
      <c r="BJ532" s="33"/>
      <c r="BK532" s="197">
        <v>1.0620000000000001</v>
      </c>
      <c r="BL532" s="200">
        <v>1.74</v>
      </c>
      <c r="BM532" s="199">
        <v>1061.3</v>
      </c>
      <c r="BN532" s="33"/>
      <c r="BO532" s="37">
        <v>1062</v>
      </c>
      <c r="BP532" s="38">
        <v>1.0627</v>
      </c>
      <c r="BQ532" s="39">
        <v>1.65</v>
      </c>
      <c r="BR532" s="520"/>
    </row>
    <row r="533" spans="37:70">
      <c r="AK533" s="2482"/>
      <c r="BG533" s="30">
        <v>41.3</v>
      </c>
      <c r="BH533" s="31">
        <v>0.81889999999999996</v>
      </c>
      <c r="BI533" s="32">
        <v>818.5</v>
      </c>
      <c r="BJ533" s="33"/>
      <c r="BK533" s="197">
        <v>1.0629999999999999</v>
      </c>
      <c r="BL533" s="200">
        <v>1.61</v>
      </c>
      <c r="BM533" s="199">
        <v>1062.3</v>
      </c>
      <c r="BN533" s="33"/>
      <c r="BO533" s="37">
        <v>1063</v>
      </c>
      <c r="BP533" s="38">
        <v>1.0637000000000001</v>
      </c>
      <c r="BQ533" s="39">
        <v>1.53</v>
      </c>
      <c r="BR533" s="520"/>
    </row>
    <row r="534" spans="37:70">
      <c r="AK534" s="2482"/>
      <c r="BG534" s="30">
        <v>41.4</v>
      </c>
      <c r="BH534" s="31">
        <v>0.81840000000000002</v>
      </c>
      <c r="BI534" s="32">
        <v>818</v>
      </c>
      <c r="BJ534" s="33"/>
      <c r="BK534" s="197">
        <v>1.0640000000000001</v>
      </c>
      <c r="BL534" s="200">
        <v>1.49</v>
      </c>
      <c r="BM534" s="199">
        <v>1063.3</v>
      </c>
      <c r="BN534" s="33"/>
      <c r="BO534" s="37">
        <v>1064</v>
      </c>
      <c r="BP534" s="38">
        <v>1.0647</v>
      </c>
      <c r="BQ534" s="39">
        <v>1.4</v>
      </c>
      <c r="BR534" s="520"/>
    </row>
    <row r="535" spans="37:70">
      <c r="AK535" s="2482"/>
      <c r="BG535" s="30">
        <v>41.5</v>
      </c>
      <c r="BH535" s="31">
        <v>0.81789999999999996</v>
      </c>
      <c r="BI535" s="32">
        <v>817.5</v>
      </c>
      <c r="BJ535" s="33"/>
      <c r="BK535" s="197">
        <v>1.0649999999999999</v>
      </c>
      <c r="BL535" s="200">
        <v>1.36</v>
      </c>
      <c r="BM535" s="199">
        <v>1064.3</v>
      </c>
      <c r="BN535" s="33"/>
      <c r="BO535" s="37">
        <v>1065</v>
      </c>
      <c r="BP535" s="38">
        <v>1.0657000000000001</v>
      </c>
      <c r="BQ535" s="39">
        <v>1.28</v>
      </c>
      <c r="BR535" s="520"/>
    </row>
    <row r="536" spans="37:70">
      <c r="AK536" s="2482"/>
      <c r="BG536" s="30">
        <v>41.6</v>
      </c>
      <c r="BH536" s="31">
        <v>0.81740000000000002</v>
      </c>
      <c r="BI536" s="32">
        <v>817</v>
      </c>
      <c r="BJ536" s="33"/>
      <c r="BK536" s="197">
        <v>1.0660000000000001</v>
      </c>
      <c r="BL536" s="200">
        <v>1.24</v>
      </c>
      <c r="BM536" s="199">
        <v>1065.3</v>
      </c>
      <c r="BN536" s="33"/>
      <c r="BO536" s="37">
        <v>1066</v>
      </c>
      <c r="BP536" s="38">
        <v>1.0667</v>
      </c>
      <c r="BQ536" s="39">
        <v>1.1499999999999999</v>
      </c>
      <c r="BR536" s="520"/>
    </row>
    <row r="537" spans="37:70">
      <c r="AK537" s="2482"/>
      <c r="BG537" s="30">
        <v>41.7</v>
      </c>
      <c r="BH537" s="31">
        <v>0.81699999999999995</v>
      </c>
      <c r="BI537" s="32">
        <v>816.6</v>
      </c>
      <c r="BJ537" s="33"/>
      <c r="BK537" s="197">
        <v>1.0669999999999999</v>
      </c>
      <c r="BL537" s="200">
        <v>1.1100000000000001</v>
      </c>
      <c r="BM537" s="199">
        <v>1066.3</v>
      </c>
      <c r="BN537" s="33"/>
      <c r="BO537" s="37">
        <v>1067</v>
      </c>
      <c r="BP537" s="38">
        <v>1.0677000000000001</v>
      </c>
      <c r="BQ537" s="39">
        <v>1.03</v>
      </c>
      <c r="BR537" s="520"/>
    </row>
    <row r="538" spans="37:70">
      <c r="AK538" s="2482"/>
      <c r="BG538" s="30">
        <v>41.8</v>
      </c>
      <c r="BH538" s="31">
        <v>0.8165</v>
      </c>
      <c r="BI538" s="32">
        <v>816.1</v>
      </c>
      <c r="BJ538" s="33"/>
      <c r="BK538" s="197">
        <v>1.0680000000000001</v>
      </c>
      <c r="BL538" s="200">
        <v>0.99</v>
      </c>
      <c r="BM538" s="199">
        <v>1067.3</v>
      </c>
      <c r="BN538" s="33"/>
      <c r="BO538" s="37">
        <v>1068</v>
      </c>
      <c r="BP538" s="38">
        <v>1.0687</v>
      </c>
      <c r="BQ538" s="39">
        <v>0.91</v>
      </c>
      <c r="BR538" s="520"/>
    </row>
    <row r="539" spans="37:70">
      <c r="AK539" s="2482"/>
      <c r="BG539" s="30">
        <v>41.9</v>
      </c>
      <c r="BH539" s="31">
        <v>0.81599999999999995</v>
      </c>
      <c r="BI539" s="32">
        <v>815.6</v>
      </c>
      <c r="BJ539" s="33"/>
      <c r="BK539" s="197">
        <v>1.069</v>
      </c>
      <c r="BL539" s="200">
        <v>0.87</v>
      </c>
      <c r="BM539" s="199">
        <v>1068.3</v>
      </c>
      <c r="BN539" s="33"/>
      <c r="BO539" s="37">
        <v>1069</v>
      </c>
      <c r="BP539" s="38">
        <v>1.0697000000000001</v>
      </c>
      <c r="BQ539" s="39">
        <v>0.78</v>
      </c>
      <c r="BR539" s="520"/>
    </row>
    <row r="540" spans="37:70">
      <c r="AK540" s="2482"/>
      <c r="BG540" s="30">
        <v>42</v>
      </c>
      <c r="BH540" s="31">
        <v>0.81559999999999999</v>
      </c>
      <c r="BI540" s="32">
        <v>815.2</v>
      </c>
      <c r="BJ540" s="33"/>
      <c r="BK540" s="197">
        <v>1.07</v>
      </c>
      <c r="BL540" s="200">
        <v>0.74</v>
      </c>
      <c r="BM540" s="199">
        <v>1069.3</v>
      </c>
      <c r="BN540" s="33"/>
      <c r="BO540" s="37">
        <v>1070</v>
      </c>
      <c r="BP540" s="38">
        <v>1.0707</v>
      </c>
      <c r="BQ540" s="39">
        <v>0.66</v>
      </c>
      <c r="BR540" s="520"/>
    </row>
    <row r="541" spans="37:70">
      <c r="AK541" s="2482"/>
      <c r="BG541" s="30">
        <v>42.1</v>
      </c>
      <c r="BH541" s="31">
        <v>0.81510000000000005</v>
      </c>
      <c r="BI541" s="32">
        <v>814.7</v>
      </c>
      <c r="BJ541" s="33"/>
      <c r="BK541" s="197">
        <v>1.071</v>
      </c>
      <c r="BL541" s="200">
        <v>0.62</v>
      </c>
      <c r="BM541" s="199">
        <v>1070.3</v>
      </c>
      <c r="BN541" s="33"/>
      <c r="BO541" s="37">
        <v>1071</v>
      </c>
      <c r="BP541" s="38">
        <v>1.0717000000000001</v>
      </c>
      <c r="BQ541" s="39">
        <v>0.53</v>
      </c>
      <c r="BR541" s="520"/>
    </row>
    <row r="542" spans="37:70">
      <c r="AK542" s="2482"/>
      <c r="BG542" s="30">
        <v>42.2</v>
      </c>
      <c r="BH542" s="31">
        <v>0.81459999999999999</v>
      </c>
      <c r="BI542" s="32">
        <v>814.2</v>
      </c>
      <c r="BJ542" s="33"/>
      <c r="BK542" s="197">
        <v>1.0720000000000001</v>
      </c>
      <c r="BL542" s="200">
        <v>0.5</v>
      </c>
      <c r="BM542" s="199">
        <v>1071.3</v>
      </c>
      <c r="BN542" s="33"/>
      <c r="BO542" s="37">
        <v>1072</v>
      </c>
      <c r="BP542" s="38">
        <v>1.0727</v>
      </c>
      <c r="BQ542" s="39">
        <v>0.41</v>
      </c>
      <c r="BR542" s="520"/>
    </row>
    <row r="543" spans="37:70">
      <c r="AK543" s="2482"/>
      <c r="BG543" s="30">
        <v>42.3</v>
      </c>
      <c r="BH543" s="31">
        <v>0.81420000000000003</v>
      </c>
      <c r="BI543" s="32">
        <v>813.8</v>
      </c>
      <c r="BJ543" s="33"/>
      <c r="BK543" s="197">
        <v>1.073</v>
      </c>
      <c r="BL543" s="200">
        <v>0.37</v>
      </c>
      <c r="BM543" s="199">
        <v>1072.3</v>
      </c>
      <c r="BN543" s="33"/>
      <c r="BO543" s="37">
        <v>1073</v>
      </c>
      <c r="BP543" s="38">
        <v>1.0737000000000001</v>
      </c>
      <c r="BQ543" s="39">
        <v>0.28999999999999998</v>
      </c>
      <c r="BR543" s="520"/>
    </row>
    <row r="544" spans="37:70">
      <c r="AK544" s="2482"/>
      <c r="BG544" s="30">
        <v>42.4</v>
      </c>
      <c r="BH544" s="31">
        <v>0.81369999999999998</v>
      </c>
      <c r="BI544" s="32">
        <v>813.3</v>
      </c>
      <c r="BJ544" s="33"/>
      <c r="BK544" s="197">
        <v>1.0740000000000001</v>
      </c>
      <c r="BL544" s="200">
        <v>0.25</v>
      </c>
      <c r="BM544" s="199">
        <v>1073.3</v>
      </c>
      <c r="BN544" s="33"/>
      <c r="BO544" s="37">
        <v>1074</v>
      </c>
      <c r="BP544" s="38">
        <v>1.0747</v>
      </c>
      <c r="BQ544" s="39">
        <v>0.17</v>
      </c>
      <c r="BR544" s="520"/>
    </row>
    <row r="545" spans="37:70">
      <c r="AK545" s="2482"/>
      <c r="BG545" s="30">
        <v>42.5</v>
      </c>
      <c r="BH545" s="31">
        <v>0.81320000000000003</v>
      </c>
      <c r="BI545" s="32">
        <v>812.8</v>
      </c>
      <c r="BJ545" s="33"/>
      <c r="BK545" s="2589">
        <v>1.075</v>
      </c>
      <c r="BL545" s="207">
        <v>0.13</v>
      </c>
      <c r="BM545" s="208">
        <v>1074.3</v>
      </c>
      <c r="BN545" s="33"/>
      <c r="BO545" s="1726">
        <v>1075</v>
      </c>
      <c r="BP545" s="47">
        <v>1.0757000000000001</v>
      </c>
      <c r="BQ545" s="48">
        <v>0.04</v>
      </c>
      <c r="BR545" s="520"/>
    </row>
    <row r="546" spans="37:70">
      <c r="AK546" s="2482"/>
      <c r="BG546" s="30">
        <v>42.6</v>
      </c>
      <c r="BH546" s="31">
        <v>0.81279999999999997</v>
      </c>
      <c r="BI546" s="32">
        <v>812.4</v>
      </c>
      <c r="BJ546" s="33"/>
      <c r="BK546" s="12"/>
      <c r="BL546" s="12"/>
      <c r="BM546" s="12"/>
      <c r="BN546" s="33"/>
      <c r="BO546" s="33"/>
      <c r="BP546" s="33"/>
      <c r="BQ546" s="33"/>
      <c r="BR546" s="520"/>
    </row>
    <row r="547" spans="37:70">
      <c r="AK547" s="2482"/>
      <c r="BG547" s="30">
        <v>42.7</v>
      </c>
      <c r="BH547" s="31">
        <v>0.81230000000000002</v>
      </c>
      <c r="BI547" s="32">
        <v>811.9</v>
      </c>
      <c r="BJ547" s="33"/>
      <c r="BK547" s="12"/>
      <c r="BL547" s="12"/>
      <c r="BM547" s="12"/>
      <c r="BN547" s="33"/>
      <c r="BO547" s="33"/>
      <c r="BP547" s="33"/>
      <c r="BQ547" s="33"/>
      <c r="BR547" s="520"/>
    </row>
    <row r="548" spans="37:70">
      <c r="AK548" s="2482"/>
      <c r="BG548" s="30">
        <v>42.8</v>
      </c>
      <c r="BH548" s="31">
        <v>0.81179999999999997</v>
      </c>
      <c r="BI548" s="32">
        <v>811.4</v>
      </c>
      <c r="BJ548" s="33"/>
      <c r="BK548" s="12"/>
      <c r="BL548" s="12"/>
      <c r="BM548" s="12"/>
      <c r="BN548" s="33"/>
      <c r="BO548" s="33"/>
      <c r="BP548" s="33"/>
      <c r="BQ548" s="33"/>
      <c r="BR548" s="520"/>
    </row>
    <row r="549" spans="37:70">
      <c r="AK549" s="2482"/>
      <c r="BG549" s="30">
        <v>42.9</v>
      </c>
      <c r="BH549" s="31">
        <v>0.81140000000000001</v>
      </c>
      <c r="BI549" s="32">
        <v>811</v>
      </c>
      <c r="BJ549" s="33"/>
      <c r="BK549" s="12"/>
      <c r="BL549" s="12"/>
      <c r="BM549" s="12"/>
      <c r="BN549" s="33"/>
      <c r="BO549" s="33"/>
      <c r="BP549" s="33"/>
      <c r="BQ549" s="33"/>
      <c r="BR549" s="520"/>
    </row>
    <row r="550" spans="37:70">
      <c r="AK550" s="2482"/>
      <c r="BG550" s="30">
        <v>43</v>
      </c>
      <c r="BH550" s="31">
        <v>0.81089999999999995</v>
      </c>
      <c r="BI550" s="32">
        <v>810.5</v>
      </c>
      <c r="BJ550" s="33"/>
      <c r="BK550" s="12"/>
      <c r="BL550" s="12"/>
      <c r="BM550" s="12"/>
      <c r="BN550" s="33"/>
      <c r="BO550" s="33"/>
      <c r="BP550" s="33"/>
      <c r="BQ550" s="33"/>
      <c r="BR550" s="520"/>
    </row>
    <row r="551" spans="37:70">
      <c r="AK551" s="2482"/>
      <c r="BG551" s="30">
        <v>43.1</v>
      </c>
      <c r="BH551" s="31">
        <v>0.81040000000000001</v>
      </c>
      <c r="BI551" s="32">
        <v>810</v>
      </c>
      <c r="BJ551" s="33"/>
      <c r="BK551" s="12"/>
      <c r="BL551" s="12"/>
      <c r="BM551" s="12"/>
      <c r="BN551" s="33"/>
      <c r="BO551" s="33"/>
      <c r="BP551" s="33"/>
      <c r="BQ551" s="33"/>
      <c r="BR551" s="520"/>
    </row>
    <row r="552" spans="37:70">
      <c r="AK552" s="2482"/>
      <c r="BG552" s="30">
        <v>43.2</v>
      </c>
      <c r="BH552" s="31">
        <v>0.81</v>
      </c>
      <c r="BI552" s="32">
        <v>809.6</v>
      </c>
      <c r="BJ552" s="33"/>
      <c r="BK552" s="12"/>
      <c r="BL552" s="12"/>
      <c r="BM552" s="12"/>
      <c r="BN552" s="33"/>
      <c r="BO552" s="33"/>
      <c r="BP552" s="33"/>
      <c r="BQ552" s="33"/>
      <c r="BR552" s="520"/>
    </row>
    <row r="553" spans="37:70">
      <c r="AK553" s="2482"/>
      <c r="BG553" s="30">
        <v>43.3</v>
      </c>
      <c r="BH553" s="31">
        <v>0.8095</v>
      </c>
      <c r="BI553" s="32">
        <v>809.1</v>
      </c>
      <c r="BJ553" s="33"/>
      <c r="BK553" s="12"/>
      <c r="BL553" s="12"/>
      <c r="BM553" s="12"/>
      <c r="BN553" s="33"/>
      <c r="BO553" s="33"/>
      <c r="BP553" s="33"/>
      <c r="BQ553" s="33"/>
      <c r="BR553" s="520"/>
    </row>
    <row r="554" spans="37:70">
      <c r="AK554" s="2482"/>
      <c r="BG554" s="30">
        <v>43.4</v>
      </c>
      <c r="BH554" s="31">
        <v>0.80900000000000005</v>
      </c>
      <c r="BI554" s="32">
        <v>808.6</v>
      </c>
      <c r="BJ554" s="33"/>
      <c r="BK554" s="12"/>
      <c r="BL554" s="12"/>
      <c r="BM554" s="12"/>
      <c r="BN554" s="33"/>
      <c r="BO554" s="33"/>
      <c r="BP554" s="33"/>
      <c r="BQ554" s="33"/>
      <c r="BR554" s="520"/>
    </row>
    <row r="555" spans="37:70">
      <c r="AK555" s="2482"/>
      <c r="BG555" s="30">
        <v>43.5</v>
      </c>
      <c r="BH555" s="31">
        <v>0.80859999999999999</v>
      </c>
      <c r="BI555" s="32">
        <v>808.2</v>
      </c>
      <c r="BJ555" s="33"/>
      <c r="BK555" s="12"/>
      <c r="BL555" s="12"/>
      <c r="BM555" s="12"/>
      <c r="BN555" s="33"/>
      <c r="BO555" s="33"/>
      <c r="BP555" s="33"/>
      <c r="BQ555" s="33"/>
      <c r="BR555" s="520"/>
    </row>
    <row r="556" spans="37:70">
      <c r="AK556" s="2482"/>
      <c r="BG556" s="30">
        <v>43.6</v>
      </c>
      <c r="BH556" s="31">
        <v>0.80810000000000004</v>
      </c>
      <c r="BI556" s="32">
        <v>807.7</v>
      </c>
      <c r="BJ556" s="33"/>
      <c r="BK556" s="12"/>
      <c r="BL556" s="12"/>
      <c r="BM556" s="12"/>
      <c r="BN556" s="33"/>
      <c r="BO556" s="33"/>
      <c r="BP556" s="33"/>
      <c r="BQ556" s="33"/>
      <c r="BR556" s="520"/>
    </row>
    <row r="557" spans="37:70">
      <c r="AK557" s="2482"/>
      <c r="BG557" s="30">
        <v>43.7</v>
      </c>
      <c r="BH557" s="31">
        <v>0.80759999999999998</v>
      </c>
      <c r="BI557" s="32">
        <v>807.3</v>
      </c>
      <c r="BJ557" s="33"/>
      <c r="BK557" s="12"/>
      <c r="BL557" s="12"/>
      <c r="BM557" s="12"/>
      <c r="BN557" s="33"/>
      <c r="BO557" s="33"/>
      <c r="BP557" s="33"/>
      <c r="BQ557" s="33"/>
      <c r="BR557" s="520"/>
    </row>
    <row r="558" spans="37:70">
      <c r="AK558" s="2482"/>
      <c r="BG558" s="30">
        <v>43.8</v>
      </c>
      <c r="BH558" s="31">
        <v>0.80720000000000003</v>
      </c>
      <c r="BI558" s="32">
        <v>806.8</v>
      </c>
      <c r="BJ558" s="33"/>
      <c r="BK558" s="12"/>
      <c r="BL558" s="12"/>
      <c r="BM558" s="12"/>
      <c r="BN558" s="33"/>
      <c r="BO558" s="33"/>
      <c r="BP558" s="33"/>
      <c r="BQ558" s="33"/>
      <c r="BR558" s="520"/>
    </row>
    <row r="559" spans="37:70">
      <c r="AK559" s="2482"/>
      <c r="BG559" s="30">
        <v>43.9</v>
      </c>
      <c r="BH559" s="31">
        <v>0.80669999999999997</v>
      </c>
      <c r="BI559" s="32">
        <v>806.3</v>
      </c>
      <c r="BJ559" s="33"/>
      <c r="BK559" s="12"/>
      <c r="BL559" s="12"/>
      <c r="BM559" s="12"/>
      <c r="BN559" s="33"/>
      <c r="BO559" s="33"/>
      <c r="BP559" s="33"/>
      <c r="BQ559" s="33"/>
      <c r="BR559" s="520"/>
    </row>
    <row r="560" spans="37:70">
      <c r="AK560" s="2482"/>
      <c r="BG560" s="30">
        <v>44</v>
      </c>
      <c r="BH560" s="31">
        <v>0.80630000000000002</v>
      </c>
      <c r="BI560" s="32">
        <v>805.9</v>
      </c>
      <c r="BJ560" s="33"/>
      <c r="BK560" s="12"/>
      <c r="BL560" s="12"/>
      <c r="BM560" s="12"/>
      <c r="BN560" s="33"/>
      <c r="BO560" s="33"/>
      <c r="BP560" s="33"/>
      <c r="BQ560" s="33"/>
      <c r="BR560" s="520"/>
    </row>
    <row r="561" spans="37:70">
      <c r="AK561" s="2482"/>
      <c r="BG561" s="30">
        <v>44.1</v>
      </c>
      <c r="BH561" s="31">
        <v>0.80579999999999996</v>
      </c>
      <c r="BI561" s="32">
        <v>805.4</v>
      </c>
      <c r="BJ561" s="33"/>
      <c r="BK561" s="12"/>
      <c r="BL561" s="12"/>
      <c r="BM561" s="12"/>
      <c r="BN561" s="33"/>
      <c r="BO561" s="33"/>
      <c r="BP561" s="33"/>
      <c r="BQ561" s="33"/>
      <c r="BR561" s="520"/>
    </row>
    <row r="562" spans="37:70">
      <c r="AK562" s="2482"/>
      <c r="BG562" s="30">
        <v>44.2</v>
      </c>
      <c r="BH562" s="31">
        <v>0.8054</v>
      </c>
      <c r="BI562" s="32">
        <v>805</v>
      </c>
      <c r="BJ562" s="33"/>
      <c r="BK562" s="12"/>
      <c r="BL562" s="12"/>
      <c r="BM562" s="12"/>
      <c r="BN562" s="33"/>
      <c r="BO562" s="33"/>
      <c r="BP562" s="33"/>
      <c r="BQ562" s="33"/>
      <c r="BR562" s="520"/>
    </row>
    <row r="563" spans="37:70">
      <c r="AK563" s="2482"/>
      <c r="BG563" s="30">
        <v>44.3</v>
      </c>
      <c r="BH563" s="31">
        <v>0.80489999999999995</v>
      </c>
      <c r="BI563" s="32">
        <v>804.5</v>
      </c>
      <c r="BJ563" s="33"/>
      <c r="BK563" s="12"/>
      <c r="BL563" s="12"/>
      <c r="BM563" s="12"/>
      <c r="BN563" s="33"/>
      <c r="BO563" s="33"/>
      <c r="BP563" s="33"/>
      <c r="BQ563" s="33"/>
      <c r="BR563" s="520"/>
    </row>
    <row r="564" spans="37:70">
      <c r="AK564" s="2482"/>
      <c r="BG564" s="30">
        <v>44.4</v>
      </c>
      <c r="BH564" s="31">
        <v>0.8044</v>
      </c>
      <c r="BI564" s="32">
        <v>804.1</v>
      </c>
      <c r="BJ564" s="33"/>
      <c r="BK564" s="12"/>
      <c r="BL564" s="12"/>
      <c r="BM564" s="12"/>
      <c r="BN564" s="33"/>
      <c r="BO564" s="33"/>
      <c r="BP564" s="33"/>
      <c r="BQ564" s="33"/>
      <c r="BR564" s="520"/>
    </row>
    <row r="565" spans="37:70">
      <c r="AK565" s="2482"/>
      <c r="BG565" s="30">
        <v>44.5</v>
      </c>
      <c r="BH565" s="31">
        <v>0.80400000000000005</v>
      </c>
      <c r="BI565" s="32">
        <v>803.6</v>
      </c>
      <c r="BJ565" s="33"/>
      <c r="BK565" s="12"/>
      <c r="BL565" s="12"/>
      <c r="BM565" s="12"/>
      <c r="BN565" s="33"/>
      <c r="BO565" s="33"/>
      <c r="BP565" s="33"/>
      <c r="BQ565" s="33"/>
      <c r="BR565" s="520"/>
    </row>
    <row r="566" spans="37:70">
      <c r="AK566" s="2482"/>
      <c r="BG566" s="30">
        <v>44.6</v>
      </c>
      <c r="BH566" s="31">
        <v>0.80349999999999999</v>
      </c>
      <c r="BI566" s="32">
        <v>803.1</v>
      </c>
      <c r="BJ566" s="33"/>
      <c r="BK566" s="12"/>
      <c r="BL566" s="12"/>
      <c r="BM566" s="12"/>
      <c r="BN566" s="33"/>
      <c r="BO566" s="33"/>
      <c r="BP566" s="33"/>
      <c r="BQ566" s="33"/>
      <c r="BR566" s="520"/>
    </row>
    <row r="567" spans="37:70">
      <c r="AK567" s="2482"/>
      <c r="BG567" s="30">
        <v>44.7</v>
      </c>
      <c r="BH567" s="31">
        <v>0.80310000000000004</v>
      </c>
      <c r="BI567" s="32">
        <v>802.7</v>
      </c>
      <c r="BJ567" s="33"/>
      <c r="BK567" s="12"/>
      <c r="BL567" s="12"/>
      <c r="BM567" s="12"/>
      <c r="BN567" s="33"/>
      <c r="BO567" s="33"/>
      <c r="BP567" s="33"/>
      <c r="BQ567" s="33"/>
      <c r="BR567" s="520"/>
    </row>
    <row r="568" spans="37:70">
      <c r="AK568" s="2482"/>
      <c r="BG568" s="30">
        <v>44.8</v>
      </c>
      <c r="BH568" s="31">
        <v>0.80259999999999998</v>
      </c>
      <c r="BI568" s="32">
        <v>802.2</v>
      </c>
      <c r="BJ568" s="33"/>
      <c r="BK568" s="12"/>
      <c r="BL568" s="12"/>
      <c r="BM568" s="12"/>
      <c r="BN568" s="33"/>
      <c r="BO568" s="33"/>
      <c r="BP568" s="33"/>
      <c r="BQ568" s="33"/>
      <c r="BR568" s="520"/>
    </row>
    <row r="569" spans="37:70">
      <c r="AK569" s="2482"/>
      <c r="BG569" s="30">
        <v>44.9</v>
      </c>
      <c r="BH569" s="31">
        <v>0.80220000000000002</v>
      </c>
      <c r="BI569" s="32">
        <v>801.8</v>
      </c>
      <c r="BJ569" s="33"/>
      <c r="BK569" s="12"/>
      <c r="BL569" s="12"/>
      <c r="BM569" s="12"/>
      <c r="BN569" s="33"/>
      <c r="BO569" s="33"/>
      <c r="BP569" s="33"/>
      <c r="BQ569" s="33"/>
      <c r="BR569" s="520"/>
    </row>
    <row r="570" spans="37:70">
      <c r="AK570" s="2482"/>
      <c r="BG570" s="30">
        <v>45</v>
      </c>
      <c r="BH570" s="31">
        <v>0.80169999999999997</v>
      </c>
      <c r="BI570" s="32">
        <v>801.3</v>
      </c>
      <c r="BJ570" s="33"/>
      <c r="BK570" s="12"/>
      <c r="BL570" s="12"/>
      <c r="BM570" s="12"/>
      <c r="BN570" s="33"/>
      <c r="BO570" s="33"/>
      <c r="BP570" s="33"/>
      <c r="BQ570" s="33"/>
      <c r="BR570" s="520"/>
    </row>
    <row r="571" spans="37:70">
      <c r="AK571" s="2482"/>
      <c r="BG571" s="30">
        <v>45.1</v>
      </c>
      <c r="BH571" s="31">
        <v>0.80120000000000002</v>
      </c>
      <c r="BI571" s="32">
        <v>800.9</v>
      </c>
      <c r="BJ571" s="33"/>
      <c r="BK571" s="12"/>
      <c r="BL571" s="12"/>
      <c r="BM571" s="12"/>
      <c r="BN571" s="33"/>
      <c r="BO571" s="33"/>
      <c r="BP571" s="33"/>
      <c r="BQ571" s="33"/>
      <c r="BR571" s="520"/>
    </row>
    <row r="572" spans="37:70">
      <c r="AK572" s="2482"/>
      <c r="BG572" s="30">
        <v>45.2</v>
      </c>
      <c r="BH572" s="31">
        <v>0.80079999999999996</v>
      </c>
      <c r="BI572" s="32">
        <v>800.4</v>
      </c>
      <c r="BJ572" s="33"/>
      <c r="BK572" s="12"/>
      <c r="BL572" s="12"/>
      <c r="BM572" s="12"/>
      <c r="BN572" s="33"/>
      <c r="BO572" s="33"/>
      <c r="BP572" s="33"/>
      <c r="BQ572" s="33"/>
      <c r="BR572" s="520"/>
    </row>
    <row r="573" spans="37:70">
      <c r="AK573" s="2482"/>
      <c r="BG573" s="30">
        <v>45.3</v>
      </c>
      <c r="BH573" s="31">
        <v>0.80030000000000001</v>
      </c>
      <c r="BI573" s="32">
        <v>800</v>
      </c>
      <c r="BJ573" s="33"/>
      <c r="BK573" s="12"/>
      <c r="BL573" s="12"/>
      <c r="BM573" s="12"/>
      <c r="BN573" s="33"/>
      <c r="BO573" s="33"/>
      <c r="BP573" s="33"/>
      <c r="BQ573" s="33"/>
      <c r="BR573" s="520"/>
    </row>
    <row r="574" spans="37:70">
      <c r="AK574" s="2482"/>
      <c r="BG574" s="30">
        <v>45.4</v>
      </c>
      <c r="BH574" s="31">
        <v>0.79990000000000006</v>
      </c>
      <c r="BI574" s="32">
        <v>799.5</v>
      </c>
      <c r="BJ574" s="33"/>
      <c r="BK574" s="12"/>
      <c r="BL574" s="12"/>
      <c r="BM574" s="12"/>
      <c r="BN574" s="33"/>
      <c r="BO574" s="33"/>
      <c r="BP574" s="33"/>
      <c r="BQ574" s="33"/>
      <c r="BR574" s="520"/>
    </row>
    <row r="575" spans="37:70">
      <c r="AK575" s="2482"/>
      <c r="BG575" s="30">
        <v>45.5</v>
      </c>
      <c r="BH575" s="31">
        <v>0.7994</v>
      </c>
      <c r="BI575" s="32">
        <v>799.1</v>
      </c>
      <c r="BJ575" s="33"/>
      <c r="BK575" s="12"/>
      <c r="BL575" s="12"/>
      <c r="BM575" s="12"/>
      <c r="BN575" s="33"/>
      <c r="BO575" s="33"/>
      <c r="BP575" s="33"/>
      <c r="BQ575" s="33"/>
      <c r="BR575" s="520"/>
    </row>
    <row r="576" spans="37:70">
      <c r="AK576" s="2482"/>
      <c r="BG576" s="30">
        <v>45.6</v>
      </c>
      <c r="BH576" s="31">
        <v>0.79900000000000004</v>
      </c>
      <c r="BI576" s="32">
        <v>798.6</v>
      </c>
      <c r="BJ576" s="33"/>
      <c r="BK576" s="12"/>
      <c r="BL576" s="12"/>
      <c r="BM576" s="12"/>
      <c r="BN576" s="33"/>
      <c r="BO576" s="33"/>
      <c r="BP576" s="33"/>
      <c r="BQ576" s="33"/>
      <c r="BR576" s="520"/>
    </row>
    <row r="577" spans="37:70">
      <c r="AK577" s="2482"/>
      <c r="BG577" s="30">
        <v>45.7</v>
      </c>
      <c r="BH577" s="31">
        <v>0.79849999999999999</v>
      </c>
      <c r="BI577" s="32">
        <v>798.2</v>
      </c>
      <c r="BJ577" s="33"/>
      <c r="BK577" s="12"/>
      <c r="BL577" s="12"/>
      <c r="BM577" s="12"/>
      <c r="BN577" s="33"/>
      <c r="BO577" s="33"/>
      <c r="BP577" s="33"/>
      <c r="BQ577" s="33"/>
      <c r="BR577" s="520"/>
    </row>
    <row r="578" spans="37:70">
      <c r="AK578" s="2482"/>
      <c r="BG578" s="30">
        <v>45.8</v>
      </c>
      <c r="BH578" s="31">
        <v>0.79810000000000003</v>
      </c>
      <c r="BI578" s="32">
        <v>797.7</v>
      </c>
      <c r="BJ578" s="33"/>
      <c r="BK578" s="12"/>
      <c r="BL578" s="12"/>
      <c r="BM578" s="12"/>
      <c r="BN578" s="33"/>
      <c r="BO578" s="33"/>
      <c r="BP578" s="33"/>
      <c r="BQ578" s="33"/>
      <c r="BR578" s="520"/>
    </row>
    <row r="579" spans="37:70">
      <c r="AK579" s="2482"/>
      <c r="BG579" s="30">
        <v>45.9</v>
      </c>
      <c r="BH579" s="31">
        <v>0.79759999999999998</v>
      </c>
      <c r="BI579" s="32">
        <v>797.3</v>
      </c>
      <c r="BJ579" s="33"/>
      <c r="BK579" s="12"/>
      <c r="BL579" s="12"/>
      <c r="BM579" s="12"/>
      <c r="BN579" s="33"/>
      <c r="BO579" s="33"/>
      <c r="BP579" s="33"/>
      <c r="BQ579" s="33"/>
      <c r="BR579" s="520"/>
    </row>
    <row r="580" spans="37:70">
      <c r="AK580" s="2482"/>
      <c r="BG580" s="30">
        <v>46</v>
      </c>
      <c r="BH580" s="31">
        <v>0.79720000000000002</v>
      </c>
      <c r="BI580" s="32">
        <v>796.8</v>
      </c>
      <c r="BJ580" s="33"/>
      <c r="BK580" s="12"/>
      <c r="BL580" s="12"/>
      <c r="BM580" s="12"/>
      <c r="BN580" s="33"/>
      <c r="BO580" s="33"/>
      <c r="BP580" s="33"/>
      <c r="BQ580" s="33"/>
      <c r="BR580" s="520"/>
    </row>
    <row r="581" spans="37:70">
      <c r="AK581" s="2482"/>
      <c r="BG581" s="30">
        <v>46.1</v>
      </c>
      <c r="BH581" s="31">
        <v>0.79669999999999996</v>
      </c>
      <c r="BI581" s="32">
        <v>796.4</v>
      </c>
      <c r="BJ581" s="33"/>
      <c r="BK581" s="12"/>
      <c r="BL581" s="12"/>
      <c r="BM581" s="12"/>
      <c r="BN581" s="33"/>
      <c r="BO581" s="33"/>
      <c r="BP581" s="33"/>
      <c r="BQ581" s="33"/>
      <c r="BR581" s="520"/>
    </row>
    <row r="582" spans="37:70">
      <c r="AK582" s="2482"/>
      <c r="BG582" s="30">
        <v>46.2</v>
      </c>
      <c r="BH582" s="31">
        <v>0.79630000000000001</v>
      </c>
      <c r="BI582" s="32">
        <v>795.9</v>
      </c>
      <c r="BJ582" s="33"/>
      <c r="BK582" s="12"/>
      <c r="BL582" s="12"/>
      <c r="BM582" s="12"/>
      <c r="BN582" s="33"/>
      <c r="BO582" s="33"/>
      <c r="BP582" s="33"/>
      <c r="BQ582" s="33"/>
      <c r="BR582" s="520"/>
    </row>
    <row r="583" spans="37:70">
      <c r="AK583" s="2482"/>
      <c r="BG583" s="30">
        <v>46.3</v>
      </c>
      <c r="BH583" s="31">
        <v>0.79579999999999995</v>
      </c>
      <c r="BI583" s="32">
        <v>795.5</v>
      </c>
      <c r="BJ583" s="33"/>
      <c r="BK583" s="12"/>
      <c r="BL583" s="12"/>
      <c r="BM583" s="12"/>
      <c r="BN583" s="33"/>
      <c r="BO583" s="33"/>
      <c r="BP583" s="33"/>
      <c r="BQ583" s="33"/>
      <c r="BR583" s="520"/>
    </row>
    <row r="584" spans="37:70">
      <c r="AK584" s="2482"/>
      <c r="BG584" s="30">
        <v>46.4</v>
      </c>
      <c r="BH584" s="31">
        <v>0.7954</v>
      </c>
      <c r="BI584" s="32">
        <v>795</v>
      </c>
      <c r="BJ584" s="33"/>
      <c r="BK584" s="12"/>
      <c r="BL584" s="12"/>
      <c r="BM584" s="12"/>
      <c r="BN584" s="33"/>
      <c r="BO584" s="33"/>
      <c r="BP584" s="33"/>
      <c r="BQ584" s="33"/>
      <c r="BR584" s="520"/>
    </row>
    <row r="585" spans="37:70">
      <c r="AK585" s="2482"/>
      <c r="BG585" s="30">
        <v>46.5</v>
      </c>
      <c r="BH585" s="31">
        <v>0.79490000000000005</v>
      </c>
      <c r="BI585" s="32">
        <v>794.6</v>
      </c>
      <c r="BJ585" s="33"/>
      <c r="BK585" s="12"/>
      <c r="BL585" s="12"/>
      <c r="BM585" s="12"/>
      <c r="BN585" s="33"/>
      <c r="BO585" s="33"/>
      <c r="BP585" s="33"/>
      <c r="BQ585" s="33"/>
      <c r="BR585" s="520"/>
    </row>
    <row r="586" spans="37:70">
      <c r="AK586" s="2482"/>
      <c r="BG586" s="30">
        <v>46.6</v>
      </c>
      <c r="BH586" s="31">
        <v>0.79449999999999998</v>
      </c>
      <c r="BI586" s="32">
        <v>794.1</v>
      </c>
      <c r="BJ586" s="33"/>
      <c r="BK586" s="12"/>
      <c r="BL586" s="12"/>
      <c r="BM586" s="12"/>
      <c r="BN586" s="33"/>
      <c r="BO586" s="33"/>
      <c r="BP586" s="33"/>
      <c r="BQ586" s="33"/>
      <c r="BR586" s="520"/>
    </row>
    <row r="587" spans="37:70">
      <c r="AK587" s="2482"/>
      <c r="BG587" s="30">
        <v>46.7</v>
      </c>
      <c r="BH587" s="31">
        <v>0.79410000000000003</v>
      </c>
      <c r="BI587" s="32">
        <v>793.7</v>
      </c>
      <c r="BJ587" s="33"/>
      <c r="BK587" s="12"/>
      <c r="BL587" s="12"/>
      <c r="BM587" s="12"/>
      <c r="BN587" s="33"/>
      <c r="BO587" s="33"/>
      <c r="BP587" s="33"/>
      <c r="BQ587" s="33"/>
      <c r="BR587" s="520"/>
    </row>
    <row r="588" spans="37:70">
      <c r="AK588" s="2482"/>
      <c r="BG588" s="30">
        <v>46.8</v>
      </c>
      <c r="BH588" s="31">
        <v>0.79359999999999997</v>
      </c>
      <c r="BI588" s="32">
        <v>793.2</v>
      </c>
      <c r="BJ588" s="33"/>
      <c r="BK588" s="12"/>
      <c r="BL588" s="12"/>
      <c r="BM588" s="12"/>
      <c r="BN588" s="33"/>
      <c r="BO588" s="33"/>
      <c r="BP588" s="33"/>
      <c r="BQ588" s="33"/>
      <c r="BR588" s="520"/>
    </row>
    <row r="589" spans="37:70">
      <c r="AK589" s="2482"/>
      <c r="BG589" s="30">
        <v>46.9</v>
      </c>
      <c r="BH589" s="31">
        <v>0.79320000000000002</v>
      </c>
      <c r="BI589" s="32">
        <v>792.8</v>
      </c>
      <c r="BJ589" s="33"/>
      <c r="BK589" s="12"/>
      <c r="BL589" s="12"/>
      <c r="BM589" s="12"/>
      <c r="BN589" s="33"/>
      <c r="BO589" s="33"/>
      <c r="BP589" s="33"/>
      <c r="BQ589" s="33"/>
      <c r="BR589" s="520"/>
    </row>
    <row r="590" spans="37:70">
      <c r="AK590" s="2482"/>
      <c r="BG590" s="30">
        <v>47</v>
      </c>
      <c r="BH590" s="31">
        <v>0.79269999999999996</v>
      </c>
      <c r="BI590" s="32">
        <v>792.4</v>
      </c>
      <c r="BJ590" s="33"/>
      <c r="BK590" s="12"/>
      <c r="BL590" s="12"/>
      <c r="BM590" s="12"/>
      <c r="BN590" s="33"/>
      <c r="BO590" s="33"/>
      <c r="BP590" s="33"/>
      <c r="BQ590" s="33"/>
      <c r="BR590" s="520"/>
    </row>
    <row r="591" spans="37:70">
      <c r="AK591" s="2482"/>
      <c r="BG591" s="30">
        <v>47.1</v>
      </c>
      <c r="BH591" s="31">
        <v>0.7923</v>
      </c>
      <c r="BI591" s="32">
        <v>791.9</v>
      </c>
      <c r="BJ591" s="33"/>
      <c r="BK591" s="12"/>
      <c r="BL591" s="12"/>
      <c r="BM591" s="12"/>
      <c r="BN591" s="33"/>
      <c r="BO591" s="33"/>
      <c r="BP591" s="33"/>
      <c r="BQ591" s="33"/>
      <c r="BR591" s="520"/>
    </row>
    <row r="592" spans="37:70">
      <c r="AK592" s="2482"/>
      <c r="BG592" s="30">
        <v>47.2</v>
      </c>
      <c r="BH592" s="31">
        <v>0.79179999999999995</v>
      </c>
      <c r="BI592" s="32">
        <v>791.5</v>
      </c>
      <c r="BJ592" s="33"/>
      <c r="BK592" s="12"/>
      <c r="BL592" s="12"/>
      <c r="BM592" s="12"/>
      <c r="BN592" s="33"/>
      <c r="BO592" s="33"/>
      <c r="BP592" s="33"/>
      <c r="BQ592" s="33"/>
      <c r="BR592" s="520"/>
    </row>
    <row r="593" spans="37:70">
      <c r="AK593" s="2482"/>
      <c r="BG593" s="30">
        <v>47.3</v>
      </c>
      <c r="BH593" s="31">
        <v>0.79139999999999999</v>
      </c>
      <c r="BI593" s="32">
        <v>791</v>
      </c>
      <c r="BJ593" s="33"/>
      <c r="BK593" s="12"/>
      <c r="BL593" s="12"/>
      <c r="BM593" s="12"/>
      <c r="BN593" s="33"/>
      <c r="BO593" s="33"/>
      <c r="BP593" s="33"/>
      <c r="BQ593" s="33"/>
      <c r="BR593" s="520"/>
    </row>
    <row r="594" spans="37:70">
      <c r="AK594" s="2482"/>
      <c r="BG594" s="30">
        <v>47.4</v>
      </c>
      <c r="BH594" s="31">
        <v>0.79090000000000005</v>
      </c>
      <c r="BI594" s="32">
        <v>790.6</v>
      </c>
      <c r="BJ594" s="33"/>
      <c r="BK594" s="12"/>
      <c r="BL594" s="12"/>
      <c r="BM594" s="12"/>
      <c r="BN594" s="33"/>
      <c r="BO594" s="33"/>
      <c r="BP594" s="33"/>
      <c r="BQ594" s="33"/>
      <c r="BR594" s="520"/>
    </row>
    <row r="595" spans="37:70">
      <c r="AK595" s="2482"/>
      <c r="BG595" s="30">
        <v>47.5</v>
      </c>
      <c r="BH595" s="31">
        <v>0.79049999999999998</v>
      </c>
      <c r="BI595" s="32">
        <v>790.1</v>
      </c>
      <c r="BJ595" s="33"/>
      <c r="BK595" s="12"/>
      <c r="BL595" s="12"/>
      <c r="BM595" s="12"/>
      <c r="BN595" s="33"/>
      <c r="BO595" s="33"/>
      <c r="BP595" s="33"/>
      <c r="BQ595" s="33"/>
      <c r="BR595" s="520"/>
    </row>
    <row r="596" spans="37:70">
      <c r="AK596" s="2482"/>
      <c r="BG596" s="30">
        <v>47.6</v>
      </c>
      <c r="BH596" s="31">
        <v>0.79010000000000002</v>
      </c>
      <c r="BI596" s="32">
        <v>789.7</v>
      </c>
      <c r="BJ596" s="33"/>
      <c r="BK596" s="12"/>
      <c r="BL596" s="12"/>
      <c r="BM596" s="12"/>
      <c r="BN596" s="33"/>
      <c r="BO596" s="33"/>
      <c r="BP596" s="33"/>
      <c r="BQ596" s="33"/>
      <c r="BR596" s="520"/>
    </row>
    <row r="597" spans="37:70">
      <c r="AK597" s="2482"/>
      <c r="BG597" s="30">
        <v>47.7</v>
      </c>
      <c r="BH597" s="31">
        <v>0.78959999999999997</v>
      </c>
      <c r="BI597" s="32">
        <v>789.3</v>
      </c>
      <c r="BJ597" s="33"/>
      <c r="BK597" s="12"/>
      <c r="BL597" s="12"/>
      <c r="BM597" s="12"/>
      <c r="BN597" s="33"/>
      <c r="BO597" s="33"/>
      <c r="BP597" s="33"/>
      <c r="BQ597" s="33"/>
      <c r="BR597" s="520"/>
    </row>
    <row r="598" spans="37:70">
      <c r="AK598" s="2482"/>
      <c r="BG598" s="30">
        <v>47.8</v>
      </c>
      <c r="BH598" s="31">
        <v>0.78920000000000001</v>
      </c>
      <c r="BI598" s="32">
        <v>788.8</v>
      </c>
      <c r="BJ598" s="33"/>
      <c r="BK598" s="12"/>
      <c r="BL598" s="12"/>
      <c r="BM598" s="12"/>
      <c r="BN598" s="33"/>
      <c r="BO598" s="33"/>
      <c r="BP598" s="33"/>
      <c r="BQ598" s="33"/>
      <c r="BR598" s="520"/>
    </row>
    <row r="599" spans="37:70">
      <c r="AK599" s="2482"/>
      <c r="BG599" s="30">
        <v>47.9</v>
      </c>
      <c r="BH599" s="31">
        <v>0.78869999999999996</v>
      </c>
      <c r="BI599" s="32">
        <v>788.4</v>
      </c>
      <c r="BJ599" s="33"/>
      <c r="BK599" s="12"/>
      <c r="BL599" s="12"/>
      <c r="BM599" s="12"/>
      <c r="BN599" s="33"/>
      <c r="BO599" s="33"/>
      <c r="BP599" s="33"/>
      <c r="BQ599" s="33"/>
      <c r="BR599" s="520"/>
    </row>
    <row r="600" spans="37:70">
      <c r="AK600" s="2482"/>
      <c r="BG600" s="30">
        <v>48</v>
      </c>
      <c r="BH600" s="31">
        <v>0.7883</v>
      </c>
      <c r="BI600" s="32">
        <v>787.9</v>
      </c>
      <c r="BJ600" s="33"/>
      <c r="BK600" s="12"/>
      <c r="BL600" s="12"/>
      <c r="BM600" s="12"/>
      <c r="BN600" s="33"/>
      <c r="BO600" s="33"/>
      <c r="BP600" s="33"/>
      <c r="BQ600" s="33"/>
      <c r="BR600" s="520"/>
    </row>
    <row r="601" spans="37:70">
      <c r="AK601" s="2482"/>
      <c r="BG601" s="30">
        <v>48.1</v>
      </c>
      <c r="BH601" s="31">
        <v>0.78790000000000004</v>
      </c>
      <c r="BI601" s="32">
        <v>787.5</v>
      </c>
      <c r="BJ601" s="33"/>
      <c r="BK601" s="12"/>
      <c r="BL601" s="12"/>
      <c r="BM601" s="12"/>
      <c r="BN601" s="33"/>
      <c r="BO601" s="33"/>
      <c r="BP601" s="33"/>
      <c r="BQ601" s="33"/>
      <c r="BR601" s="520"/>
    </row>
    <row r="602" spans="37:70">
      <c r="AK602" s="2482"/>
      <c r="BG602" s="30">
        <v>48.2</v>
      </c>
      <c r="BH602" s="31">
        <v>0.78739999999999999</v>
      </c>
      <c r="BI602" s="32">
        <v>787.13</v>
      </c>
      <c r="BJ602" s="33"/>
      <c r="BK602" s="12"/>
      <c r="BL602" s="12"/>
      <c r="BM602" s="12"/>
      <c r="BN602" s="33"/>
      <c r="BO602" s="33"/>
      <c r="BP602" s="33"/>
      <c r="BQ602" s="33"/>
      <c r="BR602" s="520"/>
    </row>
    <row r="603" spans="37:70">
      <c r="AK603" s="2482"/>
      <c r="BG603" s="30">
        <v>48.3</v>
      </c>
      <c r="BH603" s="31">
        <v>0.78700000000000003</v>
      </c>
      <c r="BI603" s="32">
        <v>786.6</v>
      </c>
      <c r="BJ603" s="33"/>
      <c r="BK603" s="12"/>
      <c r="BL603" s="12"/>
      <c r="BM603" s="12"/>
      <c r="BN603" s="33"/>
      <c r="BO603" s="33"/>
      <c r="BP603" s="33"/>
      <c r="BQ603" s="33"/>
      <c r="BR603" s="520"/>
    </row>
    <row r="604" spans="37:70">
      <c r="AK604" s="2482"/>
      <c r="BG604" s="30">
        <v>48.4</v>
      </c>
      <c r="BH604" s="31">
        <v>0.78649999999999998</v>
      </c>
      <c r="BI604" s="32">
        <v>786.2</v>
      </c>
      <c r="BJ604" s="33"/>
      <c r="BK604" s="12"/>
      <c r="BL604" s="12"/>
      <c r="BM604" s="12"/>
      <c r="BN604" s="33"/>
      <c r="BO604" s="33"/>
      <c r="BP604" s="33"/>
      <c r="BQ604" s="33"/>
      <c r="BR604" s="520"/>
    </row>
    <row r="605" spans="37:70">
      <c r="AK605" s="2482"/>
      <c r="BG605" s="30">
        <v>48.5</v>
      </c>
      <c r="BH605" s="31">
        <v>0.78610000000000002</v>
      </c>
      <c r="BI605" s="32">
        <v>785.8</v>
      </c>
      <c r="BJ605" s="33"/>
      <c r="BK605" s="12"/>
      <c r="BL605" s="12"/>
      <c r="BM605" s="12"/>
      <c r="BN605" s="33"/>
      <c r="BO605" s="33"/>
      <c r="BP605" s="33"/>
      <c r="BQ605" s="33"/>
      <c r="BR605" s="520"/>
    </row>
    <row r="606" spans="37:70">
      <c r="AK606" s="2482"/>
      <c r="BG606" s="30">
        <v>48.6</v>
      </c>
      <c r="BH606" s="31">
        <v>0.78569999999999995</v>
      </c>
      <c r="BI606" s="32">
        <v>785.3</v>
      </c>
      <c r="BJ606" s="33"/>
      <c r="BK606" s="12"/>
      <c r="BL606" s="12"/>
      <c r="BM606" s="12"/>
      <c r="BN606" s="33"/>
      <c r="BO606" s="33"/>
      <c r="BP606" s="33"/>
      <c r="BQ606" s="33"/>
      <c r="BR606" s="520"/>
    </row>
    <row r="607" spans="37:70">
      <c r="AK607" s="2482"/>
      <c r="BG607" s="30">
        <v>48.7</v>
      </c>
      <c r="BH607" s="31">
        <v>0.78520000000000001</v>
      </c>
      <c r="BI607" s="32">
        <v>784.9</v>
      </c>
      <c r="BJ607" s="33"/>
      <c r="BK607" s="12"/>
      <c r="BL607" s="12"/>
      <c r="BM607" s="12"/>
      <c r="BN607" s="33"/>
      <c r="BO607" s="33"/>
      <c r="BP607" s="33"/>
      <c r="BQ607" s="33"/>
      <c r="BR607" s="520"/>
    </row>
    <row r="608" spans="37:70">
      <c r="AK608" s="2482"/>
      <c r="BG608" s="30">
        <v>48.8</v>
      </c>
      <c r="BH608" s="31">
        <v>0.78480000000000005</v>
      </c>
      <c r="BI608" s="32">
        <v>784.5</v>
      </c>
      <c r="BJ608" s="33"/>
      <c r="BK608" s="12"/>
      <c r="BL608" s="12"/>
      <c r="BM608" s="12"/>
      <c r="BN608" s="33"/>
      <c r="BO608" s="33"/>
      <c r="BP608" s="33"/>
      <c r="BQ608" s="33"/>
      <c r="BR608" s="520"/>
    </row>
    <row r="609" spans="37:70">
      <c r="AK609" s="2482"/>
      <c r="BG609" s="30">
        <v>48.9</v>
      </c>
      <c r="BH609" s="31">
        <v>0.78439999999999999</v>
      </c>
      <c r="BI609" s="32">
        <v>784</v>
      </c>
      <c r="BJ609" s="33"/>
      <c r="BK609" s="12"/>
      <c r="BL609" s="12"/>
      <c r="BM609" s="12"/>
      <c r="BN609" s="33"/>
      <c r="BO609" s="33"/>
      <c r="BP609" s="33"/>
      <c r="BQ609" s="33"/>
      <c r="BR609" s="520"/>
    </row>
    <row r="610" spans="37:70">
      <c r="AK610" s="2482"/>
      <c r="BG610" s="30">
        <v>49</v>
      </c>
      <c r="BH610" s="31">
        <v>0.78390000000000004</v>
      </c>
      <c r="BI610" s="32">
        <v>783.6</v>
      </c>
      <c r="BJ610" s="33"/>
      <c r="BK610" s="12"/>
      <c r="BL610" s="12"/>
      <c r="BM610" s="12"/>
      <c r="BN610" s="33"/>
      <c r="BO610" s="33"/>
      <c r="BP610" s="33"/>
      <c r="BQ610" s="33"/>
      <c r="BR610" s="520"/>
    </row>
    <row r="611" spans="37:70">
      <c r="AK611" s="2482"/>
      <c r="BG611" s="30">
        <v>49.1</v>
      </c>
      <c r="BH611" s="31">
        <v>0.78349999999999997</v>
      </c>
      <c r="BI611" s="32">
        <v>783.2</v>
      </c>
      <c r="BJ611" s="33"/>
      <c r="BK611" s="12"/>
      <c r="BL611" s="12"/>
      <c r="BM611" s="12"/>
      <c r="BN611" s="33"/>
      <c r="BO611" s="33"/>
      <c r="BP611" s="33"/>
      <c r="BQ611" s="33"/>
      <c r="BR611" s="520"/>
    </row>
    <row r="612" spans="37:70">
      <c r="AK612" s="2482"/>
      <c r="BG612" s="30">
        <v>49.2</v>
      </c>
      <c r="BH612" s="31">
        <v>0.78310000000000002</v>
      </c>
      <c r="BI612" s="32">
        <v>782.7</v>
      </c>
      <c r="BJ612" s="33"/>
      <c r="BK612" s="12"/>
      <c r="BL612" s="12"/>
      <c r="BM612" s="12"/>
      <c r="BN612" s="33"/>
      <c r="BO612" s="33"/>
      <c r="BP612" s="33"/>
      <c r="BQ612" s="33"/>
      <c r="BR612" s="520"/>
    </row>
    <row r="613" spans="37:70">
      <c r="AK613" s="2482"/>
      <c r="BG613" s="30">
        <v>49.3</v>
      </c>
      <c r="BH613" s="31">
        <v>0.78259999999999996</v>
      </c>
      <c r="BI613" s="32">
        <v>782.3</v>
      </c>
      <c r="BJ613" s="33"/>
      <c r="BK613" s="12"/>
      <c r="BL613" s="12"/>
      <c r="BM613" s="12"/>
      <c r="BN613" s="33"/>
      <c r="BO613" s="33"/>
      <c r="BP613" s="33"/>
      <c r="BQ613" s="33"/>
      <c r="BR613" s="520"/>
    </row>
    <row r="614" spans="37:70">
      <c r="AK614" s="2482"/>
      <c r="BG614" s="30">
        <v>49.4</v>
      </c>
      <c r="BH614" s="31">
        <v>0.78220000000000001</v>
      </c>
      <c r="BI614" s="32">
        <v>781.9</v>
      </c>
      <c r="BJ614" s="33"/>
      <c r="BK614" s="12"/>
      <c r="BL614" s="12"/>
      <c r="BM614" s="12"/>
      <c r="BN614" s="33"/>
      <c r="BO614" s="33"/>
      <c r="BP614" s="33"/>
      <c r="BQ614" s="33"/>
      <c r="BR614" s="520"/>
    </row>
    <row r="615" spans="37:70">
      <c r="AK615" s="2482"/>
      <c r="BG615" s="30">
        <v>49.5</v>
      </c>
      <c r="BH615" s="31">
        <v>0.78180000000000005</v>
      </c>
      <c r="BI615" s="32">
        <v>781.4</v>
      </c>
      <c r="BJ615" s="33"/>
      <c r="BK615" s="12"/>
      <c r="BL615" s="12"/>
      <c r="BM615" s="12"/>
      <c r="BN615" s="33"/>
      <c r="BO615" s="33"/>
      <c r="BP615" s="33"/>
      <c r="BQ615" s="33"/>
      <c r="BR615" s="520"/>
    </row>
    <row r="616" spans="37:70">
      <c r="AK616" s="2482"/>
      <c r="BG616" s="30">
        <v>49.6</v>
      </c>
      <c r="BH616" s="31">
        <v>0.78129999999999999</v>
      </c>
      <c r="BI616" s="32">
        <v>781</v>
      </c>
      <c r="BJ616" s="33"/>
      <c r="BK616" s="12"/>
      <c r="BL616" s="12"/>
      <c r="BM616" s="12"/>
      <c r="BN616" s="33"/>
      <c r="BO616" s="33"/>
      <c r="BP616" s="33"/>
      <c r="BQ616" s="33"/>
      <c r="BR616" s="520"/>
    </row>
    <row r="617" spans="37:70">
      <c r="AK617" s="2482"/>
      <c r="BG617" s="30">
        <v>49.7</v>
      </c>
      <c r="BH617" s="31">
        <v>0.78090000000000004</v>
      </c>
      <c r="BI617" s="32">
        <v>780.6</v>
      </c>
      <c r="BJ617" s="33"/>
      <c r="BK617" s="12"/>
      <c r="BL617" s="12"/>
      <c r="BM617" s="12"/>
      <c r="BN617" s="33"/>
      <c r="BO617" s="33"/>
      <c r="BP617" s="33"/>
      <c r="BQ617" s="33"/>
      <c r="BR617" s="520"/>
    </row>
    <row r="618" spans="37:70">
      <c r="AK618" s="2482"/>
      <c r="BG618" s="30">
        <v>49.8</v>
      </c>
      <c r="BH618" s="31">
        <v>0.78049999999999997</v>
      </c>
      <c r="BI618" s="32">
        <v>780.2</v>
      </c>
      <c r="BJ618" s="33"/>
      <c r="BK618" s="12"/>
      <c r="BL618" s="12"/>
      <c r="BM618" s="12"/>
      <c r="BN618" s="33"/>
      <c r="BO618" s="33"/>
      <c r="BP618" s="33"/>
      <c r="BQ618" s="33"/>
      <c r="BR618" s="520"/>
    </row>
    <row r="619" spans="37:70">
      <c r="AK619" s="2482"/>
      <c r="BG619" s="30">
        <v>49.9</v>
      </c>
      <c r="BH619" s="31">
        <v>0.78</v>
      </c>
      <c r="BI619" s="32">
        <v>779.7</v>
      </c>
      <c r="BJ619" s="33"/>
      <c r="BK619" s="12"/>
      <c r="BL619" s="12"/>
      <c r="BM619" s="12"/>
      <c r="BN619" s="33"/>
      <c r="BO619" s="33"/>
      <c r="BP619" s="33"/>
      <c r="BQ619" s="33"/>
      <c r="BR619" s="520"/>
    </row>
    <row r="620" spans="37:70">
      <c r="AK620" s="2482"/>
      <c r="BG620" s="30">
        <v>50</v>
      </c>
      <c r="BH620" s="31">
        <v>0.77959999999999996</v>
      </c>
      <c r="BI620" s="32">
        <v>779.3</v>
      </c>
      <c r="BJ620" s="33"/>
      <c r="BK620" s="12"/>
      <c r="BL620" s="12"/>
      <c r="BM620" s="12"/>
      <c r="BN620" s="33"/>
      <c r="BO620" s="33"/>
      <c r="BP620" s="33"/>
      <c r="BQ620" s="33"/>
      <c r="BR620" s="520"/>
    </row>
    <row r="621" spans="37:70">
      <c r="AK621" s="2482"/>
      <c r="BG621" s="30">
        <v>50.1</v>
      </c>
      <c r="BH621" s="31">
        <v>0.7792</v>
      </c>
      <c r="BI621" s="32">
        <v>778.9</v>
      </c>
      <c r="BJ621" s="33"/>
      <c r="BK621" s="12"/>
      <c r="BL621" s="12"/>
      <c r="BM621" s="12"/>
      <c r="BN621" s="33"/>
      <c r="BO621" s="33"/>
      <c r="BP621" s="33"/>
      <c r="BQ621" s="33"/>
      <c r="BR621" s="520"/>
    </row>
    <row r="622" spans="37:70">
      <c r="AK622" s="2482"/>
      <c r="BG622" s="30">
        <v>50.2</v>
      </c>
      <c r="BH622" s="31">
        <v>0.77880000000000005</v>
      </c>
      <c r="BI622" s="32">
        <v>778.4</v>
      </c>
      <c r="BJ622" s="33"/>
      <c r="BK622" s="12"/>
      <c r="BL622" s="12"/>
      <c r="BM622" s="12"/>
      <c r="BN622" s="33"/>
      <c r="BO622" s="33"/>
      <c r="BP622" s="33"/>
      <c r="BQ622" s="33"/>
      <c r="BR622" s="520"/>
    </row>
    <row r="623" spans="37:70">
      <c r="AK623" s="2482"/>
      <c r="BG623" s="30">
        <v>50.3</v>
      </c>
      <c r="BH623" s="31">
        <v>0.77829999999999999</v>
      </c>
      <c r="BI623" s="32">
        <v>778</v>
      </c>
      <c r="BJ623" s="33"/>
      <c r="BK623" s="12"/>
      <c r="BL623" s="12"/>
      <c r="BM623" s="12"/>
      <c r="BN623" s="33"/>
      <c r="BO623" s="33"/>
      <c r="BP623" s="33"/>
      <c r="BQ623" s="33"/>
      <c r="BR623" s="520"/>
    </row>
    <row r="624" spans="37:70">
      <c r="AK624" s="2482"/>
      <c r="BG624" s="30">
        <v>50.4</v>
      </c>
      <c r="BH624" s="31">
        <v>0.77790000000000004</v>
      </c>
      <c r="BI624" s="32">
        <v>777.6</v>
      </c>
      <c r="BJ624" s="33"/>
      <c r="BK624" s="12"/>
      <c r="BL624" s="12"/>
      <c r="BM624" s="12"/>
      <c r="BN624" s="33"/>
      <c r="BO624" s="33"/>
      <c r="BP624" s="33"/>
      <c r="BQ624" s="33"/>
      <c r="BR624" s="520"/>
    </row>
    <row r="625" spans="37:70">
      <c r="AK625" s="2482"/>
      <c r="BG625" s="30">
        <v>50.5</v>
      </c>
      <c r="BH625" s="31">
        <v>0.77749999999999997</v>
      </c>
      <c r="BI625" s="32">
        <v>777.2</v>
      </c>
      <c r="BJ625" s="33"/>
      <c r="BK625" s="12"/>
      <c r="BL625" s="12"/>
      <c r="BM625" s="12"/>
      <c r="BN625" s="33"/>
      <c r="BO625" s="33"/>
      <c r="BP625" s="33"/>
      <c r="BQ625" s="33"/>
      <c r="BR625" s="520"/>
    </row>
    <row r="626" spans="37:70">
      <c r="AK626" s="2482"/>
      <c r="BG626" s="30">
        <v>50.6</v>
      </c>
      <c r="BH626" s="31">
        <v>0.77700000000000002</v>
      </c>
      <c r="BI626" s="32">
        <v>776.7</v>
      </c>
      <c r="BJ626" s="33"/>
      <c r="BK626" s="12"/>
      <c r="BL626" s="12"/>
      <c r="BM626" s="12"/>
      <c r="BN626" s="33"/>
      <c r="BO626" s="33"/>
      <c r="BP626" s="33"/>
      <c r="BQ626" s="33"/>
      <c r="BR626" s="520"/>
    </row>
    <row r="627" spans="37:70">
      <c r="AK627" s="2482"/>
      <c r="BG627" s="30">
        <v>50.7</v>
      </c>
      <c r="BH627" s="31">
        <v>0.77659999999999996</v>
      </c>
      <c r="BI627" s="32">
        <v>776.3</v>
      </c>
      <c r="BJ627" s="33"/>
      <c r="BK627" s="12"/>
      <c r="BL627" s="12"/>
      <c r="BM627" s="12"/>
      <c r="BN627" s="33"/>
      <c r="BO627" s="33"/>
      <c r="BP627" s="33"/>
      <c r="BQ627" s="33"/>
      <c r="BR627" s="520"/>
    </row>
    <row r="628" spans="37:70">
      <c r="AK628" s="2482"/>
      <c r="BG628" s="30">
        <v>50.8</v>
      </c>
      <c r="BH628" s="31">
        <v>0.7762</v>
      </c>
      <c r="BI628" s="32">
        <v>775.9</v>
      </c>
      <c r="BJ628" s="33"/>
      <c r="BK628" s="12"/>
      <c r="BL628" s="12"/>
      <c r="BM628" s="12"/>
      <c r="BN628" s="33"/>
      <c r="BO628" s="33"/>
      <c r="BP628" s="33"/>
      <c r="BQ628" s="33"/>
      <c r="BR628" s="520"/>
    </row>
    <row r="629" spans="37:70">
      <c r="AK629" s="2482"/>
      <c r="BG629" s="30">
        <v>50.9</v>
      </c>
      <c r="BH629" s="31">
        <v>0.77580000000000005</v>
      </c>
      <c r="BI629" s="32">
        <v>775.5</v>
      </c>
      <c r="BJ629" s="33"/>
      <c r="BK629" s="12"/>
      <c r="BL629" s="12"/>
      <c r="BM629" s="12"/>
      <c r="BN629" s="33"/>
      <c r="BO629" s="33"/>
      <c r="BP629" s="33"/>
      <c r="BQ629" s="33"/>
      <c r="BR629" s="520"/>
    </row>
    <row r="630" spans="37:70">
      <c r="AK630" s="2482"/>
      <c r="BG630" s="30">
        <v>51</v>
      </c>
      <c r="BH630" s="31">
        <v>0.77529999999999999</v>
      </c>
      <c r="BI630" s="32">
        <v>775.1</v>
      </c>
      <c r="BJ630" s="33"/>
      <c r="BK630" s="12"/>
      <c r="BL630" s="12"/>
      <c r="BM630" s="12"/>
      <c r="BN630" s="33"/>
      <c r="BO630" s="33"/>
      <c r="BP630" s="33"/>
      <c r="BQ630" s="33"/>
      <c r="BR630" s="520"/>
    </row>
    <row r="631" spans="37:70">
      <c r="AK631" s="2482"/>
      <c r="BG631" s="30">
        <v>51.1</v>
      </c>
      <c r="BH631" s="31">
        <v>0.77490000000000003</v>
      </c>
      <c r="BI631" s="32">
        <v>774.6</v>
      </c>
      <c r="BJ631" s="33"/>
      <c r="BK631" s="12"/>
      <c r="BL631" s="12"/>
      <c r="BM631" s="12"/>
      <c r="BN631" s="33"/>
      <c r="BO631" s="33"/>
      <c r="BP631" s="33"/>
      <c r="BQ631" s="33"/>
      <c r="BR631" s="520"/>
    </row>
    <row r="632" spans="37:70">
      <c r="AK632" s="2482"/>
      <c r="BG632" s="30">
        <v>51.2</v>
      </c>
      <c r="BH632" s="31">
        <v>0.77449999999999997</v>
      </c>
      <c r="BI632" s="32">
        <v>774.2</v>
      </c>
      <c r="BJ632" s="33"/>
      <c r="BK632" s="12"/>
      <c r="BL632" s="12"/>
      <c r="BM632" s="12"/>
      <c r="BN632" s="33"/>
      <c r="BO632" s="33"/>
      <c r="BP632" s="33"/>
      <c r="BQ632" s="33"/>
      <c r="BR632" s="520"/>
    </row>
    <row r="633" spans="37:70">
      <c r="AK633" s="2482"/>
      <c r="BG633" s="30">
        <v>51.3</v>
      </c>
      <c r="BH633" s="31">
        <v>0.77410000000000001</v>
      </c>
      <c r="BI633" s="32">
        <v>773.8</v>
      </c>
      <c r="BJ633" s="33"/>
      <c r="BK633" s="12"/>
      <c r="BL633" s="12"/>
      <c r="BM633" s="12"/>
      <c r="BN633" s="33"/>
      <c r="BO633" s="33"/>
      <c r="BP633" s="33"/>
      <c r="BQ633" s="33"/>
      <c r="BR633" s="520"/>
    </row>
    <row r="634" spans="37:70">
      <c r="AK634" s="2482"/>
      <c r="BG634" s="30">
        <v>51.4</v>
      </c>
      <c r="BH634" s="31">
        <v>0.77359999999999995</v>
      </c>
      <c r="BI634" s="32">
        <v>773.4</v>
      </c>
      <c r="BJ634" s="33"/>
      <c r="BK634" s="12"/>
      <c r="BL634" s="12"/>
      <c r="BM634" s="12"/>
      <c r="BN634" s="33"/>
      <c r="BO634" s="33"/>
      <c r="BP634" s="33"/>
      <c r="BQ634" s="33"/>
      <c r="BR634" s="520"/>
    </row>
    <row r="635" spans="37:70">
      <c r="AK635" s="2482"/>
      <c r="BG635" s="30">
        <v>51.5</v>
      </c>
      <c r="BH635" s="31">
        <v>0.7732</v>
      </c>
      <c r="BI635" s="32">
        <v>772.9</v>
      </c>
      <c r="BJ635" s="33"/>
      <c r="BK635" s="12"/>
      <c r="BL635" s="12"/>
      <c r="BM635" s="12"/>
      <c r="BN635" s="33"/>
      <c r="BO635" s="33"/>
      <c r="BP635" s="33"/>
      <c r="BQ635" s="33"/>
      <c r="BR635" s="520"/>
    </row>
    <row r="636" spans="37:70">
      <c r="AK636" s="2482"/>
      <c r="BG636" s="30">
        <v>51.6</v>
      </c>
      <c r="BH636" s="31">
        <v>0.77280000000000004</v>
      </c>
      <c r="BI636" s="32">
        <v>772.5</v>
      </c>
      <c r="BJ636" s="33"/>
      <c r="BK636" s="12"/>
      <c r="BL636" s="12"/>
      <c r="BM636" s="12"/>
      <c r="BN636" s="33"/>
      <c r="BO636" s="33"/>
      <c r="BP636" s="33"/>
      <c r="BQ636" s="33"/>
      <c r="BR636" s="520"/>
    </row>
    <row r="637" spans="37:70">
      <c r="AK637" s="2482"/>
      <c r="BG637" s="30">
        <v>51.7</v>
      </c>
      <c r="BH637" s="31">
        <v>0.77239999999999998</v>
      </c>
      <c r="BI637" s="32">
        <v>772.1</v>
      </c>
      <c r="BJ637" s="33"/>
      <c r="BK637" s="12"/>
      <c r="BL637" s="12"/>
      <c r="BM637" s="12"/>
      <c r="BN637" s="33"/>
      <c r="BO637" s="33"/>
      <c r="BP637" s="33"/>
      <c r="BQ637" s="33"/>
      <c r="BR637" s="520"/>
    </row>
    <row r="638" spans="37:70">
      <c r="AK638" s="2482"/>
      <c r="BG638" s="30">
        <v>51.8</v>
      </c>
      <c r="BH638" s="31">
        <v>0.77200000000000002</v>
      </c>
      <c r="BI638" s="32">
        <v>771.7</v>
      </c>
      <c r="BJ638" s="33"/>
      <c r="BK638" s="12"/>
      <c r="BL638" s="12"/>
      <c r="BM638" s="12"/>
      <c r="BN638" s="33"/>
      <c r="BO638" s="33"/>
      <c r="BP638" s="33"/>
      <c r="BQ638" s="33"/>
      <c r="BR638" s="520"/>
    </row>
    <row r="639" spans="37:70">
      <c r="AK639" s="2482"/>
      <c r="BG639" s="30">
        <v>51.9</v>
      </c>
      <c r="BH639" s="31">
        <v>0.77149999999999996</v>
      </c>
      <c r="BI639" s="32">
        <v>771.3</v>
      </c>
      <c r="BJ639" s="33"/>
      <c r="BK639" s="12"/>
      <c r="BL639" s="12"/>
      <c r="BM639" s="12"/>
      <c r="BN639" s="33"/>
      <c r="BO639" s="33"/>
      <c r="BP639" s="33"/>
      <c r="BQ639" s="33"/>
      <c r="BR639" s="520"/>
    </row>
    <row r="640" spans="37:70">
      <c r="AK640" s="2482"/>
      <c r="BG640" s="30">
        <v>52</v>
      </c>
      <c r="BH640" s="31">
        <v>0.77110000000000001</v>
      </c>
      <c r="BI640" s="32">
        <v>770.8</v>
      </c>
      <c r="BJ640" s="33"/>
      <c r="BK640" s="12"/>
      <c r="BL640" s="12"/>
      <c r="BM640" s="12"/>
      <c r="BN640" s="33"/>
      <c r="BO640" s="33"/>
      <c r="BP640" s="33"/>
      <c r="BQ640" s="33"/>
      <c r="BR640" s="520"/>
    </row>
    <row r="641" spans="37:70">
      <c r="AK641" s="2482"/>
      <c r="BG641" s="30">
        <v>52.1</v>
      </c>
      <c r="BH641" s="31">
        <v>0.77070000000000005</v>
      </c>
      <c r="BI641" s="32">
        <v>770.4</v>
      </c>
      <c r="BJ641" s="33"/>
      <c r="BK641" s="12"/>
      <c r="BL641" s="12"/>
      <c r="BM641" s="12"/>
      <c r="BN641" s="33"/>
      <c r="BO641" s="33"/>
      <c r="BP641" s="33"/>
      <c r="BQ641" s="33"/>
      <c r="BR641" s="520"/>
    </row>
    <row r="642" spans="37:70">
      <c r="AK642" s="2482"/>
      <c r="BG642" s="30">
        <v>52.2</v>
      </c>
      <c r="BH642" s="31">
        <v>0.77029999999999998</v>
      </c>
      <c r="BI642" s="32">
        <v>770</v>
      </c>
      <c r="BJ642" s="33"/>
      <c r="BK642" s="12"/>
      <c r="BL642" s="12"/>
      <c r="BM642" s="12"/>
      <c r="BN642" s="33"/>
      <c r="BO642" s="33"/>
      <c r="BP642" s="33"/>
      <c r="BQ642" s="33"/>
      <c r="BR642" s="520"/>
    </row>
    <row r="643" spans="37:70">
      <c r="AK643" s="2482"/>
      <c r="BG643" s="30">
        <v>52.3</v>
      </c>
      <c r="BH643" s="31">
        <v>0.76990000000000003</v>
      </c>
      <c r="BI643" s="32">
        <v>769.6</v>
      </c>
      <c r="BJ643" s="33"/>
      <c r="BK643" s="12"/>
      <c r="BL643" s="12"/>
      <c r="BM643" s="12"/>
      <c r="BN643" s="33"/>
      <c r="BO643" s="33"/>
      <c r="BP643" s="33"/>
      <c r="BQ643" s="33"/>
      <c r="BR643" s="520"/>
    </row>
    <row r="644" spans="37:70">
      <c r="AK644" s="2482"/>
      <c r="BG644" s="30">
        <v>52.4</v>
      </c>
      <c r="BH644" s="31">
        <v>0.76939999999999997</v>
      </c>
      <c r="BI644" s="32">
        <v>769.2</v>
      </c>
      <c r="BJ644" s="33"/>
      <c r="BK644" s="12"/>
      <c r="BL644" s="12"/>
      <c r="BM644" s="12"/>
      <c r="BN644" s="33"/>
      <c r="BO644" s="33"/>
      <c r="BP644" s="33"/>
      <c r="BQ644" s="33"/>
      <c r="BR644" s="520"/>
    </row>
    <row r="645" spans="37:70">
      <c r="AK645" s="2482"/>
      <c r="BG645" s="30">
        <v>52.5</v>
      </c>
      <c r="BH645" s="31">
        <v>0.76900000000000002</v>
      </c>
      <c r="BI645" s="32">
        <v>768.8</v>
      </c>
      <c r="BJ645" s="33"/>
      <c r="BK645" s="12"/>
      <c r="BL645" s="12"/>
      <c r="BM645" s="12"/>
      <c r="BN645" s="33"/>
      <c r="BO645" s="33"/>
      <c r="BP645" s="33"/>
      <c r="BQ645" s="33"/>
      <c r="BR645" s="520"/>
    </row>
    <row r="646" spans="37:70">
      <c r="AK646" s="2482"/>
      <c r="BG646" s="30">
        <v>52.6</v>
      </c>
      <c r="BH646" s="31">
        <v>0.76859999999999995</v>
      </c>
      <c r="BI646" s="32">
        <v>768.3</v>
      </c>
      <c r="BJ646" s="33"/>
      <c r="BK646" s="12"/>
      <c r="BL646" s="12"/>
      <c r="BM646" s="12"/>
      <c r="BN646" s="33"/>
      <c r="BO646" s="33"/>
      <c r="BP646" s="33"/>
      <c r="BQ646" s="33"/>
      <c r="BR646" s="520"/>
    </row>
    <row r="647" spans="37:70">
      <c r="AK647" s="2482"/>
      <c r="BG647" s="30">
        <v>52.7</v>
      </c>
      <c r="BH647" s="31">
        <v>0.76819999999999999</v>
      </c>
      <c r="BI647" s="32">
        <v>767.9</v>
      </c>
      <c r="BJ647" s="33"/>
      <c r="BK647" s="12"/>
      <c r="BL647" s="12"/>
      <c r="BM647" s="12"/>
      <c r="BN647" s="33"/>
      <c r="BO647" s="33"/>
      <c r="BP647" s="33"/>
      <c r="BQ647" s="33"/>
      <c r="BR647" s="520"/>
    </row>
    <row r="648" spans="37:70">
      <c r="AK648" s="2482"/>
      <c r="BG648" s="30">
        <v>52.8</v>
      </c>
      <c r="BH648" s="31">
        <v>0.76780000000000004</v>
      </c>
      <c r="BI648" s="32">
        <v>767.5</v>
      </c>
      <c r="BJ648" s="33"/>
      <c r="BK648" s="12"/>
      <c r="BL648" s="12"/>
      <c r="BM648" s="12"/>
      <c r="BN648" s="33"/>
      <c r="BO648" s="33"/>
      <c r="BP648" s="33"/>
      <c r="BQ648" s="33"/>
      <c r="BR648" s="520"/>
    </row>
    <row r="649" spans="37:70">
      <c r="AK649" s="2482"/>
      <c r="BG649" s="30">
        <v>52.9</v>
      </c>
      <c r="BH649" s="31">
        <v>0.76739999999999997</v>
      </c>
      <c r="BI649" s="32">
        <v>767.1</v>
      </c>
      <c r="BJ649" s="33"/>
      <c r="BK649" s="12"/>
      <c r="BL649" s="12"/>
      <c r="BM649" s="12"/>
      <c r="BN649" s="33"/>
      <c r="BO649" s="33"/>
      <c r="BP649" s="33"/>
      <c r="BQ649" s="33"/>
      <c r="BR649" s="520"/>
    </row>
    <row r="650" spans="37:70">
      <c r="AK650" s="2482"/>
      <c r="BG650" s="30">
        <v>53</v>
      </c>
      <c r="BH650" s="31">
        <v>0.76690000000000003</v>
      </c>
      <c r="BI650" s="32">
        <v>766.7</v>
      </c>
      <c r="BJ650" s="33"/>
      <c r="BK650" s="12"/>
      <c r="BL650" s="12"/>
      <c r="BM650" s="12"/>
      <c r="BN650" s="33"/>
      <c r="BO650" s="33"/>
      <c r="BP650" s="33"/>
      <c r="BQ650" s="33"/>
      <c r="BR650" s="520"/>
    </row>
    <row r="651" spans="37:70">
      <c r="AK651" s="2482"/>
      <c r="BG651" s="30">
        <v>53.1</v>
      </c>
      <c r="BH651" s="31">
        <v>0.76649999999999996</v>
      </c>
      <c r="BI651" s="32">
        <v>766.3</v>
      </c>
      <c r="BJ651" s="33"/>
      <c r="BK651" s="12"/>
      <c r="BL651" s="12"/>
      <c r="BM651" s="12"/>
      <c r="BN651" s="33"/>
      <c r="BO651" s="33"/>
      <c r="BP651" s="33"/>
      <c r="BQ651" s="33"/>
      <c r="BR651" s="520"/>
    </row>
    <row r="652" spans="37:70">
      <c r="AK652" s="2482"/>
      <c r="BG652" s="30">
        <v>53.2</v>
      </c>
      <c r="BH652" s="31">
        <v>0.7661</v>
      </c>
      <c r="BI652" s="32">
        <v>765.8</v>
      </c>
      <c r="BJ652" s="33"/>
      <c r="BK652" s="12"/>
      <c r="BL652" s="12"/>
      <c r="BM652" s="12"/>
      <c r="BN652" s="33"/>
      <c r="BO652" s="33"/>
      <c r="BP652" s="33"/>
      <c r="BQ652" s="33"/>
      <c r="BR652" s="520"/>
    </row>
    <row r="653" spans="37:70">
      <c r="AK653" s="2482"/>
      <c r="BG653" s="30">
        <v>53.3</v>
      </c>
      <c r="BH653" s="31">
        <v>0.76570000000000005</v>
      </c>
      <c r="BI653" s="32">
        <v>765.4</v>
      </c>
      <c r="BJ653" s="33"/>
      <c r="BK653" s="12"/>
      <c r="BL653" s="12"/>
      <c r="BM653" s="12"/>
      <c r="BN653" s="33"/>
      <c r="BO653" s="33"/>
      <c r="BP653" s="33"/>
      <c r="BQ653" s="33"/>
      <c r="BR653" s="520"/>
    </row>
    <row r="654" spans="37:70">
      <c r="AK654" s="2482"/>
      <c r="BG654" s="30">
        <v>53.4</v>
      </c>
      <c r="BH654" s="31">
        <v>0.76529999999999998</v>
      </c>
      <c r="BI654" s="32">
        <v>765</v>
      </c>
      <c r="BJ654" s="33"/>
      <c r="BK654" s="12"/>
      <c r="BL654" s="12"/>
      <c r="BM654" s="12"/>
      <c r="BN654" s="33"/>
      <c r="BO654" s="33"/>
      <c r="BP654" s="33"/>
      <c r="BQ654" s="33"/>
      <c r="BR654" s="520"/>
    </row>
    <row r="655" spans="37:70">
      <c r="AK655" s="2482"/>
      <c r="BG655" s="30">
        <v>53.5</v>
      </c>
      <c r="BH655" s="31">
        <v>0.76490000000000002</v>
      </c>
      <c r="BI655" s="32">
        <v>764.6</v>
      </c>
      <c r="BJ655" s="33"/>
      <c r="BK655" s="12"/>
      <c r="BL655" s="12"/>
      <c r="BM655" s="12"/>
      <c r="BN655" s="33"/>
      <c r="BO655" s="33"/>
      <c r="BP655" s="33"/>
      <c r="BQ655" s="33"/>
      <c r="BR655" s="520"/>
    </row>
    <row r="656" spans="37:70">
      <c r="AK656" s="2482"/>
      <c r="BG656" s="30">
        <v>53.6</v>
      </c>
      <c r="BH656" s="31">
        <v>0.76449999999999996</v>
      </c>
      <c r="BI656" s="32">
        <v>764.2</v>
      </c>
      <c r="BJ656" s="33"/>
      <c r="BK656" s="12"/>
      <c r="BL656" s="12"/>
      <c r="BM656" s="12"/>
      <c r="BN656" s="33"/>
      <c r="BO656" s="33"/>
      <c r="BP656" s="33"/>
      <c r="BQ656" s="33"/>
      <c r="BR656" s="520"/>
    </row>
    <row r="657" spans="37:70">
      <c r="AK657" s="2482"/>
      <c r="BG657" s="30">
        <v>53.7</v>
      </c>
      <c r="BH657" s="31">
        <v>0.76400000000000001</v>
      </c>
      <c r="BI657" s="32">
        <v>763.8</v>
      </c>
      <c r="BJ657" s="33"/>
      <c r="BK657" s="12"/>
      <c r="BL657" s="12"/>
      <c r="BM657" s="12"/>
      <c r="BN657" s="33"/>
      <c r="BO657" s="33"/>
      <c r="BP657" s="33"/>
      <c r="BQ657" s="33"/>
      <c r="BR657" s="520"/>
    </row>
    <row r="658" spans="37:70">
      <c r="AK658" s="2482"/>
      <c r="BG658" s="30">
        <v>53.8</v>
      </c>
      <c r="BH658" s="31">
        <v>0.76359999999999995</v>
      </c>
      <c r="BI658" s="32">
        <v>763.4</v>
      </c>
      <c r="BJ658" s="33"/>
      <c r="BK658" s="12"/>
      <c r="BL658" s="12"/>
      <c r="BM658" s="12"/>
      <c r="BN658" s="33"/>
      <c r="BO658" s="33"/>
      <c r="BP658" s="33"/>
      <c r="BQ658" s="33"/>
      <c r="BR658" s="520"/>
    </row>
    <row r="659" spans="37:70">
      <c r="AK659" s="2482"/>
      <c r="BG659" s="30">
        <v>53.9</v>
      </c>
      <c r="BH659" s="31">
        <v>0.76319999999999999</v>
      </c>
      <c r="BI659" s="32">
        <v>763</v>
      </c>
      <c r="BJ659" s="33"/>
      <c r="BK659" s="12"/>
      <c r="BL659" s="12"/>
      <c r="BM659" s="12"/>
      <c r="BN659" s="33"/>
      <c r="BO659" s="33"/>
      <c r="BP659" s="33"/>
      <c r="BQ659" s="33"/>
      <c r="BR659" s="520"/>
    </row>
    <row r="660" spans="37:70">
      <c r="AK660" s="2482"/>
      <c r="BG660" s="30">
        <v>54</v>
      </c>
      <c r="BH660" s="31">
        <v>0.76280000000000003</v>
      </c>
      <c r="BI660" s="32">
        <v>762.5</v>
      </c>
      <c r="BJ660" s="33"/>
      <c r="BK660" s="12"/>
      <c r="BL660" s="12"/>
      <c r="BM660" s="12"/>
      <c r="BN660" s="33"/>
      <c r="BO660" s="33"/>
      <c r="BP660" s="33"/>
      <c r="BQ660" s="33"/>
      <c r="BR660" s="520"/>
    </row>
    <row r="661" spans="37:70">
      <c r="AK661" s="2482"/>
      <c r="BG661" s="30">
        <v>54.1</v>
      </c>
      <c r="BH661" s="31">
        <v>0.76239999999999997</v>
      </c>
      <c r="BI661" s="32">
        <v>762.1</v>
      </c>
      <c r="BJ661" s="33"/>
      <c r="BK661" s="12"/>
      <c r="BL661" s="12"/>
      <c r="BM661" s="12"/>
      <c r="BN661" s="33"/>
      <c r="BO661" s="33"/>
      <c r="BP661" s="33"/>
      <c r="BQ661" s="33"/>
      <c r="BR661" s="520"/>
    </row>
    <row r="662" spans="37:70">
      <c r="AK662" s="2482"/>
      <c r="BG662" s="30">
        <v>54.2</v>
      </c>
      <c r="BH662" s="31">
        <v>0.76200000000000001</v>
      </c>
      <c r="BI662" s="32">
        <v>761.7</v>
      </c>
      <c r="BJ662" s="33"/>
      <c r="BK662" s="12"/>
      <c r="BL662" s="12"/>
      <c r="BM662" s="12"/>
      <c r="BN662" s="33"/>
      <c r="BO662" s="33"/>
      <c r="BP662" s="33"/>
      <c r="BQ662" s="33"/>
      <c r="BR662" s="520"/>
    </row>
    <row r="663" spans="37:70">
      <c r="AK663" s="2482"/>
      <c r="BG663" s="30">
        <v>54.3</v>
      </c>
      <c r="BH663" s="31">
        <v>0.76160000000000005</v>
      </c>
      <c r="BI663" s="32">
        <v>761.3</v>
      </c>
      <c r="BJ663" s="33"/>
      <c r="BK663" s="12"/>
      <c r="BL663" s="12"/>
      <c r="BM663" s="12"/>
      <c r="BN663" s="33"/>
      <c r="BO663" s="33"/>
      <c r="BP663" s="33"/>
      <c r="BQ663" s="33"/>
      <c r="BR663" s="520"/>
    </row>
    <row r="664" spans="37:70">
      <c r="AK664" s="2482"/>
      <c r="BG664" s="30">
        <v>54.4</v>
      </c>
      <c r="BH664" s="31">
        <v>0.76119999999999999</v>
      </c>
      <c r="BI664" s="32">
        <v>760.9</v>
      </c>
      <c r="BJ664" s="33"/>
      <c r="BK664" s="12"/>
      <c r="BL664" s="12"/>
      <c r="BM664" s="12"/>
      <c r="BN664" s="33"/>
      <c r="BO664" s="33"/>
      <c r="BP664" s="33"/>
      <c r="BQ664" s="33"/>
      <c r="BR664" s="520"/>
    </row>
    <row r="665" spans="37:70">
      <c r="AK665" s="2482"/>
      <c r="BG665" s="30">
        <v>54.5</v>
      </c>
      <c r="BH665" s="31">
        <v>0.76080000000000003</v>
      </c>
      <c r="BI665" s="32">
        <v>760.5</v>
      </c>
      <c r="BJ665" s="33"/>
      <c r="BK665" s="12"/>
      <c r="BL665" s="12"/>
      <c r="BM665" s="12"/>
      <c r="BN665" s="33"/>
      <c r="BO665" s="33"/>
      <c r="BP665" s="33"/>
      <c r="BQ665" s="33"/>
      <c r="BR665" s="520"/>
    </row>
    <row r="666" spans="37:70">
      <c r="AK666" s="2482"/>
      <c r="BG666" s="30">
        <v>54.6</v>
      </c>
      <c r="BH666" s="31">
        <v>0.76029999999999998</v>
      </c>
      <c r="BI666" s="32">
        <v>760.1</v>
      </c>
      <c r="BJ666" s="33"/>
      <c r="BK666" s="12"/>
      <c r="BL666" s="12"/>
      <c r="BM666" s="12"/>
      <c r="BN666" s="33"/>
      <c r="BO666" s="33"/>
      <c r="BP666" s="33"/>
      <c r="BQ666" s="33"/>
      <c r="BR666" s="520"/>
    </row>
    <row r="667" spans="37:70">
      <c r="AK667" s="2482"/>
      <c r="BG667" s="30">
        <v>54.7</v>
      </c>
      <c r="BH667" s="31">
        <v>0.75990000000000002</v>
      </c>
      <c r="BI667" s="32">
        <v>759.7</v>
      </c>
      <c r="BJ667" s="33"/>
      <c r="BK667" s="12"/>
      <c r="BL667" s="12"/>
      <c r="BM667" s="12"/>
      <c r="BN667" s="33"/>
      <c r="BO667" s="33"/>
      <c r="BP667" s="33"/>
      <c r="BQ667" s="33"/>
      <c r="BR667" s="520"/>
    </row>
    <row r="668" spans="37:70">
      <c r="AK668" s="2482"/>
      <c r="BG668" s="30">
        <v>54.8</v>
      </c>
      <c r="BH668" s="31">
        <v>0.75949999999999995</v>
      </c>
      <c r="BI668" s="32">
        <v>759.3</v>
      </c>
      <c r="BJ668" s="33"/>
      <c r="BK668" s="12"/>
      <c r="BL668" s="12"/>
      <c r="BM668" s="12"/>
      <c r="BN668" s="33"/>
      <c r="BO668" s="33"/>
      <c r="BP668" s="33"/>
      <c r="BQ668" s="33"/>
      <c r="BR668" s="520"/>
    </row>
    <row r="669" spans="37:70">
      <c r="AK669" s="2482"/>
      <c r="BG669" s="30">
        <v>54.9</v>
      </c>
      <c r="BH669" s="31">
        <v>0.7591</v>
      </c>
      <c r="BI669" s="32">
        <v>758.9</v>
      </c>
      <c r="BJ669" s="33"/>
      <c r="BK669" s="12"/>
      <c r="BL669" s="12"/>
      <c r="BM669" s="12"/>
      <c r="BN669" s="33"/>
      <c r="BO669" s="33"/>
      <c r="BP669" s="33"/>
      <c r="BQ669" s="33"/>
      <c r="BR669" s="520"/>
    </row>
    <row r="670" spans="37:70">
      <c r="AK670" s="2482"/>
      <c r="BG670" s="30">
        <v>55</v>
      </c>
      <c r="BH670" s="31">
        <v>0.75870000000000004</v>
      </c>
      <c r="BI670" s="32">
        <v>758.5</v>
      </c>
      <c r="BJ670" s="33"/>
      <c r="BK670" s="12"/>
      <c r="BL670" s="12"/>
      <c r="BM670" s="12"/>
      <c r="BN670" s="33"/>
      <c r="BO670" s="33"/>
      <c r="BP670" s="33"/>
      <c r="BQ670" s="33"/>
      <c r="BR670" s="520"/>
    </row>
    <row r="671" spans="37:70">
      <c r="AK671" s="2482"/>
      <c r="BG671" s="30">
        <v>55.1</v>
      </c>
      <c r="BH671" s="31">
        <v>0.75829999999999997</v>
      </c>
      <c r="BI671" s="32">
        <v>758.1</v>
      </c>
      <c r="BJ671" s="33"/>
      <c r="BK671" s="12"/>
      <c r="BL671" s="12"/>
      <c r="BM671" s="12"/>
      <c r="BN671" s="33"/>
      <c r="BO671" s="33"/>
      <c r="BP671" s="33"/>
      <c r="BQ671" s="33"/>
      <c r="BR671" s="520"/>
    </row>
    <row r="672" spans="37:70">
      <c r="AK672" s="2482"/>
      <c r="BG672" s="30">
        <v>55.2</v>
      </c>
      <c r="BH672" s="31">
        <v>0.75790000000000002</v>
      </c>
      <c r="BI672" s="32">
        <v>757.6</v>
      </c>
      <c r="BJ672" s="33"/>
      <c r="BK672" s="12"/>
      <c r="BL672" s="12"/>
      <c r="BM672" s="12"/>
      <c r="BN672" s="33"/>
      <c r="BO672" s="33"/>
      <c r="BP672" s="33"/>
      <c r="BQ672" s="33"/>
      <c r="BR672" s="520"/>
    </row>
    <row r="673" spans="37:70">
      <c r="AK673" s="2482"/>
      <c r="BG673" s="30">
        <v>55.3</v>
      </c>
      <c r="BH673" s="31">
        <v>0.75749999999999995</v>
      </c>
      <c r="BI673" s="32">
        <v>757.2</v>
      </c>
      <c r="BJ673" s="33"/>
      <c r="BK673" s="12"/>
      <c r="BL673" s="12"/>
      <c r="BM673" s="12"/>
      <c r="BN673" s="33"/>
      <c r="BO673" s="33"/>
      <c r="BP673" s="33"/>
      <c r="BQ673" s="33"/>
      <c r="BR673" s="520"/>
    </row>
    <row r="674" spans="37:70">
      <c r="AK674" s="2482"/>
      <c r="BG674" s="30">
        <v>55.4</v>
      </c>
      <c r="BH674" s="31">
        <v>0.7571</v>
      </c>
      <c r="BI674" s="32">
        <v>756.8</v>
      </c>
      <c r="BJ674" s="33"/>
      <c r="BK674" s="12"/>
      <c r="BL674" s="12"/>
      <c r="BM674" s="12"/>
      <c r="BN674" s="33"/>
      <c r="BO674" s="33"/>
      <c r="BP674" s="33"/>
      <c r="BQ674" s="33"/>
      <c r="BR674" s="520"/>
    </row>
    <row r="675" spans="37:70">
      <c r="AK675" s="2482"/>
      <c r="BG675" s="30">
        <v>55.5</v>
      </c>
      <c r="BH675" s="31">
        <v>0.75670000000000004</v>
      </c>
      <c r="BI675" s="32">
        <v>756.4</v>
      </c>
      <c r="BJ675" s="33"/>
      <c r="BK675" s="12"/>
      <c r="BL675" s="12"/>
      <c r="BM675" s="12"/>
      <c r="BN675" s="33"/>
      <c r="BO675" s="33"/>
      <c r="BP675" s="33"/>
      <c r="BQ675" s="33"/>
      <c r="BR675" s="520"/>
    </row>
    <row r="676" spans="37:70">
      <c r="AK676" s="2482"/>
      <c r="BG676" s="30">
        <v>55.6</v>
      </c>
      <c r="BH676" s="31">
        <v>0.75629999999999997</v>
      </c>
      <c r="BI676" s="32">
        <v>756</v>
      </c>
      <c r="BJ676" s="33"/>
      <c r="BK676" s="12"/>
      <c r="BL676" s="12"/>
      <c r="BM676" s="12"/>
      <c r="BN676" s="33"/>
      <c r="BO676" s="33"/>
      <c r="BP676" s="33"/>
      <c r="BQ676" s="33"/>
      <c r="BR676" s="520"/>
    </row>
    <row r="677" spans="37:70">
      <c r="AK677" s="2482"/>
      <c r="BG677" s="30">
        <v>55.7</v>
      </c>
      <c r="BH677" s="31">
        <v>0.75590000000000002</v>
      </c>
      <c r="BI677" s="32">
        <v>755.6</v>
      </c>
      <c r="BJ677" s="33"/>
      <c r="BK677" s="12"/>
      <c r="BL677" s="12"/>
      <c r="BM677" s="12"/>
      <c r="BN677" s="33"/>
      <c r="BO677" s="33"/>
      <c r="BP677" s="33"/>
      <c r="BQ677" s="33"/>
      <c r="BR677" s="520"/>
    </row>
    <row r="678" spans="37:70">
      <c r="AK678" s="2482"/>
      <c r="BG678" s="30">
        <v>55.8</v>
      </c>
      <c r="BH678" s="31">
        <v>0.75549999999999995</v>
      </c>
      <c r="BI678" s="32">
        <v>755.2</v>
      </c>
      <c r="BJ678" s="33"/>
      <c r="BK678" s="12"/>
      <c r="BL678" s="12"/>
      <c r="BM678" s="12"/>
      <c r="BN678" s="33"/>
      <c r="BO678" s="33"/>
      <c r="BP678" s="33"/>
      <c r="BQ678" s="33"/>
      <c r="BR678" s="520"/>
    </row>
    <row r="679" spans="37:70">
      <c r="AK679" s="2482"/>
      <c r="BG679" s="30">
        <v>55.9</v>
      </c>
      <c r="BH679" s="31">
        <v>0.75509999999999999</v>
      </c>
      <c r="BI679" s="32">
        <v>754.8</v>
      </c>
      <c r="BJ679" s="33"/>
      <c r="BK679" s="12"/>
      <c r="BL679" s="12"/>
      <c r="BM679" s="12"/>
      <c r="BN679" s="33"/>
      <c r="BO679" s="33"/>
      <c r="BP679" s="33"/>
      <c r="BQ679" s="33"/>
      <c r="BR679" s="520"/>
    </row>
    <row r="680" spans="37:70">
      <c r="AK680" s="2482"/>
      <c r="BG680" s="30">
        <v>56</v>
      </c>
      <c r="BH680" s="31">
        <v>0.75470000000000004</v>
      </c>
      <c r="BI680" s="32">
        <v>754.4</v>
      </c>
      <c r="BJ680" s="33"/>
      <c r="BK680" s="12"/>
      <c r="BL680" s="12"/>
      <c r="BM680" s="12"/>
      <c r="BN680" s="33"/>
      <c r="BO680" s="33"/>
      <c r="BP680" s="33"/>
      <c r="BQ680" s="33"/>
      <c r="BR680" s="520"/>
    </row>
    <row r="681" spans="37:70">
      <c r="AK681" s="2482"/>
      <c r="BG681" s="30">
        <v>56.1</v>
      </c>
      <c r="BH681" s="31">
        <v>0.75429999999999997</v>
      </c>
      <c r="BI681" s="32">
        <v>754</v>
      </c>
      <c r="BJ681" s="33"/>
      <c r="BK681" s="12"/>
      <c r="BL681" s="12"/>
      <c r="BM681" s="12"/>
      <c r="BN681" s="33"/>
      <c r="BO681" s="33"/>
      <c r="BP681" s="33"/>
      <c r="BQ681" s="33"/>
      <c r="BR681" s="520"/>
    </row>
    <row r="682" spans="37:70">
      <c r="AK682" s="2482"/>
      <c r="BG682" s="30">
        <v>56.2</v>
      </c>
      <c r="BH682" s="31">
        <v>0.75390000000000001</v>
      </c>
      <c r="BI682" s="32">
        <v>753.6</v>
      </c>
      <c r="BJ682" s="33"/>
      <c r="BK682" s="12"/>
      <c r="BL682" s="12"/>
      <c r="BM682" s="12"/>
      <c r="BN682" s="33"/>
      <c r="BO682" s="33"/>
      <c r="BP682" s="33"/>
      <c r="BQ682" s="33"/>
      <c r="BR682" s="520"/>
    </row>
    <row r="683" spans="37:70">
      <c r="AK683" s="2482"/>
      <c r="BG683" s="30">
        <v>56.3</v>
      </c>
      <c r="BH683" s="31">
        <v>0.75349999999999995</v>
      </c>
      <c r="BI683" s="32">
        <v>753.2</v>
      </c>
      <c r="BJ683" s="33"/>
      <c r="BK683" s="12"/>
      <c r="BL683" s="12"/>
      <c r="BM683" s="12"/>
      <c r="BN683" s="33"/>
      <c r="BO683" s="33"/>
      <c r="BP683" s="33"/>
      <c r="BQ683" s="33"/>
      <c r="BR683" s="520"/>
    </row>
    <row r="684" spans="37:70">
      <c r="AK684" s="2482"/>
      <c r="BG684" s="30">
        <v>56.4</v>
      </c>
      <c r="BH684" s="31">
        <v>0.75309999999999999</v>
      </c>
      <c r="BI684" s="32">
        <v>752.8</v>
      </c>
      <c r="BJ684" s="33"/>
      <c r="BK684" s="12"/>
      <c r="BL684" s="12"/>
      <c r="BM684" s="12"/>
      <c r="BN684" s="33"/>
      <c r="BO684" s="33"/>
      <c r="BP684" s="33"/>
      <c r="BQ684" s="33"/>
      <c r="BR684" s="520"/>
    </row>
    <row r="685" spans="37:70">
      <c r="AK685" s="2482"/>
      <c r="BG685" s="30">
        <v>56.5</v>
      </c>
      <c r="BH685" s="31">
        <v>0.75270000000000004</v>
      </c>
      <c r="BI685" s="32">
        <v>752.4</v>
      </c>
      <c r="BJ685" s="33"/>
      <c r="BK685" s="12"/>
      <c r="BL685" s="12"/>
      <c r="BM685" s="12"/>
      <c r="BN685" s="33"/>
      <c r="BO685" s="33"/>
      <c r="BP685" s="33"/>
      <c r="BQ685" s="33"/>
      <c r="BR685" s="520"/>
    </row>
    <row r="686" spans="37:70">
      <c r="AK686" s="2482"/>
      <c r="BG686" s="30">
        <v>56.6</v>
      </c>
      <c r="BH686" s="31">
        <v>0.75229999999999997</v>
      </c>
      <c r="BI686" s="32">
        <v>752</v>
      </c>
      <c r="BJ686" s="33"/>
      <c r="BK686" s="12"/>
      <c r="BL686" s="12"/>
      <c r="BM686" s="12"/>
      <c r="BN686" s="33"/>
      <c r="BO686" s="33"/>
      <c r="BP686" s="33"/>
      <c r="BQ686" s="33"/>
      <c r="BR686" s="520"/>
    </row>
    <row r="687" spans="37:70">
      <c r="AK687" s="2482"/>
      <c r="BG687" s="30">
        <v>56.7</v>
      </c>
      <c r="BH687" s="31">
        <v>0.75190000000000001</v>
      </c>
      <c r="BI687" s="32">
        <v>751.6</v>
      </c>
      <c r="BJ687" s="33"/>
      <c r="BK687" s="12"/>
      <c r="BL687" s="12"/>
      <c r="BM687" s="12"/>
      <c r="BN687" s="33"/>
      <c r="BO687" s="33"/>
      <c r="BP687" s="33"/>
      <c r="BQ687" s="33"/>
      <c r="BR687" s="520"/>
    </row>
    <row r="688" spans="37:70">
      <c r="AK688" s="2482"/>
      <c r="BG688" s="30">
        <v>56.8</v>
      </c>
      <c r="BH688" s="31">
        <v>0.75149999999999995</v>
      </c>
      <c r="BI688" s="32">
        <v>751.2</v>
      </c>
      <c r="BJ688" s="33"/>
      <c r="BK688" s="12"/>
      <c r="BL688" s="12"/>
      <c r="BM688" s="12"/>
      <c r="BN688" s="33"/>
      <c r="BO688" s="33"/>
      <c r="BP688" s="33"/>
      <c r="BQ688" s="33"/>
      <c r="BR688" s="520"/>
    </row>
    <row r="689" spans="37:70">
      <c r="AK689" s="2482"/>
      <c r="BG689" s="30">
        <v>56.9</v>
      </c>
      <c r="BH689" s="31">
        <v>0.75109999999999999</v>
      </c>
      <c r="BI689" s="32">
        <v>750.8</v>
      </c>
      <c r="BJ689" s="33"/>
      <c r="BK689" s="12"/>
      <c r="BL689" s="12"/>
      <c r="BM689" s="12"/>
      <c r="BN689" s="33"/>
      <c r="BO689" s="33"/>
      <c r="BP689" s="33"/>
      <c r="BQ689" s="33"/>
      <c r="BR689" s="520"/>
    </row>
    <row r="690" spans="37:70">
      <c r="AK690" s="2482"/>
      <c r="BG690" s="30">
        <v>57</v>
      </c>
      <c r="BH690" s="31">
        <v>0.75070000000000003</v>
      </c>
      <c r="BI690" s="32">
        <v>750.4</v>
      </c>
      <c r="BJ690" s="33"/>
      <c r="BK690" s="12"/>
      <c r="BL690" s="12"/>
      <c r="BM690" s="12"/>
      <c r="BN690" s="33"/>
      <c r="BO690" s="33"/>
      <c r="BP690" s="33"/>
      <c r="BQ690" s="33"/>
      <c r="BR690" s="520"/>
    </row>
    <row r="691" spans="37:70">
      <c r="AK691" s="2482"/>
      <c r="BG691" s="30">
        <v>57.1</v>
      </c>
      <c r="BH691" s="31">
        <v>0.75029999999999997</v>
      </c>
      <c r="BI691" s="32">
        <v>750</v>
      </c>
      <c r="BJ691" s="33"/>
      <c r="BK691" s="12"/>
      <c r="BL691" s="12"/>
      <c r="BM691" s="12"/>
      <c r="BN691" s="33"/>
      <c r="BO691" s="33"/>
      <c r="BP691" s="33"/>
      <c r="BQ691" s="33"/>
      <c r="BR691" s="520"/>
    </row>
    <row r="692" spans="37:70">
      <c r="AK692" s="2482"/>
      <c r="BG692" s="30">
        <v>57.2</v>
      </c>
      <c r="BH692" s="31">
        <v>0.74990000000000001</v>
      </c>
      <c r="BI692" s="32">
        <v>749.6</v>
      </c>
      <c r="BJ692" s="33"/>
      <c r="BK692" s="12"/>
      <c r="BL692" s="12"/>
      <c r="BM692" s="12"/>
      <c r="BN692" s="33"/>
      <c r="BO692" s="33"/>
      <c r="BP692" s="33"/>
      <c r="BQ692" s="33"/>
      <c r="BR692" s="520"/>
    </row>
    <row r="693" spans="37:70">
      <c r="AK693" s="2482"/>
      <c r="BG693" s="30">
        <v>57.3</v>
      </c>
      <c r="BH693" s="31">
        <v>0.74950000000000006</v>
      </c>
      <c r="BI693" s="32">
        <v>749.2</v>
      </c>
      <c r="BJ693" s="33"/>
      <c r="BK693" s="12"/>
      <c r="BL693" s="12"/>
      <c r="BM693" s="12"/>
      <c r="BN693" s="33"/>
      <c r="BO693" s="33"/>
      <c r="BP693" s="33"/>
      <c r="BQ693" s="33"/>
      <c r="BR693" s="520"/>
    </row>
    <row r="694" spans="37:70">
      <c r="AK694" s="2482"/>
      <c r="BG694" s="30">
        <v>57.4</v>
      </c>
      <c r="BH694" s="31">
        <v>0.74909999999999999</v>
      </c>
      <c r="BI694" s="32">
        <v>748.8</v>
      </c>
      <c r="BJ694" s="33"/>
      <c r="BK694" s="12"/>
      <c r="BL694" s="12"/>
      <c r="BM694" s="12"/>
      <c r="BN694" s="33"/>
      <c r="BO694" s="33"/>
      <c r="BP694" s="33"/>
      <c r="BQ694" s="33"/>
      <c r="BR694" s="520"/>
    </row>
    <row r="695" spans="37:70">
      <c r="AK695" s="2482"/>
      <c r="BG695" s="30">
        <v>57.5</v>
      </c>
      <c r="BH695" s="31">
        <v>0.74870000000000003</v>
      </c>
      <c r="BI695" s="32">
        <v>748.4</v>
      </c>
      <c r="BJ695" s="33"/>
      <c r="BK695" s="12"/>
      <c r="BL695" s="12"/>
      <c r="BM695" s="12"/>
      <c r="BN695" s="33"/>
      <c r="BO695" s="33"/>
      <c r="BP695" s="33"/>
      <c r="BQ695" s="33"/>
      <c r="BR695" s="520"/>
    </row>
    <row r="696" spans="37:70">
      <c r="AK696" s="2482"/>
      <c r="BG696" s="30">
        <v>57.6</v>
      </c>
      <c r="BH696" s="31">
        <v>0.74829999999999997</v>
      </c>
      <c r="BI696" s="32">
        <v>748</v>
      </c>
      <c r="BJ696" s="33"/>
      <c r="BK696" s="12"/>
      <c r="BL696" s="12"/>
      <c r="BM696" s="12"/>
      <c r="BN696" s="33"/>
      <c r="BO696" s="33"/>
      <c r="BP696" s="33"/>
      <c r="BQ696" s="33"/>
      <c r="BR696" s="520"/>
    </row>
    <row r="697" spans="37:70">
      <c r="AK697" s="2482"/>
      <c r="BG697" s="30">
        <v>57.7</v>
      </c>
      <c r="BH697" s="31">
        <v>0.74790000000000001</v>
      </c>
      <c r="BI697" s="32">
        <v>747.6</v>
      </c>
      <c r="BJ697" s="33"/>
      <c r="BK697" s="12"/>
      <c r="BL697" s="12"/>
      <c r="BM697" s="12"/>
      <c r="BN697" s="33"/>
      <c r="BO697" s="33"/>
      <c r="BP697" s="33"/>
      <c r="BQ697" s="33"/>
      <c r="BR697" s="520"/>
    </row>
    <row r="698" spans="37:70">
      <c r="AK698" s="2482"/>
      <c r="BG698" s="30">
        <v>57.8</v>
      </c>
      <c r="BH698" s="31">
        <v>0.74750000000000005</v>
      </c>
      <c r="BI698" s="32">
        <v>747.3</v>
      </c>
      <c r="BJ698" s="33"/>
      <c r="BK698" s="12"/>
      <c r="BL698" s="12"/>
      <c r="BM698" s="12"/>
      <c r="BN698" s="33"/>
      <c r="BO698" s="33"/>
      <c r="BP698" s="33"/>
      <c r="BQ698" s="33"/>
      <c r="BR698" s="520"/>
    </row>
    <row r="699" spans="37:70">
      <c r="AK699" s="2482"/>
      <c r="BG699" s="30">
        <v>57.9</v>
      </c>
      <c r="BH699" s="31">
        <v>0.74709999999999999</v>
      </c>
      <c r="BI699" s="32">
        <v>746.9</v>
      </c>
      <c r="BJ699" s="33"/>
      <c r="BK699" s="12"/>
      <c r="BL699" s="12"/>
      <c r="BM699" s="12"/>
      <c r="BN699" s="33"/>
      <c r="BO699" s="33"/>
      <c r="BP699" s="33"/>
      <c r="BQ699" s="33"/>
      <c r="BR699" s="520"/>
    </row>
    <row r="700" spans="37:70">
      <c r="AK700" s="2482"/>
      <c r="BG700" s="30">
        <v>58</v>
      </c>
      <c r="BH700" s="31">
        <v>0.74670000000000003</v>
      </c>
      <c r="BI700" s="32">
        <v>746.5</v>
      </c>
      <c r="BJ700" s="33"/>
      <c r="BK700" s="12"/>
      <c r="BL700" s="12"/>
      <c r="BM700" s="12"/>
      <c r="BN700" s="33"/>
      <c r="BO700" s="33"/>
      <c r="BP700" s="33"/>
      <c r="BQ700" s="33"/>
      <c r="BR700" s="520"/>
    </row>
    <row r="701" spans="37:70">
      <c r="AK701" s="2482"/>
      <c r="BG701" s="30">
        <v>58.1</v>
      </c>
      <c r="BH701" s="31">
        <v>0.74629999999999996</v>
      </c>
      <c r="BI701" s="32">
        <v>746.1</v>
      </c>
      <c r="BJ701" s="33"/>
      <c r="BK701" s="12"/>
      <c r="BL701" s="12"/>
      <c r="BM701" s="12"/>
      <c r="BN701" s="33"/>
      <c r="BO701" s="33"/>
      <c r="BP701" s="33"/>
      <c r="BQ701" s="33"/>
      <c r="BR701" s="520"/>
    </row>
    <row r="702" spans="37:70">
      <c r="AK702" s="2482"/>
      <c r="BG702" s="30">
        <v>58.2</v>
      </c>
      <c r="BH702" s="31">
        <v>0.74590000000000001</v>
      </c>
      <c r="BI702" s="32">
        <v>745.7</v>
      </c>
      <c r="BJ702" s="33"/>
      <c r="BK702" s="12"/>
      <c r="BL702" s="12"/>
      <c r="BM702" s="12"/>
      <c r="BN702" s="33"/>
      <c r="BO702" s="33"/>
      <c r="BP702" s="33"/>
      <c r="BQ702" s="33"/>
      <c r="BR702" s="520"/>
    </row>
    <row r="703" spans="37:70">
      <c r="AK703" s="2482"/>
      <c r="BG703" s="30">
        <v>58.3</v>
      </c>
      <c r="BH703" s="31">
        <v>0.74550000000000005</v>
      </c>
      <c r="BI703" s="32">
        <v>745.3</v>
      </c>
      <c r="BJ703" s="33"/>
      <c r="BK703" s="12"/>
      <c r="BL703" s="12"/>
      <c r="BM703" s="12"/>
      <c r="BN703" s="33"/>
      <c r="BO703" s="33"/>
      <c r="BP703" s="33"/>
      <c r="BQ703" s="33"/>
      <c r="BR703" s="520"/>
    </row>
    <row r="704" spans="37:70">
      <c r="AK704" s="2482"/>
      <c r="BG704" s="30">
        <v>58.4</v>
      </c>
      <c r="BH704" s="31">
        <v>0.74509999999999998</v>
      </c>
      <c r="BI704" s="32">
        <v>744.9</v>
      </c>
      <c r="BJ704" s="33"/>
      <c r="BK704" s="12"/>
      <c r="BL704" s="12"/>
      <c r="BM704" s="12"/>
      <c r="BN704" s="33"/>
      <c r="BO704" s="33"/>
      <c r="BP704" s="33"/>
      <c r="BQ704" s="33"/>
      <c r="BR704" s="520"/>
    </row>
    <row r="705" spans="37:70">
      <c r="AK705" s="2482"/>
      <c r="BG705" s="30">
        <v>58.5</v>
      </c>
      <c r="BH705" s="31">
        <v>0.74470000000000003</v>
      </c>
      <c r="BI705" s="32">
        <v>744.5</v>
      </c>
      <c r="BJ705" s="33"/>
      <c r="BK705" s="12"/>
      <c r="BL705" s="12"/>
      <c r="BM705" s="12"/>
      <c r="BN705" s="33"/>
      <c r="BO705" s="33"/>
      <c r="BP705" s="33"/>
      <c r="BQ705" s="33"/>
      <c r="BR705" s="520"/>
    </row>
    <row r="706" spans="37:70">
      <c r="AK706" s="2482"/>
      <c r="BG706" s="30">
        <v>58.6</v>
      </c>
      <c r="BH706" s="31">
        <v>0.74429999999999996</v>
      </c>
      <c r="BI706" s="32">
        <v>744.13</v>
      </c>
      <c r="BJ706" s="33"/>
      <c r="BK706" s="12"/>
      <c r="BL706" s="12"/>
      <c r="BM706" s="12"/>
      <c r="BN706" s="33"/>
      <c r="BO706" s="33"/>
      <c r="BP706" s="33"/>
      <c r="BQ706" s="33"/>
      <c r="BR706" s="520"/>
    </row>
    <row r="707" spans="37:70">
      <c r="AK707" s="2482"/>
      <c r="BG707" s="30">
        <v>58.7</v>
      </c>
      <c r="BH707" s="31">
        <v>0.74399999999999999</v>
      </c>
      <c r="BI707" s="32">
        <v>743.7</v>
      </c>
      <c r="BJ707" s="33"/>
      <c r="BK707" s="12"/>
      <c r="BL707" s="12"/>
      <c r="BM707" s="12"/>
      <c r="BN707" s="33"/>
      <c r="BO707" s="33"/>
      <c r="BP707" s="33"/>
      <c r="BQ707" s="33"/>
      <c r="BR707" s="520"/>
    </row>
    <row r="708" spans="37:70">
      <c r="AK708" s="2482"/>
      <c r="BG708" s="30">
        <v>58.8</v>
      </c>
      <c r="BH708" s="31">
        <v>0.74360000000000004</v>
      </c>
      <c r="BI708" s="32">
        <v>743.3</v>
      </c>
      <c r="BJ708" s="33"/>
      <c r="BK708" s="12"/>
      <c r="BL708" s="12"/>
      <c r="BM708" s="12"/>
      <c r="BN708" s="33"/>
      <c r="BO708" s="33"/>
      <c r="BP708" s="33"/>
      <c r="BQ708" s="33"/>
      <c r="BR708" s="520"/>
    </row>
    <row r="709" spans="37:70">
      <c r="AK709" s="2482"/>
      <c r="BG709" s="30">
        <v>58.9</v>
      </c>
      <c r="BH709" s="31">
        <v>0.74319999999999997</v>
      </c>
      <c r="BI709" s="32">
        <v>742.9</v>
      </c>
      <c r="BJ709" s="33"/>
      <c r="BK709" s="12"/>
      <c r="BL709" s="12"/>
      <c r="BM709" s="12"/>
      <c r="BN709" s="33"/>
      <c r="BO709" s="33"/>
      <c r="BP709" s="33"/>
      <c r="BQ709" s="33"/>
      <c r="BR709" s="520"/>
    </row>
    <row r="710" spans="37:70">
      <c r="AK710" s="2482"/>
      <c r="BG710" s="30">
        <v>59</v>
      </c>
      <c r="BH710" s="31">
        <v>0.74280000000000002</v>
      </c>
      <c r="BI710" s="32">
        <v>742.6</v>
      </c>
      <c r="BJ710" s="33"/>
      <c r="BK710" s="12"/>
      <c r="BL710" s="12"/>
      <c r="BM710" s="12"/>
      <c r="BN710" s="33"/>
      <c r="BO710" s="33"/>
      <c r="BP710" s="33"/>
      <c r="BQ710" s="33"/>
      <c r="BR710" s="520"/>
    </row>
    <row r="711" spans="37:70">
      <c r="AK711" s="2482"/>
      <c r="BG711" s="30">
        <v>59.1</v>
      </c>
      <c r="BH711" s="31">
        <v>0.74239999999999995</v>
      </c>
      <c r="BI711" s="32">
        <v>742.2</v>
      </c>
      <c r="BJ711" s="33"/>
      <c r="BK711" s="12"/>
      <c r="BL711" s="12"/>
      <c r="BM711" s="12"/>
      <c r="BN711" s="33"/>
      <c r="BO711" s="33"/>
      <c r="BP711" s="33"/>
      <c r="BQ711" s="33"/>
      <c r="BR711" s="520"/>
    </row>
    <row r="712" spans="37:70">
      <c r="AK712" s="2482"/>
      <c r="BG712" s="30">
        <v>59.2</v>
      </c>
      <c r="BH712" s="31">
        <v>0.74199999999999999</v>
      </c>
      <c r="BI712" s="32">
        <v>741.8</v>
      </c>
      <c r="BJ712" s="33"/>
      <c r="BK712" s="12"/>
      <c r="BL712" s="12"/>
      <c r="BM712" s="12"/>
      <c r="BN712" s="33"/>
      <c r="BO712" s="33"/>
      <c r="BP712" s="33"/>
      <c r="BQ712" s="33"/>
      <c r="BR712" s="520"/>
    </row>
    <row r="713" spans="37:70">
      <c r="AK713" s="2482"/>
      <c r="BG713" s="30">
        <v>59.3</v>
      </c>
      <c r="BH713" s="31">
        <v>0.74160000000000004</v>
      </c>
      <c r="BI713" s="32">
        <v>741.4</v>
      </c>
      <c r="BJ713" s="33"/>
      <c r="BK713" s="12"/>
      <c r="BL713" s="12"/>
      <c r="BM713" s="12"/>
      <c r="BN713" s="33"/>
      <c r="BO713" s="33"/>
      <c r="BP713" s="33"/>
      <c r="BQ713" s="33"/>
      <c r="BR713" s="520"/>
    </row>
    <row r="714" spans="37:70">
      <c r="AK714" s="2482"/>
      <c r="BG714" s="30">
        <v>59.4</v>
      </c>
      <c r="BH714" s="31">
        <v>0.74119999999999997</v>
      </c>
      <c r="BI714" s="32">
        <v>741</v>
      </c>
      <c r="BJ714" s="33"/>
      <c r="BK714" s="12"/>
      <c r="BL714" s="12"/>
      <c r="BM714" s="12"/>
      <c r="BN714" s="33"/>
      <c r="BO714" s="33"/>
      <c r="BP714" s="33"/>
      <c r="BQ714" s="33"/>
      <c r="BR714" s="520"/>
    </row>
    <row r="715" spans="37:70">
      <c r="AK715" s="2482"/>
      <c r="BG715" s="30">
        <v>59.5</v>
      </c>
      <c r="BH715" s="31">
        <v>0.74080000000000001</v>
      </c>
      <c r="BI715" s="32">
        <v>740.6</v>
      </c>
      <c r="BJ715" s="33"/>
      <c r="BK715" s="12"/>
      <c r="BL715" s="12"/>
      <c r="BM715" s="12"/>
      <c r="BN715" s="33"/>
      <c r="BO715" s="33"/>
      <c r="BP715" s="33"/>
      <c r="BQ715" s="33"/>
      <c r="BR715" s="520"/>
    </row>
    <row r="716" spans="37:70">
      <c r="AK716" s="2482"/>
      <c r="BG716" s="30">
        <v>59.6</v>
      </c>
      <c r="BH716" s="31">
        <v>0.74050000000000005</v>
      </c>
      <c r="BI716" s="32">
        <v>740.2</v>
      </c>
      <c r="BJ716" s="33"/>
      <c r="BK716" s="12"/>
      <c r="BL716" s="12"/>
      <c r="BM716" s="12"/>
      <c r="BN716" s="33"/>
      <c r="BO716" s="33"/>
      <c r="BP716" s="33"/>
      <c r="BQ716" s="33"/>
      <c r="BR716" s="520"/>
    </row>
    <row r="717" spans="37:70">
      <c r="AK717" s="2482"/>
      <c r="BG717" s="30">
        <v>59.7</v>
      </c>
      <c r="BH717" s="31">
        <v>0.74009999999999998</v>
      </c>
      <c r="BI717" s="32">
        <v>739.8</v>
      </c>
      <c r="BJ717" s="33"/>
      <c r="BK717" s="12"/>
      <c r="BL717" s="12"/>
      <c r="BM717" s="12"/>
      <c r="BN717" s="33"/>
      <c r="BO717" s="33"/>
      <c r="BP717" s="33"/>
      <c r="BQ717" s="33"/>
      <c r="BR717" s="520"/>
    </row>
    <row r="718" spans="37:70">
      <c r="AK718" s="2482"/>
      <c r="BG718" s="30">
        <v>59.8</v>
      </c>
      <c r="BH718" s="31">
        <v>0.73970000000000002</v>
      </c>
      <c r="BI718" s="32">
        <v>739.4</v>
      </c>
      <c r="BJ718" s="33"/>
      <c r="BK718" s="12"/>
      <c r="BL718" s="12"/>
      <c r="BM718" s="12"/>
      <c r="BN718" s="33"/>
      <c r="BO718" s="33"/>
      <c r="BP718" s="33"/>
      <c r="BQ718" s="33"/>
      <c r="BR718" s="520"/>
    </row>
    <row r="719" spans="37:70">
      <c r="AK719" s="2482"/>
      <c r="BG719" s="30">
        <v>59.9</v>
      </c>
      <c r="BH719" s="31">
        <v>0.73929999999999996</v>
      </c>
      <c r="BI719" s="32">
        <v>739.1</v>
      </c>
      <c r="BJ719" s="33"/>
      <c r="BK719" s="12"/>
      <c r="BL719" s="12"/>
      <c r="BM719" s="12"/>
      <c r="BN719" s="33"/>
      <c r="BO719" s="33"/>
      <c r="BP719" s="33"/>
      <c r="BQ719" s="33"/>
      <c r="BR719" s="520"/>
    </row>
    <row r="720" spans="37:70">
      <c r="AK720" s="2482"/>
      <c r="BG720" s="30">
        <v>60</v>
      </c>
      <c r="BH720" s="31">
        <v>0.7389</v>
      </c>
      <c r="BI720" s="32">
        <v>738.7</v>
      </c>
      <c r="BJ720" s="33"/>
      <c r="BK720" s="12"/>
      <c r="BL720" s="12"/>
      <c r="BM720" s="12"/>
      <c r="BN720" s="33"/>
      <c r="BO720" s="33"/>
      <c r="BP720" s="33"/>
      <c r="BQ720" s="33"/>
      <c r="BR720" s="520"/>
    </row>
    <row r="721" spans="37:70">
      <c r="AK721" s="2482"/>
      <c r="BG721" s="30">
        <v>60.1</v>
      </c>
      <c r="BH721" s="31">
        <v>0.73850000000000005</v>
      </c>
      <c r="BI721" s="32">
        <v>738.3</v>
      </c>
      <c r="BJ721" s="33"/>
      <c r="BK721" s="12"/>
      <c r="BL721" s="12"/>
      <c r="BM721" s="12"/>
      <c r="BN721" s="33"/>
      <c r="BO721" s="33"/>
      <c r="BP721" s="33"/>
      <c r="BQ721" s="33"/>
      <c r="BR721" s="520"/>
    </row>
    <row r="722" spans="37:70">
      <c r="AK722" s="2482"/>
      <c r="BG722" s="30">
        <v>60.2</v>
      </c>
      <c r="BH722" s="31">
        <v>0.73809999999999998</v>
      </c>
      <c r="BI722" s="32">
        <v>737.9</v>
      </c>
      <c r="BJ722" s="33"/>
      <c r="BK722" s="12"/>
      <c r="BL722" s="12"/>
      <c r="BM722" s="12"/>
      <c r="BN722" s="33"/>
      <c r="BO722" s="33"/>
      <c r="BP722" s="33"/>
      <c r="BQ722" s="33"/>
      <c r="BR722" s="520"/>
    </row>
    <row r="723" spans="37:70">
      <c r="AK723" s="2482"/>
      <c r="BG723" s="30">
        <v>60.3</v>
      </c>
      <c r="BH723" s="31">
        <v>0.73770000000000002</v>
      </c>
      <c r="BI723" s="32">
        <v>737.5</v>
      </c>
      <c r="BJ723" s="33"/>
      <c r="BK723" s="12"/>
      <c r="BL723" s="12"/>
      <c r="BM723" s="12"/>
      <c r="BN723" s="33"/>
      <c r="BO723" s="33"/>
      <c r="BP723" s="33"/>
      <c r="BQ723" s="33"/>
      <c r="BR723" s="520"/>
    </row>
    <row r="724" spans="37:70">
      <c r="AK724" s="2482"/>
      <c r="BG724" s="30">
        <v>60.4</v>
      </c>
      <c r="BH724" s="31">
        <v>0.73740000000000006</v>
      </c>
      <c r="BI724" s="32">
        <v>737.1</v>
      </c>
      <c r="BJ724" s="33"/>
      <c r="BK724" s="12"/>
      <c r="BL724" s="12"/>
      <c r="BM724" s="12"/>
      <c r="BN724" s="33"/>
      <c r="BO724" s="33"/>
      <c r="BP724" s="33"/>
      <c r="BQ724" s="33"/>
      <c r="BR724" s="520"/>
    </row>
    <row r="725" spans="37:70">
      <c r="AK725" s="2482"/>
      <c r="BG725" s="30">
        <v>60.5</v>
      </c>
      <c r="BH725" s="31">
        <v>0.73699999999999999</v>
      </c>
      <c r="BI725" s="32">
        <v>736.8</v>
      </c>
      <c r="BJ725" s="33"/>
      <c r="BK725" s="12"/>
      <c r="BL725" s="12"/>
      <c r="BM725" s="12"/>
      <c r="BN725" s="33"/>
      <c r="BO725" s="33"/>
      <c r="BP725" s="33"/>
      <c r="BQ725" s="33"/>
      <c r="BR725" s="520"/>
    </row>
    <row r="726" spans="37:70">
      <c r="AK726" s="2482"/>
      <c r="BG726" s="30">
        <v>60.6</v>
      </c>
      <c r="BH726" s="31">
        <v>0.73660000000000003</v>
      </c>
      <c r="BI726" s="32">
        <v>736.4</v>
      </c>
      <c r="BJ726" s="33"/>
      <c r="BK726" s="12"/>
      <c r="BL726" s="12"/>
      <c r="BM726" s="12"/>
      <c r="BN726" s="33"/>
      <c r="BO726" s="33"/>
      <c r="BP726" s="33"/>
      <c r="BQ726" s="33"/>
      <c r="BR726" s="520"/>
    </row>
    <row r="727" spans="37:70">
      <c r="AK727" s="2482"/>
      <c r="BG727" s="30">
        <v>60.7</v>
      </c>
      <c r="BH727" s="31">
        <v>0.73619999999999997</v>
      </c>
      <c r="BI727" s="32">
        <v>736</v>
      </c>
      <c r="BJ727" s="33"/>
      <c r="BK727" s="12"/>
      <c r="BL727" s="12"/>
      <c r="BM727" s="12"/>
      <c r="BN727" s="33"/>
      <c r="BO727" s="33"/>
      <c r="BP727" s="33"/>
      <c r="BQ727" s="33"/>
      <c r="BR727" s="520"/>
    </row>
    <row r="728" spans="37:70">
      <c r="AK728" s="2482"/>
      <c r="BG728" s="30">
        <v>60.8</v>
      </c>
      <c r="BH728" s="31">
        <v>0.73580000000000001</v>
      </c>
      <c r="BI728" s="32">
        <v>735.6</v>
      </c>
      <c r="BJ728" s="33"/>
      <c r="BK728" s="12"/>
      <c r="BL728" s="12"/>
      <c r="BM728" s="12"/>
      <c r="BN728" s="33"/>
      <c r="BO728" s="33"/>
      <c r="BP728" s="33"/>
      <c r="BQ728" s="33"/>
      <c r="BR728" s="520"/>
    </row>
    <row r="729" spans="37:70">
      <c r="AK729" s="2482"/>
      <c r="BG729" s="30">
        <v>60.9</v>
      </c>
      <c r="BH729" s="31">
        <v>0.73540000000000005</v>
      </c>
      <c r="BI729" s="32">
        <v>735.2</v>
      </c>
      <c r="BJ729" s="33"/>
      <c r="BK729" s="12"/>
      <c r="BL729" s="12"/>
      <c r="BM729" s="12"/>
      <c r="BN729" s="33"/>
      <c r="BO729" s="33"/>
      <c r="BP729" s="33"/>
      <c r="BQ729" s="33"/>
      <c r="BR729" s="520"/>
    </row>
    <row r="730" spans="37:70">
      <c r="AK730" s="2482"/>
      <c r="BG730" s="30">
        <v>61</v>
      </c>
      <c r="BH730" s="31">
        <v>0.73509999999999998</v>
      </c>
      <c r="BI730" s="32">
        <v>734.8</v>
      </c>
      <c r="BJ730" s="33"/>
      <c r="BK730" s="12"/>
      <c r="BL730" s="12"/>
      <c r="BM730" s="12"/>
      <c r="BN730" s="33"/>
      <c r="BO730" s="33"/>
      <c r="BP730" s="33"/>
      <c r="BQ730" s="33"/>
      <c r="BR730" s="520"/>
    </row>
    <row r="731" spans="37:70">
      <c r="AK731" s="2482"/>
      <c r="BG731" s="30">
        <v>61.1</v>
      </c>
      <c r="BH731" s="31">
        <v>0.73470000000000002</v>
      </c>
      <c r="BI731" s="32">
        <v>734.5</v>
      </c>
      <c r="BJ731" s="33"/>
      <c r="BK731" s="12"/>
      <c r="BL731" s="12"/>
      <c r="BM731" s="12"/>
      <c r="BN731" s="33"/>
      <c r="BO731" s="33"/>
      <c r="BP731" s="33"/>
      <c r="BQ731" s="33"/>
      <c r="BR731" s="520"/>
    </row>
    <row r="732" spans="37:70">
      <c r="AK732" s="2482"/>
      <c r="BG732" s="30">
        <v>61.2</v>
      </c>
      <c r="BH732" s="31">
        <v>0.73429999999999995</v>
      </c>
      <c r="BI732" s="32">
        <v>734.1</v>
      </c>
      <c r="BJ732" s="33"/>
      <c r="BK732" s="12"/>
      <c r="BL732" s="12"/>
      <c r="BM732" s="12"/>
      <c r="BN732" s="33"/>
      <c r="BO732" s="33"/>
      <c r="BP732" s="33"/>
      <c r="BQ732" s="33"/>
      <c r="BR732" s="520"/>
    </row>
    <row r="733" spans="37:70">
      <c r="AK733" s="2482"/>
      <c r="BG733" s="30">
        <v>61.3</v>
      </c>
      <c r="BH733" s="31">
        <v>0.7339</v>
      </c>
      <c r="BI733" s="32">
        <v>733.7</v>
      </c>
      <c r="BJ733" s="33"/>
      <c r="BK733" s="12"/>
      <c r="BL733" s="12"/>
      <c r="BM733" s="12"/>
      <c r="BN733" s="33"/>
      <c r="BO733" s="33"/>
      <c r="BP733" s="33"/>
      <c r="BQ733" s="33"/>
      <c r="BR733" s="520"/>
    </row>
    <row r="734" spans="37:70">
      <c r="AK734" s="2482"/>
      <c r="BG734" s="30">
        <v>61.4</v>
      </c>
      <c r="BH734" s="31">
        <v>0.73350000000000004</v>
      </c>
      <c r="BI734" s="32">
        <v>733.3</v>
      </c>
      <c r="BJ734" s="33"/>
      <c r="BK734" s="12"/>
      <c r="BL734" s="12"/>
      <c r="BM734" s="12"/>
      <c r="BN734" s="33"/>
      <c r="BO734" s="33"/>
      <c r="BP734" s="33"/>
      <c r="BQ734" s="33"/>
      <c r="BR734" s="520"/>
    </row>
    <row r="735" spans="37:70">
      <c r="AK735" s="2482"/>
      <c r="BG735" s="30">
        <v>61.5</v>
      </c>
      <c r="BH735" s="31">
        <v>0.73319999999999996</v>
      </c>
      <c r="BI735" s="32">
        <v>732.9</v>
      </c>
      <c r="BJ735" s="33"/>
      <c r="BK735" s="12"/>
      <c r="BL735" s="12"/>
      <c r="BM735" s="12"/>
      <c r="BN735" s="33"/>
      <c r="BO735" s="33"/>
      <c r="BP735" s="33"/>
      <c r="BQ735" s="33"/>
      <c r="BR735" s="520"/>
    </row>
    <row r="736" spans="37:70">
      <c r="AK736" s="2482"/>
      <c r="BG736" s="30">
        <v>61.6</v>
      </c>
      <c r="BH736" s="31">
        <v>0.73280000000000001</v>
      </c>
      <c r="BI736" s="32">
        <v>732.6</v>
      </c>
      <c r="BJ736" s="33"/>
      <c r="BK736" s="12"/>
      <c r="BL736" s="12"/>
      <c r="BM736" s="12"/>
      <c r="BN736" s="33"/>
      <c r="BO736" s="33"/>
      <c r="BP736" s="33"/>
      <c r="BQ736" s="33"/>
      <c r="BR736" s="520"/>
    </row>
    <row r="737" spans="37:70">
      <c r="AK737" s="2482"/>
      <c r="BG737" s="30">
        <v>61.7</v>
      </c>
      <c r="BH737" s="31">
        <v>0.73240000000000005</v>
      </c>
      <c r="BI737" s="32">
        <v>732.2</v>
      </c>
      <c r="BJ737" s="33"/>
      <c r="BK737" s="12"/>
      <c r="BL737" s="12"/>
      <c r="BM737" s="12"/>
      <c r="BN737" s="33"/>
      <c r="BO737" s="33"/>
      <c r="BP737" s="33"/>
      <c r="BQ737" s="33"/>
      <c r="BR737" s="520"/>
    </row>
    <row r="738" spans="37:70">
      <c r="AK738" s="2482"/>
      <c r="BG738" s="30">
        <v>61.8</v>
      </c>
      <c r="BH738" s="31">
        <v>0.73199999999999998</v>
      </c>
      <c r="BI738" s="32">
        <v>731.8</v>
      </c>
      <c r="BJ738" s="33"/>
      <c r="BK738" s="12"/>
      <c r="BL738" s="12"/>
      <c r="BM738" s="12"/>
      <c r="BN738" s="33"/>
      <c r="BO738" s="33"/>
      <c r="BP738" s="33"/>
      <c r="BQ738" s="33"/>
      <c r="BR738" s="520"/>
    </row>
    <row r="739" spans="37:70">
      <c r="AK739" s="2482"/>
      <c r="BG739" s="30">
        <v>61.9</v>
      </c>
      <c r="BH739" s="31">
        <v>0.73160000000000003</v>
      </c>
      <c r="BI739" s="32">
        <v>731.4</v>
      </c>
      <c r="BJ739" s="33"/>
      <c r="BK739" s="12"/>
      <c r="BL739" s="12"/>
      <c r="BM739" s="12"/>
      <c r="BN739" s="33"/>
      <c r="BO739" s="33"/>
      <c r="BP739" s="33"/>
      <c r="BQ739" s="33"/>
      <c r="BR739" s="520"/>
    </row>
    <row r="740" spans="37:70">
      <c r="AK740" s="2482"/>
      <c r="BG740" s="30">
        <v>62</v>
      </c>
      <c r="BH740" s="31">
        <v>0.73129999999999995</v>
      </c>
      <c r="BI740" s="32">
        <v>731.1</v>
      </c>
      <c r="BJ740" s="33"/>
      <c r="BK740" s="12"/>
      <c r="BL740" s="12"/>
      <c r="BM740" s="12"/>
      <c r="BN740" s="33"/>
      <c r="BO740" s="33"/>
      <c r="BP740" s="33"/>
      <c r="BQ740" s="33"/>
      <c r="BR740" s="520"/>
    </row>
    <row r="741" spans="37:70">
      <c r="AK741" s="2482"/>
      <c r="BG741" s="30">
        <v>62.1</v>
      </c>
      <c r="BH741" s="31">
        <v>0.73089999999999999</v>
      </c>
      <c r="BI741" s="32">
        <v>730.7</v>
      </c>
      <c r="BJ741" s="33"/>
      <c r="BK741" s="12"/>
      <c r="BL741" s="12"/>
      <c r="BM741" s="12"/>
      <c r="BN741" s="33"/>
      <c r="BO741" s="33"/>
      <c r="BP741" s="33"/>
      <c r="BQ741" s="33"/>
      <c r="BR741" s="520"/>
    </row>
    <row r="742" spans="37:70">
      <c r="AK742" s="2482"/>
      <c r="BG742" s="30">
        <v>62.2</v>
      </c>
      <c r="BH742" s="31">
        <v>0.73050000000000004</v>
      </c>
      <c r="BI742" s="32">
        <v>730.3</v>
      </c>
      <c r="BJ742" s="33"/>
      <c r="BK742" s="12"/>
      <c r="BL742" s="12"/>
      <c r="BM742" s="12"/>
      <c r="BN742" s="33"/>
      <c r="BO742" s="33"/>
      <c r="BP742" s="33"/>
      <c r="BQ742" s="33"/>
      <c r="BR742" s="520"/>
    </row>
    <row r="743" spans="37:70">
      <c r="AK743" s="2482"/>
      <c r="BG743" s="30">
        <v>62.3</v>
      </c>
      <c r="BH743" s="31">
        <v>0.73009999999999997</v>
      </c>
      <c r="BI743" s="32">
        <v>729.9</v>
      </c>
      <c r="BJ743" s="33"/>
      <c r="BK743" s="12"/>
      <c r="BL743" s="12"/>
      <c r="BM743" s="12"/>
      <c r="BN743" s="33"/>
      <c r="BO743" s="33"/>
      <c r="BP743" s="33"/>
      <c r="BQ743" s="33"/>
      <c r="BR743" s="520"/>
    </row>
    <row r="744" spans="37:70">
      <c r="AK744" s="2482"/>
      <c r="BG744" s="30">
        <v>62.4</v>
      </c>
      <c r="BH744" s="31">
        <v>0.7298</v>
      </c>
      <c r="BI744" s="32">
        <v>729.5</v>
      </c>
      <c r="BJ744" s="33"/>
      <c r="BK744" s="12"/>
      <c r="BL744" s="12"/>
      <c r="BM744" s="12"/>
      <c r="BN744" s="33"/>
      <c r="BO744" s="33"/>
      <c r="BP744" s="33"/>
      <c r="BQ744" s="33"/>
      <c r="BR744" s="520"/>
    </row>
    <row r="745" spans="37:70">
      <c r="AK745" s="2482"/>
      <c r="BG745" s="30">
        <v>62.5</v>
      </c>
      <c r="BH745" s="31">
        <v>0.72940000000000005</v>
      </c>
      <c r="BI745" s="32">
        <v>729.2</v>
      </c>
      <c r="BJ745" s="33"/>
      <c r="BK745" s="12"/>
      <c r="BL745" s="12"/>
      <c r="BM745" s="12"/>
      <c r="BN745" s="33"/>
      <c r="BO745" s="33"/>
      <c r="BP745" s="33"/>
      <c r="BQ745" s="33"/>
      <c r="BR745" s="520"/>
    </row>
    <row r="746" spans="37:70">
      <c r="AK746" s="2482"/>
      <c r="BG746" s="30">
        <v>62.6</v>
      </c>
      <c r="BH746" s="31">
        <v>0.72899999999999998</v>
      </c>
      <c r="BI746" s="32">
        <v>728.8</v>
      </c>
      <c r="BJ746" s="33"/>
      <c r="BK746" s="12"/>
      <c r="BL746" s="12"/>
      <c r="BM746" s="12"/>
      <c r="BN746" s="33"/>
      <c r="BO746" s="33"/>
      <c r="BP746" s="33"/>
      <c r="BQ746" s="33"/>
      <c r="BR746" s="520"/>
    </row>
    <row r="747" spans="37:70">
      <c r="AK747" s="2482"/>
      <c r="BG747" s="30">
        <v>62.7</v>
      </c>
      <c r="BH747" s="31">
        <v>0.72860000000000003</v>
      </c>
      <c r="BI747" s="32">
        <v>728.4</v>
      </c>
      <c r="BJ747" s="33"/>
      <c r="BK747" s="12"/>
      <c r="BL747" s="12"/>
      <c r="BM747" s="12"/>
      <c r="BN747" s="33"/>
      <c r="BO747" s="33"/>
      <c r="BP747" s="33"/>
      <c r="BQ747" s="33"/>
      <c r="BR747" s="520"/>
    </row>
    <row r="748" spans="37:70">
      <c r="AK748" s="2482"/>
      <c r="BG748" s="30">
        <v>62.8</v>
      </c>
      <c r="BH748" s="31">
        <v>0.72829999999999995</v>
      </c>
      <c r="BI748" s="32">
        <v>728</v>
      </c>
      <c r="BJ748" s="33"/>
      <c r="BK748" s="12"/>
      <c r="BL748" s="12"/>
      <c r="BM748" s="12"/>
      <c r="BN748" s="33"/>
      <c r="BO748" s="33"/>
      <c r="BP748" s="33"/>
      <c r="BQ748" s="33"/>
      <c r="BR748" s="520"/>
    </row>
    <row r="749" spans="37:70">
      <c r="AK749" s="2482"/>
      <c r="BG749" s="30">
        <v>62.9</v>
      </c>
      <c r="BH749" s="31">
        <v>0.72789999999999999</v>
      </c>
      <c r="BI749" s="32">
        <v>727.7</v>
      </c>
      <c r="BJ749" s="33"/>
      <c r="BK749" s="12"/>
      <c r="BL749" s="12"/>
      <c r="BM749" s="12"/>
      <c r="BN749" s="33"/>
      <c r="BO749" s="33"/>
      <c r="BP749" s="33"/>
      <c r="BQ749" s="33"/>
      <c r="BR749" s="520"/>
    </row>
    <row r="750" spans="37:70">
      <c r="AK750" s="2482"/>
      <c r="BG750" s="30">
        <v>63</v>
      </c>
      <c r="BH750" s="31">
        <v>0.72750000000000004</v>
      </c>
      <c r="BI750" s="32">
        <v>727.3</v>
      </c>
      <c r="BJ750" s="33"/>
      <c r="BK750" s="12"/>
      <c r="BL750" s="12"/>
      <c r="BM750" s="12"/>
      <c r="BN750" s="33"/>
      <c r="BO750" s="33"/>
      <c r="BP750" s="33"/>
      <c r="BQ750" s="33"/>
      <c r="BR750" s="520"/>
    </row>
    <row r="751" spans="37:70">
      <c r="AK751" s="2482"/>
      <c r="BG751" s="30">
        <v>63.1</v>
      </c>
      <c r="BH751" s="31">
        <v>0.72709999999999997</v>
      </c>
      <c r="BI751" s="32">
        <v>726.9</v>
      </c>
      <c r="BJ751" s="33"/>
      <c r="BK751" s="12"/>
      <c r="BL751" s="12"/>
      <c r="BM751" s="12"/>
      <c r="BN751" s="33"/>
      <c r="BO751" s="33"/>
      <c r="BP751" s="33"/>
      <c r="BQ751" s="33"/>
      <c r="BR751" s="520"/>
    </row>
    <row r="752" spans="37:70">
      <c r="AK752" s="2482"/>
      <c r="BG752" s="30">
        <v>63.2</v>
      </c>
      <c r="BH752" s="31">
        <v>0.7268</v>
      </c>
      <c r="BI752" s="32">
        <v>726.5</v>
      </c>
      <c r="BJ752" s="33"/>
      <c r="BK752" s="12"/>
      <c r="BL752" s="12"/>
      <c r="BM752" s="12"/>
      <c r="BN752" s="33"/>
      <c r="BO752" s="33"/>
      <c r="BP752" s="33"/>
      <c r="BQ752" s="33"/>
      <c r="BR752" s="520"/>
    </row>
    <row r="753" spans="37:70">
      <c r="AK753" s="2482"/>
      <c r="BG753" s="30">
        <v>63.3</v>
      </c>
      <c r="BH753" s="31">
        <v>0.72640000000000005</v>
      </c>
      <c r="BI753" s="32">
        <v>726.2</v>
      </c>
      <c r="BJ753" s="33"/>
      <c r="BK753" s="12"/>
      <c r="BL753" s="12"/>
      <c r="BM753" s="12"/>
      <c r="BN753" s="33"/>
      <c r="BO753" s="33"/>
      <c r="BP753" s="33"/>
      <c r="BQ753" s="33"/>
      <c r="BR753" s="520"/>
    </row>
    <row r="754" spans="37:70">
      <c r="AK754" s="2482"/>
      <c r="BG754" s="30">
        <v>63.4</v>
      </c>
      <c r="BH754" s="31">
        <v>0.72599999999999998</v>
      </c>
      <c r="BI754" s="32">
        <v>725.8</v>
      </c>
      <c r="BJ754" s="33"/>
      <c r="BK754" s="12"/>
      <c r="BL754" s="12"/>
      <c r="BM754" s="12"/>
      <c r="BN754" s="33"/>
      <c r="BO754" s="33"/>
      <c r="BP754" s="33"/>
      <c r="BQ754" s="33"/>
      <c r="BR754" s="520"/>
    </row>
    <row r="755" spans="37:70">
      <c r="AK755" s="2482"/>
      <c r="BG755" s="30">
        <v>63.5</v>
      </c>
      <c r="BH755" s="31">
        <v>0.72560000000000002</v>
      </c>
      <c r="BI755" s="32">
        <v>725.4</v>
      </c>
      <c r="BJ755" s="33"/>
      <c r="BK755" s="12"/>
      <c r="BL755" s="12"/>
      <c r="BM755" s="12"/>
      <c r="BN755" s="33"/>
      <c r="BO755" s="33"/>
      <c r="BP755" s="33"/>
      <c r="BQ755" s="33"/>
      <c r="BR755" s="520"/>
    </row>
    <row r="756" spans="37:70">
      <c r="AK756" s="2482"/>
      <c r="BG756" s="30">
        <v>63.6</v>
      </c>
      <c r="BH756" s="31">
        <v>0.72529999999999994</v>
      </c>
      <c r="BI756" s="32">
        <v>725.1</v>
      </c>
      <c r="BJ756" s="33"/>
      <c r="BK756" s="12"/>
      <c r="BL756" s="12"/>
      <c r="BM756" s="12"/>
      <c r="BN756" s="33"/>
      <c r="BO756" s="33"/>
      <c r="BP756" s="33"/>
      <c r="BQ756" s="33"/>
      <c r="BR756" s="520"/>
    </row>
    <row r="757" spans="37:70">
      <c r="AK757" s="2482"/>
      <c r="BG757" s="30">
        <v>63.7</v>
      </c>
      <c r="BH757" s="31">
        <v>0.72489999999999999</v>
      </c>
      <c r="BI757" s="32">
        <v>724.7</v>
      </c>
      <c r="BJ757" s="33"/>
      <c r="BK757" s="12"/>
      <c r="BL757" s="12"/>
      <c r="BM757" s="12"/>
      <c r="BN757" s="33"/>
      <c r="BO757" s="33"/>
      <c r="BP757" s="33"/>
      <c r="BQ757" s="33"/>
      <c r="BR757" s="520"/>
    </row>
    <row r="758" spans="37:70">
      <c r="AK758" s="2482"/>
      <c r="BG758" s="30">
        <v>63.8</v>
      </c>
      <c r="BH758" s="31">
        <v>0.72450000000000003</v>
      </c>
      <c r="BI758" s="32">
        <v>724.3</v>
      </c>
      <c r="BJ758" s="33"/>
      <c r="BK758" s="12"/>
      <c r="BL758" s="12"/>
      <c r="BM758" s="12"/>
      <c r="BN758" s="33"/>
      <c r="BO758" s="33"/>
      <c r="BP758" s="33"/>
      <c r="BQ758" s="33"/>
      <c r="BR758" s="520"/>
    </row>
    <row r="759" spans="37:70">
      <c r="AK759" s="2482"/>
      <c r="BG759" s="30">
        <v>63.9</v>
      </c>
      <c r="BH759" s="31">
        <v>0.72419999999999995</v>
      </c>
      <c r="BI759" s="32">
        <v>723.9</v>
      </c>
      <c r="BJ759" s="33"/>
      <c r="BK759" s="12"/>
      <c r="BL759" s="12"/>
      <c r="BM759" s="12"/>
      <c r="BN759" s="33"/>
      <c r="BO759" s="33"/>
      <c r="BP759" s="33"/>
      <c r="BQ759" s="33"/>
      <c r="BR759" s="520"/>
    </row>
    <row r="760" spans="37:70">
      <c r="AK760" s="2482"/>
      <c r="BG760" s="30">
        <v>64</v>
      </c>
      <c r="BH760" s="31">
        <v>0.7238</v>
      </c>
      <c r="BI760" s="32">
        <v>723.6</v>
      </c>
      <c r="BJ760" s="33"/>
      <c r="BK760" s="12"/>
      <c r="BL760" s="12"/>
      <c r="BM760" s="12"/>
      <c r="BN760" s="33"/>
      <c r="BO760" s="33"/>
      <c r="BP760" s="33"/>
      <c r="BQ760" s="33"/>
      <c r="BR760" s="520"/>
    </row>
    <row r="761" spans="37:70">
      <c r="AK761" s="2482"/>
      <c r="BG761" s="30">
        <v>64.099999999999994</v>
      </c>
      <c r="BH761" s="31">
        <v>0.72340000000000004</v>
      </c>
      <c r="BI761" s="32">
        <v>723.2</v>
      </c>
      <c r="BJ761" s="33"/>
      <c r="BK761" s="12"/>
      <c r="BL761" s="12"/>
      <c r="BM761" s="12"/>
      <c r="BN761" s="33"/>
      <c r="BO761" s="33"/>
      <c r="BP761" s="33"/>
      <c r="BQ761" s="33"/>
      <c r="BR761" s="520"/>
    </row>
    <row r="762" spans="37:70">
      <c r="AK762" s="2482"/>
      <c r="BG762" s="30">
        <v>64.2</v>
      </c>
      <c r="BH762" s="31">
        <v>0.72299999999999998</v>
      </c>
      <c r="BI762" s="32">
        <v>722.8</v>
      </c>
      <c r="BJ762" s="33"/>
      <c r="BK762" s="12"/>
      <c r="BL762" s="12"/>
      <c r="BM762" s="12"/>
      <c r="BN762" s="33"/>
      <c r="BO762" s="33"/>
      <c r="BP762" s="33"/>
      <c r="BQ762" s="33"/>
      <c r="BR762" s="520"/>
    </row>
    <row r="763" spans="37:70">
      <c r="AK763" s="2482"/>
      <c r="BG763" s="30">
        <v>64.3</v>
      </c>
      <c r="BH763" s="31">
        <v>0.72270000000000001</v>
      </c>
      <c r="BI763" s="32">
        <v>722.5</v>
      </c>
      <c r="BJ763" s="33"/>
      <c r="BK763" s="12"/>
      <c r="BL763" s="12"/>
      <c r="BM763" s="12"/>
      <c r="BN763" s="33"/>
      <c r="BO763" s="33"/>
      <c r="BP763" s="33"/>
      <c r="BQ763" s="33"/>
      <c r="BR763" s="520"/>
    </row>
    <row r="764" spans="37:70">
      <c r="AK764" s="2482"/>
      <c r="BG764" s="30">
        <v>64.400000000000006</v>
      </c>
      <c r="BH764" s="31">
        <v>0.72230000000000005</v>
      </c>
      <c r="BI764" s="32">
        <v>722.1</v>
      </c>
      <c r="BJ764" s="33"/>
      <c r="BK764" s="12"/>
      <c r="BL764" s="12"/>
      <c r="BM764" s="12"/>
      <c r="BN764" s="33"/>
      <c r="BO764" s="33"/>
      <c r="BP764" s="33"/>
      <c r="BQ764" s="33"/>
      <c r="BR764" s="520"/>
    </row>
    <row r="765" spans="37:70">
      <c r="AK765" s="2482"/>
      <c r="BG765" s="30">
        <v>64.5</v>
      </c>
      <c r="BH765" s="31">
        <v>0.72189999999999999</v>
      </c>
      <c r="BI765" s="32">
        <v>721.7</v>
      </c>
      <c r="BJ765" s="33"/>
      <c r="BK765" s="12"/>
      <c r="BL765" s="12"/>
      <c r="BM765" s="12"/>
      <c r="BN765" s="33"/>
      <c r="BO765" s="33"/>
      <c r="BP765" s="33"/>
      <c r="BQ765" s="33"/>
      <c r="BR765" s="520"/>
    </row>
    <row r="766" spans="37:70">
      <c r="AK766" s="2482"/>
      <c r="BG766" s="30">
        <v>64.599999999999994</v>
      </c>
      <c r="BH766" s="31">
        <v>0.72160000000000002</v>
      </c>
      <c r="BI766" s="32">
        <v>721.4</v>
      </c>
      <c r="BJ766" s="33"/>
      <c r="BK766" s="12"/>
      <c r="BL766" s="12"/>
      <c r="BM766" s="12"/>
      <c r="BN766" s="33"/>
      <c r="BO766" s="33"/>
      <c r="BP766" s="33"/>
      <c r="BQ766" s="33"/>
      <c r="BR766" s="520"/>
    </row>
    <row r="767" spans="37:70">
      <c r="AK767" s="2482"/>
      <c r="BG767" s="30">
        <v>64.7</v>
      </c>
      <c r="BH767" s="31">
        <v>0.72119999999999995</v>
      </c>
      <c r="BI767" s="32">
        <v>721</v>
      </c>
      <c r="BJ767" s="33"/>
      <c r="BK767" s="12"/>
      <c r="BL767" s="12"/>
      <c r="BM767" s="12"/>
      <c r="BN767" s="33"/>
      <c r="BO767" s="33"/>
      <c r="BP767" s="33"/>
      <c r="BQ767" s="33"/>
      <c r="BR767" s="520"/>
    </row>
    <row r="768" spans="37:70">
      <c r="AK768" s="2482"/>
      <c r="BG768" s="30">
        <v>64.8</v>
      </c>
      <c r="BH768" s="31">
        <v>0.7208</v>
      </c>
      <c r="BI768" s="32">
        <v>720.6</v>
      </c>
      <c r="BJ768" s="33"/>
      <c r="BK768" s="12"/>
      <c r="BL768" s="12"/>
      <c r="BM768" s="12"/>
      <c r="BN768" s="33"/>
      <c r="BO768" s="33"/>
      <c r="BP768" s="33"/>
      <c r="BQ768" s="33"/>
      <c r="BR768" s="520"/>
    </row>
    <row r="769" spans="37:70">
      <c r="AK769" s="2482"/>
      <c r="BG769" s="30">
        <v>64.900000000000006</v>
      </c>
      <c r="BH769" s="31">
        <v>0.72050000000000003</v>
      </c>
      <c r="BI769" s="32">
        <v>720.3</v>
      </c>
      <c r="BJ769" s="33"/>
      <c r="BK769" s="12"/>
      <c r="BL769" s="12"/>
      <c r="BM769" s="12"/>
      <c r="BN769" s="33"/>
      <c r="BO769" s="33"/>
      <c r="BP769" s="33"/>
      <c r="BQ769" s="33"/>
      <c r="BR769" s="520"/>
    </row>
    <row r="770" spans="37:70">
      <c r="AK770" s="2482"/>
      <c r="BG770" s="30">
        <v>65</v>
      </c>
      <c r="BH770" s="31">
        <v>0.72009999999999996</v>
      </c>
      <c r="BI770" s="32">
        <v>719.9</v>
      </c>
      <c r="BJ770" s="33"/>
      <c r="BK770" s="12"/>
      <c r="BL770" s="12"/>
      <c r="BM770" s="12"/>
      <c r="BN770" s="33"/>
      <c r="BO770" s="33"/>
      <c r="BP770" s="33"/>
      <c r="BQ770" s="33"/>
      <c r="BR770" s="520"/>
    </row>
    <row r="771" spans="37:70">
      <c r="AK771" s="2482"/>
      <c r="BG771" s="30">
        <v>65.099999999999994</v>
      </c>
      <c r="BH771" s="31">
        <v>0.71970000000000001</v>
      </c>
      <c r="BI771" s="32">
        <v>719.5</v>
      </c>
      <c r="BJ771" s="33"/>
      <c r="BK771" s="12"/>
      <c r="BL771" s="12"/>
      <c r="BM771" s="12"/>
      <c r="BN771" s="33"/>
      <c r="BO771" s="33"/>
      <c r="BP771" s="33"/>
      <c r="BQ771" s="33"/>
      <c r="BR771" s="520"/>
    </row>
    <row r="772" spans="37:70">
      <c r="AK772" s="2482"/>
      <c r="BG772" s="30">
        <v>65.2</v>
      </c>
      <c r="BH772" s="31">
        <v>0.71940000000000004</v>
      </c>
      <c r="BI772" s="32">
        <v>719.2</v>
      </c>
      <c r="BJ772" s="33"/>
      <c r="BK772" s="12"/>
      <c r="BL772" s="12"/>
      <c r="BM772" s="12"/>
      <c r="BN772" s="33"/>
      <c r="BO772" s="33"/>
      <c r="BP772" s="33"/>
      <c r="BQ772" s="33"/>
      <c r="BR772" s="520"/>
    </row>
    <row r="773" spans="37:70">
      <c r="AK773" s="2482"/>
      <c r="BG773" s="30">
        <v>65.3</v>
      </c>
      <c r="BH773" s="31">
        <v>0.71899999999999997</v>
      </c>
      <c r="BI773" s="32">
        <v>718.8</v>
      </c>
      <c r="BJ773" s="33"/>
      <c r="BK773" s="12"/>
      <c r="BL773" s="12"/>
      <c r="BM773" s="12"/>
      <c r="BN773" s="33"/>
      <c r="BO773" s="33"/>
      <c r="BP773" s="33"/>
      <c r="BQ773" s="33"/>
      <c r="BR773" s="520"/>
    </row>
    <row r="774" spans="37:70">
      <c r="AK774" s="2482"/>
      <c r="BG774" s="30">
        <v>65.400000000000006</v>
      </c>
      <c r="BH774" s="31">
        <v>0.71860000000000002</v>
      </c>
      <c r="BI774" s="32">
        <v>718.4</v>
      </c>
      <c r="BJ774" s="33"/>
      <c r="BK774" s="12"/>
      <c r="BL774" s="12"/>
      <c r="BM774" s="12"/>
      <c r="BN774" s="33"/>
      <c r="BO774" s="33"/>
      <c r="BP774" s="33"/>
      <c r="BQ774" s="33"/>
      <c r="BR774" s="520"/>
    </row>
    <row r="775" spans="37:70">
      <c r="AK775" s="2482"/>
      <c r="BG775" s="30">
        <v>65.5</v>
      </c>
      <c r="BH775" s="31">
        <v>0.71830000000000005</v>
      </c>
      <c r="BI775" s="32">
        <v>718.1</v>
      </c>
      <c r="BJ775" s="33"/>
      <c r="BK775" s="12"/>
      <c r="BL775" s="12"/>
      <c r="BM775" s="12"/>
      <c r="BN775" s="33"/>
      <c r="BO775" s="33"/>
      <c r="BP775" s="33"/>
      <c r="BQ775" s="33"/>
      <c r="BR775" s="520"/>
    </row>
    <row r="776" spans="37:70">
      <c r="AK776" s="2482"/>
      <c r="BG776" s="30">
        <v>65.599999999999994</v>
      </c>
      <c r="BH776" s="31">
        <v>0.71789999999999998</v>
      </c>
      <c r="BI776" s="32">
        <v>717.7</v>
      </c>
      <c r="BJ776" s="33"/>
      <c r="BK776" s="12"/>
      <c r="BL776" s="12"/>
      <c r="BM776" s="12"/>
      <c r="BN776" s="33"/>
      <c r="BO776" s="33"/>
      <c r="BP776" s="33"/>
      <c r="BQ776" s="33"/>
      <c r="BR776" s="520"/>
    </row>
    <row r="777" spans="37:70">
      <c r="AK777" s="2482"/>
      <c r="BG777" s="30">
        <v>65.7</v>
      </c>
      <c r="BH777" s="31">
        <v>0.71750000000000003</v>
      </c>
      <c r="BI777" s="32">
        <v>717.3</v>
      </c>
      <c r="BJ777" s="33"/>
      <c r="BK777" s="12"/>
      <c r="BL777" s="12"/>
      <c r="BM777" s="12"/>
      <c r="BN777" s="33"/>
      <c r="BO777" s="33"/>
      <c r="BP777" s="33"/>
      <c r="BQ777" s="33"/>
      <c r="BR777" s="520"/>
    </row>
    <row r="778" spans="37:70">
      <c r="AK778" s="2482"/>
      <c r="BG778" s="30">
        <v>65.8</v>
      </c>
      <c r="BH778" s="31">
        <v>0.71719999999999995</v>
      </c>
      <c r="BI778" s="32">
        <v>717</v>
      </c>
      <c r="BJ778" s="33"/>
      <c r="BK778" s="12"/>
      <c r="BL778" s="12"/>
      <c r="BM778" s="12"/>
      <c r="BN778" s="33"/>
      <c r="BO778" s="33"/>
      <c r="BP778" s="33"/>
      <c r="BQ778" s="33"/>
      <c r="BR778" s="520"/>
    </row>
    <row r="779" spans="37:70">
      <c r="AK779" s="2482"/>
      <c r="BG779" s="30">
        <v>65.900000000000006</v>
      </c>
      <c r="BH779" s="31">
        <v>0.71679999999999999</v>
      </c>
      <c r="BI779" s="32">
        <v>716.6</v>
      </c>
      <c r="BJ779" s="33"/>
      <c r="BK779" s="12"/>
      <c r="BL779" s="12"/>
      <c r="BM779" s="12"/>
      <c r="BN779" s="33"/>
      <c r="BO779" s="33"/>
      <c r="BP779" s="33"/>
      <c r="BQ779" s="33"/>
      <c r="BR779" s="520"/>
    </row>
    <row r="780" spans="37:70">
      <c r="AK780" s="2482"/>
      <c r="BG780" s="30">
        <v>66</v>
      </c>
      <c r="BH780" s="31">
        <v>0.71650000000000003</v>
      </c>
      <c r="BI780" s="32">
        <v>716.3</v>
      </c>
      <c r="BJ780" s="33"/>
      <c r="BK780" s="12"/>
      <c r="BL780" s="12"/>
      <c r="BM780" s="12"/>
      <c r="BN780" s="33"/>
      <c r="BO780" s="33"/>
      <c r="BP780" s="33"/>
      <c r="BQ780" s="33"/>
      <c r="BR780" s="520"/>
    </row>
    <row r="781" spans="37:70">
      <c r="AK781" s="2482"/>
      <c r="BG781" s="30">
        <v>66.099999999999994</v>
      </c>
      <c r="BH781" s="31">
        <v>0.71609999999999996</v>
      </c>
      <c r="BI781" s="32">
        <v>715.9</v>
      </c>
      <c r="BJ781" s="33"/>
      <c r="BK781" s="12"/>
      <c r="BL781" s="12"/>
      <c r="BM781" s="12"/>
      <c r="BN781" s="33"/>
      <c r="BO781" s="33"/>
      <c r="BP781" s="33"/>
      <c r="BQ781" s="33"/>
      <c r="BR781" s="520"/>
    </row>
    <row r="782" spans="37:70">
      <c r="AK782" s="2482"/>
      <c r="BG782" s="30">
        <v>66.2</v>
      </c>
      <c r="BH782" s="31">
        <v>0.7157</v>
      </c>
      <c r="BI782" s="32">
        <v>715.5</v>
      </c>
      <c r="BJ782" s="33"/>
      <c r="BK782" s="12"/>
      <c r="BL782" s="12"/>
      <c r="BM782" s="12"/>
      <c r="BN782" s="33"/>
      <c r="BO782" s="33"/>
      <c r="BP782" s="33"/>
      <c r="BQ782" s="33"/>
      <c r="BR782" s="520"/>
    </row>
    <row r="783" spans="37:70">
      <c r="AK783" s="2482"/>
      <c r="BG783" s="30">
        <v>66.3</v>
      </c>
      <c r="BH783" s="31">
        <v>0.71540000000000004</v>
      </c>
      <c r="BI783" s="32">
        <v>715.2</v>
      </c>
      <c r="BJ783" s="33"/>
      <c r="BK783" s="12"/>
      <c r="BL783" s="12"/>
      <c r="BM783" s="12"/>
      <c r="BN783" s="33"/>
      <c r="BO783" s="33"/>
      <c r="BP783" s="33"/>
      <c r="BQ783" s="33"/>
      <c r="BR783" s="520"/>
    </row>
    <row r="784" spans="37:70">
      <c r="AK784" s="2482"/>
      <c r="BG784" s="30">
        <v>66.400000000000006</v>
      </c>
      <c r="BH784" s="31">
        <v>0.71499999999999997</v>
      </c>
      <c r="BI784" s="32">
        <v>714.8</v>
      </c>
      <c r="BJ784" s="33"/>
      <c r="BK784" s="12"/>
      <c r="BL784" s="12"/>
      <c r="BM784" s="12"/>
      <c r="BN784" s="33"/>
      <c r="BO784" s="33"/>
      <c r="BP784" s="33"/>
      <c r="BQ784" s="33"/>
      <c r="BR784" s="520"/>
    </row>
    <row r="785" spans="37:70">
      <c r="AK785" s="2482"/>
      <c r="BG785" s="30">
        <v>66.5</v>
      </c>
      <c r="BH785" s="31">
        <v>0.71460000000000001</v>
      </c>
      <c r="BI785" s="32">
        <v>714.5</v>
      </c>
      <c r="BJ785" s="33"/>
      <c r="BK785" s="12"/>
      <c r="BL785" s="12"/>
      <c r="BM785" s="12"/>
      <c r="BN785" s="33"/>
      <c r="BO785" s="33"/>
      <c r="BP785" s="33"/>
      <c r="BQ785" s="33"/>
      <c r="BR785" s="520"/>
    </row>
    <row r="786" spans="37:70">
      <c r="AK786" s="2482"/>
      <c r="BG786" s="30">
        <v>66.599999999999994</v>
      </c>
      <c r="BH786" s="31">
        <v>0.71430000000000005</v>
      </c>
      <c r="BI786" s="32">
        <v>714.1</v>
      </c>
      <c r="BJ786" s="33"/>
      <c r="BK786" s="12"/>
      <c r="BL786" s="12"/>
      <c r="BM786" s="12"/>
      <c r="BN786" s="33"/>
      <c r="BO786" s="33"/>
      <c r="BP786" s="33"/>
      <c r="BQ786" s="33"/>
      <c r="BR786" s="520"/>
    </row>
    <row r="787" spans="37:70">
      <c r="AK787" s="2482"/>
      <c r="BG787" s="30">
        <v>66.7</v>
      </c>
      <c r="BH787" s="31">
        <v>0.71389999999999998</v>
      </c>
      <c r="BI787" s="32">
        <v>713.7</v>
      </c>
      <c r="BJ787" s="33"/>
      <c r="BK787" s="12"/>
      <c r="BL787" s="12"/>
      <c r="BM787" s="12"/>
      <c r="BN787" s="33"/>
      <c r="BO787" s="33"/>
      <c r="BP787" s="33"/>
      <c r="BQ787" s="33"/>
      <c r="BR787" s="520"/>
    </row>
    <row r="788" spans="37:70">
      <c r="AK788" s="2482"/>
      <c r="BG788" s="30">
        <v>66.8</v>
      </c>
      <c r="BH788" s="31">
        <v>0.71360000000000001</v>
      </c>
      <c r="BI788" s="32">
        <v>713.4</v>
      </c>
      <c r="BJ788" s="33"/>
      <c r="BK788" s="12"/>
      <c r="BL788" s="12"/>
      <c r="BM788" s="12"/>
      <c r="BN788" s="33"/>
      <c r="BO788" s="33"/>
      <c r="BP788" s="33"/>
      <c r="BQ788" s="33"/>
      <c r="BR788" s="520"/>
    </row>
    <row r="789" spans="37:70">
      <c r="AK789" s="2482"/>
      <c r="BG789" s="30">
        <v>66.900000000000006</v>
      </c>
      <c r="BH789" s="31">
        <v>0.71319999999999995</v>
      </c>
      <c r="BI789" s="32">
        <v>713</v>
      </c>
      <c r="BJ789" s="33"/>
      <c r="BK789" s="12"/>
      <c r="BL789" s="12"/>
      <c r="BM789" s="12"/>
      <c r="BN789" s="33"/>
      <c r="BO789" s="33"/>
      <c r="BP789" s="33"/>
      <c r="BQ789" s="33"/>
      <c r="BR789" s="520"/>
    </row>
    <row r="790" spans="37:70">
      <c r="AK790" s="2482"/>
      <c r="BG790" s="30">
        <v>67</v>
      </c>
      <c r="BH790" s="31">
        <v>0.71279999999999999</v>
      </c>
      <c r="BI790" s="32">
        <v>712.7</v>
      </c>
      <c r="BJ790" s="33"/>
      <c r="BK790" s="12"/>
      <c r="BL790" s="12"/>
      <c r="BM790" s="12"/>
      <c r="BN790" s="33"/>
      <c r="BO790" s="33"/>
      <c r="BP790" s="33"/>
      <c r="BQ790" s="33"/>
      <c r="BR790" s="520"/>
    </row>
    <row r="791" spans="37:70">
      <c r="AK791" s="2482"/>
      <c r="BG791" s="30">
        <v>67.099999999999994</v>
      </c>
      <c r="BH791" s="31">
        <v>0.71250000000000002</v>
      </c>
      <c r="BI791" s="32">
        <v>712.3</v>
      </c>
      <c r="BJ791" s="33"/>
      <c r="BK791" s="12"/>
      <c r="BL791" s="12"/>
      <c r="BM791" s="12"/>
      <c r="BN791" s="33"/>
      <c r="BO791" s="33"/>
      <c r="BP791" s="33"/>
      <c r="BQ791" s="33"/>
      <c r="BR791" s="520"/>
    </row>
    <row r="792" spans="37:70">
      <c r="AK792" s="2482"/>
      <c r="BG792" s="30">
        <v>67.2</v>
      </c>
      <c r="BH792" s="31">
        <v>0.71209999999999996</v>
      </c>
      <c r="BI792" s="32">
        <v>711.9</v>
      </c>
      <c r="BJ792" s="33"/>
      <c r="BK792" s="12"/>
      <c r="BL792" s="12"/>
      <c r="BM792" s="12"/>
      <c r="BN792" s="33"/>
      <c r="BO792" s="33"/>
      <c r="BP792" s="33"/>
      <c r="BQ792" s="33"/>
      <c r="BR792" s="520"/>
    </row>
    <row r="793" spans="37:70">
      <c r="AK793" s="2482"/>
      <c r="BG793" s="30">
        <v>67.3</v>
      </c>
      <c r="BH793" s="31">
        <v>0.71179999999999999</v>
      </c>
      <c r="BI793" s="32">
        <v>711.6</v>
      </c>
      <c r="BJ793" s="33"/>
      <c r="BK793" s="12"/>
      <c r="BL793" s="12"/>
      <c r="BM793" s="12"/>
      <c r="BN793" s="33"/>
      <c r="BO793" s="33"/>
      <c r="BP793" s="33"/>
      <c r="BQ793" s="33"/>
      <c r="BR793" s="520"/>
    </row>
    <row r="794" spans="37:70">
      <c r="AK794" s="2482"/>
      <c r="BG794" s="30">
        <v>67.400000000000006</v>
      </c>
      <c r="BH794" s="31">
        <v>0.71140000000000003</v>
      </c>
      <c r="BI794" s="32">
        <v>711.2</v>
      </c>
      <c r="BJ794" s="33"/>
      <c r="BK794" s="12"/>
      <c r="BL794" s="12"/>
      <c r="BM794" s="12"/>
      <c r="BN794" s="33"/>
      <c r="BO794" s="33"/>
      <c r="BP794" s="33"/>
      <c r="BQ794" s="33"/>
      <c r="BR794" s="520"/>
    </row>
    <row r="795" spans="37:70">
      <c r="AK795" s="2482"/>
      <c r="BG795" s="30">
        <v>67.5</v>
      </c>
      <c r="BH795" s="31">
        <v>0.71109999999999995</v>
      </c>
      <c r="BI795" s="32">
        <v>710.9</v>
      </c>
      <c r="BJ795" s="33"/>
      <c r="BK795" s="12"/>
      <c r="BL795" s="12"/>
      <c r="BM795" s="12"/>
      <c r="BN795" s="33"/>
      <c r="BO795" s="33"/>
      <c r="BP795" s="33"/>
      <c r="BQ795" s="33"/>
      <c r="BR795" s="520"/>
    </row>
    <row r="796" spans="37:70">
      <c r="AK796" s="2482"/>
      <c r="BG796" s="30">
        <v>67.599999999999994</v>
      </c>
      <c r="BH796" s="31">
        <v>0.7107</v>
      </c>
      <c r="BI796" s="32">
        <v>710.5</v>
      </c>
      <c r="BJ796" s="33"/>
      <c r="BK796" s="12"/>
      <c r="BL796" s="12"/>
      <c r="BM796" s="12"/>
      <c r="BN796" s="33"/>
      <c r="BO796" s="33"/>
      <c r="BP796" s="33"/>
      <c r="BQ796" s="33"/>
      <c r="BR796" s="520"/>
    </row>
    <row r="797" spans="37:70">
      <c r="AK797" s="2482"/>
      <c r="BG797" s="30">
        <v>67.7</v>
      </c>
      <c r="BH797" s="31">
        <v>0.71030000000000004</v>
      </c>
      <c r="BI797" s="32">
        <v>710.2</v>
      </c>
      <c r="BJ797" s="33"/>
      <c r="BK797" s="12"/>
      <c r="BL797" s="12"/>
      <c r="BM797" s="12"/>
      <c r="BN797" s="33"/>
      <c r="BO797" s="33"/>
      <c r="BP797" s="33"/>
      <c r="BQ797" s="33"/>
      <c r="BR797" s="520"/>
    </row>
    <row r="798" spans="37:70">
      <c r="AK798" s="2482"/>
      <c r="BG798" s="30">
        <v>67.8</v>
      </c>
      <c r="BH798" s="31">
        <v>0.71</v>
      </c>
      <c r="BI798" s="32">
        <v>709.8</v>
      </c>
      <c r="BJ798" s="33"/>
      <c r="BK798" s="12"/>
      <c r="BL798" s="12"/>
      <c r="BM798" s="12"/>
      <c r="BN798" s="33"/>
      <c r="BO798" s="33"/>
      <c r="BP798" s="33"/>
      <c r="BQ798" s="33"/>
      <c r="BR798" s="520"/>
    </row>
    <row r="799" spans="37:70">
      <c r="AK799" s="2482"/>
      <c r="BG799" s="30">
        <v>67.900000000000006</v>
      </c>
      <c r="BH799" s="31">
        <v>0.70960000000000001</v>
      </c>
      <c r="BI799" s="32">
        <v>709.4</v>
      </c>
      <c r="BJ799" s="33"/>
      <c r="BK799" s="12"/>
      <c r="BL799" s="12"/>
      <c r="BM799" s="12"/>
      <c r="BN799" s="33"/>
      <c r="BO799" s="33"/>
      <c r="BP799" s="33"/>
      <c r="BQ799" s="33"/>
      <c r="BR799" s="520"/>
    </row>
    <row r="800" spans="37:70">
      <c r="AK800" s="2482"/>
      <c r="BG800" s="30">
        <v>68</v>
      </c>
      <c r="BH800" s="31">
        <v>0.70930000000000004</v>
      </c>
      <c r="BI800" s="32">
        <v>709.1</v>
      </c>
      <c r="BJ800" s="33"/>
      <c r="BK800" s="12"/>
      <c r="BL800" s="12"/>
      <c r="BM800" s="12"/>
      <c r="BN800" s="33"/>
      <c r="BO800" s="33"/>
      <c r="BP800" s="33"/>
      <c r="BQ800" s="33"/>
      <c r="BR800" s="520"/>
    </row>
    <row r="801" spans="37:70">
      <c r="AK801" s="2482"/>
      <c r="BG801" s="30">
        <v>68.099999999999994</v>
      </c>
      <c r="BH801" s="31">
        <v>0.70889999999999997</v>
      </c>
      <c r="BI801" s="32">
        <v>708.7</v>
      </c>
      <c r="BJ801" s="33"/>
      <c r="BK801" s="12"/>
      <c r="BL801" s="12"/>
      <c r="BM801" s="12"/>
      <c r="BN801" s="33"/>
      <c r="BO801" s="33"/>
      <c r="BP801" s="33"/>
      <c r="BQ801" s="33"/>
      <c r="BR801" s="520"/>
    </row>
    <row r="802" spans="37:70">
      <c r="AK802" s="2482"/>
      <c r="BG802" s="30">
        <v>68.2</v>
      </c>
      <c r="BH802" s="31">
        <v>0.70860000000000001</v>
      </c>
      <c r="BI802" s="32">
        <v>708.4</v>
      </c>
      <c r="BJ802" s="33"/>
      <c r="BK802" s="12"/>
      <c r="BL802" s="12"/>
      <c r="BM802" s="12"/>
      <c r="BN802" s="33"/>
      <c r="BO802" s="33"/>
      <c r="BP802" s="33"/>
      <c r="BQ802" s="33"/>
      <c r="BR802" s="520"/>
    </row>
    <row r="803" spans="37:70">
      <c r="AK803" s="2482"/>
      <c r="BG803" s="30">
        <v>68.3</v>
      </c>
      <c r="BH803" s="31">
        <v>0.70820000000000005</v>
      </c>
      <c r="BI803" s="32">
        <v>708</v>
      </c>
      <c r="BJ803" s="33"/>
      <c r="BK803" s="12"/>
      <c r="BL803" s="12"/>
      <c r="BM803" s="12"/>
      <c r="BN803" s="33"/>
      <c r="BO803" s="33"/>
      <c r="BP803" s="33"/>
      <c r="BQ803" s="33"/>
      <c r="BR803" s="520"/>
    </row>
    <row r="804" spans="37:70">
      <c r="AK804" s="2482"/>
      <c r="BG804" s="30">
        <v>68.400000000000006</v>
      </c>
      <c r="BH804" s="31">
        <v>0.70789999999999997</v>
      </c>
      <c r="BI804" s="32">
        <v>707.7</v>
      </c>
      <c r="BJ804" s="33"/>
      <c r="BK804" s="12"/>
      <c r="BL804" s="12"/>
      <c r="BM804" s="12"/>
      <c r="BN804" s="33"/>
      <c r="BO804" s="33"/>
      <c r="BP804" s="33"/>
      <c r="BQ804" s="33"/>
      <c r="BR804" s="520"/>
    </row>
    <row r="805" spans="37:70">
      <c r="AK805" s="2482"/>
      <c r="BG805" s="30">
        <v>68.5</v>
      </c>
      <c r="BH805" s="31">
        <v>0.70750000000000002</v>
      </c>
      <c r="BI805" s="32">
        <v>707.3</v>
      </c>
      <c r="BJ805" s="33"/>
      <c r="BK805" s="12"/>
      <c r="BL805" s="12"/>
      <c r="BM805" s="12"/>
      <c r="BN805" s="33"/>
      <c r="BO805" s="33"/>
      <c r="BP805" s="33"/>
      <c r="BQ805" s="33"/>
      <c r="BR805" s="520"/>
    </row>
    <row r="806" spans="37:70">
      <c r="AK806" s="2482"/>
      <c r="BG806" s="30">
        <v>68.599999999999994</v>
      </c>
      <c r="BH806" s="31">
        <v>0.70709999999999995</v>
      </c>
      <c r="BI806" s="32">
        <v>707</v>
      </c>
      <c r="BJ806" s="33"/>
      <c r="BK806" s="12"/>
      <c r="BL806" s="12"/>
      <c r="BM806" s="12"/>
      <c r="BN806" s="33"/>
      <c r="BO806" s="33"/>
      <c r="BP806" s="33"/>
      <c r="BQ806" s="33"/>
      <c r="BR806" s="520"/>
    </row>
    <row r="807" spans="37:70">
      <c r="AK807" s="2482"/>
      <c r="BG807" s="30">
        <v>68.7</v>
      </c>
      <c r="BH807" s="31">
        <v>0.70679999999999998</v>
      </c>
      <c r="BI807" s="32">
        <v>706.6</v>
      </c>
      <c r="BJ807" s="33"/>
      <c r="BK807" s="12"/>
      <c r="BL807" s="12"/>
      <c r="BM807" s="12"/>
      <c r="BN807" s="33"/>
      <c r="BO807" s="33"/>
      <c r="BP807" s="33"/>
      <c r="BQ807" s="33"/>
      <c r="BR807" s="520"/>
    </row>
    <row r="808" spans="37:70">
      <c r="AK808" s="2482"/>
      <c r="BG808" s="30">
        <v>68.8</v>
      </c>
      <c r="BH808" s="31">
        <v>0.70640000000000003</v>
      </c>
      <c r="BI808" s="32">
        <v>706.3</v>
      </c>
      <c r="BJ808" s="33"/>
      <c r="BK808" s="12"/>
      <c r="BL808" s="12"/>
      <c r="BM808" s="12"/>
      <c r="BN808" s="33"/>
      <c r="BO808" s="33"/>
      <c r="BP808" s="33"/>
      <c r="BQ808" s="33"/>
      <c r="BR808" s="520"/>
    </row>
    <row r="809" spans="37:70">
      <c r="AK809" s="2482"/>
      <c r="BG809" s="30">
        <v>68.900000000000006</v>
      </c>
      <c r="BH809" s="31">
        <v>0.70609999999999995</v>
      </c>
      <c r="BI809" s="32">
        <v>705.9</v>
      </c>
      <c r="BJ809" s="33"/>
      <c r="BK809" s="12"/>
      <c r="BL809" s="12"/>
      <c r="BM809" s="12"/>
      <c r="BN809" s="33"/>
      <c r="BO809" s="33"/>
      <c r="BP809" s="33"/>
      <c r="BQ809" s="33"/>
      <c r="BR809" s="520"/>
    </row>
    <row r="810" spans="37:70">
      <c r="AK810" s="2482"/>
      <c r="BG810" s="30">
        <v>69</v>
      </c>
      <c r="BH810" s="31">
        <v>0.70569999999999999</v>
      </c>
      <c r="BI810" s="32">
        <v>705.6</v>
      </c>
      <c r="BJ810" s="33"/>
      <c r="BK810" s="12"/>
      <c r="BL810" s="12"/>
      <c r="BM810" s="12"/>
      <c r="BN810" s="33"/>
      <c r="BO810" s="33"/>
      <c r="BP810" s="33"/>
      <c r="BQ810" s="33"/>
      <c r="BR810" s="520"/>
    </row>
    <row r="811" spans="37:70">
      <c r="AK811" s="2482"/>
      <c r="BG811" s="30">
        <v>69.099999999999994</v>
      </c>
      <c r="BH811" s="31">
        <v>0.70540000000000003</v>
      </c>
      <c r="BI811" s="32">
        <v>705.2</v>
      </c>
      <c r="BJ811" s="33"/>
      <c r="BK811" s="12"/>
      <c r="BL811" s="12"/>
      <c r="BM811" s="12"/>
      <c r="BN811" s="33"/>
      <c r="BO811" s="33"/>
      <c r="BP811" s="33"/>
      <c r="BQ811" s="33"/>
      <c r="BR811" s="520"/>
    </row>
    <row r="812" spans="37:70">
      <c r="AK812" s="2482"/>
      <c r="BG812" s="30">
        <v>69.2</v>
      </c>
      <c r="BH812" s="31">
        <v>0.70499999999999996</v>
      </c>
      <c r="BI812" s="32">
        <v>704.9</v>
      </c>
      <c r="BJ812" s="33"/>
      <c r="BK812" s="12"/>
      <c r="BL812" s="12"/>
      <c r="BM812" s="12"/>
      <c r="BN812" s="33"/>
      <c r="BO812" s="33"/>
      <c r="BP812" s="33"/>
      <c r="BQ812" s="33"/>
      <c r="BR812" s="520"/>
    </row>
    <row r="813" spans="37:70">
      <c r="AK813" s="2482"/>
      <c r="BG813" s="30">
        <v>69.3</v>
      </c>
      <c r="BH813" s="31">
        <v>0.70469999999999999</v>
      </c>
      <c r="BI813" s="32">
        <v>704.5</v>
      </c>
      <c r="BJ813" s="33"/>
      <c r="BK813" s="12"/>
      <c r="BL813" s="12"/>
      <c r="BM813" s="12"/>
      <c r="BN813" s="33"/>
      <c r="BO813" s="33"/>
      <c r="BP813" s="33"/>
      <c r="BQ813" s="33"/>
      <c r="BR813" s="520"/>
    </row>
    <row r="814" spans="37:70">
      <c r="AK814" s="2482"/>
      <c r="BG814" s="30">
        <v>69.400000000000006</v>
      </c>
      <c r="BH814" s="31">
        <v>0.70430000000000004</v>
      </c>
      <c r="BI814" s="32">
        <v>704.2</v>
      </c>
      <c r="BJ814" s="33"/>
      <c r="BK814" s="12"/>
      <c r="BL814" s="12"/>
      <c r="BM814" s="12"/>
      <c r="BN814" s="33"/>
      <c r="BO814" s="33"/>
      <c r="BP814" s="33"/>
      <c r="BQ814" s="33"/>
      <c r="BR814" s="520"/>
    </row>
    <row r="815" spans="37:70">
      <c r="AK815" s="2482"/>
      <c r="BG815" s="30">
        <v>69.5</v>
      </c>
      <c r="BH815" s="31">
        <v>0.70399999999999996</v>
      </c>
      <c r="BI815" s="32">
        <v>703.8</v>
      </c>
      <c r="BJ815" s="33"/>
      <c r="BK815" s="12"/>
      <c r="BL815" s="12"/>
      <c r="BM815" s="12"/>
      <c r="BN815" s="33"/>
      <c r="BO815" s="33"/>
      <c r="BP815" s="33"/>
      <c r="BQ815" s="33"/>
      <c r="BR815" s="520"/>
    </row>
    <row r="816" spans="37:70">
      <c r="AK816" s="2482"/>
      <c r="BG816" s="30">
        <v>69.599999999999994</v>
      </c>
      <c r="BH816" s="31">
        <v>0.7036</v>
      </c>
      <c r="BI816" s="32">
        <v>703.5</v>
      </c>
      <c r="BJ816" s="33"/>
      <c r="BK816" s="12"/>
      <c r="BL816" s="12"/>
      <c r="BM816" s="12"/>
      <c r="BN816" s="33"/>
      <c r="BO816" s="33"/>
      <c r="BP816" s="33"/>
      <c r="BQ816" s="33"/>
      <c r="BR816" s="520"/>
    </row>
    <row r="817" spans="37:70">
      <c r="AK817" s="2482"/>
      <c r="BG817" s="30">
        <v>69.7</v>
      </c>
      <c r="BH817" s="31">
        <v>0.70330000000000004</v>
      </c>
      <c r="BI817" s="32">
        <v>703.1</v>
      </c>
      <c r="BJ817" s="33"/>
      <c r="BK817" s="12"/>
      <c r="BL817" s="12"/>
      <c r="BM817" s="12"/>
      <c r="BN817" s="33"/>
      <c r="BO817" s="33"/>
      <c r="BP817" s="33"/>
      <c r="BQ817" s="33"/>
      <c r="BR817" s="520"/>
    </row>
    <row r="818" spans="37:70">
      <c r="AK818" s="2482"/>
      <c r="BG818" s="30">
        <v>69.8</v>
      </c>
      <c r="BH818" s="31">
        <v>0.70289999999999997</v>
      </c>
      <c r="BI818" s="32">
        <v>702.8</v>
      </c>
      <c r="BJ818" s="33"/>
      <c r="BK818" s="12"/>
      <c r="BL818" s="12"/>
      <c r="BM818" s="12"/>
      <c r="BN818" s="33"/>
      <c r="BO818" s="33"/>
      <c r="BP818" s="33"/>
      <c r="BQ818" s="33"/>
      <c r="BR818" s="520"/>
    </row>
    <row r="819" spans="37:70">
      <c r="AK819" s="2482"/>
      <c r="BG819" s="30">
        <v>69.900000000000006</v>
      </c>
      <c r="BH819" s="31">
        <v>0.7026</v>
      </c>
      <c r="BI819" s="32">
        <v>702.4</v>
      </c>
      <c r="BJ819" s="33"/>
      <c r="BK819" s="12"/>
      <c r="BL819" s="12"/>
      <c r="BM819" s="12"/>
      <c r="BN819" s="33"/>
      <c r="BO819" s="33"/>
      <c r="BP819" s="33"/>
      <c r="BQ819" s="33"/>
      <c r="BR819" s="520"/>
    </row>
    <row r="820" spans="37:70">
      <c r="AK820" s="2482"/>
      <c r="BG820" s="30">
        <v>70</v>
      </c>
      <c r="BH820" s="31">
        <v>0.70220000000000005</v>
      </c>
      <c r="BI820" s="32">
        <v>702.1</v>
      </c>
      <c r="BJ820" s="33"/>
      <c r="BK820" s="12"/>
      <c r="BL820" s="12"/>
      <c r="BM820" s="12"/>
      <c r="BN820" s="33"/>
      <c r="BO820" s="33"/>
      <c r="BP820" s="33"/>
      <c r="BQ820" s="33"/>
      <c r="BR820" s="520"/>
    </row>
    <row r="821" spans="37:70">
      <c r="AK821" s="2482"/>
      <c r="BG821" s="30">
        <v>70.099999999999994</v>
      </c>
      <c r="BH821" s="31">
        <v>0.70189999999999997</v>
      </c>
      <c r="BI821" s="32">
        <v>701.7</v>
      </c>
      <c r="BJ821" s="33"/>
      <c r="BK821" s="12"/>
      <c r="BL821" s="12"/>
      <c r="BM821" s="12"/>
      <c r="BN821" s="33"/>
      <c r="BO821" s="33"/>
      <c r="BP821" s="33"/>
      <c r="BQ821" s="33"/>
      <c r="BR821" s="520"/>
    </row>
    <row r="822" spans="37:70">
      <c r="AK822" s="2482"/>
      <c r="BG822" s="30">
        <v>70.2</v>
      </c>
      <c r="BH822" s="31">
        <v>0.70150000000000001</v>
      </c>
      <c r="BI822" s="32">
        <v>701.4</v>
      </c>
      <c r="BJ822" s="33"/>
      <c r="BK822" s="12"/>
      <c r="BL822" s="12"/>
      <c r="BM822" s="12"/>
      <c r="BN822" s="33"/>
      <c r="BO822" s="33"/>
      <c r="BP822" s="33"/>
      <c r="BQ822" s="33"/>
      <c r="BR822" s="520"/>
    </row>
    <row r="823" spans="37:70">
      <c r="AK823" s="2482"/>
      <c r="BG823" s="30">
        <v>70.3</v>
      </c>
      <c r="BH823" s="31">
        <v>0.70120000000000005</v>
      </c>
      <c r="BI823" s="32">
        <v>701</v>
      </c>
      <c r="BJ823" s="33"/>
      <c r="BK823" s="12"/>
      <c r="BL823" s="12"/>
      <c r="BM823" s="12"/>
      <c r="BN823" s="33"/>
      <c r="BO823" s="33"/>
      <c r="BP823" s="33"/>
      <c r="BQ823" s="33"/>
      <c r="BR823" s="520"/>
    </row>
    <row r="824" spans="37:70">
      <c r="AK824" s="2482"/>
      <c r="BG824" s="30">
        <v>70.400000000000006</v>
      </c>
      <c r="BH824" s="31">
        <v>0.70079999999999998</v>
      </c>
      <c r="BI824" s="32">
        <v>700.7</v>
      </c>
      <c r="BJ824" s="33"/>
      <c r="BK824" s="12"/>
      <c r="BL824" s="12"/>
      <c r="BM824" s="12"/>
      <c r="BN824" s="33"/>
      <c r="BO824" s="33"/>
      <c r="BP824" s="33"/>
      <c r="BQ824" s="33"/>
      <c r="BR824" s="520"/>
    </row>
    <row r="825" spans="37:70">
      <c r="AK825" s="2482"/>
      <c r="BG825" s="30">
        <v>70.5</v>
      </c>
      <c r="BH825" s="31">
        <v>0.70050000000000001</v>
      </c>
      <c r="BI825" s="32">
        <v>700.3</v>
      </c>
      <c r="BJ825" s="33"/>
      <c r="BK825" s="12"/>
      <c r="BL825" s="12"/>
      <c r="BM825" s="12"/>
      <c r="BN825" s="33"/>
      <c r="BO825" s="33"/>
      <c r="BP825" s="33"/>
      <c r="BQ825" s="33"/>
      <c r="BR825" s="520"/>
    </row>
    <row r="826" spans="37:70">
      <c r="AK826" s="2482"/>
      <c r="BG826" s="30">
        <v>70.599999999999994</v>
      </c>
      <c r="BH826" s="31">
        <v>0.70009999999999994</v>
      </c>
      <c r="BI826" s="32">
        <v>700</v>
      </c>
      <c r="BJ826" s="33"/>
      <c r="BK826" s="12"/>
      <c r="BL826" s="12"/>
      <c r="BM826" s="12"/>
      <c r="BN826" s="33"/>
      <c r="BO826" s="33"/>
      <c r="BP826" s="33"/>
      <c r="BQ826" s="33"/>
      <c r="BR826" s="520"/>
    </row>
    <row r="827" spans="37:70">
      <c r="AK827" s="2482"/>
      <c r="BG827" s="30">
        <v>70.7</v>
      </c>
      <c r="BH827" s="31">
        <v>0.69979999999999998</v>
      </c>
      <c r="BI827" s="32">
        <v>699.6</v>
      </c>
      <c r="BJ827" s="33"/>
      <c r="BK827" s="12"/>
      <c r="BL827" s="12"/>
      <c r="BM827" s="12"/>
      <c r="BN827" s="33"/>
      <c r="BO827" s="33"/>
      <c r="BP827" s="33"/>
      <c r="BQ827" s="33"/>
      <c r="BR827" s="520"/>
    </row>
    <row r="828" spans="37:70">
      <c r="AK828" s="2482"/>
      <c r="BG828" s="30">
        <v>70.8</v>
      </c>
      <c r="BH828" s="31">
        <v>0.69950000000000001</v>
      </c>
      <c r="BI828" s="32">
        <v>699.3</v>
      </c>
      <c r="BJ828" s="33"/>
      <c r="BK828" s="12"/>
      <c r="BL828" s="12"/>
      <c r="BM828" s="12"/>
      <c r="BN828" s="33"/>
      <c r="BO828" s="33"/>
      <c r="BP828" s="33"/>
      <c r="BQ828" s="33"/>
      <c r="BR828" s="520"/>
    </row>
    <row r="829" spans="37:70">
      <c r="AK829" s="2482"/>
      <c r="BG829" s="30">
        <v>70.900000000000006</v>
      </c>
      <c r="BH829" s="31">
        <v>0.69910000000000005</v>
      </c>
      <c r="BI829" s="32">
        <v>698.9</v>
      </c>
      <c r="BJ829" s="33"/>
      <c r="BK829" s="12"/>
      <c r="BL829" s="12"/>
      <c r="BM829" s="12"/>
      <c r="BN829" s="33"/>
      <c r="BO829" s="33"/>
      <c r="BP829" s="33"/>
      <c r="BQ829" s="33"/>
      <c r="BR829" s="520"/>
    </row>
    <row r="830" spans="37:70">
      <c r="AK830" s="2482"/>
      <c r="BG830" s="30">
        <v>71</v>
      </c>
      <c r="BH830" s="31">
        <v>0.69879999999999998</v>
      </c>
      <c r="BI830" s="32">
        <v>698.6</v>
      </c>
      <c r="BJ830" s="33"/>
      <c r="BK830" s="12"/>
      <c r="BL830" s="12"/>
      <c r="BM830" s="12"/>
      <c r="BN830" s="33"/>
      <c r="BO830" s="33"/>
      <c r="BP830" s="33"/>
      <c r="BQ830" s="33"/>
      <c r="BR830" s="520"/>
    </row>
    <row r="831" spans="37:70">
      <c r="AK831" s="2482"/>
      <c r="BG831" s="30">
        <v>71.099999999999994</v>
      </c>
      <c r="BH831" s="31">
        <v>0.69840000000000002</v>
      </c>
      <c r="BI831" s="32">
        <v>698.2</v>
      </c>
      <c r="BJ831" s="33"/>
      <c r="BK831" s="12"/>
      <c r="BL831" s="12"/>
      <c r="BM831" s="12"/>
      <c r="BN831" s="33"/>
      <c r="BO831" s="33"/>
      <c r="BP831" s="33"/>
      <c r="BQ831" s="33"/>
      <c r="BR831" s="520"/>
    </row>
    <row r="832" spans="37:70">
      <c r="AK832" s="2482"/>
      <c r="BG832" s="30">
        <v>71.2</v>
      </c>
      <c r="BH832" s="31">
        <v>0.69810000000000005</v>
      </c>
      <c r="BI832" s="32">
        <v>697.9</v>
      </c>
      <c r="BJ832" s="33"/>
      <c r="BK832" s="12"/>
      <c r="BL832" s="12"/>
      <c r="BM832" s="12"/>
      <c r="BN832" s="33"/>
      <c r="BO832" s="33"/>
      <c r="BP832" s="33"/>
      <c r="BQ832" s="33"/>
      <c r="BR832" s="520"/>
    </row>
    <row r="833" spans="37:70">
      <c r="AK833" s="2482"/>
      <c r="BG833" s="30">
        <v>71.3</v>
      </c>
      <c r="BH833" s="31">
        <v>0.69769999999999999</v>
      </c>
      <c r="BI833" s="32">
        <v>697.6</v>
      </c>
      <c r="BJ833" s="33"/>
      <c r="BK833" s="12"/>
      <c r="BL833" s="12"/>
      <c r="BM833" s="12"/>
      <c r="BN833" s="33"/>
      <c r="BO833" s="33"/>
      <c r="BP833" s="33"/>
      <c r="BQ833" s="33"/>
      <c r="BR833" s="520"/>
    </row>
    <row r="834" spans="37:70">
      <c r="AK834" s="2482"/>
      <c r="BG834" s="30">
        <v>71.400000000000006</v>
      </c>
      <c r="BH834" s="31">
        <v>0.69740000000000002</v>
      </c>
      <c r="BI834" s="32">
        <v>697.2</v>
      </c>
      <c r="BJ834" s="33"/>
      <c r="BK834" s="12"/>
      <c r="BL834" s="12"/>
      <c r="BM834" s="12"/>
      <c r="BN834" s="33"/>
      <c r="BO834" s="33"/>
      <c r="BP834" s="33"/>
      <c r="BQ834" s="33"/>
      <c r="BR834" s="520"/>
    </row>
    <row r="835" spans="37:70">
      <c r="AK835" s="2482"/>
      <c r="BG835" s="30">
        <v>71.5</v>
      </c>
      <c r="BH835" s="31">
        <v>0.69699999999999995</v>
      </c>
      <c r="BI835" s="32">
        <v>696.9</v>
      </c>
      <c r="BJ835" s="33"/>
      <c r="BK835" s="12"/>
      <c r="BL835" s="12"/>
      <c r="BM835" s="12"/>
      <c r="BN835" s="33"/>
      <c r="BO835" s="33"/>
      <c r="BP835" s="33"/>
      <c r="BQ835" s="33"/>
      <c r="BR835" s="520"/>
    </row>
    <row r="836" spans="37:70">
      <c r="AK836" s="2482"/>
      <c r="BG836" s="30">
        <v>71.599999999999994</v>
      </c>
      <c r="BH836" s="31">
        <v>0.69669999999999999</v>
      </c>
      <c r="BI836" s="32">
        <v>696.5</v>
      </c>
      <c r="BJ836" s="33"/>
      <c r="BK836" s="12"/>
      <c r="BL836" s="12"/>
      <c r="BM836" s="12"/>
      <c r="BN836" s="33"/>
      <c r="BO836" s="33"/>
      <c r="BP836" s="33"/>
      <c r="BQ836" s="33"/>
      <c r="BR836" s="520"/>
    </row>
    <row r="837" spans="37:70">
      <c r="AK837" s="2482"/>
      <c r="BG837" s="30">
        <v>71.7</v>
      </c>
      <c r="BH837" s="31">
        <v>0.69640000000000002</v>
      </c>
      <c r="BI837" s="32">
        <v>696.2</v>
      </c>
      <c r="BJ837" s="33"/>
      <c r="BK837" s="12"/>
      <c r="BL837" s="12"/>
      <c r="BM837" s="12"/>
      <c r="BN837" s="33"/>
      <c r="BO837" s="33"/>
      <c r="BP837" s="33"/>
      <c r="BQ837" s="33"/>
      <c r="BR837" s="520"/>
    </row>
    <row r="838" spans="37:70">
      <c r="AK838" s="2482"/>
      <c r="BG838" s="30">
        <v>71.8</v>
      </c>
      <c r="BH838" s="31">
        <v>0.69599999999999995</v>
      </c>
      <c r="BI838" s="32">
        <v>695.8</v>
      </c>
      <c r="BJ838" s="33"/>
      <c r="BK838" s="12"/>
      <c r="BL838" s="12"/>
      <c r="BM838" s="12"/>
      <c r="BN838" s="33"/>
      <c r="BO838" s="33"/>
      <c r="BP838" s="33"/>
      <c r="BQ838" s="33"/>
      <c r="BR838" s="520"/>
    </row>
    <row r="839" spans="37:70">
      <c r="AK839" s="2482"/>
      <c r="BG839" s="30">
        <v>71.900000000000006</v>
      </c>
      <c r="BH839" s="31">
        <v>0.69569999999999999</v>
      </c>
      <c r="BI839" s="32">
        <v>695.5</v>
      </c>
      <c r="BJ839" s="33"/>
      <c r="BK839" s="12"/>
      <c r="BL839" s="12"/>
      <c r="BM839" s="12"/>
      <c r="BN839" s="33"/>
      <c r="BO839" s="33"/>
      <c r="BP839" s="33"/>
      <c r="BQ839" s="33"/>
      <c r="BR839" s="520"/>
    </row>
    <row r="840" spans="37:70">
      <c r="AK840" s="2482"/>
      <c r="BG840" s="30">
        <v>72</v>
      </c>
      <c r="BH840" s="31">
        <v>0.69530000000000003</v>
      </c>
      <c r="BI840" s="32">
        <v>695.2</v>
      </c>
      <c r="BJ840" s="33"/>
      <c r="BK840" s="12"/>
      <c r="BL840" s="12"/>
      <c r="BM840" s="12"/>
      <c r="BN840" s="33"/>
      <c r="BO840" s="33"/>
      <c r="BP840" s="33"/>
      <c r="BQ840" s="33"/>
      <c r="BR840" s="520"/>
    </row>
    <row r="841" spans="37:70">
      <c r="AK841" s="2482"/>
      <c r="BG841" s="30">
        <v>72.099999999999994</v>
      </c>
      <c r="BH841" s="31">
        <v>0.69499999999999995</v>
      </c>
      <c r="BI841" s="32">
        <v>694.8</v>
      </c>
      <c r="BJ841" s="33"/>
      <c r="BK841" s="12"/>
      <c r="BL841" s="12"/>
      <c r="BM841" s="12"/>
      <c r="BN841" s="33"/>
      <c r="BO841" s="33"/>
      <c r="BP841" s="33"/>
      <c r="BQ841" s="33"/>
      <c r="BR841" s="520"/>
    </row>
    <row r="842" spans="37:70">
      <c r="AK842" s="2482"/>
      <c r="BG842" s="30">
        <v>72.2</v>
      </c>
      <c r="BH842" s="31">
        <v>0.6946</v>
      </c>
      <c r="BI842" s="32">
        <v>694.5</v>
      </c>
      <c r="BJ842" s="33"/>
      <c r="BK842" s="12"/>
      <c r="BL842" s="12"/>
      <c r="BM842" s="12"/>
      <c r="BN842" s="33"/>
      <c r="BO842" s="33"/>
      <c r="BP842" s="33"/>
      <c r="BQ842" s="33"/>
      <c r="BR842" s="520"/>
    </row>
    <row r="843" spans="37:70">
      <c r="AK843" s="2482"/>
      <c r="BG843" s="30">
        <v>72.3</v>
      </c>
      <c r="BH843" s="31">
        <v>0.69430000000000003</v>
      </c>
      <c r="BI843" s="32">
        <v>694.1</v>
      </c>
      <c r="BJ843" s="33"/>
      <c r="BK843" s="12"/>
      <c r="BL843" s="12"/>
      <c r="BM843" s="12"/>
      <c r="BN843" s="33"/>
      <c r="BO843" s="33"/>
      <c r="BP843" s="33"/>
      <c r="BQ843" s="33"/>
      <c r="BR843" s="520"/>
    </row>
    <row r="844" spans="37:70">
      <c r="AK844" s="2482"/>
      <c r="BG844" s="30">
        <v>72.400000000000006</v>
      </c>
      <c r="BH844" s="31">
        <v>0.69399999999999995</v>
      </c>
      <c r="BI844" s="32">
        <v>693.8</v>
      </c>
      <c r="BJ844" s="33"/>
      <c r="BK844" s="12"/>
      <c r="BL844" s="12"/>
      <c r="BM844" s="12"/>
      <c r="BN844" s="33"/>
      <c r="BO844" s="33"/>
      <c r="BP844" s="33"/>
      <c r="BQ844" s="33"/>
      <c r="BR844" s="520"/>
    </row>
    <row r="845" spans="37:70">
      <c r="AK845" s="2482"/>
      <c r="BG845" s="30">
        <v>72.5</v>
      </c>
      <c r="BH845" s="31">
        <v>0.69359999999999999</v>
      </c>
      <c r="BI845" s="32">
        <v>693.5</v>
      </c>
      <c r="BJ845" s="33"/>
      <c r="BK845" s="12"/>
      <c r="BL845" s="12"/>
      <c r="BM845" s="12"/>
      <c r="BN845" s="33"/>
      <c r="BO845" s="33"/>
      <c r="BP845" s="33"/>
      <c r="BQ845" s="33"/>
      <c r="BR845" s="520"/>
    </row>
    <row r="846" spans="37:70">
      <c r="AK846" s="2482"/>
      <c r="BG846" s="30">
        <v>72.599999999999994</v>
      </c>
      <c r="BH846" s="31">
        <v>0.69330000000000003</v>
      </c>
      <c r="BI846" s="32">
        <v>693.1</v>
      </c>
      <c r="BJ846" s="33"/>
      <c r="BK846" s="12"/>
      <c r="BL846" s="12"/>
      <c r="BM846" s="12"/>
      <c r="BN846" s="33"/>
      <c r="BO846" s="33"/>
      <c r="BP846" s="33"/>
      <c r="BQ846" s="33"/>
      <c r="BR846" s="520"/>
    </row>
    <row r="847" spans="37:70">
      <c r="AK847" s="2482"/>
      <c r="BG847" s="30">
        <v>72.7</v>
      </c>
      <c r="BH847" s="31">
        <v>0.69289999999999996</v>
      </c>
      <c r="BI847" s="32">
        <v>692.8</v>
      </c>
      <c r="BJ847" s="33"/>
      <c r="BK847" s="12"/>
      <c r="BL847" s="12"/>
      <c r="BM847" s="12"/>
      <c r="BN847" s="33"/>
      <c r="BO847" s="33"/>
      <c r="BP847" s="33"/>
      <c r="BQ847" s="33"/>
      <c r="BR847" s="520"/>
    </row>
    <row r="848" spans="37:70">
      <c r="AK848" s="2482"/>
      <c r="BG848" s="30">
        <v>72.8</v>
      </c>
      <c r="BH848" s="31">
        <v>0.69259999999999999</v>
      </c>
      <c r="BI848" s="32">
        <v>692.4</v>
      </c>
      <c r="BJ848" s="33"/>
      <c r="BK848" s="12"/>
      <c r="BL848" s="12"/>
      <c r="BM848" s="12"/>
      <c r="BN848" s="33"/>
      <c r="BO848" s="33"/>
      <c r="BP848" s="33"/>
      <c r="BQ848" s="33"/>
      <c r="BR848" s="520"/>
    </row>
    <row r="849" spans="37:70">
      <c r="AK849" s="2482"/>
      <c r="BG849" s="30">
        <v>72.900000000000006</v>
      </c>
      <c r="BH849" s="31">
        <v>0.69230000000000003</v>
      </c>
      <c r="BI849" s="32">
        <v>692.1</v>
      </c>
      <c r="BJ849" s="33"/>
      <c r="BK849" s="12"/>
      <c r="BL849" s="12"/>
      <c r="BM849" s="12"/>
      <c r="BN849" s="33"/>
      <c r="BO849" s="33"/>
      <c r="BP849" s="33"/>
      <c r="BQ849" s="33"/>
      <c r="BR849" s="520"/>
    </row>
    <row r="850" spans="37:70">
      <c r="AK850" s="2482"/>
      <c r="BG850" s="30">
        <v>73</v>
      </c>
      <c r="BH850" s="31">
        <v>0.69189999999999996</v>
      </c>
      <c r="BI850" s="32">
        <v>691.8</v>
      </c>
      <c r="BJ850" s="33"/>
      <c r="BK850" s="12"/>
      <c r="BL850" s="12"/>
      <c r="BM850" s="12"/>
      <c r="BN850" s="33"/>
      <c r="BO850" s="33"/>
      <c r="BP850" s="33"/>
      <c r="BQ850" s="33"/>
      <c r="BR850" s="520"/>
    </row>
    <row r="851" spans="37:70">
      <c r="AK851" s="2482"/>
      <c r="BG851" s="30">
        <v>73.099999999999994</v>
      </c>
      <c r="BH851" s="31">
        <v>0.69159999999999999</v>
      </c>
      <c r="BI851" s="32">
        <v>691.4</v>
      </c>
      <c r="BJ851" s="33"/>
      <c r="BK851" s="12"/>
      <c r="BL851" s="12"/>
      <c r="BM851" s="12"/>
      <c r="BN851" s="33"/>
      <c r="BO851" s="33"/>
      <c r="BP851" s="33"/>
      <c r="BQ851" s="33"/>
      <c r="BR851" s="520"/>
    </row>
    <row r="852" spans="37:70">
      <c r="AK852" s="2482"/>
      <c r="BG852" s="30">
        <v>73.2</v>
      </c>
      <c r="BH852" s="31">
        <v>0.69130000000000003</v>
      </c>
      <c r="BI852" s="32">
        <v>691.1</v>
      </c>
      <c r="BJ852" s="33"/>
      <c r="BK852" s="12"/>
      <c r="BL852" s="12"/>
      <c r="BM852" s="12"/>
      <c r="BN852" s="33"/>
      <c r="BO852" s="33"/>
      <c r="BP852" s="33"/>
      <c r="BQ852" s="33"/>
      <c r="BR852" s="520"/>
    </row>
    <row r="853" spans="37:70">
      <c r="AK853" s="2482"/>
      <c r="BG853" s="30">
        <v>73.3</v>
      </c>
      <c r="BH853" s="31">
        <v>0.69089999999999996</v>
      </c>
      <c r="BI853" s="32">
        <v>690.8</v>
      </c>
      <c r="BJ853" s="33"/>
      <c r="BK853" s="12"/>
      <c r="BL853" s="12"/>
      <c r="BM853" s="12"/>
      <c r="BN853" s="33"/>
      <c r="BO853" s="33"/>
      <c r="BP853" s="33"/>
      <c r="BQ853" s="33"/>
      <c r="BR853" s="520"/>
    </row>
    <row r="854" spans="37:70">
      <c r="AK854" s="2482"/>
      <c r="BG854" s="30">
        <v>73.400000000000006</v>
      </c>
      <c r="BH854" s="31">
        <v>0.69059999999999999</v>
      </c>
      <c r="BI854" s="32">
        <v>690.4</v>
      </c>
      <c r="BJ854" s="33"/>
      <c r="BK854" s="12"/>
      <c r="BL854" s="12"/>
      <c r="BM854" s="12"/>
      <c r="BN854" s="33"/>
      <c r="BO854" s="33"/>
      <c r="BP854" s="33"/>
      <c r="BQ854" s="33"/>
      <c r="BR854" s="520"/>
    </row>
    <row r="855" spans="37:70">
      <c r="AK855" s="2482"/>
      <c r="BG855" s="30">
        <v>73.5</v>
      </c>
      <c r="BH855" s="31">
        <v>0.69020000000000004</v>
      </c>
      <c r="BI855" s="32">
        <v>690.1</v>
      </c>
      <c r="BJ855" s="33"/>
      <c r="BK855" s="12"/>
      <c r="BL855" s="12"/>
      <c r="BM855" s="12"/>
      <c r="BN855" s="33"/>
      <c r="BO855" s="33"/>
      <c r="BP855" s="33"/>
      <c r="BQ855" s="33"/>
      <c r="BR855" s="520"/>
    </row>
    <row r="856" spans="37:70">
      <c r="AK856" s="2482"/>
      <c r="BG856" s="30">
        <v>73.599999999999994</v>
      </c>
      <c r="BH856" s="31">
        <v>0.68989999999999996</v>
      </c>
      <c r="BI856" s="32">
        <v>689.7</v>
      </c>
      <c r="BJ856" s="33"/>
      <c r="BK856" s="12"/>
      <c r="BL856" s="12"/>
      <c r="BM856" s="12"/>
      <c r="BN856" s="33"/>
      <c r="BO856" s="33"/>
      <c r="BP856" s="33"/>
      <c r="BQ856" s="33"/>
      <c r="BR856" s="520"/>
    </row>
    <row r="857" spans="37:70">
      <c r="AK857" s="2482"/>
      <c r="BG857" s="30">
        <v>73.7</v>
      </c>
      <c r="BH857" s="31">
        <v>0.68959999999999999</v>
      </c>
      <c r="BI857" s="32">
        <v>689.4</v>
      </c>
      <c r="BJ857" s="33"/>
      <c r="BK857" s="12"/>
      <c r="BL857" s="12"/>
      <c r="BM857" s="12"/>
      <c r="BN857" s="33"/>
      <c r="BO857" s="33"/>
      <c r="BP857" s="33"/>
      <c r="BQ857" s="33"/>
      <c r="BR857" s="520"/>
    </row>
    <row r="858" spans="37:70">
      <c r="AK858" s="2482"/>
      <c r="BG858" s="30">
        <v>73.8</v>
      </c>
      <c r="BH858" s="31">
        <v>0.68920000000000003</v>
      </c>
      <c r="BI858" s="32">
        <v>689.1</v>
      </c>
      <c r="BJ858" s="33"/>
      <c r="BK858" s="12"/>
      <c r="BL858" s="12"/>
      <c r="BM858" s="12"/>
      <c r="BN858" s="33"/>
      <c r="BO858" s="33"/>
      <c r="BP858" s="33"/>
      <c r="BQ858" s="33"/>
      <c r="BR858" s="520"/>
    </row>
    <row r="859" spans="37:70">
      <c r="AK859" s="2482"/>
      <c r="BG859" s="30">
        <v>73.900000000000006</v>
      </c>
      <c r="BH859" s="31">
        <v>0.68889999999999996</v>
      </c>
      <c r="BI859" s="32">
        <v>688.7</v>
      </c>
      <c r="BJ859" s="33"/>
      <c r="BK859" s="12"/>
      <c r="BL859" s="12"/>
      <c r="BM859" s="12"/>
      <c r="BN859" s="33"/>
      <c r="BO859" s="33"/>
      <c r="BP859" s="33"/>
      <c r="BQ859" s="33"/>
      <c r="BR859" s="520"/>
    </row>
    <row r="860" spans="37:70">
      <c r="AK860" s="2482"/>
      <c r="BG860" s="30">
        <v>74</v>
      </c>
      <c r="BH860" s="31">
        <v>0.68859999999999999</v>
      </c>
      <c r="BI860" s="32">
        <v>688.4</v>
      </c>
      <c r="BJ860" s="33"/>
      <c r="BK860" s="12"/>
      <c r="BL860" s="12"/>
      <c r="BM860" s="12"/>
      <c r="BN860" s="33"/>
      <c r="BO860" s="33"/>
      <c r="BP860" s="33"/>
      <c r="BQ860" s="33"/>
      <c r="BR860" s="520"/>
    </row>
    <row r="861" spans="37:70">
      <c r="AK861" s="2482"/>
      <c r="BG861" s="30">
        <v>74.099999999999994</v>
      </c>
      <c r="BH861" s="31">
        <v>0.68820000000000003</v>
      </c>
      <c r="BI861" s="32">
        <v>688.1</v>
      </c>
      <c r="BJ861" s="33"/>
      <c r="BK861" s="12"/>
      <c r="BL861" s="12"/>
      <c r="BM861" s="12"/>
      <c r="BN861" s="33"/>
      <c r="BO861" s="33"/>
      <c r="BP861" s="33"/>
      <c r="BQ861" s="33"/>
      <c r="BR861" s="520"/>
    </row>
    <row r="862" spans="37:70">
      <c r="AK862" s="2482"/>
      <c r="BG862" s="30">
        <v>74.2</v>
      </c>
      <c r="BH862" s="31">
        <v>0.68789999999999996</v>
      </c>
      <c r="BI862" s="32">
        <v>687.7</v>
      </c>
      <c r="BJ862" s="33"/>
      <c r="BK862" s="12"/>
      <c r="BL862" s="12"/>
      <c r="BM862" s="12"/>
      <c r="BN862" s="33"/>
      <c r="BO862" s="33"/>
      <c r="BP862" s="33"/>
      <c r="BQ862" s="33"/>
      <c r="BR862" s="520"/>
    </row>
    <row r="863" spans="37:70">
      <c r="AK863" s="2482"/>
      <c r="BG863" s="30">
        <v>74.3</v>
      </c>
      <c r="BH863" s="31">
        <v>0.68759999999999999</v>
      </c>
      <c r="BI863" s="32">
        <v>687.4</v>
      </c>
      <c r="BJ863" s="33"/>
      <c r="BK863" s="12"/>
      <c r="BL863" s="12"/>
      <c r="BM863" s="12"/>
      <c r="BN863" s="33"/>
      <c r="BO863" s="33"/>
      <c r="BP863" s="33"/>
      <c r="BQ863" s="33"/>
      <c r="BR863" s="520"/>
    </row>
    <row r="864" spans="37:70">
      <c r="AK864" s="2482"/>
      <c r="BG864" s="30">
        <v>74.400000000000006</v>
      </c>
      <c r="BH864" s="31">
        <v>0.68720000000000003</v>
      </c>
      <c r="BI864" s="32">
        <v>687.1</v>
      </c>
      <c r="BJ864" s="33"/>
      <c r="BK864" s="12"/>
      <c r="BL864" s="12"/>
      <c r="BM864" s="12"/>
      <c r="BN864" s="33"/>
      <c r="BO864" s="33"/>
      <c r="BP864" s="33"/>
      <c r="BQ864" s="33"/>
      <c r="BR864" s="520"/>
    </row>
    <row r="865" spans="37:70">
      <c r="AK865" s="2482"/>
      <c r="BG865" s="30">
        <v>74.5</v>
      </c>
      <c r="BH865" s="31">
        <v>0.68689999999999996</v>
      </c>
      <c r="BI865" s="32">
        <v>686.7</v>
      </c>
      <c r="BJ865" s="33"/>
      <c r="BK865" s="12"/>
      <c r="BL865" s="12"/>
      <c r="BM865" s="12"/>
      <c r="BN865" s="33"/>
      <c r="BO865" s="33"/>
      <c r="BP865" s="33"/>
      <c r="BQ865" s="33"/>
      <c r="BR865" s="520"/>
    </row>
    <row r="866" spans="37:70">
      <c r="AK866" s="2482"/>
      <c r="BG866" s="30">
        <v>74.599999999999994</v>
      </c>
      <c r="BH866" s="31">
        <v>0.68659999999999999</v>
      </c>
      <c r="BI866" s="32">
        <v>686.4</v>
      </c>
      <c r="BJ866" s="33"/>
      <c r="BK866" s="12"/>
      <c r="BL866" s="12"/>
      <c r="BM866" s="12"/>
      <c r="BN866" s="33"/>
      <c r="BO866" s="33"/>
      <c r="BP866" s="33"/>
      <c r="BQ866" s="33"/>
      <c r="BR866" s="520"/>
    </row>
    <row r="867" spans="37:70">
      <c r="AK867" s="2482"/>
      <c r="BG867" s="30">
        <v>74.7</v>
      </c>
      <c r="BH867" s="31">
        <v>0.68620000000000003</v>
      </c>
      <c r="BI867" s="32">
        <v>686.1</v>
      </c>
      <c r="BJ867" s="33"/>
      <c r="BK867" s="12"/>
      <c r="BL867" s="12"/>
      <c r="BM867" s="12"/>
      <c r="BN867" s="33"/>
      <c r="BO867" s="33"/>
      <c r="BP867" s="33"/>
      <c r="BQ867" s="33"/>
      <c r="BR867" s="520"/>
    </row>
    <row r="868" spans="37:70">
      <c r="AK868" s="2482"/>
      <c r="BG868" s="30">
        <v>74.8</v>
      </c>
      <c r="BH868" s="31">
        <v>0.68589999999999995</v>
      </c>
      <c r="BI868" s="32">
        <v>685.7</v>
      </c>
      <c r="BJ868" s="33"/>
      <c r="BK868" s="12"/>
      <c r="BL868" s="12"/>
      <c r="BM868" s="12"/>
      <c r="BN868" s="33"/>
      <c r="BO868" s="33"/>
      <c r="BP868" s="33"/>
      <c r="BQ868" s="33"/>
      <c r="BR868" s="520"/>
    </row>
    <row r="869" spans="37:70">
      <c r="AK869" s="2482"/>
      <c r="BG869" s="30">
        <v>74.900000000000006</v>
      </c>
      <c r="BH869" s="31">
        <v>0.68559999999999999</v>
      </c>
      <c r="BI869" s="32">
        <v>685.4</v>
      </c>
      <c r="BJ869" s="33"/>
      <c r="BK869" s="12"/>
      <c r="BL869" s="12"/>
      <c r="BM869" s="12"/>
      <c r="BN869" s="33"/>
      <c r="BO869" s="33"/>
      <c r="BP869" s="33"/>
      <c r="BQ869" s="33"/>
      <c r="BR869" s="520"/>
    </row>
    <row r="870" spans="37:70">
      <c r="AK870" s="2482"/>
      <c r="BG870" s="30">
        <v>75</v>
      </c>
      <c r="BH870" s="31">
        <v>0.68520000000000003</v>
      </c>
      <c r="BI870" s="32">
        <v>685.1</v>
      </c>
      <c r="BJ870" s="33"/>
      <c r="BK870" s="12"/>
      <c r="BL870" s="12"/>
      <c r="BM870" s="12"/>
      <c r="BN870" s="33"/>
      <c r="BO870" s="33"/>
      <c r="BP870" s="33"/>
      <c r="BQ870" s="33"/>
      <c r="BR870" s="520"/>
    </row>
    <row r="871" spans="37:70">
      <c r="AK871" s="2482"/>
      <c r="BG871" s="30">
        <v>75.099999999999994</v>
      </c>
      <c r="BH871" s="31">
        <v>0.68489999999999995</v>
      </c>
      <c r="BI871" s="32">
        <v>684.7</v>
      </c>
      <c r="BJ871" s="33"/>
      <c r="BK871" s="12"/>
      <c r="BL871" s="12"/>
      <c r="BM871" s="12"/>
      <c r="BN871" s="33"/>
      <c r="BO871" s="33"/>
      <c r="BP871" s="33"/>
      <c r="BQ871" s="33"/>
      <c r="BR871" s="520"/>
    </row>
    <row r="872" spans="37:70">
      <c r="AK872" s="2482"/>
      <c r="BG872" s="30">
        <v>75.2</v>
      </c>
      <c r="BH872" s="31">
        <v>0.68459999999999999</v>
      </c>
      <c r="BI872" s="32">
        <v>684.4</v>
      </c>
      <c r="BJ872" s="33"/>
      <c r="BK872" s="12"/>
      <c r="BL872" s="12"/>
      <c r="BM872" s="12"/>
      <c r="BN872" s="33"/>
      <c r="BO872" s="33"/>
      <c r="BP872" s="33"/>
      <c r="BQ872" s="33"/>
      <c r="BR872" s="520"/>
    </row>
    <row r="873" spans="37:70">
      <c r="AK873" s="2482"/>
      <c r="BG873" s="30">
        <v>75.3</v>
      </c>
      <c r="BH873" s="31">
        <v>0.68420000000000003</v>
      </c>
      <c r="BI873" s="32">
        <v>684.1</v>
      </c>
      <c r="BJ873" s="33"/>
      <c r="BK873" s="12"/>
      <c r="BL873" s="12"/>
      <c r="BM873" s="12"/>
      <c r="BN873" s="33"/>
      <c r="BO873" s="33"/>
      <c r="BP873" s="33"/>
      <c r="BQ873" s="33"/>
      <c r="BR873" s="520"/>
    </row>
    <row r="874" spans="37:70">
      <c r="AK874" s="2482"/>
      <c r="BG874" s="30">
        <v>75.400000000000006</v>
      </c>
      <c r="BH874" s="31">
        <v>0.68389999999999995</v>
      </c>
      <c r="BI874" s="32">
        <v>683.8</v>
      </c>
      <c r="BJ874" s="33"/>
      <c r="BK874" s="12"/>
      <c r="BL874" s="12"/>
      <c r="BM874" s="12"/>
      <c r="BN874" s="33"/>
      <c r="BO874" s="33"/>
      <c r="BP874" s="33"/>
      <c r="BQ874" s="33"/>
      <c r="BR874" s="520"/>
    </row>
    <row r="875" spans="37:70">
      <c r="AK875" s="2482"/>
      <c r="BG875" s="30">
        <v>75.5</v>
      </c>
      <c r="BH875" s="31">
        <v>0.68359999999999999</v>
      </c>
      <c r="BI875" s="32">
        <v>683.4</v>
      </c>
      <c r="BJ875" s="33"/>
      <c r="BK875" s="12"/>
      <c r="BL875" s="12"/>
      <c r="BM875" s="12"/>
      <c r="BN875" s="33"/>
      <c r="BO875" s="33"/>
      <c r="BP875" s="33"/>
      <c r="BQ875" s="33"/>
      <c r="BR875" s="520"/>
    </row>
    <row r="876" spans="37:70">
      <c r="AK876" s="2482"/>
      <c r="BG876" s="30">
        <v>75.599999999999994</v>
      </c>
      <c r="BH876" s="31">
        <v>0.68320000000000003</v>
      </c>
      <c r="BI876" s="32">
        <v>683.1</v>
      </c>
      <c r="BJ876" s="33"/>
      <c r="BK876" s="12"/>
      <c r="BL876" s="12"/>
      <c r="BM876" s="12"/>
      <c r="BN876" s="33"/>
      <c r="BO876" s="33"/>
      <c r="BP876" s="33"/>
      <c r="BQ876" s="33"/>
      <c r="BR876" s="520"/>
    </row>
    <row r="877" spans="37:70">
      <c r="AK877" s="2482"/>
      <c r="BG877" s="30">
        <v>75.7</v>
      </c>
      <c r="BH877" s="31">
        <v>0.68289999999999995</v>
      </c>
      <c r="BI877" s="32">
        <v>682.8</v>
      </c>
      <c r="BJ877" s="33"/>
      <c r="BK877" s="12"/>
      <c r="BL877" s="12"/>
      <c r="BM877" s="12"/>
      <c r="BN877" s="33"/>
      <c r="BO877" s="33"/>
      <c r="BP877" s="33"/>
      <c r="BQ877" s="33"/>
      <c r="BR877" s="520"/>
    </row>
    <row r="878" spans="37:70">
      <c r="AK878" s="2482"/>
      <c r="BG878" s="30">
        <v>75.8</v>
      </c>
      <c r="BH878" s="31">
        <v>0.68259999999999998</v>
      </c>
      <c r="BI878" s="32">
        <v>682.4</v>
      </c>
      <c r="BJ878" s="33"/>
      <c r="BK878" s="12"/>
      <c r="BL878" s="12"/>
      <c r="BM878" s="12"/>
      <c r="BN878" s="33"/>
      <c r="BO878" s="33"/>
      <c r="BP878" s="33"/>
      <c r="BQ878" s="33"/>
      <c r="BR878" s="520"/>
    </row>
    <row r="879" spans="37:70">
      <c r="AK879" s="2482"/>
      <c r="BG879" s="30">
        <v>75.900000000000006</v>
      </c>
      <c r="BH879" s="31">
        <v>0.68230000000000002</v>
      </c>
      <c r="BI879" s="32">
        <v>682.1</v>
      </c>
      <c r="BJ879" s="33"/>
      <c r="BK879" s="12"/>
      <c r="BL879" s="12"/>
      <c r="BM879" s="12"/>
      <c r="BN879" s="33"/>
      <c r="BO879" s="33"/>
      <c r="BP879" s="33"/>
      <c r="BQ879" s="33"/>
      <c r="BR879" s="520"/>
    </row>
    <row r="880" spans="37:70">
      <c r="AK880" s="2482"/>
      <c r="BG880" s="30">
        <v>76</v>
      </c>
      <c r="BH880" s="31">
        <v>0.68189999999999995</v>
      </c>
      <c r="BI880" s="32">
        <v>681.8</v>
      </c>
      <c r="BJ880" s="33"/>
      <c r="BK880" s="12"/>
      <c r="BL880" s="12"/>
      <c r="BM880" s="12"/>
      <c r="BN880" s="33"/>
      <c r="BO880" s="33"/>
      <c r="BP880" s="33"/>
      <c r="BQ880" s="33"/>
      <c r="BR880" s="520"/>
    </row>
    <row r="881" spans="37:70">
      <c r="AK881" s="2482"/>
      <c r="BG881" s="30">
        <v>76.099999999999994</v>
      </c>
      <c r="BH881" s="31">
        <v>0.68159999999999998</v>
      </c>
      <c r="BI881" s="32">
        <v>681.5</v>
      </c>
      <c r="BJ881" s="33"/>
      <c r="BK881" s="12"/>
      <c r="BL881" s="12"/>
      <c r="BM881" s="12"/>
      <c r="BN881" s="33"/>
      <c r="BO881" s="33"/>
      <c r="BP881" s="33"/>
      <c r="BQ881" s="33"/>
      <c r="BR881" s="520"/>
    </row>
    <row r="882" spans="37:70">
      <c r="AK882" s="2482"/>
      <c r="BG882" s="30">
        <v>76.2</v>
      </c>
      <c r="BH882" s="31">
        <v>0.68130000000000002</v>
      </c>
      <c r="BI882" s="32">
        <v>681.1</v>
      </c>
      <c r="BJ882" s="33"/>
      <c r="BK882" s="12"/>
      <c r="BL882" s="12"/>
      <c r="BM882" s="12"/>
      <c r="BN882" s="33"/>
      <c r="BO882" s="33"/>
      <c r="BP882" s="33"/>
      <c r="BQ882" s="33"/>
      <c r="BR882" s="520"/>
    </row>
    <row r="883" spans="37:70">
      <c r="AK883" s="2482"/>
      <c r="BG883" s="30">
        <v>76.3</v>
      </c>
      <c r="BH883" s="31">
        <v>0.68089999999999995</v>
      </c>
      <c r="BI883" s="32">
        <v>680.8</v>
      </c>
      <c r="BJ883" s="33"/>
      <c r="BK883" s="12"/>
      <c r="BL883" s="12"/>
      <c r="BM883" s="12"/>
      <c r="BN883" s="33"/>
      <c r="BO883" s="33"/>
      <c r="BP883" s="33"/>
      <c r="BQ883" s="33"/>
      <c r="BR883" s="520"/>
    </row>
    <row r="884" spans="37:70">
      <c r="AK884" s="2482"/>
      <c r="BG884" s="30">
        <v>76.400000000000006</v>
      </c>
      <c r="BH884" s="31">
        <v>0.68059999999999998</v>
      </c>
      <c r="BI884" s="32">
        <v>680.5</v>
      </c>
      <c r="BJ884" s="33"/>
      <c r="BK884" s="12"/>
      <c r="BL884" s="12"/>
      <c r="BM884" s="12"/>
      <c r="BN884" s="33"/>
      <c r="BO884" s="33"/>
      <c r="BP884" s="33"/>
      <c r="BQ884" s="33"/>
      <c r="BR884" s="520"/>
    </row>
    <row r="885" spans="37:70">
      <c r="AK885" s="2482"/>
      <c r="BG885" s="30">
        <v>76.5</v>
      </c>
      <c r="BH885" s="31">
        <v>0.68030000000000002</v>
      </c>
      <c r="BI885" s="32">
        <v>680.1</v>
      </c>
      <c r="BJ885" s="33"/>
      <c r="BK885" s="12"/>
      <c r="BL885" s="12"/>
      <c r="BM885" s="12"/>
      <c r="BN885" s="33"/>
      <c r="BO885" s="33"/>
      <c r="BP885" s="33"/>
      <c r="BQ885" s="33"/>
      <c r="BR885" s="520"/>
    </row>
    <row r="886" spans="37:70">
      <c r="AK886" s="2482"/>
      <c r="BG886" s="30">
        <v>76.599999999999994</v>
      </c>
      <c r="BH886" s="31">
        <v>0.68</v>
      </c>
      <c r="BI886" s="32">
        <v>679.8</v>
      </c>
      <c r="BJ886" s="33"/>
      <c r="BK886" s="12"/>
      <c r="BL886" s="12"/>
      <c r="BM886" s="12"/>
      <c r="BN886" s="33"/>
      <c r="BO886" s="33"/>
      <c r="BP886" s="33"/>
      <c r="BQ886" s="33"/>
      <c r="BR886" s="520"/>
    </row>
    <row r="887" spans="37:70">
      <c r="AK887" s="2482"/>
      <c r="BG887" s="30">
        <v>76.7</v>
      </c>
      <c r="BH887" s="31">
        <v>0.67959999999999998</v>
      </c>
      <c r="BI887" s="32">
        <v>679.5</v>
      </c>
      <c r="BJ887" s="33"/>
      <c r="BK887" s="12"/>
      <c r="BL887" s="12"/>
      <c r="BM887" s="12"/>
      <c r="BN887" s="33"/>
      <c r="BO887" s="33"/>
      <c r="BP887" s="33"/>
      <c r="BQ887" s="33"/>
      <c r="BR887" s="520"/>
    </row>
    <row r="888" spans="37:70">
      <c r="AK888" s="2482"/>
      <c r="BG888" s="30">
        <v>76.8</v>
      </c>
      <c r="BH888" s="31">
        <v>0.67930000000000001</v>
      </c>
      <c r="BI888" s="32">
        <v>679.2</v>
      </c>
      <c r="BJ888" s="33"/>
      <c r="BK888" s="12"/>
      <c r="BL888" s="12"/>
      <c r="BM888" s="12"/>
      <c r="BN888" s="33"/>
      <c r="BO888" s="33"/>
      <c r="BP888" s="33"/>
      <c r="BQ888" s="33"/>
      <c r="BR888" s="520"/>
    </row>
    <row r="889" spans="37:70">
      <c r="AK889" s="2482"/>
      <c r="BG889" s="30">
        <v>76.900000000000006</v>
      </c>
      <c r="BH889" s="31">
        <v>0.67900000000000005</v>
      </c>
      <c r="BI889" s="32">
        <v>678.8</v>
      </c>
      <c r="BJ889" s="33"/>
      <c r="BK889" s="12"/>
      <c r="BL889" s="12"/>
      <c r="BM889" s="12"/>
      <c r="BN889" s="33"/>
      <c r="BO889" s="33"/>
      <c r="BP889" s="33"/>
      <c r="BQ889" s="33"/>
      <c r="BR889" s="520"/>
    </row>
    <row r="890" spans="37:70">
      <c r="AK890" s="2482"/>
      <c r="BG890" s="30">
        <v>77</v>
      </c>
      <c r="BH890" s="31">
        <v>0.67869999999999997</v>
      </c>
      <c r="BI890" s="32">
        <v>678.5</v>
      </c>
      <c r="BJ890" s="33"/>
      <c r="BK890" s="12"/>
      <c r="BL890" s="12"/>
      <c r="BM890" s="12"/>
      <c r="BN890" s="33"/>
      <c r="BO890" s="33"/>
      <c r="BP890" s="33"/>
      <c r="BQ890" s="33"/>
      <c r="BR890" s="520"/>
    </row>
    <row r="891" spans="37:70">
      <c r="AK891" s="2482"/>
      <c r="BG891" s="30">
        <v>77.099999999999994</v>
      </c>
      <c r="BH891" s="31">
        <v>0.67830000000000001</v>
      </c>
      <c r="BI891" s="32">
        <v>678.2</v>
      </c>
      <c r="BJ891" s="33"/>
      <c r="BK891" s="12"/>
      <c r="BL891" s="12"/>
      <c r="BM891" s="12"/>
      <c r="BN891" s="33"/>
      <c r="BO891" s="33"/>
      <c r="BP891" s="33"/>
      <c r="BQ891" s="33"/>
      <c r="BR891" s="520"/>
    </row>
    <row r="892" spans="37:70">
      <c r="AK892" s="2482"/>
      <c r="BG892" s="30">
        <v>77.2</v>
      </c>
      <c r="BH892" s="31">
        <v>0.67800000000000005</v>
      </c>
      <c r="BI892" s="32">
        <v>677.9</v>
      </c>
      <c r="BJ892" s="33"/>
      <c r="BK892" s="12"/>
      <c r="BL892" s="12"/>
      <c r="BM892" s="12"/>
      <c r="BN892" s="33"/>
      <c r="BO892" s="33"/>
      <c r="BP892" s="33"/>
      <c r="BQ892" s="33"/>
      <c r="BR892" s="520"/>
    </row>
    <row r="893" spans="37:70">
      <c r="AK893" s="2482"/>
      <c r="BG893" s="30">
        <v>77.3</v>
      </c>
      <c r="BH893" s="31">
        <v>0.67769999999999997</v>
      </c>
      <c r="BI893" s="32">
        <v>677.5</v>
      </c>
      <c r="BJ893" s="33"/>
      <c r="BK893" s="12"/>
      <c r="BL893" s="12"/>
      <c r="BM893" s="12"/>
      <c r="BN893" s="33"/>
      <c r="BO893" s="33"/>
      <c r="BP893" s="33"/>
      <c r="BQ893" s="33"/>
      <c r="BR893" s="520"/>
    </row>
    <row r="894" spans="37:70">
      <c r="AK894" s="2482"/>
      <c r="BG894" s="30">
        <v>77.400000000000006</v>
      </c>
      <c r="BH894" s="31">
        <v>0.6774</v>
      </c>
      <c r="BI894" s="32">
        <v>677.2</v>
      </c>
      <c r="BJ894" s="33"/>
      <c r="BK894" s="12"/>
      <c r="BL894" s="12"/>
      <c r="BM894" s="12"/>
      <c r="BN894" s="33"/>
      <c r="BO894" s="33"/>
      <c r="BP894" s="33"/>
      <c r="BQ894" s="33"/>
      <c r="BR894" s="520"/>
    </row>
    <row r="895" spans="37:70">
      <c r="AK895" s="2482"/>
      <c r="BG895" s="30">
        <v>77.5</v>
      </c>
      <c r="BH895" s="31">
        <v>0.67700000000000005</v>
      </c>
      <c r="BI895" s="32">
        <v>676.9</v>
      </c>
      <c r="BJ895" s="33"/>
      <c r="BK895" s="12"/>
      <c r="BL895" s="12"/>
      <c r="BM895" s="12"/>
      <c r="BN895" s="33"/>
      <c r="BO895" s="33"/>
      <c r="BP895" s="33"/>
      <c r="BQ895" s="33"/>
      <c r="BR895" s="520"/>
    </row>
    <row r="896" spans="37:70">
      <c r="AK896" s="2482"/>
      <c r="BG896" s="30">
        <v>77.599999999999994</v>
      </c>
      <c r="BH896" s="31">
        <v>0.67669999999999997</v>
      </c>
      <c r="BI896" s="32">
        <v>676.6</v>
      </c>
      <c r="BJ896" s="33"/>
      <c r="BK896" s="12"/>
      <c r="BL896" s="12"/>
      <c r="BM896" s="12"/>
      <c r="BN896" s="33"/>
      <c r="BO896" s="33"/>
      <c r="BP896" s="33"/>
      <c r="BQ896" s="33"/>
      <c r="BR896" s="520"/>
    </row>
    <row r="897" spans="37:70">
      <c r="AK897" s="2482"/>
      <c r="BG897" s="30">
        <v>77.7</v>
      </c>
      <c r="BH897" s="31">
        <v>0.6764</v>
      </c>
      <c r="BI897" s="32">
        <v>676.2</v>
      </c>
      <c r="BJ897" s="33"/>
      <c r="BK897" s="12"/>
      <c r="BL897" s="12"/>
      <c r="BM897" s="12"/>
      <c r="BN897" s="33"/>
      <c r="BO897" s="33"/>
      <c r="BP897" s="33"/>
      <c r="BQ897" s="33"/>
      <c r="BR897" s="520"/>
    </row>
    <row r="898" spans="37:70">
      <c r="AK898" s="2482"/>
      <c r="BG898" s="30">
        <v>77.8</v>
      </c>
      <c r="BH898" s="31">
        <v>0.67610000000000003</v>
      </c>
      <c r="BI898" s="32">
        <v>675.9</v>
      </c>
      <c r="BJ898" s="33"/>
      <c r="BK898" s="12"/>
      <c r="BL898" s="12"/>
      <c r="BM898" s="12"/>
      <c r="BN898" s="33"/>
      <c r="BO898" s="33"/>
      <c r="BP898" s="33"/>
      <c r="BQ898" s="33"/>
      <c r="BR898" s="520"/>
    </row>
    <row r="899" spans="37:70">
      <c r="AK899" s="2482"/>
      <c r="BG899" s="30">
        <v>77.900000000000006</v>
      </c>
      <c r="BH899" s="31">
        <v>0.67569999999999997</v>
      </c>
      <c r="BI899" s="32">
        <v>675.6</v>
      </c>
      <c r="BJ899" s="33"/>
      <c r="BK899" s="12"/>
      <c r="BL899" s="12"/>
      <c r="BM899" s="12"/>
      <c r="BN899" s="33"/>
      <c r="BO899" s="33"/>
      <c r="BP899" s="33"/>
      <c r="BQ899" s="33"/>
      <c r="BR899" s="520"/>
    </row>
    <row r="900" spans="37:70">
      <c r="AK900" s="2482"/>
      <c r="BG900" s="30">
        <v>78</v>
      </c>
      <c r="BH900" s="31">
        <v>0.6754</v>
      </c>
      <c r="BI900" s="32">
        <v>675.3</v>
      </c>
      <c r="BJ900" s="33"/>
      <c r="BK900" s="12"/>
      <c r="BL900" s="12"/>
      <c r="BM900" s="12"/>
      <c r="BN900" s="33"/>
      <c r="BO900" s="33"/>
      <c r="BP900" s="33"/>
      <c r="BQ900" s="33"/>
      <c r="BR900" s="520"/>
    </row>
    <row r="901" spans="37:70">
      <c r="AK901" s="2482"/>
      <c r="BG901" s="30">
        <v>78.099999999999994</v>
      </c>
      <c r="BH901" s="31">
        <v>0.67510000000000003</v>
      </c>
      <c r="BI901" s="32">
        <v>675</v>
      </c>
      <c r="BJ901" s="33"/>
      <c r="BK901" s="12"/>
      <c r="BL901" s="12"/>
      <c r="BM901" s="12"/>
      <c r="BN901" s="33"/>
      <c r="BO901" s="33"/>
      <c r="BP901" s="33"/>
      <c r="BQ901" s="33"/>
      <c r="BR901" s="520"/>
    </row>
    <row r="902" spans="37:70">
      <c r="AK902" s="2482"/>
      <c r="BG902" s="30">
        <v>78.2</v>
      </c>
      <c r="BH902" s="31">
        <v>0.67479999999999996</v>
      </c>
      <c r="BI902" s="32">
        <v>674.6</v>
      </c>
      <c r="BJ902" s="33"/>
      <c r="BK902" s="12"/>
      <c r="BL902" s="12"/>
      <c r="BM902" s="12"/>
      <c r="BN902" s="33"/>
      <c r="BO902" s="33"/>
      <c r="BP902" s="33"/>
      <c r="BQ902" s="33"/>
      <c r="BR902" s="520"/>
    </row>
    <row r="903" spans="37:70">
      <c r="AK903" s="2482"/>
      <c r="BG903" s="30">
        <v>78.3</v>
      </c>
      <c r="BH903" s="31">
        <v>0.67449999999999999</v>
      </c>
      <c r="BI903" s="32">
        <v>674.3</v>
      </c>
      <c r="BJ903" s="33"/>
      <c r="BK903" s="12"/>
      <c r="BL903" s="12"/>
      <c r="BM903" s="12"/>
      <c r="BN903" s="33"/>
      <c r="BO903" s="33"/>
      <c r="BP903" s="33"/>
      <c r="BQ903" s="33"/>
      <c r="BR903" s="520"/>
    </row>
    <row r="904" spans="37:70">
      <c r="AK904" s="2482"/>
      <c r="BG904" s="30">
        <v>78.400000000000006</v>
      </c>
      <c r="BH904" s="31">
        <v>0.67410000000000003</v>
      </c>
      <c r="BI904" s="32">
        <v>674</v>
      </c>
      <c r="BJ904" s="33"/>
      <c r="BK904" s="12"/>
      <c r="BL904" s="12"/>
      <c r="BM904" s="12"/>
      <c r="BN904" s="33"/>
      <c r="BO904" s="33"/>
      <c r="BP904" s="33"/>
      <c r="BQ904" s="33"/>
      <c r="BR904" s="520"/>
    </row>
    <row r="905" spans="37:70">
      <c r="AK905" s="2482"/>
      <c r="BG905" s="30">
        <v>78.5</v>
      </c>
      <c r="BH905" s="31">
        <v>0.67379999999999995</v>
      </c>
      <c r="BI905" s="32">
        <v>673.7</v>
      </c>
      <c r="BJ905" s="33"/>
      <c r="BK905" s="12"/>
      <c r="BL905" s="12"/>
      <c r="BM905" s="12"/>
      <c r="BN905" s="33"/>
      <c r="BO905" s="33"/>
      <c r="BP905" s="33"/>
      <c r="BQ905" s="33"/>
      <c r="BR905" s="520"/>
    </row>
    <row r="906" spans="37:70">
      <c r="AK906" s="2482"/>
      <c r="BG906" s="30">
        <v>78.599999999999994</v>
      </c>
      <c r="BH906" s="31">
        <v>0.67349999999999999</v>
      </c>
      <c r="BI906" s="32">
        <v>673.4</v>
      </c>
      <c r="BJ906" s="33"/>
      <c r="BK906" s="12"/>
      <c r="BL906" s="12"/>
      <c r="BM906" s="12"/>
      <c r="BN906" s="33"/>
      <c r="BO906" s="33"/>
      <c r="BP906" s="33"/>
      <c r="BQ906" s="33"/>
      <c r="BR906" s="520"/>
    </row>
    <row r="907" spans="37:70">
      <c r="AK907" s="2482"/>
      <c r="BG907" s="30">
        <v>78.7</v>
      </c>
      <c r="BH907" s="31">
        <v>0.67320000000000002</v>
      </c>
      <c r="BI907" s="32">
        <v>673</v>
      </c>
      <c r="BJ907" s="33"/>
      <c r="BK907" s="12"/>
      <c r="BL907" s="12"/>
      <c r="BM907" s="12"/>
      <c r="BN907" s="33"/>
      <c r="BO907" s="33"/>
      <c r="BP907" s="33"/>
      <c r="BQ907" s="33"/>
      <c r="BR907" s="520"/>
    </row>
    <row r="908" spans="37:70">
      <c r="AK908" s="2482"/>
      <c r="BG908" s="30">
        <v>78.8</v>
      </c>
      <c r="BH908" s="31">
        <v>0.67279999999999995</v>
      </c>
      <c r="BI908" s="32">
        <v>672.7</v>
      </c>
      <c r="BJ908" s="33"/>
      <c r="BK908" s="12"/>
      <c r="BL908" s="12"/>
      <c r="BM908" s="12"/>
      <c r="BN908" s="33"/>
      <c r="BO908" s="33"/>
      <c r="BP908" s="33"/>
      <c r="BQ908" s="33"/>
      <c r="BR908" s="520"/>
    </row>
    <row r="909" spans="37:70">
      <c r="AK909" s="2482"/>
      <c r="BG909" s="30">
        <v>78.900000000000006</v>
      </c>
      <c r="BH909" s="31">
        <v>0.67249999999999999</v>
      </c>
      <c r="BI909" s="32">
        <v>672.4</v>
      </c>
      <c r="BJ909" s="33"/>
      <c r="BK909" s="12"/>
      <c r="BL909" s="12"/>
      <c r="BM909" s="12"/>
      <c r="BN909" s="33"/>
      <c r="BO909" s="33"/>
      <c r="BP909" s="33"/>
      <c r="BQ909" s="33"/>
      <c r="BR909" s="520"/>
    </row>
    <row r="910" spans="37:70">
      <c r="AK910" s="2482"/>
      <c r="BG910" s="30">
        <v>79</v>
      </c>
      <c r="BH910" s="31">
        <v>0.67220000000000002</v>
      </c>
      <c r="BI910" s="32">
        <v>672.1</v>
      </c>
      <c r="BJ910" s="33"/>
      <c r="BK910" s="12"/>
      <c r="BL910" s="12"/>
      <c r="BM910" s="12"/>
      <c r="BN910" s="33"/>
      <c r="BO910" s="33"/>
      <c r="BP910" s="33"/>
      <c r="BQ910" s="33"/>
      <c r="BR910" s="520"/>
    </row>
    <row r="911" spans="37:70">
      <c r="AK911" s="2482"/>
      <c r="BG911" s="30">
        <v>79.099999999999994</v>
      </c>
      <c r="BH911" s="31">
        <v>0.67190000000000005</v>
      </c>
      <c r="BI911" s="32">
        <v>671.8</v>
      </c>
      <c r="BJ911" s="33"/>
      <c r="BK911" s="12"/>
      <c r="BL911" s="12"/>
      <c r="BM911" s="12"/>
      <c r="BN911" s="33"/>
      <c r="BO911" s="33"/>
      <c r="BP911" s="33"/>
      <c r="BQ911" s="33"/>
      <c r="BR911" s="520"/>
    </row>
    <row r="912" spans="37:70">
      <c r="AK912" s="2482"/>
      <c r="BG912" s="30">
        <v>79.2</v>
      </c>
      <c r="BH912" s="31">
        <v>0.67159999999999997</v>
      </c>
      <c r="BI912" s="32">
        <v>671.4</v>
      </c>
      <c r="BJ912" s="33"/>
      <c r="BK912" s="12"/>
      <c r="BL912" s="12"/>
      <c r="BM912" s="12"/>
      <c r="BN912" s="33"/>
      <c r="BO912" s="33"/>
      <c r="BP912" s="33"/>
      <c r="BQ912" s="33"/>
      <c r="BR912" s="520"/>
    </row>
    <row r="913" spans="37:70">
      <c r="AK913" s="2482"/>
      <c r="BG913" s="30">
        <v>79.3</v>
      </c>
      <c r="BH913" s="31">
        <v>0.67130000000000001</v>
      </c>
      <c r="BI913" s="32">
        <v>671.1</v>
      </c>
      <c r="BJ913" s="33"/>
      <c r="BK913" s="12"/>
      <c r="BL913" s="12"/>
      <c r="BM913" s="12"/>
      <c r="BN913" s="33"/>
      <c r="BO913" s="33"/>
      <c r="BP913" s="33"/>
      <c r="BQ913" s="33"/>
      <c r="BR913" s="520"/>
    </row>
    <row r="914" spans="37:70">
      <c r="AK914" s="2482"/>
      <c r="BG914" s="30">
        <v>79.400000000000006</v>
      </c>
      <c r="BH914" s="31">
        <v>0.67090000000000005</v>
      </c>
      <c r="BI914" s="32">
        <v>670.8</v>
      </c>
      <c r="BJ914" s="33"/>
      <c r="BK914" s="12"/>
      <c r="BL914" s="12"/>
      <c r="BM914" s="12"/>
      <c r="BN914" s="33"/>
      <c r="BO914" s="33"/>
      <c r="BP914" s="33"/>
      <c r="BQ914" s="33"/>
      <c r="BR914" s="520"/>
    </row>
    <row r="915" spans="37:70">
      <c r="AK915" s="2482"/>
      <c r="BG915" s="30">
        <v>79.5</v>
      </c>
      <c r="BH915" s="31">
        <v>0.67059999999999997</v>
      </c>
      <c r="BI915" s="32">
        <v>670.5</v>
      </c>
      <c r="BJ915" s="33"/>
      <c r="BK915" s="12"/>
      <c r="BL915" s="12"/>
      <c r="BM915" s="12"/>
      <c r="BN915" s="33"/>
      <c r="BO915" s="33"/>
      <c r="BP915" s="33"/>
      <c r="BQ915" s="33"/>
      <c r="BR915" s="520"/>
    </row>
    <row r="916" spans="37:70">
      <c r="AK916" s="2482"/>
      <c r="BG916" s="30">
        <v>79.599999999999994</v>
      </c>
      <c r="BH916" s="31">
        <v>0.67030000000000001</v>
      </c>
      <c r="BI916" s="32">
        <v>670.2</v>
      </c>
      <c r="BJ916" s="33"/>
      <c r="BK916" s="12"/>
      <c r="BL916" s="12"/>
      <c r="BM916" s="12"/>
      <c r="BN916" s="33"/>
      <c r="BO916" s="33"/>
      <c r="BP916" s="33"/>
      <c r="BQ916" s="33"/>
      <c r="BR916" s="520"/>
    </row>
    <row r="917" spans="37:70">
      <c r="AK917" s="2482"/>
      <c r="BG917" s="30">
        <v>79.7</v>
      </c>
      <c r="BH917" s="31">
        <v>0.67</v>
      </c>
      <c r="BI917" s="32">
        <v>669.9</v>
      </c>
      <c r="BJ917" s="33"/>
      <c r="BK917" s="12"/>
      <c r="BL917" s="12"/>
      <c r="BM917" s="12"/>
      <c r="BN917" s="33"/>
      <c r="BO917" s="33"/>
      <c r="BP917" s="33"/>
      <c r="BQ917" s="33"/>
      <c r="BR917" s="520"/>
    </row>
    <row r="918" spans="37:70">
      <c r="AK918" s="2482"/>
      <c r="BG918" s="30">
        <v>79.8</v>
      </c>
      <c r="BH918" s="31">
        <v>0.66969999999999996</v>
      </c>
      <c r="BI918" s="32">
        <v>669.5</v>
      </c>
      <c r="BJ918" s="33"/>
      <c r="BK918" s="12"/>
      <c r="BL918" s="12"/>
      <c r="BM918" s="12"/>
      <c r="BN918" s="33"/>
      <c r="BO918" s="33"/>
      <c r="BP918" s="33"/>
      <c r="BQ918" s="33"/>
      <c r="BR918" s="520"/>
    </row>
    <row r="919" spans="37:70">
      <c r="AK919" s="2482"/>
      <c r="BG919" s="30">
        <v>79.900000000000006</v>
      </c>
      <c r="BH919" s="31">
        <v>0.66930000000000001</v>
      </c>
      <c r="BI919" s="32">
        <v>669.2</v>
      </c>
      <c r="BJ919" s="33"/>
      <c r="BK919" s="12"/>
      <c r="BL919" s="12"/>
      <c r="BM919" s="12"/>
      <c r="BN919" s="33"/>
      <c r="BO919" s="33"/>
      <c r="BP919" s="33"/>
      <c r="BQ919" s="33"/>
      <c r="BR919" s="520"/>
    </row>
    <row r="920" spans="37:70">
      <c r="AK920" s="2482"/>
      <c r="BG920" s="30">
        <v>80</v>
      </c>
      <c r="BH920" s="31">
        <v>0.66900000000000004</v>
      </c>
      <c r="BI920" s="32">
        <v>668.9</v>
      </c>
      <c r="BJ920" s="33"/>
      <c r="BK920" s="12"/>
      <c r="BL920" s="12"/>
      <c r="BM920" s="12"/>
      <c r="BN920" s="33"/>
      <c r="BO920" s="33"/>
      <c r="BP920" s="33"/>
      <c r="BQ920" s="33"/>
      <c r="BR920" s="520"/>
    </row>
    <row r="921" spans="37:70">
      <c r="AK921" s="2482"/>
      <c r="BG921" s="30">
        <v>80.099999999999994</v>
      </c>
      <c r="BH921" s="31">
        <v>0.66869999999999996</v>
      </c>
      <c r="BI921" s="32">
        <v>668.6</v>
      </c>
      <c r="BJ921" s="33"/>
      <c r="BK921" s="12"/>
      <c r="BL921" s="12"/>
      <c r="BM921" s="12"/>
      <c r="BN921" s="33"/>
      <c r="BO921" s="33"/>
      <c r="BP921" s="33"/>
      <c r="BQ921" s="33"/>
      <c r="BR921" s="520"/>
    </row>
    <row r="922" spans="37:70">
      <c r="AK922" s="2482"/>
      <c r="BG922" s="30">
        <v>80.2</v>
      </c>
      <c r="BH922" s="31">
        <v>0.66839999999999999</v>
      </c>
      <c r="BI922" s="32">
        <v>668.3</v>
      </c>
      <c r="BJ922" s="33"/>
      <c r="BK922" s="12"/>
      <c r="BL922" s="12"/>
      <c r="BM922" s="12"/>
      <c r="BN922" s="33"/>
      <c r="BO922" s="33"/>
      <c r="BP922" s="33"/>
      <c r="BQ922" s="33"/>
      <c r="BR922" s="520"/>
    </row>
    <row r="923" spans="37:70">
      <c r="AK923" s="2482"/>
      <c r="BG923" s="30">
        <v>80.3</v>
      </c>
      <c r="BH923" s="31">
        <v>0.66810000000000003</v>
      </c>
      <c r="BI923" s="32">
        <v>668</v>
      </c>
      <c r="BJ923" s="33"/>
      <c r="BK923" s="12"/>
      <c r="BL923" s="12"/>
      <c r="BM923" s="12"/>
      <c r="BN923" s="33"/>
      <c r="BO923" s="33"/>
      <c r="BP923" s="33"/>
      <c r="BQ923" s="33"/>
      <c r="BR923" s="520"/>
    </row>
    <row r="924" spans="37:70">
      <c r="AK924" s="2482"/>
      <c r="BG924" s="30">
        <v>80.400000000000006</v>
      </c>
      <c r="BH924" s="31">
        <v>0.66779999999999995</v>
      </c>
      <c r="BI924" s="32">
        <v>667.6</v>
      </c>
      <c r="BJ924" s="33"/>
      <c r="BK924" s="12"/>
      <c r="BL924" s="12"/>
      <c r="BM924" s="12"/>
      <c r="BN924" s="33"/>
      <c r="BO924" s="33"/>
      <c r="BP924" s="33"/>
      <c r="BQ924" s="33"/>
      <c r="BR924" s="520"/>
    </row>
    <row r="925" spans="37:70">
      <c r="AK925" s="2482"/>
      <c r="BG925" s="30">
        <v>80.5</v>
      </c>
      <c r="BH925" s="31">
        <v>0.66749999999999998</v>
      </c>
      <c r="BI925" s="32">
        <v>667.3</v>
      </c>
      <c r="BJ925" s="33"/>
      <c r="BK925" s="12"/>
      <c r="BL925" s="12"/>
      <c r="BM925" s="12"/>
      <c r="BN925" s="33"/>
      <c r="BO925" s="33"/>
      <c r="BP925" s="33"/>
      <c r="BQ925" s="33"/>
      <c r="BR925" s="520"/>
    </row>
    <row r="926" spans="37:70">
      <c r="AK926" s="2482"/>
      <c r="BG926" s="30">
        <v>80.599999999999994</v>
      </c>
      <c r="BH926" s="31">
        <v>0.66710000000000003</v>
      </c>
      <c r="BI926" s="32">
        <v>667</v>
      </c>
      <c r="BJ926" s="33"/>
      <c r="BK926" s="12"/>
      <c r="BL926" s="12"/>
      <c r="BM926" s="12"/>
      <c r="BN926" s="33"/>
      <c r="BO926" s="33"/>
      <c r="BP926" s="33"/>
      <c r="BQ926" s="33"/>
      <c r="BR926" s="520"/>
    </row>
    <row r="927" spans="37:70">
      <c r="AK927" s="2482"/>
      <c r="BG927" s="30">
        <v>80.7</v>
      </c>
      <c r="BH927" s="31">
        <v>0.66679999999999995</v>
      </c>
      <c r="BI927" s="32">
        <v>666.7</v>
      </c>
      <c r="BJ927" s="33"/>
      <c r="BK927" s="12"/>
      <c r="BL927" s="12"/>
      <c r="BM927" s="12"/>
      <c r="BN927" s="33"/>
      <c r="BO927" s="33"/>
      <c r="BP927" s="33"/>
      <c r="BQ927" s="33"/>
      <c r="BR927" s="520"/>
    </row>
    <row r="928" spans="37:70">
      <c r="AK928" s="2482"/>
      <c r="BG928" s="30">
        <v>80.8</v>
      </c>
      <c r="BH928" s="31">
        <v>0.66649999999999998</v>
      </c>
      <c r="BI928" s="32">
        <v>666.4</v>
      </c>
      <c r="BJ928" s="33"/>
      <c r="BK928" s="12"/>
      <c r="BL928" s="12"/>
      <c r="BM928" s="12"/>
      <c r="BN928" s="33"/>
      <c r="BO928" s="33"/>
      <c r="BP928" s="33"/>
      <c r="BQ928" s="33"/>
      <c r="BR928" s="520"/>
    </row>
    <row r="929" spans="37:70">
      <c r="AK929" s="2482"/>
      <c r="BG929" s="30">
        <v>80.900000000000006</v>
      </c>
      <c r="BH929" s="31">
        <v>0.66620000000000001</v>
      </c>
      <c r="BI929" s="32">
        <v>666.1</v>
      </c>
      <c r="BJ929" s="33"/>
      <c r="BK929" s="12"/>
      <c r="BL929" s="12"/>
      <c r="BM929" s="12"/>
      <c r="BN929" s="33"/>
      <c r="BO929" s="33"/>
      <c r="BP929" s="33"/>
      <c r="BQ929" s="33"/>
      <c r="BR929" s="520"/>
    </row>
    <row r="930" spans="37:70">
      <c r="AK930" s="2482"/>
      <c r="BG930" s="30">
        <v>81</v>
      </c>
      <c r="BH930" s="31">
        <v>0.66590000000000005</v>
      </c>
      <c r="BI930" s="32">
        <v>665.8</v>
      </c>
      <c r="BJ930" s="33"/>
      <c r="BK930" s="12"/>
      <c r="BL930" s="12"/>
      <c r="BM930" s="12"/>
      <c r="BN930" s="33"/>
      <c r="BO930" s="33"/>
      <c r="BP930" s="33"/>
      <c r="BQ930" s="33"/>
      <c r="BR930" s="520"/>
    </row>
    <row r="931" spans="37:70">
      <c r="AK931" s="2482"/>
      <c r="BG931" s="30">
        <v>81.099999999999994</v>
      </c>
      <c r="BH931" s="31">
        <v>0.66559999999999997</v>
      </c>
      <c r="BI931" s="32">
        <v>665.4</v>
      </c>
      <c r="BJ931" s="33"/>
      <c r="BK931" s="12"/>
      <c r="BL931" s="12"/>
      <c r="BM931" s="12"/>
      <c r="BN931" s="33"/>
      <c r="BO931" s="33"/>
      <c r="BP931" s="33"/>
      <c r="BQ931" s="33"/>
      <c r="BR931" s="520"/>
    </row>
    <row r="932" spans="37:70">
      <c r="AK932" s="2482"/>
      <c r="BG932" s="30">
        <v>81.2</v>
      </c>
      <c r="BH932" s="31">
        <v>0.6653</v>
      </c>
      <c r="BI932" s="32">
        <v>665.1</v>
      </c>
      <c r="BJ932" s="33"/>
      <c r="BK932" s="12"/>
      <c r="BL932" s="12"/>
      <c r="BM932" s="12"/>
      <c r="BN932" s="33"/>
      <c r="BO932" s="33"/>
      <c r="BP932" s="33"/>
      <c r="BQ932" s="33"/>
      <c r="BR932" s="520"/>
    </row>
    <row r="933" spans="37:70">
      <c r="AK933" s="2482"/>
      <c r="BG933" s="30">
        <v>81.3</v>
      </c>
      <c r="BH933" s="31">
        <v>0.66490000000000005</v>
      </c>
      <c r="BI933" s="32">
        <v>664.8</v>
      </c>
      <c r="BJ933" s="33"/>
      <c r="BK933" s="12"/>
      <c r="BL933" s="12"/>
      <c r="BM933" s="12"/>
      <c r="BN933" s="33"/>
      <c r="BO933" s="33"/>
      <c r="BP933" s="33"/>
      <c r="BQ933" s="33"/>
      <c r="BR933" s="520"/>
    </row>
    <row r="934" spans="37:70">
      <c r="AK934" s="2482"/>
      <c r="BG934" s="30">
        <v>81.400000000000006</v>
      </c>
      <c r="BH934" s="31">
        <v>0.66459999999999997</v>
      </c>
      <c r="BI934" s="32">
        <v>664.5</v>
      </c>
      <c r="BJ934" s="33"/>
      <c r="BK934" s="12"/>
      <c r="BL934" s="12"/>
      <c r="BM934" s="12"/>
      <c r="BN934" s="33"/>
      <c r="BO934" s="33"/>
      <c r="BP934" s="33"/>
      <c r="BQ934" s="33"/>
      <c r="BR934" s="520"/>
    </row>
    <row r="935" spans="37:70">
      <c r="AK935" s="2482"/>
      <c r="BG935" s="30">
        <v>81.5</v>
      </c>
      <c r="BH935" s="31">
        <v>0.6643</v>
      </c>
      <c r="BI935" s="32">
        <v>664.2</v>
      </c>
      <c r="BJ935" s="33"/>
      <c r="BK935" s="12"/>
      <c r="BL935" s="12"/>
      <c r="BM935" s="12"/>
      <c r="BN935" s="33"/>
      <c r="BO935" s="33"/>
      <c r="BP935" s="33"/>
      <c r="BQ935" s="33"/>
      <c r="BR935" s="520"/>
    </row>
    <row r="936" spans="37:70">
      <c r="AK936" s="2482"/>
      <c r="BG936" s="30">
        <v>81.599999999999994</v>
      </c>
      <c r="BH936" s="31">
        <v>0.66400000000000003</v>
      </c>
      <c r="BI936" s="32">
        <v>663.9</v>
      </c>
      <c r="BJ936" s="33"/>
      <c r="BK936" s="12"/>
      <c r="BL936" s="12"/>
      <c r="BM936" s="12"/>
      <c r="BN936" s="33"/>
      <c r="BO936" s="33"/>
      <c r="BP936" s="33"/>
      <c r="BQ936" s="33"/>
      <c r="BR936" s="520"/>
    </row>
    <row r="937" spans="37:70">
      <c r="AK937" s="2482"/>
      <c r="BG937" s="30">
        <v>81.7</v>
      </c>
      <c r="BH937" s="31">
        <v>0.66369999999999996</v>
      </c>
      <c r="BI937" s="32">
        <v>663.6</v>
      </c>
      <c r="BJ937" s="33"/>
      <c r="BK937" s="12"/>
      <c r="BL937" s="12"/>
      <c r="BM937" s="12"/>
      <c r="BN937" s="33"/>
      <c r="BO937" s="33"/>
      <c r="BP937" s="33"/>
      <c r="BQ937" s="33"/>
      <c r="BR937" s="520"/>
    </row>
    <row r="938" spans="37:70">
      <c r="AK938" s="2482"/>
      <c r="BG938" s="30">
        <v>81.8</v>
      </c>
      <c r="BH938" s="31">
        <v>0.66339999999999999</v>
      </c>
      <c r="BI938" s="32">
        <v>663.3</v>
      </c>
      <c r="BJ938" s="33"/>
      <c r="BK938" s="12"/>
      <c r="BL938" s="12"/>
      <c r="BM938" s="12"/>
      <c r="BN938" s="33"/>
      <c r="BO938" s="33"/>
      <c r="BP938" s="33"/>
      <c r="BQ938" s="33"/>
      <c r="BR938" s="520"/>
    </row>
    <row r="939" spans="37:70">
      <c r="AK939" s="2482"/>
      <c r="BG939" s="30">
        <v>81.900000000000006</v>
      </c>
      <c r="BH939" s="31">
        <v>0.66310000000000002</v>
      </c>
      <c r="BI939" s="32">
        <v>663</v>
      </c>
      <c r="BJ939" s="33"/>
      <c r="BK939" s="12"/>
      <c r="BL939" s="12"/>
      <c r="BM939" s="12"/>
      <c r="BN939" s="33"/>
      <c r="BO939" s="33"/>
      <c r="BP939" s="33"/>
      <c r="BQ939" s="33"/>
      <c r="BR939" s="520"/>
    </row>
    <row r="940" spans="37:70">
      <c r="AK940" s="2482"/>
      <c r="BG940" s="30">
        <v>82</v>
      </c>
      <c r="BH940" s="31">
        <v>0.66279999999999994</v>
      </c>
      <c r="BI940" s="32">
        <v>662.6</v>
      </c>
      <c r="BJ940" s="33"/>
      <c r="BK940" s="12"/>
      <c r="BL940" s="12"/>
      <c r="BM940" s="12"/>
      <c r="BN940" s="33"/>
      <c r="BO940" s="33"/>
      <c r="BP940" s="33"/>
      <c r="BQ940" s="33"/>
      <c r="BR940" s="520"/>
    </row>
    <row r="941" spans="37:70">
      <c r="AK941" s="2482"/>
      <c r="BG941" s="30">
        <v>82.1</v>
      </c>
      <c r="BH941" s="31">
        <v>0.66249999999999998</v>
      </c>
      <c r="BI941" s="32">
        <v>662.3</v>
      </c>
      <c r="BJ941" s="33"/>
      <c r="BK941" s="12"/>
      <c r="BL941" s="12"/>
      <c r="BM941" s="12"/>
      <c r="BN941" s="33"/>
      <c r="BO941" s="33"/>
      <c r="BP941" s="33"/>
      <c r="BQ941" s="33"/>
      <c r="BR941" s="520"/>
    </row>
    <row r="942" spans="37:70">
      <c r="AK942" s="2482"/>
      <c r="BG942" s="30">
        <v>82.2</v>
      </c>
      <c r="BH942" s="31">
        <v>0.66210000000000002</v>
      </c>
      <c r="BI942" s="32">
        <v>662</v>
      </c>
      <c r="BJ942" s="33"/>
      <c r="BK942" s="12"/>
      <c r="BL942" s="12"/>
      <c r="BM942" s="12"/>
      <c r="BN942" s="33"/>
      <c r="BO942" s="33"/>
      <c r="BP942" s="33"/>
      <c r="BQ942" s="33"/>
      <c r="BR942" s="520"/>
    </row>
    <row r="943" spans="37:70">
      <c r="AK943" s="2482"/>
      <c r="BG943" s="30">
        <v>82.3</v>
      </c>
      <c r="BH943" s="31">
        <v>0.66180000000000005</v>
      </c>
      <c r="BI943" s="32">
        <v>661.7</v>
      </c>
      <c r="BJ943" s="33"/>
      <c r="BK943" s="12"/>
      <c r="BL943" s="12"/>
      <c r="BM943" s="12"/>
      <c r="BN943" s="33"/>
      <c r="BO943" s="33"/>
      <c r="BP943" s="33"/>
      <c r="BQ943" s="33"/>
      <c r="BR943" s="520"/>
    </row>
    <row r="944" spans="37:70">
      <c r="AK944" s="2482"/>
      <c r="BG944" s="30">
        <v>82.4</v>
      </c>
      <c r="BH944" s="31">
        <v>0.66149999999999998</v>
      </c>
      <c r="BI944" s="32">
        <v>661.4</v>
      </c>
      <c r="BJ944" s="33"/>
      <c r="BK944" s="12"/>
      <c r="BL944" s="12"/>
      <c r="BM944" s="12"/>
      <c r="BN944" s="33"/>
      <c r="BO944" s="33"/>
      <c r="BP944" s="33"/>
      <c r="BQ944" s="33"/>
      <c r="BR944" s="520"/>
    </row>
    <row r="945" spans="37:70">
      <c r="AK945" s="2482"/>
      <c r="BG945" s="30">
        <v>82.5</v>
      </c>
      <c r="BH945" s="31">
        <v>0.66120000000000001</v>
      </c>
      <c r="BI945" s="32">
        <v>661.1</v>
      </c>
      <c r="BJ945" s="33"/>
      <c r="BK945" s="12"/>
      <c r="BL945" s="12"/>
      <c r="BM945" s="12"/>
      <c r="BN945" s="33"/>
      <c r="BO945" s="33"/>
      <c r="BP945" s="33"/>
      <c r="BQ945" s="33"/>
      <c r="BR945" s="520"/>
    </row>
    <row r="946" spans="37:70">
      <c r="AK946" s="2482"/>
      <c r="BG946" s="30">
        <v>82.6</v>
      </c>
      <c r="BH946" s="31">
        <v>0.66090000000000004</v>
      </c>
      <c r="BI946" s="32">
        <v>660.8</v>
      </c>
      <c r="BJ946" s="33"/>
      <c r="BK946" s="12"/>
      <c r="BL946" s="12"/>
      <c r="BM946" s="12"/>
      <c r="BN946" s="33"/>
      <c r="BO946" s="33"/>
      <c r="BP946" s="33"/>
      <c r="BQ946" s="33"/>
      <c r="BR946" s="520"/>
    </row>
    <row r="947" spans="37:70">
      <c r="AK947" s="2482"/>
      <c r="BG947" s="30">
        <v>82.7</v>
      </c>
      <c r="BH947" s="31">
        <v>0.66059999999999997</v>
      </c>
      <c r="BI947" s="32">
        <v>660.5</v>
      </c>
      <c r="BJ947" s="33"/>
      <c r="BK947" s="12"/>
      <c r="BL947" s="12"/>
      <c r="BM947" s="12"/>
      <c r="BN947" s="33"/>
      <c r="BO947" s="33"/>
      <c r="BP947" s="33"/>
      <c r="BQ947" s="33"/>
      <c r="BR947" s="520"/>
    </row>
    <row r="948" spans="37:70">
      <c r="AK948" s="2482"/>
      <c r="BG948" s="30">
        <v>82.8</v>
      </c>
      <c r="BH948" s="31">
        <v>0.6603</v>
      </c>
      <c r="BI948" s="32">
        <v>660.2</v>
      </c>
      <c r="BJ948" s="33"/>
      <c r="BK948" s="12"/>
      <c r="BL948" s="12"/>
      <c r="BM948" s="12"/>
      <c r="BN948" s="33"/>
      <c r="BO948" s="33"/>
      <c r="BP948" s="33"/>
      <c r="BQ948" s="33"/>
      <c r="BR948" s="520"/>
    </row>
    <row r="949" spans="37:70">
      <c r="AK949" s="2482"/>
      <c r="BG949" s="30">
        <v>82.9</v>
      </c>
      <c r="BH949" s="31">
        <v>0.66</v>
      </c>
      <c r="BI949" s="32">
        <v>659.9</v>
      </c>
      <c r="BJ949" s="33"/>
      <c r="BK949" s="12"/>
      <c r="BL949" s="12"/>
      <c r="BM949" s="12"/>
      <c r="BN949" s="33"/>
      <c r="BO949" s="33"/>
      <c r="BP949" s="33"/>
      <c r="BQ949" s="33"/>
      <c r="BR949" s="520"/>
    </row>
    <row r="950" spans="37:70">
      <c r="AK950" s="2482"/>
      <c r="BG950" s="30">
        <v>83</v>
      </c>
      <c r="BH950" s="31">
        <v>0.65969999999999995</v>
      </c>
      <c r="BI950" s="32">
        <v>659.6</v>
      </c>
      <c r="BJ950" s="33"/>
      <c r="BK950" s="12"/>
      <c r="BL950" s="12"/>
      <c r="BM950" s="12"/>
      <c r="BN950" s="33"/>
      <c r="BO950" s="33"/>
      <c r="BP950" s="33"/>
      <c r="BQ950" s="33"/>
      <c r="BR950" s="520"/>
    </row>
    <row r="951" spans="37:70">
      <c r="AK951" s="2482"/>
      <c r="BG951" s="30">
        <v>83.1</v>
      </c>
      <c r="BH951" s="31">
        <v>0.65939999999999999</v>
      </c>
      <c r="BI951" s="32">
        <v>659.3</v>
      </c>
      <c r="BJ951" s="33"/>
      <c r="BK951" s="12"/>
      <c r="BL951" s="12"/>
      <c r="BM951" s="12"/>
      <c r="BN951" s="33"/>
      <c r="BO951" s="33"/>
      <c r="BP951" s="33"/>
      <c r="BQ951" s="33"/>
      <c r="BR951" s="520"/>
    </row>
    <row r="952" spans="37:70">
      <c r="AK952" s="2482"/>
      <c r="BG952" s="30">
        <v>83.2</v>
      </c>
      <c r="BH952" s="31">
        <v>0.65910000000000002</v>
      </c>
      <c r="BI952" s="32">
        <v>658.9</v>
      </c>
      <c r="BJ952" s="33"/>
      <c r="BK952" s="12"/>
      <c r="BL952" s="12"/>
      <c r="BM952" s="12"/>
      <c r="BN952" s="33"/>
      <c r="BO952" s="33"/>
      <c r="BP952" s="33"/>
      <c r="BQ952" s="33"/>
      <c r="BR952" s="520"/>
    </row>
    <row r="953" spans="37:70">
      <c r="AK953" s="2482"/>
      <c r="BG953" s="30">
        <v>83.3</v>
      </c>
      <c r="BH953" s="31">
        <v>0.65880000000000005</v>
      </c>
      <c r="BI953" s="32">
        <v>658.6</v>
      </c>
      <c r="BJ953" s="33"/>
      <c r="BK953" s="12"/>
      <c r="BL953" s="12"/>
      <c r="BM953" s="12"/>
      <c r="BN953" s="33"/>
      <c r="BO953" s="33"/>
      <c r="BP953" s="33"/>
      <c r="BQ953" s="33"/>
      <c r="BR953" s="520"/>
    </row>
    <row r="954" spans="37:70">
      <c r="AK954" s="2482"/>
      <c r="BG954" s="30">
        <v>83.4</v>
      </c>
      <c r="BH954" s="31">
        <v>0.65839999999999999</v>
      </c>
      <c r="BI954" s="32">
        <v>658.3</v>
      </c>
      <c r="BJ954" s="33"/>
      <c r="BK954" s="12"/>
      <c r="BL954" s="12"/>
      <c r="BM954" s="12"/>
      <c r="BN954" s="33"/>
      <c r="BO954" s="33"/>
      <c r="BP954" s="33"/>
      <c r="BQ954" s="33"/>
      <c r="BR954" s="520"/>
    </row>
    <row r="955" spans="37:70">
      <c r="AK955" s="2482"/>
      <c r="BG955" s="30">
        <v>83.5</v>
      </c>
      <c r="BH955" s="31">
        <v>0.65810000000000002</v>
      </c>
      <c r="BI955" s="32">
        <v>658</v>
      </c>
      <c r="BJ955" s="33"/>
      <c r="BK955" s="12"/>
      <c r="BL955" s="12"/>
      <c r="BM955" s="12"/>
      <c r="BN955" s="33"/>
      <c r="BO955" s="33"/>
      <c r="BP955" s="33"/>
      <c r="BQ955" s="33"/>
      <c r="BR955" s="520"/>
    </row>
    <row r="956" spans="37:70">
      <c r="AK956" s="2482"/>
      <c r="BG956" s="30">
        <v>83.6</v>
      </c>
      <c r="BH956" s="31">
        <v>0.65780000000000005</v>
      </c>
      <c r="BI956" s="32">
        <v>657.7</v>
      </c>
      <c r="BJ956" s="33"/>
      <c r="BK956" s="12"/>
      <c r="BL956" s="12"/>
      <c r="BM956" s="12"/>
      <c r="BN956" s="33"/>
      <c r="BO956" s="33"/>
      <c r="BP956" s="33"/>
      <c r="BQ956" s="33"/>
      <c r="BR956" s="520"/>
    </row>
    <row r="957" spans="37:70">
      <c r="AK957" s="2482"/>
      <c r="BG957" s="30">
        <v>83.7</v>
      </c>
      <c r="BH957" s="31">
        <v>0.65749999999999997</v>
      </c>
      <c r="BI957" s="32">
        <v>657.4</v>
      </c>
      <c r="BJ957" s="33"/>
      <c r="BK957" s="12"/>
      <c r="BL957" s="12"/>
      <c r="BM957" s="12"/>
      <c r="BN957" s="33"/>
      <c r="BO957" s="33"/>
      <c r="BP957" s="33"/>
      <c r="BQ957" s="33"/>
      <c r="BR957" s="520"/>
    </row>
    <row r="958" spans="37:70">
      <c r="AK958" s="2482"/>
      <c r="BG958" s="30">
        <v>83.8</v>
      </c>
      <c r="BH958" s="31">
        <v>0.65720000000000001</v>
      </c>
      <c r="BI958" s="32">
        <v>657.1</v>
      </c>
      <c r="BJ958" s="33"/>
      <c r="BK958" s="12"/>
      <c r="BL958" s="12"/>
      <c r="BM958" s="12"/>
      <c r="BN958" s="33"/>
      <c r="BO958" s="33"/>
      <c r="BP958" s="33"/>
      <c r="BQ958" s="33"/>
      <c r="BR958" s="520"/>
    </row>
    <row r="959" spans="37:70">
      <c r="AK959" s="2482"/>
      <c r="BG959" s="30">
        <v>83.9</v>
      </c>
      <c r="BH959" s="31">
        <v>0.65690000000000004</v>
      </c>
      <c r="BI959" s="32">
        <v>656.8</v>
      </c>
      <c r="BJ959" s="33"/>
      <c r="BK959" s="12"/>
      <c r="BL959" s="12"/>
      <c r="BM959" s="12"/>
      <c r="BN959" s="33"/>
      <c r="BO959" s="33"/>
      <c r="BP959" s="33"/>
      <c r="BQ959" s="33"/>
      <c r="BR959" s="520"/>
    </row>
    <row r="960" spans="37:70">
      <c r="AK960" s="2482"/>
      <c r="BG960" s="30">
        <v>84</v>
      </c>
      <c r="BH960" s="31">
        <v>0.65659999999999996</v>
      </c>
      <c r="BI960" s="32">
        <v>656.5</v>
      </c>
      <c r="BJ960" s="33"/>
      <c r="BK960" s="12"/>
      <c r="BL960" s="12"/>
      <c r="BM960" s="12"/>
      <c r="BN960" s="33"/>
      <c r="BO960" s="33"/>
      <c r="BP960" s="33"/>
      <c r="BQ960" s="33"/>
      <c r="BR960" s="520"/>
    </row>
    <row r="961" spans="37:70">
      <c r="AK961" s="2482"/>
      <c r="BG961" s="30">
        <v>84.1</v>
      </c>
      <c r="BH961" s="31">
        <v>0.65629999999999999</v>
      </c>
      <c r="BI961" s="32">
        <v>656.2</v>
      </c>
      <c r="BJ961" s="33"/>
      <c r="BK961" s="12"/>
      <c r="BL961" s="12"/>
      <c r="BM961" s="12"/>
      <c r="BN961" s="33"/>
      <c r="BO961" s="33"/>
      <c r="BP961" s="33"/>
      <c r="BQ961" s="33"/>
      <c r="BR961" s="520"/>
    </row>
    <row r="962" spans="37:70">
      <c r="AK962" s="2482"/>
      <c r="BG962" s="30">
        <v>84.2</v>
      </c>
      <c r="BH962" s="31">
        <v>0.65600000000000003</v>
      </c>
      <c r="BI962" s="32">
        <v>655.9</v>
      </c>
      <c r="BJ962" s="33"/>
      <c r="BK962" s="12"/>
      <c r="BL962" s="12"/>
      <c r="BM962" s="12"/>
      <c r="BN962" s="33"/>
      <c r="BO962" s="33"/>
      <c r="BP962" s="33"/>
      <c r="BQ962" s="33"/>
      <c r="BR962" s="520"/>
    </row>
    <row r="963" spans="37:70">
      <c r="AK963" s="2482"/>
      <c r="BG963" s="30">
        <v>84.3</v>
      </c>
      <c r="BH963" s="31">
        <v>0.65569999999999995</v>
      </c>
      <c r="BI963" s="32">
        <v>655.6</v>
      </c>
      <c r="BJ963" s="33"/>
      <c r="BK963" s="12"/>
      <c r="BL963" s="12"/>
      <c r="BM963" s="12"/>
      <c r="BN963" s="33"/>
      <c r="BO963" s="33"/>
      <c r="BP963" s="33"/>
      <c r="BQ963" s="33"/>
      <c r="BR963" s="520"/>
    </row>
    <row r="964" spans="37:70">
      <c r="AK964" s="2482"/>
      <c r="BG964" s="30">
        <v>84.4</v>
      </c>
      <c r="BH964" s="31">
        <v>0.65539999999999998</v>
      </c>
      <c r="BI964" s="32">
        <v>655.29999999999995</v>
      </c>
      <c r="BJ964" s="33"/>
      <c r="BK964" s="12"/>
      <c r="BL964" s="12"/>
      <c r="BM964" s="12"/>
      <c r="BN964" s="33"/>
      <c r="BO964" s="33"/>
      <c r="BP964" s="33"/>
      <c r="BQ964" s="33"/>
      <c r="BR964" s="520"/>
    </row>
    <row r="965" spans="37:70">
      <c r="AK965" s="2482"/>
      <c r="BG965" s="30">
        <v>84.5</v>
      </c>
      <c r="BH965" s="31">
        <v>0.65510000000000002</v>
      </c>
      <c r="BI965" s="32">
        <v>655</v>
      </c>
      <c r="BJ965" s="33"/>
      <c r="BK965" s="12"/>
      <c r="BL965" s="12"/>
      <c r="BM965" s="12"/>
      <c r="BN965" s="33"/>
      <c r="BO965" s="33"/>
      <c r="BP965" s="33"/>
      <c r="BQ965" s="33"/>
      <c r="BR965" s="520"/>
    </row>
    <row r="966" spans="37:70">
      <c r="AK966" s="2482"/>
      <c r="BG966" s="30">
        <v>84.6</v>
      </c>
      <c r="BH966" s="31">
        <v>0.65480000000000005</v>
      </c>
      <c r="BI966" s="32">
        <v>654.70000000000005</v>
      </c>
      <c r="BJ966" s="33"/>
      <c r="BK966" s="12"/>
      <c r="BL966" s="12"/>
      <c r="BM966" s="12"/>
      <c r="BN966" s="33"/>
      <c r="BO966" s="33"/>
      <c r="BP966" s="33"/>
      <c r="BQ966" s="33"/>
      <c r="BR966" s="520"/>
    </row>
    <row r="967" spans="37:70">
      <c r="AK967" s="2482"/>
      <c r="BG967" s="30">
        <v>84.7</v>
      </c>
      <c r="BH967" s="31">
        <v>0.65449999999999997</v>
      </c>
      <c r="BI967" s="32">
        <v>654.4</v>
      </c>
      <c r="BJ967" s="33"/>
      <c r="BK967" s="12"/>
      <c r="BL967" s="12"/>
      <c r="BM967" s="12"/>
      <c r="BN967" s="33"/>
      <c r="BO967" s="33"/>
      <c r="BP967" s="33"/>
      <c r="BQ967" s="33"/>
      <c r="BR967" s="520"/>
    </row>
    <row r="968" spans="37:70">
      <c r="AK968" s="2482"/>
      <c r="BG968" s="30">
        <v>84.8</v>
      </c>
      <c r="BH968" s="31">
        <v>0.6542</v>
      </c>
      <c r="BI968" s="32">
        <v>654.1</v>
      </c>
      <c r="BJ968" s="33"/>
      <c r="BK968" s="12"/>
      <c r="BL968" s="12"/>
      <c r="BM968" s="12"/>
      <c r="BN968" s="33"/>
      <c r="BO968" s="33"/>
      <c r="BP968" s="33"/>
      <c r="BQ968" s="33"/>
      <c r="BR968" s="520"/>
    </row>
    <row r="969" spans="37:70">
      <c r="AK969" s="2482"/>
      <c r="BG969" s="30">
        <v>84.9</v>
      </c>
      <c r="BH969" s="31">
        <v>0.65390000000000004</v>
      </c>
      <c r="BI969" s="32">
        <v>653.79999999999995</v>
      </c>
      <c r="BJ969" s="33"/>
      <c r="BK969" s="12"/>
      <c r="BL969" s="12"/>
      <c r="BM969" s="12"/>
      <c r="BN969" s="33"/>
      <c r="BO969" s="33"/>
      <c r="BP969" s="33"/>
      <c r="BQ969" s="33"/>
      <c r="BR969" s="520"/>
    </row>
    <row r="970" spans="37:70">
      <c r="AK970" s="2482"/>
      <c r="BG970" s="1728">
        <v>85</v>
      </c>
      <c r="BH970" s="52">
        <v>0.65359999999999996</v>
      </c>
      <c r="BI970" s="1729">
        <v>653.5</v>
      </c>
      <c r="BJ970" s="33"/>
      <c r="BK970" s="12"/>
      <c r="BL970" s="12"/>
      <c r="BM970" s="12"/>
      <c r="BN970" s="33"/>
      <c r="BO970" s="33"/>
      <c r="BP970" s="33"/>
      <c r="BQ970" s="33"/>
      <c r="BR970" s="520"/>
    </row>
    <row r="971" spans="37:70">
      <c r="AK971" s="2483"/>
      <c r="AL971" s="538"/>
      <c r="AM971" s="538"/>
      <c r="AN971" s="538"/>
      <c r="AO971" s="538"/>
      <c r="AP971" s="538"/>
      <c r="AQ971" s="538"/>
      <c r="AR971" s="538"/>
      <c r="AS971" s="538"/>
      <c r="AT971" s="538"/>
      <c r="AU971" s="538"/>
      <c r="AV971" s="538"/>
      <c r="AW971" s="538"/>
      <c r="AX971" s="538"/>
      <c r="AY971" s="538"/>
      <c r="AZ971" s="538"/>
      <c r="BA971" s="538"/>
      <c r="BB971" s="538"/>
      <c r="BC971" s="538"/>
      <c r="BD971" s="538"/>
      <c r="BE971" s="538"/>
      <c r="BF971" s="538"/>
      <c r="BG971" s="2590"/>
      <c r="BH971" s="2590"/>
      <c r="BI971" s="2590"/>
      <c r="BJ971" s="2590"/>
      <c r="BK971" s="2590"/>
      <c r="BL971" s="2590"/>
      <c r="BM971" s="2590"/>
      <c r="BN971" s="2590"/>
      <c r="BO971" s="2590"/>
      <c r="BP971" s="2590"/>
      <c r="BQ971" s="2590"/>
      <c r="BR971" s="537"/>
    </row>
    <row r="972" spans="37:70">
      <c r="BG972" s="33"/>
      <c r="BH972" s="33"/>
      <c r="BI972" s="33"/>
      <c r="BJ972" s="33"/>
      <c r="BK972" s="33"/>
      <c r="BL972" s="33"/>
      <c r="BM972" s="33"/>
      <c r="BN972" s="33"/>
      <c r="BO972" s="33"/>
      <c r="BP972" s="33"/>
      <c r="BQ972" s="33"/>
    </row>
  </sheetData>
  <mergeCells count="22">
    <mergeCell ref="AQ120:AR120"/>
    <mergeCell ref="AS120:AV120"/>
    <mergeCell ref="AX120:BB120"/>
    <mergeCell ref="B2:B3"/>
    <mergeCell ref="AQ115:AR115"/>
    <mergeCell ref="AS115:AV115"/>
    <mergeCell ref="AH102:AI103"/>
    <mergeCell ref="AC113:AI113"/>
    <mergeCell ref="AC102:AF103"/>
    <mergeCell ref="AX127:AX128"/>
    <mergeCell ref="AY127:AY128"/>
    <mergeCell ref="AX132:AX133"/>
    <mergeCell ref="AY132:AY133"/>
    <mergeCell ref="AX115:BB115"/>
    <mergeCell ref="BD115:BD116"/>
    <mergeCell ref="BE115:BE116"/>
    <mergeCell ref="BD120:BD121"/>
    <mergeCell ref="BE120:BE121"/>
    <mergeCell ref="AX103:AX104"/>
    <mergeCell ref="AY103:AY104"/>
    <mergeCell ref="AX108:AX109"/>
    <mergeCell ref="AY108:AY109"/>
  </mergeCells>
  <conditionalFormatting sqref="G11">
    <cfRule type="expression" dxfId="109" priority="1">
      <formula>G11=#REF!</formula>
    </cfRule>
  </conditionalFormatting>
  <conditionalFormatting sqref="H11:H14">
    <cfRule type="expression" dxfId="108" priority="2">
      <formula>H11=#REF!</formula>
    </cfRule>
  </conditionalFormatting>
  <conditionalFormatting sqref="AE114">
    <cfRule type="expression" dxfId="107" priority="5">
      <formula>AE114=#REF!</formula>
    </cfRule>
  </conditionalFormatting>
  <conditionalFormatting sqref="AF114:AF116">
    <cfRule type="expression" dxfId="106" priority="6">
      <formula>AF114=#REF!</formula>
    </cfRule>
  </conditionalFormatting>
  <hyperlinks>
    <hyperlink ref="B2:B3" location="Home!A1" display="HOME" xr:uid="{7A744443-40A9-4C3B-9E2A-F926D9AD5EEE}"/>
    <hyperlink ref="G21" location="'ASTM Calculator Volume T.E.(2)'!AS130" display="Go to Calc" xr:uid="{975AE532-17B1-4592-B27F-DBE2BABF9681}"/>
    <hyperlink ref="AC100" location="'ASTM Calculator Volume T.E.(2)'!A1" display="Go to Up" xr:uid="{B23B451F-C80F-4189-85F7-DC65A3B6B81A}"/>
    <hyperlink ref="B5" location="'Documents Manager'!A1" display="DOCUMENTS MANAGER" xr:uid="{CF9BAC7E-88DC-49F2-8934-26916966E918}"/>
    <hyperlink ref="B25" location="Disclaimer!A1" display="Disclaimer" xr:uid="{4DAA89A6-ABA4-4622-9828-E987E5CB4BB3}"/>
    <hyperlink ref="B24" location="Help!A1" display="Help" xr:uid="{F6DFC6D2-918C-4E16-880D-98FBA0954C0A}"/>
    <hyperlink ref="B22" location="'Source - Links'!A1" display="SOURCE / LINKS" xr:uid="{CDD9EDA5-AF85-4735-BDD6-82A1AA372888}"/>
    <hyperlink ref="B9" location="'ASTM Calculator V.W.'!A1" display="• Calculator - Volume &amp; Weght" xr:uid="{7BB69A97-7EA5-48E5-849B-6C590CD5C9C4}"/>
    <hyperlink ref="B17" location="'ASTM Calc BL Outturn Compare'!A1" display="• BL Figures &amp; Outturn Compare" xr:uid="{E2A1544C-28D9-4916-9490-DA5D9E5EC055}"/>
    <hyperlink ref="B8" location="'ASTM Calculator V.W.'!A1" display="ASTM - CALCULATORS" xr:uid="{BE696670-D994-4A6C-B3E7-08B3B6438C62}"/>
    <hyperlink ref="B6" location="'ASTM Vol. XI - Tab.1'!A1" display="ASTM TABLES" xr:uid="{1B881779-EF4C-4891-ACA2-D424B9E1AE79}"/>
    <hyperlink ref="B7" location="'ASTM Converter (Tab.1)'!A1" display="ASTM - CONVERTERS" xr:uid="{F636478B-2828-4FC4-B834-D431FA03981D}"/>
    <hyperlink ref="B13" location="'ASTM CP min CARGO Check'!A1" display="• Calculator - C/P min CARGO Check" xr:uid="{4A79B7D4-61FA-47C2-889A-1909AA4B45B0}"/>
    <hyperlink ref="B18" location="'Initial&amp;Max. Loading Rate'!A1" display="CARGO - CALCULATORS" xr:uid="{998959A4-9A5F-4D60-B169-4EE5B54EB679}"/>
    <hyperlink ref="B14" location="'ASTM Calculator Blended Cargo'!A1" display="• Calculator - Blended Cargo" xr:uid="{F18FA15F-2C38-4B56-B39B-4A93756FAA1D}"/>
    <hyperlink ref="B15" location="'ASTM Blended Cargo Prediction'!A1" display="• Calculator - Blended Cargo Prediction" xr:uid="{6A3F8217-8C11-4767-9DE9-BF582B8933D9}"/>
    <hyperlink ref="B16" location="'ASTM Shore Line Displacement'!A1" display="• Calculator - Shore Line Displacement" xr:uid="{330EC585-E84D-4090-A228-3D6F14ABCD98}"/>
    <hyperlink ref="B10" location="'ASTM Calculator Volume T.E.(1)'!A1" display="• Calculator - Volume (Therm. expansion) " xr:uid="{8F5DFAD5-2226-4E63-B05B-A7E588CBEFCF}"/>
    <hyperlink ref="B12" location="'ASTM Calculator Volume T.E.(3)'!A1" display="• Calculator - Volume (Therm. expan. 3) " xr:uid="{976481A2-6DCD-4CC7-846A-354CAD79839D}"/>
    <hyperlink ref="B11" location="'ASTM Calculator Volume T.E.(2)'!A1" display="• Calculator - Volume (Therm. expan. 2) " xr:uid="{21B99321-8F78-464C-AD5F-5143B3B5CAB6}"/>
    <hyperlink ref="AK100" location="'ASTM Calculator Volume T.E.(2)'!A1" display="Go to Up" xr:uid="{DCE23D21-8B86-4C89-96AB-7A13B9CE0636}"/>
    <hyperlink ref="AW100" location="'ASTM Calculator Volume T.E.(2)'!A1" display="Go to Up" xr:uid="{6B0C4F03-3D0D-48E3-808A-065DA0985A82}"/>
    <hyperlink ref="BG100" location="'ASTM Calculator Volume T.E.(2)'!A1" display="Go to Up" xr:uid="{CAFAC2A8-84CF-498C-A37D-DCB92A09D264}"/>
    <hyperlink ref="BQ100" location="'ASTM Calculator Volume T.E.(2)'!A1" display="Go to Up" xr:uid="{D6EE9C53-F4C9-4B3E-8BE2-D0F24F247F61}"/>
    <hyperlink ref="B20" location="'Guidelines - Definitions'!A1" display="GUIDELINES" xr:uid="{A168AB48-98E2-49F0-B16E-F2B54E5453E4}"/>
    <hyperlink ref="B21" location="'Guidelines - Bottom Lines'!A1" display="GUIDELINES - CARGO" xr:uid="{E6BC1B34-0F62-47C4-832D-4950DE345F32}"/>
  </hyperlinks>
  <pageMargins left="0.75" right="0.75" top="1" bottom="1" header="0.5" footer="0.5"/>
  <pageSetup paperSize="9"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63841" r:id="rId4" name="Option Button 1">
              <controlPr defaultSize="0" autoFill="0" autoLine="0" autoPict="0">
                <anchor moveWithCells="1">
                  <from>
                    <xdr:col>6</xdr:col>
                    <xdr:colOff>9525</xdr:colOff>
                    <xdr:row>3</xdr:row>
                    <xdr:rowOff>123825</xdr:rowOff>
                  </from>
                  <to>
                    <xdr:col>7</xdr:col>
                    <xdr:colOff>466725</xdr:colOff>
                    <xdr:row>4</xdr:row>
                    <xdr:rowOff>66675</xdr:rowOff>
                  </to>
                </anchor>
              </controlPr>
            </control>
          </mc:Choice>
        </mc:AlternateContent>
        <mc:AlternateContent xmlns:mc="http://schemas.openxmlformats.org/markup-compatibility/2006">
          <mc:Choice Requires="x14">
            <control shapeId="163842" r:id="rId5" name="Option Button 2">
              <controlPr defaultSize="0" autoFill="0" autoLine="0" autoPict="0">
                <anchor moveWithCells="1">
                  <from>
                    <xdr:col>6</xdr:col>
                    <xdr:colOff>9525</xdr:colOff>
                    <xdr:row>4</xdr:row>
                    <xdr:rowOff>76200</xdr:rowOff>
                  </from>
                  <to>
                    <xdr:col>7</xdr:col>
                    <xdr:colOff>685800</xdr:colOff>
                    <xdr:row>5</xdr:row>
                    <xdr:rowOff>28575</xdr:rowOff>
                  </to>
                </anchor>
              </controlPr>
            </control>
          </mc:Choice>
        </mc:AlternateContent>
        <mc:AlternateContent xmlns:mc="http://schemas.openxmlformats.org/markup-compatibility/2006">
          <mc:Choice Requires="x14">
            <control shapeId="163844" r:id="rId6" name="Option Button 4">
              <controlPr defaultSize="0" autoFill="0" autoLine="0" autoPict="0">
                <anchor moveWithCells="1">
                  <from>
                    <xdr:col>6</xdr:col>
                    <xdr:colOff>9525</xdr:colOff>
                    <xdr:row>5</xdr:row>
                    <xdr:rowOff>38100</xdr:rowOff>
                  </from>
                  <to>
                    <xdr:col>7</xdr:col>
                    <xdr:colOff>685800</xdr:colOff>
                    <xdr:row>5</xdr:row>
                    <xdr:rowOff>257175</xdr:rowOff>
                  </to>
                </anchor>
              </controlPr>
            </control>
          </mc:Choice>
        </mc:AlternateContent>
        <mc:AlternateContent xmlns:mc="http://schemas.openxmlformats.org/markup-compatibility/2006">
          <mc:Choice Requires="x14">
            <control shapeId="163845" r:id="rId7" name="Option Button 5">
              <controlPr defaultSize="0" autoFill="0" autoLine="0" autoPict="0">
                <anchor moveWithCells="1">
                  <from>
                    <xdr:col>6</xdr:col>
                    <xdr:colOff>9525</xdr:colOff>
                    <xdr:row>6</xdr:row>
                    <xdr:rowOff>0</xdr:rowOff>
                  </from>
                  <to>
                    <xdr:col>7</xdr:col>
                    <xdr:colOff>685800</xdr:colOff>
                    <xdr:row>6</xdr:row>
                    <xdr:rowOff>219075</xdr:rowOff>
                  </to>
                </anchor>
              </controlPr>
            </control>
          </mc:Choice>
        </mc:AlternateContent>
        <mc:AlternateContent xmlns:mc="http://schemas.openxmlformats.org/markup-compatibility/2006">
          <mc:Choice Requires="x14">
            <control shapeId="163846" r:id="rId8" name="Option Button 6">
              <controlPr defaultSize="0" autoFill="0" autoLine="0" autoPict="0">
                <anchor moveWithCells="1">
                  <from>
                    <xdr:col>6</xdr:col>
                    <xdr:colOff>9525</xdr:colOff>
                    <xdr:row>6</xdr:row>
                    <xdr:rowOff>228600</xdr:rowOff>
                  </from>
                  <to>
                    <xdr:col>7</xdr:col>
                    <xdr:colOff>685800</xdr:colOff>
                    <xdr:row>7</xdr:row>
                    <xdr:rowOff>180975</xdr:rowOff>
                  </to>
                </anchor>
              </controlPr>
            </control>
          </mc:Choice>
        </mc:AlternateContent>
        <mc:AlternateContent xmlns:mc="http://schemas.openxmlformats.org/markup-compatibility/2006">
          <mc:Choice Requires="x14">
            <control shapeId="163847" r:id="rId9" name="Option Button 7">
              <controlPr defaultSize="0" autoFill="0" autoLine="0" autoPict="0">
                <anchor moveWithCells="1">
                  <from>
                    <xdr:col>6</xdr:col>
                    <xdr:colOff>9525</xdr:colOff>
                    <xdr:row>7</xdr:row>
                    <xdr:rowOff>190500</xdr:rowOff>
                  </from>
                  <to>
                    <xdr:col>7</xdr:col>
                    <xdr:colOff>685800</xdr:colOff>
                    <xdr:row>8</xdr:row>
                    <xdr:rowOff>142875</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7332-59CA-4D6A-99CC-64C529D9E8F3}">
  <sheetPr>
    <tabColor rgb="FF008080"/>
  </sheetPr>
  <dimension ref="A1:JF972"/>
  <sheetViews>
    <sheetView showGridLines="0" showRowColHeaders="0" topLeftCell="B1" zoomScaleNormal="100" workbookViewId="0">
      <selection activeCell="G12" sqref="G12"/>
    </sheetView>
  </sheetViews>
  <sheetFormatPr defaultColWidth="9.1328125" defaultRowHeight="12.75"/>
  <cols>
    <col min="1" max="1" width="0" style="514" hidden="1" customWidth="1"/>
    <col min="2" max="2" width="36.6640625" style="631" customWidth="1"/>
    <col min="3" max="3" width="2.6640625" style="514" customWidth="1"/>
    <col min="4" max="5" width="3.6640625" style="514" customWidth="1"/>
    <col min="6" max="6" width="22.6640625" style="514" customWidth="1"/>
    <col min="7" max="7" width="17.796875" style="514" customWidth="1"/>
    <col min="8" max="8" width="19.33203125" style="514" customWidth="1"/>
    <col min="9" max="9" width="10.53125" style="514" bestFit="1" customWidth="1"/>
    <col min="10" max="10" width="10.796875" style="514" customWidth="1"/>
    <col min="11" max="11" width="3.6640625" style="514" customWidth="1"/>
    <col min="12" max="12" width="22.6640625" style="514" customWidth="1"/>
    <col min="13" max="13" width="13.6640625" style="514" customWidth="1"/>
    <col min="14" max="14" width="11.86328125" style="514" customWidth="1"/>
    <col min="15" max="15" width="12.86328125" style="514" customWidth="1"/>
    <col min="16" max="19" width="9.1328125" style="514" customWidth="1"/>
    <col min="20" max="20" width="13.46484375" style="514" bestFit="1" customWidth="1"/>
    <col min="21" max="27" width="9.1328125" style="514" customWidth="1"/>
    <col min="28" max="28" width="2.796875" style="514" customWidth="1"/>
    <col min="29" max="29" width="6.796875" style="514" customWidth="1"/>
    <col min="30" max="30" width="16.46484375" style="514" customWidth="1"/>
    <col min="31" max="31" width="12.1328125" style="514" customWidth="1"/>
    <col min="32" max="32" width="8.46484375" style="514" customWidth="1"/>
    <col min="33" max="33" width="2.796875" style="514" customWidth="1"/>
    <col min="34" max="34" width="6.796875" style="514" customWidth="1"/>
    <col min="35" max="35" width="14.53125" style="514" customWidth="1"/>
    <col min="36" max="36" width="2.796875" style="514" customWidth="1"/>
    <col min="37" max="37" width="13.46484375" style="514" bestFit="1" customWidth="1"/>
    <col min="38" max="38" width="11.796875" style="514" bestFit="1" customWidth="1"/>
    <col min="39" max="39" width="9.33203125" style="514" customWidth="1"/>
    <col min="40" max="40" width="14.796875" style="514" customWidth="1"/>
    <col min="41" max="41" width="10.6640625" style="514" customWidth="1"/>
    <col min="42" max="42" width="12" style="514" bestFit="1" customWidth="1"/>
    <col min="43" max="43" width="14.46484375" style="514" bestFit="1" customWidth="1"/>
    <col min="44" max="44" width="16" style="514" bestFit="1" customWidth="1"/>
    <col min="45" max="46" width="15.6640625" style="514" bestFit="1" customWidth="1"/>
    <col min="47" max="47" width="12.53125" style="514" bestFit="1" customWidth="1"/>
    <col min="48" max="48" width="14.33203125" style="514" customWidth="1"/>
    <col min="49" max="49" width="11.53125" style="514" customWidth="1"/>
    <col min="50" max="50" width="16.796875" style="514" customWidth="1"/>
    <col min="51" max="51" width="17.53125" style="514" customWidth="1"/>
    <col min="52" max="52" width="12.6640625" style="514" bestFit="1" customWidth="1"/>
    <col min="53" max="53" width="18.1328125" style="514" bestFit="1" customWidth="1"/>
    <col min="54" max="54" width="9.1328125" style="514"/>
    <col min="55" max="55" width="9" style="514" customWidth="1"/>
    <col min="56" max="56" width="13.6640625" style="514" customWidth="1"/>
    <col min="57" max="57" width="17.19921875" style="514" customWidth="1"/>
    <col min="58" max="58" width="2.796875" style="514" customWidth="1"/>
    <col min="59" max="61" width="9.1328125" style="514"/>
    <col min="62" max="62" width="2.796875" style="514" customWidth="1"/>
    <col min="63" max="64" width="9.1328125" style="514"/>
    <col min="65" max="65" width="9.53125" style="514" bestFit="1" customWidth="1"/>
    <col min="66" max="66" width="2.796875" style="514" customWidth="1"/>
    <col min="67" max="69" width="9.1328125" style="514"/>
    <col min="70" max="70" width="2.796875" style="514" customWidth="1"/>
    <col min="71" max="16384" width="9.1328125" style="514"/>
  </cols>
  <sheetData>
    <row r="1" spans="1:266" ht="12.75" customHeight="1">
      <c r="B1" s="612"/>
    </row>
    <row r="2" spans="1:266" s="1402" customFormat="1" ht="21" customHeight="1">
      <c r="A2" s="514"/>
      <c r="B2" s="3210" t="s">
        <v>0</v>
      </c>
      <c r="C2" s="514"/>
      <c r="D2" s="1399" t="s">
        <v>1272</v>
      </c>
      <c r="E2" s="1400"/>
      <c r="F2" s="1400"/>
      <c r="G2" s="1401"/>
      <c r="H2" s="1401"/>
      <c r="I2" s="1401"/>
      <c r="J2" s="1401"/>
      <c r="K2" s="2819"/>
      <c r="L2" s="2819"/>
      <c r="M2" s="1401"/>
      <c r="N2" s="1401"/>
      <c r="P2" s="1401"/>
      <c r="Q2" s="1401"/>
      <c r="R2" s="1401"/>
      <c r="S2" s="1403"/>
      <c r="T2" s="1403"/>
      <c r="U2" s="1401"/>
      <c r="V2" s="1401"/>
      <c r="W2" s="1401"/>
      <c r="X2" s="1401"/>
      <c r="Y2" s="1401"/>
      <c r="Z2" s="1401"/>
      <c r="AA2" s="1401"/>
      <c r="AB2" s="1401"/>
      <c r="AC2" s="1401"/>
      <c r="AD2" s="1401"/>
      <c r="AE2" s="1401"/>
      <c r="AF2" s="1401"/>
      <c r="AG2" s="1401"/>
      <c r="AH2" s="1401"/>
      <c r="AI2" s="1401"/>
      <c r="AJ2" s="1401"/>
      <c r="AK2" s="1401"/>
      <c r="AL2" s="1401"/>
      <c r="AM2" s="1401"/>
      <c r="AN2" s="1401"/>
      <c r="AO2" s="1401"/>
      <c r="AP2" s="1401"/>
      <c r="AQ2" s="1401"/>
      <c r="AR2" s="1401"/>
      <c r="AS2" s="1401"/>
      <c r="AT2" s="1401"/>
      <c r="AU2" s="1401"/>
      <c r="AV2" s="1401"/>
      <c r="AW2" s="1401"/>
      <c r="AX2" s="1401"/>
      <c r="AY2" s="1401"/>
      <c r="AZ2" s="1401"/>
      <c r="BA2" s="1401"/>
      <c r="BB2" s="1401"/>
      <c r="BC2" s="1401"/>
      <c r="BD2" s="1401"/>
      <c r="BE2" s="1401"/>
      <c r="BF2" s="1401"/>
      <c r="BG2" s="1401"/>
      <c r="BH2" s="1401"/>
      <c r="BI2" s="1401"/>
      <c r="BJ2" s="1401"/>
      <c r="BK2" s="1401"/>
      <c r="BL2" s="1401"/>
      <c r="BM2" s="1401"/>
      <c r="BN2" s="1401"/>
      <c r="BO2" s="1401"/>
      <c r="BP2" s="1401"/>
      <c r="BQ2" s="1401"/>
      <c r="BR2" s="1401"/>
      <c r="BS2" s="1401"/>
      <c r="BT2" s="1401"/>
      <c r="BU2" s="1401"/>
      <c r="BV2" s="1401"/>
      <c r="BW2" s="1401"/>
      <c r="BX2" s="1401"/>
      <c r="BY2" s="1401"/>
      <c r="BZ2" s="1401"/>
      <c r="CA2" s="1401"/>
      <c r="CB2" s="1401"/>
      <c r="CC2" s="1401"/>
      <c r="CD2" s="1401"/>
      <c r="CE2" s="1401"/>
      <c r="CF2" s="1401"/>
      <c r="CG2" s="1401"/>
      <c r="CH2" s="1401"/>
      <c r="CI2" s="1401"/>
      <c r="CJ2" s="1401"/>
      <c r="CK2" s="1401"/>
      <c r="CL2" s="1401"/>
      <c r="CM2" s="1401"/>
      <c r="CN2" s="1401"/>
      <c r="CO2" s="1401"/>
      <c r="CP2" s="1401"/>
      <c r="CQ2" s="1401"/>
      <c r="CR2" s="1401"/>
      <c r="CS2" s="1401"/>
      <c r="CT2" s="1401"/>
      <c r="CU2" s="1401"/>
      <c r="CV2" s="1401"/>
      <c r="CW2" s="1401"/>
      <c r="CX2" s="1401"/>
      <c r="CY2" s="1401"/>
      <c r="CZ2" s="1401"/>
      <c r="DA2" s="1401"/>
      <c r="DB2" s="1401"/>
      <c r="DC2" s="1401"/>
      <c r="DD2" s="1401"/>
      <c r="DE2" s="1401"/>
      <c r="DF2" s="1401"/>
      <c r="DG2" s="1401"/>
      <c r="DH2" s="1401"/>
      <c r="DI2" s="1401"/>
      <c r="DJ2" s="1401"/>
      <c r="DK2" s="1401"/>
      <c r="DL2" s="1401"/>
      <c r="DM2" s="1401"/>
      <c r="DN2" s="1401"/>
      <c r="DO2" s="1401"/>
      <c r="DP2" s="1401"/>
      <c r="DQ2" s="1401"/>
      <c r="DR2" s="1401"/>
      <c r="DS2" s="1401"/>
      <c r="DT2" s="1401"/>
      <c r="DU2" s="1401"/>
      <c r="DV2" s="1401"/>
      <c r="DW2" s="1401"/>
      <c r="DX2" s="1401"/>
      <c r="DY2" s="1401"/>
      <c r="DZ2" s="1401"/>
      <c r="EA2" s="1401"/>
      <c r="EB2" s="1401"/>
      <c r="EC2" s="1401"/>
      <c r="ED2" s="1401"/>
      <c r="EE2" s="1401"/>
      <c r="EF2" s="1401"/>
      <c r="EG2" s="1401"/>
      <c r="EH2" s="1401"/>
      <c r="EI2" s="1401"/>
      <c r="EJ2" s="1401"/>
      <c r="EK2" s="1401"/>
      <c r="EL2" s="1401"/>
      <c r="EM2" s="1401"/>
      <c r="EN2" s="1401"/>
      <c r="EO2" s="1401"/>
      <c r="EP2" s="1401"/>
      <c r="EQ2" s="1401"/>
      <c r="ER2" s="1401"/>
      <c r="ES2" s="1401"/>
      <c r="ET2" s="1401"/>
      <c r="EU2" s="1401"/>
      <c r="EV2" s="1401"/>
      <c r="EW2" s="1401"/>
      <c r="EX2" s="1401"/>
      <c r="EY2" s="1401"/>
      <c r="EZ2" s="1401"/>
      <c r="FA2" s="1401"/>
      <c r="FB2" s="1401"/>
      <c r="FC2" s="1401"/>
      <c r="FD2" s="1401"/>
      <c r="FE2" s="1401"/>
      <c r="FF2" s="1401"/>
      <c r="FG2" s="1401"/>
      <c r="FH2" s="1401"/>
      <c r="FI2" s="1401"/>
      <c r="FJ2" s="1401"/>
      <c r="FK2" s="1401"/>
      <c r="FL2" s="1401"/>
      <c r="FM2" s="1401"/>
      <c r="FN2" s="1401"/>
      <c r="FO2" s="1401"/>
      <c r="FP2" s="1401"/>
      <c r="FQ2" s="1401"/>
      <c r="FR2" s="1401"/>
      <c r="FS2" s="1401"/>
      <c r="FT2" s="1401"/>
      <c r="FU2" s="1401"/>
      <c r="FV2" s="1401"/>
      <c r="FW2" s="1401"/>
      <c r="FX2" s="1401"/>
      <c r="FY2" s="1401"/>
      <c r="FZ2" s="1401"/>
      <c r="GA2" s="1401"/>
      <c r="GB2" s="1401"/>
      <c r="GC2" s="1401"/>
      <c r="GD2" s="1401"/>
      <c r="GE2" s="1401"/>
      <c r="GF2" s="1401"/>
      <c r="GG2" s="1401"/>
      <c r="GH2" s="1401"/>
      <c r="GI2" s="1401"/>
      <c r="GJ2" s="1401"/>
      <c r="GK2" s="1401"/>
      <c r="GL2" s="1401"/>
      <c r="GM2" s="1401"/>
      <c r="GN2" s="1401"/>
      <c r="GO2" s="1401"/>
      <c r="GP2" s="1401"/>
      <c r="GQ2" s="1401"/>
      <c r="GR2" s="1401"/>
      <c r="GS2" s="1401"/>
      <c r="GT2" s="1401"/>
      <c r="GU2" s="1401"/>
      <c r="GV2" s="1401"/>
      <c r="GW2" s="1401"/>
      <c r="GX2" s="1401"/>
      <c r="GY2" s="1401"/>
      <c r="GZ2" s="1401"/>
      <c r="HA2" s="1401"/>
      <c r="HB2" s="1401"/>
      <c r="HC2" s="1401"/>
      <c r="HD2" s="1401"/>
      <c r="HE2" s="1401"/>
      <c r="HF2" s="1401"/>
      <c r="HG2" s="1401"/>
      <c r="HH2" s="1401"/>
      <c r="HI2" s="1401"/>
      <c r="HJ2" s="1401"/>
      <c r="HK2" s="1401"/>
      <c r="HL2" s="1401"/>
      <c r="HM2" s="1401"/>
      <c r="HN2" s="1401"/>
      <c r="HO2" s="1401"/>
      <c r="HP2" s="1401"/>
      <c r="HQ2" s="1401"/>
      <c r="HR2" s="1401"/>
      <c r="HS2" s="1401"/>
      <c r="HT2" s="1401"/>
      <c r="HU2" s="1401"/>
      <c r="HV2" s="1401"/>
      <c r="HW2" s="1401"/>
      <c r="HX2" s="1401"/>
      <c r="HY2" s="1401"/>
      <c r="HZ2" s="1401"/>
      <c r="IA2" s="1401"/>
      <c r="IB2" s="1401"/>
      <c r="IC2" s="1401"/>
      <c r="ID2" s="1401"/>
      <c r="IE2" s="1401"/>
      <c r="IF2" s="1401"/>
      <c r="IG2" s="1401"/>
      <c r="IH2" s="1401"/>
      <c r="II2" s="1401"/>
      <c r="IJ2" s="1401"/>
      <c r="IK2" s="1401"/>
      <c r="IL2" s="1401"/>
      <c r="IM2" s="1401"/>
      <c r="IN2" s="1401"/>
      <c r="IO2" s="1401"/>
      <c r="IP2" s="1401"/>
      <c r="IQ2" s="1401"/>
      <c r="IR2" s="1401"/>
      <c r="IS2" s="1401"/>
      <c r="IT2" s="1401"/>
      <c r="IU2" s="1401"/>
      <c r="IV2" s="1401"/>
      <c r="IW2" s="1401"/>
      <c r="IX2" s="1401"/>
      <c r="IY2" s="1401"/>
      <c r="IZ2" s="1401"/>
      <c r="JA2" s="1401"/>
      <c r="JB2" s="1401"/>
      <c r="JC2" s="1401"/>
      <c r="JD2" s="1401"/>
      <c r="JE2" s="1401"/>
      <c r="JF2" s="1401"/>
    </row>
    <row r="3" spans="1:266" ht="21" customHeight="1">
      <c r="B3" s="3210"/>
      <c r="D3" s="619"/>
      <c r="E3" s="619"/>
      <c r="F3" s="619"/>
      <c r="G3" s="619"/>
      <c r="H3" s="5"/>
      <c r="I3" s="5"/>
      <c r="J3" s="5"/>
      <c r="K3" s="5"/>
      <c r="L3" s="5"/>
      <c r="M3" s="5"/>
      <c r="N3" s="5"/>
      <c r="O3" s="5"/>
    </row>
    <row r="4" spans="1:266" ht="21" customHeight="1">
      <c r="B4" s="63"/>
      <c r="D4" s="787"/>
      <c r="E4" s="620"/>
      <c r="F4" s="1066"/>
      <c r="G4" s="1066"/>
      <c r="H4" s="1067"/>
      <c r="I4" s="1067"/>
      <c r="J4" s="1068"/>
      <c r="K4" s="648"/>
    </row>
    <row r="5" spans="1:266" ht="21" customHeight="1">
      <c r="B5" s="62" t="s">
        <v>1</v>
      </c>
      <c r="D5" s="622"/>
      <c r="F5" s="12"/>
      <c r="G5" s="12"/>
      <c r="H5" s="12"/>
      <c r="I5" s="12"/>
      <c r="J5" s="1069"/>
      <c r="K5" s="1065"/>
      <c r="L5" s="1064"/>
      <c r="M5" s="1064"/>
      <c r="N5" s="1064"/>
      <c r="O5" s="12"/>
      <c r="P5" s="12"/>
      <c r="Q5" s="12"/>
      <c r="R5" s="12"/>
      <c r="S5" s="12"/>
      <c r="T5" s="12"/>
      <c r="U5" s="12"/>
      <c r="V5" s="12"/>
      <c r="W5" s="12"/>
      <c r="X5" s="12"/>
      <c r="Y5" s="12"/>
      <c r="Z5" s="12"/>
      <c r="AA5" s="12"/>
      <c r="AB5" s="12"/>
      <c r="AC5" s="12"/>
      <c r="AD5" s="12"/>
      <c r="AE5" s="12"/>
      <c r="AF5" s="12"/>
      <c r="AG5" s="12"/>
      <c r="AH5" s="12"/>
      <c r="AI5" s="12"/>
      <c r="AJ5" s="12"/>
      <c r="AK5" s="12"/>
    </row>
    <row r="6" spans="1:266" ht="21" customHeight="1">
      <c r="B6" s="62" t="s">
        <v>452</v>
      </c>
      <c r="D6" s="622"/>
      <c r="F6" s="12"/>
      <c r="G6" s="12"/>
      <c r="H6" s="12"/>
      <c r="I6" s="12"/>
      <c r="J6" s="1069"/>
      <c r="K6" s="1065"/>
      <c r="L6" s="12"/>
      <c r="M6" s="1064"/>
      <c r="N6" s="1064"/>
      <c r="O6" s="12"/>
      <c r="P6" s="12"/>
      <c r="Q6" s="12"/>
      <c r="R6" s="12"/>
      <c r="S6" s="12"/>
      <c r="T6" s="12"/>
      <c r="U6" s="12"/>
      <c r="V6" s="12"/>
      <c r="W6" s="12"/>
      <c r="X6" s="12"/>
      <c r="Y6" s="12"/>
      <c r="Z6" s="12"/>
      <c r="AA6" s="12"/>
      <c r="AB6" s="12"/>
      <c r="AC6" s="12"/>
      <c r="AD6" s="12"/>
      <c r="AE6" s="12"/>
      <c r="AF6" s="12"/>
      <c r="AG6" s="12"/>
      <c r="AH6" s="12"/>
      <c r="AI6" s="12"/>
      <c r="AJ6" s="12"/>
      <c r="AK6" s="12"/>
    </row>
    <row r="7" spans="1:266" ht="21" customHeight="1">
      <c r="B7" s="62" t="s">
        <v>239</v>
      </c>
      <c r="D7" s="622"/>
      <c r="I7" s="12"/>
      <c r="J7" s="1069"/>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row>
    <row r="8" spans="1:266" ht="21" customHeight="1">
      <c r="B8" s="146" t="s">
        <v>1263</v>
      </c>
      <c r="D8" s="622"/>
      <c r="I8" s="12"/>
      <c r="J8" s="107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spans="1:266" ht="21" customHeight="1">
      <c r="B9" s="145" t="s">
        <v>486</v>
      </c>
      <c r="D9" s="622"/>
      <c r="I9" s="2135" t="s">
        <v>1280</v>
      </c>
      <c r="J9" s="1069"/>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266" ht="21" customHeight="1">
      <c r="B10" s="145" t="s">
        <v>487</v>
      </c>
      <c r="D10" s="622"/>
      <c r="F10" s="1063" t="s">
        <v>1283</v>
      </c>
      <c r="G10" s="2859">
        <v>110000</v>
      </c>
      <c r="H10" s="2845" t="str">
        <f>AF116</f>
        <v xml:space="preserve"> Cub.m.</v>
      </c>
      <c r="I10" s="12"/>
      <c r="J10" s="1069"/>
      <c r="K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spans="1:266" ht="21" customHeight="1">
      <c r="B11" s="145" t="s">
        <v>1273</v>
      </c>
      <c r="D11" s="622"/>
      <c r="F11" s="1063" t="str">
        <f>AD117</f>
        <v xml:space="preserve">Density </v>
      </c>
      <c r="G11" s="2838">
        <v>31.3</v>
      </c>
      <c r="H11" s="2845" t="str">
        <f>AF117</f>
        <v xml:space="preserve"> kg/m³@15°C</v>
      </c>
      <c r="I11" s="12"/>
      <c r="J11" s="1069"/>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266" ht="21" customHeight="1">
      <c r="B12" s="147" t="s">
        <v>1276</v>
      </c>
      <c r="D12" s="622"/>
      <c r="F12" s="1063" t="s">
        <v>571</v>
      </c>
      <c r="G12" s="2860">
        <v>107000</v>
      </c>
      <c r="H12" s="2845" t="str">
        <f>AF118</f>
        <v xml:space="preserve"> Cub.m.@obs.temp.</v>
      </c>
      <c r="I12" s="2847">
        <f>AI118</f>
        <v>97.272727272727266</v>
      </c>
      <c r="J12" s="1069"/>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spans="1:266" ht="21" customHeight="1">
      <c r="B13" s="145" t="s">
        <v>1264</v>
      </c>
      <c r="D13" s="622"/>
      <c r="F13" s="1063" t="s">
        <v>572</v>
      </c>
      <c r="G13" s="2861">
        <v>110</v>
      </c>
      <c r="H13" s="2845" t="str">
        <f>AF119</f>
        <v xml:space="preserve"> °C</v>
      </c>
      <c r="I13" s="12"/>
      <c r="J13" s="1069"/>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spans="1:266" ht="21" customHeight="1">
      <c r="B14" s="145" t="s">
        <v>1265</v>
      </c>
      <c r="D14" s="622"/>
      <c r="F14" s="1063" t="s">
        <v>573</v>
      </c>
      <c r="G14" s="2862">
        <v>125</v>
      </c>
      <c r="H14" s="2845" t="str">
        <f>AF120</f>
        <v xml:space="preserve"> °C</v>
      </c>
      <c r="I14" s="12"/>
      <c r="J14" s="1069"/>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spans="1:266" ht="21" customHeight="1">
      <c r="B15" s="145" t="s">
        <v>1266</v>
      </c>
      <c r="D15" s="622"/>
      <c r="F15" s="1063" t="s">
        <v>574</v>
      </c>
      <c r="G15" s="1083" t="e">
        <f>AI104</f>
        <v>#DIV/0!</v>
      </c>
      <c r="H15" s="2845" t="str">
        <f>IF(AC104&lt;5," Bbls@obs.temp."," Cub.m.@obs.temp.")</f>
        <v xml:space="preserve"> Cub.m.@obs.temp.</v>
      </c>
      <c r="I15" s="2847" t="e">
        <f>AI121</f>
        <v>#DIV/0!</v>
      </c>
      <c r="J15" s="1069"/>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spans="1:266" ht="21" customHeight="1">
      <c r="B16" s="145" t="s">
        <v>1267</v>
      </c>
      <c r="D16" s="876"/>
      <c r="E16" s="2818"/>
      <c r="F16" s="12"/>
      <c r="G16" s="12"/>
      <c r="H16" s="12"/>
      <c r="I16" s="12"/>
      <c r="J16" s="1069"/>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spans="2:19" ht="21" customHeight="1">
      <c r="B17" s="145" t="s">
        <v>556</v>
      </c>
      <c r="D17" s="622"/>
      <c r="F17" s="1063" t="s">
        <v>579</v>
      </c>
      <c r="G17" s="1084" t="e">
        <f>G15-AE118</f>
        <v>#DIV/0!</v>
      </c>
      <c r="H17" s="2845" t="str">
        <f>H15</f>
        <v xml:space="preserve"> Cub.m.@obs.temp.</v>
      </c>
      <c r="I17" s="12"/>
      <c r="J17" s="1069"/>
      <c r="K17" s="12"/>
      <c r="L17" s="12"/>
      <c r="M17" s="12"/>
      <c r="N17" s="12"/>
      <c r="O17" s="12"/>
      <c r="P17" s="12"/>
      <c r="Q17" s="12"/>
      <c r="R17" s="12"/>
      <c r="S17" s="12"/>
    </row>
    <row r="18" spans="2:19" ht="21" customHeight="1">
      <c r="B18" s="62" t="s">
        <v>557</v>
      </c>
      <c r="D18" s="622"/>
      <c r="I18" s="12"/>
      <c r="J18" s="1069"/>
      <c r="K18" s="12"/>
      <c r="L18" s="12"/>
      <c r="M18" s="12"/>
      <c r="N18" s="12"/>
      <c r="O18" s="12"/>
      <c r="P18" s="12"/>
      <c r="Q18" s="12"/>
      <c r="R18" s="12"/>
      <c r="S18" s="12"/>
    </row>
    <row r="19" spans="2:19" ht="21" customHeight="1">
      <c r="B19" s="62" t="s">
        <v>238</v>
      </c>
      <c r="D19" s="622"/>
      <c r="F19" s="12"/>
      <c r="H19" s="12"/>
      <c r="I19" s="12"/>
      <c r="J19" s="1069"/>
      <c r="K19" s="12"/>
      <c r="L19" s="12"/>
      <c r="M19" s="12"/>
      <c r="N19" s="12"/>
      <c r="O19" s="12"/>
      <c r="P19" s="12"/>
      <c r="Q19" s="12"/>
      <c r="R19" s="12"/>
      <c r="S19" s="12"/>
    </row>
    <row r="20" spans="2:19" ht="21" customHeight="1">
      <c r="B20" s="62" t="s">
        <v>1652</v>
      </c>
      <c r="D20" s="622"/>
      <c r="F20" s="12"/>
      <c r="G20" s="12"/>
      <c r="H20" s="12"/>
      <c r="I20" s="12"/>
      <c r="J20" s="1069"/>
      <c r="K20" s="12"/>
      <c r="L20" s="12"/>
      <c r="M20" s="12"/>
      <c r="N20" s="12"/>
      <c r="O20" s="12"/>
      <c r="P20" s="12"/>
      <c r="Q20" s="12"/>
      <c r="R20" s="12"/>
      <c r="S20" s="12"/>
    </row>
    <row r="21" spans="2:19" ht="21" customHeight="1">
      <c r="B21" s="62" t="s">
        <v>1653</v>
      </c>
      <c r="D21" s="622"/>
      <c r="F21" s="12"/>
      <c r="G21" s="2357" t="s">
        <v>1186</v>
      </c>
      <c r="H21" s="12"/>
      <c r="I21" s="12"/>
      <c r="J21" s="1069"/>
      <c r="K21" s="12"/>
      <c r="L21" s="12"/>
      <c r="M21" s="12"/>
      <c r="N21" s="12"/>
      <c r="O21" s="12"/>
      <c r="P21" s="12"/>
      <c r="Q21" s="12"/>
      <c r="R21" s="12"/>
      <c r="S21" s="12"/>
    </row>
    <row r="22" spans="2:19" ht="21" customHeight="1">
      <c r="B22" s="62" t="s">
        <v>40</v>
      </c>
      <c r="D22" s="620"/>
      <c r="E22" s="620"/>
      <c r="F22" s="1067"/>
      <c r="G22" s="1067"/>
      <c r="H22" s="1067"/>
      <c r="I22" s="1067"/>
      <c r="J22" s="1067"/>
      <c r="K22" s="12"/>
      <c r="L22" s="12"/>
      <c r="M22" s="12"/>
      <c r="N22" s="12"/>
      <c r="O22" s="12"/>
      <c r="P22" s="12"/>
      <c r="Q22" s="12"/>
      <c r="R22" s="12"/>
      <c r="S22" s="12"/>
    </row>
    <row r="23" spans="2:19" ht="21" customHeight="1">
      <c r="B23" s="62" t="s">
        <v>238</v>
      </c>
      <c r="F23" s="12"/>
      <c r="G23" s="12"/>
      <c r="H23" s="12"/>
      <c r="I23" s="12"/>
      <c r="J23" s="12"/>
      <c r="K23" s="12"/>
      <c r="L23" s="12"/>
      <c r="M23" s="12"/>
      <c r="N23" s="12"/>
      <c r="O23" s="12"/>
      <c r="P23" s="12"/>
      <c r="Q23" s="12"/>
      <c r="R23" s="12"/>
      <c r="S23" s="12"/>
    </row>
    <row r="24" spans="2:19" ht="21" customHeight="1">
      <c r="B24" s="62" t="s">
        <v>39</v>
      </c>
      <c r="F24" s="12"/>
      <c r="G24" s="12"/>
      <c r="H24" s="12"/>
      <c r="I24" s="12"/>
      <c r="J24" s="12"/>
      <c r="K24" s="12"/>
      <c r="L24" s="12"/>
      <c r="M24" s="12"/>
      <c r="N24" s="12"/>
      <c r="O24" s="12"/>
      <c r="P24" s="12"/>
      <c r="Q24" s="12"/>
      <c r="R24" s="12"/>
      <c r="S24" s="12"/>
    </row>
    <row r="25" spans="2:19" ht="21" customHeight="1">
      <c r="B25" s="62" t="s">
        <v>38</v>
      </c>
      <c r="F25" s="12"/>
      <c r="G25" s="12"/>
      <c r="H25" s="12"/>
      <c r="I25" s="12"/>
      <c r="J25" s="12"/>
      <c r="K25" s="12"/>
      <c r="L25" s="12"/>
      <c r="M25" s="12"/>
      <c r="N25" s="12"/>
      <c r="O25" s="12"/>
      <c r="P25" s="12"/>
      <c r="Q25" s="12"/>
      <c r="R25" s="12"/>
      <c r="S25" s="12"/>
    </row>
    <row r="26" spans="2:19" ht="21" customHeight="1">
      <c r="B26" s="62"/>
      <c r="F26" s="12"/>
      <c r="G26" s="12"/>
      <c r="H26" s="12"/>
      <c r="I26" s="12"/>
      <c r="J26" s="12"/>
      <c r="K26" s="12"/>
      <c r="L26" s="12"/>
      <c r="M26" s="12"/>
      <c r="N26" s="12"/>
      <c r="O26" s="12"/>
      <c r="P26" s="12"/>
      <c r="Q26" s="12"/>
      <c r="R26" s="12"/>
      <c r="S26" s="12"/>
    </row>
    <row r="27" spans="2:19" ht="21" customHeight="1">
      <c r="B27" s="62"/>
      <c r="F27" s="12"/>
      <c r="G27" s="12"/>
      <c r="H27" s="12"/>
      <c r="I27" s="12"/>
      <c r="J27" s="12"/>
      <c r="K27" s="12"/>
      <c r="L27" s="12"/>
      <c r="M27" s="12"/>
      <c r="N27" s="12"/>
      <c r="O27" s="12"/>
      <c r="P27" s="12"/>
      <c r="Q27" s="12"/>
      <c r="R27" s="12"/>
      <c r="S27" s="12"/>
    </row>
    <row r="28" spans="2:19" ht="21" customHeight="1">
      <c r="B28" s="565"/>
      <c r="K28" s="12"/>
      <c r="L28" s="12"/>
      <c r="M28" s="12"/>
      <c r="N28" s="12"/>
      <c r="O28" s="12"/>
      <c r="P28" s="12"/>
      <c r="Q28" s="12"/>
      <c r="R28" s="12"/>
      <c r="S28" s="12"/>
    </row>
    <row r="29" spans="2:19" ht="21" customHeight="1">
      <c r="B29" s="565"/>
      <c r="K29" s="12"/>
      <c r="L29" s="12"/>
      <c r="M29" s="12"/>
      <c r="N29" s="12"/>
      <c r="O29" s="12"/>
      <c r="P29" s="12"/>
      <c r="Q29" s="12"/>
      <c r="R29" s="12"/>
      <c r="S29" s="12"/>
    </row>
    <row r="30" spans="2:19" ht="21" customHeight="1">
      <c r="B30" s="565"/>
    </row>
    <row r="31" spans="2:19" ht="21" customHeight="1">
      <c r="B31" s="565"/>
    </row>
    <row r="32" spans="2:19" ht="21" customHeight="1">
      <c r="B32" s="565"/>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47">
      <c r="B49" s="565"/>
    </row>
    <row r="50" spans="2:47">
      <c r="B50" s="565"/>
    </row>
    <row r="51" spans="2:47">
      <c r="B51" s="565"/>
    </row>
    <row r="52" spans="2:47">
      <c r="B52" s="565"/>
    </row>
    <row r="53" spans="2:47">
      <c r="B53" s="565"/>
    </row>
    <row r="54" spans="2:47">
      <c r="B54" s="565"/>
    </row>
    <row r="55" spans="2:47">
      <c r="B55" s="565"/>
    </row>
    <row r="56" spans="2:47">
      <c r="B56" s="565"/>
    </row>
    <row r="57" spans="2:47">
      <c r="B57" s="565"/>
    </row>
    <row r="58" spans="2:47">
      <c r="B58" s="565"/>
    </row>
    <row r="59" spans="2:47">
      <c r="B59" s="565"/>
    </row>
    <row r="60" spans="2:47">
      <c r="B60" s="565"/>
    </row>
    <row r="61" spans="2:47">
      <c r="B61" s="565"/>
    </row>
    <row r="62" spans="2:47">
      <c r="B62" s="56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row>
    <row r="63" spans="2:47">
      <c r="B63" s="56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row>
    <row r="64" spans="2:47">
      <c r="B64" s="565"/>
    </row>
    <row r="65" spans="2:2">
      <c r="B65" s="565"/>
    </row>
    <row r="66" spans="2:2">
      <c r="B66" s="565"/>
    </row>
    <row r="100" spans="28:70">
      <c r="AC100" s="566" t="s">
        <v>550</v>
      </c>
      <c r="AD100" s="12"/>
      <c r="AE100" s="12"/>
      <c r="AK100" s="566" t="s">
        <v>550</v>
      </c>
      <c r="AL100" s="12"/>
      <c r="AM100" s="12"/>
      <c r="AN100" s="12"/>
      <c r="AO100" s="12"/>
      <c r="AP100" s="12"/>
      <c r="AQ100" s="12"/>
      <c r="AR100" s="12"/>
      <c r="AS100" s="12"/>
      <c r="AW100" s="566" t="s">
        <v>550</v>
      </c>
      <c r="BG100" s="566" t="s">
        <v>550</v>
      </c>
      <c r="BQ100" s="566" t="s">
        <v>550</v>
      </c>
    </row>
    <row r="101" spans="28:70">
      <c r="AB101" s="2503" t="s">
        <v>575</v>
      </c>
      <c r="AC101" s="2502"/>
      <c r="AD101" s="2506"/>
      <c r="AE101" s="2506"/>
      <c r="AF101" s="2502"/>
      <c r="AG101" s="2502"/>
      <c r="AH101" s="2502"/>
      <c r="AI101" s="2502"/>
      <c r="AJ101" s="2502"/>
      <c r="AK101" s="1056"/>
      <c r="AL101" s="1056"/>
      <c r="AM101" s="1057"/>
      <c r="AN101" s="1058"/>
      <c r="AO101" s="1058"/>
      <c r="AP101" s="1058"/>
      <c r="AQ101" s="1058"/>
      <c r="AR101" s="1058"/>
      <c r="AS101" s="1058"/>
      <c r="AT101" s="1058"/>
      <c r="AU101" s="1058"/>
      <c r="AV101" s="1058"/>
      <c r="AW101" s="1074" t="s">
        <v>575</v>
      </c>
      <c r="AX101" s="1058"/>
      <c r="AY101" s="1058"/>
      <c r="AZ101" s="1058"/>
      <c r="BA101" s="1058"/>
      <c r="BB101" s="1058"/>
      <c r="BC101" s="1058"/>
      <c r="BD101" s="1058"/>
      <c r="BE101" s="1058"/>
      <c r="BF101" s="1058"/>
      <c r="BG101" s="1058"/>
      <c r="BH101" s="1058"/>
      <c r="BI101" s="1058"/>
      <c r="BJ101" s="1058"/>
      <c r="BK101" s="1058"/>
      <c r="BL101" s="1058"/>
      <c r="BM101" s="1058"/>
      <c r="BN101" s="1058"/>
      <c r="BO101" s="1058"/>
      <c r="BP101" s="1058"/>
      <c r="BQ101" s="1058"/>
      <c r="BR101" s="1059"/>
    </row>
    <row r="102" spans="28:70" ht="13.15">
      <c r="AB102" s="2504"/>
      <c r="AC102" s="3246" t="s">
        <v>1199</v>
      </c>
      <c r="AD102" s="3247"/>
      <c r="AE102" s="3247"/>
      <c r="AF102" s="3248"/>
      <c r="AG102" s="2505"/>
      <c r="AH102" s="3239" t="s">
        <v>587</v>
      </c>
      <c r="AI102" s="3240"/>
      <c r="AJ102" s="2505"/>
      <c r="AK102" s="2529" t="s">
        <v>580</v>
      </c>
      <c r="AL102" s="2434"/>
      <c r="AM102" s="2434"/>
      <c r="AN102" s="2434"/>
      <c r="AO102" s="2434"/>
      <c r="AP102" s="2434"/>
      <c r="AQ102" s="2434"/>
      <c r="AR102" s="2434"/>
      <c r="AS102" s="2434"/>
      <c r="AT102" s="2434"/>
      <c r="AU102" s="2434"/>
      <c r="AV102" s="2434"/>
      <c r="AW102" s="2530"/>
      <c r="AX102" s="2434"/>
      <c r="AY102" s="2530"/>
      <c r="AZ102" s="2531"/>
      <c r="BA102" s="2531"/>
      <c r="BB102" s="2531"/>
      <c r="BC102" s="2531"/>
      <c r="BD102" s="2501"/>
      <c r="BE102" s="2481"/>
      <c r="BF102" s="2501"/>
      <c r="BG102" s="1996" t="s">
        <v>11</v>
      </c>
      <c r="BH102" s="1997"/>
      <c r="BI102" s="1997"/>
      <c r="BJ102" s="2532"/>
      <c r="BK102" s="1996" t="s">
        <v>111</v>
      </c>
      <c r="BL102" s="1997"/>
      <c r="BM102" s="1997"/>
      <c r="BN102" s="2532"/>
      <c r="BO102" s="1998" t="s">
        <v>12</v>
      </c>
      <c r="BP102" s="2342"/>
      <c r="BQ102" s="1999"/>
      <c r="BR102" s="2481"/>
    </row>
    <row r="103" spans="28:70" ht="13.15">
      <c r="AB103" s="2482"/>
      <c r="AC103" s="3249"/>
      <c r="AD103" s="3250"/>
      <c r="AE103" s="3250"/>
      <c r="AF103" s="3251"/>
      <c r="AH103" s="3241"/>
      <c r="AI103" s="3242"/>
      <c r="AK103" s="2533"/>
      <c r="AL103" s="2534" t="s">
        <v>576</v>
      </c>
      <c r="AM103" s="2535"/>
      <c r="AN103" s="2529" t="s">
        <v>203</v>
      </c>
      <c r="AO103" s="2434"/>
      <c r="AP103" s="2536"/>
      <c r="AQ103" s="2304"/>
      <c r="AR103" s="2537"/>
      <c r="AS103" s="2538"/>
      <c r="AT103" s="2538"/>
      <c r="AU103" s="2538"/>
      <c r="AV103" s="2539"/>
      <c r="AW103" s="2540" t="s">
        <v>204</v>
      </c>
      <c r="AX103" s="3227" t="s">
        <v>585</v>
      </c>
      <c r="AY103" s="3227" t="s">
        <v>586</v>
      </c>
      <c r="AZ103" s="12"/>
      <c r="BA103" s="12"/>
      <c r="BB103" s="12"/>
      <c r="BC103" s="12"/>
      <c r="BE103" s="520"/>
      <c r="BG103" s="2439" t="s">
        <v>18</v>
      </c>
      <c r="BH103" s="2439" t="s">
        <v>19</v>
      </c>
      <c r="BI103" s="2439" t="s">
        <v>20</v>
      </c>
      <c r="BJ103" s="2404"/>
      <c r="BK103" s="2439" t="s">
        <v>19</v>
      </c>
      <c r="BL103" s="2439" t="s">
        <v>18</v>
      </c>
      <c r="BM103" s="2439" t="s">
        <v>20</v>
      </c>
      <c r="BN103" s="2404"/>
      <c r="BO103" s="2439" t="s">
        <v>20</v>
      </c>
      <c r="BP103" s="2439" t="s">
        <v>19</v>
      </c>
      <c r="BQ103" s="2439" t="s">
        <v>18</v>
      </c>
      <c r="BR103" s="520"/>
    </row>
    <row r="104" spans="28:70">
      <c r="AB104" s="2482"/>
      <c r="AC104" s="2825">
        <v>5</v>
      </c>
      <c r="AD104" s="2518" t="str">
        <f>VLOOKUP(AC104,AC105:AD110,2)</f>
        <v xml:space="preserve"> ASTM T. 54A - Dens. / m³ / °C </v>
      </c>
      <c r="AE104" s="2519"/>
      <c r="AF104" s="2520"/>
      <c r="AG104" s="2480"/>
      <c r="AH104" s="2826">
        <f>AC104</f>
        <v>5</v>
      </c>
      <c r="AI104" s="2521" t="e">
        <f>VLOOKUP(AH104,AH105:AI110,2)</f>
        <v>#DIV/0!</v>
      </c>
      <c r="AJ104" s="2480"/>
      <c r="AK104" s="1091"/>
      <c r="AL104" s="1607" t="s">
        <v>18</v>
      </c>
      <c r="AM104" s="1607" t="s">
        <v>205</v>
      </c>
      <c r="AN104" s="2529" t="s">
        <v>18</v>
      </c>
      <c r="AO104" s="2529" t="s">
        <v>205</v>
      </c>
      <c r="AP104" s="2296" t="s">
        <v>206</v>
      </c>
      <c r="AQ104" s="2296" t="s">
        <v>207</v>
      </c>
      <c r="AR104" s="2537"/>
      <c r="AS104" s="2538"/>
      <c r="AT104" s="2538"/>
      <c r="AU104" s="2538"/>
      <c r="AV104" s="2539"/>
      <c r="AW104" s="1092" t="s">
        <v>208</v>
      </c>
      <c r="AX104" s="3227"/>
      <c r="AY104" s="3227"/>
      <c r="AZ104" s="171"/>
      <c r="BA104" s="171"/>
      <c r="BB104" s="171"/>
      <c r="BC104" s="171"/>
      <c r="BE104" s="520"/>
      <c r="BG104" s="2541" t="s">
        <v>26</v>
      </c>
      <c r="BH104" s="2541" t="s">
        <v>20</v>
      </c>
      <c r="BI104" s="2541" t="s">
        <v>27</v>
      </c>
      <c r="BJ104" s="2404"/>
      <c r="BK104" s="2541" t="s">
        <v>20</v>
      </c>
      <c r="BL104" s="2541" t="s">
        <v>26</v>
      </c>
      <c r="BM104" s="2541"/>
      <c r="BN104" s="2404"/>
      <c r="BO104" s="2541" t="s">
        <v>27</v>
      </c>
      <c r="BP104" s="2541" t="s">
        <v>20</v>
      </c>
      <c r="BQ104" s="2541" t="s">
        <v>26</v>
      </c>
      <c r="BR104" s="520"/>
    </row>
    <row r="105" spans="28:70" ht="13.15">
      <c r="AB105" s="2482"/>
      <c r="AC105" s="2488">
        <v>1</v>
      </c>
      <c r="AD105" s="2489" t="s">
        <v>1187</v>
      </c>
      <c r="AE105" s="2490"/>
      <c r="AF105" s="2491"/>
      <c r="AG105" s="12"/>
      <c r="AH105" s="2488">
        <v>1</v>
      </c>
      <c r="AI105" s="2498" t="e">
        <f>ROUND(AY106,0)</f>
        <v>#N/A</v>
      </c>
      <c r="AJ105" s="12"/>
      <c r="AK105" s="2542" t="s">
        <v>577</v>
      </c>
      <c r="AL105" s="1786" t="e">
        <f>AE123</f>
        <v>#N/A</v>
      </c>
      <c r="AM105" s="1787">
        <f>AE127</f>
        <v>230</v>
      </c>
      <c r="AN105" s="2543" t="e">
        <f>FLOOR(AL105,1)+IF(MOD(AL105,1)&lt;0.26,0,IF(MOD(AL105,1)&lt;0.76,0.5,1))</f>
        <v>#N/A</v>
      </c>
      <c r="AO105" s="2543">
        <f>FLOOR(AM105,1)+IF(MOD(AM105,1)&lt;0.26,0,IF(MOD(AM105,1)&lt;0.76,0.5,1))</f>
        <v>230</v>
      </c>
      <c r="AP105" s="2544" t="e">
        <f>341.0957/(141.5*999.012/(AN105+131.5))^2</f>
        <v>#N/A</v>
      </c>
      <c r="AQ105" s="2544" t="e">
        <f>1+0.8*AP105*(AO105-60)</f>
        <v>#N/A</v>
      </c>
      <c r="AR105" s="2545"/>
      <c r="AS105" s="2546"/>
      <c r="AT105" s="2546"/>
      <c r="AU105" s="2546"/>
      <c r="AV105" s="2547"/>
      <c r="AW105" s="2548" t="e">
        <f>ROUND(EXP(AP105*(AO105-60)*AQ105*-1),4)</f>
        <v>#N/A</v>
      </c>
      <c r="AX105" s="2549" t="e">
        <f>AY105*AW105</f>
        <v>#N/A</v>
      </c>
      <c r="AY105" s="2550">
        <f>AE118</f>
        <v>107000</v>
      </c>
      <c r="AZ105" s="12"/>
      <c r="BA105" s="12"/>
      <c r="BB105" s="12"/>
      <c r="BC105" s="12"/>
      <c r="BE105" s="520"/>
      <c r="BG105" s="2541" t="s">
        <v>27</v>
      </c>
      <c r="BH105" s="2541" t="s">
        <v>27</v>
      </c>
      <c r="BI105" s="2541" t="s">
        <v>27</v>
      </c>
      <c r="BJ105" s="2404"/>
      <c r="BK105" s="2541"/>
      <c r="BL105" s="2541"/>
      <c r="BM105" s="2541"/>
      <c r="BN105" s="2404"/>
      <c r="BO105" s="2541" t="s">
        <v>27</v>
      </c>
      <c r="BP105" s="2541" t="s">
        <v>27</v>
      </c>
      <c r="BQ105" s="2541" t="s">
        <v>27</v>
      </c>
      <c r="BR105" s="520"/>
    </row>
    <row r="106" spans="28:70" ht="13.15">
      <c r="AB106" s="2482"/>
      <c r="AC106" s="2492">
        <v>2</v>
      </c>
      <c r="AD106" s="2493" t="s">
        <v>1188</v>
      </c>
      <c r="AE106" s="12"/>
      <c r="AF106" s="398"/>
      <c r="AG106" s="12"/>
      <c r="AH106" s="2492">
        <v>2</v>
      </c>
      <c r="AI106" s="2499" t="e">
        <f>ROUND(AY111,0)</f>
        <v>#N/A</v>
      </c>
      <c r="AJ106" s="12"/>
      <c r="AK106" s="2542" t="s">
        <v>578</v>
      </c>
      <c r="AL106" s="1786" t="e">
        <f>AE123</f>
        <v>#N/A</v>
      </c>
      <c r="AM106" s="1787">
        <f>AE129</f>
        <v>257</v>
      </c>
      <c r="AN106" s="2543" t="e">
        <f>FLOOR(AL106,1)+IF(MOD(AL106,1)&lt;0.26,0,IF(MOD(AL106,1)&lt;0.76,0.5,1))</f>
        <v>#N/A</v>
      </c>
      <c r="AO106" s="2543">
        <f>FLOOR(AM106,1)+IF(MOD(AM106,1)&lt;0.26,0,IF(MOD(AM106,1)&lt;0.76,0.5,1))</f>
        <v>257</v>
      </c>
      <c r="AP106" s="2544" t="e">
        <f>341.0957/(141.5*999.012/(AN106+131.5))^2</f>
        <v>#N/A</v>
      </c>
      <c r="AQ106" s="2544" t="e">
        <f>1+0.8*AP106*(AO106-60)</f>
        <v>#N/A</v>
      </c>
      <c r="AR106" s="2545"/>
      <c r="AS106" s="2546"/>
      <c r="AT106" s="2546"/>
      <c r="AU106" s="2546"/>
      <c r="AV106" s="2547"/>
      <c r="AW106" s="2548" t="e">
        <f>ROUND(EXP(AP106*(AO106-60)*AQ106*-1),4)</f>
        <v>#N/A</v>
      </c>
      <c r="AX106" s="2549" t="e">
        <f>AY106*AW106</f>
        <v>#N/A</v>
      </c>
      <c r="AY106" s="2550" t="e">
        <f>AX105/AW106</f>
        <v>#N/A</v>
      </c>
      <c r="AZ106" s="12"/>
      <c r="BA106" s="12"/>
      <c r="BB106" s="12"/>
      <c r="BC106" s="12"/>
      <c r="BE106" s="520"/>
      <c r="BG106" s="2020" t="s">
        <v>32</v>
      </c>
      <c r="BH106" s="2020" t="s">
        <v>33</v>
      </c>
      <c r="BI106" s="2020" t="s">
        <v>31</v>
      </c>
      <c r="BJ106" s="2404"/>
      <c r="BK106" s="2020" t="s">
        <v>35</v>
      </c>
      <c r="BL106" s="2020" t="s">
        <v>32</v>
      </c>
      <c r="BM106" s="2020" t="s">
        <v>31</v>
      </c>
      <c r="BN106" s="2404"/>
      <c r="BO106" s="2020" t="s">
        <v>34</v>
      </c>
      <c r="BP106" s="2020" t="s">
        <v>35</v>
      </c>
      <c r="BQ106" s="2020" t="s">
        <v>32</v>
      </c>
      <c r="BR106" s="520"/>
    </row>
    <row r="107" spans="28:70">
      <c r="AB107" s="2482"/>
      <c r="AC107" s="2492">
        <v>3</v>
      </c>
      <c r="AD107" s="2493" t="s">
        <v>1189</v>
      </c>
      <c r="AE107" s="12"/>
      <c r="AF107" s="398"/>
      <c r="AG107" s="12"/>
      <c r="AH107" s="2492">
        <v>3</v>
      </c>
      <c r="AI107" s="2499" t="e">
        <f>ROUND(BE118,0)</f>
        <v>#N/A</v>
      </c>
      <c r="AJ107" s="12"/>
      <c r="AK107" s="2551"/>
      <c r="AL107" s="541"/>
      <c r="AM107" s="541"/>
      <c r="AN107" s="541"/>
      <c r="AO107" s="541"/>
      <c r="AP107" s="541"/>
      <c r="AQ107" s="541"/>
      <c r="AR107" s="541"/>
      <c r="AS107" s="541"/>
      <c r="AT107" s="541"/>
      <c r="AU107" s="541"/>
      <c r="AV107" s="541"/>
      <c r="AW107" s="2552"/>
      <c r="AX107" s="12"/>
      <c r="AY107" s="12"/>
      <c r="AZ107" s="12"/>
      <c r="BA107" s="12"/>
      <c r="BB107" s="12"/>
      <c r="BC107" s="12"/>
      <c r="BE107" s="520"/>
      <c r="BG107" s="1650" t="e">
        <f>VLOOKUP(BG108,BG120:BG970,TRUE)</f>
        <v>#N/A</v>
      </c>
      <c r="BH107" s="1651" t="e">
        <f>VLOOKUP(BG107,BG120:BH970,2)</f>
        <v>#N/A</v>
      </c>
      <c r="BI107" s="1652" t="e">
        <f>VLOOKUP(BG107,BG120:BI970,3)</f>
        <v>#N/A</v>
      </c>
      <c r="BJ107" s="33"/>
      <c r="BK107" s="1650" t="e">
        <f>VLOOKUP(BK108,BK120:BK545,TRUE)</f>
        <v>#N/A</v>
      </c>
      <c r="BL107" s="2522" t="e">
        <f>VLOOKUP(BK107,BK120:BL545,2)</f>
        <v>#N/A</v>
      </c>
      <c r="BM107" s="2524" t="e">
        <f>VLOOKUP(BK107,BK120:BM545,3)</f>
        <v>#N/A</v>
      </c>
      <c r="BN107" s="33"/>
      <c r="BO107" s="1650" t="e">
        <f>VLOOKUP(BO108,BO120:BO545,TRUE)</f>
        <v>#N/A</v>
      </c>
      <c r="BP107" s="1651" t="e">
        <f>VLOOKUP(BO107,BO120:BP545,2)</f>
        <v>#N/A</v>
      </c>
      <c r="BQ107" s="1655" t="e">
        <f>VLOOKUP(BO107,BO120:BQ545,3)</f>
        <v>#N/A</v>
      </c>
      <c r="BR107" s="520"/>
    </row>
    <row r="108" spans="28:70" ht="13.15">
      <c r="AB108" s="2482"/>
      <c r="AC108" s="2492">
        <v>4</v>
      </c>
      <c r="AD108" s="2493" t="s">
        <v>1190</v>
      </c>
      <c r="AE108" s="12"/>
      <c r="AF108" s="398"/>
      <c r="AG108" s="12"/>
      <c r="AH108" s="2492">
        <v>4</v>
      </c>
      <c r="AI108" s="2499" t="e">
        <f>ROUND(BE123,0)</f>
        <v>#N/A</v>
      </c>
      <c r="AJ108" s="12"/>
      <c r="AK108" s="2533"/>
      <c r="AL108" s="2534" t="s">
        <v>576</v>
      </c>
      <c r="AM108" s="2535"/>
      <c r="AN108" s="2529" t="s">
        <v>209</v>
      </c>
      <c r="AO108" s="2434"/>
      <c r="AP108" s="2291" t="s">
        <v>210</v>
      </c>
      <c r="AQ108" s="2287" t="s">
        <v>211</v>
      </c>
      <c r="AR108" s="2292"/>
      <c r="AS108" s="2292"/>
      <c r="AT108" s="2288"/>
      <c r="AU108" s="2291" t="s">
        <v>211</v>
      </c>
      <c r="AV108" s="2553" t="s">
        <v>212</v>
      </c>
      <c r="AW108" s="2540" t="s">
        <v>204</v>
      </c>
      <c r="AX108" s="3227" t="s">
        <v>585</v>
      </c>
      <c r="AY108" s="3227" t="s">
        <v>586</v>
      </c>
      <c r="AZ108" s="12"/>
      <c r="BA108" s="12"/>
      <c r="BB108" s="12"/>
      <c r="BC108" s="12"/>
      <c r="BE108" s="520"/>
      <c r="BG108" s="1656" t="e">
        <f>AE123</f>
        <v>#N/A</v>
      </c>
      <c r="BH108" s="1657" t="e">
        <f>ROUND(BH107+((BG108-BG107)/(BG109-BG107))*(BH109-BH107),4)</f>
        <v>#N/A</v>
      </c>
      <c r="BI108" s="1658" t="e">
        <f>ROUND(BI107+((BG108-BG107)/(BG109-BG107))*(BI109-BI107),1)</f>
        <v>#N/A</v>
      </c>
      <c r="BJ108" s="33"/>
      <c r="BK108" s="2528" t="e">
        <f>AE124</f>
        <v>#N/A</v>
      </c>
      <c r="BL108" s="2523" t="e">
        <f>BL107+((BK108-BK107)/(BK109-BK107))*(BL109-BL107)</f>
        <v>#N/A</v>
      </c>
      <c r="BM108" s="2525" t="e">
        <f>BM107+((BK108-BK107)/(BK109-BK107))*(BM109-BM107)</f>
        <v>#N/A</v>
      </c>
      <c r="BN108" s="33"/>
      <c r="BO108" s="1661">
        <f>AE125</f>
        <v>31.3</v>
      </c>
      <c r="BP108" s="1657" t="e">
        <f>ROUND(BP107+((BO108-BO107)/(BO109-BO107))*(BP109-BP107),4)</f>
        <v>#N/A</v>
      </c>
      <c r="BQ108" s="1662" t="e">
        <f>ROUND(BQ107+((BO108-BO107)/(BO109-BO107))*(BQ109-BQ107),2)</f>
        <v>#N/A</v>
      </c>
      <c r="BR108" s="520"/>
    </row>
    <row r="109" spans="28:70">
      <c r="AB109" s="2482"/>
      <c r="AC109" s="2492">
        <v>5</v>
      </c>
      <c r="AD109" s="2493" t="s">
        <v>1191</v>
      </c>
      <c r="AE109" s="12"/>
      <c r="AF109" s="398"/>
      <c r="AG109" s="12"/>
      <c r="AH109" s="2492">
        <v>5</v>
      </c>
      <c r="AI109" s="2485" t="e">
        <f>ROUND(AY130,1)</f>
        <v>#DIV/0!</v>
      </c>
      <c r="AJ109" s="12"/>
      <c r="AK109" s="1091"/>
      <c r="AL109" s="1607" t="s">
        <v>18</v>
      </c>
      <c r="AM109" s="1607" t="s">
        <v>205</v>
      </c>
      <c r="AN109" s="2529" t="s">
        <v>18</v>
      </c>
      <c r="AO109" s="2529" t="s">
        <v>205</v>
      </c>
      <c r="AP109" s="2299"/>
      <c r="AQ109" s="2296" t="s">
        <v>213</v>
      </c>
      <c r="AR109" s="2296" t="s">
        <v>214</v>
      </c>
      <c r="AS109" s="2296" t="s">
        <v>215</v>
      </c>
      <c r="AT109" s="2296" t="s">
        <v>216</v>
      </c>
      <c r="AU109" s="2299"/>
      <c r="AV109" s="2476"/>
      <c r="AW109" s="1092" t="s">
        <v>217</v>
      </c>
      <c r="AX109" s="3227"/>
      <c r="AY109" s="3227"/>
      <c r="AZ109" s="12"/>
      <c r="BA109" s="12"/>
      <c r="BB109" s="12"/>
      <c r="BC109" s="12"/>
      <c r="BE109" s="520"/>
      <c r="BG109" s="1650" t="e">
        <f>INDEX(BG120:BG970,(MATCH(BG107,BG120:BG970,1)+1))</f>
        <v>#N/A</v>
      </c>
      <c r="BH109" s="1651" t="e">
        <f>VLOOKUP(BG109,BG120:BH970,2)</f>
        <v>#N/A</v>
      </c>
      <c r="BI109" s="1652" t="e">
        <f>VLOOKUP(BG109,BG120:BI970,3)</f>
        <v>#N/A</v>
      </c>
      <c r="BJ109" s="33"/>
      <c r="BK109" s="1650" t="e">
        <f>INDEX(BK120:BK545,(MATCH(BK107,BK120:BK545,1)+1))</f>
        <v>#N/A</v>
      </c>
      <c r="BL109" s="2522" t="e">
        <f>VLOOKUP(BK109,BK120:BL545,2)</f>
        <v>#N/A</v>
      </c>
      <c r="BM109" s="2524" t="e">
        <f>VLOOKUP(BK109,BK120:BM545,3)</f>
        <v>#N/A</v>
      </c>
      <c r="BN109" s="33"/>
      <c r="BO109" s="1650" t="e">
        <f>INDEX(BO120:BO545,(MATCH(BO107,BO120:BO545,1)+1))</f>
        <v>#N/A</v>
      </c>
      <c r="BP109" s="1651" t="e">
        <f>VLOOKUP(BO109,BO120:BP545,2)</f>
        <v>#N/A</v>
      </c>
      <c r="BQ109" s="1655" t="e">
        <f>VLOOKUP(BO109,BO120:BQ545,3)</f>
        <v>#N/A</v>
      </c>
      <c r="BR109" s="520"/>
    </row>
    <row r="110" spans="28:70" ht="13.15">
      <c r="AB110" s="2482"/>
      <c r="AC110" s="2486">
        <v>6</v>
      </c>
      <c r="AD110" s="1095" t="s">
        <v>1192</v>
      </c>
      <c r="AE110" s="2494"/>
      <c r="AF110" s="2495"/>
      <c r="AG110" s="12"/>
      <c r="AH110" s="2486">
        <v>6</v>
      </c>
      <c r="AI110" s="2487" t="e">
        <f>ROUND(AY135,1)</f>
        <v>#DIV/0!</v>
      </c>
      <c r="AJ110" s="12"/>
      <c r="AK110" s="2554" t="s">
        <v>577</v>
      </c>
      <c r="AL110" s="1786" t="e">
        <f>AE123</f>
        <v>#N/A</v>
      </c>
      <c r="AM110" s="1787">
        <f>AE127</f>
        <v>230</v>
      </c>
      <c r="AN110" s="2543" t="e">
        <f>FLOOR(AL110,1)+IF(MOD(AL110,1)&lt;0.26,0,IF(MOD(AL110,1)&lt;0.76,0.5,1))</f>
        <v>#N/A</v>
      </c>
      <c r="AO110" s="2543">
        <f>FLOOR(AM110,1)+IF(MOD(AM110,1)&lt;0.26,0,IF(MOD(AM110,1)&lt;0.76,0.5,1))</f>
        <v>230</v>
      </c>
      <c r="AP110" s="1607" t="e">
        <f>(141.5*999.012 )/(AN110+131.5)</f>
        <v>#N/A</v>
      </c>
      <c r="AQ110" s="1607" t="e">
        <f>IF(AN110&lt;37,(103.872/AP110^2)+(0.2701/AP110),0)</f>
        <v>#N/A</v>
      </c>
      <c r="AR110" s="1607" t="e">
        <f>IF(AND(AN110&gt;=37,AN110&lt;48),330.301/AP110^2,0)</f>
        <v>#N/A</v>
      </c>
      <c r="AS110" s="1607" t="e">
        <f>IF(AND(AN110&gt;=48,AN110&lt;52),((1489.067/AP110^2)-0.0018684),0)</f>
        <v>#N/A</v>
      </c>
      <c r="AT110" s="1607" t="e">
        <f>IF(AND(AN110&gt;=52,AN110&lt;85),(192.4571/AP110^2)+(0.2438/AP110),0)</f>
        <v>#N/A</v>
      </c>
      <c r="AU110" s="1687" t="e">
        <f>MAX(AQ110:AT110)</f>
        <v>#N/A</v>
      </c>
      <c r="AV110" s="1607" t="e">
        <f>1+0.8*AU110*(AO110-60)</f>
        <v>#N/A</v>
      </c>
      <c r="AW110" s="1093" t="e">
        <f>ROUND(EXP(AU110*(AO110-60)*AV110*-1),4)</f>
        <v>#N/A</v>
      </c>
      <c r="AX110" s="2549" t="e">
        <f>AY110*AW110</f>
        <v>#N/A</v>
      </c>
      <c r="AY110" s="2550">
        <f>AE118</f>
        <v>107000</v>
      </c>
      <c r="AZ110" s="12"/>
      <c r="BA110" s="12"/>
      <c r="BB110" s="12"/>
      <c r="BC110" s="12"/>
      <c r="BE110" s="520"/>
      <c r="BG110" s="1681"/>
      <c r="BH110" s="1682"/>
      <c r="BI110" s="1683"/>
      <c r="BJ110" s="33"/>
      <c r="BK110" s="12"/>
      <c r="BL110" s="2555"/>
      <c r="BM110" s="12"/>
      <c r="BN110" s="33"/>
      <c r="BO110" s="1681"/>
      <c r="BP110" s="1682"/>
      <c r="BQ110" s="1682"/>
      <c r="BR110" s="520"/>
    </row>
    <row r="111" spans="28:70" ht="13.15">
      <c r="AB111" s="2482"/>
      <c r="AG111" s="12"/>
      <c r="AH111" s="12"/>
      <c r="AI111" s="12"/>
      <c r="AJ111" s="12"/>
      <c r="AK111" s="2542" t="s">
        <v>578</v>
      </c>
      <c r="AL111" s="1786" t="e">
        <f>AE123</f>
        <v>#N/A</v>
      </c>
      <c r="AM111" s="1787">
        <f>AE129</f>
        <v>257</v>
      </c>
      <c r="AN111" s="2543" t="e">
        <f>FLOOR(AL111,1)+IF(MOD(AL111,1)&lt;0.26,0,IF(MOD(AL111,1)&lt;0.76,0.5,1))</f>
        <v>#N/A</v>
      </c>
      <c r="AO111" s="2543">
        <f>FLOOR(AM111,1)+IF(MOD(AM111,1)&lt;0.26,0,IF(MOD(AM111,1)&lt;0.76,0.5,1))</f>
        <v>257</v>
      </c>
      <c r="AP111" s="1607" t="e">
        <f>(141.5*999.012 )/(AN111+131.5)</f>
        <v>#N/A</v>
      </c>
      <c r="AQ111" s="1607" t="e">
        <f>IF(AN111&lt;37,(103.872/AP111^2)+(0.2701/AP111),0)</f>
        <v>#N/A</v>
      </c>
      <c r="AR111" s="1607" t="e">
        <f>IF(AND(AN111&gt;=37,AN111&lt;48),330.301/AP111^2,0)</f>
        <v>#N/A</v>
      </c>
      <c r="AS111" s="1607" t="e">
        <f>IF(AND(AN111&gt;=48,AN111&lt;52),((1489.067/AP111^2)-0.0018684),0)</f>
        <v>#N/A</v>
      </c>
      <c r="AT111" s="1607" t="e">
        <f>IF(AND(AN111&gt;=52,AN111&lt;85),(192.4571/AP111^2)+(0.2438/AP111),0)</f>
        <v>#N/A</v>
      </c>
      <c r="AU111" s="1687" t="e">
        <f>MAX(AQ111:AT111)</f>
        <v>#N/A</v>
      </c>
      <c r="AV111" s="1607" t="e">
        <f>1+0.8*AU111*(AO111-60)</f>
        <v>#N/A</v>
      </c>
      <c r="AW111" s="1093" t="e">
        <f>ROUND(EXP(AU111*(AO111-60)*AV111*-1),4)</f>
        <v>#N/A</v>
      </c>
      <c r="AX111" s="2549" t="e">
        <f>AY111*AW111</f>
        <v>#N/A</v>
      </c>
      <c r="AY111" s="2550" t="e">
        <f>AX110/AW111</f>
        <v>#N/A</v>
      </c>
      <c r="AZ111" s="171"/>
      <c r="BA111" s="171"/>
      <c r="BB111" s="171"/>
      <c r="BC111" s="171"/>
      <c r="BE111" s="520"/>
      <c r="BG111" s="1650" t="e">
        <f>VLOOKUP(BG112,BG120:BG970,TRUE)</f>
        <v>#N/A</v>
      </c>
      <c r="BH111" s="1651" t="e">
        <f>VLOOKUP(BG111,BG120:BH970,2)</f>
        <v>#N/A</v>
      </c>
      <c r="BI111" s="1652" t="e">
        <f>VLOOKUP(BG111,BG120:BI970,3)</f>
        <v>#N/A</v>
      </c>
      <c r="BJ111" s="33"/>
      <c r="BK111" s="1650" t="e">
        <f>VLOOKUP(BK112,BK120:BK970,TRUE)</f>
        <v>#N/A</v>
      </c>
      <c r="BL111" s="2522" t="e">
        <f>VLOOKUP(BK111,BK120:BL545,2)</f>
        <v>#N/A</v>
      </c>
      <c r="BM111" s="2524" t="e">
        <f>VLOOKUP(BK111,BK120:BM545,3)</f>
        <v>#N/A</v>
      </c>
      <c r="BN111" s="33"/>
      <c r="BO111" s="1650" t="e">
        <f>VLOOKUP(BO112,BO120:BO545,TRUE)</f>
        <v>#N/A</v>
      </c>
      <c r="BP111" s="1651" t="e">
        <f>VLOOKUP(BO111,BO120:BP545,2)</f>
        <v>#N/A</v>
      </c>
      <c r="BQ111" s="1655" t="e">
        <f>VLOOKUP(BO111,BO120:BQ545,3)</f>
        <v>#N/A</v>
      </c>
      <c r="BR111" s="520"/>
    </row>
    <row r="112" spans="28:70" ht="13.15">
      <c r="AB112" s="2482"/>
      <c r="AK112" s="2482"/>
      <c r="AL112" s="171"/>
      <c r="AM112" s="171"/>
      <c r="AN112" s="171"/>
      <c r="AO112" s="171"/>
      <c r="AP112" s="171"/>
      <c r="AQ112" s="171"/>
      <c r="AR112" s="171"/>
      <c r="AS112" s="171"/>
      <c r="AT112" s="171"/>
      <c r="AU112" s="171"/>
      <c r="AV112" s="171"/>
      <c r="AW112" s="171"/>
      <c r="AX112" s="171"/>
      <c r="AY112" s="171"/>
      <c r="AZ112" s="171"/>
      <c r="BA112" s="171"/>
      <c r="BB112" s="171"/>
      <c r="BC112" s="171"/>
      <c r="BE112" s="520"/>
      <c r="BG112" s="1656" t="e">
        <f>AE123</f>
        <v>#N/A</v>
      </c>
      <c r="BH112" s="1657" t="e">
        <f>BH111+((BG112-BG111)/(BG113-BG111))*(BH113-BH111)</f>
        <v>#N/A</v>
      </c>
      <c r="BI112" s="1658" t="e">
        <f>BI111+((BG112-BG111)/(BG113-BG111))*(BI113-BI111)</f>
        <v>#N/A</v>
      </c>
      <c r="BJ112" s="33"/>
      <c r="BK112" s="2528" t="e">
        <f>AE124</f>
        <v>#N/A</v>
      </c>
      <c r="BL112" s="2523" t="e">
        <f>BL111+((BK112-BK111)/(BK113-BK111))*(BL113-BL111)</f>
        <v>#N/A</v>
      </c>
      <c r="BM112" s="2525" t="e">
        <f>BM111+((BK112-BK111)/(BK113-BK111))*(BM113-BM111)</f>
        <v>#N/A</v>
      </c>
      <c r="BN112" s="33"/>
      <c r="BO112" s="1661">
        <f>AE125</f>
        <v>31.3</v>
      </c>
      <c r="BP112" s="1657" t="e">
        <f>BP111+((BO112-BO111)/(BO113-BO111))*(BP113-BP111)</f>
        <v>#N/A</v>
      </c>
      <c r="BQ112" s="1662" t="e">
        <f>BQ111+((BO112-BO111)/(BO113-BO111))*(BQ113-BQ111)</f>
        <v>#N/A</v>
      </c>
      <c r="BR112" s="520"/>
    </row>
    <row r="113" spans="28:70">
      <c r="AB113" s="2482"/>
      <c r="AK113" s="2482"/>
      <c r="AL113" s="171"/>
      <c r="AM113" s="171"/>
      <c r="AN113" s="171"/>
      <c r="AO113" s="171"/>
      <c r="AP113" s="171"/>
      <c r="AQ113" s="171"/>
      <c r="AR113" s="171"/>
      <c r="AS113" s="171"/>
      <c r="AT113" s="171"/>
      <c r="AU113" s="171"/>
      <c r="AV113" s="171"/>
      <c r="AW113" s="171"/>
      <c r="AX113" s="171"/>
      <c r="AY113" s="171"/>
      <c r="AZ113" s="171"/>
      <c r="BA113" s="171"/>
      <c r="BB113" s="171"/>
      <c r="BC113" s="171"/>
      <c r="BE113" s="520"/>
      <c r="BG113" s="2422" t="e">
        <f>INDEX(BG120:BG970,(MATCH(BG111,BG120:BG970,1)+1))</f>
        <v>#N/A</v>
      </c>
      <c r="BH113" s="2423" t="e">
        <f>VLOOKUP(BG113,BG120:BH970,2)</f>
        <v>#N/A</v>
      </c>
      <c r="BI113" s="2424" t="e">
        <f>VLOOKUP(BG113,BG120:BI970,3)</f>
        <v>#N/A</v>
      </c>
      <c r="BJ113" s="33"/>
      <c r="BK113" s="2422" t="e">
        <f>INDEX(BK120:BK545,(MATCH(BK111,BK120:BK545,1)+1))</f>
        <v>#N/A</v>
      </c>
      <c r="BL113" s="2526" t="e">
        <f>VLOOKUP(BK113,BK120:BL545,2)</f>
        <v>#N/A</v>
      </c>
      <c r="BM113" s="2527" t="e">
        <f>VLOOKUP(BK113,BK120:BM545,3)</f>
        <v>#N/A</v>
      </c>
      <c r="BN113" s="33"/>
      <c r="BO113" s="2422" t="e">
        <f>INDEX(BO120:BO545,(MATCH(BO111,BO120:BO545,1)+1))</f>
        <v>#N/A</v>
      </c>
      <c r="BP113" s="2423" t="e">
        <f>VLOOKUP(BO113,BO120:BP545,2)</f>
        <v>#N/A</v>
      </c>
      <c r="BQ113" s="2427" t="e">
        <f>VLOOKUP(BO113,BO120:BQ545,3)</f>
        <v>#N/A</v>
      </c>
      <c r="BR113" s="520"/>
    </row>
    <row r="114" spans="28:70" ht="13.15">
      <c r="AB114" s="2482"/>
      <c r="AC114" s="3243" t="s">
        <v>1198</v>
      </c>
      <c r="AD114" s="3244"/>
      <c r="AE114" s="3244"/>
      <c r="AF114" s="3244"/>
      <c r="AG114" s="3244"/>
      <c r="AH114" s="3244"/>
      <c r="AI114" s="3245"/>
      <c r="AK114" s="2529" t="s">
        <v>325</v>
      </c>
      <c r="AL114" s="2434"/>
      <c r="AM114" s="2434"/>
      <c r="AN114" s="2434"/>
      <c r="AO114" s="2434"/>
      <c r="AP114" s="2434"/>
      <c r="AQ114" s="2434"/>
      <c r="AR114" s="2434"/>
      <c r="AS114" s="2434"/>
      <c r="AT114" s="2434"/>
      <c r="AU114" s="2434"/>
      <c r="AV114" s="2434"/>
      <c r="AW114" s="2434"/>
      <c r="AX114" s="2434"/>
      <c r="AY114" s="2434"/>
      <c r="AZ114" s="2434"/>
      <c r="BA114" s="2434"/>
      <c r="BB114" s="2434"/>
      <c r="BC114" s="2530"/>
      <c r="BD114" s="2434"/>
      <c r="BE114" s="2530"/>
      <c r="BG114" s="2301" t="s">
        <v>985</v>
      </c>
      <c r="BH114" s="2292"/>
      <c r="BI114" s="2292"/>
      <c r="BJ114" s="2434"/>
      <c r="BK114" s="2292"/>
      <c r="BL114" s="2292"/>
      <c r="BM114" s="2292"/>
      <c r="BN114" s="2434"/>
      <c r="BO114" s="2292"/>
      <c r="BP114" s="2292"/>
      <c r="BQ114" s="2292"/>
      <c r="BR114" s="520"/>
    </row>
    <row r="115" spans="28:70" ht="13.15">
      <c r="AB115" s="2482"/>
      <c r="AC115" s="2839"/>
      <c r="AD115" s="2840"/>
      <c r="AE115" s="2841"/>
      <c r="AF115" s="2840"/>
      <c r="AG115" s="2840"/>
      <c r="AH115" s="2840"/>
      <c r="AI115" s="2842" t="s">
        <v>1280</v>
      </c>
      <c r="AK115" s="2533"/>
      <c r="AL115" s="2534" t="s">
        <v>576</v>
      </c>
      <c r="AM115" s="2535"/>
      <c r="AN115" s="2529" t="s">
        <v>302</v>
      </c>
      <c r="AO115" s="2434"/>
      <c r="AP115" s="2371" t="s">
        <v>307</v>
      </c>
      <c r="AQ115" s="3237" t="s">
        <v>308</v>
      </c>
      <c r="AR115" s="3238"/>
      <c r="AS115" s="3229" t="s">
        <v>311</v>
      </c>
      <c r="AT115" s="3230"/>
      <c r="AU115" s="3230"/>
      <c r="AV115" s="3231"/>
      <c r="AW115" s="2371" t="s">
        <v>316</v>
      </c>
      <c r="AX115" s="3229" t="s">
        <v>322</v>
      </c>
      <c r="AY115" s="3230"/>
      <c r="AZ115" s="3230"/>
      <c r="BA115" s="3230"/>
      <c r="BB115" s="3231"/>
      <c r="BC115" s="2540" t="s">
        <v>204</v>
      </c>
      <c r="BD115" s="3227" t="s">
        <v>585</v>
      </c>
      <c r="BE115" s="3227" t="s">
        <v>586</v>
      </c>
      <c r="BG115" s="2428" t="s">
        <v>11</v>
      </c>
      <c r="BH115" s="2429"/>
      <c r="BI115" s="2429"/>
      <c r="BJ115" s="2406"/>
      <c r="BK115" s="2556" t="s">
        <v>111</v>
      </c>
      <c r="BL115" s="2557"/>
      <c r="BM115" s="2557"/>
      <c r="BN115" s="2406"/>
      <c r="BO115" s="2431" t="s">
        <v>12</v>
      </c>
      <c r="BP115" s="2432"/>
      <c r="BQ115" s="2433"/>
      <c r="BR115" s="520"/>
    </row>
    <row r="116" spans="28:70" ht="15">
      <c r="AB116" s="2482"/>
      <c r="AC116" s="2482"/>
      <c r="AD116" s="2496" t="s">
        <v>1279</v>
      </c>
      <c r="AE116" s="2509">
        <f>G10</f>
        <v>110000</v>
      </c>
      <c r="AF116" s="2846" t="str">
        <f>IF(AC104&lt;5," Bbls"," Cub.m.")</f>
        <v xml:space="preserve"> Cub.m.</v>
      </c>
      <c r="AI116" s="2843"/>
      <c r="AK116" s="1091"/>
      <c r="AL116" s="1607" t="s">
        <v>251</v>
      </c>
      <c r="AM116" s="1607" t="s">
        <v>301</v>
      </c>
      <c r="AN116" s="2558" t="s">
        <v>251</v>
      </c>
      <c r="AO116" s="2529" t="s">
        <v>205</v>
      </c>
      <c r="AP116" s="2372" t="s">
        <v>306</v>
      </c>
      <c r="AQ116" s="2372" t="s">
        <v>1193</v>
      </c>
      <c r="AR116" s="2372" t="s">
        <v>1194</v>
      </c>
      <c r="AS116" s="2372" t="s">
        <v>1195</v>
      </c>
      <c r="AT116" s="2372" t="s">
        <v>1196</v>
      </c>
      <c r="AU116" s="2372" t="s">
        <v>1197</v>
      </c>
      <c r="AV116" s="2559" t="s">
        <v>315</v>
      </c>
      <c r="AW116" s="2559" t="s">
        <v>317</v>
      </c>
      <c r="AX116" s="2477" t="s">
        <v>319</v>
      </c>
      <c r="AY116" s="2477" t="s">
        <v>318</v>
      </c>
      <c r="AZ116" s="2477" t="s">
        <v>320</v>
      </c>
      <c r="BA116" s="2477" t="s">
        <v>321</v>
      </c>
      <c r="BB116" s="2560" t="s">
        <v>323</v>
      </c>
      <c r="BC116" s="1092" t="s">
        <v>304</v>
      </c>
      <c r="BD116" s="3227"/>
      <c r="BE116" s="3227"/>
      <c r="BG116" s="2408" t="s">
        <v>18</v>
      </c>
      <c r="BH116" s="2409" t="s">
        <v>19</v>
      </c>
      <c r="BI116" s="2410" t="s">
        <v>20</v>
      </c>
      <c r="BJ116" s="2406"/>
      <c r="BK116" s="177" t="s">
        <v>19</v>
      </c>
      <c r="BL116" s="178" t="s">
        <v>18</v>
      </c>
      <c r="BM116" s="179" t="s">
        <v>20</v>
      </c>
      <c r="BN116" s="2406"/>
      <c r="BO116" s="2408" t="s">
        <v>20</v>
      </c>
      <c r="BP116" s="2409" t="s">
        <v>19</v>
      </c>
      <c r="BQ116" s="2410" t="s">
        <v>18</v>
      </c>
      <c r="BR116" s="520"/>
    </row>
    <row r="117" spans="28:70" ht="13.25" customHeight="1">
      <c r="AB117" s="2482"/>
      <c r="AC117" s="2482"/>
      <c r="AD117" s="2496" t="str">
        <f>IF(AC104&lt;3,"A.P.I. ",IF(AC104&lt;5,"Relative Dencity","Density "))</f>
        <v xml:space="preserve">Density </v>
      </c>
      <c r="AE117" s="2508">
        <f>G11</f>
        <v>31.3</v>
      </c>
      <c r="AF117" s="2846" t="str">
        <f>IF(AC104&lt;5,"",IF(AE117&gt;1," kg/m³@15°C"," kg/L@15°C"))</f>
        <v xml:space="preserve"> kg/m³@15°C</v>
      </c>
      <c r="AI117" s="2843"/>
      <c r="AK117" s="2542" t="s">
        <v>577</v>
      </c>
      <c r="AL117" s="2561" t="e">
        <f>AE124</f>
        <v>#N/A</v>
      </c>
      <c r="AM117" s="1786">
        <f>AE127</f>
        <v>230</v>
      </c>
      <c r="AN117" s="2562" t="e">
        <f>MROUND(AL117,0.002)</f>
        <v>#N/A</v>
      </c>
      <c r="AO117" s="2543">
        <f>FLOOR(AM117,1)+IF(MOD(AM117,1)&lt;0.26,0,IF(MOD(AM117,1)&lt;0.76,0.5,1))</f>
        <v>230</v>
      </c>
      <c r="AP117" s="1607" t="e">
        <f>MROUND(AN117*999.012,0.01)</f>
        <v>#N/A</v>
      </c>
      <c r="AQ117" s="1607">
        <v>341.09570000000002</v>
      </c>
      <c r="AR117" s="2563">
        <v>0</v>
      </c>
      <c r="AS117" s="2564" t="e">
        <f>TRUNC(AQ117/AP117,8)</f>
        <v>#N/A</v>
      </c>
      <c r="AT117" s="2565" t="e">
        <f>TRUNC(AS117/AP117,10)</f>
        <v>#N/A</v>
      </c>
      <c r="AU117" s="2566" t="e">
        <f>AR117/AP117</f>
        <v>#N/A</v>
      </c>
      <c r="AV117" s="2567" t="e">
        <f>MROUND(AT117+AU117,0.0000001)</f>
        <v>#N/A</v>
      </c>
      <c r="AW117" s="2568">
        <f>AO117-60</f>
        <v>170</v>
      </c>
      <c r="AX117" s="2569" t="e">
        <f>AV117*AW117</f>
        <v>#N/A</v>
      </c>
      <c r="AY117" s="2569" t="e">
        <f>0.8*AX117</f>
        <v>#N/A</v>
      </c>
      <c r="AZ117" s="2569" t="e">
        <f>0.8*AV117^2*AW117^2</f>
        <v>#N/A</v>
      </c>
      <c r="BA117" s="2569" t="e">
        <f>-AX117-AZ117</f>
        <v>#N/A</v>
      </c>
      <c r="BB117" s="2563" t="e">
        <f>TRUNC(EXP(BA117),6)</f>
        <v>#N/A</v>
      </c>
      <c r="BC117" s="2570" t="e">
        <f>ROUND(MROUND(BB117,0.00001),4)</f>
        <v>#N/A</v>
      </c>
      <c r="BD117" s="2549" t="e">
        <f>BE117*BC117</f>
        <v>#N/A</v>
      </c>
      <c r="BE117" s="2550">
        <f>AE118</f>
        <v>107000</v>
      </c>
      <c r="BG117" s="2412" t="s">
        <v>26</v>
      </c>
      <c r="BH117" s="2413" t="s">
        <v>20</v>
      </c>
      <c r="BI117" s="2414"/>
      <c r="BJ117" s="2406"/>
      <c r="BK117" s="180" t="s">
        <v>20</v>
      </c>
      <c r="BL117" s="181" t="s">
        <v>26</v>
      </c>
      <c r="BM117" s="182"/>
      <c r="BN117" s="2406"/>
      <c r="BO117" s="2412"/>
      <c r="BP117" s="2415" t="s">
        <v>20</v>
      </c>
      <c r="BQ117" s="2414" t="s">
        <v>26</v>
      </c>
      <c r="BR117" s="520"/>
    </row>
    <row r="118" spans="28:70" ht="13.15">
      <c r="AB118" s="2482"/>
      <c r="AC118" s="2482"/>
      <c r="AD118" s="2496" t="s">
        <v>571</v>
      </c>
      <c r="AE118" s="2509">
        <f>G12</f>
        <v>107000</v>
      </c>
      <c r="AF118" s="2846" t="str">
        <f>IF(AC104&lt;5," Bbls @obs.temp."," Cub.m.@obs.temp.")</f>
        <v xml:space="preserve"> Cub.m.@obs.temp.</v>
      </c>
      <c r="AI118" s="2844">
        <f>100*AE118/AE116</f>
        <v>97.272727272727266</v>
      </c>
      <c r="AK118" s="2542" t="s">
        <v>578</v>
      </c>
      <c r="AL118" s="2561" t="e">
        <f>AE124</f>
        <v>#N/A</v>
      </c>
      <c r="AM118" s="1786">
        <f>AE129</f>
        <v>257</v>
      </c>
      <c r="AN118" s="2562" t="e">
        <f>MROUND(AL118,0.002)</f>
        <v>#N/A</v>
      </c>
      <c r="AO118" s="2543">
        <f>FLOOR(AM118,1)+IF(MOD(AM118,1)&lt;0.26,0,IF(MOD(AM118,1)&lt;0.76,0.5,1))</f>
        <v>257</v>
      </c>
      <c r="AP118" s="1607" t="e">
        <f>MROUND(AN118*999.012,0.01)</f>
        <v>#N/A</v>
      </c>
      <c r="AQ118" s="1607">
        <v>341.09570000000002</v>
      </c>
      <c r="AR118" s="2563">
        <v>0</v>
      </c>
      <c r="AS118" s="2564" t="e">
        <f>TRUNC(AQ118/AP118,8)</f>
        <v>#N/A</v>
      </c>
      <c r="AT118" s="2565" t="e">
        <f>TRUNC(AS118/AP118,10)</f>
        <v>#N/A</v>
      </c>
      <c r="AU118" s="2566" t="e">
        <f>AR118/AP118</f>
        <v>#N/A</v>
      </c>
      <c r="AV118" s="2567" t="e">
        <f>MROUND(AT118+AU118,0.0000001)</f>
        <v>#N/A</v>
      </c>
      <c r="AW118" s="2568">
        <f>AO118-60</f>
        <v>197</v>
      </c>
      <c r="AX118" s="2569" t="e">
        <f>AV118*AW118</f>
        <v>#N/A</v>
      </c>
      <c r="AY118" s="2569" t="e">
        <f>0.8*AX118</f>
        <v>#N/A</v>
      </c>
      <c r="AZ118" s="2569" t="e">
        <f>0.8*AV118^2*AW118^2</f>
        <v>#N/A</v>
      </c>
      <c r="BA118" s="2569" t="e">
        <f>-AX118-AZ118</f>
        <v>#N/A</v>
      </c>
      <c r="BB118" s="2563" t="e">
        <f>TRUNC(EXP(BA118),6)</f>
        <v>#N/A</v>
      </c>
      <c r="BC118" s="2570" t="e">
        <f>ROUND(MROUND(BB118,0.00001),4)</f>
        <v>#N/A</v>
      </c>
      <c r="BD118" s="2549" t="e">
        <f>BE118*BC118</f>
        <v>#N/A</v>
      </c>
      <c r="BE118" s="2550" t="e">
        <f>BD117/BC118</f>
        <v>#N/A</v>
      </c>
      <c r="BG118" s="2412"/>
      <c r="BH118" s="2413"/>
      <c r="BI118" s="2414"/>
      <c r="BJ118" s="2406"/>
      <c r="BK118" s="180"/>
      <c r="BL118" s="181"/>
      <c r="BM118" s="182"/>
      <c r="BN118" s="2406"/>
      <c r="BO118" s="2412"/>
      <c r="BP118" s="2415"/>
      <c r="BQ118" s="2414"/>
      <c r="BR118" s="520"/>
    </row>
    <row r="119" spans="28:70">
      <c r="AB119" s="2482"/>
      <c r="AC119" s="2482"/>
      <c r="AD119" s="2496" t="s">
        <v>572</v>
      </c>
      <c r="AE119" s="2510">
        <f>G13</f>
        <v>110</v>
      </c>
      <c r="AF119" s="2846" t="str">
        <f>IF(AC104&lt;5," °F"," °C")</f>
        <v xml:space="preserve"> °C</v>
      </c>
      <c r="AI119" s="2843"/>
      <c r="AK119" s="2551"/>
      <c r="AL119" s="2551"/>
      <c r="AM119" s="541"/>
      <c r="AN119" s="561"/>
      <c r="AO119" s="561"/>
      <c r="AP119" s="561"/>
      <c r="AQ119" s="541"/>
      <c r="AR119" s="541"/>
      <c r="AS119" s="541"/>
      <c r="AT119" s="541"/>
      <c r="AU119" s="541"/>
      <c r="AV119" s="5"/>
      <c r="AW119" s="5"/>
      <c r="AX119" s="5"/>
      <c r="AY119" s="5"/>
      <c r="AZ119" s="5"/>
      <c r="BA119" s="5"/>
      <c r="BB119" s="5"/>
      <c r="BC119" s="542"/>
      <c r="BD119" s="12"/>
      <c r="BE119" s="398"/>
      <c r="BG119" s="2416" t="s">
        <v>32</v>
      </c>
      <c r="BH119" s="2417" t="s">
        <v>33</v>
      </c>
      <c r="BI119" s="2418" t="s">
        <v>31</v>
      </c>
      <c r="BJ119" s="2406"/>
      <c r="BK119" s="2571" t="s">
        <v>35</v>
      </c>
      <c r="BL119" s="2572" t="s">
        <v>32</v>
      </c>
      <c r="BM119" s="2573" t="s">
        <v>31</v>
      </c>
      <c r="BN119" s="2406"/>
      <c r="BO119" s="2416" t="s">
        <v>34</v>
      </c>
      <c r="BP119" s="2419" t="s">
        <v>35</v>
      </c>
      <c r="BQ119" s="2418" t="s">
        <v>32</v>
      </c>
      <c r="BR119" s="520"/>
    </row>
    <row r="120" spans="28:70" ht="13.15">
      <c r="AB120" s="2482"/>
      <c r="AC120" s="2482"/>
      <c r="AD120" s="2496" t="s">
        <v>573</v>
      </c>
      <c r="AE120" s="2510">
        <f>G14</f>
        <v>125</v>
      </c>
      <c r="AF120" s="2846" t="str">
        <f>IF(AC104&lt;5," °F"," °C")</f>
        <v xml:space="preserve"> °C</v>
      </c>
      <c r="AI120" s="2843"/>
      <c r="AK120" s="2533"/>
      <c r="AL120" s="2534" t="s">
        <v>576</v>
      </c>
      <c r="AM120" s="2535"/>
      <c r="AN120" s="2529" t="s">
        <v>303</v>
      </c>
      <c r="AO120" s="2434"/>
      <c r="AP120" s="1606" t="s">
        <v>307</v>
      </c>
      <c r="AQ120" s="3232" t="s">
        <v>308</v>
      </c>
      <c r="AR120" s="3233"/>
      <c r="AS120" s="3234" t="s">
        <v>311</v>
      </c>
      <c r="AT120" s="3235"/>
      <c r="AU120" s="3235"/>
      <c r="AV120" s="3236"/>
      <c r="AW120" s="1606" t="s">
        <v>316</v>
      </c>
      <c r="AX120" s="3234" t="s">
        <v>322</v>
      </c>
      <c r="AY120" s="3235"/>
      <c r="AZ120" s="3235"/>
      <c r="BA120" s="3235"/>
      <c r="BB120" s="3236"/>
      <c r="BC120" s="2540" t="s">
        <v>204</v>
      </c>
      <c r="BD120" s="3227" t="s">
        <v>581</v>
      </c>
      <c r="BE120" s="3227" t="s">
        <v>582</v>
      </c>
      <c r="BG120" s="30">
        <v>0</v>
      </c>
      <c r="BH120" s="31">
        <v>1.0760000000000001</v>
      </c>
      <c r="BI120" s="32">
        <v>1075.3</v>
      </c>
      <c r="BJ120" s="33"/>
      <c r="BK120" s="2574">
        <v>0.65</v>
      </c>
      <c r="BL120" s="2575"/>
      <c r="BM120" s="2576"/>
      <c r="BN120" s="33"/>
      <c r="BO120" s="1713">
        <v>650</v>
      </c>
      <c r="BP120" s="1714"/>
      <c r="BQ120" s="1715"/>
      <c r="BR120" s="520"/>
    </row>
    <row r="121" spans="28:70">
      <c r="AB121" s="2482"/>
      <c r="AC121" s="2482"/>
      <c r="AD121" s="2496" t="s">
        <v>574</v>
      </c>
      <c r="AE121" s="2509" t="e">
        <f>AI104</f>
        <v>#DIV/0!</v>
      </c>
      <c r="AF121" s="2846" t="str">
        <f>IF(AC104&lt;5," Bbls @obs.temp."," Cub.m.@obs.temp.")</f>
        <v xml:space="preserve"> Cub.m.@obs.temp.</v>
      </c>
      <c r="AI121" s="2844" t="e">
        <f>100*AE121/AE116</f>
        <v>#DIV/0!</v>
      </c>
      <c r="AK121" s="1091"/>
      <c r="AL121" s="1607" t="s">
        <v>251</v>
      </c>
      <c r="AM121" s="1607" t="s">
        <v>301</v>
      </c>
      <c r="AN121" s="2558" t="s">
        <v>251</v>
      </c>
      <c r="AO121" s="2529" t="s">
        <v>205</v>
      </c>
      <c r="AP121" s="1607" t="s">
        <v>306</v>
      </c>
      <c r="AQ121" s="1607" t="e">
        <f>IF(AN122&gt;=0.839,"Kₒ",IF(AN122&gt;=0.789,"Kₒ",IF(AN122&gt;=0.771,"B","Kₒ")))</f>
        <v>#N/A</v>
      </c>
      <c r="AR121" s="1607" t="e">
        <f>IF(AN122&gt;=0.839,"K1",IF(AN122&gt;=0.789,"K1",IF(AN122&gt;=0.771,"A","K1")))</f>
        <v>#N/A</v>
      </c>
      <c r="AS121" s="1607" t="e">
        <f>IF(AN122&gt;=0.839,"Kₒ/ρ",IF(AN122&gt;=0.789,"Kₒ/ρ",IF(AN122&gt;=0.771,"B/ρ","Kₒ/ρ")))</f>
        <v>#N/A</v>
      </c>
      <c r="AT121" s="1607" t="e">
        <f>IF(AN122&gt;=0.839,"Kₒ/ρ/ρ",IF(AN122&gt;=0.789,"Kₒ/ρ/ρ",IF(AN122&gt;=0.771,"B/ρ/ρ","Kₒ/ρ/ρ")))</f>
        <v>#N/A</v>
      </c>
      <c r="AU121" s="1607" t="e">
        <f>IF(AN122&gt;=0.839,"K1/ρ",IF(AN122&gt;=0.789,"K1/ρ",IF(AN122&gt;=0.771,"A","K1/ρ")))</f>
        <v>#N/A</v>
      </c>
      <c r="AV121" s="2563" t="s">
        <v>315</v>
      </c>
      <c r="AW121" s="2563" t="s">
        <v>317</v>
      </c>
      <c r="AX121" s="1094" t="s">
        <v>319</v>
      </c>
      <c r="AY121" s="1094" t="s">
        <v>318</v>
      </c>
      <c r="AZ121" s="1094" t="s">
        <v>320</v>
      </c>
      <c r="BA121" s="1094" t="s">
        <v>321</v>
      </c>
      <c r="BB121" s="5" t="s">
        <v>323</v>
      </c>
      <c r="BC121" s="1092" t="s">
        <v>305</v>
      </c>
      <c r="BD121" s="3227"/>
      <c r="BE121" s="3227"/>
      <c r="BG121" s="30">
        <v>0.1</v>
      </c>
      <c r="BH121" s="31">
        <v>1.0751999999999999</v>
      </c>
      <c r="BI121" s="32">
        <v>1074.5</v>
      </c>
      <c r="BJ121" s="33"/>
      <c r="BK121" s="197">
        <v>0.65100000000000002</v>
      </c>
      <c r="BL121" s="198"/>
      <c r="BM121" s="199"/>
      <c r="BN121" s="33"/>
      <c r="BO121" s="37">
        <v>651</v>
      </c>
      <c r="BP121" s="38"/>
      <c r="BQ121" s="39"/>
      <c r="BR121" s="520"/>
    </row>
    <row r="122" spans="28:70" ht="13.15">
      <c r="AB122" s="2482"/>
      <c r="AC122" s="2482"/>
      <c r="AI122" s="520"/>
      <c r="AK122" s="2554" t="s">
        <v>577</v>
      </c>
      <c r="AL122" s="2561" t="e">
        <f>AE124</f>
        <v>#N/A</v>
      </c>
      <c r="AM122" s="1786">
        <f>AE127</f>
        <v>230</v>
      </c>
      <c r="AN122" s="2562" t="e">
        <f>MROUND(AL122,0.002)</f>
        <v>#N/A</v>
      </c>
      <c r="AO122" s="2543">
        <f>FLOOR(AM122,1)+IF(MOD(AM122,1)&lt;0.26,0,IF(MOD(AM122,1)&lt;0.76,0.5,1))</f>
        <v>230</v>
      </c>
      <c r="AP122" s="1607" t="e">
        <f>MROUND(AN122*999.012,0.01)</f>
        <v>#N/A</v>
      </c>
      <c r="AQ122" s="1607" t="e">
        <f>IF(AN122&gt;=0.839,103.872,IF(AN122&gt;=0.789,330.301,IF(AN122&gt;=0.771,1489.067,192.4571)))</f>
        <v>#N/A</v>
      </c>
      <c r="AR122" s="2563" t="e">
        <f>IF(AN122&gt;=0.839,0.2701,IF(AN122&gt;=0.789,0,IF(AN122&gt;=0.771,-0.0018684,0.2438)))</f>
        <v>#N/A</v>
      </c>
      <c r="AS122" s="2564" t="e">
        <f>TRUNC(AQ122/AP122,8)</f>
        <v>#N/A</v>
      </c>
      <c r="AT122" s="2565" t="e">
        <f>TRUNC(AS122/AP122,10)</f>
        <v>#N/A</v>
      </c>
      <c r="AU122" s="2577" t="e">
        <f>IF(AN122&gt;=0.839,AR122/AP122,IF(AN122&gt;=0.789,AR122/AP122,IF(AN122&gt;=0.771,AR122,AR122/AP122)))</f>
        <v>#N/A</v>
      </c>
      <c r="AV122" s="2567" t="e">
        <f>MROUND(AT122+AU122,0.0000001)</f>
        <v>#N/A</v>
      </c>
      <c r="AW122" s="2568">
        <f>AO122-60</f>
        <v>170</v>
      </c>
      <c r="AX122" s="2569" t="e">
        <f>AV122*AW122</f>
        <v>#N/A</v>
      </c>
      <c r="AY122" s="2569" t="e">
        <f>0.8*AX122</f>
        <v>#N/A</v>
      </c>
      <c r="AZ122" s="2569" t="e">
        <f>0.8*AV122^2*AW122^2</f>
        <v>#N/A</v>
      </c>
      <c r="BA122" s="2569" t="e">
        <f>-AX122-AZ122</f>
        <v>#N/A</v>
      </c>
      <c r="BB122" s="2563" t="e">
        <f>TRUNC(EXP(BA122),6)</f>
        <v>#N/A</v>
      </c>
      <c r="BC122" s="2570" t="e">
        <f>ROUND(MROUND(BB122,0.00001),4)</f>
        <v>#N/A</v>
      </c>
      <c r="BD122" s="2549" t="e">
        <f>BE122*BC122</f>
        <v>#N/A</v>
      </c>
      <c r="BE122" s="2550">
        <f>AE118</f>
        <v>107000</v>
      </c>
      <c r="BG122" s="30">
        <v>0.2</v>
      </c>
      <c r="BH122" s="31">
        <v>1.0744</v>
      </c>
      <c r="BI122" s="32">
        <v>1073.7</v>
      </c>
      <c r="BJ122" s="33"/>
      <c r="BK122" s="197">
        <v>0.65200000000000002</v>
      </c>
      <c r="BL122" s="198"/>
      <c r="BM122" s="199"/>
      <c r="BN122" s="33"/>
      <c r="BO122" s="37">
        <v>652</v>
      </c>
      <c r="BP122" s="38"/>
      <c r="BQ122" s="39"/>
      <c r="BR122" s="520"/>
    </row>
    <row r="123" spans="28:70" ht="13.15">
      <c r="AB123" s="2482"/>
      <c r="AC123" s="2482"/>
      <c r="AD123" s="2511" t="s">
        <v>130</v>
      </c>
      <c r="AE123" s="2507" t="e">
        <f>IF(AC104&lt;3,AE117,IF(AC104&lt;5,BL108,BQ108))</f>
        <v>#N/A</v>
      </c>
      <c r="AI123" s="520"/>
      <c r="AK123" s="2542" t="s">
        <v>578</v>
      </c>
      <c r="AL123" s="2561" t="e">
        <f>AE124</f>
        <v>#N/A</v>
      </c>
      <c r="AM123" s="1786">
        <f>AE129</f>
        <v>257</v>
      </c>
      <c r="AN123" s="2562" t="e">
        <f>MROUND(AL123,0.002)</f>
        <v>#N/A</v>
      </c>
      <c r="AO123" s="2543">
        <f>FLOOR(AM123,1)+IF(MOD(AM123,1)&lt;0.26,0,IF(MOD(AM123,1)&lt;0.76,0.5,1))</f>
        <v>257</v>
      </c>
      <c r="AP123" s="1607" t="e">
        <f>MROUND(AN123*999.012,0.01)</f>
        <v>#N/A</v>
      </c>
      <c r="AQ123" s="1607" t="e">
        <f>IF(AN123&gt;=0.839,103.872,IF(AN123&gt;=0.789,330.301,IF(AN123&gt;=0.771,1489.067,192.4571)))</f>
        <v>#N/A</v>
      </c>
      <c r="AR123" s="2563" t="e">
        <f>IF(AN123&gt;=0.839,0.2701,IF(AN123&gt;=0.789,0,IF(AN123&gt;=0.771,-0.0018684,0.2438)))</f>
        <v>#N/A</v>
      </c>
      <c r="AS123" s="2564" t="e">
        <f>TRUNC(AQ123/AP123,8)</f>
        <v>#N/A</v>
      </c>
      <c r="AT123" s="2565" t="e">
        <f>TRUNC(AS123/AP123,10)</f>
        <v>#N/A</v>
      </c>
      <c r="AU123" s="2577" t="e">
        <f>IF(AN123&gt;=0.839,AR123/AP123,IF(AN123&gt;=0.789,AR123/AP123,IF(AN123&gt;=0.771,AR123,AR123/AP123)))</f>
        <v>#N/A</v>
      </c>
      <c r="AV123" s="2567" t="e">
        <f>MROUND(AT123+AU123,0.0000001)</f>
        <v>#N/A</v>
      </c>
      <c r="AW123" s="2568">
        <f>AO123-60</f>
        <v>197</v>
      </c>
      <c r="AX123" s="2569" t="e">
        <f>AV123*AW123</f>
        <v>#N/A</v>
      </c>
      <c r="AY123" s="2569" t="e">
        <f>0.8*AX123</f>
        <v>#N/A</v>
      </c>
      <c r="AZ123" s="2569" t="e">
        <f>0.8*AV123^2*AW123^2</f>
        <v>#N/A</v>
      </c>
      <c r="BA123" s="2569" t="e">
        <f>-AX123-AZ123</f>
        <v>#N/A</v>
      </c>
      <c r="BB123" s="2563" t="e">
        <f>TRUNC(EXP(BA123),6)</f>
        <v>#N/A</v>
      </c>
      <c r="BC123" s="2570" t="e">
        <f>ROUND(MROUND(BB123,0.00001),4)</f>
        <v>#N/A</v>
      </c>
      <c r="BD123" s="2549" t="e">
        <f>BE123*BC123</f>
        <v>#N/A</v>
      </c>
      <c r="BE123" s="2550" t="e">
        <f>BD122/BC123</f>
        <v>#N/A</v>
      </c>
      <c r="BG123" s="30">
        <v>0.3</v>
      </c>
      <c r="BH123" s="31">
        <v>1.0736000000000001</v>
      </c>
      <c r="BI123" s="32">
        <v>1072.9000000000001</v>
      </c>
      <c r="BJ123" s="33"/>
      <c r="BK123" s="197">
        <v>0.65300000000000002</v>
      </c>
      <c r="BL123" s="198"/>
      <c r="BM123" s="199"/>
      <c r="BN123" s="33"/>
      <c r="BO123" s="37">
        <v>653</v>
      </c>
      <c r="BP123" s="38"/>
      <c r="BQ123" s="39"/>
      <c r="BR123" s="520"/>
    </row>
    <row r="124" spans="28:70">
      <c r="AB124" s="2482"/>
      <c r="AC124" s="2482"/>
      <c r="AD124" s="2511" t="s">
        <v>132</v>
      </c>
      <c r="AE124" s="291" t="e">
        <f>IF(AC104&lt;3,BH108,IF(AC104&lt;5,AE117,BP108))</f>
        <v>#N/A</v>
      </c>
      <c r="AF124" s="6" t="s">
        <v>1281</v>
      </c>
      <c r="AI124" s="520"/>
      <c r="AK124" s="2482"/>
      <c r="AL124" s="5"/>
      <c r="AM124" s="5"/>
      <c r="AN124" s="5"/>
      <c r="AO124" s="5"/>
      <c r="AP124" s="5"/>
      <c r="AQ124" s="5"/>
      <c r="AR124" s="5"/>
      <c r="AS124" s="5"/>
      <c r="AT124" s="5"/>
      <c r="AU124" s="5"/>
      <c r="AV124" s="5"/>
      <c r="AW124" s="5"/>
      <c r="AX124" s="5"/>
      <c r="AY124" s="5"/>
      <c r="AZ124" s="5"/>
      <c r="BA124" s="5"/>
      <c r="BB124" s="5"/>
      <c r="BC124" s="5"/>
      <c r="BE124" s="520"/>
      <c r="BG124" s="30">
        <v>0.4</v>
      </c>
      <c r="BH124" s="31">
        <v>1.0728</v>
      </c>
      <c r="BI124" s="32">
        <v>1072.0999999999999</v>
      </c>
      <c r="BJ124" s="33"/>
      <c r="BK124" s="197">
        <v>0.65400000000000003</v>
      </c>
      <c r="BL124" s="200">
        <v>84.86</v>
      </c>
      <c r="BM124" s="199">
        <v>653.9</v>
      </c>
      <c r="BN124" s="33"/>
      <c r="BO124" s="37">
        <v>654</v>
      </c>
      <c r="BP124" s="38">
        <v>0.65410000000000001</v>
      </c>
      <c r="BQ124" s="39">
        <v>84.83</v>
      </c>
      <c r="BR124" s="520"/>
    </row>
    <row r="125" spans="28:70">
      <c r="AB125" s="2482"/>
      <c r="AC125" s="2482"/>
      <c r="AD125" s="2511" t="s">
        <v>131</v>
      </c>
      <c r="AE125" s="2514">
        <f>IF(AC104&lt;3,BI108,IF(AC104&lt;5,BM108,IF(AE117&gt;2,AE117,AE117*1000)))</f>
        <v>31.3</v>
      </c>
      <c r="AF125" s="6" t="s">
        <v>1282</v>
      </c>
      <c r="AI125" s="520"/>
      <c r="AK125" s="2482"/>
      <c r="AL125" s="5"/>
      <c r="AM125" s="5"/>
      <c r="AN125" s="5"/>
      <c r="AO125" s="5"/>
      <c r="AP125" s="5"/>
      <c r="AQ125" s="5"/>
      <c r="AR125" s="5"/>
      <c r="AS125" s="5"/>
      <c r="AT125" s="5"/>
      <c r="AU125" s="5"/>
      <c r="AV125" s="5"/>
      <c r="AW125" s="5"/>
      <c r="AX125" s="5"/>
      <c r="AY125" s="5"/>
      <c r="AZ125" s="5"/>
      <c r="BA125" s="5"/>
      <c r="BB125" s="5"/>
      <c r="BC125" s="5"/>
      <c r="BE125" s="520"/>
      <c r="BG125" s="30">
        <v>0.5</v>
      </c>
      <c r="BH125" s="31">
        <v>1.0720000000000001</v>
      </c>
      <c r="BI125" s="32">
        <v>1071.3</v>
      </c>
      <c r="BJ125" s="33"/>
      <c r="BK125" s="197">
        <v>0.65500000000000003</v>
      </c>
      <c r="BL125" s="200">
        <v>84.53</v>
      </c>
      <c r="BM125" s="199">
        <v>654.9</v>
      </c>
      <c r="BN125" s="33"/>
      <c r="BO125" s="37">
        <v>655</v>
      </c>
      <c r="BP125" s="38">
        <v>0.65510000000000002</v>
      </c>
      <c r="BQ125" s="39">
        <v>84.49</v>
      </c>
      <c r="BR125" s="520"/>
    </row>
    <row r="126" spans="28:70">
      <c r="AB126" s="2482"/>
      <c r="AC126" s="2482"/>
      <c r="AD126" s="2511" t="s">
        <v>131</v>
      </c>
      <c r="AE126" s="2515">
        <f>AE125/1000</f>
        <v>3.1300000000000001E-2</v>
      </c>
      <c r="AF126" s="6" t="s">
        <v>1282</v>
      </c>
      <c r="AI126" s="520"/>
      <c r="AK126" s="2529" t="s">
        <v>326</v>
      </c>
      <c r="AL126" s="2434"/>
      <c r="AM126" s="2434"/>
      <c r="AN126" s="2434"/>
      <c r="AO126" s="2434"/>
      <c r="AP126" s="2434"/>
      <c r="AQ126" s="2434"/>
      <c r="AR126" s="2434"/>
      <c r="AS126" s="2434"/>
      <c r="AT126" s="2434"/>
      <c r="AU126" s="2434"/>
      <c r="AV126" s="2434"/>
      <c r="AW126" s="2434"/>
      <c r="AX126" s="2434"/>
      <c r="AY126" s="2530"/>
      <c r="AZ126" s="5"/>
      <c r="BA126" s="5"/>
      <c r="BB126" s="5"/>
      <c r="BC126" s="5"/>
      <c r="BE126" s="520"/>
      <c r="BG126" s="30">
        <v>0.6</v>
      </c>
      <c r="BH126" s="31">
        <v>1.0711999999999999</v>
      </c>
      <c r="BI126" s="32">
        <v>1070.5</v>
      </c>
      <c r="BJ126" s="33"/>
      <c r="BK126" s="197">
        <v>0.65600000000000003</v>
      </c>
      <c r="BL126" s="200">
        <v>84.2</v>
      </c>
      <c r="BM126" s="199">
        <v>655.9</v>
      </c>
      <c r="BN126" s="33"/>
      <c r="BO126" s="37">
        <v>656</v>
      </c>
      <c r="BP126" s="38">
        <v>0.65610000000000002</v>
      </c>
      <c r="BQ126" s="39">
        <v>84.16</v>
      </c>
      <c r="BR126" s="520"/>
    </row>
    <row r="127" spans="28:70" ht="13.15">
      <c r="AB127" s="2482"/>
      <c r="AC127" s="2482"/>
      <c r="AD127" s="514" t="s">
        <v>1200</v>
      </c>
      <c r="AE127" s="2517">
        <f>IF(AF119="°F",AE119,ROUND((9/5)*AE119+32,1))</f>
        <v>230</v>
      </c>
      <c r="AF127" s="6" t="s">
        <v>334</v>
      </c>
      <c r="AI127" s="520"/>
      <c r="AK127" s="2533"/>
      <c r="AL127" s="2534" t="s">
        <v>576</v>
      </c>
      <c r="AM127" s="2535"/>
      <c r="AN127" s="2529" t="s">
        <v>218</v>
      </c>
      <c r="AO127" s="2434"/>
      <c r="AP127" s="2578"/>
      <c r="AQ127" s="2579"/>
      <c r="AR127" s="2537"/>
      <c r="AS127" s="2538"/>
      <c r="AT127" s="2538"/>
      <c r="AU127" s="2539"/>
      <c r="AV127" s="2580"/>
      <c r="AW127" s="2540" t="s">
        <v>204</v>
      </c>
      <c r="AX127" s="3227" t="s">
        <v>583</v>
      </c>
      <c r="AY127" s="3227" t="s">
        <v>584</v>
      </c>
      <c r="AZ127" s="5"/>
      <c r="BA127" s="5"/>
      <c r="BB127" s="5"/>
      <c r="BC127" s="5"/>
      <c r="BE127" s="520"/>
      <c r="BG127" s="30">
        <v>0.7</v>
      </c>
      <c r="BH127" s="31">
        <v>1.0703</v>
      </c>
      <c r="BI127" s="32">
        <v>1069.7</v>
      </c>
      <c r="BJ127" s="33"/>
      <c r="BK127" s="197">
        <v>0.65700000000000003</v>
      </c>
      <c r="BL127" s="200">
        <v>83.87</v>
      </c>
      <c r="BM127" s="199">
        <v>656.9</v>
      </c>
      <c r="BN127" s="33"/>
      <c r="BO127" s="37">
        <v>657</v>
      </c>
      <c r="BP127" s="38">
        <v>0.65710000000000002</v>
      </c>
      <c r="BQ127" s="39">
        <v>83.84</v>
      </c>
      <c r="BR127" s="520"/>
    </row>
    <row r="128" spans="28:70">
      <c r="AB128" s="2482"/>
      <c r="AC128" s="2482"/>
      <c r="AD128" s="514" t="s">
        <v>1200</v>
      </c>
      <c r="AE128" s="2516">
        <f>IF(AF119="°C",AE119,ROUND((AE119-32)/9*5,2))</f>
        <v>43.33</v>
      </c>
      <c r="AF128" s="6" t="s">
        <v>333</v>
      </c>
      <c r="AI128" s="520"/>
      <c r="AK128" s="1091"/>
      <c r="AL128" s="1607" t="s">
        <v>219</v>
      </c>
      <c r="AM128" s="1607" t="s">
        <v>220</v>
      </c>
      <c r="AN128" s="2529" t="s">
        <v>219</v>
      </c>
      <c r="AO128" s="2529" t="s">
        <v>220</v>
      </c>
      <c r="AP128" s="2372" t="s">
        <v>206</v>
      </c>
      <c r="AQ128" s="2372" t="s">
        <v>207</v>
      </c>
      <c r="AR128" s="2537"/>
      <c r="AS128" s="2538"/>
      <c r="AT128" s="2538"/>
      <c r="AU128" s="2539"/>
      <c r="AV128" s="2580"/>
      <c r="AW128" s="1092" t="s">
        <v>221</v>
      </c>
      <c r="AX128" s="3228"/>
      <c r="AY128" s="3228"/>
      <c r="AZ128" s="5"/>
      <c r="BA128" s="5"/>
      <c r="BB128" s="5"/>
      <c r="BC128" s="5"/>
      <c r="BE128" s="520"/>
      <c r="BG128" s="30">
        <v>0.8</v>
      </c>
      <c r="BH128" s="31">
        <v>1.0694999999999999</v>
      </c>
      <c r="BI128" s="32">
        <v>1068.8</v>
      </c>
      <c r="BJ128" s="33"/>
      <c r="BK128" s="197">
        <v>0.65800000000000003</v>
      </c>
      <c r="BL128" s="200">
        <v>83.55</v>
      </c>
      <c r="BM128" s="199">
        <v>657.9</v>
      </c>
      <c r="BN128" s="33"/>
      <c r="BO128" s="37">
        <v>658</v>
      </c>
      <c r="BP128" s="38">
        <v>0.65810000000000002</v>
      </c>
      <c r="BQ128" s="39">
        <v>83.51</v>
      </c>
      <c r="BR128" s="520"/>
    </row>
    <row r="129" spans="28:70" ht="13.15">
      <c r="AB129" s="2482"/>
      <c r="AC129" s="2482"/>
      <c r="AD129" s="514" t="s">
        <v>1201</v>
      </c>
      <c r="AE129" s="2517">
        <f>IF(AF120="°F",AE120,ROUND((9/5)*AE120+32,1))</f>
        <v>257</v>
      </c>
      <c r="AF129" s="6" t="s">
        <v>334</v>
      </c>
      <c r="AI129" s="520"/>
      <c r="AK129" s="2542" t="s">
        <v>577</v>
      </c>
      <c r="AL129" s="1858">
        <f>AE125</f>
        <v>31.3</v>
      </c>
      <c r="AM129" s="1709">
        <f>AE128</f>
        <v>43.33</v>
      </c>
      <c r="AN129" s="1680">
        <f>IF((EVEN(AL129)-AL129)&lt;1,EVEN(AL129),EVEN(AL129)-2)</f>
        <v>32</v>
      </c>
      <c r="AO129" s="1710">
        <f>FLOOR(AM129,1)+IF(MOD(AM129,1)&lt;0.125,0,IF(MOD(AM129,1)&lt;0.375,0.25,IF(MOD(AM129,1)&lt;0.625,0.5,IF(MOD(AM129,1)&lt;0.875,0.75,1))))</f>
        <v>43.25</v>
      </c>
      <c r="AP129" s="1847">
        <f>613.9723/AN129^2</f>
        <v>0.59958232421875002</v>
      </c>
      <c r="AQ129" s="1847">
        <f>1+0.8*AP129*(AO129-15)</f>
        <v>14.550560527343752</v>
      </c>
      <c r="AR129" s="2581"/>
      <c r="AS129" s="2582"/>
      <c r="AT129" s="2582"/>
      <c r="AU129" s="2583"/>
      <c r="AV129" s="2584"/>
      <c r="AW129" s="1623">
        <f>ROUND(EXP(AP129*AQ129*(AO129-15)*-1),4)</f>
        <v>0</v>
      </c>
      <c r="AX129" s="2585">
        <f>AY129*AW129</f>
        <v>0</v>
      </c>
      <c r="AY129" s="2586">
        <f>AE118</f>
        <v>107000</v>
      </c>
      <c r="AZ129" s="5"/>
      <c r="BA129" s="5"/>
      <c r="BB129" s="5"/>
      <c r="BC129" s="5"/>
      <c r="BE129" s="520"/>
      <c r="BG129" s="30">
        <v>0.9</v>
      </c>
      <c r="BH129" s="31">
        <v>1.0687</v>
      </c>
      <c r="BI129" s="32">
        <v>1068</v>
      </c>
      <c r="BJ129" s="33"/>
      <c r="BK129" s="197">
        <v>0.65900000000000003</v>
      </c>
      <c r="BL129" s="200">
        <v>83.22</v>
      </c>
      <c r="BM129" s="199">
        <v>658.9</v>
      </c>
      <c r="BN129" s="33"/>
      <c r="BO129" s="37">
        <v>659</v>
      </c>
      <c r="BP129" s="38">
        <v>0.65910000000000002</v>
      </c>
      <c r="BQ129" s="39">
        <v>83.18</v>
      </c>
      <c r="BR129" s="520"/>
    </row>
    <row r="130" spans="28:70" ht="13.15">
      <c r="AB130" s="2482"/>
      <c r="AC130" s="2482"/>
      <c r="AD130" s="514" t="s">
        <v>1201</v>
      </c>
      <c r="AE130" s="2516">
        <f>IF(AF120="°C",AE120,ROUND((AE120-32)/9*5,2))</f>
        <v>51.67</v>
      </c>
      <c r="AF130" s="6" t="s">
        <v>333</v>
      </c>
      <c r="AI130" s="520"/>
      <c r="AK130" s="2542" t="s">
        <v>578</v>
      </c>
      <c r="AL130" s="1858">
        <f>AE125</f>
        <v>31.3</v>
      </c>
      <c r="AM130" s="1709">
        <f>AE130</f>
        <v>51.67</v>
      </c>
      <c r="AN130" s="1680">
        <f>IF((EVEN(AL130)-AL130)&lt;1,EVEN(AL130),EVEN(AL130)-2)</f>
        <v>32</v>
      </c>
      <c r="AO130" s="1710">
        <f>FLOOR(AM130,1)+IF(MOD(AM130,1)&lt;0.125,0,IF(MOD(AM130,1)&lt;0.375,0.25,IF(MOD(AM130,1)&lt;0.625,0.5,IF(MOD(AM130,1)&lt;0.875,0.75,1))))</f>
        <v>51.75</v>
      </c>
      <c r="AP130" s="1847">
        <f>613.9723/AN130^2</f>
        <v>0.59958232421875002</v>
      </c>
      <c r="AQ130" s="1847">
        <f>1+0.8*AP130*(AO130-15)</f>
        <v>18.627720332031252</v>
      </c>
      <c r="AR130" s="2581"/>
      <c r="AS130" s="2582"/>
      <c r="AT130" s="2582"/>
      <c r="AU130" s="2583"/>
      <c r="AV130" s="2584"/>
      <c r="AW130" s="1623">
        <f>ROUND(EXP(AP130*AQ130*(AO130-15)*-1),4)</f>
        <v>0</v>
      </c>
      <c r="AX130" s="2585" t="e">
        <f>AY130*AW130</f>
        <v>#DIV/0!</v>
      </c>
      <c r="AY130" s="2587" t="e">
        <f>AX129/AW130</f>
        <v>#DIV/0!</v>
      </c>
      <c r="AZ130" s="5"/>
      <c r="BA130" s="5"/>
      <c r="BB130" s="5"/>
      <c r="BC130" s="5"/>
      <c r="BE130" s="520"/>
      <c r="BG130" s="30">
        <v>1</v>
      </c>
      <c r="BH130" s="31">
        <v>1.0679000000000001</v>
      </c>
      <c r="BI130" s="32">
        <v>1067.2</v>
      </c>
      <c r="BJ130" s="33"/>
      <c r="BK130" s="197">
        <v>0.66</v>
      </c>
      <c r="BL130" s="200">
        <v>82.89</v>
      </c>
      <c r="BM130" s="199">
        <v>659.9</v>
      </c>
      <c r="BN130" s="33"/>
      <c r="BO130" s="37">
        <v>660</v>
      </c>
      <c r="BP130" s="38">
        <v>0.66010000000000002</v>
      </c>
      <c r="BQ130" s="39">
        <v>82.86</v>
      </c>
      <c r="BR130" s="520"/>
    </row>
    <row r="131" spans="28:70">
      <c r="AB131" s="2482"/>
      <c r="AC131" s="2483"/>
      <c r="AD131" s="2500"/>
      <c r="AE131" s="2500"/>
      <c r="AF131" s="2500"/>
      <c r="AG131" s="2500"/>
      <c r="AH131" s="2500"/>
      <c r="AI131" s="2484"/>
      <c r="AK131" s="2551"/>
      <c r="AL131" s="2551"/>
      <c r="AM131" s="541"/>
      <c r="AN131" s="561"/>
      <c r="AO131" s="561"/>
      <c r="AP131" s="561"/>
      <c r="AQ131" s="541"/>
      <c r="AR131" s="541"/>
      <c r="AS131" s="541"/>
      <c r="AT131" s="541"/>
      <c r="AU131" s="541"/>
      <c r="AW131" s="541"/>
      <c r="AX131" s="5"/>
      <c r="AY131" s="5"/>
      <c r="AZ131" s="5"/>
      <c r="BA131" s="5"/>
      <c r="BB131" s="5"/>
      <c r="BC131" s="5"/>
      <c r="BE131" s="520"/>
      <c r="BG131" s="30">
        <v>1.1000000000000001</v>
      </c>
      <c r="BH131" s="31">
        <v>1.0670999999999999</v>
      </c>
      <c r="BI131" s="32">
        <v>1066.4000000000001</v>
      </c>
      <c r="BJ131" s="33"/>
      <c r="BK131" s="197">
        <v>0.66100000000000003</v>
      </c>
      <c r="BL131" s="200">
        <v>82.57</v>
      </c>
      <c r="BM131" s="199">
        <v>660.9</v>
      </c>
      <c r="BN131" s="33"/>
      <c r="BO131" s="37">
        <v>661</v>
      </c>
      <c r="BP131" s="38">
        <v>0.66110000000000002</v>
      </c>
      <c r="BQ131" s="39">
        <v>82.53</v>
      </c>
      <c r="BR131" s="520"/>
    </row>
    <row r="132" spans="28:70" ht="13.15">
      <c r="AB132" s="2482"/>
      <c r="AK132" s="2533"/>
      <c r="AL132" s="2534" t="s">
        <v>576</v>
      </c>
      <c r="AM132" s="2535"/>
      <c r="AN132" s="2529" t="s">
        <v>222</v>
      </c>
      <c r="AO132" s="2434"/>
      <c r="AP132" s="2287" t="s">
        <v>210</v>
      </c>
      <c r="AQ132" s="2292"/>
      <c r="AR132" s="2292"/>
      <c r="AS132" s="2288"/>
      <c r="AT132" s="2291" t="s">
        <v>210</v>
      </c>
      <c r="AU132" s="2315" t="s">
        <v>211</v>
      </c>
      <c r="AV132" s="2588"/>
      <c r="AW132" s="2540" t="s">
        <v>204</v>
      </c>
      <c r="AX132" s="3227" t="s">
        <v>583</v>
      </c>
      <c r="AY132" s="3227" t="s">
        <v>584</v>
      </c>
      <c r="AZ132" s="5"/>
      <c r="BA132" s="5"/>
      <c r="BB132" s="5"/>
      <c r="BC132" s="5"/>
      <c r="BE132" s="520"/>
      <c r="BG132" s="30">
        <v>1.2</v>
      </c>
      <c r="BH132" s="31">
        <v>1.0663</v>
      </c>
      <c r="BI132" s="32">
        <v>1065.5999999999999</v>
      </c>
      <c r="BJ132" s="33"/>
      <c r="BK132" s="197">
        <v>0.66200000000000003</v>
      </c>
      <c r="BL132" s="200">
        <v>82.25</v>
      </c>
      <c r="BM132" s="199">
        <v>661.9</v>
      </c>
      <c r="BN132" s="33"/>
      <c r="BO132" s="37">
        <v>662</v>
      </c>
      <c r="BP132" s="38">
        <v>0.66210000000000002</v>
      </c>
      <c r="BQ132" s="39">
        <v>82.21</v>
      </c>
      <c r="BR132" s="520"/>
    </row>
    <row r="133" spans="28:70">
      <c r="AB133" s="2482"/>
      <c r="AK133" s="1091"/>
      <c r="AL133" s="1607" t="s">
        <v>219</v>
      </c>
      <c r="AM133" s="1607" t="s">
        <v>220</v>
      </c>
      <c r="AN133" s="2529" t="s">
        <v>219</v>
      </c>
      <c r="AO133" s="2529" t="s">
        <v>220</v>
      </c>
      <c r="AP133" s="2296" t="s">
        <v>223</v>
      </c>
      <c r="AQ133" s="2296" t="s">
        <v>224</v>
      </c>
      <c r="AR133" s="2296" t="s">
        <v>225</v>
      </c>
      <c r="AS133" s="2296" t="s">
        <v>226</v>
      </c>
      <c r="AT133" s="2299"/>
      <c r="AU133" s="2317"/>
      <c r="AV133" s="2479"/>
      <c r="AW133" s="1092" t="s">
        <v>227</v>
      </c>
      <c r="AX133" s="3228"/>
      <c r="AY133" s="3228"/>
      <c r="AZ133" s="5"/>
      <c r="BA133" s="5"/>
      <c r="BB133" s="5"/>
      <c r="BC133" s="5"/>
      <c r="BE133" s="520"/>
      <c r="BG133" s="30">
        <v>1.3</v>
      </c>
      <c r="BH133" s="31">
        <v>1.0654999999999999</v>
      </c>
      <c r="BI133" s="32">
        <v>1064.8</v>
      </c>
      <c r="BJ133" s="33"/>
      <c r="BK133" s="197">
        <v>0.66300000000000003</v>
      </c>
      <c r="BL133" s="200">
        <v>81.92</v>
      </c>
      <c r="BM133" s="199">
        <v>662.9</v>
      </c>
      <c r="BN133" s="33"/>
      <c r="BO133" s="37">
        <v>663</v>
      </c>
      <c r="BP133" s="38">
        <v>0.66310000000000002</v>
      </c>
      <c r="BQ133" s="39">
        <v>81.88</v>
      </c>
      <c r="BR133" s="520"/>
    </row>
    <row r="134" spans="28:70" ht="13.15">
      <c r="AB134" s="2482"/>
      <c r="AK134" s="2554" t="s">
        <v>577</v>
      </c>
      <c r="AL134" s="1858">
        <f>AE125</f>
        <v>31.3</v>
      </c>
      <c r="AM134" s="1709">
        <f>AE128</f>
        <v>43.33</v>
      </c>
      <c r="AN134" s="1680">
        <f>IF((EVEN(AL134)-AL134)&lt;1,EVEN(AL134),EVEN(AL134)-2)</f>
        <v>32</v>
      </c>
      <c r="AO134" s="1710">
        <f>FLOOR(AM134,1)+IF(MOD(AM134,1)&lt;0.125,0,IF(MOD(AM134,1)&lt;0.375,0.25,IF(MOD(AM134,1)&lt;0.625,0.5,IF(MOD(AM134,1)&lt;0.875,0.75,1))))</f>
        <v>43.25</v>
      </c>
      <c r="AP134" s="1607">
        <f>IF(AN134&lt;770,(192.4571/AN134^2)+(0.2438/AN134),0)</f>
        <v>0.19556513671875</v>
      </c>
      <c r="AQ134" s="1607">
        <f>IF(AND(AN134&gt;=770,AN134&lt;787.5),(1489.0671/(AN134^2))-0.0018684,0)</f>
        <v>0</v>
      </c>
      <c r="AR134" s="1607">
        <f>IF(AND(AN134&gt;=787.5,AN134&lt;838.5),330.301/AN134^2,0)</f>
        <v>0</v>
      </c>
      <c r="AS134" s="1607">
        <f>IF(AND(AN134&gt;=838.5,AN134&lt;1075),(0.2701/AN134)+(103.873/AN134^2),0)</f>
        <v>0</v>
      </c>
      <c r="AT134" s="1687">
        <f>MAX(AP134:AS134)</f>
        <v>0.19556513671875</v>
      </c>
      <c r="AU134" s="1607">
        <f>((AO134+40)*1.8)-99</f>
        <v>50.849999999999994</v>
      </c>
      <c r="AV134" s="2584"/>
      <c r="AW134" s="1854">
        <f>ROUND(EXP(-1*AT134*AU134*(1+0.8*AT134*AU134)),4)</f>
        <v>0</v>
      </c>
      <c r="AX134" s="2585">
        <f>AY134*AW134</f>
        <v>0</v>
      </c>
      <c r="AY134" s="2586">
        <f>AE118</f>
        <v>107000</v>
      </c>
      <c r="AZ134" s="5"/>
      <c r="BA134" s="5"/>
      <c r="BB134" s="5"/>
      <c r="BC134" s="5"/>
      <c r="BE134" s="520"/>
      <c r="BG134" s="30">
        <v>1.4</v>
      </c>
      <c r="BH134" s="31">
        <v>1.0647</v>
      </c>
      <c r="BI134" s="32">
        <v>1064</v>
      </c>
      <c r="BJ134" s="33"/>
      <c r="BK134" s="197">
        <v>0.66400000000000003</v>
      </c>
      <c r="BL134" s="200">
        <v>81.599999999999994</v>
      </c>
      <c r="BM134" s="199">
        <v>663.9</v>
      </c>
      <c r="BN134" s="33"/>
      <c r="BO134" s="37">
        <v>664</v>
      </c>
      <c r="BP134" s="38">
        <v>0.66410000000000002</v>
      </c>
      <c r="BQ134" s="39">
        <v>81.56</v>
      </c>
      <c r="BR134" s="520"/>
    </row>
    <row r="135" spans="28:70" ht="13.15">
      <c r="AB135" s="2483"/>
      <c r="AC135" s="2500"/>
      <c r="AD135" s="2500"/>
      <c r="AE135" s="2500"/>
      <c r="AF135" s="2500"/>
      <c r="AG135" s="2500"/>
      <c r="AH135" s="2500"/>
      <c r="AI135" s="2500"/>
      <c r="AJ135" s="2500"/>
      <c r="AK135" s="2542" t="s">
        <v>578</v>
      </c>
      <c r="AL135" s="1858">
        <f>AE125</f>
        <v>31.3</v>
      </c>
      <c r="AM135" s="1709">
        <f>AE130</f>
        <v>51.67</v>
      </c>
      <c r="AN135" s="1680">
        <f>IF((EVEN(AL135)-AL135)&lt;1,EVEN(AL135),EVEN(AL135)-2)</f>
        <v>32</v>
      </c>
      <c r="AO135" s="1710">
        <f>FLOOR(AM135,1)+IF(MOD(AM135,1)&lt;0.125,0,IF(MOD(AM135,1)&lt;0.375,0.25,IF(MOD(AM135,1)&lt;0.625,0.5,IF(MOD(AM135,1)&lt;0.875,0.75,1))))</f>
        <v>51.75</v>
      </c>
      <c r="AP135" s="1607">
        <f>IF(AN135&lt;770,(192.4571/AN135^2)+(0.2438/AN135),0)</f>
        <v>0.19556513671875</v>
      </c>
      <c r="AQ135" s="1607">
        <f>IF(AND(AN135&gt;=770,AN135&lt;787.5),(1489.0671/(AN135^2))-0.0018684,0)</f>
        <v>0</v>
      </c>
      <c r="AR135" s="1607">
        <f>IF(AND(AN135&gt;=787.5,AN135&lt;838.5),330.301/AN135^2,0)</f>
        <v>0</v>
      </c>
      <c r="AS135" s="1607">
        <f>IF(AND(AN135&gt;=838.5,AN135&lt;1075),(0.2701/AN135)+(103.873/AN135^2),0)</f>
        <v>0</v>
      </c>
      <c r="AT135" s="1687">
        <f>MAX(AP135:AS135)</f>
        <v>0.19556513671875</v>
      </c>
      <c r="AU135" s="1607">
        <f>((AO135+40)*1.8)-99</f>
        <v>66.150000000000006</v>
      </c>
      <c r="AV135" s="2584"/>
      <c r="AW135" s="1854">
        <f>ROUND(EXP(-1*AT135*AU135*(1+0.8*AT135*AU135)),4)</f>
        <v>0</v>
      </c>
      <c r="AX135" s="2585" t="e">
        <f>AY135*AW135</f>
        <v>#DIV/0!</v>
      </c>
      <c r="AY135" s="2586" t="e">
        <f>AX134/AW135</f>
        <v>#DIV/0!</v>
      </c>
      <c r="AZ135" s="312"/>
      <c r="BA135" s="312"/>
      <c r="BB135" s="312"/>
      <c r="BC135" s="312"/>
      <c r="BD135" s="538"/>
      <c r="BE135" s="537"/>
      <c r="BG135" s="30">
        <v>1.5</v>
      </c>
      <c r="BH135" s="31">
        <v>1.0639000000000001</v>
      </c>
      <c r="BI135" s="32">
        <v>1063.2</v>
      </c>
      <c r="BJ135" s="33"/>
      <c r="BK135" s="197">
        <v>0.66500000000000004</v>
      </c>
      <c r="BL135" s="200">
        <v>81.28</v>
      </c>
      <c r="BM135" s="199">
        <v>664.9</v>
      </c>
      <c r="BN135" s="33"/>
      <c r="BO135" s="37">
        <v>665</v>
      </c>
      <c r="BP135" s="38">
        <v>0.66510000000000002</v>
      </c>
      <c r="BQ135" s="39">
        <v>81.239999999999995</v>
      </c>
      <c r="BR135" s="520"/>
    </row>
    <row r="136" spans="28:70">
      <c r="AK136" s="2482"/>
      <c r="BG136" s="30">
        <v>1.6</v>
      </c>
      <c r="BH136" s="31">
        <v>1.0630999999999999</v>
      </c>
      <c r="BI136" s="32">
        <v>1062.4000000000001</v>
      </c>
      <c r="BJ136" s="33"/>
      <c r="BK136" s="197">
        <v>0.66600000000000004</v>
      </c>
      <c r="BL136" s="200">
        <v>80.959999999999994</v>
      </c>
      <c r="BM136" s="199">
        <v>665.9</v>
      </c>
      <c r="BN136" s="33"/>
      <c r="BO136" s="37">
        <v>666</v>
      </c>
      <c r="BP136" s="38">
        <v>0.66610000000000003</v>
      </c>
      <c r="BQ136" s="39">
        <v>80.92</v>
      </c>
      <c r="BR136" s="520"/>
    </row>
    <row r="137" spans="28:70">
      <c r="AK137" s="2482"/>
      <c r="BG137" s="30">
        <v>1.7</v>
      </c>
      <c r="BH137" s="31">
        <v>1.0623</v>
      </c>
      <c r="BI137" s="32">
        <v>1061.5999999999999</v>
      </c>
      <c r="BJ137" s="33"/>
      <c r="BK137" s="197">
        <v>0.66700000000000004</v>
      </c>
      <c r="BL137" s="200">
        <v>80.64</v>
      </c>
      <c r="BM137" s="199">
        <v>666.9</v>
      </c>
      <c r="BN137" s="33"/>
      <c r="BO137" s="37">
        <v>667</v>
      </c>
      <c r="BP137" s="38">
        <v>0.66710000000000003</v>
      </c>
      <c r="BQ137" s="39">
        <v>80.599999999999994</v>
      </c>
      <c r="BR137" s="520"/>
    </row>
    <row r="138" spans="28:70">
      <c r="AK138" s="2482"/>
      <c r="BG138" s="30">
        <v>1.8</v>
      </c>
      <c r="BH138" s="31">
        <v>1.0615000000000001</v>
      </c>
      <c r="BI138" s="32">
        <v>1060.8</v>
      </c>
      <c r="BJ138" s="33"/>
      <c r="BK138" s="197">
        <v>0.66800000000000004</v>
      </c>
      <c r="BL138" s="200">
        <v>80.33</v>
      </c>
      <c r="BM138" s="199">
        <v>667.9</v>
      </c>
      <c r="BN138" s="33"/>
      <c r="BO138" s="37">
        <v>668</v>
      </c>
      <c r="BP138" s="38">
        <v>0.66810000000000003</v>
      </c>
      <c r="BQ138" s="39">
        <v>80.290000000000006</v>
      </c>
      <c r="BR138" s="520"/>
    </row>
    <row r="139" spans="28:70">
      <c r="AK139" s="2482"/>
      <c r="BG139" s="30">
        <v>1.9</v>
      </c>
      <c r="BH139" s="31">
        <v>1.0607</v>
      </c>
      <c r="BI139" s="32">
        <v>1060</v>
      </c>
      <c r="BJ139" s="33"/>
      <c r="BK139" s="197">
        <v>0.66900000000000004</v>
      </c>
      <c r="BL139" s="200">
        <v>80.010000000000005</v>
      </c>
      <c r="BM139" s="199">
        <v>668.9</v>
      </c>
      <c r="BN139" s="33"/>
      <c r="BO139" s="37">
        <v>669</v>
      </c>
      <c r="BP139" s="38">
        <v>0.66910000000000003</v>
      </c>
      <c r="BQ139" s="39">
        <v>79.97</v>
      </c>
      <c r="BR139" s="520"/>
    </row>
    <row r="140" spans="28:70">
      <c r="AK140" s="2482"/>
      <c r="BG140" s="30">
        <v>2</v>
      </c>
      <c r="BH140" s="31">
        <v>1.0599000000000001</v>
      </c>
      <c r="BI140" s="32">
        <v>1059.2</v>
      </c>
      <c r="BJ140" s="33"/>
      <c r="BK140" s="197">
        <v>0.67</v>
      </c>
      <c r="BL140" s="200">
        <v>79.69</v>
      </c>
      <c r="BM140" s="199">
        <v>669.9</v>
      </c>
      <c r="BN140" s="33"/>
      <c r="BO140" s="37">
        <v>670</v>
      </c>
      <c r="BP140" s="38">
        <v>0.67010000000000003</v>
      </c>
      <c r="BQ140" s="39">
        <v>79.650000000000006</v>
      </c>
      <c r="BR140" s="520"/>
    </row>
    <row r="141" spans="28:70">
      <c r="AK141" s="2482"/>
      <c r="BG141" s="30">
        <v>2.1</v>
      </c>
      <c r="BH141" s="31">
        <v>1.0590999999999999</v>
      </c>
      <c r="BI141" s="32">
        <v>1058.5</v>
      </c>
      <c r="BJ141" s="33"/>
      <c r="BK141" s="197">
        <v>0.67100000000000004</v>
      </c>
      <c r="BL141" s="200">
        <v>79.38</v>
      </c>
      <c r="BM141" s="199">
        <v>670.9</v>
      </c>
      <c r="BN141" s="33"/>
      <c r="BO141" s="37">
        <v>671</v>
      </c>
      <c r="BP141" s="38">
        <v>0.67110000000000003</v>
      </c>
      <c r="BQ141" s="39">
        <v>79.34</v>
      </c>
      <c r="BR141" s="520"/>
    </row>
    <row r="142" spans="28:70">
      <c r="AK142" s="2482"/>
      <c r="BG142" s="30">
        <v>2.2000000000000002</v>
      </c>
      <c r="BH142" s="31">
        <v>1.0583</v>
      </c>
      <c r="BI142" s="32">
        <v>1057.7</v>
      </c>
      <c r="BJ142" s="33"/>
      <c r="BK142" s="197">
        <v>0.67200000000000004</v>
      </c>
      <c r="BL142" s="200">
        <v>79.069999999999993</v>
      </c>
      <c r="BM142" s="199">
        <v>671.9</v>
      </c>
      <c r="BN142" s="33"/>
      <c r="BO142" s="37">
        <v>672</v>
      </c>
      <c r="BP142" s="38">
        <v>0.67210000000000003</v>
      </c>
      <c r="BQ142" s="39">
        <v>79.02</v>
      </c>
      <c r="BR142" s="520"/>
    </row>
    <row r="143" spans="28:70">
      <c r="AK143" s="2482"/>
      <c r="BG143" s="30">
        <v>2.2999999999999998</v>
      </c>
      <c r="BH143" s="31">
        <v>1.0575000000000001</v>
      </c>
      <c r="BI143" s="32">
        <v>1056.9000000000001</v>
      </c>
      <c r="BJ143" s="33"/>
      <c r="BK143" s="197">
        <v>0.67300000000000004</v>
      </c>
      <c r="BL143" s="200">
        <v>78.75</v>
      </c>
      <c r="BM143" s="199">
        <v>672.9</v>
      </c>
      <c r="BN143" s="33"/>
      <c r="BO143" s="37">
        <v>673</v>
      </c>
      <c r="BP143" s="38">
        <v>0.67310000000000003</v>
      </c>
      <c r="BQ143" s="39">
        <v>78.709999999999994</v>
      </c>
      <c r="BR143" s="520"/>
    </row>
    <row r="144" spans="28:70">
      <c r="AK144" s="2482"/>
      <c r="BG144" s="30">
        <v>2.4</v>
      </c>
      <c r="BH144" s="31">
        <v>1.0568</v>
      </c>
      <c r="BI144" s="32">
        <v>1056.0999999999999</v>
      </c>
      <c r="BJ144" s="33"/>
      <c r="BK144" s="197">
        <v>0.67400000000000004</v>
      </c>
      <c r="BL144" s="200">
        <v>78.44</v>
      </c>
      <c r="BM144" s="199">
        <v>673.9</v>
      </c>
      <c r="BN144" s="33"/>
      <c r="BO144" s="37">
        <v>674</v>
      </c>
      <c r="BP144" s="38">
        <v>0.67410000000000003</v>
      </c>
      <c r="BQ144" s="39">
        <v>78.400000000000006</v>
      </c>
      <c r="BR144" s="520"/>
    </row>
    <row r="145" spans="37:70">
      <c r="AK145" s="2482"/>
      <c r="BG145" s="30">
        <v>2.5</v>
      </c>
      <c r="BH145" s="31">
        <v>1.056</v>
      </c>
      <c r="BI145" s="32">
        <v>1055.3</v>
      </c>
      <c r="BJ145" s="33"/>
      <c r="BK145" s="197">
        <v>0.67500000000000004</v>
      </c>
      <c r="BL145" s="200">
        <v>78.13</v>
      </c>
      <c r="BM145" s="199">
        <v>674.9</v>
      </c>
      <c r="BN145" s="33"/>
      <c r="BO145" s="37">
        <v>675</v>
      </c>
      <c r="BP145" s="38">
        <v>0.67510000000000003</v>
      </c>
      <c r="BQ145" s="39">
        <v>78.09</v>
      </c>
      <c r="BR145" s="520"/>
    </row>
    <row r="146" spans="37:70">
      <c r="AK146" s="2482"/>
      <c r="BG146" s="30">
        <v>2.6</v>
      </c>
      <c r="BH146" s="31">
        <v>1.0551999999999999</v>
      </c>
      <c r="BI146" s="32">
        <v>1054.5</v>
      </c>
      <c r="BJ146" s="33"/>
      <c r="BK146" s="197">
        <v>0.67600000000000005</v>
      </c>
      <c r="BL146" s="200">
        <v>77.819999999999993</v>
      </c>
      <c r="BM146" s="199">
        <v>675.9</v>
      </c>
      <c r="BN146" s="33"/>
      <c r="BO146" s="37">
        <v>676</v>
      </c>
      <c r="BP146" s="38">
        <v>0.67610000000000003</v>
      </c>
      <c r="BQ146" s="39">
        <v>77.78</v>
      </c>
      <c r="BR146" s="520"/>
    </row>
    <row r="147" spans="37:70">
      <c r="AK147" s="2482"/>
      <c r="BG147" s="30">
        <v>2.7</v>
      </c>
      <c r="BH147" s="31">
        <v>1.0544</v>
      </c>
      <c r="BI147" s="32">
        <v>1053.7</v>
      </c>
      <c r="BJ147" s="33"/>
      <c r="BK147" s="197">
        <v>0.67700000000000005</v>
      </c>
      <c r="BL147" s="200">
        <v>77.510000000000005</v>
      </c>
      <c r="BM147" s="199">
        <v>676.9</v>
      </c>
      <c r="BN147" s="33"/>
      <c r="BO147" s="37">
        <v>677</v>
      </c>
      <c r="BP147" s="38">
        <v>0.67710000000000004</v>
      </c>
      <c r="BQ147" s="39">
        <v>77.47</v>
      </c>
      <c r="BR147" s="520"/>
    </row>
    <row r="148" spans="37:70">
      <c r="AK148" s="2482"/>
      <c r="BG148" s="30">
        <v>2.8</v>
      </c>
      <c r="BH148" s="31">
        <v>1.0536000000000001</v>
      </c>
      <c r="BI148" s="32">
        <v>1052.9000000000001</v>
      </c>
      <c r="BJ148" s="33"/>
      <c r="BK148" s="197">
        <v>0.67800000000000005</v>
      </c>
      <c r="BL148" s="200">
        <v>77.2</v>
      </c>
      <c r="BM148" s="199">
        <v>677.9</v>
      </c>
      <c r="BN148" s="33"/>
      <c r="BO148" s="37">
        <v>678</v>
      </c>
      <c r="BP148" s="38">
        <v>0.67810000000000004</v>
      </c>
      <c r="BQ148" s="39">
        <v>77.16</v>
      </c>
      <c r="BR148" s="520"/>
    </row>
    <row r="149" spans="37:70">
      <c r="AK149" s="2482"/>
      <c r="BG149" s="30">
        <v>2.9</v>
      </c>
      <c r="BH149" s="31">
        <v>1.0528</v>
      </c>
      <c r="BI149" s="32">
        <v>1052.2</v>
      </c>
      <c r="BJ149" s="33"/>
      <c r="BK149" s="197">
        <v>0.67900000000000005</v>
      </c>
      <c r="BL149" s="200">
        <v>76.89</v>
      </c>
      <c r="BM149" s="199">
        <v>678.9</v>
      </c>
      <c r="BN149" s="33"/>
      <c r="BO149" s="37">
        <v>679</v>
      </c>
      <c r="BP149" s="38">
        <v>0.67910000000000004</v>
      </c>
      <c r="BQ149" s="39">
        <v>76.849999999999994</v>
      </c>
      <c r="BR149" s="520"/>
    </row>
    <row r="150" spans="37:70">
      <c r="AK150" s="2482"/>
      <c r="BG150" s="30">
        <v>3</v>
      </c>
      <c r="BH150" s="31">
        <v>1.052</v>
      </c>
      <c r="BI150" s="32">
        <v>1051.4000000000001</v>
      </c>
      <c r="BJ150" s="33"/>
      <c r="BK150" s="197">
        <v>0.68</v>
      </c>
      <c r="BL150" s="200">
        <v>76.59</v>
      </c>
      <c r="BM150" s="199">
        <v>679.9</v>
      </c>
      <c r="BN150" s="33"/>
      <c r="BO150" s="37">
        <v>680</v>
      </c>
      <c r="BP150" s="38">
        <v>0.68010000000000004</v>
      </c>
      <c r="BQ150" s="39">
        <v>76.540000000000006</v>
      </c>
      <c r="BR150" s="520"/>
    </row>
    <row r="151" spans="37:70">
      <c r="AK151" s="2482"/>
      <c r="BG151" s="30">
        <v>3.1</v>
      </c>
      <c r="BH151" s="31">
        <v>1.0512999999999999</v>
      </c>
      <c r="BI151" s="32">
        <v>1050.5999999999999</v>
      </c>
      <c r="BJ151" s="33"/>
      <c r="BK151" s="197">
        <v>0.68100000000000005</v>
      </c>
      <c r="BL151" s="200">
        <v>76.28</v>
      </c>
      <c r="BM151" s="199">
        <v>680.9</v>
      </c>
      <c r="BN151" s="33"/>
      <c r="BO151" s="37">
        <v>681</v>
      </c>
      <c r="BP151" s="38">
        <v>0.68110000000000004</v>
      </c>
      <c r="BQ151" s="39">
        <v>76.239999999999995</v>
      </c>
      <c r="BR151" s="520"/>
    </row>
    <row r="152" spans="37:70">
      <c r="AK152" s="2482"/>
      <c r="BG152" s="30">
        <v>3.2</v>
      </c>
      <c r="BH152" s="31">
        <v>1.0505</v>
      </c>
      <c r="BI152" s="32">
        <v>1049.8</v>
      </c>
      <c r="BJ152" s="33"/>
      <c r="BK152" s="197">
        <v>0.68200000000000005</v>
      </c>
      <c r="BL152" s="200">
        <v>75.98</v>
      </c>
      <c r="BM152" s="199">
        <v>681.9</v>
      </c>
      <c r="BN152" s="33"/>
      <c r="BO152" s="37">
        <v>682</v>
      </c>
      <c r="BP152" s="38">
        <v>0.68210000000000004</v>
      </c>
      <c r="BQ152" s="39">
        <v>75.930000000000007</v>
      </c>
      <c r="BR152" s="520"/>
    </row>
    <row r="153" spans="37:70">
      <c r="AK153" s="2482"/>
      <c r="BG153" s="30">
        <v>3.3</v>
      </c>
      <c r="BH153" s="31">
        <v>1.0497000000000001</v>
      </c>
      <c r="BI153" s="32">
        <v>1049</v>
      </c>
      <c r="BJ153" s="33"/>
      <c r="BK153" s="197">
        <v>0.68300000000000005</v>
      </c>
      <c r="BL153" s="200">
        <v>75.67</v>
      </c>
      <c r="BM153" s="199">
        <v>682.9</v>
      </c>
      <c r="BN153" s="33"/>
      <c r="BO153" s="37">
        <v>683</v>
      </c>
      <c r="BP153" s="38">
        <v>0.68310000000000004</v>
      </c>
      <c r="BQ153" s="39">
        <v>75.63</v>
      </c>
      <c r="BR153" s="520"/>
    </row>
    <row r="154" spans="37:70">
      <c r="AK154" s="2482"/>
      <c r="BG154" s="30">
        <v>3.4</v>
      </c>
      <c r="BH154" s="31">
        <v>1.0488999999999999</v>
      </c>
      <c r="BI154" s="32">
        <v>1048.3</v>
      </c>
      <c r="BJ154" s="33"/>
      <c r="BK154" s="197">
        <v>0.68400000000000005</v>
      </c>
      <c r="BL154" s="200">
        <v>75.37</v>
      </c>
      <c r="BM154" s="199">
        <v>683.8</v>
      </c>
      <c r="BN154" s="33"/>
      <c r="BO154" s="37">
        <v>684</v>
      </c>
      <c r="BP154" s="38">
        <v>0.68420000000000003</v>
      </c>
      <c r="BQ154" s="39">
        <v>75.33</v>
      </c>
      <c r="BR154" s="520"/>
    </row>
    <row r="155" spans="37:70">
      <c r="AK155" s="2482"/>
      <c r="BG155" s="30">
        <v>3.5</v>
      </c>
      <c r="BH155" s="31">
        <v>1.0481</v>
      </c>
      <c r="BI155" s="32">
        <v>1047.5</v>
      </c>
      <c r="BJ155" s="33"/>
      <c r="BK155" s="197">
        <v>0.68500000000000005</v>
      </c>
      <c r="BL155" s="200">
        <v>75.069999999999993</v>
      </c>
      <c r="BM155" s="199">
        <v>684.8</v>
      </c>
      <c r="BN155" s="33"/>
      <c r="BO155" s="37">
        <v>685</v>
      </c>
      <c r="BP155" s="38">
        <v>0.68520000000000003</v>
      </c>
      <c r="BQ155" s="39">
        <v>75.02</v>
      </c>
      <c r="BR155" s="520"/>
    </row>
    <row r="156" spans="37:70">
      <c r="AK156" s="2482"/>
      <c r="BG156" s="30">
        <v>3.6</v>
      </c>
      <c r="BH156" s="31">
        <v>1.0474000000000001</v>
      </c>
      <c r="BI156" s="32">
        <v>1046.7</v>
      </c>
      <c r="BJ156" s="33"/>
      <c r="BK156" s="197">
        <v>0.68600000000000005</v>
      </c>
      <c r="BL156" s="200">
        <v>74.77</v>
      </c>
      <c r="BM156" s="199">
        <v>685.8</v>
      </c>
      <c r="BN156" s="33"/>
      <c r="BO156" s="37">
        <v>686</v>
      </c>
      <c r="BP156" s="38">
        <v>0.68620000000000003</v>
      </c>
      <c r="BQ156" s="39">
        <v>74.72</v>
      </c>
      <c r="BR156" s="520"/>
    </row>
    <row r="157" spans="37:70">
      <c r="AK157" s="2482"/>
      <c r="BG157" s="30">
        <v>3.7</v>
      </c>
      <c r="BH157" s="31">
        <v>1.0466</v>
      </c>
      <c r="BI157" s="32">
        <v>1045.9000000000001</v>
      </c>
      <c r="BJ157" s="33"/>
      <c r="BK157" s="197">
        <v>0.68700000000000006</v>
      </c>
      <c r="BL157" s="200">
        <v>74.47</v>
      </c>
      <c r="BM157" s="199">
        <v>686.8</v>
      </c>
      <c r="BN157" s="33"/>
      <c r="BO157" s="37">
        <v>687</v>
      </c>
      <c r="BP157" s="38">
        <v>0.68720000000000003</v>
      </c>
      <c r="BQ157" s="39">
        <v>74.42</v>
      </c>
      <c r="BR157" s="520"/>
    </row>
    <row r="158" spans="37:70">
      <c r="AK158" s="2482"/>
      <c r="BG158" s="30">
        <v>3.8</v>
      </c>
      <c r="BH158" s="31">
        <v>1.0458000000000001</v>
      </c>
      <c r="BI158" s="32">
        <v>1045.2</v>
      </c>
      <c r="BJ158" s="33"/>
      <c r="BK158" s="197">
        <v>0.68799999999999994</v>
      </c>
      <c r="BL158" s="200">
        <v>74.17</v>
      </c>
      <c r="BM158" s="199">
        <v>687.8</v>
      </c>
      <c r="BN158" s="33"/>
      <c r="BO158" s="37">
        <v>688</v>
      </c>
      <c r="BP158" s="38">
        <v>0.68820000000000003</v>
      </c>
      <c r="BQ158" s="39">
        <v>74.12</v>
      </c>
      <c r="BR158" s="520"/>
    </row>
    <row r="159" spans="37:70">
      <c r="AK159" s="2482"/>
      <c r="BG159" s="30">
        <v>3.9</v>
      </c>
      <c r="BH159" s="31">
        <v>1.0450999999999999</v>
      </c>
      <c r="BI159" s="32">
        <v>1044.4000000000001</v>
      </c>
      <c r="BJ159" s="33"/>
      <c r="BK159" s="197">
        <v>0.68899999999999995</v>
      </c>
      <c r="BL159" s="200">
        <v>73.87</v>
      </c>
      <c r="BM159" s="199">
        <v>688.8</v>
      </c>
      <c r="BN159" s="33"/>
      <c r="BO159" s="37">
        <v>689</v>
      </c>
      <c r="BP159" s="38">
        <v>0.68920000000000003</v>
      </c>
      <c r="BQ159" s="39">
        <v>73.819999999999993</v>
      </c>
      <c r="BR159" s="520"/>
    </row>
    <row r="160" spans="37:70">
      <c r="AK160" s="2482"/>
      <c r="BG160" s="30">
        <v>4</v>
      </c>
      <c r="BH160" s="31">
        <v>1.0443</v>
      </c>
      <c r="BI160" s="32">
        <v>1043.5999999999999</v>
      </c>
      <c r="BJ160" s="33"/>
      <c r="BK160" s="197">
        <v>0.69</v>
      </c>
      <c r="BL160" s="200">
        <v>73.569999999999993</v>
      </c>
      <c r="BM160" s="199">
        <v>689.8</v>
      </c>
      <c r="BN160" s="33"/>
      <c r="BO160" s="37">
        <v>690</v>
      </c>
      <c r="BP160" s="38">
        <v>0.69020000000000004</v>
      </c>
      <c r="BQ160" s="39">
        <v>73.53</v>
      </c>
      <c r="BR160" s="520"/>
    </row>
    <row r="161" spans="37:70">
      <c r="AK161" s="2482"/>
      <c r="BG161" s="30">
        <v>4.0999999999999996</v>
      </c>
      <c r="BH161" s="31">
        <v>1.0435000000000001</v>
      </c>
      <c r="BI161" s="32">
        <v>1042.8</v>
      </c>
      <c r="BJ161" s="33"/>
      <c r="BK161" s="197">
        <v>0.69099999999999995</v>
      </c>
      <c r="BL161" s="200">
        <v>73.28</v>
      </c>
      <c r="BM161" s="199">
        <v>690.8</v>
      </c>
      <c r="BN161" s="33"/>
      <c r="BO161" s="37">
        <v>691</v>
      </c>
      <c r="BP161" s="38">
        <v>0.69120000000000004</v>
      </c>
      <c r="BQ161" s="39">
        <v>73.23</v>
      </c>
      <c r="BR161" s="520"/>
    </row>
    <row r="162" spans="37:70">
      <c r="AK162" s="2482"/>
      <c r="BG162" s="30">
        <v>4.2</v>
      </c>
      <c r="BH162" s="31">
        <v>1.0427</v>
      </c>
      <c r="BI162" s="32">
        <v>1042.0999999999999</v>
      </c>
      <c r="BJ162" s="33"/>
      <c r="BK162" s="197">
        <v>0.69199999999999995</v>
      </c>
      <c r="BL162" s="200">
        <v>72.98</v>
      </c>
      <c r="BM162" s="199">
        <v>691.8</v>
      </c>
      <c r="BN162" s="33"/>
      <c r="BO162" s="37">
        <v>692</v>
      </c>
      <c r="BP162" s="38">
        <v>0.69220000000000004</v>
      </c>
      <c r="BQ162" s="39">
        <v>72.930000000000007</v>
      </c>
      <c r="BR162" s="520"/>
    </row>
    <row r="163" spans="37:70">
      <c r="AK163" s="2482"/>
      <c r="BG163" s="30">
        <v>4.3</v>
      </c>
      <c r="BH163" s="31">
        <v>1.042</v>
      </c>
      <c r="BI163" s="32">
        <v>1041.3</v>
      </c>
      <c r="BJ163" s="33"/>
      <c r="BK163" s="197">
        <v>0.69299999999999995</v>
      </c>
      <c r="BL163" s="200">
        <v>72.680000000000007</v>
      </c>
      <c r="BM163" s="199">
        <v>692.8</v>
      </c>
      <c r="BN163" s="33"/>
      <c r="BO163" s="37">
        <v>693</v>
      </c>
      <c r="BP163" s="38">
        <v>0.69320000000000004</v>
      </c>
      <c r="BQ163" s="39">
        <v>72.64</v>
      </c>
      <c r="BR163" s="520"/>
    </row>
    <row r="164" spans="37:70">
      <c r="AK164" s="2482"/>
      <c r="BG164" s="30">
        <v>4.4000000000000004</v>
      </c>
      <c r="BH164" s="31">
        <v>1.0411999999999999</v>
      </c>
      <c r="BI164" s="32">
        <v>1040.5</v>
      </c>
      <c r="BJ164" s="33"/>
      <c r="BK164" s="197">
        <v>0.69399999999999995</v>
      </c>
      <c r="BL164" s="200">
        <v>72.39</v>
      </c>
      <c r="BM164" s="199">
        <v>693.8</v>
      </c>
      <c r="BN164" s="33"/>
      <c r="BO164" s="37">
        <v>694</v>
      </c>
      <c r="BP164" s="38">
        <v>0.69420000000000004</v>
      </c>
      <c r="BQ164" s="39">
        <v>72.34</v>
      </c>
      <c r="BR164" s="520"/>
    </row>
    <row r="165" spans="37:70">
      <c r="AK165" s="2482"/>
      <c r="BG165" s="30">
        <v>4.5</v>
      </c>
      <c r="BH165" s="31">
        <v>1.0404</v>
      </c>
      <c r="BI165" s="32">
        <v>1039.8</v>
      </c>
      <c r="BJ165" s="33"/>
      <c r="BK165" s="197">
        <v>0.69499999999999995</v>
      </c>
      <c r="BL165" s="200">
        <v>72.099999999999994</v>
      </c>
      <c r="BM165" s="199">
        <v>694.8</v>
      </c>
      <c r="BN165" s="33"/>
      <c r="BO165" s="37">
        <v>695</v>
      </c>
      <c r="BP165" s="38">
        <v>0.69520000000000004</v>
      </c>
      <c r="BQ165" s="39">
        <v>72.05</v>
      </c>
      <c r="BR165" s="520"/>
    </row>
    <row r="166" spans="37:70">
      <c r="AK166" s="2482"/>
      <c r="BG166" s="30">
        <v>4.5999999999999996</v>
      </c>
      <c r="BH166" s="31">
        <v>1.0397000000000001</v>
      </c>
      <c r="BI166" s="32">
        <v>1039</v>
      </c>
      <c r="BJ166" s="33"/>
      <c r="BK166" s="197">
        <v>0.69599999999999995</v>
      </c>
      <c r="BL166" s="200">
        <v>71.8</v>
      </c>
      <c r="BM166" s="199">
        <v>695.8</v>
      </c>
      <c r="BN166" s="33"/>
      <c r="BO166" s="37">
        <v>696</v>
      </c>
      <c r="BP166" s="38">
        <v>0.69620000000000004</v>
      </c>
      <c r="BQ166" s="39">
        <v>71.760000000000005</v>
      </c>
      <c r="BR166" s="520"/>
    </row>
    <row r="167" spans="37:70">
      <c r="AK167" s="2482"/>
      <c r="BG167" s="30">
        <v>4.7</v>
      </c>
      <c r="BH167" s="31">
        <v>1.0388999999999999</v>
      </c>
      <c r="BI167" s="32">
        <v>1038.3</v>
      </c>
      <c r="BJ167" s="33"/>
      <c r="BK167" s="197">
        <v>0.69699999999999995</v>
      </c>
      <c r="BL167" s="200">
        <v>71.510000000000005</v>
      </c>
      <c r="BM167" s="199">
        <v>696.8</v>
      </c>
      <c r="BN167" s="33"/>
      <c r="BO167" s="37">
        <v>697</v>
      </c>
      <c r="BP167" s="38">
        <v>0.69720000000000004</v>
      </c>
      <c r="BQ167" s="39">
        <v>71.459999999999994</v>
      </c>
      <c r="BR167" s="520"/>
    </row>
    <row r="168" spans="37:70">
      <c r="AK168" s="2482"/>
      <c r="BG168" s="30">
        <v>4.8</v>
      </c>
      <c r="BH168" s="31">
        <v>1.0382</v>
      </c>
      <c r="BI168" s="32">
        <v>1037.5</v>
      </c>
      <c r="BJ168" s="33"/>
      <c r="BK168" s="197">
        <v>0.69799999999999995</v>
      </c>
      <c r="BL168" s="200">
        <v>71.22</v>
      </c>
      <c r="BM168" s="199">
        <v>697.8</v>
      </c>
      <c r="BN168" s="33"/>
      <c r="BO168" s="37">
        <v>698</v>
      </c>
      <c r="BP168" s="38">
        <v>0.69820000000000004</v>
      </c>
      <c r="BQ168" s="39">
        <v>71.17</v>
      </c>
      <c r="BR168" s="520"/>
    </row>
    <row r="169" spans="37:70">
      <c r="AK169" s="2482"/>
      <c r="BG169" s="30">
        <v>4.9000000000000004</v>
      </c>
      <c r="BH169" s="31">
        <v>1.0374000000000001</v>
      </c>
      <c r="BI169" s="32">
        <v>1036.7</v>
      </c>
      <c r="BJ169" s="33"/>
      <c r="BK169" s="197">
        <v>0.69899999999999995</v>
      </c>
      <c r="BL169" s="200">
        <v>70.930000000000007</v>
      </c>
      <c r="BM169" s="199">
        <v>698.8</v>
      </c>
      <c r="BN169" s="33"/>
      <c r="BO169" s="37">
        <v>699</v>
      </c>
      <c r="BP169" s="38">
        <v>0.69920000000000004</v>
      </c>
      <c r="BQ169" s="39">
        <v>70.88</v>
      </c>
      <c r="BR169" s="520"/>
    </row>
    <row r="170" spans="37:70">
      <c r="AK170" s="2482"/>
      <c r="BG170" s="30">
        <v>5</v>
      </c>
      <c r="BH170" s="31">
        <v>1.0366</v>
      </c>
      <c r="BI170" s="32">
        <v>1036</v>
      </c>
      <c r="BJ170" s="33"/>
      <c r="BK170" s="197">
        <v>0.7</v>
      </c>
      <c r="BL170" s="200">
        <v>70.64</v>
      </c>
      <c r="BM170" s="199">
        <v>699.8</v>
      </c>
      <c r="BN170" s="33"/>
      <c r="BO170" s="37">
        <v>700</v>
      </c>
      <c r="BP170" s="38">
        <v>0.70020000000000004</v>
      </c>
      <c r="BQ170" s="39">
        <v>70.59</v>
      </c>
      <c r="BR170" s="520"/>
    </row>
    <row r="171" spans="37:70">
      <c r="AK171" s="2482"/>
      <c r="BG171" s="30">
        <v>5.0999999999999996</v>
      </c>
      <c r="BH171" s="31">
        <v>1.0359</v>
      </c>
      <c r="BI171" s="32">
        <v>1035.2</v>
      </c>
      <c r="BJ171" s="33"/>
      <c r="BK171" s="197">
        <v>0.70099999999999996</v>
      </c>
      <c r="BL171" s="200">
        <v>70.349999999999994</v>
      </c>
      <c r="BM171" s="199">
        <v>700.8</v>
      </c>
      <c r="BN171" s="33"/>
      <c r="BO171" s="37">
        <v>701</v>
      </c>
      <c r="BP171" s="38">
        <v>0.70120000000000005</v>
      </c>
      <c r="BQ171" s="39">
        <v>70.3</v>
      </c>
      <c r="BR171" s="520"/>
    </row>
    <row r="172" spans="37:70">
      <c r="AK172" s="2482"/>
      <c r="BG172" s="30">
        <v>5.2</v>
      </c>
      <c r="BH172" s="31">
        <v>1.0350999999999999</v>
      </c>
      <c r="BI172" s="32">
        <v>1034.5</v>
      </c>
      <c r="BJ172" s="33"/>
      <c r="BK172" s="197">
        <v>0.70199999999999996</v>
      </c>
      <c r="BL172" s="200">
        <v>70.069999999999993</v>
      </c>
      <c r="BM172" s="199">
        <v>701.8</v>
      </c>
      <c r="BN172" s="33"/>
      <c r="BO172" s="37">
        <v>702</v>
      </c>
      <c r="BP172" s="38">
        <v>0.70220000000000005</v>
      </c>
      <c r="BQ172" s="39">
        <v>70.02</v>
      </c>
      <c r="BR172" s="520"/>
    </row>
    <row r="173" spans="37:70">
      <c r="AK173" s="2482"/>
      <c r="BG173" s="30">
        <v>5.3</v>
      </c>
      <c r="BH173" s="31">
        <v>1.0344</v>
      </c>
      <c r="BI173" s="32">
        <v>1033.7</v>
      </c>
      <c r="BJ173" s="33"/>
      <c r="BK173" s="197">
        <v>0.70299999999999996</v>
      </c>
      <c r="BL173" s="200">
        <v>69.78</v>
      </c>
      <c r="BM173" s="199">
        <v>702.8</v>
      </c>
      <c r="BN173" s="33"/>
      <c r="BO173" s="37">
        <v>703</v>
      </c>
      <c r="BP173" s="38">
        <v>0.70320000000000005</v>
      </c>
      <c r="BQ173" s="39">
        <v>69.73</v>
      </c>
      <c r="BR173" s="520"/>
    </row>
    <row r="174" spans="37:70">
      <c r="AK174" s="2482"/>
      <c r="BG174" s="30">
        <v>5.4</v>
      </c>
      <c r="BH174" s="31">
        <v>1.0336000000000001</v>
      </c>
      <c r="BI174" s="32">
        <v>1033</v>
      </c>
      <c r="BJ174" s="33"/>
      <c r="BK174" s="197">
        <v>0.70399999999999996</v>
      </c>
      <c r="BL174" s="200">
        <v>69.489999999999995</v>
      </c>
      <c r="BM174" s="199">
        <v>703.8</v>
      </c>
      <c r="BN174" s="33"/>
      <c r="BO174" s="37">
        <v>704</v>
      </c>
      <c r="BP174" s="38">
        <v>0.70420000000000005</v>
      </c>
      <c r="BQ174" s="39">
        <v>69.44</v>
      </c>
      <c r="BR174" s="520"/>
    </row>
    <row r="175" spans="37:70">
      <c r="AK175" s="2482"/>
      <c r="BG175" s="30">
        <v>5.5</v>
      </c>
      <c r="BH175" s="31">
        <v>1.0327999999999999</v>
      </c>
      <c r="BI175" s="32">
        <v>1032.2</v>
      </c>
      <c r="BJ175" s="33"/>
      <c r="BK175" s="197">
        <v>0.70499999999999996</v>
      </c>
      <c r="BL175" s="200">
        <v>69.209999999999994</v>
      </c>
      <c r="BM175" s="199">
        <v>704.8</v>
      </c>
      <c r="BN175" s="33"/>
      <c r="BO175" s="37">
        <v>705</v>
      </c>
      <c r="BP175" s="38">
        <v>0.70520000000000005</v>
      </c>
      <c r="BQ175" s="39">
        <v>69.16</v>
      </c>
      <c r="BR175" s="520"/>
    </row>
    <row r="176" spans="37:70">
      <c r="AK176" s="2482"/>
      <c r="BG176" s="30">
        <v>5.6</v>
      </c>
      <c r="BH176" s="31">
        <v>1.0321</v>
      </c>
      <c r="BI176" s="32">
        <v>1031.4000000000001</v>
      </c>
      <c r="BJ176" s="33"/>
      <c r="BK176" s="197">
        <v>0.70599999999999996</v>
      </c>
      <c r="BL176" s="200">
        <v>68.92</v>
      </c>
      <c r="BM176" s="199">
        <v>705.8</v>
      </c>
      <c r="BN176" s="33"/>
      <c r="BO176" s="37">
        <v>706</v>
      </c>
      <c r="BP176" s="38">
        <v>0.70620000000000005</v>
      </c>
      <c r="BQ176" s="39">
        <v>68.87</v>
      </c>
      <c r="BR176" s="520"/>
    </row>
    <row r="177" spans="37:70">
      <c r="AK177" s="2482"/>
      <c r="BG177" s="30">
        <v>5.7</v>
      </c>
      <c r="BH177" s="31">
        <v>1.0313000000000001</v>
      </c>
      <c r="BI177" s="32">
        <v>1030.7</v>
      </c>
      <c r="BJ177" s="33"/>
      <c r="BK177" s="197">
        <v>0.70699999999999996</v>
      </c>
      <c r="BL177" s="200">
        <v>68.64</v>
      </c>
      <c r="BM177" s="199">
        <v>706.8</v>
      </c>
      <c r="BN177" s="33"/>
      <c r="BO177" s="37">
        <v>707</v>
      </c>
      <c r="BP177" s="38">
        <v>0.70720000000000005</v>
      </c>
      <c r="BQ177" s="39">
        <v>68.59</v>
      </c>
      <c r="BR177" s="520"/>
    </row>
    <row r="178" spans="37:70">
      <c r="AK178" s="2482"/>
      <c r="BG178" s="30">
        <v>5.8</v>
      </c>
      <c r="BH178" s="31">
        <v>1.0306</v>
      </c>
      <c r="BI178" s="32">
        <v>1029.9000000000001</v>
      </c>
      <c r="BJ178" s="33"/>
      <c r="BK178" s="197">
        <v>0.70799999999999996</v>
      </c>
      <c r="BL178" s="200">
        <v>68.36</v>
      </c>
      <c r="BM178" s="199">
        <v>707.8</v>
      </c>
      <c r="BN178" s="33"/>
      <c r="BO178" s="37">
        <v>708</v>
      </c>
      <c r="BP178" s="38">
        <v>0.70820000000000005</v>
      </c>
      <c r="BQ178" s="39">
        <v>68.31</v>
      </c>
      <c r="BR178" s="520"/>
    </row>
    <row r="179" spans="37:70">
      <c r="AK179" s="2482"/>
      <c r="BG179" s="30">
        <v>5.9</v>
      </c>
      <c r="BH179" s="31">
        <v>1.0298</v>
      </c>
      <c r="BI179" s="32">
        <v>1029.2</v>
      </c>
      <c r="BJ179" s="33"/>
      <c r="BK179" s="197">
        <v>0.70899999999999996</v>
      </c>
      <c r="BL179" s="200">
        <v>68.08</v>
      </c>
      <c r="BM179" s="199">
        <v>708.8</v>
      </c>
      <c r="BN179" s="33"/>
      <c r="BO179" s="37">
        <v>709</v>
      </c>
      <c r="BP179" s="38">
        <v>0.70920000000000005</v>
      </c>
      <c r="BQ179" s="39">
        <v>68.02</v>
      </c>
      <c r="BR179" s="520"/>
    </row>
    <row r="180" spans="37:70">
      <c r="AK180" s="2482"/>
      <c r="BG180" s="30">
        <v>6</v>
      </c>
      <c r="BH180" s="31">
        <v>1.0290999999999999</v>
      </c>
      <c r="BI180" s="32">
        <v>1028.4000000000001</v>
      </c>
      <c r="BJ180" s="33"/>
      <c r="BK180" s="197">
        <v>0.71</v>
      </c>
      <c r="BL180" s="200">
        <v>67.8</v>
      </c>
      <c r="BM180" s="199">
        <v>709.8</v>
      </c>
      <c r="BN180" s="33"/>
      <c r="BO180" s="37">
        <v>710</v>
      </c>
      <c r="BP180" s="38">
        <v>0.71020000000000005</v>
      </c>
      <c r="BQ180" s="39">
        <v>67.739999999999995</v>
      </c>
      <c r="BR180" s="520"/>
    </row>
    <row r="181" spans="37:70">
      <c r="AK181" s="2482"/>
      <c r="BG181" s="30">
        <v>6.1</v>
      </c>
      <c r="BH181" s="31">
        <v>1.0283</v>
      </c>
      <c r="BI181" s="32">
        <v>1027.7</v>
      </c>
      <c r="BJ181" s="33"/>
      <c r="BK181" s="197">
        <v>0.71099999999999997</v>
      </c>
      <c r="BL181" s="200">
        <v>67.52</v>
      </c>
      <c r="BM181" s="199">
        <v>710.8</v>
      </c>
      <c r="BN181" s="33"/>
      <c r="BO181" s="37">
        <v>711</v>
      </c>
      <c r="BP181" s="38">
        <v>0.71120000000000005</v>
      </c>
      <c r="BQ181" s="39">
        <v>67.459999999999994</v>
      </c>
      <c r="BR181" s="520"/>
    </row>
    <row r="182" spans="37:70">
      <c r="AK182" s="2482"/>
      <c r="BG182" s="30">
        <v>6.2</v>
      </c>
      <c r="BH182" s="31">
        <v>1.0276000000000001</v>
      </c>
      <c r="BI182" s="32">
        <v>1027</v>
      </c>
      <c r="BJ182" s="33"/>
      <c r="BK182" s="197">
        <v>0.71199999999999997</v>
      </c>
      <c r="BL182" s="200">
        <v>67.239999999999995</v>
      </c>
      <c r="BM182" s="199">
        <v>711.8</v>
      </c>
      <c r="BN182" s="33"/>
      <c r="BO182" s="37">
        <v>712</v>
      </c>
      <c r="BP182" s="38">
        <v>0.71220000000000006</v>
      </c>
      <c r="BQ182" s="39">
        <v>67.180000000000007</v>
      </c>
      <c r="BR182" s="520"/>
    </row>
    <row r="183" spans="37:70">
      <c r="AK183" s="2482"/>
      <c r="BG183" s="30">
        <v>6.3</v>
      </c>
      <c r="BH183" s="31">
        <v>1.0268999999999999</v>
      </c>
      <c r="BI183" s="32">
        <v>1026.2</v>
      </c>
      <c r="BJ183" s="33"/>
      <c r="BK183" s="197">
        <v>0.71299999999999997</v>
      </c>
      <c r="BL183" s="200">
        <v>66.959999999999994</v>
      </c>
      <c r="BM183" s="199">
        <v>712.8</v>
      </c>
      <c r="BN183" s="33"/>
      <c r="BO183" s="37">
        <v>713</v>
      </c>
      <c r="BP183" s="38">
        <v>0.71319999999999995</v>
      </c>
      <c r="BQ183" s="39">
        <v>66.900000000000006</v>
      </c>
      <c r="BR183" s="520"/>
    </row>
    <row r="184" spans="37:70">
      <c r="AK184" s="2482"/>
      <c r="BG184" s="30">
        <v>6.4</v>
      </c>
      <c r="BH184" s="31">
        <v>1.0261</v>
      </c>
      <c r="BI184" s="32">
        <v>1025.5</v>
      </c>
      <c r="BJ184" s="33"/>
      <c r="BK184" s="197">
        <v>0.71399999999999997</v>
      </c>
      <c r="BL184" s="200">
        <v>66.680000000000007</v>
      </c>
      <c r="BM184" s="199">
        <v>713.8</v>
      </c>
      <c r="BN184" s="33"/>
      <c r="BO184" s="37">
        <v>714</v>
      </c>
      <c r="BP184" s="38">
        <v>0.71419999999999995</v>
      </c>
      <c r="BQ184" s="39">
        <v>66.63</v>
      </c>
      <c r="BR184" s="520"/>
    </row>
    <row r="185" spans="37:70">
      <c r="AK185" s="2482"/>
      <c r="BG185" s="30">
        <v>6.5</v>
      </c>
      <c r="BH185" s="31">
        <v>1.0254000000000001</v>
      </c>
      <c r="BI185" s="32">
        <v>1024.7</v>
      </c>
      <c r="BJ185" s="33"/>
      <c r="BK185" s="197">
        <v>0.71499999999999997</v>
      </c>
      <c r="BL185" s="200">
        <v>66.400000000000006</v>
      </c>
      <c r="BM185" s="199">
        <v>714.8</v>
      </c>
      <c r="BN185" s="33"/>
      <c r="BO185" s="37">
        <v>715</v>
      </c>
      <c r="BP185" s="38">
        <v>0.71519999999999995</v>
      </c>
      <c r="BQ185" s="39">
        <v>66.349999999999994</v>
      </c>
      <c r="BR185" s="520"/>
    </row>
    <row r="186" spans="37:70">
      <c r="AK186" s="2482"/>
      <c r="BG186" s="30">
        <v>6.6</v>
      </c>
      <c r="BH186" s="31">
        <v>1.0246</v>
      </c>
      <c r="BI186" s="32">
        <v>1024</v>
      </c>
      <c r="BJ186" s="33"/>
      <c r="BK186" s="197">
        <v>0.71599999999999997</v>
      </c>
      <c r="BL186" s="200">
        <v>66.13</v>
      </c>
      <c r="BM186" s="199">
        <v>715.8</v>
      </c>
      <c r="BN186" s="33"/>
      <c r="BO186" s="37">
        <v>716</v>
      </c>
      <c r="BP186" s="38">
        <v>0.71619999999999995</v>
      </c>
      <c r="BQ186" s="39">
        <v>66.069999999999993</v>
      </c>
      <c r="BR186" s="520"/>
    </row>
    <row r="187" spans="37:70">
      <c r="AK187" s="2482"/>
      <c r="BG187" s="30">
        <v>6.7</v>
      </c>
      <c r="BH187" s="31">
        <v>1.0239</v>
      </c>
      <c r="BI187" s="32">
        <v>1023.2</v>
      </c>
      <c r="BJ187" s="33"/>
      <c r="BK187" s="197">
        <v>0.71699999999999997</v>
      </c>
      <c r="BL187" s="200">
        <v>65.849999999999994</v>
      </c>
      <c r="BM187" s="199">
        <v>716.8</v>
      </c>
      <c r="BN187" s="33"/>
      <c r="BO187" s="37">
        <v>717</v>
      </c>
      <c r="BP187" s="38">
        <v>0.71719999999999995</v>
      </c>
      <c r="BQ187" s="39">
        <v>65.8</v>
      </c>
      <c r="BR187" s="520"/>
    </row>
    <row r="188" spans="37:70">
      <c r="AK188" s="2482"/>
      <c r="BG188" s="30">
        <v>6.8</v>
      </c>
      <c r="BH188" s="31">
        <v>1.0230999999999999</v>
      </c>
      <c r="BI188" s="32">
        <v>1022.5</v>
      </c>
      <c r="BJ188" s="33"/>
      <c r="BK188" s="197">
        <v>0.71799999999999997</v>
      </c>
      <c r="BL188" s="200">
        <v>65.58</v>
      </c>
      <c r="BM188" s="199">
        <v>717.8</v>
      </c>
      <c r="BN188" s="33"/>
      <c r="BO188" s="37">
        <v>718</v>
      </c>
      <c r="BP188" s="38">
        <v>0.71819999999999995</v>
      </c>
      <c r="BQ188" s="39">
        <v>65.52</v>
      </c>
      <c r="BR188" s="520"/>
    </row>
    <row r="189" spans="37:70">
      <c r="AK189" s="2482"/>
      <c r="BG189" s="30">
        <v>6.9</v>
      </c>
      <c r="BH189" s="31">
        <v>1.0224</v>
      </c>
      <c r="BI189" s="32">
        <v>1021.8</v>
      </c>
      <c r="BJ189" s="33"/>
      <c r="BK189" s="197">
        <v>0.71899999999999997</v>
      </c>
      <c r="BL189" s="200">
        <v>65.3</v>
      </c>
      <c r="BM189" s="199">
        <v>718.8</v>
      </c>
      <c r="BN189" s="33"/>
      <c r="BO189" s="37">
        <v>719</v>
      </c>
      <c r="BP189" s="38">
        <v>0.71919999999999995</v>
      </c>
      <c r="BQ189" s="39">
        <v>65.25</v>
      </c>
      <c r="BR189" s="520"/>
    </row>
    <row r="190" spans="37:70">
      <c r="AK190" s="2482"/>
      <c r="BG190" s="30">
        <v>7</v>
      </c>
      <c r="BH190" s="31">
        <v>1.0217000000000001</v>
      </c>
      <c r="BI190" s="32">
        <v>1021</v>
      </c>
      <c r="BJ190" s="33"/>
      <c r="BK190" s="197">
        <v>0.72</v>
      </c>
      <c r="BL190" s="200">
        <v>65.03</v>
      </c>
      <c r="BM190" s="199">
        <v>719.8</v>
      </c>
      <c r="BN190" s="33"/>
      <c r="BO190" s="37">
        <v>720</v>
      </c>
      <c r="BP190" s="38">
        <v>0.72019999999999995</v>
      </c>
      <c r="BQ190" s="39">
        <v>64.97</v>
      </c>
      <c r="BR190" s="520"/>
    </row>
    <row r="191" spans="37:70">
      <c r="AK191" s="2482"/>
      <c r="BG191" s="30">
        <v>7.1</v>
      </c>
      <c r="BH191" s="31">
        <v>1.0208999999999999</v>
      </c>
      <c r="BI191" s="32">
        <v>1020.3</v>
      </c>
      <c r="BJ191" s="33"/>
      <c r="BK191" s="197">
        <v>0.72099999999999997</v>
      </c>
      <c r="BL191" s="200">
        <v>64.760000000000005</v>
      </c>
      <c r="BM191" s="199">
        <v>720.8</v>
      </c>
      <c r="BN191" s="33"/>
      <c r="BO191" s="37">
        <v>721</v>
      </c>
      <c r="BP191" s="38">
        <v>0.72119999999999995</v>
      </c>
      <c r="BQ191" s="39">
        <v>64.7</v>
      </c>
      <c r="BR191" s="520"/>
    </row>
    <row r="192" spans="37:70">
      <c r="AK192" s="2482"/>
      <c r="BG192" s="30">
        <v>7.2</v>
      </c>
      <c r="BH192" s="31">
        <v>1.0202</v>
      </c>
      <c r="BI192" s="32">
        <v>1019.6</v>
      </c>
      <c r="BJ192" s="33"/>
      <c r="BK192" s="197">
        <v>0.72199999999999998</v>
      </c>
      <c r="BL192" s="200">
        <v>64.48</v>
      </c>
      <c r="BM192" s="199">
        <v>721.8</v>
      </c>
      <c r="BN192" s="33"/>
      <c r="BO192" s="37">
        <v>722</v>
      </c>
      <c r="BP192" s="38">
        <v>0.72219999999999995</v>
      </c>
      <c r="BQ192" s="39">
        <v>64.430000000000007</v>
      </c>
      <c r="BR192" s="520"/>
    </row>
    <row r="193" spans="37:70">
      <c r="AK193" s="2482"/>
      <c r="BG193" s="30">
        <v>7.3</v>
      </c>
      <c r="BH193" s="31">
        <v>1.0195000000000001</v>
      </c>
      <c r="BI193" s="32">
        <v>1018.8</v>
      </c>
      <c r="BJ193" s="33"/>
      <c r="BK193" s="197">
        <v>0.72299999999999998</v>
      </c>
      <c r="BL193" s="200">
        <v>64.209999999999994</v>
      </c>
      <c r="BM193" s="199">
        <v>722.8</v>
      </c>
      <c r="BN193" s="33"/>
      <c r="BO193" s="37">
        <v>723</v>
      </c>
      <c r="BP193" s="38">
        <v>0.72319999999999995</v>
      </c>
      <c r="BQ193" s="39">
        <v>64.16</v>
      </c>
      <c r="BR193" s="520"/>
    </row>
    <row r="194" spans="37:70">
      <c r="AK194" s="2482"/>
      <c r="BG194" s="30">
        <v>7.4</v>
      </c>
      <c r="BH194" s="31">
        <v>1.0186999999999999</v>
      </c>
      <c r="BI194" s="32">
        <v>1018.1</v>
      </c>
      <c r="BJ194" s="33"/>
      <c r="BK194" s="197">
        <v>0.72399999999999998</v>
      </c>
      <c r="BL194" s="200">
        <v>63.94</v>
      </c>
      <c r="BM194" s="199">
        <v>723.8</v>
      </c>
      <c r="BN194" s="33"/>
      <c r="BO194" s="37">
        <v>724</v>
      </c>
      <c r="BP194" s="38">
        <v>0.72419999999999995</v>
      </c>
      <c r="BQ194" s="39">
        <v>63.89</v>
      </c>
      <c r="BR194" s="520"/>
    </row>
    <row r="195" spans="37:70">
      <c r="AK195" s="2482"/>
      <c r="BG195" s="30">
        <v>7.5</v>
      </c>
      <c r="BH195" s="31">
        <v>1.018</v>
      </c>
      <c r="BI195" s="32">
        <v>1017.4</v>
      </c>
      <c r="BJ195" s="33"/>
      <c r="BK195" s="197">
        <v>0.72499999999999998</v>
      </c>
      <c r="BL195" s="200">
        <v>63.67</v>
      </c>
      <c r="BM195" s="199">
        <v>724.8</v>
      </c>
      <c r="BN195" s="33"/>
      <c r="BO195" s="37">
        <v>725</v>
      </c>
      <c r="BP195" s="38">
        <v>0.72519999999999996</v>
      </c>
      <c r="BQ195" s="39">
        <v>63.62</v>
      </c>
      <c r="BR195" s="520"/>
    </row>
    <row r="196" spans="37:70">
      <c r="AK196" s="2482"/>
      <c r="BG196" s="30">
        <v>7.6</v>
      </c>
      <c r="BH196" s="31">
        <v>1.0173000000000001</v>
      </c>
      <c r="BI196" s="32">
        <v>1016.6</v>
      </c>
      <c r="BJ196" s="33"/>
      <c r="BK196" s="197">
        <v>0.72599999999999998</v>
      </c>
      <c r="BL196" s="200">
        <v>63.4</v>
      </c>
      <c r="BM196" s="199">
        <v>725.8</v>
      </c>
      <c r="BN196" s="33"/>
      <c r="BO196" s="37">
        <v>726</v>
      </c>
      <c r="BP196" s="38">
        <v>0.72619999999999996</v>
      </c>
      <c r="BQ196" s="39">
        <v>63.35</v>
      </c>
      <c r="BR196" s="520"/>
    </row>
    <row r="197" spans="37:70">
      <c r="AK197" s="2482"/>
      <c r="BG197" s="30">
        <v>7.7</v>
      </c>
      <c r="BH197" s="31">
        <v>1.0165</v>
      </c>
      <c r="BI197" s="32">
        <v>1015.9</v>
      </c>
      <c r="BJ197" s="33"/>
      <c r="BK197" s="197">
        <v>0.72699999999999998</v>
      </c>
      <c r="BL197" s="200">
        <v>63.14</v>
      </c>
      <c r="BM197" s="199">
        <v>726.8</v>
      </c>
      <c r="BN197" s="33"/>
      <c r="BO197" s="37">
        <v>727</v>
      </c>
      <c r="BP197" s="38">
        <v>0.72719999999999996</v>
      </c>
      <c r="BQ197" s="39">
        <v>63.08</v>
      </c>
      <c r="BR197" s="520"/>
    </row>
    <row r="198" spans="37:70">
      <c r="AK198" s="2482"/>
      <c r="BG198" s="30">
        <v>7.8</v>
      </c>
      <c r="BH198" s="31">
        <v>1.0158</v>
      </c>
      <c r="BI198" s="32">
        <v>1015.2</v>
      </c>
      <c r="BJ198" s="33"/>
      <c r="BK198" s="197">
        <v>0.72799999999999998</v>
      </c>
      <c r="BL198" s="200">
        <v>62.87</v>
      </c>
      <c r="BM198" s="199">
        <v>727.8</v>
      </c>
      <c r="BN198" s="33"/>
      <c r="BO198" s="37">
        <v>728</v>
      </c>
      <c r="BP198" s="38">
        <v>0.72819999999999996</v>
      </c>
      <c r="BQ198" s="39">
        <v>62.81</v>
      </c>
      <c r="BR198" s="520"/>
    </row>
    <row r="199" spans="37:70">
      <c r="AK199" s="2482"/>
      <c r="BG199" s="30">
        <v>7.9</v>
      </c>
      <c r="BH199" s="31">
        <v>1.0150999999999999</v>
      </c>
      <c r="BI199" s="32">
        <v>1014.4</v>
      </c>
      <c r="BJ199" s="33"/>
      <c r="BK199" s="197">
        <v>0.72899999999999998</v>
      </c>
      <c r="BL199" s="200">
        <v>62.6</v>
      </c>
      <c r="BM199" s="199">
        <v>728.8</v>
      </c>
      <c r="BN199" s="33"/>
      <c r="BO199" s="37">
        <v>729</v>
      </c>
      <c r="BP199" s="38">
        <v>0.72919999999999996</v>
      </c>
      <c r="BQ199" s="39">
        <v>62.54</v>
      </c>
      <c r="BR199" s="520"/>
    </row>
    <row r="200" spans="37:70">
      <c r="AK200" s="2482"/>
      <c r="BG200" s="30">
        <v>8</v>
      </c>
      <c r="BH200" s="31">
        <v>1.0143</v>
      </c>
      <c r="BI200" s="32">
        <v>1013.7</v>
      </c>
      <c r="BJ200" s="33"/>
      <c r="BK200" s="197">
        <v>0.73</v>
      </c>
      <c r="BL200" s="200">
        <v>62.34</v>
      </c>
      <c r="BM200" s="199">
        <v>729.8</v>
      </c>
      <c r="BN200" s="33"/>
      <c r="BO200" s="37">
        <v>730</v>
      </c>
      <c r="BP200" s="38">
        <v>0.73019999999999996</v>
      </c>
      <c r="BQ200" s="39">
        <v>62.28</v>
      </c>
      <c r="BR200" s="520"/>
    </row>
    <row r="201" spans="37:70">
      <c r="AK201" s="2482"/>
      <c r="BG201" s="30">
        <v>8.1</v>
      </c>
      <c r="BH201" s="31">
        <v>1.0136000000000001</v>
      </c>
      <c r="BI201" s="32">
        <v>1013</v>
      </c>
      <c r="BJ201" s="33"/>
      <c r="BK201" s="197">
        <v>0.73099999999999998</v>
      </c>
      <c r="BL201" s="200">
        <v>62.07</v>
      </c>
      <c r="BM201" s="199">
        <v>730.8</v>
      </c>
      <c r="BN201" s="33"/>
      <c r="BO201" s="37">
        <v>731</v>
      </c>
      <c r="BP201" s="38">
        <v>0.73119999999999996</v>
      </c>
      <c r="BQ201" s="39">
        <v>62.01</v>
      </c>
      <c r="BR201" s="520"/>
    </row>
    <row r="202" spans="37:70">
      <c r="AK202" s="2482"/>
      <c r="BG202" s="30">
        <v>8.1999999999999993</v>
      </c>
      <c r="BH202" s="31">
        <v>1.0128999999999999</v>
      </c>
      <c r="BI202" s="32">
        <v>1012.3</v>
      </c>
      <c r="BJ202" s="33"/>
      <c r="BK202" s="197">
        <v>0.73199999999999998</v>
      </c>
      <c r="BL202" s="200">
        <v>61.81</v>
      </c>
      <c r="BM202" s="199">
        <v>731.8</v>
      </c>
      <c r="BN202" s="33"/>
      <c r="BO202" s="37">
        <v>732</v>
      </c>
      <c r="BP202" s="38">
        <v>0.73219999999999996</v>
      </c>
      <c r="BQ202" s="39">
        <v>61.75</v>
      </c>
      <c r="BR202" s="520"/>
    </row>
    <row r="203" spans="37:70">
      <c r="AK203" s="2482"/>
      <c r="BG203" s="30">
        <v>8.3000000000000007</v>
      </c>
      <c r="BH203" s="31">
        <v>1.0122</v>
      </c>
      <c r="BI203" s="32">
        <v>1011.5</v>
      </c>
      <c r="BJ203" s="33"/>
      <c r="BK203" s="197">
        <v>0.73299999999999998</v>
      </c>
      <c r="BL203" s="200">
        <v>61.54</v>
      </c>
      <c r="BM203" s="199">
        <v>732.8</v>
      </c>
      <c r="BN203" s="33"/>
      <c r="BO203" s="37">
        <v>733</v>
      </c>
      <c r="BP203" s="38">
        <v>0.73319999999999996</v>
      </c>
      <c r="BQ203" s="39">
        <v>61.48</v>
      </c>
      <c r="BR203" s="520"/>
    </row>
    <row r="204" spans="37:70">
      <c r="AK204" s="2482"/>
      <c r="BG204" s="30">
        <v>8.4</v>
      </c>
      <c r="BH204" s="31">
        <v>1.0114000000000001</v>
      </c>
      <c r="BI204" s="32">
        <v>1010.8</v>
      </c>
      <c r="BJ204" s="33"/>
      <c r="BK204" s="197">
        <v>0.73399999999999999</v>
      </c>
      <c r="BL204" s="200">
        <v>61.28</v>
      </c>
      <c r="BM204" s="199">
        <v>733.8</v>
      </c>
      <c r="BN204" s="33"/>
      <c r="BO204" s="37">
        <v>734</v>
      </c>
      <c r="BP204" s="38">
        <v>0.73419999999999996</v>
      </c>
      <c r="BQ204" s="39">
        <v>61.22</v>
      </c>
      <c r="BR204" s="520"/>
    </row>
    <row r="205" spans="37:70">
      <c r="AK205" s="2482"/>
      <c r="BG205" s="30">
        <v>8.5</v>
      </c>
      <c r="BH205" s="31">
        <v>1.0106999999999999</v>
      </c>
      <c r="BI205" s="32">
        <v>1010.1</v>
      </c>
      <c r="BJ205" s="33"/>
      <c r="BK205" s="197">
        <v>0.73499999999999999</v>
      </c>
      <c r="BL205" s="200">
        <v>61.02</v>
      </c>
      <c r="BM205" s="199">
        <v>734.8</v>
      </c>
      <c r="BN205" s="33"/>
      <c r="BO205" s="37">
        <v>735</v>
      </c>
      <c r="BP205" s="38">
        <v>0.73519999999999996</v>
      </c>
      <c r="BQ205" s="39">
        <v>60.96</v>
      </c>
      <c r="BR205" s="520"/>
    </row>
    <row r="206" spans="37:70">
      <c r="AK206" s="2482"/>
      <c r="BG206" s="30">
        <v>8.6</v>
      </c>
      <c r="BH206" s="31">
        <v>1.01</v>
      </c>
      <c r="BI206" s="32">
        <v>1009.4</v>
      </c>
      <c r="BJ206" s="33"/>
      <c r="BK206" s="197">
        <v>0.73599999999999999</v>
      </c>
      <c r="BL206" s="200">
        <v>60.76</v>
      </c>
      <c r="BM206" s="199">
        <v>735.8</v>
      </c>
      <c r="BN206" s="33"/>
      <c r="BO206" s="37">
        <v>736</v>
      </c>
      <c r="BP206" s="38">
        <v>0.73619999999999997</v>
      </c>
      <c r="BQ206" s="39">
        <v>60.7</v>
      </c>
      <c r="BR206" s="520"/>
    </row>
    <row r="207" spans="37:70">
      <c r="AK207" s="2482"/>
      <c r="BG207" s="30">
        <v>8.6999999999999993</v>
      </c>
      <c r="BH207" s="31">
        <v>1.0093000000000001</v>
      </c>
      <c r="BI207" s="32">
        <v>1008.6</v>
      </c>
      <c r="BJ207" s="33"/>
      <c r="BK207" s="197">
        <v>0.73699999999999999</v>
      </c>
      <c r="BL207" s="200">
        <v>60.49</v>
      </c>
      <c r="BM207" s="199">
        <v>736.8</v>
      </c>
      <c r="BN207" s="33"/>
      <c r="BO207" s="37">
        <v>737</v>
      </c>
      <c r="BP207" s="38">
        <v>0.73719999999999997</v>
      </c>
      <c r="BQ207" s="39">
        <v>60.44</v>
      </c>
      <c r="BR207" s="520"/>
    </row>
    <row r="208" spans="37:70">
      <c r="AK208" s="2482"/>
      <c r="BG208" s="30">
        <v>8.8000000000000007</v>
      </c>
      <c r="BH208" s="31">
        <v>1.0085999999999999</v>
      </c>
      <c r="BI208" s="32">
        <v>1007.9</v>
      </c>
      <c r="BJ208" s="33"/>
      <c r="BK208" s="197">
        <v>0.73799999999999999</v>
      </c>
      <c r="BL208" s="200">
        <v>60.23</v>
      </c>
      <c r="BM208" s="199">
        <v>737.8</v>
      </c>
      <c r="BN208" s="33"/>
      <c r="BO208" s="37">
        <v>738</v>
      </c>
      <c r="BP208" s="38">
        <v>0.73819999999999997</v>
      </c>
      <c r="BQ208" s="39">
        <v>60.18</v>
      </c>
      <c r="BR208" s="520"/>
    </row>
    <row r="209" spans="37:70">
      <c r="AK209" s="2482"/>
      <c r="BG209" s="30">
        <v>8.9</v>
      </c>
      <c r="BH209" s="31">
        <v>1.0078</v>
      </c>
      <c r="BI209" s="32">
        <v>1007.2</v>
      </c>
      <c r="BJ209" s="33"/>
      <c r="BK209" s="197">
        <v>0.73899999999999999</v>
      </c>
      <c r="BL209" s="200">
        <v>59.97</v>
      </c>
      <c r="BM209" s="199">
        <v>738.8</v>
      </c>
      <c r="BN209" s="33"/>
      <c r="BO209" s="37">
        <v>739</v>
      </c>
      <c r="BP209" s="38">
        <v>0.73919999999999997</v>
      </c>
      <c r="BQ209" s="39">
        <v>59.92</v>
      </c>
      <c r="BR209" s="520"/>
    </row>
    <row r="210" spans="37:70">
      <c r="AK210" s="2482"/>
      <c r="BG210" s="30">
        <v>9</v>
      </c>
      <c r="BH210" s="31">
        <v>1.0071000000000001</v>
      </c>
      <c r="BI210" s="32">
        <v>1006.5</v>
      </c>
      <c r="BJ210" s="33"/>
      <c r="BK210" s="197">
        <v>0.74</v>
      </c>
      <c r="BL210" s="200">
        <v>59.72</v>
      </c>
      <c r="BM210" s="199">
        <v>739.8</v>
      </c>
      <c r="BN210" s="33"/>
      <c r="BO210" s="37">
        <v>740</v>
      </c>
      <c r="BP210" s="38">
        <v>0.74019999999999997</v>
      </c>
      <c r="BQ210" s="39">
        <v>59.66</v>
      </c>
      <c r="BR210" s="520"/>
    </row>
    <row r="211" spans="37:70">
      <c r="AK211" s="2482"/>
      <c r="BG211" s="30">
        <v>9.1</v>
      </c>
      <c r="BH211" s="31">
        <v>1.0064</v>
      </c>
      <c r="BI211" s="32">
        <v>1005.8</v>
      </c>
      <c r="BJ211" s="33"/>
      <c r="BK211" s="197">
        <v>0.74099999999999999</v>
      </c>
      <c r="BL211" s="200">
        <v>59.46</v>
      </c>
      <c r="BM211" s="199">
        <v>740.8</v>
      </c>
      <c r="BN211" s="33"/>
      <c r="BO211" s="37">
        <v>741</v>
      </c>
      <c r="BP211" s="38">
        <v>0.74119999999999997</v>
      </c>
      <c r="BQ211" s="39">
        <v>59.4</v>
      </c>
      <c r="BR211" s="520"/>
    </row>
    <row r="212" spans="37:70">
      <c r="AK212" s="2482"/>
      <c r="BG212" s="30">
        <v>9.1999999999999993</v>
      </c>
      <c r="BH212" s="31">
        <v>1.0057</v>
      </c>
      <c r="BI212" s="32">
        <v>1005.1</v>
      </c>
      <c r="BJ212" s="33"/>
      <c r="BK212" s="197">
        <v>0.74199999999999999</v>
      </c>
      <c r="BL212" s="200">
        <v>59.2</v>
      </c>
      <c r="BM212" s="199">
        <v>741.8</v>
      </c>
      <c r="BN212" s="33"/>
      <c r="BO212" s="37">
        <v>742</v>
      </c>
      <c r="BP212" s="38">
        <v>0.74219999999999997</v>
      </c>
      <c r="BQ212" s="39">
        <v>59.14</v>
      </c>
      <c r="BR212" s="520"/>
    </row>
    <row r="213" spans="37:70">
      <c r="AK213" s="2482"/>
      <c r="BG213" s="30">
        <v>9.3000000000000007</v>
      </c>
      <c r="BH213" s="31">
        <v>1.0049999999999999</v>
      </c>
      <c r="BI213" s="32">
        <v>1004.4</v>
      </c>
      <c r="BJ213" s="33"/>
      <c r="BK213" s="197">
        <v>0.74299999999999999</v>
      </c>
      <c r="BL213" s="200">
        <v>58.94</v>
      </c>
      <c r="BM213" s="199">
        <v>742.8</v>
      </c>
      <c r="BN213" s="33"/>
      <c r="BO213" s="37">
        <v>743</v>
      </c>
      <c r="BP213" s="38">
        <v>0.74319999999999997</v>
      </c>
      <c r="BQ213" s="39">
        <v>58.88</v>
      </c>
      <c r="BR213" s="520"/>
    </row>
    <row r="214" spans="37:70">
      <c r="AK214" s="2482"/>
      <c r="BG214" s="30">
        <v>9.4</v>
      </c>
      <c r="BH214" s="31">
        <v>1.0043</v>
      </c>
      <c r="BI214" s="32">
        <v>1003.6</v>
      </c>
      <c r="BJ214" s="33"/>
      <c r="BK214" s="197">
        <v>0.74399999999999999</v>
      </c>
      <c r="BL214" s="200">
        <v>58.69</v>
      </c>
      <c r="BM214" s="199">
        <v>743.8</v>
      </c>
      <c r="BN214" s="33"/>
      <c r="BO214" s="37">
        <v>744</v>
      </c>
      <c r="BP214" s="38">
        <v>0.74419999999999997</v>
      </c>
      <c r="BQ214" s="39">
        <v>58.63</v>
      </c>
      <c r="BR214" s="520"/>
    </row>
    <row r="215" spans="37:70">
      <c r="AK215" s="2482"/>
      <c r="BG215" s="30">
        <v>9.5</v>
      </c>
      <c r="BH215" s="31">
        <v>1.0035000000000001</v>
      </c>
      <c r="BI215" s="32">
        <v>1002.9</v>
      </c>
      <c r="BJ215" s="33"/>
      <c r="BK215" s="197">
        <v>0.745</v>
      </c>
      <c r="BL215" s="200">
        <v>58.43</v>
      </c>
      <c r="BM215" s="199">
        <v>744.8</v>
      </c>
      <c r="BN215" s="33"/>
      <c r="BO215" s="37">
        <v>745</v>
      </c>
      <c r="BP215" s="38">
        <v>0.74519999999999997</v>
      </c>
      <c r="BQ215" s="39">
        <v>58.37</v>
      </c>
      <c r="BR215" s="520"/>
    </row>
    <row r="216" spans="37:70">
      <c r="AK216" s="2482"/>
      <c r="BG216" s="30">
        <v>9.6</v>
      </c>
      <c r="BH216" s="31">
        <v>1.0027999999999999</v>
      </c>
      <c r="BI216" s="32">
        <v>1002.2</v>
      </c>
      <c r="BJ216" s="33"/>
      <c r="BK216" s="197">
        <v>0.746</v>
      </c>
      <c r="BL216" s="200">
        <v>58.18</v>
      </c>
      <c r="BM216" s="199">
        <v>745.8</v>
      </c>
      <c r="BN216" s="33"/>
      <c r="BO216" s="37">
        <v>746</v>
      </c>
      <c r="BP216" s="38">
        <v>0.74619999999999997</v>
      </c>
      <c r="BQ216" s="39">
        <v>58.12</v>
      </c>
      <c r="BR216" s="520"/>
    </row>
    <row r="217" spans="37:70">
      <c r="AK217" s="2482"/>
      <c r="BG217" s="30">
        <v>9.6999999999999993</v>
      </c>
      <c r="BH217" s="31">
        <v>1.0021</v>
      </c>
      <c r="BI217" s="32">
        <v>1001.5</v>
      </c>
      <c r="BJ217" s="33"/>
      <c r="BK217" s="197">
        <v>0.747</v>
      </c>
      <c r="BL217" s="200">
        <v>57.92</v>
      </c>
      <c r="BM217" s="199">
        <v>746.8</v>
      </c>
      <c r="BN217" s="33"/>
      <c r="BO217" s="37">
        <v>747</v>
      </c>
      <c r="BP217" s="38">
        <v>0.74719999999999998</v>
      </c>
      <c r="BQ217" s="39">
        <v>57.86</v>
      </c>
      <c r="BR217" s="520"/>
    </row>
    <row r="218" spans="37:70">
      <c r="AK218" s="2482"/>
      <c r="BG218" s="30">
        <v>9.8000000000000007</v>
      </c>
      <c r="BH218" s="31">
        <v>1.0014000000000001</v>
      </c>
      <c r="BI218" s="32">
        <v>1000.8</v>
      </c>
      <c r="BJ218" s="33"/>
      <c r="BK218" s="197">
        <v>0.748</v>
      </c>
      <c r="BL218" s="200">
        <v>57.67</v>
      </c>
      <c r="BM218" s="199">
        <v>747.8</v>
      </c>
      <c r="BN218" s="33"/>
      <c r="BO218" s="37">
        <v>748</v>
      </c>
      <c r="BP218" s="38">
        <v>0.74819999999999998</v>
      </c>
      <c r="BQ218" s="39">
        <v>57.61</v>
      </c>
      <c r="BR218" s="520"/>
    </row>
    <row r="219" spans="37:70">
      <c r="AK219" s="2482"/>
      <c r="BG219" s="30">
        <v>9.9</v>
      </c>
      <c r="BH219" s="31">
        <v>1.0006999999999999</v>
      </c>
      <c r="BI219" s="32">
        <v>1000.1</v>
      </c>
      <c r="BJ219" s="33"/>
      <c r="BK219" s="197">
        <v>0.749</v>
      </c>
      <c r="BL219" s="200">
        <v>57.42</v>
      </c>
      <c r="BM219" s="199">
        <v>748.8</v>
      </c>
      <c r="BN219" s="33"/>
      <c r="BO219" s="37">
        <v>749</v>
      </c>
      <c r="BP219" s="38">
        <v>0.74919999999999998</v>
      </c>
      <c r="BQ219" s="39">
        <v>57.36</v>
      </c>
      <c r="BR219" s="520"/>
    </row>
    <row r="220" spans="37:70">
      <c r="AK220" s="2482"/>
      <c r="BG220" s="30">
        <v>10</v>
      </c>
      <c r="BH220" s="31">
        <v>1</v>
      </c>
      <c r="BI220" s="32">
        <v>999.4</v>
      </c>
      <c r="BJ220" s="33"/>
      <c r="BK220" s="197">
        <v>0.75</v>
      </c>
      <c r="BL220" s="200">
        <v>57.17</v>
      </c>
      <c r="BM220" s="199">
        <v>749.8</v>
      </c>
      <c r="BN220" s="33"/>
      <c r="BO220" s="37">
        <v>750</v>
      </c>
      <c r="BP220" s="38">
        <v>0.75019999999999998</v>
      </c>
      <c r="BQ220" s="39">
        <v>57.11</v>
      </c>
      <c r="BR220" s="520"/>
    </row>
    <row r="221" spans="37:70">
      <c r="AK221" s="2482"/>
      <c r="BG221" s="30">
        <v>10.1</v>
      </c>
      <c r="BH221" s="31">
        <v>0.99929999999999997</v>
      </c>
      <c r="BI221" s="32">
        <v>998.7</v>
      </c>
      <c r="BJ221" s="33"/>
      <c r="BK221" s="197">
        <v>0.751</v>
      </c>
      <c r="BL221" s="200">
        <v>56.92</v>
      </c>
      <c r="BM221" s="199">
        <v>750.8</v>
      </c>
      <c r="BN221" s="33"/>
      <c r="BO221" s="37">
        <v>751</v>
      </c>
      <c r="BP221" s="38">
        <v>0.75119999999999998</v>
      </c>
      <c r="BQ221" s="39">
        <v>56.85</v>
      </c>
      <c r="BR221" s="520"/>
    </row>
    <row r="222" spans="37:70">
      <c r="AK222" s="2482"/>
      <c r="BG222" s="30">
        <v>10.199999999999999</v>
      </c>
      <c r="BH222" s="31">
        <v>0.99860000000000004</v>
      </c>
      <c r="BI222" s="32">
        <v>998</v>
      </c>
      <c r="BJ222" s="33"/>
      <c r="BK222" s="197">
        <v>0.752</v>
      </c>
      <c r="BL222" s="200">
        <v>56.66</v>
      </c>
      <c r="BM222" s="199">
        <v>751.8</v>
      </c>
      <c r="BN222" s="33"/>
      <c r="BO222" s="37">
        <v>752</v>
      </c>
      <c r="BP222" s="38">
        <v>0.75219999999999998</v>
      </c>
      <c r="BQ222" s="39">
        <v>56.6</v>
      </c>
      <c r="BR222" s="520"/>
    </row>
    <row r="223" spans="37:70">
      <c r="AK223" s="2482"/>
      <c r="BG223" s="30">
        <v>10.3</v>
      </c>
      <c r="BH223" s="31">
        <v>0.99790000000000001</v>
      </c>
      <c r="BI223" s="32">
        <v>997.3</v>
      </c>
      <c r="BJ223" s="33"/>
      <c r="BK223" s="197">
        <v>0.753</v>
      </c>
      <c r="BL223" s="200">
        <v>56.42</v>
      </c>
      <c r="BM223" s="199">
        <v>752.8</v>
      </c>
      <c r="BN223" s="33"/>
      <c r="BO223" s="37">
        <v>753</v>
      </c>
      <c r="BP223" s="38">
        <v>0.75319999999999998</v>
      </c>
      <c r="BQ223" s="39">
        <v>56.35</v>
      </c>
      <c r="BR223" s="520"/>
    </row>
    <row r="224" spans="37:70">
      <c r="AK224" s="2482"/>
      <c r="BG224" s="30">
        <v>10.4</v>
      </c>
      <c r="BH224" s="31">
        <v>0.99719999999999998</v>
      </c>
      <c r="BI224" s="32">
        <v>996.6</v>
      </c>
      <c r="BJ224" s="33"/>
      <c r="BK224" s="197">
        <v>0.754</v>
      </c>
      <c r="BL224" s="200">
        <v>56.17</v>
      </c>
      <c r="BM224" s="199">
        <v>753.8</v>
      </c>
      <c r="BN224" s="33"/>
      <c r="BO224" s="37">
        <v>754</v>
      </c>
      <c r="BP224" s="38">
        <v>0.75419999999999998</v>
      </c>
      <c r="BQ224" s="39">
        <v>56.1</v>
      </c>
      <c r="BR224" s="520"/>
    </row>
    <row r="225" spans="37:70">
      <c r="AK225" s="2482"/>
      <c r="BG225" s="30">
        <v>10.5</v>
      </c>
      <c r="BH225" s="31">
        <v>0.99650000000000005</v>
      </c>
      <c r="BI225" s="32">
        <v>995.9</v>
      </c>
      <c r="BJ225" s="33"/>
      <c r="BK225" s="197">
        <v>0.755</v>
      </c>
      <c r="BL225" s="200">
        <v>55.92</v>
      </c>
      <c r="BM225" s="199">
        <v>754.8</v>
      </c>
      <c r="BN225" s="33"/>
      <c r="BO225" s="37">
        <v>755</v>
      </c>
      <c r="BP225" s="38">
        <v>0.75519999999999998</v>
      </c>
      <c r="BQ225" s="39">
        <v>55.86</v>
      </c>
      <c r="BR225" s="520"/>
    </row>
    <row r="226" spans="37:70">
      <c r="AK226" s="2482"/>
      <c r="BG226" s="30">
        <v>10.6</v>
      </c>
      <c r="BH226" s="31">
        <v>0.99580000000000002</v>
      </c>
      <c r="BI226" s="32">
        <v>995.2</v>
      </c>
      <c r="BJ226" s="33"/>
      <c r="BK226" s="197">
        <v>0.75600000000000001</v>
      </c>
      <c r="BL226" s="200">
        <v>55.67</v>
      </c>
      <c r="BM226" s="199">
        <v>755.8</v>
      </c>
      <c r="BN226" s="33"/>
      <c r="BO226" s="37">
        <v>756</v>
      </c>
      <c r="BP226" s="38">
        <v>0.75619999999999998</v>
      </c>
      <c r="BQ226" s="39">
        <v>55.61</v>
      </c>
      <c r="BR226" s="520"/>
    </row>
    <row r="227" spans="37:70">
      <c r="AK227" s="2482"/>
      <c r="BG227" s="30">
        <v>10.7</v>
      </c>
      <c r="BH227" s="31">
        <v>0.99509999999999998</v>
      </c>
      <c r="BI227" s="32">
        <v>994.5</v>
      </c>
      <c r="BJ227" s="33"/>
      <c r="BK227" s="197">
        <v>0.75700000000000001</v>
      </c>
      <c r="BL227" s="200">
        <v>55.42</v>
      </c>
      <c r="BM227" s="199">
        <v>756.8</v>
      </c>
      <c r="BN227" s="33"/>
      <c r="BO227" s="37">
        <v>757</v>
      </c>
      <c r="BP227" s="38">
        <v>0.75729999999999997</v>
      </c>
      <c r="BQ227" s="39">
        <v>55.36</v>
      </c>
      <c r="BR227" s="520"/>
    </row>
    <row r="228" spans="37:70">
      <c r="AK228" s="2482"/>
      <c r="BG228" s="30">
        <v>10.8</v>
      </c>
      <c r="BH228" s="31">
        <v>0.99439999999999995</v>
      </c>
      <c r="BI228" s="32">
        <v>993.8</v>
      </c>
      <c r="BJ228" s="33"/>
      <c r="BK228" s="197">
        <v>0.75800000000000001</v>
      </c>
      <c r="BL228" s="200">
        <v>55.18</v>
      </c>
      <c r="BM228" s="199">
        <v>757.7</v>
      </c>
      <c r="BN228" s="33"/>
      <c r="BO228" s="37">
        <v>758</v>
      </c>
      <c r="BP228" s="38">
        <v>0.75829999999999997</v>
      </c>
      <c r="BQ228" s="39">
        <v>55.11</v>
      </c>
      <c r="BR228" s="520"/>
    </row>
    <row r="229" spans="37:70">
      <c r="AK229" s="2482"/>
      <c r="BG229" s="30">
        <v>10.9</v>
      </c>
      <c r="BH229" s="31">
        <v>0.99370000000000003</v>
      </c>
      <c r="BI229" s="32">
        <v>993.1</v>
      </c>
      <c r="BJ229" s="33"/>
      <c r="BK229" s="197">
        <v>0.75900000000000001</v>
      </c>
      <c r="BL229" s="200">
        <v>54.93</v>
      </c>
      <c r="BM229" s="199">
        <v>758.7</v>
      </c>
      <c r="BN229" s="33"/>
      <c r="BO229" s="37">
        <v>759</v>
      </c>
      <c r="BP229" s="38">
        <v>0.75929999999999997</v>
      </c>
      <c r="BQ229" s="39">
        <v>54.87</v>
      </c>
      <c r="BR229" s="520"/>
    </row>
    <row r="230" spans="37:70">
      <c r="AK230" s="2482"/>
      <c r="BG230" s="30">
        <v>11</v>
      </c>
      <c r="BH230" s="31">
        <v>0.99299999999999999</v>
      </c>
      <c r="BI230" s="32">
        <v>992.4</v>
      </c>
      <c r="BJ230" s="33"/>
      <c r="BK230" s="197">
        <v>0.76</v>
      </c>
      <c r="BL230" s="200">
        <v>54.68</v>
      </c>
      <c r="BM230" s="199">
        <v>759.7</v>
      </c>
      <c r="BN230" s="33"/>
      <c r="BO230" s="37">
        <v>760</v>
      </c>
      <c r="BP230" s="38">
        <v>0.76029999999999998</v>
      </c>
      <c r="BQ230" s="39">
        <v>54.62</v>
      </c>
      <c r="BR230" s="520"/>
    </row>
    <row r="231" spans="37:70">
      <c r="AK231" s="2482"/>
      <c r="BG231" s="30">
        <v>11.1</v>
      </c>
      <c r="BH231" s="31">
        <v>0.99229999999999996</v>
      </c>
      <c r="BI231" s="32">
        <v>991.7</v>
      </c>
      <c r="BJ231" s="33"/>
      <c r="BK231" s="197">
        <v>0.76100000000000001</v>
      </c>
      <c r="BL231" s="200">
        <v>54.44</v>
      </c>
      <c r="BM231" s="199">
        <v>760.7</v>
      </c>
      <c r="BN231" s="33"/>
      <c r="BO231" s="37">
        <v>761</v>
      </c>
      <c r="BP231" s="38">
        <v>0.76129999999999998</v>
      </c>
      <c r="BQ231" s="39">
        <v>54.38</v>
      </c>
      <c r="BR231" s="520"/>
    </row>
    <row r="232" spans="37:70">
      <c r="AK232" s="2482"/>
      <c r="BG232" s="30">
        <v>11.2</v>
      </c>
      <c r="BH232" s="31">
        <v>0.99160000000000004</v>
      </c>
      <c r="BI232" s="32">
        <v>991</v>
      </c>
      <c r="BJ232" s="33"/>
      <c r="BK232" s="197">
        <v>0.76200000000000001</v>
      </c>
      <c r="BL232" s="200">
        <v>54.2</v>
      </c>
      <c r="BM232" s="199">
        <v>761.7</v>
      </c>
      <c r="BN232" s="33"/>
      <c r="BO232" s="37">
        <v>762</v>
      </c>
      <c r="BP232" s="38">
        <v>0.76229999999999998</v>
      </c>
      <c r="BQ232" s="39">
        <v>54.13</v>
      </c>
      <c r="BR232" s="520"/>
    </row>
    <row r="233" spans="37:70">
      <c r="AK233" s="2482"/>
      <c r="BG233" s="30">
        <v>11.3</v>
      </c>
      <c r="BH233" s="31">
        <v>0.9909</v>
      </c>
      <c r="BI233" s="32">
        <v>990.3</v>
      </c>
      <c r="BJ233" s="33"/>
      <c r="BK233" s="197">
        <v>0.76300000000000001</v>
      </c>
      <c r="BL233" s="200">
        <v>53.95</v>
      </c>
      <c r="BM233" s="199">
        <v>762.7</v>
      </c>
      <c r="BN233" s="33"/>
      <c r="BO233" s="37">
        <v>763</v>
      </c>
      <c r="BP233" s="38">
        <v>0.76329999999999998</v>
      </c>
      <c r="BQ233" s="39">
        <v>53.89</v>
      </c>
      <c r="BR233" s="520"/>
    </row>
    <row r="234" spans="37:70">
      <c r="AK234" s="2482"/>
      <c r="BG234" s="30">
        <v>11.4</v>
      </c>
      <c r="BH234" s="31">
        <v>0.99019999999999997</v>
      </c>
      <c r="BI234" s="32">
        <v>989.6</v>
      </c>
      <c r="BJ234" s="33"/>
      <c r="BK234" s="197">
        <v>0.76400000000000001</v>
      </c>
      <c r="BL234" s="200">
        <v>53.71</v>
      </c>
      <c r="BM234" s="199">
        <v>763.7</v>
      </c>
      <c r="BN234" s="33"/>
      <c r="BO234" s="37">
        <v>764</v>
      </c>
      <c r="BP234" s="38">
        <v>0.76429999999999998</v>
      </c>
      <c r="BQ234" s="39">
        <v>53.65</v>
      </c>
      <c r="BR234" s="520"/>
    </row>
    <row r="235" spans="37:70">
      <c r="AK235" s="2482"/>
      <c r="BG235" s="30">
        <v>11.5</v>
      </c>
      <c r="BH235" s="31">
        <v>0.98950000000000005</v>
      </c>
      <c r="BI235" s="32">
        <v>988.9</v>
      </c>
      <c r="BJ235" s="33"/>
      <c r="BK235" s="197">
        <v>0.76500000000000001</v>
      </c>
      <c r="BL235" s="200">
        <v>53.47</v>
      </c>
      <c r="BM235" s="199">
        <v>764.7</v>
      </c>
      <c r="BN235" s="33"/>
      <c r="BO235" s="37">
        <v>765</v>
      </c>
      <c r="BP235" s="38">
        <v>0.76529999999999998</v>
      </c>
      <c r="BQ235" s="39">
        <v>53.4</v>
      </c>
      <c r="BR235" s="520"/>
    </row>
    <row r="236" spans="37:70">
      <c r="AK236" s="2482"/>
      <c r="BG236" s="30">
        <v>11.6</v>
      </c>
      <c r="BH236" s="31">
        <v>0.98880000000000001</v>
      </c>
      <c r="BI236" s="32">
        <v>988.2</v>
      </c>
      <c r="BJ236" s="33"/>
      <c r="BK236" s="197">
        <v>0.76600000000000001</v>
      </c>
      <c r="BL236" s="200">
        <v>53.23</v>
      </c>
      <c r="BM236" s="199">
        <v>765.7</v>
      </c>
      <c r="BN236" s="33"/>
      <c r="BO236" s="37">
        <v>766</v>
      </c>
      <c r="BP236" s="38">
        <v>0.76629999999999998</v>
      </c>
      <c r="BQ236" s="39">
        <v>53.16</v>
      </c>
      <c r="BR236" s="520"/>
    </row>
    <row r="237" spans="37:70">
      <c r="AK237" s="2482"/>
      <c r="BG237" s="30">
        <v>11.7</v>
      </c>
      <c r="BH237" s="31">
        <v>0.98809999999999998</v>
      </c>
      <c r="BI237" s="32">
        <v>987.5</v>
      </c>
      <c r="BJ237" s="33"/>
      <c r="BK237" s="197">
        <v>0.76700000000000002</v>
      </c>
      <c r="BL237" s="200">
        <v>52.99</v>
      </c>
      <c r="BM237" s="199">
        <v>766.7</v>
      </c>
      <c r="BN237" s="33"/>
      <c r="BO237" s="37">
        <v>767</v>
      </c>
      <c r="BP237" s="38">
        <v>0.76729999999999998</v>
      </c>
      <c r="BQ237" s="39">
        <v>52.92</v>
      </c>
      <c r="BR237" s="520"/>
    </row>
    <row r="238" spans="37:70">
      <c r="AK238" s="2482"/>
      <c r="BG238" s="30">
        <v>11.8</v>
      </c>
      <c r="BH238" s="31">
        <v>0.98740000000000006</v>
      </c>
      <c r="BI238" s="32">
        <v>986.8</v>
      </c>
      <c r="BJ238" s="33"/>
      <c r="BK238" s="197">
        <v>0.76800000000000002</v>
      </c>
      <c r="BL238" s="200">
        <v>52.74</v>
      </c>
      <c r="BM238" s="199">
        <v>767.7</v>
      </c>
      <c r="BN238" s="33"/>
      <c r="BO238" s="37">
        <v>768</v>
      </c>
      <c r="BP238" s="38">
        <v>0.76829999999999998</v>
      </c>
      <c r="BQ238" s="39">
        <v>52.68</v>
      </c>
      <c r="BR238" s="520"/>
    </row>
    <row r="239" spans="37:70">
      <c r="AK239" s="2482"/>
      <c r="BG239" s="30">
        <v>11.9</v>
      </c>
      <c r="BH239" s="31">
        <v>0.98680000000000001</v>
      </c>
      <c r="BI239" s="32">
        <v>986.2</v>
      </c>
      <c r="BJ239" s="33"/>
      <c r="BK239" s="197">
        <v>0.76900000000000002</v>
      </c>
      <c r="BL239" s="200">
        <v>52.51</v>
      </c>
      <c r="BM239" s="199">
        <v>768.7</v>
      </c>
      <c r="BN239" s="33"/>
      <c r="BO239" s="37">
        <v>769</v>
      </c>
      <c r="BP239" s="38">
        <v>0.76929999999999998</v>
      </c>
      <c r="BQ239" s="39">
        <v>52.44</v>
      </c>
      <c r="BR239" s="520"/>
    </row>
    <row r="240" spans="37:70">
      <c r="AK240" s="2482"/>
      <c r="BG240" s="30">
        <v>12</v>
      </c>
      <c r="BH240" s="31">
        <v>0.98609999999999998</v>
      </c>
      <c r="BI240" s="32">
        <v>985.5</v>
      </c>
      <c r="BJ240" s="33"/>
      <c r="BK240" s="197">
        <v>0.77</v>
      </c>
      <c r="BL240" s="200">
        <v>52.27</v>
      </c>
      <c r="BM240" s="199">
        <v>769.7</v>
      </c>
      <c r="BN240" s="33"/>
      <c r="BO240" s="37">
        <v>770</v>
      </c>
      <c r="BP240" s="38">
        <v>0.77029999999999998</v>
      </c>
      <c r="BQ240" s="39">
        <v>52.2</v>
      </c>
      <c r="BR240" s="520"/>
    </row>
    <row r="241" spans="37:70">
      <c r="AK241" s="2482"/>
      <c r="BG241" s="30">
        <v>12.1</v>
      </c>
      <c r="BH241" s="31">
        <v>0.98540000000000005</v>
      </c>
      <c r="BI241" s="32">
        <v>984.8</v>
      </c>
      <c r="BJ241" s="33"/>
      <c r="BK241" s="197">
        <v>0.77100000000000002</v>
      </c>
      <c r="BL241" s="200">
        <v>52.03</v>
      </c>
      <c r="BM241" s="199">
        <v>770.7</v>
      </c>
      <c r="BN241" s="33"/>
      <c r="BO241" s="37">
        <v>771</v>
      </c>
      <c r="BP241" s="38">
        <v>0.77129999999999999</v>
      </c>
      <c r="BQ241" s="39">
        <v>51.96</v>
      </c>
      <c r="BR241" s="520"/>
    </row>
    <row r="242" spans="37:70">
      <c r="AK242" s="2482"/>
      <c r="BG242" s="30">
        <v>12.2</v>
      </c>
      <c r="BH242" s="31">
        <v>0.98470000000000002</v>
      </c>
      <c r="BI242" s="32">
        <v>984.1</v>
      </c>
      <c r="BJ242" s="33"/>
      <c r="BK242" s="197">
        <v>0.77200000000000002</v>
      </c>
      <c r="BL242" s="200">
        <v>51.79</v>
      </c>
      <c r="BM242" s="199">
        <v>771.7</v>
      </c>
      <c r="BN242" s="33"/>
      <c r="BO242" s="37">
        <v>772</v>
      </c>
      <c r="BP242" s="38">
        <v>0.77229999999999999</v>
      </c>
      <c r="BQ242" s="39">
        <v>51.72</v>
      </c>
      <c r="BR242" s="520"/>
    </row>
    <row r="243" spans="37:70">
      <c r="AK243" s="2482"/>
      <c r="BG243" s="30">
        <v>12.3</v>
      </c>
      <c r="BH243" s="31">
        <v>0.98399999999999999</v>
      </c>
      <c r="BI243" s="32">
        <v>983.4</v>
      </c>
      <c r="BJ243" s="33"/>
      <c r="BK243" s="197">
        <v>0.77300000000000002</v>
      </c>
      <c r="BL243" s="200">
        <v>51.55</v>
      </c>
      <c r="BM243" s="199">
        <v>772.7</v>
      </c>
      <c r="BN243" s="33"/>
      <c r="BO243" s="37">
        <v>773</v>
      </c>
      <c r="BP243" s="38">
        <v>0.77329999999999999</v>
      </c>
      <c r="BQ243" s="39">
        <v>51.49</v>
      </c>
      <c r="BR243" s="520"/>
    </row>
    <row r="244" spans="37:70">
      <c r="AK244" s="2482"/>
      <c r="BG244" s="30">
        <v>12.4</v>
      </c>
      <c r="BH244" s="31">
        <v>0.98329999999999995</v>
      </c>
      <c r="BI244" s="32">
        <v>982.7</v>
      </c>
      <c r="BJ244" s="33"/>
      <c r="BK244" s="197">
        <v>0.77400000000000002</v>
      </c>
      <c r="BL244" s="200">
        <v>51.32</v>
      </c>
      <c r="BM244" s="199">
        <v>773.7</v>
      </c>
      <c r="BN244" s="33"/>
      <c r="BO244" s="37">
        <v>774</v>
      </c>
      <c r="BP244" s="38">
        <v>0.77429999999999999</v>
      </c>
      <c r="BQ244" s="39">
        <v>51.25</v>
      </c>
      <c r="BR244" s="520"/>
    </row>
    <row r="245" spans="37:70">
      <c r="AK245" s="2482"/>
      <c r="BG245" s="30">
        <v>12.5</v>
      </c>
      <c r="BH245" s="31">
        <v>0.98260000000000003</v>
      </c>
      <c r="BI245" s="32">
        <v>982</v>
      </c>
      <c r="BJ245" s="33"/>
      <c r="BK245" s="197">
        <v>0.77500000000000002</v>
      </c>
      <c r="BL245" s="200">
        <v>51.08</v>
      </c>
      <c r="BM245" s="199">
        <v>774.7</v>
      </c>
      <c r="BN245" s="33"/>
      <c r="BO245" s="37">
        <v>775</v>
      </c>
      <c r="BP245" s="38">
        <v>0.77529999999999999</v>
      </c>
      <c r="BQ245" s="39">
        <v>51.01</v>
      </c>
      <c r="BR245" s="520"/>
    </row>
    <row r="246" spans="37:70">
      <c r="AK246" s="2482"/>
      <c r="BG246" s="30">
        <v>12.6</v>
      </c>
      <c r="BH246" s="31">
        <v>0.98199999999999998</v>
      </c>
      <c r="BI246" s="32">
        <v>981.4</v>
      </c>
      <c r="BJ246" s="33"/>
      <c r="BK246" s="197">
        <v>0.77600000000000002</v>
      </c>
      <c r="BL246" s="200">
        <v>50.85</v>
      </c>
      <c r="BM246" s="199">
        <v>775.7</v>
      </c>
      <c r="BN246" s="33"/>
      <c r="BO246" s="37">
        <v>776</v>
      </c>
      <c r="BP246" s="38">
        <v>0.77629999999999999</v>
      </c>
      <c r="BQ246" s="39">
        <v>50.78</v>
      </c>
      <c r="BR246" s="520"/>
    </row>
    <row r="247" spans="37:70">
      <c r="AK247" s="2482"/>
      <c r="BG247" s="30">
        <v>12.7</v>
      </c>
      <c r="BH247" s="31">
        <v>0.98129999999999995</v>
      </c>
      <c r="BI247" s="32">
        <v>980.7</v>
      </c>
      <c r="BJ247" s="33"/>
      <c r="BK247" s="197">
        <v>0.77700000000000002</v>
      </c>
      <c r="BL247" s="200">
        <v>50.61</v>
      </c>
      <c r="BM247" s="199">
        <v>776.7</v>
      </c>
      <c r="BN247" s="33"/>
      <c r="BO247" s="37">
        <v>777</v>
      </c>
      <c r="BP247" s="38">
        <v>0.77729999999999999</v>
      </c>
      <c r="BQ247" s="39">
        <v>50.54</v>
      </c>
      <c r="BR247" s="520"/>
    </row>
    <row r="248" spans="37:70">
      <c r="AK248" s="2482"/>
      <c r="BG248" s="30">
        <v>12.8</v>
      </c>
      <c r="BH248" s="31">
        <v>0.98060000000000003</v>
      </c>
      <c r="BI248" s="32">
        <v>980</v>
      </c>
      <c r="BJ248" s="33"/>
      <c r="BK248" s="197">
        <v>0.77800000000000002</v>
      </c>
      <c r="BL248" s="200">
        <v>50.38</v>
      </c>
      <c r="BM248" s="199">
        <v>777.7</v>
      </c>
      <c r="BN248" s="33"/>
      <c r="BO248" s="37">
        <v>778</v>
      </c>
      <c r="BP248" s="38">
        <v>0.77829999999999999</v>
      </c>
      <c r="BQ248" s="39">
        <v>50.3</v>
      </c>
      <c r="BR248" s="520"/>
    </row>
    <row r="249" spans="37:70">
      <c r="AK249" s="2482"/>
      <c r="BG249" s="30">
        <v>12.9</v>
      </c>
      <c r="BH249" s="31">
        <v>0.97989999999999999</v>
      </c>
      <c r="BI249" s="32">
        <v>979.3</v>
      </c>
      <c r="BJ249" s="33"/>
      <c r="BK249" s="197">
        <v>0.77900000000000003</v>
      </c>
      <c r="BL249" s="200">
        <v>50.14</v>
      </c>
      <c r="BM249" s="199">
        <v>778.7</v>
      </c>
      <c r="BN249" s="33"/>
      <c r="BO249" s="37">
        <v>779</v>
      </c>
      <c r="BP249" s="38">
        <v>0.77929999999999999</v>
      </c>
      <c r="BQ249" s="39">
        <v>50.07</v>
      </c>
      <c r="BR249" s="520"/>
    </row>
    <row r="250" spans="37:70">
      <c r="AK250" s="2482"/>
      <c r="BG250" s="30">
        <v>13</v>
      </c>
      <c r="BH250" s="31">
        <v>0.97919999999999996</v>
      </c>
      <c r="BI250" s="32">
        <v>978.6</v>
      </c>
      <c r="BJ250" s="33"/>
      <c r="BK250" s="197">
        <v>0.78</v>
      </c>
      <c r="BL250" s="200">
        <v>49.91</v>
      </c>
      <c r="BM250" s="199">
        <v>779.7</v>
      </c>
      <c r="BN250" s="33"/>
      <c r="BO250" s="37">
        <v>780</v>
      </c>
      <c r="BP250" s="38">
        <v>0.78029999999999999</v>
      </c>
      <c r="BQ250" s="39">
        <v>49.84</v>
      </c>
      <c r="BR250" s="520"/>
    </row>
    <row r="251" spans="37:70">
      <c r="AK251" s="2482"/>
      <c r="BG251" s="30">
        <v>13.1</v>
      </c>
      <c r="BH251" s="31">
        <v>0.97860000000000003</v>
      </c>
      <c r="BI251" s="32">
        <v>978</v>
      </c>
      <c r="BJ251" s="33"/>
      <c r="BK251" s="197">
        <v>0.78100000000000003</v>
      </c>
      <c r="BL251" s="200">
        <v>49.68</v>
      </c>
      <c r="BM251" s="199">
        <v>780.7</v>
      </c>
      <c r="BN251" s="33"/>
      <c r="BO251" s="37">
        <v>781</v>
      </c>
      <c r="BP251" s="38">
        <v>0.78129999999999999</v>
      </c>
      <c r="BQ251" s="39">
        <v>49.6</v>
      </c>
      <c r="BR251" s="520"/>
    </row>
    <row r="252" spans="37:70">
      <c r="AK252" s="2482"/>
      <c r="BG252" s="30">
        <v>13.2</v>
      </c>
      <c r="BH252" s="31">
        <v>0.97789999999999999</v>
      </c>
      <c r="BI252" s="32">
        <v>977.3</v>
      </c>
      <c r="BJ252" s="33"/>
      <c r="BK252" s="197">
        <v>0.78200000000000003</v>
      </c>
      <c r="BL252" s="200">
        <v>49.45</v>
      </c>
      <c r="BM252" s="199">
        <v>781.7</v>
      </c>
      <c r="BN252" s="33"/>
      <c r="BO252" s="37">
        <v>782</v>
      </c>
      <c r="BP252" s="38">
        <v>0.7823</v>
      </c>
      <c r="BQ252" s="39">
        <v>49.37</v>
      </c>
      <c r="BR252" s="520"/>
    </row>
    <row r="253" spans="37:70">
      <c r="AK253" s="2482"/>
      <c r="BG253" s="30">
        <v>13.3</v>
      </c>
      <c r="BH253" s="31">
        <v>0.97719999999999996</v>
      </c>
      <c r="BI253" s="32">
        <v>976.6</v>
      </c>
      <c r="BJ253" s="33"/>
      <c r="BK253" s="197">
        <v>0.78300000000000003</v>
      </c>
      <c r="BL253" s="200">
        <v>49.22</v>
      </c>
      <c r="BM253" s="199">
        <v>782.7</v>
      </c>
      <c r="BN253" s="33"/>
      <c r="BO253" s="37">
        <v>783</v>
      </c>
      <c r="BP253" s="38">
        <v>0.7833</v>
      </c>
      <c r="BQ253" s="39">
        <v>49.14</v>
      </c>
      <c r="BR253" s="520"/>
    </row>
    <row r="254" spans="37:70">
      <c r="AK254" s="2482"/>
      <c r="BG254" s="30">
        <v>13.4</v>
      </c>
      <c r="BH254" s="31">
        <v>0.97650000000000003</v>
      </c>
      <c r="BI254" s="32">
        <v>975.9</v>
      </c>
      <c r="BJ254" s="33"/>
      <c r="BK254" s="197">
        <v>0.78400000000000003</v>
      </c>
      <c r="BL254" s="200">
        <v>48.98</v>
      </c>
      <c r="BM254" s="199">
        <v>783.7</v>
      </c>
      <c r="BN254" s="33"/>
      <c r="BO254" s="37">
        <v>784</v>
      </c>
      <c r="BP254" s="38">
        <v>0.7843</v>
      </c>
      <c r="BQ254" s="39">
        <v>48.91</v>
      </c>
      <c r="BR254" s="520"/>
    </row>
    <row r="255" spans="37:70">
      <c r="AK255" s="2482"/>
      <c r="BG255" s="30">
        <v>13.5</v>
      </c>
      <c r="BH255" s="31">
        <v>0.97589999999999999</v>
      </c>
      <c r="BI255" s="32">
        <v>975.3</v>
      </c>
      <c r="BJ255" s="33"/>
      <c r="BK255" s="197">
        <v>0.78500000000000003</v>
      </c>
      <c r="BL255" s="200">
        <v>48.75</v>
      </c>
      <c r="BM255" s="199">
        <v>784.7</v>
      </c>
      <c r="BN255" s="33"/>
      <c r="BO255" s="37">
        <v>785</v>
      </c>
      <c r="BP255" s="38">
        <v>0.7853</v>
      </c>
      <c r="BQ255" s="39">
        <v>48.68</v>
      </c>
      <c r="BR255" s="520"/>
    </row>
    <row r="256" spans="37:70">
      <c r="AK256" s="2482"/>
      <c r="BG256" s="30">
        <v>13.6</v>
      </c>
      <c r="BH256" s="31">
        <v>0.97519999999999996</v>
      </c>
      <c r="BI256" s="32">
        <v>974.6</v>
      </c>
      <c r="BJ256" s="33"/>
      <c r="BK256" s="197">
        <v>0.78600000000000003</v>
      </c>
      <c r="BL256" s="200">
        <v>48.53</v>
      </c>
      <c r="BM256" s="199">
        <v>785.7</v>
      </c>
      <c r="BN256" s="33"/>
      <c r="BO256" s="37">
        <v>786</v>
      </c>
      <c r="BP256" s="38">
        <v>0.78639999999999999</v>
      </c>
      <c r="BQ256" s="39">
        <v>48.45</v>
      </c>
      <c r="BR256" s="520"/>
    </row>
    <row r="257" spans="37:70">
      <c r="AK257" s="2482"/>
      <c r="BG257" s="30">
        <v>13.7</v>
      </c>
      <c r="BH257" s="31">
        <v>0.97450000000000003</v>
      </c>
      <c r="BI257" s="32">
        <v>973.9</v>
      </c>
      <c r="BJ257" s="33"/>
      <c r="BK257" s="197">
        <v>0.78700000000000003</v>
      </c>
      <c r="BL257" s="200">
        <v>48.3</v>
      </c>
      <c r="BM257" s="199">
        <v>786.6</v>
      </c>
      <c r="BN257" s="33"/>
      <c r="BO257" s="37">
        <v>787</v>
      </c>
      <c r="BP257" s="38">
        <v>0.78739999999999999</v>
      </c>
      <c r="BQ257" s="39">
        <v>48.22</v>
      </c>
      <c r="BR257" s="520"/>
    </row>
    <row r="258" spans="37:70">
      <c r="AK258" s="2482"/>
      <c r="BG258" s="30">
        <v>13.8</v>
      </c>
      <c r="BH258" s="31">
        <v>0.9738</v>
      </c>
      <c r="BI258" s="32">
        <v>973.3</v>
      </c>
      <c r="BJ258" s="33"/>
      <c r="BK258" s="197">
        <v>0.78800000000000003</v>
      </c>
      <c r="BL258" s="200">
        <v>48.07</v>
      </c>
      <c r="BM258" s="199">
        <v>787.6</v>
      </c>
      <c r="BN258" s="33"/>
      <c r="BO258" s="37">
        <v>788</v>
      </c>
      <c r="BP258" s="38">
        <v>0.78839999999999999</v>
      </c>
      <c r="BQ258" s="39">
        <v>47.99</v>
      </c>
      <c r="BR258" s="520"/>
    </row>
    <row r="259" spans="37:70">
      <c r="AK259" s="2482"/>
      <c r="BG259" s="30">
        <v>13.9</v>
      </c>
      <c r="BH259" s="31">
        <v>0.97319999999999995</v>
      </c>
      <c r="BI259" s="32">
        <v>972.6</v>
      </c>
      <c r="BJ259" s="33"/>
      <c r="BK259" s="197">
        <v>0.78900000000000003</v>
      </c>
      <c r="BL259" s="200">
        <v>47.84</v>
      </c>
      <c r="BM259" s="199">
        <v>788.6</v>
      </c>
      <c r="BN259" s="33"/>
      <c r="BO259" s="37">
        <v>789</v>
      </c>
      <c r="BP259" s="38">
        <v>0.78939999999999999</v>
      </c>
      <c r="BQ259" s="39">
        <v>47.76</v>
      </c>
      <c r="BR259" s="520"/>
    </row>
    <row r="260" spans="37:70">
      <c r="AK260" s="2482"/>
      <c r="BG260" s="30">
        <v>14</v>
      </c>
      <c r="BH260" s="31">
        <v>0.97250000000000003</v>
      </c>
      <c r="BI260" s="32">
        <v>971.9</v>
      </c>
      <c r="BJ260" s="33"/>
      <c r="BK260" s="197">
        <v>0.79</v>
      </c>
      <c r="BL260" s="200">
        <v>47.61</v>
      </c>
      <c r="BM260" s="199">
        <v>789.6</v>
      </c>
      <c r="BN260" s="33"/>
      <c r="BO260" s="37">
        <v>790</v>
      </c>
      <c r="BP260" s="38">
        <v>0.79039999999999999</v>
      </c>
      <c r="BQ260" s="39">
        <v>47.53</v>
      </c>
      <c r="BR260" s="520"/>
    </row>
    <row r="261" spans="37:70">
      <c r="AK261" s="2482"/>
      <c r="BG261" s="30">
        <v>14.1</v>
      </c>
      <c r="BH261" s="31">
        <v>0.9718</v>
      </c>
      <c r="BI261" s="32">
        <v>971.3</v>
      </c>
      <c r="BJ261" s="33"/>
      <c r="BK261" s="197">
        <v>0.79100000000000004</v>
      </c>
      <c r="BL261" s="200">
        <v>47.39</v>
      </c>
      <c r="BM261" s="199">
        <v>790.6</v>
      </c>
      <c r="BN261" s="33"/>
      <c r="BO261" s="37">
        <v>791</v>
      </c>
      <c r="BP261" s="38">
        <v>0.79139999999999999</v>
      </c>
      <c r="BQ261" s="39">
        <v>47.31</v>
      </c>
      <c r="BR261" s="520"/>
    </row>
    <row r="262" spans="37:70">
      <c r="AK262" s="2482"/>
      <c r="BG262" s="30">
        <v>14.2</v>
      </c>
      <c r="BH262" s="31">
        <v>0.97119999999999995</v>
      </c>
      <c r="BI262" s="32">
        <v>970.6</v>
      </c>
      <c r="BJ262" s="33"/>
      <c r="BK262" s="197">
        <v>0.79200000000000004</v>
      </c>
      <c r="BL262" s="200">
        <v>47.16</v>
      </c>
      <c r="BM262" s="199">
        <v>791.6</v>
      </c>
      <c r="BN262" s="33"/>
      <c r="BO262" s="37">
        <v>792</v>
      </c>
      <c r="BP262" s="38">
        <v>0.79239999999999999</v>
      </c>
      <c r="BQ262" s="39">
        <v>47.08</v>
      </c>
      <c r="BR262" s="520"/>
    </row>
    <row r="263" spans="37:70">
      <c r="AK263" s="2482"/>
      <c r="BG263" s="30">
        <v>14.3</v>
      </c>
      <c r="BH263" s="31">
        <v>0.97050000000000003</v>
      </c>
      <c r="BI263" s="32">
        <v>969.9</v>
      </c>
      <c r="BJ263" s="33"/>
      <c r="BK263" s="197">
        <v>0.79300000000000004</v>
      </c>
      <c r="BL263" s="200">
        <v>46.94</v>
      </c>
      <c r="BM263" s="199">
        <v>792.6</v>
      </c>
      <c r="BN263" s="33"/>
      <c r="BO263" s="37">
        <v>793</v>
      </c>
      <c r="BP263" s="38">
        <v>0.79339999999999999</v>
      </c>
      <c r="BQ263" s="39">
        <v>46.85</v>
      </c>
      <c r="BR263" s="520"/>
    </row>
    <row r="264" spans="37:70">
      <c r="AK264" s="2482"/>
      <c r="BG264" s="30">
        <v>14.4</v>
      </c>
      <c r="BH264" s="31">
        <v>0.9698</v>
      </c>
      <c r="BI264" s="32">
        <v>969.3</v>
      </c>
      <c r="BJ264" s="33"/>
      <c r="BK264" s="197">
        <v>0.79400000000000004</v>
      </c>
      <c r="BL264" s="200">
        <v>46.71</v>
      </c>
      <c r="BM264" s="199">
        <v>793.6</v>
      </c>
      <c r="BN264" s="33"/>
      <c r="BO264" s="37">
        <v>794</v>
      </c>
      <c r="BP264" s="38">
        <v>0.7944</v>
      </c>
      <c r="BQ264" s="39">
        <v>46.63</v>
      </c>
      <c r="BR264" s="520"/>
    </row>
    <row r="265" spans="37:70">
      <c r="AK265" s="2482"/>
      <c r="BG265" s="30">
        <v>14.5</v>
      </c>
      <c r="BH265" s="31">
        <v>0.96919999999999995</v>
      </c>
      <c r="BI265" s="32">
        <v>968.6</v>
      </c>
      <c r="BJ265" s="33"/>
      <c r="BK265" s="197">
        <v>0.79500000000000004</v>
      </c>
      <c r="BL265" s="200">
        <v>46.49</v>
      </c>
      <c r="BM265" s="199">
        <v>794.6</v>
      </c>
      <c r="BN265" s="33"/>
      <c r="BO265" s="37">
        <v>795</v>
      </c>
      <c r="BP265" s="38">
        <v>0.7954</v>
      </c>
      <c r="BQ265" s="39">
        <v>46.4</v>
      </c>
      <c r="BR265" s="520"/>
    </row>
    <row r="266" spans="37:70">
      <c r="AK266" s="2482"/>
      <c r="BG266" s="30">
        <v>14.6</v>
      </c>
      <c r="BH266" s="31">
        <v>0.96850000000000003</v>
      </c>
      <c r="BI266" s="32">
        <v>967.9</v>
      </c>
      <c r="BJ266" s="33"/>
      <c r="BK266" s="197">
        <v>0.79600000000000004</v>
      </c>
      <c r="BL266" s="200">
        <v>46.26</v>
      </c>
      <c r="BM266" s="199">
        <v>795.6</v>
      </c>
      <c r="BN266" s="33"/>
      <c r="BO266" s="37">
        <v>796</v>
      </c>
      <c r="BP266" s="38">
        <v>0.7964</v>
      </c>
      <c r="BQ266" s="39">
        <v>46.18</v>
      </c>
      <c r="BR266" s="520"/>
    </row>
    <row r="267" spans="37:70">
      <c r="AK267" s="2482"/>
      <c r="BG267" s="30">
        <v>14.7</v>
      </c>
      <c r="BH267" s="31">
        <v>0.96789999999999998</v>
      </c>
      <c r="BI267" s="32">
        <v>967.3</v>
      </c>
      <c r="BJ267" s="33"/>
      <c r="BK267" s="197">
        <v>0.79700000000000004</v>
      </c>
      <c r="BL267" s="200">
        <v>46.04</v>
      </c>
      <c r="BM267" s="199">
        <v>796.6</v>
      </c>
      <c r="BN267" s="33"/>
      <c r="BO267" s="37">
        <v>797</v>
      </c>
      <c r="BP267" s="38">
        <v>0.7974</v>
      </c>
      <c r="BQ267" s="39">
        <v>45.96</v>
      </c>
      <c r="BR267" s="520"/>
    </row>
    <row r="268" spans="37:70">
      <c r="AK268" s="2482"/>
      <c r="BG268" s="30">
        <v>14.8</v>
      </c>
      <c r="BH268" s="31">
        <v>0.96719999999999995</v>
      </c>
      <c r="BI268" s="32">
        <v>966.6</v>
      </c>
      <c r="BJ268" s="33"/>
      <c r="BK268" s="197">
        <v>0.79800000000000004</v>
      </c>
      <c r="BL268" s="200">
        <v>45.82</v>
      </c>
      <c r="BM268" s="199">
        <v>797.6</v>
      </c>
      <c r="BN268" s="33"/>
      <c r="BO268" s="37">
        <v>798</v>
      </c>
      <c r="BP268" s="38">
        <v>0.7984</v>
      </c>
      <c r="BQ268" s="39">
        <v>45.74</v>
      </c>
      <c r="BR268" s="520"/>
    </row>
    <row r="269" spans="37:70">
      <c r="AK269" s="2482"/>
      <c r="BG269" s="30">
        <v>14.9</v>
      </c>
      <c r="BH269" s="31">
        <v>0.96650000000000003</v>
      </c>
      <c r="BI269" s="32">
        <v>966</v>
      </c>
      <c r="BJ269" s="33"/>
      <c r="BK269" s="197">
        <v>0.79900000000000004</v>
      </c>
      <c r="BL269" s="200">
        <v>45.6</v>
      </c>
      <c r="BM269" s="199">
        <v>798.6</v>
      </c>
      <c r="BN269" s="33"/>
      <c r="BO269" s="37">
        <v>799</v>
      </c>
      <c r="BP269" s="38">
        <v>0.7994</v>
      </c>
      <c r="BQ269" s="39">
        <v>45.51</v>
      </c>
      <c r="BR269" s="520"/>
    </row>
    <row r="270" spans="37:70">
      <c r="AK270" s="2482"/>
      <c r="BG270" s="30">
        <v>15</v>
      </c>
      <c r="BH270" s="31">
        <v>0.96589999999999998</v>
      </c>
      <c r="BI270" s="32">
        <v>965.3</v>
      </c>
      <c r="BJ270" s="33"/>
      <c r="BK270" s="197">
        <v>0.8</v>
      </c>
      <c r="BL270" s="200">
        <v>45.38</v>
      </c>
      <c r="BM270" s="199">
        <v>799.6</v>
      </c>
      <c r="BN270" s="33"/>
      <c r="BO270" s="37">
        <v>800</v>
      </c>
      <c r="BP270" s="38">
        <v>0.8004</v>
      </c>
      <c r="BQ270" s="39">
        <v>45.29</v>
      </c>
      <c r="BR270" s="520"/>
    </row>
    <row r="271" spans="37:70">
      <c r="AK271" s="2482"/>
      <c r="BG271" s="30">
        <v>15.1</v>
      </c>
      <c r="BH271" s="31">
        <v>0.96519999999999995</v>
      </c>
      <c r="BI271" s="32">
        <v>964.6</v>
      </c>
      <c r="BJ271" s="33"/>
      <c r="BK271" s="197">
        <v>0.80100000000000005</v>
      </c>
      <c r="BL271" s="200">
        <v>45.15</v>
      </c>
      <c r="BM271" s="199">
        <v>800.6</v>
      </c>
      <c r="BN271" s="33"/>
      <c r="BO271" s="37">
        <v>801</v>
      </c>
      <c r="BP271" s="38">
        <v>0.8014</v>
      </c>
      <c r="BQ271" s="39">
        <v>45.07</v>
      </c>
      <c r="BR271" s="520"/>
    </row>
    <row r="272" spans="37:70">
      <c r="AK272" s="2482"/>
      <c r="BG272" s="30">
        <v>15.2</v>
      </c>
      <c r="BH272" s="31">
        <v>0.96460000000000001</v>
      </c>
      <c r="BI272" s="32">
        <v>964</v>
      </c>
      <c r="BJ272" s="33"/>
      <c r="BK272" s="197">
        <v>0.80200000000000005</v>
      </c>
      <c r="BL272" s="200">
        <v>44.93</v>
      </c>
      <c r="BM272" s="199">
        <v>801.6</v>
      </c>
      <c r="BN272" s="33"/>
      <c r="BO272" s="37">
        <v>802</v>
      </c>
      <c r="BP272" s="38">
        <v>0.8024</v>
      </c>
      <c r="BQ272" s="39">
        <v>44.85</v>
      </c>
      <c r="BR272" s="520"/>
    </row>
    <row r="273" spans="37:70">
      <c r="AK273" s="2482"/>
      <c r="BG273" s="30">
        <v>15.3</v>
      </c>
      <c r="BH273" s="31">
        <v>0.96389999999999998</v>
      </c>
      <c r="BI273" s="32">
        <v>963.3</v>
      </c>
      <c r="BJ273" s="33"/>
      <c r="BK273" s="197">
        <v>0.80300000000000005</v>
      </c>
      <c r="BL273" s="200">
        <v>44.71</v>
      </c>
      <c r="BM273" s="199">
        <v>802.6</v>
      </c>
      <c r="BN273" s="33"/>
      <c r="BO273" s="37">
        <v>803</v>
      </c>
      <c r="BP273" s="38">
        <v>0.8034</v>
      </c>
      <c r="BQ273" s="39">
        <v>44.63</v>
      </c>
      <c r="BR273" s="520"/>
    </row>
    <row r="274" spans="37:70">
      <c r="AK274" s="2482"/>
      <c r="BG274" s="30">
        <v>15.4</v>
      </c>
      <c r="BH274" s="31">
        <v>0.96319999999999995</v>
      </c>
      <c r="BI274" s="32">
        <v>962.7</v>
      </c>
      <c r="BJ274" s="33"/>
      <c r="BK274" s="197">
        <v>0.80400000000000005</v>
      </c>
      <c r="BL274" s="200">
        <v>44.5</v>
      </c>
      <c r="BM274" s="199">
        <v>803.6</v>
      </c>
      <c r="BN274" s="33"/>
      <c r="BO274" s="37">
        <v>804</v>
      </c>
      <c r="BP274" s="38">
        <v>0.8044</v>
      </c>
      <c r="BQ274" s="39">
        <v>44.41</v>
      </c>
      <c r="BR274" s="520"/>
    </row>
    <row r="275" spans="37:70">
      <c r="AK275" s="2482"/>
      <c r="BG275" s="30">
        <v>15.5</v>
      </c>
      <c r="BH275" s="31">
        <v>0.96260000000000001</v>
      </c>
      <c r="BI275" s="32">
        <v>962</v>
      </c>
      <c r="BJ275" s="33"/>
      <c r="BK275" s="197">
        <v>0.80500000000000005</v>
      </c>
      <c r="BL275" s="200">
        <v>44.28</v>
      </c>
      <c r="BM275" s="199">
        <v>804.6</v>
      </c>
      <c r="BN275" s="33"/>
      <c r="BO275" s="37">
        <v>805</v>
      </c>
      <c r="BP275" s="38">
        <v>0.8054</v>
      </c>
      <c r="BQ275" s="39">
        <v>44.19</v>
      </c>
      <c r="BR275" s="520"/>
    </row>
    <row r="276" spans="37:70">
      <c r="AK276" s="2482"/>
      <c r="BG276" s="30">
        <v>15.6</v>
      </c>
      <c r="BH276" s="31">
        <v>0.96189999999999998</v>
      </c>
      <c r="BI276" s="32">
        <v>961.4</v>
      </c>
      <c r="BJ276" s="33"/>
      <c r="BK276" s="197">
        <v>0.80600000000000005</v>
      </c>
      <c r="BL276" s="200">
        <v>44.06</v>
      </c>
      <c r="BM276" s="199">
        <v>805.6</v>
      </c>
      <c r="BN276" s="33"/>
      <c r="BO276" s="37">
        <v>806</v>
      </c>
      <c r="BP276" s="38">
        <v>0.80640000000000001</v>
      </c>
      <c r="BQ276" s="39">
        <v>43.97</v>
      </c>
      <c r="BR276" s="520"/>
    </row>
    <row r="277" spans="37:70">
      <c r="AK277" s="2482"/>
      <c r="BG277" s="30">
        <v>15.7</v>
      </c>
      <c r="BH277" s="31">
        <v>0.96130000000000004</v>
      </c>
      <c r="BI277" s="32">
        <v>960.7</v>
      </c>
      <c r="BJ277" s="33"/>
      <c r="BK277" s="197">
        <v>0.80700000000000005</v>
      </c>
      <c r="BL277" s="200">
        <v>43.84</v>
      </c>
      <c r="BM277" s="199">
        <v>806.6</v>
      </c>
      <c r="BN277" s="33"/>
      <c r="BO277" s="37">
        <v>807</v>
      </c>
      <c r="BP277" s="38">
        <v>0.80740000000000001</v>
      </c>
      <c r="BQ277" s="39">
        <v>43.76</v>
      </c>
      <c r="BR277" s="520"/>
    </row>
    <row r="278" spans="37:70">
      <c r="AK278" s="2482"/>
      <c r="BG278" s="30">
        <v>15.8</v>
      </c>
      <c r="BH278" s="31">
        <v>0.96060000000000001</v>
      </c>
      <c r="BI278" s="32">
        <v>960.1</v>
      </c>
      <c r="BJ278" s="33"/>
      <c r="BK278" s="197">
        <v>0.80800000000000005</v>
      </c>
      <c r="BL278" s="200">
        <v>43.62</v>
      </c>
      <c r="BM278" s="199">
        <v>807.6</v>
      </c>
      <c r="BN278" s="33"/>
      <c r="BO278" s="37">
        <v>808</v>
      </c>
      <c r="BP278" s="38">
        <v>0.80840000000000001</v>
      </c>
      <c r="BQ278" s="39">
        <v>43.54</v>
      </c>
      <c r="BR278" s="520"/>
    </row>
    <row r="279" spans="37:70">
      <c r="AK279" s="2482"/>
      <c r="BG279" s="30">
        <v>15.9</v>
      </c>
      <c r="BH279" s="31">
        <v>0.96</v>
      </c>
      <c r="BI279" s="32">
        <v>959.4</v>
      </c>
      <c r="BJ279" s="33"/>
      <c r="BK279" s="197">
        <v>0.80900000000000005</v>
      </c>
      <c r="BL279" s="200">
        <v>43.41</v>
      </c>
      <c r="BM279" s="199">
        <v>808.6</v>
      </c>
      <c r="BN279" s="33"/>
      <c r="BO279" s="37">
        <v>809</v>
      </c>
      <c r="BP279" s="38">
        <v>0.80940000000000001</v>
      </c>
      <c r="BQ279" s="39">
        <v>43.32</v>
      </c>
      <c r="BR279" s="520"/>
    </row>
    <row r="280" spans="37:70">
      <c r="AK280" s="2482"/>
      <c r="BG280" s="30">
        <v>16</v>
      </c>
      <c r="BH280" s="31">
        <v>0.95930000000000004</v>
      </c>
      <c r="BI280" s="32">
        <v>958.8</v>
      </c>
      <c r="BJ280" s="33"/>
      <c r="BK280" s="197">
        <v>0.81</v>
      </c>
      <c r="BL280" s="200">
        <v>43.19</v>
      </c>
      <c r="BM280" s="199">
        <v>809.6</v>
      </c>
      <c r="BN280" s="33"/>
      <c r="BO280" s="37">
        <v>810</v>
      </c>
      <c r="BP280" s="38">
        <v>0.81040000000000001</v>
      </c>
      <c r="BQ280" s="39">
        <v>43.11</v>
      </c>
      <c r="BR280" s="520"/>
    </row>
    <row r="281" spans="37:70">
      <c r="AK281" s="2482"/>
      <c r="BG281" s="30">
        <v>16.100000000000001</v>
      </c>
      <c r="BH281" s="31">
        <v>0.9587</v>
      </c>
      <c r="BI281" s="32">
        <v>958.1</v>
      </c>
      <c r="BJ281" s="33"/>
      <c r="BK281" s="197">
        <v>0.81100000000000005</v>
      </c>
      <c r="BL281" s="200">
        <v>42.98</v>
      </c>
      <c r="BM281" s="199">
        <v>810.6</v>
      </c>
      <c r="BN281" s="33"/>
      <c r="BO281" s="37">
        <v>811</v>
      </c>
      <c r="BP281" s="38">
        <v>0.81140000000000001</v>
      </c>
      <c r="BQ281" s="39">
        <v>42.89</v>
      </c>
      <c r="BR281" s="520"/>
    </row>
    <row r="282" spans="37:70">
      <c r="AK282" s="2482"/>
      <c r="BG282" s="30">
        <v>16.2</v>
      </c>
      <c r="BH282" s="31">
        <v>0.95799999999999996</v>
      </c>
      <c r="BI282" s="32">
        <v>957.5</v>
      </c>
      <c r="BJ282" s="33"/>
      <c r="BK282" s="197">
        <v>0.81200000000000006</v>
      </c>
      <c r="BL282" s="200">
        <v>42.76</v>
      </c>
      <c r="BM282" s="199">
        <v>811.6</v>
      </c>
      <c r="BN282" s="33"/>
      <c r="BO282" s="37">
        <v>812</v>
      </c>
      <c r="BP282" s="38">
        <v>0.81240000000000001</v>
      </c>
      <c r="BQ282" s="39">
        <v>42.68</v>
      </c>
      <c r="BR282" s="520"/>
    </row>
    <row r="283" spans="37:70">
      <c r="AK283" s="2482"/>
      <c r="BG283" s="30">
        <v>16.3</v>
      </c>
      <c r="BH283" s="31">
        <v>0.95740000000000003</v>
      </c>
      <c r="BI283" s="32">
        <v>956.8</v>
      </c>
      <c r="BJ283" s="33"/>
      <c r="BK283" s="197">
        <v>0.81299999999999994</v>
      </c>
      <c r="BL283" s="200">
        <v>42.55</v>
      </c>
      <c r="BM283" s="199">
        <v>812.6</v>
      </c>
      <c r="BN283" s="33"/>
      <c r="BO283" s="37">
        <v>813</v>
      </c>
      <c r="BP283" s="38">
        <v>0.81340000000000001</v>
      </c>
      <c r="BQ283" s="39">
        <v>42.46</v>
      </c>
      <c r="BR283" s="520"/>
    </row>
    <row r="284" spans="37:70">
      <c r="AK284" s="2482"/>
      <c r="BG284" s="30">
        <v>16.399999999999999</v>
      </c>
      <c r="BH284" s="31">
        <v>0.95669999999999999</v>
      </c>
      <c r="BI284" s="32">
        <v>956.2</v>
      </c>
      <c r="BJ284" s="33"/>
      <c r="BK284" s="197">
        <v>0.81399999999999995</v>
      </c>
      <c r="BL284" s="200">
        <v>42.33</v>
      </c>
      <c r="BM284" s="199">
        <v>813.6</v>
      </c>
      <c r="BN284" s="33"/>
      <c r="BO284" s="37">
        <v>814</v>
      </c>
      <c r="BP284" s="38">
        <v>0.81440000000000001</v>
      </c>
      <c r="BQ284" s="39">
        <v>42.25</v>
      </c>
      <c r="BR284" s="520"/>
    </row>
    <row r="285" spans="37:70">
      <c r="AK285" s="2482"/>
      <c r="BG285" s="30">
        <v>16.5</v>
      </c>
      <c r="BH285" s="31">
        <v>0.95609999999999995</v>
      </c>
      <c r="BI285" s="32">
        <v>955.5</v>
      </c>
      <c r="BJ285" s="33"/>
      <c r="BK285" s="197">
        <v>0.81499999999999995</v>
      </c>
      <c r="BL285" s="200">
        <v>42.12</v>
      </c>
      <c r="BM285" s="199">
        <v>814.6</v>
      </c>
      <c r="BN285" s="33"/>
      <c r="BO285" s="37">
        <v>815</v>
      </c>
      <c r="BP285" s="38">
        <v>0.81540000000000001</v>
      </c>
      <c r="BQ285" s="39">
        <v>42.03</v>
      </c>
      <c r="BR285" s="520"/>
    </row>
    <row r="286" spans="37:70">
      <c r="AK286" s="2482"/>
      <c r="BG286" s="30">
        <v>16.600000000000001</v>
      </c>
      <c r="BH286" s="31">
        <v>0.95540000000000003</v>
      </c>
      <c r="BI286" s="32">
        <v>954.9</v>
      </c>
      <c r="BJ286" s="33"/>
      <c r="BK286" s="197">
        <v>0.81599999999999995</v>
      </c>
      <c r="BL286" s="200">
        <v>41.91</v>
      </c>
      <c r="BM286" s="199">
        <v>815.6</v>
      </c>
      <c r="BN286" s="33"/>
      <c r="BO286" s="37">
        <v>816</v>
      </c>
      <c r="BP286" s="38">
        <v>0.81640000000000001</v>
      </c>
      <c r="BQ286" s="39">
        <v>41.82</v>
      </c>
      <c r="BR286" s="520"/>
    </row>
    <row r="287" spans="37:70">
      <c r="AK287" s="2482"/>
      <c r="BG287" s="30">
        <v>16.7</v>
      </c>
      <c r="BH287" s="31">
        <v>0.95479999999999998</v>
      </c>
      <c r="BI287" s="32">
        <v>954.2</v>
      </c>
      <c r="BJ287" s="33"/>
      <c r="BK287" s="197">
        <v>0.81699999999999995</v>
      </c>
      <c r="BL287" s="200">
        <v>41.69</v>
      </c>
      <c r="BM287" s="199">
        <v>816.6</v>
      </c>
      <c r="BN287" s="33"/>
      <c r="BO287" s="37">
        <v>817</v>
      </c>
      <c r="BP287" s="38">
        <v>0.81740000000000002</v>
      </c>
      <c r="BQ287" s="39">
        <v>41.61</v>
      </c>
      <c r="BR287" s="520"/>
    </row>
    <row r="288" spans="37:70">
      <c r="AK288" s="2482"/>
      <c r="BG288" s="30">
        <v>16.8</v>
      </c>
      <c r="BH288" s="31">
        <v>0.95409999999999995</v>
      </c>
      <c r="BI288" s="32">
        <v>953.6</v>
      </c>
      <c r="BJ288" s="33"/>
      <c r="BK288" s="197">
        <v>0.81799999999999995</v>
      </c>
      <c r="BL288" s="200">
        <v>41.48</v>
      </c>
      <c r="BM288" s="199">
        <v>817.6</v>
      </c>
      <c r="BN288" s="33"/>
      <c r="BO288" s="37">
        <v>818</v>
      </c>
      <c r="BP288" s="38">
        <v>0.81840000000000002</v>
      </c>
      <c r="BQ288" s="39">
        <v>41.4</v>
      </c>
      <c r="BR288" s="520"/>
    </row>
    <row r="289" spans="37:70">
      <c r="AK289" s="2482"/>
      <c r="BG289" s="30">
        <v>16.899999999999999</v>
      </c>
      <c r="BH289" s="31">
        <v>0.95350000000000001</v>
      </c>
      <c r="BI289" s="32">
        <v>952.9</v>
      </c>
      <c r="BJ289" s="33"/>
      <c r="BK289" s="197">
        <v>0.81899999999999995</v>
      </c>
      <c r="BL289" s="200">
        <v>41.27</v>
      </c>
      <c r="BM289" s="199">
        <v>818.6</v>
      </c>
      <c r="BN289" s="33"/>
      <c r="BO289" s="37">
        <v>819</v>
      </c>
      <c r="BP289" s="38">
        <v>0.81940000000000002</v>
      </c>
      <c r="BQ289" s="39">
        <v>41.19</v>
      </c>
      <c r="BR289" s="520"/>
    </row>
    <row r="290" spans="37:70">
      <c r="AK290" s="2482"/>
      <c r="BG290" s="30">
        <v>17</v>
      </c>
      <c r="BH290" s="31">
        <v>0.95289999999999997</v>
      </c>
      <c r="BI290" s="32">
        <v>952.3</v>
      </c>
      <c r="BJ290" s="33"/>
      <c r="BK290" s="197">
        <v>0.82</v>
      </c>
      <c r="BL290" s="200">
        <v>41.06</v>
      </c>
      <c r="BM290" s="199">
        <v>819.6</v>
      </c>
      <c r="BN290" s="33"/>
      <c r="BO290" s="37">
        <v>820</v>
      </c>
      <c r="BP290" s="38">
        <v>0.82040000000000002</v>
      </c>
      <c r="BQ290" s="39">
        <v>40.98</v>
      </c>
      <c r="BR290" s="520"/>
    </row>
    <row r="291" spans="37:70">
      <c r="AK291" s="2482"/>
      <c r="BG291" s="30">
        <v>17.100000000000001</v>
      </c>
      <c r="BH291" s="31">
        <v>0.95220000000000005</v>
      </c>
      <c r="BI291" s="32">
        <v>951.7</v>
      </c>
      <c r="BJ291" s="33"/>
      <c r="BK291" s="197">
        <v>0.82099999999999995</v>
      </c>
      <c r="BL291" s="200">
        <v>40.85</v>
      </c>
      <c r="BM291" s="199">
        <v>820.6</v>
      </c>
      <c r="BN291" s="33"/>
      <c r="BO291" s="37">
        <v>821</v>
      </c>
      <c r="BP291" s="38">
        <v>0.82140000000000002</v>
      </c>
      <c r="BQ291" s="39">
        <v>40.76</v>
      </c>
      <c r="BR291" s="520"/>
    </row>
    <row r="292" spans="37:70">
      <c r="AK292" s="2482"/>
      <c r="BG292" s="30">
        <v>17.2</v>
      </c>
      <c r="BH292" s="31">
        <v>0.9516</v>
      </c>
      <c r="BI292" s="32">
        <v>951</v>
      </c>
      <c r="BJ292" s="33"/>
      <c r="BK292" s="197">
        <v>0.82199999999999995</v>
      </c>
      <c r="BL292" s="200">
        <v>40.64</v>
      </c>
      <c r="BM292" s="199">
        <v>821.6</v>
      </c>
      <c r="BN292" s="33"/>
      <c r="BO292" s="37">
        <v>822</v>
      </c>
      <c r="BP292" s="38">
        <v>0.82240000000000002</v>
      </c>
      <c r="BQ292" s="39">
        <v>40.56</v>
      </c>
      <c r="BR292" s="520"/>
    </row>
    <row r="293" spans="37:70">
      <c r="AK293" s="2482"/>
      <c r="BG293" s="30">
        <v>17.3</v>
      </c>
      <c r="BH293" s="31">
        <v>0.95089999999999997</v>
      </c>
      <c r="BI293" s="32">
        <v>950.4</v>
      </c>
      <c r="BJ293" s="33"/>
      <c r="BK293" s="197">
        <v>0.82299999999999995</v>
      </c>
      <c r="BL293" s="200">
        <v>40.43</v>
      </c>
      <c r="BM293" s="199">
        <v>822.6</v>
      </c>
      <c r="BN293" s="33"/>
      <c r="BO293" s="37">
        <v>823</v>
      </c>
      <c r="BP293" s="38">
        <v>0.82340000000000002</v>
      </c>
      <c r="BQ293" s="39">
        <v>40.35</v>
      </c>
      <c r="BR293" s="520"/>
    </row>
    <row r="294" spans="37:70">
      <c r="AK294" s="2482"/>
      <c r="BG294" s="30">
        <v>17.399999999999999</v>
      </c>
      <c r="BH294" s="31">
        <v>0.95030000000000003</v>
      </c>
      <c r="BI294" s="32">
        <v>949.7</v>
      </c>
      <c r="BJ294" s="33"/>
      <c r="BK294" s="197">
        <v>0.82399999999999995</v>
      </c>
      <c r="BL294" s="200">
        <v>40.22</v>
      </c>
      <c r="BM294" s="199">
        <v>823.6</v>
      </c>
      <c r="BN294" s="33"/>
      <c r="BO294" s="37">
        <v>824</v>
      </c>
      <c r="BP294" s="38">
        <v>0.82440000000000002</v>
      </c>
      <c r="BQ294" s="39">
        <v>40.14</v>
      </c>
      <c r="BR294" s="520"/>
    </row>
    <row r="295" spans="37:70">
      <c r="AK295" s="2482"/>
      <c r="BG295" s="30">
        <v>17.5</v>
      </c>
      <c r="BH295" s="31">
        <v>0.94969999999999999</v>
      </c>
      <c r="BI295" s="32">
        <v>949.1</v>
      </c>
      <c r="BJ295" s="33"/>
      <c r="BK295" s="197">
        <v>0.82499999999999996</v>
      </c>
      <c r="BL295" s="200">
        <v>40.020000000000003</v>
      </c>
      <c r="BM295" s="199">
        <v>824.6</v>
      </c>
      <c r="BN295" s="33"/>
      <c r="BO295" s="37">
        <v>825</v>
      </c>
      <c r="BP295" s="38">
        <v>0.82540000000000002</v>
      </c>
      <c r="BQ295" s="39">
        <v>39.93</v>
      </c>
      <c r="BR295" s="520"/>
    </row>
    <row r="296" spans="37:70">
      <c r="AK296" s="2482"/>
      <c r="BG296" s="30">
        <v>17.600000000000001</v>
      </c>
      <c r="BH296" s="31">
        <v>0.94899999999999995</v>
      </c>
      <c r="BI296" s="32">
        <v>948.5</v>
      </c>
      <c r="BJ296" s="33"/>
      <c r="BK296" s="197">
        <v>0.82599999999999996</v>
      </c>
      <c r="BL296" s="200">
        <v>39.81</v>
      </c>
      <c r="BM296" s="199">
        <v>825.6</v>
      </c>
      <c r="BN296" s="33"/>
      <c r="BO296" s="37">
        <v>826</v>
      </c>
      <c r="BP296" s="38">
        <v>0.82640000000000002</v>
      </c>
      <c r="BQ296" s="39">
        <v>39.72</v>
      </c>
      <c r="BR296" s="520"/>
    </row>
    <row r="297" spans="37:70">
      <c r="AK297" s="2482"/>
      <c r="BG297" s="30">
        <v>17.7</v>
      </c>
      <c r="BH297" s="31">
        <v>0.94840000000000002</v>
      </c>
      <c r="BI297" s="32">
        <v>947.8</v>
      </c>
      <c r="BJ297" s="33"/>
      <c r="BK297" s="197">
        <v>0.82699999999999996</v>
      </c>
      <c r="BL297" s="200">
        <v>39.6</v>
      </c>
      <c r="BM297" s="199">
        <v>826.6</v>
      </c>
      <c r="BN297" s="33"/>
      <c r="BO297" s="37">
        <v>827</v>
      </c>
      <c r="BP297" s="38">
        <v>0.82740000000000002</v>
      </c>
      <c r="BQ297" s="39">
        <v>39.51</v>
      </c>
      <c r="BR297" s="520"/>
    </row>
    <row r="298" spans="37:70">
      <c r="AK298" s="2482"/>
      <c r="BG298" s="30">
        <v>17.8</v>
      </c>
      <c r="BH298" s="31">
        <v>0.94779999999999998</v>
      </c>
      <c r="BI298" s="32">
        <v>947.2</v>
      </c>
      <c r="BJ298" s="33"/>
      <c r="BK298" s="197">
        <v>0.82799999999999996</v>
      </c>
      <c r="BL298" s="200">
        <v>39.39</v>
      </c>
      <c r="BM298" s="199">
        <v>827.6</v>
      </c>
      <c r="BN298" s="33"/>
      <c r="BO298" s="37">
        <v>828</v>
      </c>
      <c r="BP298" s="38">
        <v>0.82840000000000003</v>
      </c>
      <c r="BQ298" s="39">
        <v>39.31</v>
      </c>
      <c r="BR298" s="520"/>
    </row>
    <row r="299" spans="37:70">
      <c r="AK299" s="2482"/>
      <c r="BG299" s="30">
        <v>17.899999999999999</v>
      </c>
      <c r="BH299" s="31">
        <v>0.94710000000000005</v>
      </c>
      <c r="BI299" s="32">
        <v>946.6</v>
      </c>
      <c r="BJ299" s="33"/>
      <c r="BK299" s="197">
        <v>0.82899999999999996</v>
      </c>
      <c r="BL299" s="200">
        <v>39.19</v>
      </c>
      <c r="BM299" s="199">
        <v>828.6</v>
      </c>
      <c r="BN299" s="33"/>
      <c r="BO299" s="37">
        <v>829</v>
      </c>
      <c r="BP299" s="38">
        <v>0.82940000000000003</v>
      </c>
      <c r="BQ299" s="39">
        <v>39.1</v>
      </c>
      <c r="BR299" s="520"/>
    </row>
    <row r="300" spans="37:70">
      <c r="AK300" s="2482"/>
      <c r="BG300" s="30">
        <v>18</v>
      </c>
      <c r="BH300" s="31">
        <v>0.94650000000000001</v>
      </c>
      <c r="BI300" s="32">
        <v>945.9</v>
      </c>
      <c r="BJ300" s="33"/>
      <c r="BK300" s="197">
        <v>0.83</v>
      </c>
      <c r="BL300" s="200">
        <v>38.979999999999997</v>
      </c>
      <c r="BM300" s="199">
        <v>829.6</v>
      </c>
      <c r="BN300" s="33"/>
      <c r="BO300" s="37">
        <v>830</v>
      </c>
      <c r="BP300" s="38">
        <v>0.83040000000000003</v>
      </c>
      <c r="BQ300" s="39">
        <v>38.9</v>
      </c>
      <c r="BR300" s="520"/>
    </row>
    <row r="301" spans="37:70">
      <c r="AK301" s="2482"/>
      <c r="BG301" s="30">
        <v>18.100000000000001</v>
      </c>
      <c r="BH301" s="31">
        <v>0.94589999999999996</v>
      </c>
      <c r="BI301" s="32">
        <v>945.3</v>
      </c>
      <c r="BJ301" s="33"/>
      <c r="BK301" s="197">
        <v>0.83099999999999996</v>
      </c>
      <c r="BL301" s="200">
        <v>38.78</v>
      </c>
      <c r="BM301" s="199">
        <v>830.6</v>
      </c>
      <c r="BN301" s="33"/>
      <c r="BO301" s="37">
        <v>831</v>
      </c>
      <c r="BP301" s="38">
        <v>0.83140000000000003</v>
      </c>
      <c r="BQ301" s="39">
        <v>38.69</v>
      </c>
      <c r="BR301" s="520"/>
    </row>
    <row r="302" spans="37:70">
      <c r="AK302" s="2482"/>
      <c r="BG302" s="30">
        <v>18.2</v>
      </c>
      <c r="BH302" s="31">
        <v>0.94520000000000004</v>
      </c>
      <c r="BI302" s="32">
        <v>944.7</v>
      </c>
      <c r="BJ302" s="33"/>
      <c r="BK302" s="197">
        <v>0.83199999999999996</v>
      </c>
      <c r="BL302" s="200">
        <v>38.57</v>
      </c>
      <c r="BM302" s="199">
        <v>831.6</v>
      </c>
      <c r="BN302" s="33"/>
      <c r="BO302" s="37">
        <v>832</v>
      </c>
      <c r="BP302" s="38">
        <v>0.83240000000000003</v>
      </c>
      <c r="BQ302" s="39">
        <v>38.49</v>
      </c>
      <c r="BR302" s="520"/>
    </row>
    <row r="303" spans="37:70">
      <c r="AK303" s="2482"/>
      <c r="BG303" s="30">
        <v>18.3</v>
      </c>
      <c r="BH303" s="31">
        <v>0.9446</v>
      </c>
      <c r="BI303" s="32">
        <v>944</v>
      </c>
      <c r="BJ303" s="33"/>
      <c r="BK303" s="197">
        <v>0.83299999999999996</v>
      </c>
      <c r="BL303" s="200">
        <v>38.369999999999997</v>
      </c>
      <c r="BM303" s="199">
        <v>832.6</v>
      </c>
      <c r="BN303" s="33"/>
      <c r="BO303" s="37">
        <v>833</v>
      </c>
      <c r="BP303" s="38">
        <v>0.83340000000000003</v>
      </c>
      <c r="BQ303" s="39">
        <v>38.28</v>
      </c>
      <c r="BR303" s="520"/>
    </row>
    <row r="304" spans="37:70">
      <c r="AK304" s="2482"/>
      <c r="BG304" s="30">
        <v>18.399999999999999</v>
      </c>
      <c r="BH304" s="31">
        <v>0.94399999999999995</v>
      </c>
      <c r="BI304" s="32">
        <v>943.4</v>
      </c>
      <c r="BJ304" s="33"/>
      <c r="BK304" s="197">
        <v>0.83399999999999996</v>
      </c>
      <c r="BL304" s="200">
        <v>38.159999999999997</v>
      </c>
      <c r="BM304" s="199">
        <v>833.6</v>
      </c>
      <c r="BN304" s="33"/>
      <c r="BO304" s="37">
        <v>834</v>
      </c>
      <c r="BP304" s="38">
        <v>0.83440000000000003</v>
      </c>
      <c r="BQ304" s="39">
        <v>38.08</v>
      </c>
      <c r="BR304" s="520"/>
    </row>
    <row r="305" spans="37:70">
      <c r="AK305" s="2482"/>
      <c r="BG305" s="30">
        <v>18.5</v>
      </c>
      <c r="BH305" s="31">
        <v>0.94330000000000003</v>
      </c>
      <c r="BI305" s="32">
        <v>942.8</v>
      </c>
      <c r="BJ305" s="33"/>
      <c r="BK305" s="197">
        <v>0.83499999999999996</v>
      </c>
      <c r="BL305" s="200">
        <v>37.96</v>
      </c>
      <c r="BM305" s="199">
        <v>834.6</v>
      </c>
      <c r="BN305" s="33"/>
      <c r="BO305" s="37">
        <v>835</v>
      </c>
      <c r="BP305" s="38">
        <v>0.83540000000000003</v>
      </c>
      <c r="BQ305" s="39">
        <v>37.869999999999997</v>
      </c>
      <c r="BR305" s="520"/>
    </row>
    <row r="306" spans="37:70">
      <c r="AK306" s="2482"/>
      <c r="BG306" s="30">
        <v>18.600000000000001</v>
      </c>
      <c r="BH306" s="31">
        <v>0.94269999999999998</v>
      </c>
      <c r="BI306" s="32">
        <v>942.2</v>
      </c>
      <c r="BJ306" s="33"/>
      <c r="BK306" s="197">
        <v>0.83599999999999997</v>
      </c>
      <c r="BL306" s="200">
        <v>37.76</v>
      </c>
      <c r="BM306" s="199">
        <v>835.6</v>
      </c>
      <c r="BN306" s="33"/>
      <c r="BO306" s="37">
        <v>836</v>
      </c>
      <c r="BP306" s="38">
        <v>0.83640000000000003</v>
      </c>
      <c r="BQ306" s="39">
        <v>37.67</v>
      </c>
      <c r="BR306" s="520"/>
    </row>
    <row r="307" spans="37:70">
      <c r="AK307" s="2482"/>
      <c r="BG307" s="30">
        <v>18.7</v>
      </c>
      <c r="BH307" s="31">
        <v>0.94210000000000005</v>
      </c>
      <c r="BI307" s="32">
        <v>941.5</v>
      </c>
      <c r="BJ307" s="33"/>
      <c r="BK307" s="197">
        <v>0.83699999999999997</v>
      </c>
      <c r="BL307" s="200">
        <v>37.56</v>
      </c>
      <c r="BM307" s="199">
        <v>836.6</v>
      </c>
      <c r="BN307" s="33"/>
      <c r="BO307" s="37">
        <v>837</v>
      </c>
      <c r="BP307" s="38">
        <v>0.83740000000000003</v>
      </c>
      <c r="BQ307" s="39">
        <v>37.47</v>
      </c>
      <c r="BR307" s="520"/>
    </row>
    <row r="308" spans="37:70">
      <c r="AK308" s="2482"/>
      <c r="BG308" s="30">
        <v>18.8</v>
      </c>
      <c r="BH308" s="31">
        <v>0.9415</v>
      </c>
      <c r="BI308" s="32">
        <v>940.9</v>
      </c>
      <c r="BJ308" s="33"/>
      <c r="BK308" s="197">
        <v>0.83799999999999997</v>
      </c>
      <c r="BL308" s="200">
        <v>37.35</v>
      </c>
      <c r="BM308" s="199">
        <v>837.6</v>
      </c>
      <c r="BN308" s="33"/>
      <c r="BO308" s="37">
        <v>838</v>
      </c>
      <c r="BP308" s="38">
        <v>0.83840000000000003</v>
      </c>
      <c r="BQ308" s="39">
        <v>37.270000000000003</v>
      </c>
      <c r="BR308" s="520"/>
    </row>
    <row r="309" spans="37:70">
      <c r="AK309" s="2482"/>
      <c r="BG309" s="30">
        <v>18.899999999999999</v>
      </c>
      <c r="BH309" s="31">
        <v>0.94079999999999997</v>
      </c>
      <c r="BI309" s="32">
        <v>940.3</v>
      </c>
      <c r="BJ309" s="33"/>
      <c r="BK309" s="197">
        <v>0.83899999999999997</v>
      </c>
      <c r="BL309" s="200">
        <v>37.15</v>
      </c>
      <c r="BM309" s="199">
        <v>838.6</v>
      </c>
      <c r="BN309" s="33"/>
      <c r="BO309" s="37">
        <v>839</v>
      </c>
      <c r="BP309" s="38">
        <v>0.83940000000000003</v>
      </c>
      <c r="BQ309" s="39">
        <v>37.07</v>
      </c>
      <c r="BR309" s="520"/>
    </row>
    <row r="310" spans="37:70">
      <c r="AK310" s="2482"/>
      <c r="BG310" s="30">
        <v>19</v>
      </c>
      <c r="BH310" s="31">
        <v>0.94020000000000004</v>
      </c>
      <c r="BI310" s="32">
        <v>939.7</v>
      </c>
      <c r="BJ310" s="33"/>
      <c r="BK310" s="197">
        <v>0.84</v>
      </c>
      <c r="BL310" s="200">
        <v>36.950000000000003</v>
      </c>
      <c r="BM310" s="199">
        <v>839.6</v>
      </c>
      <c r="BN310" s="33"/>
      <c r="BO310" s="37">
        <v>840</v>
      </c>
      <c r="BP310" s="38">
        <v>0.84040000000000004</v>
      </c>
      <c r="BQ310" s="39">
        <v>36.86</v>
      </c>
      <c r="BR310" s="520"/>
    </row>
    <row r="311" spans="37:70">
      <c r="AK311" s="2482"/>
      <c r="BG311" s="30">
        <v>19.100000000000001</v>
      </c>
      <c r="BH311" s="31">
        <v>0.93959999999999999</v>
      </c>
      <c r="BI311" s="32">
        <v>939</v>
      </c>
      <c r="BJ311" s="33"/>
      <c r="BK311" s="197">
        <v>0.84099999999999997</v>
      </c>
      <c r="BL311" s="200">
        <v>36.75</v>
      </c>
      <c r="BM311" s="199">
        <v>840.6</v>
      </c>
      <c r="BN311" s="33"/>
      <c r="BO311" s="37">
        <v>841</v>
      </c>
      <c r="BP311" s="38">
        <v>0.84140000000000004</v>
      </c>
      <c r="BQ311" s="39">
        <v>36.659999999999997</v>
      </c>
      <c r="BR311" s="520"/>
    </row>
    <row r="312" spans="37:70">
      <c r="AK312" s="2482"/>
      <c r="BG312" s="30">
        <v>19.2</v>
      </c>
      <c r="BH312" s="31">
        <v>0.93899999999999995</v>
      </c>
      <c r="BI312" s="32">
        <v>938.4</v>
      </c>
      <c r="BJ312" s="33"/>
      <c r="BK312" s="197">
        <v>0.84199999999999997</v>
      </c>
      <c r="BL312" s="200">
        <v>36.549999999999997</v>
      </c>
      <c r="BM312" s="199">
        <v>841.6</v>
      </c>
      <c r="BN312" s="33"/>
      <c r="BO312" s="37">
        <v>842</v>
      </c>
      <c r="BP312" s="38">
        <v>0.84240000000000004</v>
      </c>
      <c r="BQ312" s="39">
        <v>36.46</v>
      </c>
      <c r="BR312" s="520"/>
    </row>
    <row r="313" spans="37:70">
      <c r="AK313" s="2482"/>
      <c r="BG313" s="30">
        <v>19.3</v>
      </c>
      <c r="BH313" s="31">
        <v>0.93830000000000002</v>
      </c>
      <c r="BI313" s="32">
        <v>937.8</v>
      </c>
      <c r="BJ313" s="33"/>
      <c r="BK313" s="197">
        <v>0.84299999999999997</v>
      </c>
      <c r="BL313" s="200">
        <v>36.35</v>
      </c>
      <c r="BM313" s="199">
        <v>842.6</v>
      </c>
      <c r="BN313" s="33"/>
      <c r="BO313" s="37">
        <v>843</v>
      </c>
      <c r="BP313" s="38">
        <v>0.84340000000000004</v>
      </c>
      <c r="BQ313" s="39">
        <v>36.270000000000003</v>
      </c>
      <c r="BR313" s="520"/>
    </row>
    <row r="314" spans="37:70">
      <c r="AK314" s="2482"/>
      <c r="BG314" s="30">
        <v>19.399999999999999</v>
      </c>
      <c r="BH314" s="31">
        <v>0.93769999999999998</v>
      </c>
      <c r="BI314" s="32">
        <v>937.2</v>
      </c>
      <c r="BJ314" s="33"/>
      <c r="BK314" s="197">
        <v>0.84399999999999997</v>
      </c>
      <c r="BL314" s="200">
        <v>36.15</v>
      </c>
      <c r="BM314" s="199">
        <v>843.6</v>
      </c>
      <c r="BN314" s="33"/>
      <c r="BO314" s="37">
        <v>844</v>
      </c>
      <c r="BP314" s="38">
        <v>0.84440000000000004</v>
      </c>
      <c r="BQ314" s="39">
        <v>36.07</v>
      </c>
      <c r="BR314" s="520"/>
    </row>
    <row r="315" spans="37:70">
      <c r="AK315" s="2482"/>
      <c r="BG315" s="30">
        <v>19.5</v>
      </c>
      <c r="BH315" s="31">
        <v>0.93710000000000004</v>
      </c>
      <c r="BI315" s="32">
        <v>936.5</v>
      </c>
      <c r="BJ315" s="33"/>
      <c r="BK315" s="197">
        <v>0.84499999999999997</v>
      </c>
      <c r="BL315" s="200">
        <v>35.96</v>
      </c>
      <c r="BM315" s="199">
        <v>844.6</v>
      </c>
      <c r="BN315" s="33"/>
      <c r="BO315" s="37">
        <v>845</v>
      </c>
      <c r="BP315" s="38">
        <v>0.84540000000000004</v>
      </c>
      <c r="BQ315" s="39">
        <v>35.869999999999997</v>
      </c>
      <c r="BR315" s="520"/>
    </row>
    <row r="316" spans="37:70">
      <c r="AK316" s="2482"/>
      <c r="BG316" s="30">
        <v>19.600000000000001</v>
      </c>
      <c r="BH316" s="31">
        <v>0.9365</v>
      </c>
      <c r="BI316" s="32">
        <v>935.9</v>
      </c>
      <c r="BJ316" s="33"/>
      <c r="BK316" s="197">
        <v>0.84599999999999997</v>
      </c>
      <c r="BL316" s="200">
        <v>35.76</v>
      </c>
      <c r="BM316" s="199">
        <v>845.6</v>
      </c>
      <c r="BN316" s="33"/>
      <c r="BO316" s="37">
        <v>846</v>
      </c>
      <c r="BP316" s="38">
        <v>0.84640000000000004</v>
      </c>
      <c r="BQ316" s="39">
        <v>35.67</v>
      </c>
      <c r="BR316" s="520"/>
    </row>
    <row r="317" spans="37:70">
      <c r="AK317" s="2482"/>
      <c r="BG317" s="30">
        <v>19.7</v>
      </c>
      <c r="BH317" s="31">
        <v>0.93579999999999997</v>
      </c>
      <c r="BI317" s="32">
        <v>935.3</v>
      </c>
      <c r="BJ317" s="33"/>
      <c r="BK317" s="197">
        <v>0.84699999999999998</v>
      </c>
      <c r="BL317" s="200">
        <v>35.56</v>
      </c>
      <c r="BM317" s="199">
        <v>846.6</v>
      </c>
      <c r="BN317" s="33"/>
      <c r="BO317" s="37">
        <v>847</v>
      </c>
      <c r="BP317" s="38">
        <v>0.84740000000000004</v>
      </c>
      <c r="BQ317" s="39">
        <v>35.47</v>
      </c>
      <c r="BR317" s="520"/>
    </row>
    <row r="318" spans="37:70">
      <c r="AK318" s="2482"/>
      <c r="BG318" s="30">
        <v>19.8</v>
      </c>
      <c r="BH318" s="31">
        <v>0.93520000000000003</v>
      </c>
      <c r="BI318" s="32">
        <v>934.7</v>
      </c>
      <c r="BJ318" s="33"/>
      <c r="BK318" s="197">
        <v>0.84799999999999998</v>
      </c>
      <c r="BL318" s="200">
        <v>35.36</v>
      </c>
      <c r="BM318" s="199">
        <v>847.6</v>
      </c>
      <c r="BN318" s="33"/>
      <c r="BO318" s="37">
        <v>848</v>
      </c>
      <c r="BP318" s="38">
        <v>0.84840000000000004</v>
      </c>
      <c r="BQ318" s="39">
        <v>35.28</v>
      </c>
      <c r="BR318" s="520"/>
    </row>
    <row r="319" spans="37:70">
      <c r="AK319" s="2482"/>
      <c r="BG319" s="30">
        <v>19.899999999999999</v>
      </c>
      <c r="BH319" s="31">
        <v>0.93459999999999999</v>
      </c>
      <c r="BI319" s="32">
        <v>934.1</v>
      </c>
      <c r="BJ319" s="33"/>
      <c r="BK319" s="197">
        <v>0.84899999999999998</v>
      </c>
      <c r="BL319" s="200">
        <v>35.17</v>
      </c>
      <c r="BM319" s="199">
        <v>848.6</v>
      </c>
      <c r="BN319" s="33"/>
      <c r="BO319" s="37">
        <v>849</v>
      </c>
      <c r="BP319" s="38">
        <v>0.84940000000000004</v>
      </c>
      <c r="BQ319" s="39">
        <v>35.08</v>
      </c>
      <c r="BR319" s="520"/>
    </row>
    <row r="320" spans="37:70">
      <c r="AK320" s="2482"/>
      <c r="BG320" s="30">
        <v>20</v>
      </c>
      <c r="BH320" s="31">
        <v>0.93400000000000005</v>
      </c>
      <c r="BI320" s="32">
        <v>933.5</v>
      </c>
      <c r="BJ320" s="33"/>
      <c r="BK320" s="197">
        <v>0.85</v>
      </c>
      <c r="BL320" s="200">
        <v>34.97</v>
      </c>
      <c r="BM320" s="199">
        <v>849.6</v>
      </c>
      <c r="BN320" s="33"/>
      <c r="BO320" s="37">
        <v>850</v>
      </c>
      <c r="BP320" s="38">
        <v>0.85040000000000004</v>
      </c>
      <c r="BQ320" s="39">
        <v>34.880000000000003</v>
      </c>
      <c r="BR320" s="520"/>
    </row>
    <row r="321" spans="37:70">
      <c r="AK321" s="2482"/>
      <c r="BG321" s="30">
        <v>20.100000000000001</v>
      </c>
      <c r="BH321" s="31">
        <v>0.93340000000000001</v>
      </c>
      <c r="BI321" s="32">
        <v>932.8</v>
      </c>
      <c r="BJ321" s="33"/>
      <c r="BK321" s="197">
        <v>0.85099999999999998</v>
      </c>
      <c r="BL321" s="200">
        <v>34.770000000000003</v>
      </c>
      <c r="BM321" s="199">
        <v>850.6</v>
      </c>
      <c r="BN321" s="33"/>
      <c r="BO321" s="37">
        <v>851</v>
      </c>
      <c r="BP321" s="38">
        <v>0.85140000000000005</v>
      </c>
      <c r="BQ321" s="39">
        <v>34.69</v>
      </c>
      <c r="BR321" s="520"/>
    </row>
    <row r="322" spans="37:70">
      <c r="AK322" s="2482"/>
      <c r="BG322" s="30">
        <v>20.2</v>
      </c>
      <c r="BH322" s="31">
        <v>0.93279999999999996</v>
      </c>
      <c r="BI322" s="32">
        <v>932.2</v>
      </c>
      <c r="BJ322" s="33"/>
      <c r="BK322" s="197">
        <v>0.85199999999999998</v>
      </c>
      <c r="BL322" s="200">
        <v>34.58</v>
      </c>
      <c r="BM322" s="199">
        <v>851.6</v>
      </c>
      <c r="BN322" s="33"/>
      <c r="BO322" s="37">
        <v>852</v>
      </c>
      <c r="BP322" s="38">
        <v>0.85250000000000004</v>
      </c>
      <c r="BQ322" s="39">
        <v>34.49</v>
      </c>
      <c r="BR322" s="520"/>
    </row>
    <row r="323" spans="37:70">
      <c r="AK323" s="2482"/>
      <c r="BG323" s="30">
        <v>20.3</v>
      </c>
      <c r="BH323" s="31">
        <v>0.93210000000000004</v>
      </c>
      <c r="BI323" s="32">
        <v>931.6</v>
      </c>
      <c r="BJ323" s="33"/>
      <c r="BK323" s="197">
        <v>0.85299999999999998</v>
      </c>
      <c r="BL323" s="200">
        <v>34.39</v>
      </c>
      <c r="BM323" s="199">
        <v>852.5</v>
      </c>
      <c r="BN323" s="33"/>
      <c r="BO323" s="37">
        <v>853</v>
      </c>
      <c r="BP323" s="38">
        <v>0.85350000000000004</v>
      </c>
      <c r="BQ323" s="39">
        <v>34.299999999999997</v>
      </c>
      <c r="BR323" s="520"/>
    </row>
    <row r="324" spans="37:70">
      <c r="AK324" s="2482"/>
      <c r="BG324" s="30">
        <v>20.399999999999999</v>
      </c>
      <c r="BH324" s="31">
        <v>0.93149999999999999</v>
      </c>
      <c r="BI324" s="32">
        <v>931</v>
      </c>
      <c r="BJ324" s="33"/>
      <c r="BK324" s="197">
        <v>0.85399999999999998</v>
      </c>
      <c r="BL324" s="200">
        <v>34.19</v>
      </c>
      <c r="BM324" s="199">
        <v>853.5</v>
      </c>
      <c r="BN324" s="33"/>
      <c r="BO324" s="37">
        <v>854</v>
      </c>
      <c r="BP324" s="38">
        <v>0.85450000000000004</v>
      </c>
      <c r="BQ324" s="39">
        <v>34.1</v>
      </c>
      <c r="BR324" s="520"/>
    </row>
    <row r="325" spans="37:70">
      <c r="AK325" s="2482"/>
      <c r="BG325" s="30">
        <v>20.5</v>
      </c>
      <c r="BH325" s="31">
        <v>0.93089999999999995</v>
      </c>
      <c r="BI325" s="32">
        <v>930.4</v>
      </c>
      <c r="BJ325" s="33"/>
      <c r="BK325" s="197">
        <v>0.85499999999999998</v>
      </c>
      <c r="BL325" s="200">
        <v>34</v>
      </c>
      <c r="BM325" s="199">
        <v>854.5</v>
      </c>
      <c r="BN325" s="33"/>
      <c r="BO325" s="37">
        <v>855</v>
      </c>
      <c r="BP325" s="38">
        <v>0.85550000000000004</v>
      </c>
      <c r="BQ325" s="39">
        <v>33.909999999999997</v>
      </c>
      <c r="BR325" s="520"/>
    </row>
    <row r="326" spans="37:70">
      <c r="AK326" s="2482"/>
      <c r="BG326" s="30">
        <v>20.6</v>
      </c>
      <c r="BH326" s="31">
        <v>0.93030000000000002</v>
      </c>
      <c r="BI326" s="32">
        <v>929.8</v>
      </c>
      <c r="BJ326" s="33"/>
      <c r="BK326" s="197">
        <v>0.85599999999999998</v>
      </c>
      <c r="BL326" s="200">
        <v>33.799999999999997</v>
      </c>
      <c r="BM326" s="199">
        <v>855.5</v>
      </c>
      <c r="BN326" s="33"/>
      <c r="BO326" s="37">
        <v>856</v>
      </c>
      <c r="BP326" s="38">
        <v>0.85650000000000004</v>
      </c>
      <c r="BQ326" s="39">
        <v>33.72</v>
      </c>
      <c r="BR326" s="520"/>
    </row>
    <row r="327" spans="37:70">
      <c r="AK327" s="2482"/>
      <c r="BG327" s="30">
        <v>20.7</v>
      </c>
      <c r="BH327" s="31">
        <v>0.92969999999999997</v>
      </c>
      <c r="BI327" s="32">
        <v>929.2</v>
      </c>
      <c r="BJ327" s="33"/>
      <c r="BK327" s="197">
        <v>0.85699999999999998</v>
      </c>
      <c r="BL327" s="200">
        <v>33.61</v>
      </c>
      <c r="BM327" s="199">
        <v>856.5</v>
      </c>
      <c r="BN327" s="33"/>
      <c r="BO327" s="37">
        <v>857</v>
      </c>
      <c r="BP327" s="38">
        <v>0.85750000000000004</v>
      </c>
      <c r="BQ327" s="39">
        <v>33.520000000000003</v>
      </c>
      <c r="BR327" s="520"/>
    </row>
    <row r="328" spans="37:70">
      <c r="AK328" s="2482"/>
      <c r="BG328" s="30">
        <v>20.8</v>
      </c>
      <c r="BH328" s="31">
        <v>0.92910000000000004</v>
      </c>
      <c r="BI328" s="32">
        <v>928.6</v>
      </c>
      <c r="BJ328" s="33"/>
      <c r="BK328" s="197">
        <v>0.85799999999999998</v>
      </c>
      <c r="BL328" s="200">
        <v>33.42</v>
      </c>
      <c r="BM328" s="199">
        <v>857.5</v>
      </c>
      <c r="BN328" s="33"/>
      <c r="BO328" s="37">
        <v>858</v>
      </c>
      <c r="BP328" s="38">
        <v>0.85850000000000004</v>
      </c>
      <c r="BQ328" s="39">
        <v>33.33</v>
      </c>
      <c r="BR328" s="520"/>
    </row>
    <row r="329" spans="37:70">
      <c r="AK329" s="2482"/>
      <c r="BG329" s="30">
        <v>20.9</v>
      </c>
      <c r="BH329" s="31">
        <v>0.92849999999999999</v>
      </c>
      <c r="BI329" s="32">
        <v>927.9</v>
      </c>
      <c r="BJ329" s="33"/>
      <c r="BK329" s="197">
        <v>0.85899999999999999</v>
      </c>
      <c r="BL329" s="200">
        <v>33.229999999999997</v>
      </c>
      <c r="BM329" s="199">
        <v>858.5</v>
      </c>
      <c r="BN329" s="33"/>
      <c r="BO329" s="37">
        <v>859</v>
      </c>
      <c r="BP329" s="38">
        <v>0.85950000000000004</v>
      </c>
      <c r="BQ329" s="39">
        <v>33.14</v>
      </c>
      <c r="BR329" s="520"/>
    </row>
    <row r="330" spans="37:70">
      <c r="AK330" s="2482"/>
      <c r="BG330" s="30">
        <v>21</v>
      </c>
      <c r="BH330" s="31">
        <v>0.92789999999999995</v>
      </c>
      <c r="BI330" s="32">
        <v>927.3</v>
      </c>
      <c r="BJ330" s="33"/>
      <c r="BK330" s="197">
        <v>0.86</v>
      </c>
      <c r="BL330" s="200">
        <v>33.03</v>
      </c>
      <c r="BM330" s="199">
        <v>859.5</v>
      </c>
      <c r="BN330" s="33"/>
      <c r="BO330" s="37">
        <v>860</v>
      </c>
      <c r="BP330" s="38">
        <v>0.86050000000000004</v>
      </c>
      <c r="BQ330" s="39">
        <v>32.950000000000003</v>
      </c>
      <c r="BR330" s="520"/>
    </row>
    <row r="331" spans="37:70">
      <c r="AK331" s="2482"/>
      <c r="BG331" s="30">
        <v>21.1</v>
      </c>
      <c r="BH331" s="31">
        <v>0.92730000000000001</v>
      </c>
      <c r="BI331" s="32">
        <v>926.7</v>
      </c>
      <c r="BJ331" s="33"/>
      <c r="BK331" s="197">
        <v>0.86099999999999999</v>
      </c>
      <c r="BL331" s="200">
        <v>32.840000000000003</v>
      </c>
      <c r="BM331" s="199">
        <v>860.5</v>
      </c>
      <c r="BN331" s="33"/>
      <c r="BO331" s="37">
        <v>861</v>
      </c>
      <c r="BP331" s="38">
        <v>0.86150000000000004</v>
      </c>
      <c r="BQ331" s="39">
        <v>32.76</v>
      </c>
      <c r="BR331" s="520"/>
    </row>
    <row r="332" spans="37:70">
      <c r="AK332" s="2482"/>
      <c r="BG332" s="30">
        <v>21.2</v>
      </c>
      <c r="BH332" s="31">
        <v>0.92669999999999997</v>
      </c>
      <c r="BI332" s="32">
        <v>926.1</v>
      </c>
      <c r="BJ332" s="33"/>
      <c r="BK332" s="197">
        <v>0.86199999999999999</v>
      </c>
      <c r="BL332" s="200">
        <v>32.65</v>
      </c>
      <c r="BM332" s="199">
        <v>861.5</v>
      </c>
      <c r="BN332" s="33"/>
      <c r="BO332" s="37">
        <v>862</v>
      </c>
      <c r="BP332" s="38">
        <v>0.86250000000000004</v>
      </c>
      <c r="BQ332" s="39">
        <v>32.57</v>
      </c>
      <c r="BR332" s="520"/>
    </row>
    <row r="333" spans="37:70">
      <c r="AK333" s="2482"/>
      <c r="BG333" s="30">
        <v>21.3</v>
      </c>
      <c r="BH333" s="31">
        <v>0.92600000000000005</v>
      </c>
      <c r="BI333" s="32">
        <v>925.5</v>
      </c>
      <c r="BJ333" s="33"/>
      <c r="BK333" s="197">
        <v>0.86299999999999999</v>
      </c>
      <c r="BL333" s="200">
        <v>32.46</v>
      </c>
      <c r="BM333" s="199">
        <v>862.5</v>
      </c>
      <c r="BN333" s="33"/>
      <c r="BO333" s="37">
        <v>863</v>
      </c>
      <c r="BP333" s="38">
        <v>0.86350000000000005</v>
      </c>
      <c r="BQ333" s="39">
        <v>32.380000000000003</v>
      </c>
      <c r="BR333" s="520"/>
    </row>
    <row r="334" spans="37:70">
      <c r="AK334" s="2482"/>
      <c r="BG334" s="30">
        <v>21.4</v>
      </c>
      <c r="BH334" s="31">
        <v>0.9254</v>
      </c>
      <c r="BI334" s="32">
        <v>924.9</v>
      </c>
      <c r="BJ334" s="33"/>
      <c r="BK334" s="197">
        <v>0.86399999999999999</v>
      </c>
      <c r="BL334" s="200">
        <v>32.270000000000003</v>
      </c>
      <c r="BM334" s="199">
        <v>863.5</v>
      </c>
      <c r="BN334" s="33"/>
      <c r="BO334" s="37">
        <v>864</v>
      </c>
      <c r="BP334" s="38">
        <v>0.86450000000000005</v>
      </c>
      <c r="BQ334" s="39">
        <v>32.19</v>
      </c>
      <c r="BR334" s="520"/>
    </row>
    <row r="335" spans="37:70">
      <c r="AK335" s="2482"/>
      <c r="BG335" s="30">
        <v>21.5</v>
      </c>
      <c r="BH335" s="31">
        <v>0.92479999999999996</v>
      </c>
      <c r="BI335" s="32">
        <v>924.3</v>
      </c>
      <c r="BJ335" s="33"/>
      <c r="BK335" s="197">
        <v>0.86499999999999999</v>
      </c>
      <c r="BL335" s="200">
        <v>32.08</v>
      </c>
      <c r="BM335" s="199">
        <v>864.5</v>
      </c>
      <c r="BN335" s="33"/>
      <c r="BO335" s="37">
        <v>865</v>
      </c>
      <c r="BP335" s="38">
        <v>0.86550000000000005</v>
      </c>
      <c r="BQ335" s="39">
        <v>32</v>
      </c>
      <c r="BR335" s="520"/>
    </row>
    <row r="336" spans="37:70">
      <c r="AK336" s="2482"/>
      <c r="BG336" s="30">
        <v>21.6</v>
      </c>
      <c r="BH336" s="31">
        <v>0.92420000000000002</v>
      </c>
      <c r="BI336" s="32">
        <v>923.7</v>
      </c>
      <c r="BJ336" s="33"/>
      <c r="BK336" s="197">
        <v>0.86599999999999999</v>
      </c>
      <c r="BL336" s="200">
        <v>31.89</v>
      </c>
      <c r="BM336" s="199">
        <v>865.5</v>
      </c>
      <c r="BN336" s="33"/>
      <c r="BO336" s="37">
        <v>866</v>
      </c>
      <c r="BP336" s="38">
        <v>0.86650000000000005</v>
      </c>
      <c r="BQ336" s="39">
        <v>31.81</v>
      </c>
      <c r="BR336" s="520"/>
    </row>
    <row r="337" spans="37:70">
      <c r="AK337" s="2482"/>
      <c r="BG337" s="30">
        <v>21.7</v>
      </c>
      <c r="BH337" s="31">
        <v>0.92359999999999998</v>
      </c>
      <c r="BI337" s="32">
        <v>923.1</v>
      </c>
      <c r="BJ337" s="33"/>
      <c r="BK337" s="197">
        <v>0.86699999999999999</v>
      </c>
      <c r="BL337" s="200">
        <v>31.71</v>
      </c>
      <c r="BM337" s="199">
        <v>866.5</v>
      </c>
      <c r="BN337" s="33"/>
      <c r="BO337" s="37">
        <v>867</v>
      </c>
      <c r="BP337" s="38">
        <v>0.86750000000000005</v>
      </c>
      <c r="BQ337" s="39">
        <v>31.62</v>
      </c>
      <c r="BR337" s="520"/>
    </row>
    <row r="338" spans="37:70">
      <c r="AK338" s="2482"/>
      <c r="BG338" s="30">
        <v>21.8</v>
      </c>
      <c r="BH338" s="31">
        <v>0.92300000000000004</v>
      </c>
      <c r="BI338" s="32">
        <v>922.5</v>
      </c>
      <c r="BJ338" s="33"/>
      <c r="BK338" s="197">
        <v>0.86799999999999999</v>
      </c>
      <c r="BL338" s="200">
        <v>31.52</v>
      </c>
      <c r="BM338" s="199">
        <v>867.5</v>
      </c>
      <c r="BN338" s="33"/>
      <c r="BO338" s="37">
        <v>868</v>
      </c>
      <c r="BP338" s="38">
        <v>0.86850000000000005</v>
      </c>
      <c r="BQ338" s="39">
        <v>31.43</v>
      </c>
      <c r="BR338" s="520"/>
    </row>
    <row r="339" spans="37:70">
      <c r="AK339" s="2482"/>
      <c r="BG339" s="30">
        <v>21.9</v>
      </c>
      <c r="BH339" s="31">
        <v>0.9224</v>
      </c>
      <c r="BI339" s="32">
        <v>921.9</v>
      </c>
      <c r="BJ339" s="33"/>
      <c r="BK339" s="197">
        <v>0.86899999999999999</v>
      </c>
      <c r="BL339" s="200">
        <v>31.33</v>
      </c>
      <c r="BM339" s="199">
        <v>868.5</v>
      </c>
      <c r="BN339" s="33"/>
      <c r="BO339" s="37">
        <v>869</v>
      </c>
      <c r="BP339" s="38">
        <v>0.86950000000000005</v>
      </c>
      <c r="BQ339" s="39">
        <v>31.24</v>
      </c>
      <c r="BR339" s="520"/>
    </row>
    <row r="340" spans="37:70">
      <c r="AK340" s="2482"/>
      <c r="BG340" s="30">
        <v>22</v>
      </c>
      <c r="BH340" s="31">
        <v>0.92179999999999995</v>
      </c>
      <c r="BI340" s="32">
        <v>921.3</v>
      </c>
      <c r="BJ340" s="33"/>
      <c r="BK340" s="197">
        <v>0.87</v>
      </c>
      <c r="BL340" s="200">
        <v>31.14</v>
      </c>
      <c r="BM340" s="199">
        <v>869.5</v>
      </c>
      <c r="BN340" s="33"/>
      <c r="BO340" s="37">
        <v>870</v>
      </c>
      <c r="BP340" s="38">
        <v>0.87050000000000005</v>
      </c>
      <c r="BQ340" s="39">
        <v>31.06</v>
      </c>
      <c r="BR340" s="520"/>
    </row>
    <row r="341" spans="37:70">
      <c r="AK341" s="2482"/>
      <c r="BG341" s="30">
        <v>22.1</v>
      </c>
      <c r="BH341" s="31">
        <v>0.92120000000000002</v>
      </c>
      <c r="BI341" s="32">
        <v>920.7</v>
      </c>
      <c r="BJ341" s="33"/>
      <c r="BK341" s="197">
        <v>0.871</v>
      </c>
      <c r="BL341" s="200">
        <v>30.96</v>
      </c>
      <c r="BM341" s="199">
        <v>870.5</v>
      </c>
      <c r="BN341" s="33"/>
      <c r="BO341" s="37">
        <v>871</v>
      </c>
      <c r="BP341" s="38">
        <v>0.87150000000000005</v>
      </c>
      <c r="BQ341" s="39">
        <v>30.87</v>
      </c>
      <c r="BR341" s="520"/>
    </row>
    <row r="342" spans="37:70">
      <c r="AK342" s="2482"/>
      <c r="BG342" s="30">
        <v>22.2</v>
      </c>
      <c r="BH342" s="31">
        <v>0.92059999999999997</v>
      </c>
      <c r="BI342" s="32">
        <v>920.1</v>
      </c>
      <c r="BJ342" s="33"/>
      <c r="BK342" s="197">
        <v>0.872</v>
      </c>
      <c r="BL342" s="200">
        <v>30.77</v>
      </c>
      <c r="BM342" s="199">
        <v>871.5</v>
      </c>
      <c r="BN342" s="33"/>
      <c r="BO342" s="37">
        <v>872</v>
      </c>
      <c r="BP342" s="38">
        <v>0.87250000000000005</v>
      </c>
      <c r="BQ342" s="39">
        <v>30.68</v>
      </c>
      <c r="BR342" s="520"/>
    </row>
    <row r="343" spans="37:70">
      <c r="AK343" s="2482"/>
      <c r="BG343" s="30">
        <v>22.3</v>
      </c>
      <c r="BH343" s="31">
        <v>0.92</v>
      </c>
      <c r="BI343" s="32">
        <v>919.5</v>
      </c>
      <c r="BJ343" s="33"/>
      <c r="BK343" s="197">
        <v>0.873</v>
      </c>
      <c r="BL343" s="200">
        <v>30.58</v>
      </c>
      <c r="BM343" s="199">
        <v>872.5</v>
      </c>
      <c r="BN343" s="33"/>
      <c r="BO343" s="37">
        <v>873</v>
      </c>
      <c r="BP343" s="38">
        <v>0.87350000000000005</v>
      </c>
      <c r="BQ343" s="39">
        <v>30.5</v>
      </c>
      <c r="BR343" s="520"/>
    </row>
    <row r="344" spans="37:70">
      <c r="AK344" s="2482"/>
      <c r="BG344" s="30">
        <v>22.4</v>
      </c>
      <c r="BH344" s="31">
        <v>0.9194</v>
      </c>
      <c r="BI344" s="32">
        <v>918.9</v>
      </c>
      <c r="BJ344" s="33"/>
      <c r="BK344" s="197">
        <v>0.874</v>
      </c>
      <c r="BL344" s="200">
        <v>30.4</v>
      </c>
      <c r="BM344" s="199">
        <v>873.5</v>
      </c>
      <c r="BN344" s="33"/>
      <c r="BO344" s="37">
        <v>874</v>
      </c>
      <c r="BP344" s="38">
        <v>0.87450000000000006</v>
      </c>
      <c r="BQ344" s="39">
        <v>30.31</v>
      </c>
      <c r="BR344" s="520"/>
    </row>
    <row r="345" spans="37:70">
      <c r="AK345" s="2482"/>
      <c r="BG345" s="30">
        <v>22.5</v>
      </c>
      <c r="BH345" s="31">
        <v>0.91879999999999995</v>
      </c>
      <c r="BI345" s="32">
        <v>918.3</v>
      </c>
      <c r="BJ345" s="33"/>
      <c r="BK345" s="197">
        <v>0.875</v>
      </c>
      <c r="BL345" s="200">
        <v>30.21</v>
      </c>
      <c r="BM345" s="199">
        <v>874.5</v>
      </c>
      <c r="BN345" s="33"/>
      <c r="BO345" s="37">
        <v>875</v>
      </c>
      <c r="BP345" s="38">
        <v>0.87549999999999994</v>
      </c>
      <c r="BQ345" s="39">
        <v>30.13</v>
      </c>
      <c r="BR345" s="520"/>
    </row>
    <row r="346" spans="37:70">
      <c r="AK346" s="2482"/>
      <c r="BG346" s="30">
        <v>22.6</v>
      </c>
      <c r="BH346" s="31">
        <v>0.91820000000000002</v>
      </c>
      <c r="BI346" s="32">
        <v>917.7</v>
      </c>
      <c r="BJ346" s="33"/>
      <c r="BK346" s="197">
        <v>0.876</v>
      </c>
      <c r="BL346" s="200">
        <v>30.03</v>
      </c>
      <c r="BM346" s="199">
        <v>875.5</v>
      </c>
      <c r="BN346" s="33"/>
      <c r="BO346" s="37">
        <v>876</v>
      </c>
      <c r="BP346" s="38">
        <v>0.87649999999999995</v>
      </c>
      <c r="BQ346" s="39">
        <v>29.94</v>
      </c>
      <c r="BR346" s="520"/>
    </row>
    <row r="347" spans="37:70">
      <c r="AK347" s="2482"/>
      <c r="BG347" s="30">
        <v>22.7</v>
      </c>
      <c r="BH347" s="31">
        <v>0.91759999999999997</v>
      </c>
      <c r="BI347" s="32">
        <v>917.1</v>
      </c>
      <c r="BJ347" s="33"/>
      <c r="BK347" s="197">
        <v>0.877</v>
      </c>
      <c r="BL347" s="200">
        <v>29.85</v>
      </c>
      <c r="BM347" s="199">
        <v>876.5</v>
      </c>
      <c r="BN347" s="33"/>
      <c r="BO347" s="37">
        <v>877</v>
      </c>
      <c r="BP347" s="38">
        <v>0.87749999999999995</v>
      </c>
      <c r="BQ347" s="39">
        <v>29.76</v>
      </c>
      <c r="BR347" s="520"/>
    </row>
    <row r="348" spans="37:70">
      <c r="AK348" s="2482"/>
      <c r="BG348" s="30">
        <v>22.8</v>
      </c>
      <c r="BH348" s="31">
        <v>0.91700000000000004</v>
      </c>
      <c r="BI348" s="32">
        <v>916.5</v>
      </c>
      <c r="BJ348" s="33"/>
      <c r="BK348" s="197">
        <v>0.878</v>
      </c>
      <c r="BL348" s="200">
        <v>29.66</v>
      </c>
      <c r="BM348" s="199">
        <v>877.5</v>
      </c>
      <c r="BN348" s="33"/>
      <c r="BO348" s="37">
        <v>878</v>
      </c>
      <c r="BP348" s="38">
        <v>0.87849999999999995</v>
      </c>
      <c r="BQ348" s="39">
        <v>29.57</v>
      </c>
      <c r="BR348" s="520"/>
    </row>
    <row r="349" spans="37:70">
      <c r="AK349" s="2482"/>
      <c r="BG349" s="30">
        <v>22.9</v>
      </c>
      <c r="BH349" s="31">
        <v>0.91649999999999998</v>
      </c>
      <c r="BI349" s="32">
        <v>915.9</v>
      </c>
      <c r="BJ349" s="33"/>
      <c r="BK349" s="197">
        <v>0.879</v>
      </c>
      <c r="BL349" s="200">
        <v>29.48</v>
      </c>
      <c r="BM349" s="199">
        <v>878.5</v>
      </c>
      <c r="BN349" s="33"/>
      <c r="BO349" s="37">
        <v>879</v>
      </c>
      <c r="BP349" s="38">
        <v>0.87949999999999995</v>
      </c>
      <c r="BQ349" s="39">
        <v>29.39</v>
      </c>
      <c r="BR349" s="520"/>
    </row>
    <row r="350" spans="37:70">
      <c r="AK350" s="2482"/>
      <c r="BG350" s="30">
        <v>23</v>
      </c>
      <c r="BH350" s="31">
        <v>0.91590000000000005</v>
      </c>
      <c r="BI350" s="32">
        <v>915.3</v>
      </c>
      <c r="BJ350" s="33"/>
      <c r="BK350" s="197">
        <v>0.88</v>
      </c>
      <c r="BL350" s="200">
        <v>29.3</v>
      </c>
      <c r="BM350" s="199">
        <v>879.5</v>
      </c>
      <c r="BN350" s="33"/>
      <c r="BO350" s="37">
        <v>880</v>
      </c>
      <c r="BP350" s="38">
        <v>0.88049999999999995</v>
      </c>
      <c r="BQ350" s="39">
        <v>29.21</v>
      </c>
      <c r="BR350" s="520"/>
    </row>
    <row r="351" spans="37:70">
      <c r="AK351" s="2482"/>
      <c r="BG351" s="30">
        <v>23.1</v>
      </c>
      <c r="BH351" s="31">
        <v>0.9153</v>
      </c>
      <c r="BI351" s="32">
        <v>914.7</v>
      </c>
      <c r="BJ351" s="33"/>
      <c r="BK351" s="197">
        <v>0.88100000000000001</v>
      </c>
      <c r="BL351" s="200">
        <v>29.11</v>
      </c>
      <c r="BM351" s="199">
        <v>880.5</v>
      </c>
      <c r="BN351" s="33"/>
      <c r="BO351" s="37">
        <v>881</v>
      </c>
      <c r="BP351" s="38">
        <v>0.88149999999999995</v>
      </c>
      <c r="BQ351" s="39">
        <v>29.02</v>
      </c>
      <c r="BR351" s="520"/>
    </row>
    <row r="352" spans="37:70">
      <c r="AK352" s="2482"/>
      <c r="BG352" s="30">
        <v>23.2</v>
      </c>
      <c r="BH352" s="31">
        <v>0.91469999999999996</v>
      </c>
      <c r="BI352" s="32">
        <v>914.2</v>
      </c>
      <c r="BJ352" s="33"/>
      <c r="BK352" s="197">
        <v>0.88200000000000001</v>
      </c>
      <c r="BL352" s="200">
        <v>28.93</v>
      </c>
      <c r="BM352" s="199">
        <v>881.5</v>
      </c>
      <c r="BN352" s="33"/>
      <c r="BO352" s="37">
        <v>882</v>
      </c>
      <c r="BP352" s="38">
        <v>0.88249999999999995</v>
      </c>
      <c r="BQ352" s="39">
        <v>28.84</v>
      </c>
      <c r="BR352" s="520"/>
    </row>
    <row r="353" spans="37:70">
      <c r="AK353" s="2482"/>
      <c r="BG353" s="30">
        <v>23.3</v>
      </c>
      <c r="BH353" s="31">
        <v>0.91410000000000002</v>
      </c>
      <c r="BI353" s="32">
        <v>913.6</v>
      </c>
      <c r="BJ353" s="33"/>
      <c r="BK353" s="197">
        <v>0.88300000000000001</v>
      </c>
      <c r="BL353" s="200">
        <v>28.75</v>
      </c>
      <c r="BM353" s="199">
        <v>882.5</v>
      </c>
      <c r="BN353" s="33"/>
      <c r="BO353" s="37">
        <v>883</v>
      </c>
      <c r="BP353" s="38">
        <v>0.88349999999999995</v>
      </c>
      <c r="BQ353" s="39">
        <v>28.66</v>
      </c>
      <c r="BR353" s="520"/>
    </row>
    <row r="354" spans="37:70">
      <c r="AK354" s="2482"/>
      <c r="BG354" s="30">
        <v>23.4</v>
      </c>
      <c r="BH354" s="31">
        <v>0.91349999999999998</v>
      </c>
      <c r="BI354" s="32">
        <v>913</v>
      </c>
      <c r="BJ354" s="33"/>
      <c r="BK354" s="197">
        <v>0.88400000000000001</v>
      </c>
      <c r="BL354" s="200">
        <v>28.57</v>
      </c>
      <c r="BM354" s="199">
        <v>883.5</v>
      </c>
      <c r="BN354" s="33"/>
      <c r="BO354" s="37">
        <v>884</v>
      </c>
      <c r="BP354" s="38">
        <v>0.88449999999999995</v>
      </c>
      <c r="BQ354" s="39">
        <v>28.48</v>
      </c>
      <c r="BR354" s="520"/>
    </row>
    <row r="355" spans="37:70">
      <c r="AK355" s="2482"/>
      <c r="BG355" s="30">
        <v>23.5</v>
      </c>
      <c r="BH355" s="31">
        <v>0.91290000000000004</v>
      </c>
      <c r="BI355" s="32">
        <v>912.4</v>
      </c>
      <c r="BJ355" s="33"/>
      <c r="BK355" s="197">
        <v>0.88500000000000001</v>
      </c>
      <c r="BL355" s="200">
        <v>28.39</v>
      </c>
      <c r="BM355" s="199">
        <v>884.5</v>
      </c>
      <c r="BN355" s="33"/>
      <c r="BO355" s="37">
        <v>885</v>
      </c>
      <c r="BP355" s="38">
        <v>0.88549999999999995</v>
      </c>
      <c r="BQ355" s="39">
        <v>28.3</v>
      </c>
      <c r="BR355" s="520"/>
    </row>
    <row r="356" spans="37:70">
      <c r="AK356" s="2482"/>
      <c r="BG356" s="30">
        <v>23.6</v>
      </c>
      <c r="BH356" s="31">
        <v>0.9123</v>
      </c>
      <c r="BI356" s="32">
        <v>911.8</v>
      </c>
      <c r="BJ356" s="33"/>
      <c r="BK356" s="197">
        <v>0.88600000000000001</v>
      </c>
      <c r="BL356" s="200">
        <v>28.21</v>
      </c>
      <c r="BM356" s="199">
        <v>885.5</v>
      </c>
      <c r="BN356" s="33"/>
      <c r="BO356" s="37">
        <v>886</v>
      </c>
      <c r="BP356" s="38">
        <v>0.88649999999999995</v>
      </c>
      <c r="BQ356" s="39">
        <v>28.12</v>
      </c>
      <c r="BR356" s="520"/>
    </row>
    <row r="357" spans="37:70">
      <c r="AK357" s="2482"/>
      <c r="BG357" s="30">
        <v>23.7</v>
      </c>
      <c r="BH357" s="31">
        <v>0.91169999999999995</v>
      </c>
      <c r="BI357" s="32">
        <v>911.2</v>
      </c>
      <c r="BJ357" s="33"/>
      <c r="BK357" s="197">
        <v>0.88700000000000001</v>
      </c>
      <c r="BL357" s="200">
        <v>28.03</v>
      </c>
      <c r="BM357" s="199">
        <v>886.5</v>
      </c>
      <c r="BN357" s="33"/>
      <c r="BO357" s="37">
        <v>887</v>
      </c>
      <c r="BP357" s="38">
        <v>0.88749999999999996</v>
      </c>
      <c r="BQ357" s="39">
        <v>27.94</v>
      </c>
      <c r="BR357" s="520"/>
    </row>
    <row r="358" spans="37:70">
      <c r="AK358" s="2482"/>
      <c r="BG358" s="30">
        <v>23.8</v>
      </c>
      <c r="BH358" s="31">
        <v>0.91110000000000002</v>
      </c>
      <c r="BI358" s="32">
        <v>910.6</v>
      </c>
      <c r="BJ358" s="33"/>
      <c r="BK358" s="197">
        <v>0.88800000000000001</v>
      </c>
      <c r="BL358" s="200">
        <v>27.85</v>
      </c>
      <c r="BM358" s="199">
        <v>887.5</v>
      </c>
      <c r="BN358" s="33"/>
      <c r="BO358" s="37">
        <v>888</v>
      </c>
      <c r="BP358" s="38">
        <v>0.88849999999999996</v>
      </c>
      <c r="BQ358" s="39">
        <v>27.76</v>
      </c>
      <c r="BR358" s="520"/>
    </row>
    <row r="359" spans="37:70">
      <c r="AK359" s="2482"/>
      <c r="BG359" s="30">
        <v>23.9</v>
      </c>
      <c r="BH359" s="31">
        <v>0.91059999999999997</v>
      </c>
      <c r="BI359" s="32">
        <v>910</v>
      </c>
      <c r="BJ359" s="33"/>
      <c r="BK359" s="197">
        <v>0.88900000000000001</v>
      </c>
      <c r="BL359" s="200">
        <v>27.67</v>
      </c>
      <c r="BM359" s="199">
        <v>888.5</v>
      </c>
      <c r="BN359" s="33"/>
      <c r="BO359" s="37">
        <v>889</v>
      </c>
      <c r="BP359" s="38">
        <v>0.88949999999999996</v>
      </c>
      <c r="BQ359" s="39">
        <v>27.58</v>
      </c>
      <c r="BR359" s="520"/>
    </row>
    <row r="360" spans="37:70">
      <c r="AK360" s="2482"/>
      <c r="BG360" s="30">
        <v>24</v>
      </c>
      <c r="BH360" s="31">
        <v>0.91</v>
      </c>
      <c r="BI360" s="32">
        <v>909.5</v>
      </c>
      <c r="BJ360" s="33"/>
      <c r="BK360" s="197">
        <v>0.89</v>
      </c>
      <c r="BL360" s="200">
        <v>27.49</v>
      </c>
      <c r="BM360" s="199">
        <v>889.5</v>
      </c>
      <c r="BN360" s="33"/>
      <c r="BO360" s="37">
        <v>890</v>
      </c>
      <c r="BP360" s="38">
        <v>0.89049999999999996</v>
      </c>
      <c r="BQ360" s="39">
        <v>27.4</v>
      </c>
      <c r="BR360" s="520"/>
    </row>
    <row r="361" spans="37:70">
      <c r="AK361" s="2482"/>
      <c r="BG361" s="30">
        <v>24.1</v>
      </c>
      <c r="BH361" s="31">
        <v>0.90939999999999999</v>
      </c>
      <c r="BI361" s="32">
        <v>908.9</v>
      </c>
      <c r="BJ361" s="33"/>
      <c r="BK361" s="197">
        <v>0.89100000000000001</v>
      </c>
      <c r="BL361" s="200">
        <v>27.31</v>
      </c>
      <c r="BM361" s="199">
        <v>890.5</v>
      </c>
      <c r="BN361" s="33"/>
      <c r="BO361" s="37">
        <v>891</v>
      </c>
      <c r="BP361" s="38">
        <v>0.89149999999999996</v>
      </c>
      <c r="BQ361" s="39">
        <v>27.22</v>
      </c>
      <c r="BR361" s="520"/>
    </row>
    <row r="362" spans="37:70">
      <c r="AK362" s="2482"/>
      <c r="BG362" s="30">
        <v>24.2</v>
      </c>
      <c r="BH362" s="31">
        <v>0.90880000000000005</v>
      </c>
      <c r="BI362" s="32">
        <v>908.3</v>
      </c>
      <c r="BJ362" s="33"/>
      <c r="BK362" s="197">
        <v>0.89200000000000002</v>
      </c>
      <c r="BL362" s="200">
        <v>27.13</v>
      </c>
      <c r="BM362" s="199">
        <v>891.5</v>
      </c>
      <c r="BN362" s="33"/>
      <c r="BO362" s="37">
        <v>892</v>
      </c>
      <c r="BP362" s="38">
        <v>0.89249999999999996</v>
      </c>
      <c r="BQ362" s="39">
        <v>27.04</v>
      </c>
      <c r="BR362" s="520"/>
    </row>
    <row r="363" spans="37:70">
      <c r="AK363" s="2482"/>
      <c r="BG363" s="30">
        <v>24.3</v>
      </c>
      <c r="BH363" s="31">
        <v>0.90820000000000001</v>
      </c>
      <c r="BI363" s="32">
        <v>907.7</v>
      </c>
      <c r="BJ363" s="33"/>
      <c r="BK363" s="197">
        <v>0.89300000000000002</v>
      </c>
      <c r="BL363" s="200">
        <v>26.95</v>
      </c>
      <c r="BM363" s="199">
        <v>892.5</v>
      </c>
      <c r="BN363" s="33"/>
      <c r="BO363" s="37">
        <v>893</v>
      </c>
      <c r="BP363" s="38">
        <v>0.89349999999999996</v>
      </c>
      <c r="BQ363" s="39">
        <v>26.87</v>
      </c>
      <c r="BR363" s="520"/>
    </row>
    <row r="364" spans="37:70">
      <c r="AK364" s="2482"/>
      <c r="BG364" s="30">
        <v>24.4</v>
      </c>
      <c r="BH364" s="31">
        <v>0.90759999999999996</v>
      </c>
      <c r="BI364" s="32">
        <v>907.1</v>
      </c>
      <c r="BJ364" s="33"/>
      <c r="BK364" s="197">
        <v>0.89400000000000002</v>
      </c>
      <c r="BL364" s="200">
        <v>26.78</v>
      </c>
      <c r="BM364" s="199">
        <v>893.5</v>
      </c>
      <c r="BN364" s="33"/>
      <c r="BO364" s="37">
        <v>894</v>
      </c>
      <c r="BP364" s="38">
        <v>0.89449999999999996</v>
      </c>
      <c r="BQ364" s="39">
        <v>26.69</v>
      </c>
      <c r="BR364" s="520"/>
    </row>
    <row r="365" spans="37:70">
      <c r="AK365" s="2482"/>
      <c r="BG365" s="30">
        <v>24.5</v>
      </c>
      <c r="BH365" s="31">
        <v>0.90710000000000002</v>
      </c>
      <c r="BI365" s="32">
        <v>906.5</v>
      </c>
      <c r="BJ365" s="33"/>
      <c r="BK365" s="197">
        <v>0.89500000000000002</v>
      </c>
      <c r="BL365" s="200">
        <v>26.6</v>
      </c>
      <c r="BM365" s="199">
        <v>894.5</v>
      </c>
      <c r="BN365" s="33"/>
      <c r="BO365" s="37">
        <v>895</v>
      </c>
      <c r="BP365" s="38">
        <v>0.89549999999999996</v>
      </c>
      <c r="BQ365" s="39">
        <v>26.51</v>
      </c>
      <c r="BR365" s="520"/>
    </row>
    <row r="366" spans="37:70">
      <c r="AK366" s="2482"/>
      <c r="BG366" s="30">
        <v>24.6</v>
      </c>
      <c r="BH366" s="31">
        <v>0.90649999999999997</v>
      </c>
      <c r="BI366" s="32">
        <v>906</v>
      </c>
      <c r="BJ366" s="33"/>
      <c r="BK366" s="197">
        <v>0.89600000000000002</v>
      </c>
      <c r="BL366" s="200">
        <v>26.42</v>
      </c>
      <c r="BM366" s="199">
        <v>895.5</v>
      </c>
      <c r="BN366" s="33"/>
      <c r="BO366" s="37">
        <v>896</v>
      </c>
      <c r="BP366" s="38">
        <v>0.89649999999999996</v>
      </c>
      <c r="BQ366" s="39">
        <v>26.34</v>
      </c>
      <c r="BR366" s="520"/>
    </row>
    <row r="367" spans="37:70">
      <c r="AK367" s="2482"/>
      <c r="BG367" s="30">
        <v>24.7</v>
      </c>
      <c r="BH367" s="31">
        <v>0.90590000000000004</v>
      </c>
      <c r="BI367" s="32">
        <v>905.4</v>
      </c>
      <c r="BJ367" s="33"/>
      <c r="BK367" s="197">
        <v>0.89700000000000002</v>
      </c>
      <c r="BL367" s="200">
        <v>26.25</v>
      </c>
      <c r="BM367" s="199">
        <v>896.5</v>
      </c>
      <c r="BN367" s="33"/>
      <c r="BO367" s="37">
        <v>897</v>
      </c>
      <c r="BP367" s="38">
        <v>0.89749999999999996</v>
      </c>
      <c r="BQ367" s="39">
        <v>26.16</v>
      </c>
      <c r="BR367" s="520"/>
    </row>
    <row r="368" spans="37:70">
      <c r="AK368" s="2482"/>
      <c r="BG368" s="30">
        <v>24.8</v>
      </c>
      <c r="BH368" s="31">
        <v>0.90529999999999999</v>
      </c>
      <c r="BI368" s="32">
        <v>904.8</v>
      </c>
      <c r="BJ368" s="33"/>
      <c r="BK368" s="197">
        <v>0.89800000000000002</v>
      </c>
      <c r="BL368" s="200">
        <v>26.07</v>
      </c>
      <c r="BM368" s="199">
        <v>897.5</v>
      </c>
      <c r="BN368" s="33"/>
      <c r="BO368" s="37">
        <v>898</v>
      </c>
      <c r="BP368" s="38">
        <v>0.89849999999999997</v>
      </c>
      <c r="BQ368" s="39">
        <v>25.98</v>
      </c>
      <c r="BR368" s="520"/>
    </row>
    <row r="369" spans="37:70">
      <c r="AK369" s="2482"/>
      <c r="BG369" s="30">
        <v>24.9</v>
      </c>
      <c r="BH369" s="31">
        <v>0.90469999999999995</v>
      </c>
      <c r="BI369" s="32">
        <v>904.2</v>
      </c>
      <c r="BJ369" s="33"/>
      <c r="BK369" s="197">
        <v>0.89900000000000002</v>
      </c>
      <c r="BL369" s="200">
        <v>25.9</v>
      </c>
      <c r="BM369" s="199">
        <v>898.5</v>
      </c>
      <c r="BN369" s="33"/>
      <c r="BO369" s="37">
        <v>899</v>
      </c>
      <c r="BP369" s="38">
        <v>0.89949999999999997</v>
      </c>
      <c r="BQ369" s="39">
        <v>25.81</v>
      </c>
      <c r="BR369" s="520"/>
    </row>
    <row r="370" spans="37:70">
      <c r="AK370" s="2482"/>
      <c r="BG370" s="30">
        <v>25</v>
      </c>
      <c r="BH370" s="31">
        <v>0.9042</v>
      </c>
      <c r="BI370" s="32">
        <v>903.6</v>
      </c>
      <c r="BJ370" s="33"/>
      <c r="BK370" s="197">
        <v>0.9</v>
      </c>
      <c r="BL370" s="200">
        <v>25.72</v>
      </c>
      <c r="BM370" s="199">
        <v>899.5</v>
      </c>
      <c r="BN370" s="33"/>
      <c r="BO370" s="37">
        <v>900</v>
      </c>
      <c r="BP370" s="38">
        <v>0.90049999999999997</v>
      </c>
      <c r="BQ370" s="39">
        <v>25.63</v>
      </c>
      <c r="BR370" s="520"/>
    </row>
    <row r="371" spans="37:70">
      <c r="AK371" s="2482"/>
      <c r="BG371" s="30">
        <v>25.1</v>
      </c>
      <c r="BH371" s="31">
        <v>0.90359999999999996</v>
      </c>
      <c r="BI371" s="32">
        <v>903.1</v>
      </c>
      <c r="BJ371" s="33"/>
      <c r="BK371" s="197">
        <v>0.90100000000000002</v>
      </c>
      <c r="BL371" s="200">
        <v>25.55</v>
      </c>
      <c r="BM371" s="199">
        <v>900.5</v>
      </c>
      <c r="BN371" s="33"/>
      <c r="BO371" s="37">
        <v>901</v>
      </c>
      <c r="BP371" s="38">
        <v>0.90149999999999997</v>
      </c>
      <c r="BQ371" s="39">
        <v>25.46</v>
      </c>
      <c r="BR371" s="520"/>
    </row>
    <row r="372" spans="37:70">
      <c r="AK372" s="2482"/>
      <c r="BG372" s="30">
        <v>25.2</v>
      </c>
      <c r="BH372" s="31">
        <v>0.90300000000000002</v>
      </c>
      <c r="BI372" s="32">
        <v>902.5</v>
      </c>
      <c r="BJ372" s="33"/>
      <c r="BK372" s="197">
        <v>0.90200000000000002</v>
      </c>
      <c r="BL372" s="200">
        <v>25.37</v>
      </c>
      <c r="BM372" s="199">
        <v>901.5</v>
      </c>
      <c r="BN372" s="33"/>
      <c r="BO372" s="37">
        <v>902</v>
      </c>
      <c r="BP372" s="38">
        <v>0.90249999999999997</v>
      </c>
      <c r="BQ372" s="39">
        <v>25.29</v>
      </c>
      <c r="BR372" s="520"/>
    </row>
    <row r="373" spans="37:70">
      <c r="AK373" s="2482"/>
      <c r="BG373" s="30">
        <v>25.3</v>
      </c>
      <c r="BH373" s="31">
        <v>0.90239999999999998</v>
      </c>
      <c r="BI373" s="32">
        <v>901.9</v>
      </c>
      <c r="BJ373" s="33"/>
      <c r="BK373" s="197">
        <v>0.90300000000000002</v>
      </c>
      <c r="BL373" s="200">
        <v>25.2</v>
      </c>
      <c r="BM373" s="199">
        <v>902.5</v>
      </c>
      <c r="BN373" s="33"/>
      <c r="BO373" s="37">
        <v>903</v>
      </c>
      <c r="BP373" s="38">
        <v>0.90349999999999997</v>
      </c>
      <c r="BQ373" s="39">
        <v>25.11</v>
      </c>
      <c r="BR373" s="520"/>
    </row>
    <row r="374" spans="37:70">
      <c r="AK374" s="2482"/>
      <c r="BG374" s="30">
        <v>25.4</v>
      </c>
      <c r="BH374" s="31">
        <v>0.90180000000000005</v>
      </c>
      <c r="BI374" s="32">
        <v>901.3</v>
      </c>
      <c r="BJ374" s="33"/>
      <c r="BK374" s="197">
        <v>0.90400000000000003</v>
      </c>
      <c r="BL374" s="200">
        <v>25.03</v>
      </c>
      <c r="BM374" s="199">
        <v>903.5</v>
      </c>
      <c r="BN374" s="33"/>
      <c r="BO374" s="37">
        <v>904</v>
      </c>
      <c r="BP374" s="38">
        <v>0.90449999999999997</v>
      </c>
      <c r="BQ374" s="39">
        <v>24.94</v>
      </c>
      <c r="BR374" s="520"/>
    </row>
    <row r="375" spans="37:70">
      <c r="AK375" s="2482"/>
      <c r="BG375" s="30">
        <v>25.5</v>
      </c>
      <c r="BH375" s="31">
        <v>0.90129999999999999</v>
      </c>
      <c r="BI375" s="32">
        <v>900.8</v>
      </c>
      <c r="BJ375" s="33"/>
      <c r="BK375" s="197">
        <v>0.90500000000000003</v>
      </c>
      <c r="BL375" s="200">
        <v>24.85</v>
      </c>
      <c r="BM375" s="199">
        <v>904.5</v>
      </c>
      <c r="BN375" s="33"/>
      <c r="BO375" s="37">
        <v>905</v>
      </c>
      <c r="BP375" s="38">
        <v>0.90549999999999997</v>
      </c>
      <c r="BQ375" s="39">
        <v>24.77</v>
      </c>
      <c r="BR375" s="520"/>
    </row>
    <row r="376" spans="37:70">
      <c r="AK376" s="2482"/>
      <c r="BG376" s="30">
        <v>25.6</v>
      </c>
      <c r="BH376" s="31">
        <v>0.90069999999999995</v>
      </c>
      <c r="BI376" s="32">
        <v>900.2</v>
      </c>
      <c r="BJ376" s="33"/>
      <c r="BK376" s="197">
        <v>0.90600000000000003</v>
      </c>
      <c r="BL376" s="200">
        <v>24.68</v>
      </c>
      <c r="BM376" s="199">
        <v>905.5</v>
      </c>
      <c r="BN376" s="33"/>
      <c r="BO376" s="37">
        <v>906</v>
      </c>
      <c r="BP376" s="38">
        <v>0.90649999999999997</v>
      </c>
      <c r="BQ376" s="39">
        <v>24.59</v>
      </c>
      <c r="BR376" s="520"/>
    </row>
    <row r="377" spans="37:70">
      <c r="AK377" s="2482"/>
      <c r="BG377" s="30">
        <v>25.7</v>
      </c>
      <c r="BH377" s="31">
        <v>0.90010000000000001</v>
      </c>
      <c r="BI377" s="32">
        <v>899.6</v>
      </c>
      <c r="BJ377" s="33"/>
      <c r="BK377" s="197">
        <v>0.90700000000000003</v>
      </c>
      <c r="BL377" s="200">
        <v>24.51</v>
      </c>
      <c r="BM377" s="199">
        <v>906.5</v>
      </c>
      <c r="BN377" s="33"/>
      <c r="BO377" s="37">
        <v>907</v>
      </c>
      <c r="BP377" s="38">
        <v>0.90749999999999997</v>
      </c>
      <c r="BQ377" s="39">
        <v>24.42</v>
      </c>
      <c r="BR377" s="520"/>
    </row>
    <row r="378" spans="37:70">
      <c r="AK378" s="2482"/>
      <c r="BG378" s="30">
        <v>25.8</v>
      </c>
      <c r="BH378" s="31">
        <v>0.89959999999999996</v>
      </c>
      <c r="BI378" s="32">
        <v>899.1</v>
      </c>
      <c r="BJ378" s="33"/>
      <c r="BK378" s="197">
        <v>0.90800000000000003</v>
      </c>
      <c r="BL378" s="200">
        <v>24.34</v>
      </c>
      <c r="BM378" s="199">
        <v>907.5</v>
      </c>
      <c r="BN378" s="33"/>
      <c r="BO378" s="37">
        <v>908</v>
      </c>
      <c r="BP378" s="38">
        <v>0.90849999999999997</v>
      </c>
      <c r="BQ378" s="39">
        <v>24.25</v>
      </c>
      <c r="BR378" s="520"/>
    </row>
    <row r="379" spans="37:70">
      <c r="AK379" s="2482"/>
      <c r="BG379" s="30">
        <v>25.9</v>
      </c>
      <c r="BH379" s="31">
        <v>0.89900000000000002</v>
      </c>
      <c r="BI379" s="32">
        <v>898.5</v>
      </c>
      <c r="BJ379" s="33"/>
      <c r="BK379" s="197">
        <v>0.90900000000000003</v>
      </c>
      <c r="BL379" s="200">
        <v>24.17</v>
      </c>
      <c r="BM379" s="199">
        <v>908.5</v>
      </c>
      <c r="BN379" s="33"/>
      <c r="BO379" s="37">
        <v>909</v>
      </c>
      <c r="BP379" s="38">
        <v>0.90949999999999998</v>
      </c>
      <c r="BQ379" s="39">
        <v>24.08</v>
      </c>
      <c r="BR379" s="520"/>
    </row>
    <row r="380" spans="37:70">
      <c r="AK380" s="2482"/>
      <c r="BG380" s="30">
        <v>26</v>
      </c>
      <c r="BH380" s="31">
        <v>0.89839999999999998</v>
      </c>
      <c r="BI380" s="32">
        <v>897.9</v>
      </c>
      <c r="BJ380" s="33"/>
      <c r="BK380" s="197">
        <v>0.91</v>
      </c>
      <c r="BL380" s="200">
        <v>23.99</v>
      </c>
      <c r="BM380" s="199">
        <v>909.5</v>
      </c>
      <c r="BN380" s="33"/>
      <c r="BO380" s="37">
        <v>910</v>
      </c>
      <c r="BP380" s="38">
        <v>0.91049999999999998</v>
      </c>
      <c r="BQ380" s="39">
        <v>23.91</v>
      </c>
      <c r="BR380" s="520"/>
    </row>
    <row r="381" spans="37:70">
      <c r="AK381" s="2482"/>
      <c r="BG381" s="30">
        <v>26.1</v>
      </c>
      <c r="BH381" s="31">
        <v>0.89780000000000004</v>
      </c>
      <c r="BI381" s="32">
        <v>897.3</v>
      </c>
      <c r="BJ381" s="33"/>
      <c r="BK381" s="197">
        <v>0.91100000000000003</v>
      </c>
      <c r="BL381" s="200">
        <v>23.82</v>
      </c>
      <c r="BM381" s="199">
        <v>910.5</v>
      </c>
      <c r="BN381" s="33"/>
      <c r="BO381" s="37">
        <v>911</v>
      </c>
      <c r="BP381" s="38">
        <v>0.91149999999999998</v>
      </c>
      <c r="BQ381" s="39">
        <v>23.74</v>
      </c>
      <c r="BR381" s="520"/>
    </row>
    <row r="382" spans="37:70">
      <c r="AK382" s="2482"/>
      <c r="BG382" s="30">
        <v>26.2</v>
      </c>
      <c r="BH382" s="31">
        <v>0.89729999999999999</v>
      </c>
      <c r="BI382" s="32">
        <v>896.8</v>
      </c>
      <c r="BJ382" s="33"/>
      <c r="BK382" s="197">
        <v>0.91200000000000003</v>
      </c>
      <c r="BL382" s="200">
        <v>23.65</v>
      </c>
      <c r="BM382" s="199">
        <v>911.5</v>
      </c>
      <c r="BN382" s="33"/>
      <c r="BO382" s="37">
        <v>912</v>
      </c>
      <c r="BP382" s="38">
        <v>0.91249999999999998</v>
      </c>
      <c r="BQ382" s="39">
        <v>23.57</v>
      </c>
      <c r="BR382" s="520"/>
    </row>
    <row r="383" spans="37:70">
      <c r="AK383" s="2482"/>
      <c r="BG383" s="30">
        <v>26.3</v>
      </c>
      <c r="BH383" s="31">
        <v>0.89670000000000005</v>
      </c>
      <c r="BI383" s="32">
        <v>896.2</v>
      </c>
      <c r="BJ383" s="33"/>
      <c r="BK383" s="197">
        <v>0.91300000000000003</v>
      </c>
      <c r="BL383" s="200">
        <v>23.48</v>
      </c>
      <c r="BM383" s="199">
        <v>912.5</v>
      </c>
      <c r="BN383" s="33"/>
      <c r="BO383" s="37">
        <v>913</v>
      </c>
      <c r="BP383" s="38">
        <v>0.91349999999999998</v>
      </c>
      <c r="BQ383" s="39">
        <v>23.4</v>
      </c>
      <c r="BR383" s="520"/>
    </row>
    <row r="384" spans="37:70">
      <c r="AK384" s="2482"/>
      <c r="BG384" s="30">
        <v>26.4</v>
      </c>
      <c r="BH384" s="31">
        <v>0.89610000000000001</v>
      </c>
      <c r="BI384" s="32">
        <v>895.6</v>
      </c>
      <c r="BJ384" s="33"/>
      <c r="BK384" s="197">
        <v>0.91400000000000003</v>
      </c>
      <c r="BL384" s="200">
        <v>23.31</v>
      </c>
      <c r="BM384" s="199">
        <v>913.5</v>
      </c>
      <c r="BN384" s="33"/>
      <c r="BO384" s="37">
        <v>914</v>
      </c>
      <c r="BP384" s="38">
        <v>0.91449999999999998</v>
      </c>
      <c r="BQ384" s="39">
        <v>23.23</v>
      </c>
      <c r="BR384" s="520"/>
    </row>
    <row r="385" spans="37:70">
      <c r="AK385" s="2482"/>
      <c r="BG385" s="30">
        <v>26.5</v>
      </c>
      <c r="BH385" s="31">
        <v>0.89559999999999995</v>
      </c>
      <c r="BI385" s="32">
        <v>895.1</v>
      </c>
      <c r="BJ385" s="33"/>
      <c r="BK385" s="197">
        <v>0.91500000000000004</v>
      </c>
      <c r="BL385" s="200">
        <v>23.14</v>
      </c>
      <c r="BM385" s="199">
        <v>914.5</v>
      </c>
      <c r="BN385" s="33"/>
      <c r="BO385" s="37">
        <v>915</v>
      </c>
      <c r="BP385" s="38">
        <v>0.91549999999999998</v>
      </c>
      <c r="BQ385" s="39">
        <v>23.06</v>
      </c>
      <c r="BR385" s="520"/>
    </row>
    <row r="386" spans="37:70">
      <c r="AK386" s="2482"/>
      <c r="BG386" s="30">
        <v>26.6</v>
      </c>
      <c r="BH386" s="31">
        <v>0.89500000000000002</v>
      </c>
      <c r="BI386" s="32">
        <v>894.5</v>
      </c>
      <c r="BJ386" s="33"/>
      <c r="BK386" s="197">
        <v>0.91600000000000004</v>
      </c>
      <c r="BL386" s="200">
        <v>22.98</v>
      </c>
      <c r="BM386" s="199">
        <v>915.5</v>
      </c>
      <c r="BN386" s="33"/>
      <c r="BO386" s="37">
        <v>916</v>
      </c>
      <c r="BP386" s="38">
        <v>0.91649999999999998</v>
      </c>
      <c r="BQ386" s="39">
        <v>22.89</v>
      </c>
      <c r="BR386" s="520"/>
    </row>
    <row r="387" spans="37:70">
      <c r="AK387" s="2482"/>
      <c r="BG387" s="30">
        <v>26.7</v>
      </c>
      <c r="BH387" s="31">
        <v>0.89439999999999997</v>
      </c>
      <c r="BI387" s="32">
        <v>893.9</v>
      </c>
      <c r="BJ387" s="33"/>
      <c r="BK387" s="197">
        <v>0.91700000000000004</v>
      </c>
      <c r="BL387" s="200">
        <v>22.81</v>
      </c>
      <c r="BM387" s="199">
        <v>916.5</v>
      </c>
      <c r="BN387" s="33"/>
      <c r="BO387" s="37">
        <v>917</v>
      </c>
      <c r="BP387" s="38">
        <v>0.91749999999999998</v>
      </c>
      <c r="BQ387" s="39">
        <v>22.72</v>
      </c>
      <c r="BR387" s="520"/>
    </row>
    <row r="388" spans="37:70">
      <c r="AK388" s="2482"/>
      <c r="BG388" s="30">
        <v>26.8</v>
      </c>
      <c r="BH388" s="31">
        <v>0.89390000000000003</v>
      </c>
      <c r="BI388" s="32">
        <v>893.4</v>
      </c>
      <c r="BJ388" s="33"/>
      <c r="BK388" s="197">
        <v>0.91800000000000004</v>
      </c>
      <c r="BL388" s="200">
        <v>22.64</v>
      </c>
      <c r="BM388" s="199">
        <v>917.5</v>
      </c>
      <c r="BN388" s="33"/>
      <c r="BO388" s="37">
        <v>918</v>
      </c>
      <c r="BP388" s="38">
        <v>0.91849999999999998</v>
      </c>
      <c r="BQ388" s="39">
        <v>22.55</v>
      </c>
      <c r="BR388" s="520"/>
    </row>
    <row r="389" spans="37:70">
      <c r="AK389" s="2482"/>
      <c r="BG389" s="30">
        <v>26.9</v>
      </c>
      <c r="BH389" s="31">
        <v>0.89329999999999998</v>
      </c>
      <c r="BI389" s="32">
        <v>892.8</v>
      </c>
      <c r="BJ389" s="33"/>
      <c r="BK389" s="197">
        <v>0.91900000000000004</v>
      </c>
      <c r="BL389" s="200">
        <v>22.47</v>
      </c>
      <c r="BM389" s="199">
        <v>918.5</v>
      </c>
      <c r="BN389" s="33"/>
      <c r="BO389" s="37">
        <v>919</v>
      </c>
      <c r="BP389" s="38">
        <v>0.91949999999999998</v>
      </c>
      <c r="BQ389" s="39">
        <v>22.38</v>
      </c>
      <c r="BR389" s="520"/>
    </row>
    <row r="390" spans="37:70">
      <c r="AK390" s="2482"/>
      <c r="BG390" s="30">
        <v>27</v>
      </c>
      <c r="BH390" s="31">
        <v>0.89270000000000005</v>
      </c>
      <c r="BI390" s="32">
        <v>892.2</v>
      </c>
      <c r="BJ390" s="33"/>
      <c r="BK390" s="197">
        <v>0.92</v>
      </c>
      <c r="BL390" s="200">
        <v>22.3</v>
      </c>
      <c r="BM390" s="199">
        <v>919.5</v>
      </c>
      <c r="BN390" s="33"/>
      <c r="BO390" s="37">
        <v>920</v>
      </c>
      <c r="BP390" s="38">
        <v>0.92049999999999998</v>
      </c>
      <c r="BQ390" s="39">
        <v>22.22</v>
      </c>
      <c r="BR390" s="520"/>
    </row>
    <row r="391" spans="37:70">
      <c r="AK391" s="2482"/>
      <c r="BG391" s="30">
        <v>27.1</v>
      </c>
      <c r="BH391" s="31">
        <v>0.89219999999999999</v>
      </c>
      <c r="BI391" s="32">
        <v>891.7</v>
      </c>
      <c r="BJ391" s="33"/>
      <c r="BK391" s="197">
        <v>0.92100000000000004</v>
      </c>
      <c r="BL391" s="200">
        <v>22.14</v>
      </c>
      <c r="BM391" s="199">
        <v>920.5</v>
      </c>
      <c r="BN391" s="33"/>
      <c r="BO391" s="37">
        <v>921</v>
      </c>
      <c r="BP391" s="38">
        <v>0.92149999999999999</v>
      </c>
      <c r="BQ391" s="39">
        <v>22.05</v>
      </c>
      <c r="BR391" s="520"/>
    </row>
    <row r="392" spans="37:70">
      <c r="AK392" s="2482"/>
      <c r="BG392" s="30">
        <v>27.2</v>
      </c>
      <c r="BH392" s="31">
        <v>0.89159999999999995</v>
      </c>
      <c r="BI392" s="32">
        <v>891.1</v>
      </c>
      <c r="BJ392" s="33"/>
      <c r="BK392" s="197">
        <v>0.92200000000000004</v>
      </c>
      <c r="BL392" s="200">
        <v>21.97</v>
      </c>
      <c r="BM392" s="199">
        <v>921.5</v>
      </c>
      <c r="BN392" s="33"/>
      <c r="BO392" s="37">
        <v>922</v>
      </c>
      <c r="BP392" s="38">
        <v>0.92249999999999999</v>
      </c>
      <c r="BQ392" s="39">
        <v>21.88</v>
      </c>
      <c r="BR392" s="520"/>
    </row>
    <row r="393" spans="37:70">
      <c r="AK393" s="2482"/>
      <c r="BG393" s="30">
        <v>27.3</v>
      </c>
      <c r="BH393" s="31">
        <v>0.8911</v>
      </c>
      <c r="BI393" s="32">
        <v>890.6</v>
      </c>
      <c r="BJ393" s="33"/>
      <c r="BK393" s="197">
        <v>0.92300000000000004</v>
      </c>
      <c r="BL393" s="200">
        <v>21.8</v>
      </c>
      <c r="BM393" s="199">
        <v>922.5</v>
      </c>
      <c r="BN393" s="33"/>
      <c r="BO393" s="37">
        <v>923</v>
      </c>
      <c r="BP393" s="38">
        <v>0.92349999999999999</v>
      </c>
      <c r="BQ393" s="39">
        <v>21.72</v>
      </c>
      <c r="BR393" s="520"/>
    </row>
    <row r="394" spans="37:70">
      <c r="AK394" s="2482"/>
      <c r="BG394" s="30">
        <v>27.4</v>
      </c>
      <c r="BH394" s="31">
        <v>0.89049999999999996</v>
      </c>
      <c r="BI394" s="32">
        <v>890</v>
      </c>
      <c r="BJ394" s="33"/>
      <c r="BK394" s="197">
        <v>0.92400000000000004</v>
      </c>
      <c r="BL394" s="200">
        <v>21.64</v>
      </c>
      <c r="BM394" s="199">
        <v>923.5</v>
      </c>
      <c r="BN394" s="33"/>
      <c r="BO394" s="37">
        <v>924</v>
      </c>
      <c r="BP394" s="38">
        <v>0.92449999999999999</v>
      </c>
      <c r="BQ394" s="39">
        <v>21.55</v>
      </c>
      <c r="BR394" s="520"/>
    </row>
    <row r="395" spans="37:70">
      <c r="AK395" s="2482"/>
      <c r="BG395" s="30">
        <v>27.5</v>
      </c>
      <c r="BH395" s="31">
        <v>0.88990000000000002</v>
      </c>
      <c r="BI395" s="32">
        <v>889.4</v>
      </c>
      <c r="BJ395" s="33"/>
      <c r="BK395" s="197">
        <v>0.92500000000000004</v>
      </c>
      <c r="BL395" s="200">
        <v>21.47</v>
      </c>
      <c r="BM395" s="199">
        <v>924.5</v>
      </c>
      <c r="BN395" s="33"/>
      <c r="BO395" s="37">
        <v>925</v>
      </c>
      <c r="BP395" s="38">
        <v>0.92549999999999999</v>
      </c>
      <c r="BQ395" s="39">
        <v>21.39</v>
      </c>
      <c r="BR395" s="520"/>
    </row>
    <row r="396" spans="37:70">
      <c r="AK396" s="2482"/>
      <c r="BG396" s="30">
        <v>27.6</v>
      </c>
      <c r="BH396" s="31">
        <v>0.88939999999999997</v>
      </c>
      <c r="BI396" s="32">
        <v>888.9</v>
      </c>
      <c r="BJ396" s="33"/>
      <c r="BK396" s="197">
        <v>0.92600000000000005</v>
      </c>
      <c r="BL396" s="200">
        <v>21.31</v>
      </c>
      <c r="BM396" s="199">
        <v>925.5</v>
      </c>
      <c r="BN396" s="33"/>
      <c r="BO396" s="37">
        <v>926</v>
      </c>
      <c r="BP396" s="38">
        <v>0.92649999999999999</v>
      </c>
      <c r="BQ396" s="39">
        <v>21.22</v>
      </c>
      <c r="BR396" s="520"/>
    </row>
    <row r="397" spans="37:70">
      <c r="AK397" s="2482"/>
      <c r="BG397" s="30">
        <v>27.7</v>
      </c>
      <c r="BH397" s="31">
        <v>0.88880000000000003</v>
      </c>
      <c r="BI397" s="32">
        <v>888.3</v>
      </c>
      <c r="BJ397" s="33"/>
      <c r="BK397" s="197">
        <v>0.92700000000000005</v>
      </c>
      <c r="BL397" s="200">
        <v>21.14</v>
      </c>
      <c r="BM397" s="199">
        <v>926.5</v>
      </c>
      <c r="BN397" s="33"/>
      <c r="BO397" s="37">
        <v>927</v>
      </c>
      <c r="BP397" s="38">
        <v>0.92749999999999999</v>
      </c>
      <c r="BQ397" s="39">
        <v>21.06</v>
      </c>
      <c r="BR397" s="520"/>
    </row>
    <row r="398" spans="37:70">
      <c r="AK398" s="2482"/>
      <c r="BG398" s="30">
        <v>27.8</v>
      </c>
      <c r="BH398" s="31">
        <v>0.88829999999999998</v>
      </c>
      <c r="BI398" s="32">
        <v>887.8</v>
      </c>
      <c r="BJ398" s="33"/>
      <c r="BK398" s="197">
        <v>0.92800000000000005</v>
      </c>
      <c r="BL398" s="200">
        <v>20.98</v>
      </c>
      <c r="BM398" s="199">
        <v>927.5</v>
      </c>
      <c r="BN398" s="33"/>
      <c r="BO398" s="37">
        <v>928</v>
      </c>
      <c r="BP398" s="38">
        <v>0.92849999999999999</v>
      </c>
      <c r="BQ398" s="39">
        <v>20.89</v>
      </c>
      <c r="BR398" s="520"/>
    </row>
    <row r="399" spans="37:70">
      <c r="AK399" s="2482"/>
      <c r="BG399" s="30">
        <v>27.9</v>
      </c>
      <c r="BH399" s="31">
        <v>0.88770000000000004</v>
      </c>
      <c r="BI399" s="32">
        <v>887.2</v>
      </c>
      <c r="BJ399" s="33"/>
      <c r="BK399" s="197">
        <v>0.92900000000000005</v>
      </c>
      <c r="BL399" s="200">
        <v>20.81</v>
      </c>
      <c r="BM399" s="199">
        <v>928.5</v>
      </c>
      <c r="BN399" s="33"/>
      <c r="BO399" s="37">
        <v>929</v>
      </c>
      <c r="BP399" s="38">
        <v>0.92949999999999999</v>
      </c>
      <c r="BQ399" s="39">
        <v>20.73</v>
      </c>
      <c r="BR399" s="520"/>
    </row>
    <row r="400" spans="37:70">
      <c r="AK400" s="2482"/>
      <c r="BG400" s="30">
        <v>28</v>
      </c>
      <c r="BH400" s="31">
        <v>0.8871</v>
      </c>
      <c r="BI400" s="32">
        <v>886.7</v>
      </c>
      <c r="BJ400" s="33"/>
      <c r="BK400" s="197">
        <v>0.93</v>
      </c>
      <c r="BL400" s="200">
        <v>20.65</v>
      </c>
      <c r="BM400" s="199">
        <v>929.5</v>
      </c>
      <c r="BN400" s="33"/>
      <c r="BO400" s="37">
        <v>930</v>
      </c>
      <c r="BP400" s="38">
        <v>0.93049999999999999</v>
      </c>
      <c r="BQ400" s="39">
        <v>20.56</v>
      </c>
      <c r="BR400" s="520"/>
    </row>
    <row r="401" spans="37:70">
      <c r="AK401" s="2482"/>
      <c r="BG401" s="30">
        <v>28.1</v>
      </c>
      <c r="BH401" s="31">
        <v>0.88660000000000005</v>
      </c>
      <c r="BI401" s="32">
        <v>886.1</v>
      </c>
      <c r="BJ401" s="33"/>
      <c r="BK401" s="197">
        <v>0.93100000000000005</v>
      </c>
      <c r="BL401" s="200">
        <v>20.49</v>
      </c>
      <c r="BM401" s="199">
        <v>930.5</v>
      </c>
      <c r="BN401" s="33"/>
      <c r="BO401" s="37">
        <v>931</v>
      </c>
      <c r="BP401" s="38">
        <v>0.93149999999999999</v>
      </c>
      <c r="BQ401" s="39">
        <v>20.399999999999999</v>
      </c>
      <c r="BR401" s="520"/>
    </row>
    <row r="402" spans="37:70">
      <c r="AK402" s="2482"/>
      <c r="BG402" s="30">
        <v>28.2</v>
      </c>
      <c r="BH402" s="31">
        <v>0.88600000000000001</v>
      </c>
      <c r="BI402" s="32">
        <v>885.5</v>
      </c>
      <c r="BJ402" s="33"/>
      <c r="BK402" s="197">
        <v>0.93200000000000005</v>
      </c>
      <c r="BL402" s="200">
        <v>20.32</v>
      </c>
      <c r="BM402" s="199">
        <v>931.5</v>
      </c>
      <c r="BN402" s="33"/>
      <c r="BO402" s="37">
        <v>932</v>
      </c>
      <c r="BP402" s="38">
        <v>0.9325</v>
      </c>
      <c r="BQ402" s="39">
        <v>20.239999999999998</v>
      </c>
      <c r="BR402" s="520"/>
    </row>
    <row r="403" spans="37:70">
      <c r="AK403" s="2482"/>
      <c r="BG403" s="30">
        <v>28.3</v>
      </c>
      <c r="BH403" s="31">
        <v>0.88549999999999995</v>
      </c>
      <c r="BI403" s="32">
        <v>885</v>
      </c>
      <c r="BJ403" s="33"/>
      <c r="BK403" s="197">
        <v>0.93300000000000005</v>
      </c>
      <c r="BL403" s="200">
        <v>20.16</v>
      </c>
      <c r="BM403" s="199">
        <v>932.5</v>
      </c>
      <c r="BN403" s="33"/>
      <c r="BO403" s="37">
        <v>933</v>
      </c>
      <c r="BP403" s="38">
        <v>0.9335</v>
      </c>
      <c r="BQ403" s="39">
        <v>20.07</v>
      </c>
      <c r="BR403" s="520"/>
    </row>
    <row r="404" spans="37:70">
      <c r="AK404" s="2482"/>
      <c r="BG404" s="30">
        <v>28.4</v>
      </c>
      <c r="BH404" s="31">
        <v>0.88490000000000002</v>
      </c>
      <c r="BI404" s="32">
        <v>884.4</v>
      </c>
      <c r="BJ404" s="33"/>
      <c r="BK404" s="197">
        <v>0.93400000000000005</v>
      </c>
      <c r="BL404" s="200">
        <v>20</v>
      </c>
      <c r="BM404" s="199">
        <v>933.5</v>
      </c>
      <c r="BN404" s="33"/>
      <c r="BO404" s="37">
        <v>934</v>
      </c>
      <c r="BP404" s="38">
        <v>0.9345</v>
      </c>
      <c r="BQ404" s="39">
        <v>19.91</v>
      </c>
      <c r="BR404" s="520"/>
    </row>
    <row r="405" spans="37:70">
      <c r="AK405" s="2482"/>
      <c r="BG405" s="30">
        <v>28.5</v>
      </c>
      <c r="BH405" s="31">
        <v>0.88439999999999996</v>
      </c>
      <c r="BI405" s="32">
        <v>883.9</v>
      </c>
      <c r="BJ405" s="33"/>
      <c r="BK405" s="197">
        <v>0.93500000000000005</v>
      </c>
      <c r="BL405" s="200">
        <v>19.84</v>
      </c>
      <c r="BM405" s="199">
        <v>934.5</v>
      </c>
      <c r="BN405" s="33"/>
      <c r="BO405" s="37">
        <v>935</v>
      </c>
      <c r="BP405" s="38">
        <v>0.9355</v>
      </c>
      <c r="BQ405" s="39">
        <v>19.75</v>
      </c>
      <c r="BR405" s="520"/>
    </row>
    <row r="406" spans="37:70">
      <c r="AK406" s="2482"/>
      <c r="BG406" s="30">
        <v>28.6</v>
      </c>
      <c r="BH406" s="31">
        <v>0.88380000000000003</v>
      </c>
      <c r="BI406" s="32">
        <v>883.3</v>
      </c>
      <c r="BJ406" s="33"/>
      <c r="BK406" s="197">
        <v>0.93600000000000005</v>
      </c>
      <c r="BL406" s="200">
        <v>19.68</v>
      </c>
      <c r="BM406" s="199">
        <v>935.5</v>
      </c>
      <c r="BN406" s="33"/>
      <c r="BO406" s="37">
        <v>936</v>
      </c>
      <c r="BP406" s="38">
        <v>0.9365</v>
      </c>
      <c r="BQ406" s="39">
        <v>19.59</v>
      </c>
      <c r="BR406" s="520"/>
    </row>
    <row r="407" spans="37:70">
      <c r="AK407" s="2482"/>
      <c r="BG407" s="30">
        <v>28.7</v>
      </c>
      <c r="BH407" s="31">
        <v>0.88329999999999997</v>
      </c>
      <c r="BI407" s="32">
        <v>882.8</v>
      </c>
      <c r="BJ407" s="33"/>
      <c r="BK407" s="197">
        <v>0.93700000000000006</v>
      </c>
      <c r="BL407" s="200">
        <v>19.510000000000002</v>
      </c>
      <c r="BM407" s="199">
        <v>936.5</v>
      </c>
      <c r="BN407" s="33"/>
      <c r="BO407" s="37">
        <v>937</v>
      </c>
      <c r="BP407" s="38">
        <v>0.9375</v>
      </c>
      <c r="BQ407" s="39">
        <v>19.43</v>
      </c>
      <c r="BR407" s="520"/>
    </row>
    <row r="408" spans="37:70">
      <c r="AK408" s="2482"/>
      <c r="BG408" s="30">
        <v>28.8</v>
      </c>
      <c r="BH408" s="31">
        <v>0.88270000000000004</v>
      </c>
      <c r="BI408" s="32">
        <v>882.2</v>
      </c>
      <c r="BJ408" s="33"/>
      <c r="BK408" s="197">
        <v>0.93799999999999994</v>
      </c>
      <c r="BL408" s="200">
        <v>19.350000000000001</v>
      </c>
      <c r="BM408" s="199">
        <v>937.5</v>
      </c>
      <c r="BN408" s="33"/>
      <c r="BO408" s="37">
        <v>938</v>
      </c>
      <c r="BP408" s="38">
        <v>0.9385</v>
      </c>
      <c r="BQ408" s="39">
        <v>19.27</v>
      </c>
      <c r="BR408" s="520"/>
    </row>
    <row r="409" spans="37:70">
      <c r="AK409" s="2482"/>
      <c r="BG409" s="30">
        <v>28.9</v>
      </c>
      <c r="BH409" s="31">
        <v>0.88219999999999998</v>
      </c>
      <c r="BI409" s="32">
        <v>881.7</v>
      </c>
      <c r="BJ409" s="33"/>
      <c r="BK409" s="197">
        <v>0.93899999999999995</v>
      </c>
      <c r="BL409" s="200">
        <v>19.190000000000001</v>
      </c>
      <c r="BM409" s="199">
        <v>938.5</v>
      </c>
      <c r="BN409" s="33"/>
      <c r="BO409" s="37">
        <v>939</v>
      </c>
      <c r="BP409" s="38">
        <v>0.9395</v>
      </c>
      <c r="BQ409" s="39">
        <v>19.100000000000001</v>
      </c>
      <c r="BR409" s="520"/>
    </row>
    <row r="410" spans="37:70">
      <c r="AK410" s="2482"/>
      <c r="BG410" s="30">
        <v>29</v>
      </c>
      <c r="BH410" s="31">
        <v>0.88160000000000005</v>
      </c>
      <c r="BI410" s="32">
        <v>881.1</v>
      </c>
      <c r="BJ410" s="33"/>
      <c r="BK410" s="197">
        <v>0.94</v>
      </c>
      <c r="BL410" s="200">
        <v>19.03</v>
      </c>
      <c r="BM410" s="199">
        <v>939.5</v>
      </c>
      <c r="BN410" s="33"/>
      <c r="BO410" s="37">
        <v>940</v>
      </c>
      <c r="BP410" s="38">
        <v>0.9405</v>
      </c>
      <c r="BQ410" s="39">
        <v>18.940000000000001</v>
      </c>
      <c r="BR410" s="520"/>
    </row>
    <row r="411" spans="37:70">
      <c r="AK411" s="2482"/>
      <c r="BG411" s="30">
        <v>29.1</v>
      </c>
      <c r="BH411" s="31">
        <v>0.88109999999999999</v>
      </c>
      <c r="BI411" s="32">
        <v>880.6</v>
      </c>
      <c r="BJ411" s="33"/>
      <c r="BK411" s="197">
        <v>0.94099999999999995</v>
      </c>
      <c r="BL411" s="200">
        <v>18.87</v>
      </c>
      <c r="BM411" s="199">
        <v>940.5</v>
      </c>
      <c r="BN411" s="33"/>
      <c r="BO411" s="37">
        <v>941</v>
      </c>
      <c r="BP411" s="38">
        <v>0.9415</v>
      </c>
      <c r="BQ411" s="39">
        <v>18.78</v>
      </c>
      <c r="BR411" s="520"/>
    </row>
    <row r="412" spans="37:70">
      <c r="AK412" s="2482"/>
      <c r="BG412" s="30">
        <v>29.2</v>
      </c>
      <c r="BH412" s="31">
        <v>0.88049999999999995</v>
      </c>
      <c r="BI412" s="32">
        <v>880</v>
      </c>
      <c r="BJ412" s="33"/>
      <c r="BK412" s="197">
        <v>0.94199999999999995</v>
      </c>
      <c r="BL412" s="200">
        <v>18.71</v>
      </c>
      <c r="BM412" s="199">
        <v>941.4</v>
      </c>
      <c r="BN412" s="33"/>
      <c r="BO412" s="37">
        <v>942</v>
      </c>
      <c r="BP412" s="38">
        <v>0.94259999999999999</v>
      </c>
      <c r="BQ412" s="39">
        <v>18.62</v>
      </c>
      <c r="BR412" s="520"/>
    </row>
    <row r="413" spans="37:70">
      <c r="AK413" s="2482"/>
      <c r="BG413" s="30">
        <v>29.3</v>
      </c>
      <c r="BH413" s="31">
        <v>0.88</v>
      </c>
      <c r="BI413" s="32">
        <v>879.5</v>
      </c>
      <c r="BJ413" s="33"/>
      <c r="BK413" s="197">
        <v>0.94299999999999995</v>
      </c>
      <c r="BL413" s="200">
        <v>18.55</v>
      </c>
      <c r="BM413" s="199">
        <v>942.4</v>
      </c>
      <c r="BN413" s="33"/>
      <c r="BO413" s="37">
        <v>943</v>
      </c>
      <c r="BP413" s="38">
        <v>0.94359999999999999</v>
      </c>
      <c r="BQ413" s="39">
        <v>18.47</v>
      </c>
      <c r="BR413" s="520"/>
    </row>
    <row r="414" spans="37:70">
      <c r="AK414" s="2482"/>
      <c r="BG414" s="30">
        <v>29.4</v>
      </c>
      <c r="BH414" s="31">
        <v>0.87939999999999996</v>
      </c>
      <c r="BI414" s="32">
        <v>878.9</v>
      </c>
      <c r="BJ414" s="33"/>
      <c r="BK414" s="197">
        <v>0.94399999999999995</v>
      </c>
      <c r="BL414" s="200">
        <v>18.39</v>
      </c>
      <c r="BM414" s="199">
        <v>943.4</v>
      </c>
      <c r="BN414" s="33"/>
      <c r="BO414" s="37">
        <v>944</v>
      </c>
      <c r="BP414" s="38">
        <v>0.9446</v>
      </c>
      <c r="BQ414" s="39">
        <v>18.309999999999999</v>
      </c>
      <c r="BR414" s="520"/>
    </row>
    <row r="415" spans="37:70">
      <c r="AK415" s="2482"/>
      <c r="BG415" s="30">
        <v>29.5</v>
      </c>
      <c r="BH415" s="31">
        <v>0.87890000000000001</v>
      </c>
      <c r="BI415" s="32">
        <v>878.4</v>
      </c>
      <c r="BJ415" s="33"/>
      <c r="BK415" s="197">
        <v>0.94499999999999995</v>
      </c>
      <c r="BL415" s="200">
        <v>18.239999999999998</v>
      </c>
      <c r="BM415" s="199">
        <v>944.4</v>
      </c>
      <c r="BN415" s="33"/>
      <c r="BO415" s="37">
        <v>945</v>
      </c>
      <c r="BP415" s="38">
        <v>0.9456</v>
      </c>
      <c r="BQ415" s="39">
        <v>18.149999999999999</v>
      </c>
      <c r="BR415" s="520"/>
    </row>
    <row r="416" spans="37:70">
      <c r="AK416" s="2482"/>
      <c r="BG416" s="30">
        <v>29.6</v>
      </c>
      <c r="BH416" s="31">
        <v>0.87829999999999997</v>
      </c>
      <c r="BI416" s="32">
        <v>877.9</v>
      </c>
      <c r="BJ416" s="33"/>
      <c r="BK416" s="197">
        <v>0.94599999999999995</v>
      </c>
      <c r="BL416" s="200">
        <v>18.079999999999998</v>
      </c>
      <c r="BM416" s="199">
        <v>945.4</v>
      </c>
      <c r="BN416" s="33"/>
      <c r="BO416" s="37">
        <v>946</v>
      </c>
      <c r="BP416" s="38">
        <v>0.9466</v>
      </c>
      <c r="BQ416" s="39">
        <v>17.989999999999998</v>
      </c>
      <c r="BR416" s="520"/>
    </row>
    <row r="417" spans="37:70">
      <c r="AK417" s="2482"/>
      <c r="BG417" s="30">
        <v>29.7</v>
      </c>
      <c r="BH417" s="31">
        <v>0.87780000000000002</v>
      </c>
      <c r="BI417" s="32">
        <v>877.3</v>
      </c>
      <c r="BJ417" s="33"/>
      <c r="BK417" s="197">
        <v>0.94699999999999995</v>
      </c>
      <c r="BL417" s="200">
        <v>17.920000000000002</v>
      </c>
      <c r="BM417" s="199">
        <v>946.4</v>
      </c>
      <c r="BN417" s="33"/>
      <c r="BO417" s="37">
        <v>947</v>
      </c>
      <c r="BP417" s="38">
        <v>0.9476</v>
      </c>
      <c r="BQ417" s="39">
        <v>17.829999999999998</v>
      </c>
      <c r="BR417" s="520"/>
    </row>
    <row r="418" spans="37:70">
      <c r="AK418" s="2482"/>
      <c r="BG418" s="30">
        <v>29.8</v>
      </c>
      <c r="BH418" s="31">
        <v>0.87719999999999998</v>
      </c>
      <c r="BI418" s="32">
        <v>876.8</v>
      </c>
      <c r="BJ418" s="33"/>
      <c r="BK418" s="197">
        <v>0.94799999999999995</v>
      </c>
      <c r="BL418" s="200">
        <v>17.760000000000002</v>
      </c>
      <c r="BM418" s="199">
        <v>947.4</v>
      </c>
      <c r="BN418" s="33"/>
      <c r="BO418" s="37">
        <v>948</v>
      </c>
      <c r="BP418" s="38">
        <v>0.9486</v>
      </c>
      <c r="BQ418" s="39">
        <v>17.670000000000002</v>
      </c>
      <c r="BR418" s="520"/>
    </row>
    <row r="419" spans="37:70">
      <c r="AK419" s="2482"/>
      <c r="BG419" s="30">
        <v>29.9</v>
      </c>
      <c r="BH419" s="31">
        <v>0.87670000000000003</v>
      </c>
      <c r="BI419" s="32">
        <v>876.2</v>
      </c>
      <c r="BJ419" s="33"/>
      <c r="BK419" s="197">
        <v>0.94899999999999995</v>
      </c>
      <c r="BL419" s="200">
        <v>17.600000000000001</v>
      </c>
      <c r="BM419" s="199">
        <v>948.4</v>
      </c>
      <c r="BN419" s="33"/>
      <c r="BO419" s="37">
        <v>949</v>
      </c>
      <c r="BP419" s="38">
        <v>0.9496</v>
      </c>
      <c r="BQ419" s="39">
        <v>17.52</v>
      </c>
      <c r="BR419" s="520"/>
    </row>
    <row r="420" spans="37:70">
      <c r="AK420" s="2482"/>
      <c r="BG420" s="30">
        <v>30</v>
      </c>
      <c r="BH420" s="31">
        <v>0.87619999999999998</v>
      </c>
      <c r="BI420" s="32">
        <v>875.7</v>
      </c>
      <c r="BJ420" s="33"/>
      <c r="BK420" s="197">
        <v>0.95</v>
      </c>
      <c r="BL420" s="200">
        <v>17.45</v>
      </c>
      <c r="BM420" s="199">
        <v>949.4</v>
      </c>
      <c r="BN420" s="33"/>
      <c r="BO420" s="37">
        <v>950</v>
      </c>
      <c r="BP420" s="38">
        <v>0.9506</v>
      </c>
      <c r="BQ420" s="39">
        <v>17.36</v>
      </c>
      <c r="BR420" s="520"/>
    </row>
    <row r="421" spans="37:70">
      <c r="AK421" s="2482"/>
      <c r="BG421" s="30">
        <v>30.1</v>
      </c>
      <c r="BH421" s="31">
        <v>0.87560000000000004</v>
      </c>
      <c r="BI421" s="32">
        <v>875.1</v>
      </c>
      <c r="BJ421" s="33"/>
      <c r="BK421" s="197">
        <v>0.95099999999999996</v>
      </c>
      <c r="BL421" s="200">
        <v>17.29</v>
      </c>
      <c r="BM421" s="199">
        <v>950.4</v>
      </c>
      <c r="BN421" s="33"/>
      <c r="BO421" s="37">
        <v>951</v>
      </c>
      <c r="BP421" s="38">
        <v>0.9516</v>
      </c>
      <c r="BQ421" s="39">
        <v>17.2</v>
      </c>
      <c r="BR421" s="520"/>
    </row>
    <row r="422" spans="37:70">
      <c r="AK422" s="2482"/>
      <c r="BG422" s="30">
        <v>30.2</v>
      </c>
      <c r="BH422" s="31">
        <v>0.87509999999999999</v>
      </c>
      <c r="BI422" s="32">
        <v>874.6</v>
      </c>
      <c r="BJ422" s="33"/>
      <c r="BK422" s="197">
        <v>0.95199999999999996</v>
      </c>
      <c r="BL422" s="200">
        <v>17.13</v>
      </c>
      <c r="BM422" s="199">
        <v>951.4</v>
      </c>
      <c r="BN422" s="33"/>
      <c r="BO422" s="37">
        <v>952</v>
      </c>
      <c r="BP422" s="38">
        <v>0.9526</v>
      </c>
      <c r="BQ422" s="39">
        <v>17.05</v>
      </c>
      <c r="BR422" s="520"/>
    </row>
    <row r="423" spans="37:70">
      <c r="AK423" s="2482"/>
      <c r="BG423" s="30">
        <v>30.3</v>
      </c>
      <c r="BH423" s="31">
        <v>0.87450000000000006</v>
      </c>
      <c r="BI423" s="32">
        <v>874.1</v>
      </c>
      <c r="BJ423" s="33"/>
      <c r="BK423" s="197">
        <v>0.95299999999999996</v>
      </c>
      <c r="BL423" s="200">
        <v>16.98</v>
      </c>
      <c r="BM423" s="199">
        <v>952.4</v>
      </c>
      <c r="BN423" s="33"/>
      <c r="BO423" s="37">
        <v>953</v>
      </c>
      <c r="BP423" s="38">
        <v>0.9536</v>
      </c>
      <c r="BQ423" s="39">
        <v>16.89</v>
      </c>
      <c r="BR423" s="520"/>
    </row>
    <row r="424" spans="37:70">
      <c r="AK424" s="2482"/>
      <c r="BG424" s="30">
        <v>30.4</v>
      </c>
      <c r="BH424" s="31">
        <v>0.874</v>
      </c>
      <c r="BI424" s="32">
        <v>873.5</v>
      </c>
      <c r="BJ424" s="33"/>
      <c r="BK424" s="197">
        <v>0.95399999999999996</v>
      </c>
      <c r="BL424" s="200">
        <v>16.82</v>
      </c>
      <c r="BM424" s="199">
        <v>953.4</v>
      </c>
      <c r="BN424" s="33"/>
      <c r="BO424" s="37">
        <v>954</v>
      </c>
      <c r="BP424" s="38">
        <v>0.9546</v>
      </c>
      <c r="BQ424" s="39">
        <v>16.739999999999998</v>
      </c>
      <c r="BR424" s="520"/>
    </row>
    <row r="425" spans="37:70">
      <c r="AK425" s="2482"/>
      <c r="BG425" s="30">
        <v>30.5</v>
      </c>
      <c r="BH425" s="31">
        <v>0.87350000000000005</v>
      </c>
      <c r="BI425" s="32">
        <v>873</v>
      </c>
      <c r="BJ425" s="33"/>
      <c r="BK425" s="197">
        <v>0.95499999999999996</v>
      </c>
      <c r="BL425" s="200">
        <v>16.670000000000002</v>
      </c>
      <c r="BM425" s="199">
        <v>954.4</v>
      </c>
      <c r="BN425" s="33"/>
      <c r="BO425" s="37">
        <v>955</v>
      </c>
      <c r="BP425" s="38">
        <v>0.9556</v>
      </c>
      <c r="BQ425" s="39">
        <v>16.579999999999998</v>
      </c>
      <c r="BR425" s="520"/>
    </row>
    <row r="426" spans="37:70">
      <c r="AK426" s="2482"/>
      <c r="BG426" s="30">
        <v>30.6</v>
      </c>
      <c r="BH426" s="31">
        <v>0.87290000000000001</v>
      </c>
      <c r="BI426" s="32">
        <v>872.4</v>
      </c>
      <c r="BJ426" s="33"/>
      <c r="BK426" s="197">
        <v>0.95599999999999996</v>
      </c>
      <c r="BL426" s="200">
        <v>16.510000000000002</v>
      </c>
      <c r="BM426" s="199">
        <v>955.4</v>
      </c>
      <c r="BN426" s="33"/>
      <c r="BO426" s="37">
        <v>956</v>
      </c>
      <c r="BP426" s="38">
        <v>0.95660000000000001</v>
      </c>
      <c r="BQ426" s="39">
        <v>16.420000000000002</v>
      </c>
      <c r="BR426" s="520"/>
    </row>
    <row r="427" spans="37:70">
      <c r="AK427" s="2482"/>
      <c r="BG427" s="30">
        <v>30.7</v>
      </c>
      <c r="BH427" s="31">
        <v>0.87239999999999995</v>
      </c>
      <c r="BI427" s="32">
        <v>871.9</v>
      </c>
      <c r="BJ427" s="33"/>
      <c r="BK427" s="197">
        <v>0.95699999999999996</v>
      </c>
      <c r="BL427" s="200">
        <v>16.36</v>
      </c>
      <c r="BM427" s="199">
        <v>956.4</v>
      </c>
      <c r="BN427" s="33"/>
      <c r="BO427" s="37">
        <v>957</v>
      </c>
      <c r="BP427" s="38">
        <v>0.95760000000000001</v>
      </c>
      <c r="BQ427" s="39">
        <v>16.27</v>
      </c>
      <c r="BR427" s="520"/>
    </row>
    <row r="428" spans="37:70">
      <c r="AK428" s="2482"/>
      <c r="BG428" s="30">
        <v>30.8</v>
      </c>
      <c r="BH428" s="31">
        <v>0.87180000000000002</v>
      </c>
      <c r="BI428" s="32">
        <v>871.4</v>
      </c>
      <c r="BJ428" s="33"/>
      <c r="BK428" s="197">
        <v>0.95799999999999996</v>
      </c>
      <c r="BL428" s="200">
        <v>16.2</v>
      </c>
      <c r="BM428" s="199">
        <v>957.4</v>
      </c>
      <c r="BN428" s="33"/>
      <c r="BO428" s="37">
        <v>958</v>
      </c>
      <c r="BP428" s="38">
        <v>0.95860000000000001</v>
      </c>
      <c r="BQ428" s="39">
        <v>16.12</v>
      </c>
      <c r="BR428" s="520"/>
    </row>
    <row r="429" spans="37:70">
      <c r="AK429" s="2482"/>
      <c r="BG429" s="30">
        <v>30.9</v>
      </c>
      <c r="BH429" s="31">
        <v>0.87129999999999996</v>
      </c>
      <c r="BI429" s="32">
        <v>870.8</v>
      </c>
      <c r="BJ429" s="33"/>
      <c r="BK429" s="197">
        <v>0.95899999999999996</v>
      </c>
      <c r="BL429" s="200">
        <v>16.05</v>
      </c>
      <c r="BM429" s="199">
        <v>958.4</v>
      </c>
      <c r="BN429" s="33"/>
      <c r="BO429" s="37">
        <v>959</v>
      </c>
      <c r="BP429" s="38">
        <v>0.95960000000000001</v>
      </c>
      <c r="BQ429" s="39">
        <v>15.96</v>
      </c>
      <c r="BR429" s="520"/>
    </row>
    <row r="430" spans="37:70">
      <c r="AK430" s="2482"/>
      <c r="BG430" s="30">
        <v>31</v>
      </c>
      <c r="BH430" s="31">
        <v>0.87080000000000002</v>
      </c>
      <c r="BI430" s="32">
        <v>870.3</v>
      </c>
      <c r="BJ430" s="33"/>
      <c r="BK430" s="197">
        <v>0.96</v>
      </c>
      <c r="BL430" s="200">
        <v>15.9</v>
      </c>
      <c r="BM430" s="199">
        <v>959.4</v>
      </c>
      <c r="BN430" s="33"/>
      <c r="BO430" s="37">
        <v>960</v>
      </c>
      <c r="BP430" s="38">
        <v>0.96060000000000001</v>
      </c>
      <c r="BQ430" s="39">
        <v>15.81</v>
      </c>
      <c r="BR430" s="520"/>
    </row>
    <row r="431" spans="37:70">
      <c r="AK431" s="2482"/>
      <c r="BG431" s="30">
        <v>31.1</v>
      </c>
      <c r="BH431" s="31">
        <v>0.87019999999999997</v>
      </c>
      <c r="BI431" s="32">
        <v>869.8</v>
      </c>
      <c r="BJ431" s="33"/>
      <c r="BK431" s="197">
        <v>0.96099999999999997</v>
      </c>
      <c r="BL431" s="200">
        <v>15.74</v>
      </c>
      <c r="BM431" s="199">
        <v>960.4</v>
      </c>
      <c r="BN431" s="33"/>
      <c r="BO431" s="37">
        <v>961</v>
      </c>
      <c r="BP431" s="38">
        <v>0.96160000000000001</v>
      </c>
      <c r="BQ431" s="39">
        <v>15.65</v>
      </c>
      <c r="BR431" s="520"/>
    </row>
    <row r="432" spans="37:70">
      <c r="AK432" s="2482"/>
      <c r="BG432" s="30">
        <v>31.2</v>
      </c>
      <c r="BH432" s="31">
        <v>0.86970000000000003</v>
      </c>
      <c r="BI432" s="32">
        <v>869.2</v>
      </c>
      <c r="BJ432" s="33"/>
      <c r="BK432" s="197">
        <v>0.96199999999999997</v>
      </c>
      <c r="BL432" s="200">
        <v>15.59</v>
      </c>
      <c r="BM432" s="199">
        <v>961.4</v>
      </c>
      <c r="BN432" s="33"/>
      <c r="BO432" s="37">
        <v>962</v>
      </c>
      <c r="BP432" s="38">
        <v>0.96260000000000001</v>
      </c>
      <c r="BQ432" s="39">
        <v>15.5</v>
      </c>
      <c r="BR432" s="520"/>
    </row>
    <row r="433" spans="37:70">
      <c r="AK433" s="2482"/>
      <c r="BG433" s="30">
        <v>31.3</v>
      </c>
      <c r="BH433" s="31">
        <v>0.86919999999999997</v>
      </c>
      <c r="BI433" s="32">
        <v>868.7</v>
      </c>
      <c r="BJ433" s="33"/>
      <c r="BK433" s="197">
        <v>0.96299999999999997</v>
      </c>
      <c r="BL433" s="200">
        <v>15.44</v>
      </c>
      <c r="BM433" s="199">
        <v>962.4</v>
      </c>
      <c r="BN433" s="33"/>
      <c r="BO433" s="37">
        <v>963</v>
      </c>
      <c r="BP433" s="38">
        <v>0.96360000000000001</v>
      </c>
      <c r="BQ433" s="39">
        <v>15.35</v>
      </c>
      <c r="BR433" s="520"/>
    </row>
    <row r="434" spans="37:70">
      <c r="AK434" s="2482"/>
      <c r="BG434" s="30">
        <v>31.4</v>
      </c>
      <c r="BH434" s="31">
        <v>0.86860000000000004</v>
      </c>
      <c r="BI434" s="32">
        <v>868.2</v>
      </c>
      <c r="BJ434" s="33"/>
      <c r="BK434" s="197">
        <v>0.96399999999999997</v>
      </c>
      <c r="BL434" s="200">
        <v>15.28</v>
      </c>
      <c r="BM434" s="199">
        <v>963.4</v>
      </c>
      <c r="BN434" s="33"/>
      <c r="BO434" s="37">
        <v>964</v>
      </c>
      <c r="BP434" s="38">
        <v>0.96460000000000001</v>
      </c>
      <c r="BQ434" s="39">
        <v>15.2</v>
      </c>
      <c r="BR434" s="520"/>
    </row>
    <row r="435" spans="37:70">
      <c r="AK435" s="2482"/>
      <c r="BG435" s="30">
        <v>31.5</v>
      </c>
      <c r="BH435" s="31">
        <v>0.86809999999999998</v>
      </c>
      <c r="BI435" s="32">
        <v>867.6</v>
      </c>
      <c r="BJ435" s="33"/>
      <c r="BK435" s="197">
        <v>0.96499999999999997</v>
      </c>
      <c r="BL435" s="200">
        <v>15.13</v>
      </c>
      <c r="BM435" s="199">
        <v>964.4</v>
      </c>
      <c r="BN435" s="33"/>
      <c r="BO435" s="37">
        <v>965</v>
      </c>
      <c r="BP435" s="38">
        <v>0.96560000000000001</v>
      </c>
      <c r="BQ435" s="39">
        <v>15.04</v>
      </c>
      <c r="BR435" s="520"/>
    </row>
    <row r="436" spans="37:70">
      <c r="AK436" s="2482"/>
      <c r="BG436" s="30">
        <v>31.6</v>
      </c>
      <c r="BH436" s="31">
        <v>0.86760000000000004</v>
      </c>
      <c r="BI436" s="32">
        <v>867.1</v>
      </c>
      <c r="BJ436" s="33"/>
      <c r="BK436" s="197">
        <v>0.96599999999999997</v>
      </c>
      <c r="BL436" s="200">
        <v>14.98</v>
      </c>
      <c r="BM436" s="199">
        <v>965.4</v>
      </c>
      <c r="BN436" s="33"/>
      <c r="BO436" s="37">
        <v>966</v>
      </c>
      <c r="BP436" s="38">
        <v>0.96660000000000001</v>
      </c>
      <c r="BQ436" s="39">
        <v>14.89</v>
      </c>
      <c r="BR436" s="520"/>
    </row>
    <row r="437" spans="37:70">
      <c r="AK437" s="2482"/>
      <c r="BG437" s="30">
        <v>31.7</v>
      </c>
      <c r="BH437" s="31">
        <v>0.86699999999999999</v>
      </c>
      <c r="BI437" s="32">
        <v>866.6</v>
      </c>
      <c r="BJ437" s="33"/>
      <c r="BK437" s="197">
        <v>0.96699999999999997</v>
      </c>
      <c r="BL437" s="200">
        <v>14.83</v>
      </c>
      <c r="BM437" s="199">
        <v>966.4</v>
      </c>
      <c r="BN437" s="33"/>
      <c r="BO437" s="37">
        <v>967</v>
      </c>
      <c r="BP437" s="38">
        <v>0.96760000000000002</v>
      </c>
      <c r="BQ437" s="39">
        <v>14.74</v>
      </c>
      <c r="BR437" s="520"/>
    </row>
    <row r="438" spans="37:70">
      <c r="AK438" s="2482"/>
      <c r="BG438" s="30">
        <v>31.8</v>
      </c>
      <c r="BH438" s="31">
        <v>0.86650000000000005</v>
      </c>
      <c r="BI438" s="32">
        <v>866</v>
      </c>
      <c r="BJ438" s="33"/>
      <c r="BK438" s="197">
        <v>0.96799999999999997</v>
      </c>
      <c r="BL438" s="200">
        <v>14.68</v>
      </c>
      <c r="BM438" s="199">
        <v>967.4</v>
      </c>
      <c r="BN438" s="33"/>
      <c r="BO438" s="37">
        <v>968</v>
      </c>
      <c r="BP438" s="38">
        <v>0.96860000000000002</v>
      </c>
      <c r="BQ438" s="39">
        <v>14.59</v>
      </c>
      <c r="BR438" s="520"/>
    </row>
    <row r="439" spans="37:70">
      <c r="AK439" s="2482"/>
      <c r="BG439" s="30">
        <v>31.9</v>
      </c>
      <c r="BH439" s="31">
        <v>0.86599999999999999</v>
      </c>
      <c r="BI439" s="32">
        <v>865.5</v>
      </c>
      <c r="BJ439" s="33"/>
      <c r="BK439" s="197">
        <v>0.96899999999999997</v>
      </c>
      <c r="BL439" s="200">
        <v>14.53</v>
      </c>
      <c r="BM439" s="199">
        <v>968.4</v>
      </c>
      <c r="BN439" s="33"/>
      <c r="BO439" s="37">
        <v>969</v>
      </c>
      <c r="BP439" s="38">
        <v>0.96960000000000002</v>
      </c>
      <c r="BQ439" s="39">
        <v>14.44</v>
      </c>
      <c r="BR439" s="520"/>
    </row>
    <row r="440" spans="37:70">
      <c r="AK440" s="2482"/>
      <c r="BG440" s="30">
        <v>32</v>
      </c>
      <c r="BH440" s="31">
        <v>0.86539999999999995</v>
      </c>
      <c r="BI440" s="32">
        <v>865</v>
      </c>
      <c r="BJ440" s="33"/>
      <c r="BK440" s="197">
        <v>0.97</v>
      </c>
      <c r="BL440" s="200">
        <v>14.38</v>
      </c>
      <c r="BM440" s="199">
        <v>969.4</v>
      </c>
      <c r="BN440" s="33"/>
      <c r="BO440" s="37">
        <v>970</v>
      </c>
      <c r="BP440" s="38">
        <v>0.97060000000000002</v>
      </c>
      <c r="BQ440" s="39">
        <v>14.29</v>
      </c>
      <c r="BR440" s="520"/>
    </row>
    <row r="441" spans="37:70">
      <c r="AK441" s="2482"/>
      <c r="BG441" s="30">
        <v>32.1</v>
      </c>
      <c r="BH441" s="31">
        <v>0.8649</v>
      </c>
      <c r="BI441" s="32">
        <v>864.5</v>
      </c>
      <c r="BJ441" s="33"/>
      <c r="BK441" s="197">
        <v>0.97099999999999997</v>
      </c>
      <c r="BL441" s="200">
        <v>14.23</v>
      </c>
      <c r="BM441" s="199">
        <v>970.4</v>
      </c>
      <c r="BN441" s="33"/>
      <c r="BO441" s="37">
        <v>971</v>
      </c>
      <c r="BP441" s="38">
        <v>0.97160000000000002</v>
      </c>
      <c r="BQ441" s="39">
        <v>14.14</v>
      </c>
      <c r="BR441" s="520"/>
    </row>
    <row r="442" spans="37:70">
      <c r="AK442" s="2482"/>
      <c r="BG442" s="30">
        <v>32.200000000000003</v>
      </c>
      <c r="BH442" s="31">
        <v>0.86439999999999995</v>
      </c>
      <c r="BI442" s="32">
        <v>863.9</v>
      </c>
      <c r="BJ442" s="33"/>
      <c r="BK442" s="197">
        <v>0.97199999999999998</v>
      </c>
      <c r="BL442" s="200">
        <v>14.08</v>
      </c>
      <c r="BM442" s="199">
        <v>971.4</v>
      </c>
      <c r="BN442" s="33"/>
      <c r="BO442" s="37">
        <v>972</v>
      </c>
      <c r="BP442" s="38">
        <v>0.97260000000000002</v>
      </c>
      <c r="BQ442" s="39">
        <v>13.99</v>
      </c>
      <c r="BR442" s="520"/>
    </row>
    <row r="443" spans="37:70">
      <c r="AK443" s="2482"/>
      <c r="BG443" s="30">
        <v>32.299999999999997</v>
      </c>
      <c r="BH443" s="31">
        <v>0.8639</v>
      </c>
      <c r="BI443" s="32">
        <v>863.4</v>
      </c>
      <c r="BJ443" s="33"/>
      <c r="BK443" s="197">
        <v>0.97299999999999998</v>
      </c>
      <c r="BL443" s="200">
        <v>13.93</v>
      </c>
      <c r="BM443" s="199">
        <v>972.4</v>
      </c>
      <c r="BN443" s="33"/>
      <c r="BO443" s="37">
        <v>973</v>
      </c>
      <c r="BP443" s="38">
        <v>0.97360000000000002</v>
      </c>
      <c r="BQ443" s="39">
        <v>13.84</v>
      </c>
      <c r="BR443" s="520"/>
    </row>
    <row r="444" spans="37:70">
      <c r="AK444" s="2482"/>
      <c r="BG444" s="30">
        <v>32.4</v>
      </c>
      <c r="BH444" s="31">
        <v>0.86329999999999996</v>
      </c>
      <c r="BI444" s="32">
        <v>862.9</v>
      </c>
      <c r="BJ444" s="33"/>
      <c r="BK444" s="197">
        <v>0.97399999999999998</v>
      </c>
      <c r="BL444" s="200">
        <v>13.78</v>
      </c>
      <c r="BM444" s="199">
        <v>973.4</v>
      </c>
      <c r="BN444" s="33"/>
      <c r="BO444" s="37">
        <v>974</v>
      </c>
      <c r="BP444" s="38">
        <v>0.97460000000000002</v>
      </c>
      <c r="BQ444" s="39">
        <v>13.69</v>
      </c>
      <c r="BR444" s="520"/>
    </row>
    <row r="445" spans="37:70">
      <c r="AK445" s="2482"/>
      <c r="BG445" s="30">
        <v>32.5</v>
      </c>
      <c r="BH445" s="31">
        <v>0.86280000000000001</v>
      </c>
      <c r="BI445" s="32">
        <v>862.3</v>
      </c>
      <c r="BJ445" s="33"/>
      <c r="BK445" s="197">
        <v>0.97499999999999998</v>
      </c>
      <c r="BL445" s="200">
        <v>13.63</v>
      </c>
      <c r="BM445" s="199">
        <v>974.4</v>
      </c>
      <c r="BN445" s="33"/>
      <c r="BO445" s="37">
        <v>975</v>
      </c>
      <c r="BP445" s="38">
        <v>0.97560000000000002</v>
      </c>
      <c r="BQ445" s="39">
        <v>13.54</v>
      </c>
      <c r="BR445" s="520"/>
    </row>
    <row r="446" spans="37:70">
      <c r="AK446" s="2482"/>
      <c r="BG446" s="30">
        <v>32.6</v>
      </c>
      <c r="BH446" s="31">
        <v>0.86229999999999996</v>
      </c>
      <c r="BI446" s="32">
        <v>861.8</v>
      </c>
      <c r="BJ446" s="33"/>
      <c r="BK446" s="197">
        <v>0.97599999999999998</v>
      </c>
      <c r="BL446" s="200">
        <v>13.48</v>
      </c>
      <c r="BM446" s="199">
        <v>975.4</v>
      </c>
      <c r="BN446" s="33"/>
      <c r="BO446" s="37">
        <v>976</v>
      </c>
      <c r="BP446" s="38">
        <v>0.97660000000000002</v>
      </c>
      <c r="BQ446" s="39">
        <v>13.39</v>
      </c>
      <c r="BR446" s="520"/>
    </row>
    <row r="447" spans="37:70">
      <c r="AK447" s="2482"/>
      <c r="BG447" s="30">
        <v>32.700000000000003</v>
      </c>
      <c r="BH447" s="31">
        <v>0.86180000000000001</v>
      </c>
      <c r="BI447" s="32">
        <v>861.3</v>
      </c>
      <c r="BJ447" s="33"/>
      <c r="BK447" s="197">
        <v>0.97699999999999998</v>
      </c>
      <c r="BL447" s="200">
        <v>13.33</v>
      </c>
      <c r="BM447" s="199">
        <v>976.4</v>
      </c>
      <c r="BN447" s="33"/>
      <c r="BO447" s="37">
        <v>977</v>
      </c>
      <c r="BP447" s="38">
        <v>0.97760000000000002</v>
      </c>
      <c r="BQ447" s="39">
        <v>13.24</v>
      </c>
      <c r="BR447" s="520"/>
    </row>
    <row r="448" spans="37:70">
      <c r="AK448" s="2482"/>
      <c r="BG448" s="30">
        <v>32.799999999999997</v>
      </c>
      <c r="BH448" s="31">
        <v>0.86119999999999997</v>
      </c>
      <c r="BI448" s="32">
        <v>860.8</v>
      </c>
      <c r="BJ448" s="33"/>
      <c r="BK448" s="197">
        <v>0.97799999999999998</v>
      </c>
      <c r="BL448" s="200">
        <v>13.18</v>
      </c>
      <c r="BM448" s="199">
        <v>977.4</v>
      </c>
      <c r="BN448" s="33"/>
      <c r="BO448" s="37">
        <v>978</v>
      </c>
      <c r="BP448" s="38">
        <v>0.97860000000000003</v>
      </c>
      <c r="BQ448" s="39">
        <v>13.1</v>
      </c>
      <c r="BR448" s="520"/>
    </row>
    <row r="449" spans="37:70">
      <c r="AK449" s="2482"/>
      <c r="BG449" s="30">
        <v>32.9</v>
      </c>
      <c r="BH449" s="31">
        <v>0.86070000000000002</v>
      </c>
      <c r="BI449" s="32">
        <v>860.2</v>
      </c>
      <c r="BJ449" s="33"/>
      <c r="BK449" s="197">
        <v>0.97899999999999998</v>
      </c>
      <c r="BL449" s="200">
        <v>13.04</v>
      </c>
      <c r="BM449" s="199">
        <v>978.4</v>
      </c>
      <c r="BN449" s="33"/>
      <c r="BO449" s="37">
        <v>979</v>
      </c>
      <c r="BP449" s="38">
        <v>0.97960000000000003</v>
      </c>
      <c r="BQ449" s="39">
        <v>12.95</v>
      </c>
      <c r="BR449" s="520"/>
    </row>
    <row r="450" spans="37:70">
      <c r="AK450" s="2482"/>
      <c r="BG450" s="30">
        <v>33</v>
      </c>
      <c r="BH450" s="31">
        <v>0.86019999999999996</v>
      </c>
      <c r="BI450" s="32">
        <v>859.7</v>
      </c>
      <c r="BJ450" s="33"/>
      <c r="BK450" s="197">
        <v>0.98</v>
      </c>
      <c r="BL450" s="200">
        <v>12.89</v>
      </c>
      <c r="BM450" s="199">
        <v>979.4</v>
      </c>
      <c r="BN450" s="33"/>
      <c r="BO450" s="37">
        <v>980</v>
      </c>
      <c r="BP450" s="38">
        <v>0.98060000000000003</v>
      </c>
      <c r="BQ450" s="39">
        <v>12.8</v>
      </c>
      <c r="BR450" s="520"/>
    </row>
    <row r="451" spans="37:70">
      <c r="AK451" s="2482"/>
      <c r="BG451" s="30">
        <v>33.1</v>
      </c>
      <c r="BH451" s="31">
        <v>0.85970000000000002</v>
      </c>
      <c r="BI451" s="32">
        <v>859.2</v>
      </c>
      <c r="BJ451" s="33"/>
      <c r="BK451" s="197">
        <v>0.98099999999999998</v>
      </c>
      <c r="BL451" s="200">
        <v>12.74</v>
      </c>
      <c r="BM451" s="199">
        <v>980.4</v>
      </c>
      <c r="BN451" s="33"/>
      <c r="BO451" s="37">
        <v>981</v>
      </c>
      <c r="BP451" s="38">
        <v>0.98160000000000003</v>
      </c>
      <c r="BQ451" s="39">
        <v>12.65</v>
      </c>
      <c r="BR451" s="520"/>
    </row>
    <row r="452" spans="37:70">
      <c r="AK452" s="2482"/>
      <c r="BG452" s="30">
        <v>33.200000000000003</v>
      </c>
      <c r="BH452" s="31">
        <v>0.85909999999999997</v>
      </c>
      <c r="BI452" s="32">
        <v>858.7</v>
      </c>
      <c r="BJ452" s="33"/>
      <c r="BK452" s="197">
        <v>0.98199999999999998</v>
      </c>
      <c r="BL452" s="200">
        <v>12.59</v>
      </c>
      <c r="BM452" s="199">
        <v>981.4</v>
      </c>
      <c r="BN452" s="33"/>
      <c r="BO452" s="37">
        <v>982</v>
      </c>
      <c r="BP452" s="38">
        <v>0.98260000000000003</v>
      </c>
      <c r="BQ452" s="39">
        <v>12.51</v>
      </c>
      <c r="BR452" s="520"/>
    </row>
    <row r="453" spans="37:70">
      <c r="AK453" s="2482"/>
      <c r="BG453" s="30">
        <v>33.299999999999997</v>
      </c>
      <c r="BH453" s="31">
        <v>0.85860000000000003</v>
      </c>
      <c r="BI453" s="32">
        <v>858.2</v>
      </c>
      <c r="BJ453" s="33"/>
      <c r="BK453" s="197">
        <v>0.98299999999999998</v>
      </c>
      <c r="BL453" s="200">
        <v>12.45</v>
      </c>
      <c r="BM453" s="199">
        <v>982.4</v>
      </c>
      <c r="BN453" s="33"/>
      <c r="BO453" s="37">
        <v>983</v>
      </c>
      <c r="BP453" s="38">
        <v>0.98360000000000003</v>
      </c>
      <c r="BQ453" s="39">
        <v>12.36</v>
      </c>
      <c r="BR453" s="520"/>
    </row>
    <row r="454" spans="37:70">
      <c r="AK454" s="2482"/>
      <c r="BG454" s="30">
        <v>33.4</v>
      </c>
      <c r="BH454" s="31">
        <v>0.85809999999999997</v>
      </c>
      <c r="BI454" s="32">
        <v>857.6</v>
      </c>
      <c r="BJ454" s="33"/>
      <c r="BK454" s="197">
        <v>0.98399999999999999</v>
      </c>
      <c r="BL454" s="200">
        <v>12.3</v>
      </c>
      <c r="BM454" s="199">
        <v>983.4</v>
      </c>
      <c r="BN454" s="33"/>
      <c r="BO454" s="37">
        <v>984</v>
      </c>
      <c r="BP454" s="38">
        <v>0.98460000000000003</v>
      </c>
      <c r="BQ454" s="39">
        <v>12.21</v>
      </c>
      <c r="BR454" s="520"/>
    </row>
    <row r="455" spans="37:70">
      <c r="AK455" s="2482"/>
      <c r="BG455" s="30">
        <v>33.5</v>
      </c>
      <c r="BH455" s="31">
        <v>0.85760000000000003</v>
      </c>
      <c r="BI455" s="32">
        <v>857.1</v>
      </c>
      <c r="BJ455" s="33"/>
      <c r="BK455" s="197">
        <v>0.98499999999999999</v>
      </c>
      <c r="BL455" s="200">
        <v>12.15</v>
      </c>
      <c r="BM455" s="199">
        <v>984.4</v>
      </c>
      <c r="BN455" s="33"/>
      <c r="BO455" s="37">
        <v>985</v>
      </c>
      <c r="BP455" s="38">
        <v>0.98560000000000003</v>
      </c>
      <c r="BQ455" s="39">
        <v>12.07</v>
      </c>
      <c r="BR455" s="520"/>
    </row>
    <row r="456" spans="37:70">
      <c r="AK456" s="2482"/>
      <c r="BG456" s="30">
        <v>33.6</v>
      </c>
      <c r="BH456" s="31">
        <v>0.85709999999999997</v>
      </c>
      <c r="BI456" s="32">
        <v>856.6</v>
      </c>
      <c r="BJ456" s="33"/>
      <c r="BK456" s="197">
        <v>0.98599999999999999</v>
      </c>
      <c r="BL456" s="200">
        <v>12.01</v>
      </c>
      <c r="BM456" s="199">
        <v>985.4</v>
      </c>
      <c r="BN456" s="33"/>
      <c r="BO456" s="37">
        <v>986</v>
      </c>
      <c r="BP456" s="38">
        <v>0.98660000000000003</v>
      </c>
      <c r="BQ456" s="39">
        <v>11.92</v>
      </c>
      <c r="BR456" s="520"/>
    </row>
    <row r="457" spans="37:70">
      <c r="AK457" s="2482"/>
      <c r="BG457" s="30">
        <v>33.700000000000003</v>
      </c>
      <c r="BH457" s="31">
        <v>0.85650000000000004</v>
      </c>
      <c r="BI457" s="32">
        <v>856.1</v>
      </c>
      <c r="BJ457" s="33"/>
      <c r="BK457" s="197">
        <v>0.98699999999999999</v>
      </c>
      <c r="BL457" s="200">
        <v>11.86</v>
      </c>
      <c r="BM457" s="199">
        <v>986.4</v>
      </c>
      <c r="BN457" s="33"/>
      <c r="BO457" s="37">
        <v>987</v>
      </c>
      <c r="BP457" s="38">
        <v>0.98760000000000003</v>
      </c>
      <c r="BQ457" s="39">
        <v>11.78</v>
      </c>
      <c r="BR457" s="520"/>
    </row>
    <row r="458" spans="37:70">
      <c r="AK458" s="2482"/>
      <c r="BG458" s="30">
        <v>33.799999999999997</v>
      </c>
      <c r="BH458" s="31">
        <v>0.85599999999999998</v>
      </c>
      <c r="BI458" s="32">
        <v>855.6</v>
      </c>
      <c r="BJ458" s="33"/>
      <c r="BK458" s="197">
        <v>0.98799999999999999</v>
      </c>
      <c r="BL458" s="200">
        <v>11.72</v>
      </c>
      <c r="BM458" s="199">
        <v>987.4</v>
      </c>
      <c r="BN458" s="33"/>
      <c r="BO458" s="37">
        <v>988</v>
      </c>
      <c r="BP458" s="38">
        <v>0.98860000000000003</v>
      </c>
      <c r="BQ458" s="39">
        <v>11.63</v>
      </c>
      <c r="BR458" s="520"/>
    </row>
    <row r="459" spans="37:70">
      <c r="AK459" s="2482"/>
      <c r="BG459" s="30">
        <v>33.9</v>
      </c>
      <c r="BH459" s="31">
        <v>0.85550000000000004</v>
      </c>
      <c r="BI459" s="32">
        <v>855</v>
      </c>
      <c r="BJ459" s="33"/>
      <c r="BK459" s="197">
        <v>0.98899999999999999</v>
      </c>
      <c r="BL459" s="200">
        <v>11.57</v>
      </c>
      <c r="BM459" s="199">
        <v>988.4</v>
      </c>
      <c r="BN459" s="33"/>
      <c r="BO459" s="37">
        <v>989</v>
      </c>
      <c r="BP459" s="38">
        <v>0.98960000000000004</v>
      </c>
      <c r="BQ459" s="39">
        <v>11.49</v>
      </c>
      <c r="BR459" s="520"/>
    </row>
    <row r="460" spans="37:70">
      <c r="AK460" s="2482"/>
      <c r="BG460" s="30">
        <v>34</v>
      </c>
      <c r="BH460" s="31">
        <v>0.85499999999999998</v>
      </c>
      <c r="BI460" s="32">
        <v>854.5</v>
      </c>
      <c r="BJ460" s="33"/>
      <c r="BK460" s="197">
        <v>0.99</v>
      </c>
      <c r="BL460" s="200">
        <v>11.43</v>
      </c>
      <c r="BM460" s="199">
        <v>989.4</v>
      </c>
      <c r="BN460" s="33"/>
      <c r="BO460" s="37">
        <v>990</v>
      </c>
      <c r="BP460" s="38">
        <v>0.99060000000000004</v>
      </c>
      <c r="BQ460" s="39">
        <v>11.34</v>
      </c>
      <c r="BR460" s="520"/>
    </row>
    <row r="461" spans="37:70">
      <c r="AK461" s="2482"/>
      <c r="BG461" s="30">
        <v>34.1</v>
      </c>
      <c r="BH461" s="31">
        <v>0.85450000000000004</v>
      </c>
      <c r="BI461" s="32">
        <v>854</v>
      </c>
      <c r="BJ461" s="33"/>
      <c r="BK461" s="197">
        <v>0.99099999999999999</v>
      </c>
      <c r="BL461" s="200">
        <v>11.29</v>
      </c>
      <c r="BM461" s="199">
        <v>990.4</v>
      </c>
      <c r="BN461" s="33"/>
      <c r="BO461" s="37">
        <v>991</v>
      </c>
      <c r="BP461" s="38">
        <v>0.99160000000000004</v>
      </c>
      <c r="BQ461" s="39">
        <v>11.2</v>
      </c>
      <c r="BR461" s="520"/>
    </row>
    <row r="462" spans="37:70">
      <c r="AK462" s="2482"/>
      <c r="BG462" s="30">
        <v>34.200000000000003</v>
      </c>
      <c r="BH462" s="31">
        <v>0.85399999999999998</v>
      </c>
      <c r="BI462" s="32">
        <v>853.5</v>
      </c>
      <c r="BJ462" s="33"/>
      <c r="BK462" s="197">
        <v>0.99199999999999999</v>
      </c>
      <c r="BL462" s="200">
        <v>11.14</v>
      </c>
      <c r="BM462" s="199">
        <v>991.4</v>
      </c>
      <c r="BN462" s="33"/>
      <c r="BO462" s="37">
        <v>992</v>
      </c>
      <c r="BP462" s="38">
        <v>0.99260000000000004</v>
      </c>
      <c r="BQ462" s="39">
        <v>11.05</v>
      </c>
      <c r="BR462" s="520"/>
    </row>
    <row r="463" spans="37:70">
      <c r="AK463" s="2482"/>
      <c r="BG463" s="30">
        <v>34.299999999999997</v>
      </c>
      <c r="BH463" s="31">
        <v>0.85340000000000005</v>
      </c>
      <c r="BI463" s="32">
        <v>853</v>
      </c>
      <c r="BJ463" s="33"/>
      <c r="BK463" s="197">
        <v>0.99299999999999999</v>
      </c>
      <c r="BL463" s="200">
        <v>11</v>
      </c>
      <c r="BM463" s="199">
        <v>992.4</v>
      </c>
      <c r="BN463" s="33"/>
      <c r="BO463" s="37">
        <v>993</v>
      </c>
      <c r="BP463" s="38">
        <v>0.99360000000000004</v>
      </c>
      <c r="BQ463" s="39">
        <v>10.91</v>
      </c>
      <c r="BR463" s="520"/>
    </row>
    <row r="464" spans="37:70">
      <c r="AK464" s="2482"/>
      <c r="BG464" s="30">
        <v>34.4</v>
      </c>
      <c r="BH464" s="31">
        <v>0.85289999999999999</v>
      </c>
      <c r="BI464" s="32">
        <v>852.5</v>
      </c>
      <c r="BJ464" s="33"/>
      <c r="BK464" s="197">
        <v>0.99399999999999999</v>
      </c>
      <c r="BL464" s="200">
        <v>10.85</v>
      </c>
      <c r="BM464" s="199">
        <v>993.4</v>
      </c>
      <c r="BN464" s="33"/>
      <c r="BO464" s="37">
        <v>994</v>
      </c>
      <c r="BP464" s="38">
        <v>0.99460000000000004</v>
      </c>
      <c r="BQ464" s="39">
        <v>10.77</v>
      </c>
      <c r="BR464" s="520"/>
    </row>
    <row r="465" spans="37:70">
      <c r="AK465" s="2482"/>
      <c r="BG465" s="30">
        <v>34.5</v>
      </c>
      <c r="BH465" s="31">
        <v>0.85240000000000005</v>
      </c>
      <c r="BI465" s="32">
        <v>852</v>
      </c>
      <c r="BJ465" s="33"/>
      <c r="BK465" s="197">
        <v>0.995</v>
      </c>
      <c r="BL465" s="200">
        <v>10.71</v>
      </c>
      <c r="BM465" s="199">
        <v>994.4</v>
      </c>
      <c r="BN465" s="33"/>
      <c r="BO465" s="37">
        <v>995</v>
      </c>
      <c r="BP465" s="38">
        <v>0.99560000000000004</v>
      </c>
      <c r="BQ465" s="39">
        <v>10.62</v>
      </c>
      <c r="BR465" s="520"/>
    </row>
    <row r="466" spans="37:70">
      <c r="AK466" s="2482"/>
      <c r="BG466" s="30">
        <v>34.6</v>
      </c>
      <c r="BH466" s="31">
        <v>0.85189999999999999</v>
      </c>
      <c r="BI466" s="32">
        <v>851.4</v>
      </c>
      <c r="BJ466" s="33"/>
      <c r="BK466" s="197">
        <v>0.996</v>
      </c>
      <c r="BL466" s="200">
        <v>10.57</v>
      </c>
      <c r="BM466" s="199">
        <v>995.4</v>
      </c>
      <c r="BN466" s="33"/>
      <c r="BO466" s="37">
        <v>996</v>
      </c>
      <c r="BP466" s="38">
        <v>0.99660000000000004</v>
      </c>
      <c r="BQ466" s="39">
        <v>10.48</v>
      </c>
      <c r="BR466" s="520"/>
    </row>
    <row r="467" spans="37:70">
      <c r="AK467" s="2482"/>
      <c r="BG467" s="30">
        <v>34.700000000000003</v>
      </c>
      <c r="BH467" s="31">
        <v>0.85140000000000005</v>
      </c>
      <c r="BI467" s="32">
        <v>850.9</v>
      </c>
      <c r="BJ467" s="33"/>
      <c r="BK467" s="197">
        <v>0.997</v>
      </c>
      <c r="BL467" s="200">
        <v>10.43</v>
      </c>
      <c r="BM467" s="199">
        <v>996.4</v>
      </c>
      <c r="BN467" s="33"/>
      <c r="BO467" s="37">
        <v>997</v>
      </c>
      <c r="BP467" s="38">
        <v>0.99760000000000004</v>
      </c>
      <c r="BQ467" s="39">
        <v>10.34</v>
      </c>
      <c r="BR467" s="520"/>
    </row>
    <row r="468" spans="37:70">
      <c r="AK468" s="2482"/>
      <c r="BG468" s="30">
        <v>34.799999999999997</v>
      </c>
      <c r="BH468" s="31">
        <v>0.85089999999999999</v>
      </c>
      <c r="BI468" s="32">
        <v>850.4</v>
      </c>
      <c r="BJ468" s="33"/>
      <c r="BK468" s="197">
        <v>0.998</v>
      </c>
      <c r="BL468" s="200">
        <v>10.28</v>
      </c>
      <c r="BM468" s="199">
        <v>997.4</v>
      </c>
      <c r="BN468" s="33"/>
      <c r="BO468" s="37">
        <v>998</v>
      </c>
      <c r="BP468" s="38">
        <v>0.99860000000000004</v>
      </c>
      <c r="BQ468" s="39">
        <v>10.199999999999999</v>
      </c>
      <c r="BR468" s="520"/>
    </row>
    <row r="469" spans="37:70">
      <c r="AK469" s="2482"/>
      <c r="BG469" s="30">
        <v>34.9</v>
      </c>
      <c r="BH469" s="31">
        <v>0.85040000000000004</v>
      </c>
      <c r="BI469" s="32">
        <v>849.9</v>
      </c>
      <c r="BJ469" s="33"/>
      <c r="BK469" s="197">
        <v>0.999</v>
      </c>
      <c r="BL469" s="200">
        <v>10.14</v>
      </c>
      <c r="BM469" s="199">
        <v>998.4</v>
      </c>
      <c r="BN469" s="33"/>
      <c r="BO469" s="37">
        <v>999</v>
      </c>
      <c r="BP469" s="38">
        <v>0.99960000000000004</v>
      </c>
      <c r="BQ469" s="39">
        <v>10.050000000000001</v>
      </c>
      <c r="BR469" s="520"/>
    </row>
    <row r="470" spans="37:70">
      <c r="AK470" s="2482"/>
      <c r="BG470" s="30">
        <v>35</v>
      </c>
      <c r="BH470" s="31">
        <v>0.8498</v>
      </c>
      <c r="BI470" s="32">
        <v>849.4</v>
      </c>
      <c r="BJ470" s="33"/>
      <c r="BK470" s="197">
        <v>1</v>
      </c>
      <c r="BL470" s="200">
        <v>10</v>
      </c>
      <c r="BM470" s="199">
        <v>999.4</v>
      </c>
      <c r="BN470" s="33"/>
      <c r="BO470" s="37">
        <v>1000</v>
      </c>
      <c r="BP470" s="38">
        <v>1.0005999999999999</v>
      </c>
      <c r="BQ470" s="39">
        <v>9.91</v>
      </c>
      <c r="BR470" s="520"/>
    </row>
    <row r="471" spans="37:70">
      <c r="AK471" s="2482"/>
      <c r="BG471" s="30">
        <v>35.1</v>
      </c>
      <c r="BH471" s="31">
        <v>0.84930000000000005</v>
      </c>
      <c r="BI471" s="32">
        <v>848.9</v>
      </c>
      <c r="BJ471" s="33"/>
      <c r="BK471" s="197">
        <v>1.0009999999999999</v>
      </c>
      <c r="BL471" s="200">
        <v>9.86</v>
      </c>
      <c r="BM471" s="199">
        <v>1000.4</v>
      </c>
      <c r="BN471" s="33"/>
      <c r="BO471" s="37">
        <v>1001</v>
      </c>
      <c r="BP471" s="38">
        <v>1.0016</v>
      </c>
      <c r="BQ471" s="39">
        <v>9.77</v>
      </c>
      <c r="BR471" s="520"/>
    </row>
    <row r="472" spans="37:70">
      <c r="AK472" s="2482"/>
      <c r="BG472" s="30">
        <v>35.200000000000003</v>
      </c>
      <c r="BH472" s="31">
        <v>0.8488</v>
      </c>
      <c r="BI472" s="32">
        <v>848.4</v>
      </c>
      <c r="BJ472" s="33"/>
      <c r="BK472" s="197">
        <v>1.002</v>
      </c>
      <c r="BL472" s="200">
        <v>9.7200000000000006</v>
      </c>
      <c r="BM472" s="199">
        <v>1001.4</v>
      </c>
      <c r="BN472" s="33"/>
      <c r="BO472" s="37">
        <v>1002</v>
      </c>
      <c r="BP472" s="38">
        <v>1.0025999999999999</v>
      </c>
      <c r="BQ472" s="39">
        <v>9.6300000000000008</v>
      </c>
      <c r="BR472" s="520"/>
    </row>
    <row r="473" spans="37:70">
      <c r="AK473" s="2482"/>
      <c r="BG473" s="30">
        <v>35.299999999999997</v>
      </c>
      <c r="BH473" s="31">
        <v>0.84830000000000005</v>
      </c>
      <c r="BI473" s="32">
        <v>847.9</v>
      </c>
      <c r="BJ473" s="33"/>
      <c r="BK473" s="197">
        <v>1.0029999999999999</v>
      </c>
      <c r="BL473" s="200">
        <v>9.58</v>
      </c>
      <c r="BM473" s="199">
        <v>1002.4</v>
      </c>
      <c r="BN473" s="33"/>
      <c r="BO473" s="37">
        <v>1003</v>
      </c>
      <c r="BP473" s="38">
        <v>1.0036</v>
      </c>
      <c r="BQ473" s="39">
        <v>9.49</v>
      </c>
      <c r="BR473" s="520"/>
    </row>
    <row r="474" spans="37:70">
      <c r="AK474" s="2482"/>
      <c r="BG474" s="30">
        <v>35.4</v>
      </c>
      <c r="BH474" s="31">
        <v>0.8478</v>
      </c>
      <c r="BI474" s="32">
        <v>847.4</v>
      </c>
      <c r="BJ474" s="33"/>
      <c r="BK474" s="197">
        <v>1.004</v>
      </c>
      <c r="BL474" s="200">
        <v>9.44</v>
      </c>
      <c r="BM474" s="199">
        <v>1003.4</v>
      </c>
      <c r="BN474" s="33"/>
      <c r="BO474" s="37">
        <v>1004</v>
      </c>
      <c r="BP474" s="38">
        <v>1.0045999999999999</v>
      </c>
      <c r="BQ474" s="39">
        <v>9.35</v>
      </c>
      <c r="BR474" s="520"/>
    </row>
    <row r="475" spans="37:70">
      <c r="AK475" s="2482"/>
      <c r="BG475" s="30">
        <v>35.5</v>
      </c>
      <c r="BH475" s="31">
        <v>0.84730000000000005</v>
      </c>
      <c r="BI475" s="32">
        <v>846.9</v>
      </c>
      <c r="BJ475" s="33"/>
      <c r="BK475" s="197">
        <v>1.0049999999999999</v>
      </c>
      <c r="BL475" s="200">
        <v>9.3000000000000007</v>
      </c>
      <c r="BM475" s="199">
        <v>1004.4</v>
      </c>
      <c r="BN475" s="33"/>
      <c r="BO475" s="37">
        <v>1005</v>
      </c>
      <c r="BP475" s="38">
        <v>1.0056</v>
      </c>
      <c r="BQ475" s="39">
        <v>9.2100000000000009</v>
      </c>
      <c r="BR475" s="520"/>
    </row>
    <row r="476" spans="37:70">
      <c r="AK476" s="2482"/>
      <c r="BG476" s="30">
        <v>35.6</v>
      </c>
      <c r="BH476" s="31">
        <v>0.8468</v>
      </c>
      <c r="BI476" s="32">
        <v>846.4</v>
      </c>
      <c r="BJ476" s="33"/>
      <c r="BK476" s="197">
        <v>1.006</v>
      </c>
      <c r="BL476" s="200">
        <v>9.16</v>
      </c>
      <c r="BM476" s="199">
        <v>1005.4</v>
      </c>
      <c r="BN476" s="33"/>
      <c r="BO476" s="37">
        <v>1006</v>
      </c>
      <c r="BP476" s="38">
        <v>1.0065999999999999</v>
      </c>
      <c r="BQ476" s="39">
        <v>9.07</v>
      </c>
      <c r="BR476" s="520"/>
    </row>
    <row r="477" spans="37:70">
      <c r="AK477" s="2482"/>
      <c r="BG477" s="30">
        <v>35.700000000000003</v>
      </c>
      <c r="BH477" s="31">
        <v>0.84630000000000005</v>
      </c>
      <c r="BI477" s="32">
        <v>845.8</v>
      </c>
      <c r="BJ477" s="33"/>
      <c r="BK477" s="197">
        <v>1.0069999999999999</v>
      </c>
      <c r="BL477" s="200">
        <v>9.02</v>
      </c>
      <c r="BM477" s="199">
        <v>1006.4</v>
      </c>
      <c r="BN477" s="33"/>
      <c r="BO477" s="37">
        <v>1007</v>
      </c>
      <c r="BP477" s="38">
        <v>1.0076000000000001</v>
      </c>
      <c r="BQ477" s="39">
        <v>8.93</v>
      </c>
      <c r="BR477" s="520"/>
    </row>
    <row r="478" spans="37:70">
      <c r="AK478" s="2482"/>
      <c r="BG478" s="30">
        <v>35.799999999999997</v>
      </c>
      <c r="BH478" s="31">
        <v>0.8458</v>
      </c>
      <c r="BI478" s="32">
        <v>845.3</v>
      </c>
      <c r="BJ478" s="33"/>
      <c r="BK478" s="197">
        <v>1.008</v>
      </c>
      <c r="BL478" s="200">
        <v>8.8800000000000008</v>
      </c>
      <c r="BM478" s="199">
        <v>1007.4</v>
      </c>
      <c r="BN478" s="33"/>
      <c r="BO478" s="37">
        <v>1008</v>
      </c>
      <c r="BP478" s="38">
        <v>1.0085999999999999</v>
      </c>
      <c r="BQ478" s="39">
        <v>8.7899999999999991</v>
      </c>
      <c r="BR478" s="520"/>
    </row>
    <row r="479" spans="37:70">
      <c r="AK479" s="2482"/>
      <c r="BG479" s="30">
        <v>35.9</v>
      </c>
      <c r="BH479" s="31">
        <v>0.84530000000000005</v>
      </c>
      <c r="BI479" s="32">
        <v>844.8</v>
      </c>
      <c r="BJ479" s="33"/>
      <c r="BK479" s="197">
        <v>1.0089999999999999</v>
      </c>
      <c r="BL479" s="200">
        <v>8.74</v>
      </c>
      <c r="BM479" s="199">
        <v>1008.4</v>
      </c>
      <c r="BN479" s="33"/>
      <c r="BO479" s="37">
        <v>1009</v>
      </c>
      <c r="BP479" s="38">
        <v>1.0096000000000001</v>
      </c>
      <c r="BQ479" s="39">
        <v>8.65</v>
      </c>
      <c r="BR479" s="520"/>
    </row>
    <row r="480" spans="37:70">
      <c r="AK480" s="2482"/>
      <c r="BG480" s="30">
        <v>36</v>
      </c>
      <c r="BH480" s="31">
        <v>0.8448</v>
      </c>
      <c r="BI480" s="32">
        <v>844.3</v>
      </c>
      <c r="BJ480" s="33"/>
      <c r="BK480" s="197">
        <v>1.01</v>
      </c>
      <c r="BL480" s="200">
        <v>8.6</v>
      </c>
      <c r="BM480" s="199">
        <v>1009.4</v>
      </c>
      <c r="BN480" s="33"/>
      <c r="BO480" s="37">
        <v>1010</v>
      </c>
      <c r="BP480" s="38">
        <v>1.0105999999999999</v>
      </c>
      <c r="BQ480" s="39">
        <v>8.51</v>
      </c>
      <c r="BR480" s="520"/>
    </row>
    <row r="481" spans="37:70">
      <c r="AK481" s="2482"/>
      <c r="BG481" s="30">
        <v>36.1</v>
      </c>
      <c r="BH481" s="31">
        <v>0.84430000000000005</v>
      </c>
      <c r="BI481" s="32">
        <v>843.8</v>
      </c>
      <c r="BJ481" s="33"/>
      <c r="BK481" s="197">
        <v>1.0109999999999999</v>
      </c>
      <c r="BL481" s="200">
        <v>8.4600000000000009</v>
      </c>
      <c r="BM481" s="199">
        <v>1010.4</v>
      </c>
      <c r="BN481" s="33"/>
      <c r="BO481" s="37">
        <v>1011</v>
      </c>
      <c r="BP481" s="38">
        <v>1.0116000000000001</v>
      </c>
      <c r="BQ481" s="39">
        <v>8.3699999999999992</v>
      </c>
      <c r="BR481" s="520"/>
    </row>
    <row r="482" spans="37:70">
      <c r="AK482" s="2482"/>
      <c r="BG482" s="30">
        <v>36.200000000000003</v>
      </c>
      <c r="BH482" s="31">
        <v>0.84379999999999999</v>
      </c>
      <c r="BI482" s="32">
        <v>843.3</v>
      </c>
      <c r="BJ482" s="33"/>
      <c r="BK482" s="197">
        <v>1.012</v>
      </c>
      <c r="BL482" s="200">
        <v>8.32</v>
      </c>
      <c r="BM482" s="199">
        <v>1011.4</v>
      </c>
      <c r="BN482" s="33"/>
      <c r="BO482" s="37">
        <v>1012</v>
      </c>
      <c r="BP482" s="38">
        <v>1.0125999999999999</v>
      </c>
      <c r="BQ482" s="39">
        <v>8.24</v>
      </c>
      <c r="BR482" s="520"/>
    </row>
    <row r="483" spans="37:70">
      <c r="AK483" s="2482"/>
      <c r="BG483" s="30">
        <v>36.299999999999997</v>
      </c>
      <c r="BH483" s="31">
        <v>0.84330000000000005</v>
      </c>
      <c r="BI483" s="32">
        <v>842.8</v>
      </c>
      <c r="BJ483" s="33"/>
      <c r="BK483" s="197">
        <v>1.0129999999999999</v>
      </c>
      <c r="BL483" s="200">
        <v>8.18</v>
      </c>
      <c r="BM483" s="199">
        <v>1012.4</v>
      </c>
      <c r="BN483" s="33"/>
      <c r="BO483" s="37">
        <v>1013</v>
      </c>
      <c r="BP483" s="38">
        <v>1.0136000000000001</v>
      </c>
      <c r="BQ483" s="39">
        <v>8.1</v>
      </c>
      <c r="BR483" s="520"/>
    </row>
    <row r="484" spans="37:70">
      <c r="AK484" s="2482"/>
      <c r="BG484" s="30">
        <v>36.4</v>
      </c>
      <c r="BH484" s="31">
        <v>0.84279999999999999</v>
      </c>
      <c r="BI484" s="32">
        <v>842.3</v>
      </c>
      <c r="BJ484" s="33"/>
      <c r="BK484" s="197">
        <v>1.014</v>
      </c>
      <c r="BL484" s="200">
        <v>8.0500000000000007</v>
      </c>
      <c r="BM484" s="199">
        <v>1013.4</v>
      </c>
      <c r="BN484" s="33"/>
      <c r="BO484" s="37">
        <v>1014</v>
      </c>
      <c r="BP484" s="38">
        <v>1.0145999999999999</v>
      </c>
      <c r="BQ484" s="39">
        <v>7.96</v>
      </c>
      <c r="BR484" s="520"/>
    </row>
    <row r="485" spans="37:70">
      <c r="AK485" s="2482"/>
      <c r="BG485" s="30">
        <v>36.5</v>
      </c>
      <c r="BH485" s="31">
        <v>0.84230000000000005</v>
      </c>
      <c r="BI485" s="32">
        <v>841.8</v>
      </c>
      <c r="BJ485" s="33"/>
      <c r="BK485" s="197">
        <v>1.0149999999999999</v>
      </c>
      <c r="BL485" s="200">
        <v>7.91</v>
      </c>
      <c r="BM485" s="199">
        <v>1014.4</v>
      </c>
      <c r="BN485" s="33"/>
      <c r="BO485" s="37">
        <v>1015</v>
      </c>
      <c r="BP485" s="38">
        <v>1.0156000000000001</v>
      </c>
      <c r="BQ485" s="39">
        <v>7.82</v>
      </c>
      <c r="BR485" s="520"/>
    </row>
    <row r="486" spans="37:70">
      <c r="AK486" s="2482"/>
      <c r="BG486" s="30">
        <v>36.6</v>
      </c>
      <c r="BH486" s="31">
        <v>0.84179999999999999</v>
      </c>
      <c r="BI486" s="32">
        <v>841.3</v>
      </c>
      <c r="BJ486" s="33"/>
      <c r="BK486" s="197">
        <v>1.016</v>
      </c>
      <c r="BL486" s="200">
        <v>7.77</v>
      </c>
      <c r="BM486" s="199">
        <v>1015.4</v>
      </c>
      <c r="BN486" s="33"/>
      <c r="BO486" s="37">
        <v>1016</v>
      </c>
      <c r="BP486" s="38">
        <v>1.0165999999999999</v>
      </c>
      <c r="BQ486" s="39">
        <v>7.69</v>
      </c>
      <c r="BR486" s="520"/>
    </row>
    <row r="487" spans="37:70">
      <c r="AK487" s="2482"/>
      <c r="BG487" s="30">
        <v>36.700000000000003</v>
      </c>
      <c r="BH487" s="31">
        <v>0.84130000000000005</v>
      </c>
      <c r="BI487" s="32">
        <v>840.8</v>
      </c>
      <c r="BJ487" s="33"/>
      <c r="BK487" s="197">
        <v>1.0169999999999999</v>
      </c>
      <c r="BL487" s="200">
        <v>7.63</v>
      </c>
      <c r="BM487" s="199">
        <v>1016.4</v>
      </c>
      <c r="BN487" s="33"/>
      <c r="BO487" s="37">
        <v>1017</v>
      </c>
      <c r="BP487" s="38">
        <v>1.0176000000000001</v>
      </c>
      <c r="BQ487" s="39">
        <v>7.55</v>
      </c>
      <c r="BR487" s="520"/>
    </row>
    <row r="488" spans="37:70">
      <c r="AK488" s="2482"/>
      <c r="BG488" s="30">
        <v>36.799999999999997</v>
      </c>
      <c r="BH488" s="31">
        <v>0.84079999999999999</v>
      </c>
      <c r="BI488" s="32">
        <v>840.3</v>
      </c>
      <c r="BJ488" s="33"/>
      <c r="BK488" s="197">
        <v>1.018</v>
      </c>
      <c r="BL488" s="200">
        <v>7.5</v>
      </c>
      <c r="BM488" s="199">
        <v>1017.4</v>
      </c>
      <c r="BN488" s="33"/>
      <c r="BO488" s="37">
        <v>1018</v>
      </c>
      <c r="BP488" s="38">
        <v>1.0185999999999999</v>
      </c>
      <c r="BQ488" s="39">
        <v>7.41</v>
      </c>
      <c r="BR488" s="520"/>
    </row>
    <row r="489" spans="37:70">
      <c r="AK489" s="2482"/>
      <c r="BG489" s="30">
        <v>36.9</v>
      </c>
      <c r="BH489" s="31">
        <v>0.84030000000000005</v>
      </c>
      <c r="BI489" s="32">
        <v>839.8</v>
      </c>
      <c r="BJ489" s="33"/>
      <c r="BK489" s="197">
        <v>1.0189999999999999</v>
      </c>
      <c r="BL489" s="200">
        <v>7.36</v>
      </c>
      <c r="BM489" s="199">
        <v>1018.4</v>
      </c>
      <c r="BN489" s="33"/>
      <c r="BO489" s="37">
        <v>1019</v>
      </c>
      <c r="BP489" s="38">
        <v>1.0196000000000001</v>
      </c>
      <c r="BQ489" s="39">
        <v>7.28</v>
      </c>
      <c r="BR489" s="520"/>
    </row>
    <row r="490" spans="37:70">
      <c r="AK490" s="2482"/>
      <c r="BG490" s="30">
        <v>37</v>
      </c>
      <c r="BH490" s="31">
        <v>0.83979999999999999</v>
      </c>
      <c r="BI490" s="32">
        <v>839.3</v>
      </c>
      <c r="BJ490" s="33"/>
      <c r="BK490" s="197">
        <v>1.02</v>
      </c>
      <c r="BL490" s="200">
        <v>7.23</v>
      </c>
      <c r="BM490" s="199">
        <v>1019.4</v>
      </c>
      <c r="BN490" s="33"/>
      <c r="BO490" s="37">
        <v>1020</v>
      </c>
      <c r="BP490" s="38">
        <v>1.0206</v>
      </c>
      <c r="BQ490" s="39">
        <v>7.14</v>
      </c>
      <c r="BR490" s="520"/>
    </row>
    <row r="491" spans="37:70">
      <c r="AK491" s="2482"/>
      <c r="BG491" s="30">
        <v>37.1</v>
      </c>
      <c r="BH491" s="31">
        <v>0.83930000000000005</v>
      </c>
      <c r="BI491" s="32">
        <v>838.8</v>
      </c>
      <c r="BJ491" s="33"/>
      <c r="BK491" s="197">
        <v>1.0209999999999999</v>
      </c>
      <c r="BL491" s="200">
        <v>7.09</v>
      </c>
      <c r="BM491" s="199">
        <v>1020.4</v>
      </c>
      <c r="BN491" s="33"/>
      <c r="BO491" s="37">
        <v>1021</v>
      </c>
      <c r="BP491" s="38">
        <v>1.0216000000000001</v>
      </c>
      <c r="BQ491" s="39">
        <v>7</v>
      </c>
      <c r="BR491" s="520"/>
    </row>
    <row r="492" spans="37:70">
      <c r="AK492" s="2482"/>
      <c r="BG492" s="30">
        <v>37.200000000000003</v>
      </c>
      <c r="BH492" s="31">
        <v>0.83879999999999999</v>
      </c>
      <c r="BI492" s="32">
        <v>838.3</v>
      </c>
      <c r="BJ492" s="33"/>
      <c r="BK492" s="197">
        <v>1.022</v>
      </c>
      <c r="BL492" s="200">
        <v>6.95</v>
      </c>
      <c r="BM492" s="199">
        <v>1021.4</v>
      </c>
      <c r="BN492" s="33"/>
      <c r="BO492" s="37">
        <v>1022</v>
      </c>
      <c r="BP492" s="38">
        <v>1.0226</v>
      </c>
      <c r="BQ492" s="39">
        <v>6.87</v>
      </c>
      <c r="BR492" s="520"/>
    </row>
    <row r="493" spans="37:70">
      <c r="AK493" s="2482"/>
      <c r="BG493" s="30">
        <v>37.299999999999997</v>
      </c>
      <c r="BH493" s="31">
        <v>0.83830000000000005</v>
      </c>
      <c r="BI493" s="32">
        <v>837.8</v>
      </c>
      <c r="BJ493" s="33"/>
      <c r="BK493" s="197">
        <v>1.0229999999999999</v>
      </c>
      <c r="BL493" s="200">
        <v>6.82</v>
      </c>
      <c r="BM493" s="199">
        <v>1022.4</v>
      </c>
      <c r="BN493" s="33"/>
      <c r="BO493" s="37">
        <v>1023</v>
      </c>
      <c r="BP493" s="38">
        <v>1.0236000000000001</v>
      </c>
      <c r="BQ493" s="39">
        <v>6.73</v>
      </c>
      <c r="BR493" s="520"/>
    </row>
    <row r="494" spans="37:70">
      <c r="AK494" s="2482"/>
      <c r="BG494" s="30">
        <v>37.4</v>
      </c>
      <c r="BH494" s="31">
        <v>0.83779999999999999</v>
      </c>
      <c r="BI494" s="32">
        <v>837.3</v>
      </c>
      <c r="BJ494" s="33"/>
      <c r="BK494" s="197">
        <v>1.024</v>
      </c>
      <c r="BL494" s="200">
        <v>6.68</v>
      </c>
      <c r="BM494" s="199">
        <v>1023.4</v>
      </c>
      <c r="BN494" s="33"/>
      <c r="BO494" s="37">
        <v>1024</v>
      </c>
      <c r="BP494" s="38">
        <v>1.0246</v>
      </c>
      <c r="BQ494" s="39">
        <v>6.6</v>
      </c>
      <c r="BR494" s="520"/>
    </row>
    <row r="495" spans="37:70">
      <c r="AK495" s="2482"/>
      <c r="BG495" s="30">
        <v>37.5</v>
      </c>
      <c r="BH495" s="31">
        <v>0.83730000000000004</v>
      </c>
      <c r="BI495" s="32">
        <v>836.8</v>
      </c>
      <c r="BJ495" s="33"/>
      <c r="BK495" s="197">
        <v>1.0249999999999999</v>
      </c>
      <c r="BL495" s="200">
        <v>6.55</v>
      </c>
      <c r="BM495" s="199">
        <v>1024.4000000000001</v>
      </c>
      <c r="BN495" s="33"/>
      <c r="BO495" s="37">
        <v>1025</v>
      </c>
      <c r="BP495" s="38">
        <v>1.0256000000000001</v>
      </c>
      <c r="BQ495" s="39">
        <v>6.46</v>
      </c>
      <c r="BR495" s="520"/>
    </row>
    <row r="496" spans="37:70">
      <c r="AK496" s="2482"/>
      <c r="BG496" s="30">
        <v>37.6</v>
      </c>
      <c r="BH496" s="31">
        <v>0.83679999999999999</v>
      </c>
      <c r="BI496" s="32">
        <v>836.4</v>
      </c>
      <c r="BJ496" s="33"/>
      <c r="BK496" s="197">
        <v>1.026</v>
      </c>
      <c r="BL496" s="200">
        <v>6.41</v>
      </c>
      <c r="BM496" s="199">
        <v>1025.4000000000001</v>
      </c>
      <c r="BN496" s="33"/>
      <c r="BO496" s="37">
        <v>1026</v>
      </c>
      <c r="BP496" s="38">
        <v>1.0266</v>
      </c>
      <c r="BQ496" s="39">
        <v>6.33</v>
      </c>
      <c r="BR496" s="520"/>
    </row>
    <row r="497" spans="37:70">
      <c r="AK497" s="2482"/>
      <c r="BG497" s="30">
        <v>37.700000000000003</v>
      </c>
      <c r="BH497" s="31">
        <v>0.83630000000000004</v>
      </c>
      <c r="BI497" s="32">
        <v>835.9</v>
      </c>
      <c r="BJ497" s="33"/>
      <c r="BK497" s="197">
        <v>1.0269999999999999</v>
      </c>
      <c r="BL497" s="200">
        <v>6.28</v>
      </c>
      <c r="BM497" s="199">
        <v>1026.4000000000001</v>
      </c>
      <c r="BN497" s="33"/>
      <c r="BO497" s="37">
        <v>1027</v>
      </c>
      <c r="BP497" s="38">
        <v>1.0276000000000001</v>
      </c>
      <c r="BQ497" s="39">
        <v>6.19</v>
      </c>
      <c r="BR497" s="520"/>
    </row>
    <row r="498" spans="37:70">
      <c r="AK498" s="2482"/>
      <c r="BG498" s="30">
        <v>37.799999999999997</v>
      </c>
      <c r="BH498" s="31">
        <v>0.83579999999999999</v>
      </c>
      <c r="BI498" s="32">
        <v>835.4</v>
      </c>
      <c r="BJ498" s="33"/>
      <c r="BK498" s="197">
        <v>1.028</v>
      </c>
      <c r="BL498" s="200">
        <v>6.15</v>
      </c>
      <c r="BM498" s="199">
        <v>1027.4000000000001</v>
      </c>
      <c r="BN498" s="33"/>
      <c r="BO498" s="37">
        <v>1028</v>
      </c>
      <c r="BP498" s="38">
        <v>1.0286</v>
      </c>
      <c r="BQ498" s="39">
        <v>6.06</v>
      </c>
      <c r="BR498" s="520"/>
    </row>
    <row r="499" spans="37:70">
      <c r="AK499" s="2482"/>
      <c r="BG499" s="30">
        <v>37.9</v>
      </c>
      <c r="BH499" s="31">
        <v>0.83530000000000004</v>
      </c>
      <c r="BI499" s="32">
        <v>834.9</v>
      </c>
      <c r="BJ499" s="33"/>
      <c r="BK499" s="197">
        <v>1.0289999999999999</v>
      </c>
      <c r="BL499" s="200">
        <v>6.01</v>
      </c>
      <c r="BM499" s="199">
        <v>1028.4000000000001</v>
      </c>
      <c r="BN499" s="33"/>
      <c r="BO499" s="37">
        <v>1029</v>
      </c>
      <c r="BP499" s="38">
        <v>1.0296000000000001</v>
      </c>
      <c r="BQ499" s="39">
        <v>5.93</v>
      </c>
      <c r="BR499" s="520"/>
    </row>
    <row r="500" spans="37:70">
      <c r="AK500" s="2482"/>
      <c r="BG500" s="30">
        <v>38</v>
      </c>
      <c r="BH500" s="31">
        <v>0.83479999999999999</v>
      </c>
      <c r="BI500" s="32">
        <v>834.4</v>
      </c>
      <c r="BJ500" s="33"/>
      <c r="BK500" s="197">
        <v>1.03</v>
      </c>
      <c r="BL500" s="200">
        <v>5.88</v>
      </c>
      <c r="BM500" s="199">
        <v>1029.4000000000001</v>
      </c>
      <c r="BN500" s="33"/>
      <c r="BO500" s="37">
        <v>1030</v>
      </c>
      <c r="BP500" s="38">
        <v>1.0306</v>
      </c>
      <c r="BQ500" s="39">
        <v>5.79</v>
      </c>
      <c r="BR500" s="520"/>
    </row>
    <row r="501" spans="37:70">
      <c r="AK501" s="2482"/>
      <c r="BG501" s="30">
        <v>38.1</v>
      </c>
      <c r="BH501" s="31">
        <v>0.83430000000000004</v>
      </c>
      <c r="BI501" s="32">
        <v>833.9</v>
      </c>
      <c r="BJ501" s="33"/>
      <c r="BK501" s="197">
        <v>1.0309999999999999</v>
      </c>
      <c r="BL501" s="200">
        <v>5.75</v>
      </c>
      <c r="BM501" s="199">
        <v>1030.4000000000001</v>
      </c>
      <c r="BN501" s="33"/>
      <c r="BO501" s="37">
        <v>1031</v>
      </c>
      <c r="BP501" s="38">
        <v>1.0316000000000001</v>
      </c>
      <c r="BQ501" s="39">
        <v>5.66</v>
      </c>
      <c r="BR501" s="520"/>
    </row>
    <row r="502" spans="37:70">
      <c r="AK502" s="2482"/>
      <c r="BG502" s="30">
        <v>38.200000000000003</v>
      </c>
      <c r="BH502" s="31">
        <v>0.83379999999999999</v>
      </c>
      <c r="BI502" s="32">
        <v>833.4</v>
      </c>
      <c r="BJ502" s="33"/>
      <c r="BK502" s="197">
        <v>1.032</v>
      </c>
      <c r="BL502" s="200">
        <v>5.61</v>
      </c>
      <c r="BM502" s="199">
        <v>1031.4000000000001</v>
      </c>
      <c r="BN502" s="33"/>
      <c r="BO502" s="37">
        <v>1032</v>
      </c>
      <c r="BP502" s="38">
        <v>1.0326</v>
      </c>
      <c r="BQ502" s="39">
        <v>5.53</v>
      </c>
      <c r="BR502" s="520"/>
    </row>
    <row r="503" spans="37:70">
      <c r="AK503" s="2482"/>
      <c r="BG503" s="30">
        <v>38.299999999999997</v>
      </c>
      <c r="BH503" s="31">
        <v>0.83330000000000004</v>
      </c>
      <c r="BI503" s="32">
        <v>832.9</v>
      </c>
      <c r="BJ503" s="33"/>
      <c r="BK503" s="197">
        <v>1.0329999999999999</v>
      </c>
      <c r="BL503" s="200">
        <v>5.48</v>
      </c>
      <c r="BM503" s="199">
        <v>1032.4000000000001</v>
      </c>
      <c r="BN503" s="33"/>
      <c r="BO503" s="37">
        <v>1033</v>
      </c>
      <c r="BP503" s="38">
        <v>1.0337000000000001</v>
      </c>
      <c r="BQ503" s="39">
        <v>5.39</v>
      </c>
      <c r="BR503" s="520"/>
    </row>
    <row r="504" spans="37:70">
      <c r="AK504" s="2482"/>
      <c r="BG504" s="30">
        <v>38.4</v>
      </c>
      <c r="BH504" s="31">
        <v>0.83279999999999998</v>
      </c>
      <c r="BI504" s="32">
        <v>832.4</v>
      </c>
      <c r="BJ504" s="33"/>
      <c r="BK504" s="197">
        <v>1.034</v>
      </c>
      <c r="BL504" s="200">
        <v>5.35</v>
      </c>
      <c r="BM504" s="199">
        <v>1033.3</v>
      </c>
      <c r="BN504" s="33"/>
      <c r="BO504" s="37">
        <v>1034</v>
      </c>
      <c r="BP504" s="38">
        <v>1.0347</v>
      </c>
      <c r="BQ504" s="39">
        <v>5.26</v>
      </c>
      <c r="BR504" s="520"/>
    </row>
    <row r="505" spans="37:70">
      <c r="AK505" s="2482"/>
      <c r="BG505" s="30">
        <v>38.5</v>
      </c>
      <c r="BH505" s="31">
        <v>0.83240000000000003</v>
      </c>
      <c r="BI505" s="32">
        <v>831.9</v>
      </c>
      <c r="BJ505" s="33"/>
      <c r="BK505" s="197">
        <v>1.0349999999999999</v>
      </c>
      <c r="BL505" s="200">
        <v>5.21</v>
      </c>
      <c r="BM505" s="199">
        <v>1034.3</v>
      </c>
      <c r="BN505" s="33"/>
      <c r="BO505" s="37">
        <v>1035</v>
      </c>
      <c r="BP505" s="38">
        <v>1.0357000000000001</v>
      </c>
      <c r="BQ505" s="39">
        <v>5.13</v>
      </c>
      <c r="BR505" s="520"/>
    </row>
    <row r="506" spans="37:70">
      <c r="AK506" s="2482"/>
      <c r="BG506" s="30">
        <v>38.6</v>
      </c>
      <c r="BH506" s="31">
        <v>0.83189999999999997</v>
      </c>
      <c r="BI506" s="32">
        <v>831.4</v>
      </c>
      <c r="BJ506" s="33"/>
      <c r="BK506" s="197">
        <v>1.036</v>
      </c>
      <c r="BL506" s="200">
        <v>5.08</v>
      </c>
      <c r="BM506" s="199">
        <v>1035.3</v>
      </c>
      <c r="BN506" s="33"/>
      <c r="BO506" s="37">
        <v>1036</v>
      </c>
      <c r="BP506" s="38">
        <v>1.0367</v>
      </c>
      <c r="BQ506" s="39">
        <v>5</v>
      </c>
      <c r="BR506" s="520"/>
    </row>
    <row r="507" spans="37:70">
      <c r="AK507" s="2482"/>
      <c r="BG507" s="30">
        <v>38.700000000000003</v>
      </c>
      <c r="BH507" s="31">
        <v>0.83140000000000003</v>
      </c>
      <c r="BI507" s="32">
        <v>831</v>
      </c>
      <c r="BJ507" s="33"/>
      <c r="BK507" s="197">
        <v>1.0369999999999999</v>
      </c>
      <c r="BL507" s="200">
        <v>4.95</v>
      </c>
      <c r="BM507" s="199">
        <v>1036.3</v>
      </c>
      <c r="BN507" s="33"/>
      <c r="BO507" s="37">
        <v>1037</v>
      </c>
      <c r="BP507" s="38">
        <v>1.0377000000000001</v>
      </c>
      <c r="BQ507" s="39">
        <v>4.87</v>
      </c>
      <c r="BR507" s="520"/>
    </row>
    <row r="508" spans="37:70">
      <c r="AK508" s="2482"/>
      <c r="BG508" s="30">
        <v>38.799999999999997</v>
      </c>
      <c r="BH508" s="31">
        <v>0.83089999999999997</v>
      </c>
      <c r="BI508" s="32">
        <v>830.5</v>
      </c>
      <c r="BJ508" s="33"/>
      <c r="BK508" s="197">
        <v>1.038</v>
      </c>
      <c r="BL508" s="200">
        <v>4.82</v>
      </c>
      <c r="BM508" s="199">
        <v>1037.3</v>
      </c>
      <c r="BN508" s="33"/>
      <c r="BO508" s="37">
        <v>1038</v>
      </c>
      <c r="BP508" s="38">
        <v>1.0387</v>
      </c>
      <c r="BQ508" s="39">
        <v>4.7300000000000004</v>
      </c>
      <c r="BR508" s="520"/>
    </row>
    <row r="509" spans="37:70">
      <c r="AK509" s="2482"/>
      <c r="BG509" s="30">
        <v>38.9</v>
      </c>
      <c r="BH509" s="31">
        <v>0.83040000000000003</v>
      </c>
      <c r="BI509" s="32">
        <v>830</v>
      </c>
      <c r="BJ509" s="33"/>
      <c r="BK509" s="197">
        <v>1.0389999999999999</v>
      </c>
      <c r="BL509" s="200">
        <v>4.6900000000000004</v>
      </c>
      <c r="BM509" s="199">
        <v>1038.3</v>
      </c>
      <c r="BN509" s="33"/>
      <c r="BO509" s="37">
        <v>1039</v>
      </c>
      <c r="BP509" s="38">
        <v>1.0397000000000001</v>
      </c>
      <c r="BQ509" s="39">
        <v>4.5999999999999996</v>
      </c>
      <c r="BR509" s="520"/>
    </row>
    <row r="510" spans="37:70">
      <c r="AK510" s="2482"/>
      <c r="BG510" s="30">
        <v>39</v>
      </c>
      <c r="BH510" s="31">
        <v>0.82989999999999997</v>
      </c>
      <c r="BI510" s="32">
        <v>829.5</v>
      </c>
      <c r="BJ510" s="33"/>
      <c r="BK510" s="197">
        <v>1.04</v>
      </c>
      <c r="BL510" s="200">
        <v>4.5599999999999996</v>
      </c>
      <c r="BM510" s="199">
        <v>1039.3</v>
      </c>
      <c r="BN510" s="33"/>
      <c r="BO510" s="37">
        <v>1040</v>
      </c>
      <c r="BP510" s="38">
        <v>1.0407</v>
      </c>
      <c r="BQ510" s="39">
        <v>4.47</v>
      </c>
      <c r="BR510" s="520"/>
    </row>
    <row r="511" spans="37:70">
      <c r="AK511" s="2482"/>
      <c r="BG511" s="30">
        <v>39.1</v>
      </c>
      <c r="BH511" s="31">
        <v>0.82940000000000003</v>
      </c>
      <c r="BI511" s="32">
        <v>829</v>
      </c>
      <c r="BJ511" s="33"/>
      <c r="BK511" s="197">
        <v>1.0409999999999999</v>
      </c>
      <c r="BL511" s="200">
        <v>4.43</v>
      </c>
      <c r="BM511" s="199">
        <v>1040.3</v>
      </c>
      <c r="BN511" s="33"/>
      <c r="BO511" s="37">
        <v>1041</v>
      </c>
      <c r="BP511" s="38">
        <v>1.0417000000000001</v>
      </c>
      <c r="BQ511" s="39">
        <v>4.34</v>
      </c>
      <c r="BR511" s="520"/>
    </row>
    <row r="512" spans="37:70">
      <c r="AK512" s="2482"/>
      <c r="BG512" s="30">
        <v>39.200000000000003</v>
      </c>
      <c r="BH512" s="31">
        <v>0.82889999999999997</v>
      </c>
      <c r="BI512" s="32">
        <v>828.5</v>
      </c>
      <c r="BJ512" s="33"/>
      <c r="BK512" s="197">
        <v>1.042</v>
      </c>
      <c r="BL512" s="200">
        <v>4.3</v>
      </c>
      <c r="BM512" s="199">
        <v>1041.3</v>
      </c>
      <c r="BN512" s="33"/>
      <c r="BO512" s="37">
        <v>1042</v>
      </c>
      <c r="BP512" s="38">
        <v>1.0427</v>
      </c>
      <c r="BQ512" s="39">
        <v>4.21</v>
      </c>
      <c r="BR512" s="520"/>
    </row>
    <row r="513" spans="37:70">
      <c r="AK513" s="2482"/>
      <c r="BG513" s="30">
        <v>39.299999999999997</v>
      </c>
      <c r="BH513" s="31">
        <v>0.82850000000000001</v>
      </c>
      <c r="BI513" s="32">
        <v>828</v>
      </c>
      <c r="BJ513" s="33"/>
      <c r="BK513" s="197">
        <v>1.0429999999999999</v>
      </c>
      <c r="BL513" s="200">
        <v>4.17</v>
      </c>
      <c r="BM513" s="199">
        <v>1042.3</v>
      </c>
      <c r="BN513" s="33"/>
      <c r="BO513" s="37">
        <v>1043</v>
      </c>
      <c r="BP513" s="38">
        <v>1.0437000000000001</v>
      </c>
      <c r="BQ513" s="39">
        <v>4.08</v>
      </c>
      <c r="BR513" s="520"/>
    </row>
    <row r="514" spans="37:70">
      <c r="AK514" s="2482"/>
      <c r="BG514" s="30">
        <v>39.4</v>
      </c>
      <c r="BH514" s="31">
        <v>0.82799999999999996</v>
      </c>
      <c r="BI514" s="32">
        <v>827.6</v>
      </c>
      <c r="BJ514" s="33"/>
      <c r="BK514" s="197">
        <v>1.044</v>
      </c>
      <c r="BL514" s="200">
        <v>4.04</v>
      </c>
      <c r="BM514" s="199">
        <v>1043.3</v>
      </c>
      <c r="BN514" s="33"/>
      <c r="BO514" s="37">
        <v>1044</v>
      </c>
      <c r="BP514" s="38">
        <v>1.0447</v>
      </c>
      <c r="BQ514" s="39">
        <v>3.95</v>
      </c>
      <c r="BR514" s="520"/>
    </row>
    <row r="515" spans="37:70">
      <c r="AK515" s="2482"/>
      <c r="BG515" s="30">
        <v>39.5</v>
      </c>
      <c r="BH515" s="31">
        <v>0.82750000000000001</v>
      </c>
      <c r="BI515" s="32">
        <v>827.13</v>
      </c>
      <c r="BJ515" s="33"/>
      <c r="BK515" s="197">
        <v>1.0449999999999999</v>
      </c>
      <c r="BL515" s="200">
        <v>3.91</v>
      </c>
      <c r="BM515" s="199">
        <v>1044.3</v>
      </c>
      <c r="BN515" s="33"/>
      <c r="BO515" s="37">
        <v>1045</v>
      </c>
      <c r="BP515" s="38">
        <v>1.0457000000000001</v>
      </c>
      <c r="BQ515" s="39">
        <v>3.82</v>
      </c>
      <c r="BR515" s="520"/>
    </row>
    <row r="516" spans="37:70">
      <c r="AK516" s="2482"/>
      <c r="BG516" s="30">
        <v>39.6</v>
      </c>
      <c r="BH516" s="31">
        <v>0.82699999999999996</v>
      </c>
      <c r="BI516" s="32">
        <v>826.6</v>
      </c>
      <c r="BJ516" s="33"/>
      <c r="BK516" s="197">
        <v>1.046</v>
      </c>
      <c r="BL516" s="200">
        <v>3.78</v>
      </c>
      <c r="BM516" s="199">
        <v>1045.3</v>
      </c>
      <c r="BN516" s="33"/>
      <c r="BO516" s="37">
        <v>1046</v>
      </c>
      <c r="BP516" s="38">
        <v>1.0467</v>
      </c>
      <c r="BQ516" s="39">
        <v>3.69</v>
      </c>
      <c r="BR516" s="520"/>
    </row>
    <row r="517" spans="37:70">
      <c r="AK517" s="2482"/>
      <c r="BG517" s="30">
        <v>39.700000000000003</v>
      </c>
      <c r="BH517" s="31">
        <v>0.82650000000000001</v>
      </c>
      <c r="BI517" s="32">
        <v>826.1</v>
      </c>
      <c r="BJ517" s="33"/>
      <c r="BK517" s="197">
        <v>1.0469999999999999</v>
      </c>
      <c r="BL517" s="200">
        <v>3.65</v>
      </c>
      <c r="BM517" s="199">
        <v>1046.3</v>
      </c>
      <c r="BN517" s="33"/>
      <c r="BO517" s="37">
        <v>1047</v>
      </c>
      <c r="BP517" s="38">
        <v>1.0477000000000001</v>
      </c>
      <c r="BQ517" s="39">
        <v>3.56</v>
      </c>
      <c r="BR517" s="520"/>
    </row>
    <row r="518" spans="37:70">
      <c r="AK518" s="2482"/>
      <c r="BG518" s="30">
        <v>39.799999999999997</v>
      </c>
      <c r="BH518" s="31">
        <v>0.82599999999999996</v>
      </c>
      <c r="BI518" s="32">
        <v>825.6</v>
      </c>
      <c r="BJ518" s="33"/>
      <c r="BK518" s="197">
        <v>1.048</v>
      </c>
      <c r="BL518" s="200">
        <v>3.52</v>
      </c>
      <c r="BM518" s="199">
        <v>1047.3</v>
      </c>
      <c r="BN518" s="33"/>
      <c r="BO518" s="37">
        <v>1048</v>
      </c>
      <c r="BP518" s="38">
        <v>1.0487</v>
      </c>
      <c r="BQ518" s="39">
        <v>3.43</v>
      </c>
      <c r="BR518" s="520"/>
    </row>
    <row r="519" spans="37:70">
      <c r="AK519" s="2482"/>
      <c r="BG519" s="30">
        <v>39.9</v>
      </c>
      <c r="BH519" s="31">
        <v>0.8256</v>
      </c>
      <c r="BI519" s="32">
        <v>825.1</v>
      </c>
      <c r="BJ519" s="33"/>
      <c r="BK519" s="197">
        <v>1.0489999999999999</v>
      </c>
      <c r="BL519" s="200">
        <v>3.39</v>
      </c>
      <c r="BM519" s="199">
        <v>1048.3</v>
      </c>
      <c r="BN519" s="33"/>
      <c r="BO519" s="37">
        <v>1049</v>
      </c>
      <c r="BP519" s="38">
        <v>1.0497000000000001</v>
      </c>
      <c r="BQ519" s="39">
        <v>3.3</v>
      </c>
      <c r="BR519" s="520"/>
    </row>
    <row r="520" spans="37:70">
      <c r="AK520" s="2482"/>
      <c r="BG520" s="30">
        <v>40</v>
      </c>
      <c r="BH520" s="31">
        <v>0.82509999999999994</v>
      </c>
      <c r="BI520" s="32">
        <v>824.7</v>
      </c>
      <c r="BJ520" s="33"/>
      <c r="BK520" s="197">
        <v>1.05</v>
      </c>
      <c r="BL520" s="200">
        <v>3.26</v>
      </c>
      <c r="BM520" s="199">
        <v>1049.3</v>
      </c>
      <c r="BN520" s="33"/>
      <c r="BO520" s="37">
        <v>1050</v>
      </c>
      <c r="BP520" s="38">
        <v>1.0507</v>
      </c>
      <c r="BQ520" s="39">
        <v>3.18</v>
      </c>
      <c r="BR520" s="520"/>
    </row>
    <row r="521" spans="37:70">
      <c r="AK521" s="2482"/>
      <c r="BG521" s="30">
        <v>40.1</v>
      </c>
      <c r="BH521" s="31">
        <v>0.8246</v>
      </c>
      <c r="BI521" s="32">
        <v>824.2</v>
      </c>
      <c r="BJ521" s="33"/>
      <c r="BK521" s="197">
        <v>1.0509999999999999</v>
      </c>
      <c r="BL521" s="200">
        <v>3.13</v>
      </c>
      <c r="BM521" s="199">
        <v>1050.3</v>
      </c>
      <c r="BN521" s="33"/>
      <c r="BO521" s="37">
        <v>1051</v>
      </c>
      <c r="BP521" s="38">
        <v>1.0517000000000001</v>
      </c>
      <c r="BQ521" s="39">
        <v>3.05</v>
      </c>
      <c r="BR521" s="520"/>
    </row>
    <row r="522" spans="37:70">
      <c r="AK522" s="2482"/>
      <c r="BG522" s="30">
        <v>40.200000000000003</v>
      </c>
      <c r="BH522" s="31">
        <v>0.82410000000000005</v>
      </c>
      <c r="BI522" s="32">
        <v>823.7</v>
      </c>
      <c r="BJ522" s="33"/>
      <c r="BK522" s="197">
        <v>1.052</v>
      </c>
      <c r="BL522" s="200">
        <v>3.01</v>
      </c>
      <c r="BM522" s="199">
        <v>1051.3</v>
      </c>
      <c r="BN522" s="33"/>
      <c r="BO522" s="37">
        <v>1052</v>
      </c>
      <c r="BP522" s="38">
        <v>1.0527</v>
      </c>
      <c r="BQ522" s="39">
        <v>2.92</v>
      </c>
      <c r="BR522" s="520"/>
    </row>
    <row r="523" spans="37:70">
      <c r="AK523" s="2482"/>
      <c r="BG523" s="30">
        <v>40.299999999999997</v>
      </c>
      <c r="BH523" s="31">
        <v>0.8236</v>
      </c>
      <c r="BI523" s="32">
        <v>823.2</v>
      </c>
      <c r="BJ523" s="33"/>
      <c r="BK523" s="197">
        <v>1.0529999999999999</v>
      </c>
      <c r="BL523" s="200">
        <v>2.88</v>
      </c>
      <c r="BM523" s="199">
        <v>1052.3</v>
      </c>
      <c r="BN523" s="33"/>
      <c r="BO523" s="37">
        <v>1053</v>
      </c>
      <c r="BP523" s="38">
        <v>1.0537000000000001</v>
      </c>
      <c r="BQ523" s="39">
        <v>2.79</v>
      </c>
      <c r="BR523" s="520"/>
    </row>
    <row r="524" spans="37:70">
      <c r="AK524" s="2482"/>
      <c r="BG524" s="30">
        <v>40.4</v>
      </c>
      <c r="BH524" s="31">
        <v>0.82320000000000004</v>
      </c>
      <c r="BI524" s="32">
        <v>822.7</v>
      </c>
      <c r="BJ524" s="33"/>
      <c r="BK524" s="197">
        <v>1.054</v>
      </c>
      <c r="BL524" s="200">
        <v>2.75</v>
      </c>
      <c r="BM524" s="199">
        <v>1053.3</v>
      </c>
      <c r="BN524" s="33"/>
      <c r="BO524" s="37">
        <v>1054</v>
      </c>
      <c r="BP524" s="38">
        <v>1.0547</v>
      </c>
      <c r="BQ524" s="39">
        <v>2.66</v>
      </c>
      <c r="BR524" s="520"/>
    </row>
    <row r="525" spans="37:70">
      <c r="AK525" s="2482"/>
      <c r="BG525" s="30">
        <v>40.5</v>
      </c>
      <c r="BH525" s="31">
        <v>0.82269999999999999</v>
      </c>
      <c r="BI525" s="32">
        <v>822.3</v>
      </c>
      <c r="BJ525" s="33"/>
      <c r="BK525" s="197">
        <v>1.0549999999999999</v>
      </c>
      <c r="BL525" s="200">
        <v>2.62</v>
      </c>
      <c r="BM525" s="199">
        <v>1054.3</v>
      </c>
      <c r="BN525" s="33"/>
      <c r="BO525" s="37">
        <v>1055</v>
      </c>
      <c r="BP525" s="38">
        <v>1.0557000000000001</v>
      </c>
      <c r="BQ525" s="39">
        <v>2.54</v>
      </c>
      <c r="BR525" s="520"/>
    </row>
    <row r="526" spans="37:70">
      <c r="AK526" s="2482"/>
      <c r="BG526" s="30">
        <v>40.6</v>
      </c>
      <c r="BH526" s="31">
        <v>0.82220000000000004</v>
      </c>
      <c r="BI526" s="32">
        <v>821.8</v>
      </c>
      <c r="BJ526" s="33"/>
      <c r="BK526" s="197">
        <v>1.056</v>
      </c>
      <c r="BL526" s="200">
        <v>2.5</v>
      </c>
      <c r="BM526" s="199">
        <v>1055.3</v>
      </c>
      <c r="BN526" s="33"/>
      <c r="BO526" s="37">
        <v>1056</v>
      </c>
      <c r="BP526" s="38">
        <v>1.0567</v>
      </c>
      <c r="BQ526" s="39">
        <v>2.41</v>
      </c>
      <c r="BR526" s="520"/>
    </row>
    <row r="527" spans="37:70">
      <c r="AK527" s="2482"/>
      <c r="BG527" s="30">
        <v>40.700000000000003</v>
      </c>
      <c r="BH527" s="31">
        <v>0.82169999999999999</v>
      </c>
      <c r="BI527" s="32">
        <v>821.3</v>
      </c>
      <c r="BJ527" s="33"/>
      <c r="BK527" s="197">
        <v>1.0569999999999999</v>
      </c>
      <c r="BL527" s="200">
        <v>2.37</v>
      </c>
      <c r="BM527" s="199">
        <v>1056.3</v>
      </c>
      <c r="BN527" s="33"/>
      <c r="BO527" s="37">
        <v>1057</v>
      </c>
      <c r="BP527" s="38">
        <v>1.0577000000000001</v>
      </c>
      <c r="BQ527" s="39">
        <v>2.2799999999999998</v>
      </c>
      <c r="BR527" s="520"/>
    </row>
    <row r="528" spans="37:70">
      <c r="AK528" s="2482"/>
      <c r="BG528" s="30">
        <v>40.799999999999997</v>
      </c>
      <c r="BH528" s="31">
        <v>0.82120000000000004</v>
      </c>
      <c r="BI528" s="32">
        <v>820.8</v>
      </c>
      <c r="BJ528" s="33"/>
      <c r="BK528" s="197">
        <v>1.0580000000000001</v>
      </c>
      <c r="BL528" s="200">
        <v>2.2400000000000002</v>
      </c>
      <c r="BM528" s="199">
        <v>1057.3</v>
      </c>
      <c r="BN528" s="33"/>
      <c r="BO528" s="37">
        <v>1058</v>
      </c>
      <c r="BP528" s="38">
        <v>1.0587</v>
      </c>
      <c r="BQ528" s="39">
        <v>2.16</v>
      </c>
      <c r="BR528" s="520"/>
    </row>
    <row r="529" spans="37:70">
      <c r="AK529" s="2482"/>
      <c r="BG529" s="30">
        <v>40.9</v>
      </c>
      <c r="BH529" s="31">
        <v>0.82079999999999997</v>
      </c>
      <c r="BI529" s="32">
        <v>820.4</v>
      </c>
      <c r="BJ529" s="33"/>
      <c r="BK529" s="197">
        <v>1.0589999999999999</v>
      </c>
      <c r="BL529" s="200">
        <v>2.12</v>
      </c>
      <c r="BM529" s="199">
        <v>1058.3</v>
      </c>
      <c r="BN529" s="33"/>
      <c r="BO529" s="37">
        <v>1059</v>
      </c>
      <c r="BP529" s="38">
        <v>1.0597000000000001</v>
      </c>
      <c r="BQ529" s="39">
        <v>2.0299999999999998</v>
      </c>
      <c r="BR529" s="520"/>
    </row>
    <row r="530" spans="37:70">
      <c r="AK530" s="2482"/>
      <c r="BG530" s="30">
        <v>41</v>
      </c>
      <c r="BH530" s="31">
        <v>0.82030000000000003</v>
      </c>
      <c r="BI530" s="32">
        <v>819.9</v>
      </c>
      <c r="BJ530" s="33"/>
      <c r="BK530" s="197">
        <v>1.06</v>
      </c>
      <c r="BL530" s="200">
        <v>1.99</v>
      </c>
      <c r="BM530" s="199">
        <v>1059.3</v>
      </c>
      <c r="BN530" s="33"/>
      <c r="BO530" s="37">
        <v>1060</v>
      </c>
      <c r="BP530" s="38">
        <v>1.0607</v>
      </c>
      <c r="BQ530" s="39">
        <v>1.91</v>
      </c>
      <c r="BR530" s="520"/>
    </row>
    <row r="531" spans="37:70">
      <c r="AK531" s="2482"/>
      <c r="BG531" s="30">
        <v>41.1</v>
      </c>
      <c r="BH531" s="31">
        <v>0.81979999999999997</v>
      </c>
      <c r="BI531" s="32">
        <v>819.4</v>
      </c>
      <c r="BJ531" s="33"/>
      <c r="BK531" s="197">
        <v>1.0609999999999999</v>
      </c>
      <c r="BL531" s="200">
        <v>1.86</v>
      </c>
      <c r="BM531" s="199">
        <v>1060.3</v>
      </c>
      <c r="BN531" s="33"/>
      <c r="BO531" s="37">
        <v>1061</v>
      </c>
      <c r="BP531" s="38">
        <v>1.0617000000000001</v>
      </c>
      <c r="BQ531" s="39">
        <v>1.78</v>
      </c>
      <c r="BR531" s="520"/>
    </row>
    <row r="532" spans="37:70">
      <c r="AK532" s="2482"/>
      <c r="BG532" s="30">
        <v>41.2</v>
      </c>
      <c r="BH532" s="31">
        <v>0.81930000000000003</v>
      </c>
      <c r="BI532" s="32">
        <v>818.9</v>
      </c>
      <c r="BJ532" s="33"/>
      <c r="BK532" s="197">
        <v>1.0620000000000001</v>
      </c>
      <c r="BL532" s="200">
        <v>1.74</v>
      </c>
      <c r="BM532" s="199">
        <v>1061.3</v>
      </c>
      <c r="BN532" s="33"/>
      <c r="BO532" s="37">
        <v>1062</v>
      </c>
      <c r="BP532" s="38">
        <v>1.0627</v>
      </c>
      <c r="BQ532" s="39">
        <v>1.65</v>
      </c>
      <c r="BR532" s="520"/>
    </row>
    <row r="533" spans="37:70">
      <c r="AK533" s="2482"/>
      <c r="BG533" s="30">
        <v>41.3</v>
      </c>
      <c r="BH533" s="31">
        <v>0.81889999999999996</v>
      </c>
      <c r="BI533" s="32">
        <v>818.5</v>
      </c>
      <c r="BJ533" s="33"/>
      <c r="BK533" s="197">
        <v>1.0629999999999999</v>
      </c>
      <c r="BL533" s="200">
        <v>1.61</v>
      </c>
      <c r="BM533" s="199">
        <v>1062.3</v>
      </c>
      <c r="BN533" s="33"/>
      <c r="BO533" s="37">
        <v>1063</v>
      </c>
      <c r="BP533" s="38">
        <v>1.0637000000000001</v>
      </c>
      <c r="BQ533" s="39">
        <v>1.53</v>
      </c>
      <c r="BR533" s="520"/>
    </row>
    <row r="534" spans="37:70">
      <c r="AK534" s="2482"/>
      <c r="BG534" s="30">
        <v>41.4</v>
      </c>
      <c r="BH534" s="31">
        <v>0.81840000000000002</v>
      </c>
      <c r="BI534" s="32">
        <v>818</v>
      </c>
      <c r="BJ534" s="33"/>
      <c r="BK534" s="197">
        <v>1.0640000000000001</v>
      </c>
      <c r="BL534" s="200">
        <v>1.49</v>
      </c>
      <c r="BM534" s="199">
        <v>1063.3</v>
      </c>
      <c r="BN534" s="33"/>
      <c r="BO534" s="37">
        <v>1064</v>
      </c>
      <c r="BP534" s="38">
        <v>1.0647</v>
      </c>
      <c r="BQ534" s="39">
        <v>1.4</v>
      </c>
      <c r="BR534" s="520"/>
    </row>
    <row r="535" spans="37:70">
      <c r="AK535" s="2482"/>
      <c r="BG535" s="30">
        <v>41.5</v>
      </c>
      <c r="BH535" s="31">
        <v>0.81789999999999996</v>
      </c>
      <c r="BI535" s="32">
        <v>817.5</v>
      </c>
      <c r="BJ535" s="33"/>
      <c r="BK535" s="197">
        <v>1.0649999999999999</v>
      </c>
      <c r="BL535" s="200">
        <v>1.36</v>
      </c>
      <c r="BM535" s="199">
        <v>1064.3</v>
      </c>
      <c r="BN535" s="33"/>
      <c r="BO535" s="37">
        <v>1065</v>
      </c>
      <c r="BP535" s="38">
        <v>1.0657000000000001</v>
      </c>
      <c r="BQ535" s="39">
        <v>1.28</v>
      </c>
      <c r="BR535" s="520"/>
    </row>
    <row r="536" spans="37:70">
      <c r="AK536" s="2482"/>
      <c r="BG536" s="30">
        <v>41.6</v>
      </c>
      <c r="BH536" s="31">
        <v>0.81740000000000002</v>
      </c>
      <c r="BI536" s="32">
        <v>817</v>
      </c>
      <c r="BJ536" s="33"/>
      <c r="BK536" s="197">
        <v>1.0660000000000001</v>
      </c>
      <c r="BL536" s="200">
        <v>1.24</v>
      </c>
      <c r="BM536" s="199">
        <v>1065.3</v>
      </c>
      <c r="BN536" s="33"/>
      <c r="BO536" s="37">
        <v>1066</v>
      </c>
      <c r="BP536" s="38">
        <v>1.0667</v>
      </c>
      <c r="BQ536" s="39">
        <v>1.1499999999999999</v>
      </c>
      <c r="BR536" s="520"/>
    </row>
    <row r="537" spans="37:70">
      <c r="AK537" s="2482"/>
      <c r="BG537" s="30">
        <v>41.7</v>
      </c>
      <c r="BH537" s="31">
        <v>0.81699999999999995</v>
      </c>
      <c r="BI537" s="32">
        <v>816.6</v>
      </c>
      <c r="BJ537" s="33"/>
      <c r="BK537" s="197">
        <v>1.0669999999999999</v>
      </c>
      <c r="BL537" s="200">
        <v>1.1100000000000001</v>
      </c>
      <c r="BM537" s="199">
        <v>1066.3</v>
      </c>
      <c r="BN537" s="33"/>
      <c r="BO537" s="37">
        <v>1067</v>
      </c>
      <c r="BP537" s="38">
        <v>1.0677000000000001</v>
      </c>
      <c r="BQ537" s="39">
        <v>1.03</v>
      </c>
      <c r="BR537" s="520"/>
    </row>
    <row r="538" spans="37:70">
      <c r="AK538" s="2482"/>
      <c r="BG538" s="30">
        <v>41.8</v>
      </c>
      <c r="BH538" s="31">
        <v>0.8165</v>
      </c>
      <c r="BI538" s="32">
        <v>816.1</v>
      </c>
      <c r="BJ538" s="33"/>
      <c r="BK538" s="197">
        <v>1.0680000000000001</v>
      </c>
      <c r="BL538" s="200">
        <v>0.99</v>
      </c>
      <c r="BM538" s="199">
        <v>1067.3</v>
      </c>
      <c r="BN538" s="33"/>
      <c r="BO538" s="37">
        <v>1068</v>
      </c>
      <c r="BP538" s="38">
        <v>1.0687</v>
      </c>
      <c r="BQ538" s="39">
        <v>0.91</v>
      </c>
      <c r="BR538" s="520"/>
    </row>
    <row r="539" spans="37:70">
      <c r="AK539" s="2482"/>
      <c r="BG539" s="30">
        <v>41.9</v>
      </c>
      <c r="BH539" s="31">
        <v>0.81599999999999995</v>
      </c>
      <c r="BI539" s="32">
        <v>815.6</v>
      </c>
      <c r="BJ539" s="33"/>
      <c r="BK539" s="197">
        <v>1.069</v>
      </c>
      <c r="BL539" s="200">
        <v>0.87</v>
      </c>
      <c r="BM539" s="199">
        <v>1068.3</v>
      </c>
      <c r="BN539" s="33"/>
      <c r="BO539" s="37">
        <v>1069</v>
      </c>
      <c r="BP539" s="38">
        <v>1.0697000000000001</v>
      </c>
      <c r="BQ539" s="39">
        <v>0.78</v>
      </c>
      <c r="BR539" s="520"/>
    </row>
    <row r="540" spans="37:70">
      <c r="AK540" s="2482"/>
      <c r="BG540" s="30">
        <v>42</v>
      </c>
      <c r="BH540" s="31">
        <v>0.81559999999999999</v>
      </c>
      <c r="BI540" s="32">
        <v>815.2</v>
      </c>
      <c r="BJ540" s="33"/>
      <c r="BK540" s="197">
        <v>1.07</v>
      </c>
      <c r="BL540" s="200">
        <v>0.74</v>
      </c>
      <c r="BM540" s="199">
        <v>1069.3</v>
      </c>
      <c r="BN540" s="33"/>
      <c r="BO540" s="37">
        <v>1070</v>
      </c>
      <c r="BP540" s="38">
        <v>1.0707</v>
      </c>
      <c r="BQ540" s="39">
        <v>0.66</v>
      </c>
      <c r="BR540" s="520"/>
    </row>
    <row r="541" spans="37:70">
      <c r="AK541" s="2482"/>
      <c r="BG541" s="30">
        <v>42.1</v>
      </c>
      <c r="BH541" s="31">
        <v>0.81510000000000005</v>
      </c>
      <c r="BI541" s="32">
        <v>814.7</v>
      </c>
      <c r="BJ541" s="33"/>
      <c r="BK541" s="197">
        <v>1.071</v>
      </c>
      <c r="BL541" s="200">
        <v>0.62</v>
      </c>
      <c r="BM541" s="199">
        <v>1070.3</v>
      </c>
      <c r="BN541" s="33"/>
      <c r="BO541" s="37">
        <v>1071</v>
      </c>
      <c r="BP541" s="38">
        <v>1.0717000000000001</v>
      </c>
      <c r="BQ541" s="39">
        <v>0.53</v>
      </c>
      <c r="BR541" s="520"/>
    </row>
    <row r="542" spans="37:70">
      <c r="AK542" s="2482"/>
      <c r="BG542" s="30">
        <v>42.2</v>
      </c>
      <c r="BH542" s="31">
        <v>0.81459999999999999</v>
      </c>
      <c r="BI542" s="32">
        <v>814.2</v>
      </c>
      <c r="BJ542" s="33"/>
      <c r="BK542" s="197">
        <v>1.0720000000000001</v>
      </c>
      <c r="BL542" s="200">
        <v>0.5</v>
      </c>
      <c r="BM542" s="199">
        <v>1071.3</v>
      </c>
      <c r="BN542" s="33"/>
      <c r="BO542" s="37">
        <v>1072</v>
      </c>
      <c r="BP542" s="38">
        <v>1.0727</v>
      </c>
      <c r="BQ542" s="39">
        <v>0.41</v>
      </c>
      <c r="BR542" s="520"/>
    </row>
    <row r="543" spans="37:70">
      <c r="AK543" s="2482"/>
      <c r="BG543" s="30">
        <v>42.3</v>
      </c>
      <c r="BH543" s="31">
        <v>0.81420000000000003</v>
      </c>
      <c r="BI543" s="32">
        <v>813.8</v>
      </c>
      <c r="BJ543" s="33"/>
      <c r="BK543" s="197">
        <v>1.073</v>
      </c>
      <c r="BL543" s="200">
        <v>0.37</v>
      </c>
      <c r="BM543" s="199">
        <v>1072.3</v>
      </c>
      <c r="BN543" s="33"/>
      <c r="BO543" s="37">
        <v>1073</v>
      </c>
      <c r="BP543" s="38">
        <v>1.0737000000000001</v>
      </c>
      <c r="BQ543" s="39">
        <v>0.28999999999999998</v>
      </c>
      <c r="BR543" s="520"/>
    </row>
    <row r="544" spans="37:70">
      <c r="AK544" s="2482"/>
      <c r="BG544" s="30">
        <v>42.4</v>
      </c>
      <c r="BH544" s="31">
        <v>0.81369999999999998</v>
      </c>
      <c r="BI544" s="32">
        <v>813.3</v>
      </c>
      <c r="BJ544" s="33"/>
      <c r="BK544" s="197">
        <v>1.0740000000000001</v>
      </c>
      <c r="BL544" s="200">
        <v>0.25</v>
      </c>
      <c r="BM544" s="199">
        <v>1073.3</v>
      </c>
      <c r="BN544" s="33"/>
      <c r="BO544" s="37">
        <v>1074</v>
      </c>
      <c r="BP544" s="38">
        <v>1.0747</v>
      </c>
      <c r="BQ544" s="39">
        <v>0.17</v>
      </c>
      <c r="BR544" s="520"/>
    </row>
    <row r="545" spans="37:70">
      <c r="AK545" s="2482"/>
      <c r="BG545" s="30">
        <v>42.5</v>
      </c>
      <c r="BH545" s="31">
        <v>0.81320000000000003</v>
      </c>
      <c r="BI545" s="32">
        <v>812.8</v>
      </c>
      <c r="BJ545" s="33"/>
      <c r="BK545" s="2589">
        <v>1.075</v>
      </c>
      <c r="BL545" s="207">
        <v>0.13</v>
      </c>
      <c r="BM545" s="208">
        <v>1074.3</v>
      </c>
      <c r="BN545" s="33"/>
      <c r="BO545" s="1726">
        <v>1075</v>
      </c>
      <c r="BP545" s="47">
        <v>1.0757000000000001</v>
      </c>
      <c r="BQ545" s="48">
        <v>0.04</v>
      </c>
      <c r="BR545" s="520"/>
    </row>
    <row r="546" spans="37:70">
      <c r="AK546" s="2482"/>
      <c r="BG546" s="30">
        <v>42.6</v>
      </c>
      <c r="BH546" s="31">
        <v>0.81279999999999997</v>
      </c>
      <c r="BI546" s="32">
        <v>812.4</v>
      </c>
      <c r="BJ546" s="33"/>
      <c r="BK546" s="12"/>
      <c r="BL546" s="12"/>
      <c r="BM546" s="12"/>
      <c r="BN546" s="33"/>
      <c r="BO546" s="33"/>
      <c r="BP546" s="33"/>
      <c r="BQ546" s="33"/>
      <c r="BR546" s="520"/>
    </row>
    <row r="547" spans="37:70">
      <c r="AK547" s="2482"/>
      <c r="BG547" s="30">
        <v>42.7</v>
      </c>
      <c r="BH547" s="31">
        <v>0.81230000000000002</v>
      </c>
      <c r="BI547" s="32">
        <v>811.9</v>
      </c>
      <c r="BJ547" s="33"/>
      <c r="BK547" s="12"/>
      <c r="BL547" s="12"/>
      <c r="BM547" s="12"/>
      <c r="BN547" s="33"/>
      <c r="BO547" s="33"/>
      <c r="BP547" s="33"/>
      <c r="BQ547" s="33"/>
      <c r="BR547" s="520"/>
    </row>
    <row r="548" spans="37:70">
      <c r="AK548" s="2482"/>
      <c r="BG548" s="30">
        <v>42.8</v>
      </c>
      <c r="BH548" s="31">
        <v>0.81179999999999997</v>
      </c>
      <c r="BI548" s="32">
        <v>811.4</v>
      </c>
      <c r="BJ548" s="33"/>
      <c r="BK548" s="12"/>
      <c r="BL548" s="12"/>
      <c r="BM548" s="12"/>
      <c r="BN548" s="33"/>
      <c r="BO548" s="33"/>
      <c r="BP548" s="33"/>
      <c r="BQ548" s="33"/>
      <c r="BR548" s="520"/>
    </row>
    <row r="549" spans="37:70">
      <c r="AK549" s="2482"/>
      <c r="BG549" s="30">
        <v>42.9</v>
      </c>
      <c r="BH549" s="31">
        <v>0.81140000000000001</v>
      </c>
      <c r="BI549" s="32">
        <v>811</v>
      </c>
      <c r="BJ549" s="33"/>
      <c r="BK549" s="12"/>
      <c r="BL549" s="12"/>
      <c r="BM549" s="12"/>
      <c r="BN549" s="33"/>
      <c r="BO549" s="33"/>
      <c r="BP549" s="33"/>
      <c r="BQ549" s="33"/>
      <c r="BR549" s="520"/>
    </row>
    <row r="550" spans="37:70">
      <c r="AK550" s="2482"/>
      <c r="BG550" s="30">
        <v>43</v>
      </c>
      <c r="BH550" s="31">
        <v>0.81089999999999995</v>
      </c>
      <c r="BI550" s="32">
        <v>810.5</v>
      </c>
      <c r="BJ550" s="33"/>
      <c r="BK550" s="12"/>
      <c r="BL550" s="12"/>
      <c r="BM550" s="12"/>
      <c r="BN550" s="33"/>
      <c r="BO550" s="33"/>
      <c r="BP550" s="33"/>
      <c r="BQ550" s="33"/>
      <c r="BR550" s="520"/>
    </row>
    <row r="551" spans="37:70">
      <c r="AK551" s="2482"/>
      <c r="BG551" s="30">
        <v>43.1</v>
      </c>
      <c r="BH551" s="31">
        <v>0.81040000000000001</v>
      </c>
      <c r="BI551" s="32">
        <v>810</v>
      </c>
      <c r="BJ551" s="33"/>
      <c r="BK551" s="12"/>
      <c r="BL551" s="12"/>
      <c r="BM551" s="12"/>
      <c r="BN551" s="33"/>
      <c r="BO551" s="33"/>
      <c r="BP551" s="33"/>
      <c r="BQ551" s="33"/>
      <c r="BR551" s="520"/>
    </row>
    <row r="552" spans="37:70">
      <c r="AK552" s="2482"/>
      <c r="BG552" s="30">
        <v>43.2</v>
      </c>
      <c r="BH552" s="31">
        <v>0.81</v>
      </c>
      <c r="BI552" s="32">
        <v>809.6</v>
      </c>
      <c r="BJ552" s="33"/>
      <c r="BK552" s="12"/>
      <c r="BL552" s="12"/>
      <c r="BM552" s="12"/>
      <c r="BN552" s="33"/>
      <c r="BO552" s="33"/>
      <c r="BP552" s="33"/>
      <c r="BQ552" s="33"/>
      <c r="BR552" s="520"/>
    </row>
    <row r="553" spans="37:70">
      <c r="AK553" s="2482"/>
      <c r="BG553" s="30">
        <v>43.3</v>
      </c>
      <c r="BH553" s="31">
        <v>0.8095</v>
      </c>
      <c r="BI553" s="32">
        <v>809.1</v>
      </c>
      <c r="BJ553" s="33"/>
      <c r="BK553" s="12"/>
      <c r="BL553" s="12"/>
      <c r="BM553" s="12"/>
      <c r="BN553" s="33"/>
      <c r="BO553" s="33"/>
      <c r="BP553" s="33"/>
      <c r="BQ553" s="33"/>
      <c r="BR553" s="520"/>
    </row>
    <row r="554" spans="37:70">
      <c r="AK554" s="2482"/>
      <c r="BG554" s="30">
        <v>43.4</v>
      </c>
      <c r="BH554" s="31">
        <v>0.80900000000000005</v>
      </c>
      <c r="BI554" s="32">
        <v>808.6</v>
      </c>
      <c r="BJ554" s="33"/>
      <c r="BK554" s="12"/>
      <c r="BL554" s="12"/>
      <c r="BM554" s="12"/>
      <c r="BN554" s="33"/>
      <c r="BO554" s="33"/>
      <c r="BP554" s="33"/>
      <c r="BQ554" s="33"/>
      <c r="BR554" s="520"/>
    </row>
    <row r="555" spans="37:70">
      <c r="AK555" s="2482"/>
      <c r="BG555" s="30">
        <v>43.5</v>
      </c>
      <c r="BH555" s="31">
        <v>0.80859999999999999</v>
      </c>
      <c r="BI555" s="32">
        <v>808.2</v>
      </c>
      <c r="BJ555" s="33"/>
      <c r="BK555" s="12"/>
      <c r="BL555" s="12"/>
      <c r="BM555" s="12"/>
      <c r="BN555" s="33"/>
      <c r="BO555" s="33"/>
      <c r="BP555" s="33"/>
      <c r="BQ555" s="33"/>
      <c r="BR555" s="520"/>
    </row>
    <row r="556" spans="37:70">
      <c r="AK556" s="2482"/>
      <c r="BG556" s="30">
        <v>43.6</v>
      </c>
      <c r="BH556" s="31">
        <v>0.80810000000000004</v>
      </c>
      <c r="BI556" s="32">
        <v>807.7</v>
      </c>
      <c r="BJ556" s="33"/>
      <c r="BK556" s="12"/>
      <c r="BL556" s="12"/>
      <c r="BM556" s="12"/>
      <c r="BN556" s="33"/>
      <c r="BO556" s="33"/>
      <c r="BP556" s="33"/>
      <c r="BQ556" s="33"/>
      <c r="BR556" s="520"/>
    </row>
    <row r="557" spans="37:70">
      <c r="AK557" s="2482"/>
      <c r="BG557" s="30">
        <v>43.7</v>
      </c>
      <c r="BH557" s="31">
        <v>0.80759999999999998</v>
      </c>
      <c r="BI557" s="32">
        <v>807.3</v>
      </c>
      <c r="BJ557" s="33"/>
      <c r="BK557" s="12"/>
      <c r="BL557" s="12"/>
      <c r="BM557" s="12"/>
      <c r="BN557" s="33"/>
      <c r="BO557" s="33"/>
      <c r="BP557" s="33"/>
      <c r="BQ557" s="33"/>
      <c r="BR557" s="520"/>
    </row>
    <row r="558" spans="37:70">
      <c r="AK558" s="2482"/>
      <c r="BG558" s="30">
        <v>43.8</v>
      </c>
      <c r="BH558" s="31">
        <v>0.80720000000000003</v>
      </c>
      <c r="BI558" s="32">
        <v>806.8</v>
      </c>
      <c r="BJ558" s="33"/>
      <c r="BK558" s="12"/>
      <c r="BL558" s="12"/>
      <c r="BM558" s="12"/>
      <c r="BN558" s="33"/>
      <c r="BO558" s="33"/>
      <c r="BP558" s="33"/>
      <c r="BQ558" s="33"/>
      <c r="BR558" s="520"/>
    </row>
    <row r="559" spans="37:70">
      <c r="AK559" s="2482"/>
      <c r="BG559" s="30">
        <v>43.9</v>
      </c>
      <c r="BH559" s="31">
        <v>0.80669999999999997</v>
      </c>
      <c r="BI559" s="32">
        <v>806.3</v>
      </c>
      <c r="BJ559" s="33"/>
      <c r="BK559" s="12"/>
      <c r="BL559" s="12"/>
      <c r="BM559" s="12"/>
      <c r="BN559" s="33"/>
      <c r="BO559" s="33"/>
      <c r="BP559" s="33"/>
      <c r="BQ559" s="33"/>
      <c r="BR559" s="520"/>
    </row>
    <row r="560" spans="37:70">
      <c r="AK560" s="2482"/>
      <c r="BG560" s="30">
        <v>44</v>
      </c>
      <c r="BH560" s="31">
        <v>0.80630000000000002</v>
      </c>
      <c r="BI560" s="32">
        <v>805.9</v>
      </c>
      <c r="BJ560" s="33"/>
      <c r="BK560" s="12"/>
      <c r="BL560" s="12"/>
      <c r="BM560" s="12"/>
      <c r="BN560" s="33"/>
      <c r="BO560" s="33"/>
      <c r="BP560" s="33"/>
      <c r="BQ560" s="33"/>
      <c r="BR560" s="520"/>
    </row>
    <row r="561" spans="37:70">
      <c r="AK561" s="2482"/>
      <c r="BG561" s="30">
        <v>44.1</v>
      </c>
      <c r="BH561" s="31">
        <v>0.80579999999999996</v>
      </c>
      <c r="BI561" s="32">
        <v>805.4</v>
      </c>
      <c r="BJ561" s="33"/>
      <c r="BK561" s="12"/>
      <c r="BL561" s="12"/>
      <c r="BM561" s="12"/>
      <c r="BN561" s="33"/>
      <c r="BO561" s="33"/>
      <c r="BP561" s="33"/>
      <c r="BQ561" s="33"/>
      <c r="BR561" s="520"/>
    </row>
    <row r="562" spans="37:70">
      <c r="AK562" s="2482"/>
      <c r="BG562" s="30">
        <v>44.2</v>
      </c>
      <c r="BH562" s="31">
        <v>0.8054</v>
      </c>
      <c r="BI562" s="32">
        <v>805</v>
      </c>
      <c r="BJ562" s="33"/>
      <c r="BK562" s="12"/>
      <c r="BL562" s="12"/>
      <c r="BM562" s="12"/>
      <c r="BN562" s="33"/>
      <c r="BO562" s="33"/>
      <c r="BP562" s="33"/>
      <c r="BQ562" s="33"/>
      <c r="BR562" s="520"/>
    </row>
    <row r="563" spans="37:70">
      <c r="AK563" s="2482"/>
      <c r="BG563" s="30">
        <v>44.3</v>
      </c>
      <c r="BH563" s="31">
        <v>0.80489999999999995</v>
      </c>
      <c r="BI563" s="32">
        <v>804.5</v>
      </c>
      <c r="BJ563" s="33"/>
      <c r="BK563" s="12"/>
      <c r="BL563" s="12"/>
      <c r="BM563" s="12"/>
      <c r="BN563" s="33"/>
      <c r="BO563" s="33"/>
      <c r="BP563" s="33"/>
      <c r="BQ563" s="33"/>
      <c r="BR563" s="520"/>
    </row>
    <row r="564" spans="37:70">
      <c r="AK564" s="2482"/>
      <c r="BG564" s="30">
        <v>44.4</v>
      </c>
      <c r="BH564" s="31">
        <v>0.8044</v>
      </c>
      <c r="BI564" s="32">
        <v>804.1</v>
      </c>
      <c r="BJ564" s="33"/>
      <c r="BK564" s="12"/>
      <c r="BL564" s="12"/>
      <c r="BM564" s="12"/>
      <c r="BN564" s="33"/>
      <c r="BO564" s="33"/>
      <c r="BP564" s="33"/>
      <c r="BQ564" s="33"/>
      <c r="BR564" s="520"/>
    </row>
    <row r="565" spans="37:70">
      <c r="AK565" s="2482"/>
      <c r="BG565" s="30">
        <v>44.5</v>
      </c>
      <c r="BH565" s="31">
        <v>0.80400000000000005</v>
      </c>
      <c r="BI565" s="32">
        <v>803.6</v>
      </c>
      <c r="BJ565" s="33"/>
      <c r="BK565" s="12"/>
      <c r="BL565" s="12"/>
      <c r="BM565" s="12"/>
      <c r="BN565" s="33"/>
      <c r="BO565" s="33"/>
      <c r="BP565" s="33"/>
      <c r="BQ565" s="33"/>
      <c r="BR565" s="520"/>
    </row>
    <row r="566" spans="37:70">
      <c r="AK566" s="2482"/>
      <c r="BG566" s="30">
        <v>44.6</v>
      </c>
      <c r="BH566" s="31">
        <v>0.80349999999999999</v>
      </c>
      <c r="BI566" s="32">
        <v>803.1</v>
      </c>
      <c r="BJ566" s="33"/>
      <c r="BK566" s="12"/>
      <c r="BL566" s="12"/>
      <c r="BM566" s="12"/>
      <c r="BN566" s="33"/>
      <c r="BO566" s="33"/>
      <c r="BP566" s="33"/>
      <c r="BQ566" s="33"/>
      <c r="BR566" s="520"/>
    </row>
    <row r="567" spans="37:70">
      <c r="AK567" s="2482"/>
      <c r="BG567" s="30">
        <v>44.7</v>
      </c>
      <c r="BH567" s="31">
        <v>0.80310000000000004</v>
      </c>
      <c r="BI567" s="32">
        <v>802.7</v>
      </c>
      <c r="BJ567" s="33"/>
      <c r="BK567" s="12"/>
      <c r="BL567" s="12"/>
      <c r="BM567" s="12"/>
      <c r="BN567" s="33"/>
      <c r="BO567" s="33"/>
      <c r="BP567" s="33"/>
      <c r="BQ567" s="33"/>
      <c r="BR567" s="520"/>
    </row>
    <row r="568" spans="37:70">
      <c r="AK568" s="2482"/>
      <c r="BG568" s="30">
        <v>44.8</v>
      </c>
      <c r="BH568" s="31">
        <v>0.80259999999999998</v>
      </c>
      <c r="BI568" s="32">
        <v>802.2</v>
      </c>
      <c r="BJ568" s="33"/>
      <c r="BK568" s="12"/>
      <c r="BL568" s="12"/>
      <c r="BM568" s="12"/>
      <c r="BN568" s="33"/>
      <c r="BO568" s="33"/>
      <c r="BP568" s="33"/>
      <c r="BQ568" s="33"/>
      <c r="BR568" s="520"/>
    </row>
    <row r="569" spans="37:70">
      <c r="AK569" s="2482"/>
      <c r="BG569" s="30">
        <v>44.9</v>
      </c>
      <c r="BH569" s="31">
        <v>0.80220000000000002</v>
      </c>
      <c r="BI569" s="32">
        <v>801.8</v>
      </c>
      <c r="BJ569" s="33"/>
      <c r="BK569" s="12"/>
      <c r="BL569" s="12"/>
      <c r="BM569" s="12"/>
      <c r="BN569" s="33"/>
      <c r="BO569" s="33"/>
      <c r="BP569" s="33"/>
      <c r="BQ569" s="33"/>
      <c r="BR569" s="520"/>
    </row>
    <row r="570" spans="37:70">
      <c r="AK570" s="2482"/>
      <c r="BG570" s="30">
        <v>45</v>
      </c>
      <c r="BH570" s="31">
        <v>0.80169999999999997</v>
      </c>
      <c r="BI570" s="32">
        <v>801.3</v>
      </c>
      <c r="BJ570" s="33"/>
      <c r="BK570" s="12"/>
      <c r="BL570" s="12"/>
      <c r="BM570" s="12"/>
      <c r="BN570" s="33"/>
      <c r="BO570" s="33"/>
      <c r="BP570" s="33"/>
      <c r="BQ570" s="33"/>
      <c r="BR570" s="520"/>
    </row>
    <row r="571" spans="37:70">
      <c r="AK571" s="2482"/>
      <c r="BG571" s="30">
        <v>45.1</v>
      </c>
      <c r="BH571" s="31">
        <v>0.80120000000000002</v>
      </c>
      <c r="BI571" s="32">
        <v>800.9</v>
      </c>
      <c r="BJ571" s="33"/>
      <c r="BK571" s="12"/>
      <c r="BL571" s="12"/>
      <c r="BM571" s="12"/>
      <c r="BN571" s="33"/>
      <c r="BO571" s="33"/>
      <c r="BP571" s="33"/>
      <c r="BQ571" s="33"/>
      <c r="BR571" s="520"/>
    </row>
    <row r="572" spans="37:70">
      <c r="AK572" s="2482"/>
      <c r="BG572" s="30">
        <v>45.2</v>
      </c>
      <c r="BH572" s="31">
        <v>0.80079999999999996</v>
      </c>
      <c r="BI572" s="32">
        <v>800.4</v>
      </c>
      <c r="BJ572" s="33"/>
      <c r="BK572" s="12"/>
      <c r="BL572" s="12"/>
      <c r="BM572" s="12"/>
      <c r="BN572" s="33"/>
      <c r="BO572" s="33"/>
      <c r="BP572" s="33"/>
      <c r="BQ572" s="33"/>
      <c r="BR572" s="520"/>
    </row>
    <row r="573" spans="37:70">
      <c r="AK573" s="2482"/>
      <c r="BG573" s="30">
        <v>45.3</v>
      </c>
      <c r="BH573" s="31">
        <v>0.80030000000000001</v>
      </c>
      <c r="BI573" s="32">
        <v>800</v>
      </c>
      <c r="BJ573" s="33"/>
      <c r="BK573" s="12"/>
      <c r="BL573" s="12"/>
      <c r="BM573" s="12"/>
      <c r="BN573" s="33"/>
      <c r="BO573" s="33"/>
      <c r="BP573" s="33"/>
      <c r="BQ573" s="33"/>
      <c r="BR573" s="520"/>
    </row>
    <row r="574" spans="37:70">
      <c r="AK574" s="2482"/>
      <c r="BG574" s="30">
        <v>45.4</v>
      </c>
      <c r="BH574" s="31">
        <v>0.79990000000000006</v>
      </c>
      <c r="BI574" s="32">
        <v>799.5</v>
      </c>
      <c r="BJ574" s="33"/>
      <c r="BK574" s="12"/>
      <c r="BL574" s="12"/>
      <c r="BM574" s="12"/>
      <c r="BN574" s="33"/>
      <c r="BO574" s="33"/>
      <c r="BP574" s="33"/>
      <c r="BQ574" s="33"/>
      <c r="BR574" s="520"/>
    </row>
    <row r="575" spans="37:70">
      <c r="AK575" s="2482"/>
      <c r="BG575" s="30">
        <v>45.5</v>
      </c>
      <c r="BH575" s="31">
        <v>0.7994</v>
      </c>
      <c r="BI575" s="32">
        <v>799.1</v>
      </c>
      <c r="BJ575" s="33"/>
      <c r="BK575" s="12"/>
      <c r="BL575" s="12"/>
      <c r="BM575" s="12"/>
      <c r="BN575" s="33"/>
      <c r="BO575" s="33"/>
      <c r="BP575" s="33"/>
      <c r="BQ575" s="33"/>
      <c r="BR575" s="520"/>
    </row>
    <row r="576" spans="37:70">
      <c r="AK576" s="2482"/>
      <c r="BG576" s="30">
        <v>45.6</v>
      </c>
      <c r="BH576" s="31">
        <v>0.79900000000000004</v>
      </c>
      <c r="BI576" s="32">
        <v>798.6</v>
      </c>
      <c r="BJ576" s="33"/>
      <c r="BK576" s="12"/>
      <c r="BL576" s="12"/>
      <c r="BM576" s="12"/>
      <c r="BN576" s="33"/>
      <c r="BO576" s="33"/>
      <c r="BP576" s="33"/>
      <c r="BQ576" s="33"/>
      <c r="BR576" s="520"/>
    </row>
    <row r="577" spans="37:70">
      <c r="AK577" s="2482"/>
      <c r="BG577" s="30">
        <v>45.7</v>
      </c>
      <c r="BH577" s="31">
        <v>0.79849999999999999</v>
      </c>
      <c r="BI577" s="32">
        <v>798.2</v>
      </c>
      <c r="BJ577" s="33"/>
      <c r="BK577" s="12"/>
      <c r="BL577" s="12"/>
      <c r="BM577" s="12"/>
      <c r="BN577" s="33"/>
      <c r="BO577" s="33"/>
      <c r="BP577" s="33"/>
      <c r="BQ577" s="33"/>
      <c r="BR577" s="520"/>
    </row>
    <row r="578" spans="37:70">
      <c r="AK578" s="2482"/>
      <c r="BG578" s="30">
        <v>45.8</v>
      </c>
      <c r="BH578" s="31">
        <v>0.79810000000000003</v>
      </c>
      <c r="BI578" s="32">
        <v>797.7</v>
      </c>
      <c r="BJ578" s="33"/>
      <c r="BK578" s="12"/>
      <c r="BL578" s="12"/>
      <c r="BM578" s="12"/>
      <c r="BN578" s="33"/>
      <c r="BO578" s="33"/>
      <c r="BP578" s="33"/>
      <c r="BQ578" s="33"/>
      <c r="BR578" s="520"/>
    </row>
    <row r="579" spans="37:70">
      <c r="AK579" s="2482"/>
      <c r="BG579" s="30">
        <v>45.9</v>
      </c>
      <c r="BH579" s="31">
        <v>0.79759999999999998</v>
      </c>
      <c r="BI579" s="32">
        <v>797.3</v>
      </c>
      <c r="BJ579" s="33"/>
      <c r="BK579" s="12"/>
      <c r="BL579" s="12"/>
      <c r="BM579" s="12"/>
      <c r="BN579" s="33"/>
      <c r="BO579" s="33"/>
      <c r="BP579" s="33"/>
      <c r="BQ579" s="33"/>
      <c r="BR579" s="520"/>
    </row>
    <row r="580" spans="37:70">
      <c r="AK580" s="2482"/>
      <c r="BG580" s="30">
        <v>46</v>
      </c>
      <c r="BH580" s="31">
        <v>0.79720000000000002</v>
      </c>
      <c r="BI580" s="32">
        <v>796.8</v>
      </c>
      <c r="BJ580" s="33"/>
      <c r="BK580" s="12"/>
      <c r="BL580" s="12"/>
      <c r="BM580" s="12"/>
      <c r="BN580" s="33"/>
      <c r="BO580" s="33"/>
      <c r="BP580" s="33"/>
      <c r="BQ580" s="33"/>
      <c r="BR580" s="520"/>
    </row>
    <row r="581" spans="37:70">
      <c r="AK581" s="2482"/>
      <c r="BG581" s="30">
        <v>46.1</v>
      </c>
      <c r="BH581" s="31">
        <v>0.79669999999999996</v>
      </c>
      <c r="BI581" s="32">
        <v>796.4</v>
      </c>
      <c r="BJ581" s="33"/>
      <c r="BK581" s="12"/>
      <c r="BL581" s="12"/>
      <c r="BM581" s="12"/>
      <c r="BN581" s="33"/>
      <c r="BO581" s="33"/>
      <c r="BP581" s="33"/>
      <c r="BQ581" s="33"/>
      <c r="BR581" s="520"/>
    </row>
    <row r="582" spans="37:70">
      <c r="AK582" s="2482"/>
      <c r="BG582" s="30">
        <v>46.2</v>
      </c>
      <c r="BH582" s="31">
        <v>0.79630000000000001</v>
      </c>
      <c r="BI582" s="32">
        <v>795.9</v>
      </c>
      <c r="BJ582" s="33"/>
      <c r="BK582" s="12"/>
      <c r="BL582" s="12"/>
      <c r="BM582" s="12"/>
      <c r="BN582" s="33"/>
      <c r="BO582" s="33"/>
      <c r="BP582" s="33"/>
      <c r="BQ582" s="33"/>
      <c r="BR582" s="520"/>
    </row>
    <row r="583" spans="37:70">
      <c r="AK583" s="2482"/>
      <c r="BG583" s="30">
        <v>46.3</v>
      </c>
      <c r="BH583" s="31">
        <v>0.79579999999999995</v>
      </c>
      <c r="BI583" s="32">
        <v>795.5</v>
      </c>
      <c r="BJ583" s="33"/>
      <c r="BK583" s="12"/>
      <c r="BL583" s="12"/>
      <c r="BM583" s="12"/>
      <c r="BN583" s="33"/>
      <c r="BO583" s="33"/>
      <c r="BP583" s="33"/>
      <c r="BQ583" s="33"/>
      <c r="BR583" s="520"/>
    </row>
    <row r="584" spans="37:70">
      <c r="AK584" s="2482"/>
      <c r="BG584" s="30">
        <v>46.4</v>
      </c>
      <c r="BH584" s="31">
        <v>0.7954</v>
      </c>
      <c r="BI584" s="32">
        <v>795</v>
      </c>
      <c r="BJ584" s="33"/>
      <c r="BK584" s="12"/>
      <c r="BL584" s="12"/>
      <c r="BM584" s="12"/>
      <c r="BN584" s="33"/>
      <c r="BO584" s="33"/>
      <c r="BP584" s="33"/>
      <c r="BQ584" s="33"/>
      <c r="BR584" s="520"/>
    </row>
    <row r="585" spans="37:70">
      <c r="AK585" s="2482"/>
      <c r="BG585" s="30">
        <v>46.5</v>
      </c>
      <c r="BH585" s="31">
        <v>0.79490000000000005</v>
      </c>
      <c r="BI585" s="32">
        <v>794.6</v>
      </c>
      <c r="BJ585" s="33"/>
      <c r="BK585" s="12"/>
      <c r="BL585" s="12"/>
      <c r="BM585" s="12"/>
      <c r="BN585" s="33"/>
      <c r="BO585" s="33"/>
      <c r="BP585" s="33"/>
      <c r="BQ585" s="33"/>
      <c r="BR585" s="520"/>
    </row>
    <row r="586" spans="37:70">
      <c r="AK586" s="2482"/>
      <c r="BG586" s="30">
        <v>46.6</v>
      </c>
      <c r="BH586" s="31">
        <v>0.79449999999999998</v>
      </c>
      <c r="BI586" s="32">
        <v>794.1</v>
      </c>
      <c r="BJ586" s="33"/>
      <c r="BK586" s="12"/>
      <c r="BL586" s="12"/>
      <c r="BM586" s="12"/>
      <c r="BN586" s="33"/>
      <c r="BO586" s="33"/>
      <c r="BP586" s="33"/>
      <c r="BQ586" s="33"/>
      <c r="BR586" s="520"/>
    </row>
    <row r="587" spans="37:70">
      <c r="AK587" s="2482"/>
      <c r="BG587" s="30">
        <v>46.7</v>
      </c>
      <c r="BH587" s="31">
        <v>0.79410000000000003</v>
      </c>
      <c r="BI587" s="32">
        <v>793.7</v>
      </c>
      <c r="BJ587" s="33"/>
      <c r="BK587" s="12"/>
      <c r="BL587" s="12"/>
      <c r="BM587" s="12"/>
      <c r="BN587" s="33"/>
      <c r="BO587" s="33"/>
      <c r="BP587" s="33"/>
      <c r="BQ587" s="33"/>
      <c r="BR587" s="520"/>
    </row>
    <row r="588" spans="37:70">
      <c r="AK588" s="2482"/>
      <c r="BG588" s="30">
        <v>46.8</v>
      </c>
      <c r="BH588" s="31">
        <v>0.79359999999999997</v>
      </c>
      <c r="BI588" s="32">
        <v>793.2</v>
      </c>
      <c r="BJ588" s="33"/>
      <c r="BK588" s="12"/>
      <c r="BL588" s="12"/>
      <c r="BM588" s="12"/>
      <c r="BN588" s="33"/>
      <c r="BO588" s="33"/>
      <c r="BP588" s="33"/>
      <c r="BQ588" s="33"/>
      <c r="BR588" s="520"/>
    </row>
    <row r="589" spans="37:70">
      <c r="AK589" s="2482"/>
      <c r="BG589" s="30">
        <v>46.9</v>
      </c>
      <c r="BH589" s="31">
        <v>0.79320000000000002</v>
      </c>
      <c r="BI589" s="32">
        <v>792.8</v>
      </c>
      <c r="BJ589" s="33"/>
      <c r="BK589" s="12"/>
      <c r="BL589" s="12"/>
      <c r="BM589" s="12"/>
      <c r="BN589" s="33"/>
      <c r="BO589" s="33"/>
      <c r="BP589" s="33"/>
      <c r="BQ589" s="33"/>
      <c r="BR589" s="520"/>
    </row>
    <row r="590" spans="37:70">
      <c r="AK590" s="2482"/>
      <c r="BG590" s="30">
        <v>47</v>
      </c>
      <c r="BH590" s="31">
        <v>0.79269999999999996</v>
      </c>
      <c r="BI590" s="32">
        <v>792.4</v>
      </c>
      <c r="BJ590" s="33"/>
      <c r="BK590" s="12"/>
      <c r="BL590" s="12"/>
      <c r="BM590" s="12"/>
      <c r="BN590" s="33"/>
      <c r="BO590" s="33"/>
      <c r="BP590" s="33"/>
      <c r="BQ590" s="33"/>
      <c r="BR590" s="520"/>
    </row>
    <row r="591" spans="37:70">
      <c r="AK591" s="2482"/>
      <c r="BG591" s="30">
        <v>47.1</v>
      </c>
      <c r="BH591" s="31">
        <v>0.7923</v>
      </c>
      <c r="BI591" s="32">
        <v>791.9</v>
      </c>
      <c r="BJ591" s="33"/>
      <c r="BK591" s="12"/>
      <c r="BL591" s="12"/>
      <c r="BM591" s="12"/>
      <c r="BN591" s="33"/>
      <c r="BO591" s="33"/>
      <c r="BP591" s="33"/>
      <c r="BQ591" s="33"/>
      <c r="BR591" s="520"/>
    </row>
    <row r="592" spans="37:70">
      <c r="AK592" s="2482"/>
      <c r="BG592" s="30">
        <v>47.2</v>
      </c>
      <c r="BH592" s="31">
        <v>0.79179999999999995</v>
      </c>
      <c r="BI592" s="32">
        <v>791.5</v>
      </c>
      <c r="BJ592" s="33"/>
      <c r="BK592" s="12"/>
      <c r="BL592" s="12"/>
      <c r="BM592" s="12"/>
      <c r="BN592" s="33"/>
      <c r="BO592" s="33"/>
      <c r="BP592" s="33"/>
      <c r="BQ592" s="33"/>
      <c r="BR592" s="520"/>
    </row>
    <row r="593" spans="37:70">
      <c r="AK593" s="2482"/>
      <c r="BG593" s="30">
        <v>47.3</v>
      </c>
      <c r="BH593" s="31">
        <v>0.79139999999999999</v>
      </c>
      <c r="BI593" s="32">
        <v>791</v>
      </c>
      <c r="BJ593" s="33"/>
      <c r="BK593" s="12"/>
      <c r="BL593" s="12"/>
      <c r="BM593" s="12"/>
      <c r="BN593" s="33"/>
      <c r="BO593" s="33"/>
      <c r="BP593" s="33"/>
      <c r="BQ593" s="33"/>
      <c r="BR593" s="520"/>
    </row>
    <row r="594" spans="37:70">
      <c r="AK594" s="2482"/>
      <c r="BG594" s="30">
        <v>47.4</v>
      </c>
      <c r="BH594" s="31">
        <v>0.79090000000000005</v>
      </c>
      <c r="BI594" s="32">
        <v>790.6</v>
      </c>
      <c r="BJ594" s="33"/>
      <c r="BK594" s="12"/>
      <c r="BL594" s="12"/>
      <c r="BM594" s="12"/>
      <c r="BN594" s="33"/>
      <c r="BO594" s="33"/>
      <c r="BP594" s="33"/>
      <c r="BQ594" s="33"/>
      <c r="BR594" s="520"/>
    </row>
    <row r="595" spans="37:70">
      <c r="AK595" s="2482"/>
      <c r="BG595" s="30">
        <v>47.5</v>
      </c>
      <c r="BH595" s="31">
        <v>0.79049999999999998</v>
      </c>
      <c r="BI595" s="32">
        <v>790.1</v>
      </c>
      <c r="BJ595" s="33"/>
      <c r="BK595" s="12"/>
      <c r="BL595" s="12"/>
      <c r="BM595" s="12"/>
      <c r="BN595" s="33"/>
      <c r="BO595" s="33"/>
      <c r="BP595" s="33"/>
      <c r="BQ595" s="33"/>
      <c r="BR595" s="520"/>
    </row>
    <row r="596" spans="37:70">
      <c r="AK596" s="2482"/>
      <c r="BG596" s="30">
        <v>47.6</v>
      </c>
      <c r="BH596" s="31">
        <v>0.79010000000000002</v>
      </c>
      <c r="BI596" s="32">
        <v>789.7</v>
      </c>
      <c r="BJ596" s="33"/>
      <c r="BK596" s="12"/>
      <c r="BL596" s="12"/>
      <c r="BM596" s="12"/>
      <c r="BN596" s="33"/>
      <c r="BO596" s="33"/>
      <c r="BP596" s="33"/>
      <c r="BQ596" s="33"/>
      <c r="BR596" s="520"/>
    </row>
    <row r="597" spans="37:70">
      <c r="AK597" s="2482"/>
      <c r="BG597" s="30">
        <v>47.7</v>
      </c>
      <c r="BH597" s="31">
        <v>0.78959999999999997</v>
      </c>
      <c r="BI597" s="32">
        <v>789.3</v>
      </c>
      <c r="BJ597" s="33"/>
      <c r="BK597" s="12"/>
      <c r="BL597" s="12"/>
      <c r="BM597" s="12"/>
      <c r="BN597" s="33"/>
      <c r="BO597" s="33"/>
      <c r="BP597" s="33"/>
      <c r="BQ597" s="33"/>
      <c r="BR597" s="520"/>
    </row>
    <row r="598" spans="37:70">
      <c r="AK598" s="2482"/>
      <c r="BG598" s="30">
        <v>47.8</v>
      </c>
      <c r="BH598" s="31">
        <v>0.78920000000000001</v>
      </c>
      <c r="BI598" s="32">
        <v>788.8</v>
      </c>
      <c r="BJ598" s="33"/>
      <c r="BK598" s="12"/>
      <c r="BL598" s="12"/>
      <c r="BM598" s="12"/>
      <c r="BN598" s="33"/>
      <c r="BO598" s="33"/>
      <c r="BP598" s="33"/>
      <c r="BQ598" s="33"/>
      <c r="BR598" s="520"/>
    </row>
    <row r="599" spans="37:70">
      <c r="AK599" s="2482"/>
      <c r="BG599" s="30">
        <v>47.9</v>
      </c>
      <c r="BH599" s="31">
        <v>0.78869999999999996</v>
      </c>
      <c r="BI599" s="32">
        <v>788.4</v>
      </c>
      <c r="BJ599" s="33"/>
      <c r="BK599" s="12"/>
      <c r="BL599" s="12"/>
      <c r="BM599" s="12"/>
      <c r="BN599" s="33"/>
      <c r="BO599" s="33"/>
      <c r="BP599" s="33"/>
      <c r="BQ599" s="33"/>
      <c r="BR599" s="520"/>
    </row>
    <row r="600" spans="37:70">
      <c r="AK600" s="2482"/>
      <c r="BG600" s="30">
        <v>48</v>
      </c>
      <c r="BH600" s="31">
        <v>0.7883</v>
      </c>
      <c r="BI600" s="32">
        <v>787.9</v>
      </c>
      <c r="BJ600" s="33"/>
      <c r="BK600" s="12"/>
      <c r="BL600" s="12"/>
      <c r="BM600" s="12"/>
      <c r="BN600" s="33"/>
      <c r="BO600" s="33"/>
      <c r="BP600" s="33"/>
      <c r="BQ600" s="33"/>
      <c r="BR600" s="520"/>
    </row>
    <row r="601" spans="37:70">
      <c r="AK601" s="2482"/>
      <c r="BG601" s="30">
        <v>48.1</v>
      </c>
      <c r="BH601" s="31">
        <v>0.78790000000000004</v>
      </c>
      <c r="BI601" s="32">
        <v>787.5</v>
      </c>
      <c r="BJ601" s="33"/>
      <c r="BK601" s="12"/>
      <c r="BL601" s="12"/>
      <c r="BM601" s="12"/>
      <c r="BN601" s="33"/>
      <c r="BO601" s="33"/>
      <c r="BP601" s="33"/>
      <c r="BQ601" s="33"/>
      <c r="BR601" s="520"/>
    </row>
    <row r="602" spans="37:70">
      <c r="AK602" s="2482"/>
      <c r="BG602" s="30">
        <v>48.2</v>
      </c>
      <c r="BH602" s="31">
        <v>0.78739999999999999</v>
      </c>
      <c r="BI602" s="32">
        <v>787.13</v>
      </c>
      <c r="BJ602" s="33"/>
      <c r="BK602" s="12"/>
      <c r="BL602" s="12"/>
      <c r="BM602" s="12"/>
      <c r="BN602" s="33"/>
      <c r="BO602" s="33"/>
      <c r="BP602" s="33"/>
      <c r="BQ602" s="33"/>
      <c r="BR602" s="520"/>
    </row>
    <row r="603" spans="37:70">
      <c r="AK603" s="2482"/>
      <c r="BG603" s="30">
        <v>48.3</v>
      </c>
      <c r="BH603" s="31">
        <v>0.78700000000000003</v>
      </c>
      <c r="BI603" s="32">
        <v>786.6</v>
      </c>
      <c r="BJ603" s="33"/>
      <c r="BK603" s="12"/>
      <c r="BL603" s="12"/>
      <c r="BM603" s="12"/>
      <c r="BN603" s="33"/>
      <c r="BO603" s="33"/>
      <c r="BP603" s="33"/>
      <c r="BQ603" s="33"/>
      <c r="BR603" s="520"/>
    </row>
    <row r="604" spans="37:70">
      <c r="AK604" s="2482"/>
      <c r="BG604" s="30">
        <v>48.4</v>
      </c>
      <c r="BH604" s="31">
        <v>0.78649999999999998</v>
      </c>
      <c r="BI604" s="32">
        <v>786.2</v>
      </c>
      <c r="BJ604" s="33"/>
      <c r="BK604" s="12"/>
      <c r="BL604" s="12"/>
      <c r="BM604" s="12"/>
      <c r="BN604" s="33"/>
      <c r="BO604" s="33"/>
      <c r="BP604" s="33"/>
      <c r="BQ604" s="33"/>
      <c r="BR604" s="520"/>
    </row>
    <row r="605" spans="37:70">
      <c r="AK605" s="2482"/>
      <c r="BG605" s="30">
        <v>48.5</v>
      </c>
      <c r="BH605" s="31">
        <v>0.78610000000000002</v>
      </c>
      <c r="BI605" s="32">
        <v>785.8</v>
      </c>
      <c r="BJ605" s="33"/>
      <c r="BK605" s="12"/>
      <c r="BL605" s="12"/>
      <c r="BM605" s="12"/>
      <c r="BN605" s="33"/>
      <c r="BO605" s="33"/>
      <c r="BP605" s="33"/>
      <c r="BQ605" s="33"/>
      <c r="BR605" s="520"/>
    </row>
    <row r="606" spans="37:70">
      <c r="AK606" s="2482"/>
      <c r="BG606" s="30">
        <v>48.6</v>
      </c>
      <c r="BH606" s="31">
        <v>0.78569999999999995</v>
      </c>
      <c r="BI606" s="32">
        <v>785.3</v>
      </c>
      <c r="BJ606" s="33"/>
      <c r="BK606" s="12"/>
      <c r="BL606" s="12"/>
      <c r="BM606" s="12"/>
      <c r="BN606" s="33"/>
      <c r="BO606" s="33"/>
      <c r="BP606" s="33"/>
      <c r="BQ606" s="33"/>
      <c r="BR606" s="520"/>
    </row>
    <row r="607" spans="37:70">
      <c r="AK607" s="2482"/>
      <c r="BG607" s="30">
        <v>48.7</v>
      </c>
      <c r="BH607" s="31">
        <v>0.78520000000000001</v>
      </c>
      <c r="BI607" s="32">
        <v>784.9</v>
      </c>
      <c r="BJ607" s="33"/>
      <c r="BK607" s="12"/>
      <c r="BL607" s="12"/>
      <c r="BM607" s="12"/>
      <c r="BN607" s="33"/>
      <c r="BO607" s="33"/>
      <c r="BP607" s="33"/>
      <c r="BQ607" s="33"/>
      <c r="BR607" s="520"/>
    </row>
    <row r="608" spans="37:70">
      <c r="AK608" s="2482"/>
      <c r="BG608" s="30">
        <v>48.8</v>
      </c>
      <c r="BH608" s="31">
        <v>0.78480000000000005</v>
      </c>
      <c r="BI608" s="32">
        <v>784.5</v>
      </c>
      <c r="BJ608" s="33"/>
      <c r="BK608" s="12"/>
      <c r="BL608" s="12"/>
      <c r="BM608" s="12"/>
      <c r="BN608" s="33"/>
      <c r="BO608" s="33"/>
      <c r="BP608" s="33"/>
      <c r="BQ608" s="33"/>
      <c r="BR608" s="520"/>
    </row>
    <row r="609" spans="37:70">
      <c r="AK609" s="2482"/>
      <c r="BG609" s="30">
        <v>48.9</v>
      </c>
      <c r="BH609" s="31">
        <v>0.78439999999999999</v>
      </c>
      <c r="BI609" s="32">
        <v>784</v>
      </c>
      <c r="BJ609" s="33"/>
      <c r="BK609" s="12"/>
      <c r="BL609" s="12"/>
      <c r="BM609" s="12"/>
      <c r="BN609" s="33"/>
      <c r="BO609" s="33"/>
      <c r="BP609" s="33"/>
      <c r="BQ609" s="33"/>
      <c r="BR609" s="520"/>
    </row>
    <row r="610" spans="37:70">
      <c r="AK610" s="2482"/>
      <c r="BG610" s="30">
        <v>49</v>
      </c>
      <c r="BH610" s="31">
        <v>0.78390000000000004</v>
      </c>
      <c r="BI610" s="32">
        <v>783.6</v>
      </c>
      <c r="BJ610" s="33"/>
      <c r="BK610" s="12"/>
      <c r="BL610" s="12"/>
      <c r="BM610" s="12"/>
      <c r="BN610" s="33"/>
      <c r="BO610" s="33"/>
      <c r="BP610" s="33"/>
      <c r="BQ610" s="33"/>
      <c r="BR610" s="520"/>
    </row>
    <row r="611" spans="37:70">
      <c r="AK611" s="2482"/>
      <c r="BG611" s="30">
        <v>49.1</v>
      </c>
      <c r="BH611" s="31">
        <v>0.78349999999999997</v>
      </c>
      <c r="BI611" s="32">
        <v>783.2</v>
      </c>
      <c r="BJ611" s="33"/>
      <c r="BK611" s="12"/>
      <c r="BL611" s="12"/>
      <c r="BM611" s="12"/>
      <c r="BN611" s="33"/>
      <c r="BO611" s="33"/>
      <c r="BP611" s="33"/>
      <c r="BQ611" s="33"/>
      <c r="BR611" s="520"/>
    </row>
    <row r="612" spans="37:70">
      <c r="AK612" s="2482"/>
      <c r="BG612" s="30">
        <v>49.2</v>
      </c>
      <c r="BH612" s="31">
        <v>0.78310000000000002</v>
      </c>
      <c r="BI612" s="32">
        <v>782.7</v>
      </c>
      <c r="BJ612" s="33"/>
      <c r="BK612" s="12"/>
      <c r="BL612" s="12"/>
      <c r="BM612" s="12"/>
      <c r="BN612" s="33"/>
      <c r="BO612" s="33"/>
      <c r="BP612" s="33"/>
      <c r="BQ612" s="33"/>
      <c r="BR612" s="520"/>
    </row>
    <row r="613" spans="37:70">
      <c r="AK613" s="2482"/>
      <c r="BG613" s="30">
        <v>49.3</v>
      </c>
      <c r="BH613" s="31">
        <v>0.78259999999999996</v>
      </c>
      <c r="BI613" s="32">
        <v>782.3</v>
      </c>
      <c r="BJ613" s="33"/>
      <c r="BK613" s="12"/>
      <c r="BL613" s="12"/>
      <c r="BM613" s="12"/>
      <c r="BN613" s="33"/>
      <c r="BO613" s="33"/>
      <c r="BP613" s="33"/>
      <c r="BQ613" s="33"/>
      <c r="BR613" s="520"/>
    </row>
    <row r="614" spans="37:70">
      <c r="AK614" s="2482"/>
      <c r="BG614" s="30">
        <v>49.4</v>
      </c>
      <c r="BH614" s="31">
        <v>0.78220000000000001</v>
      </c>
      <c r="BI614" s="32">
        <v>781.9</v>
      </c>
      <c r="BJ614" s="33"/>
      <c r="BK614" s="12"/>
      <c r="BL614" s="12"/>
      <c r="BM614" s="12"/>
      <c r="BN614" s="33"/>
      <c r="BO614" s="33"/>
      <c r="BP614" s="33"/>
      <c r="BQ614" s="33"/>
      <c r="BR614" s="520"/>
    </row>
    <row r="615" spans="37:70">
      <c r="AK615" s="2482"/>
      <c r="BG615" s="30">
        <v>49.5</v>
      </c>
      <c r="BH615" s="31">
        <v>0.78180000000000005</v>
      </c>
      <c r="BI615" s="32">
        <v>781.4</v>
      </c>
      <c r="BJ615" s="33"/>
      <c r="BK615" s="12"/>
      <c r="BL615" s="12"/>
      <c r="BM615" s="12"/>
      <c r="BN615" s="33"/>
      <c r="BO615" s="33"/>
      <c r="BP615" s="33"/>
      <c r="BQ615" s="33"/>
      <c r="BR615" s="520"/>
    </row>
    <row r="616" spans="37:70">
      <c r="AK616" s="2482"/>
      <c r="BG616" s="30">
        <v>49.6</v>
      </c>
      <c r="BH616" s="31">
        <v>0.78129999999999999</v>
      </c>
      <c r="BI616" s="32">
        <v>781</v>
      </c>
      <c r="BJ616" s="33"/>
      <c r="BK616" s="12"/>
      <c r="BL616" s="12"/>
      <c r="BM616" s="12"/>
      <c r="BN616" s="33"/>
      <c r="BO616" s="33"/>
      <c r="BP616" s="33"/>
      <c r="BQ616" s="33"/>
      <c r="BR616" s="520"/>
    </row>
    <row r="617" spans="37:70">
      <c r="AK617" s="2482"/>
      <c r="BG617" s="30">
        <v>49.7</v>
      </c>
      <c r="BH617" s="31">
        <v>0.78090000000000004</v>
      </c>
      <c r="BI617" s="32">
        <v>780.6</v>
      </c>
      <c r="BJ617" s="33"/>
      <c r="BK617" s="12"/>
      <c r="BL617" s="12"/>
      <c r="BM617" s="12"/>
      <c r="BN617" s="33"/>
      <c r="BO617" s="33"/>
      <c r="BP617" s="33"/>
      <c r="BQ617" s="33"/>
      <c r="BR617" s="520"/>
    </row>
    <row r="618" spans="37:70">
      <c r="AK618" s="2482"/>
      <c r="BG618" s="30">
        <v>49.8</v>
      </c>
      <c r="BH618" s="31">
        <v>0.78049999999999997</v>
      </c>
      <c r="BI618" s="32">
        <v>780.2</v>
      </c>
      <c r="BJ618" s="33"/>
      <c r="BK618" s="12"/>
      <c r="BL618" s="12"/>
      <c r="BM618" s="12"/>
      <c r="BN618" s="33"/>
      <c r="BO618" s="33"/>
      <c r="BP618" s="33"/>
      <c r="BQ618" s="33"/>
      <c r="BR618" s="520"/>
    </row>
    <row r="619" spans="37:70">
      <c r="AK619" s="2482"/>
      <c r="BG619" s="30">
        <v>49.9</v>
      </c>
      <c r="BH619" s="31">
        <v>0.78</v>
      </c>
      <c r="BI619" s="32">
        <v>779.7</v>
      </c>
      <c r="BJ619" s="33"/>
      <c r="BK619" s="12"/>
      <c r="BL619" s="12"/>
      <c r="BM619" s="12"/>
      <c r="BN619" s="33"/>
      <c r="BO619" s="33"/>
      <c r="BP619" s="33"/>
      <c r="BQ619" s="33"/>
      <c r="BR619" s="520"/>
    </row>
    <row r="620" spans="37:70">
      <c r="AK620" s="2482"/>
      <c r="BG620" s="30">
        <v>50</v>
      </c>
      <c r="BH620" s="31">
        <v>0.77959999999999996</v>
      </c>
      <c r="BI620" s="32">
        <v>779.3</v>
      </c>
      <c r="BJ620" s="33"/>
      <c r="BK620" s="12"/>
      <c r="BL620" s="12"/>
      <c r="BM620" s="12"/>
      <c r="BN620" s="33"/>
      <c r="BO620" s="33"/>
      <c r="BP620" s="33"/>
      <c r="BQ620" s="33"/>
      <c r="BR620" s="520"/>
    </row>
    <row r="621" spans="37:70">
      <c r="AK621" s="2482"/>
      <c r="BG621" s="30">
        <v>50.1</v>
      </c>
      <c r="BH621" s="31">
        <v>0.7792</v>
      </c>
      <c r="BI621" s="32">
        <v>778.9</v>
      </c>
      <c r="BJ621" s="33"/>
      <c r="BK621" s="12"/>
      <c r="BL621" s="12"/>
      <c r="BM621" s="12"/>
      <c r="BN621" s="33"/>
      <c r="BO621" s="33"/>
      <c r="BP621" s="33"/>
      <c r="BQ621" s="33"/>
      <c r="BR621" s="520"/>
    </row>
    <row r="622" spans="37:70">
      <c r="AK622" s="2482"/>
      <c r="BG622" s="30">
        <v>50.2</v>
      </c>
      <c r="BH622" s="31">
        <v>0.77880000000000005</v>
      </c>
      <c r="BI622" s="32">
        <v>778.4</v>
      </c>
      <c r="BJ622" s="33"/>
      <c r="BK622" s="12"/>
      <c r="BL622" s="12"/>
      <c r="BM622" s="12"/>
      <c r="BN622" s="33"/>
      <c r="BO622" s="33"/>
      <c r="BP622" s="33"/>
      <c r="BQ622" s="33"/>
      <c r="BR622" s="520"/>
    </row>
    <row r="623" spans="37:70">
      <c r="AK623" s="2482"/>
      <c r="BG623" s="30">
        <v>50.3</v>
      </c>
      <c r="BH623" s="31">
        <v>0.77829999999999999</v>
      </c>
      <c r="BI623" s="32">
        <v>778</v>
      </c>
      <c r="BJ623" s="33"/>
      <c r="BK623" s="12"/>
      <c r="BL623" s="12"/>
      <c r="BM623" s="12"/>
      <c r="BN623" s="33"/>
      <c r="BO623" s="33"/>
      <c r="BP623" s="33"/>
      <c r="BQ623" s="33"/>
      <c r="BR623" s="520"/>
    </row>
    <row r="624" spans="37:70">
      <c r="AK624" s="2482"/>
      <c r="BG624" s="30">
        <v>50.4</v>
      </c>
      <c r="BH624" s="31">
        <v>0.77790000000000004</v>
      </c>
      <c r="BI624" s="32">
        <v>777.6</v>
      </c>
      <c r="BJ624" s="33"/>
      <c r="BK624" s="12"/>
      <c r="BL624" s="12"/>
      <c r="BM624" s="12"/>
      <c r="BN624" s="33"/>
      <c r="BO624" s="33"/>
      <c r="BP624" s="33"/>
      <c r="BQ624" s="33"/>
      <c r="BR624" s="520"/>
    </row>
    <row r="625" spans="37:70">
      <c r="AK625" s="2482"/>
      <c r="BG625" s="30">
        <v>50.5</v>
      </c>
      <c r="BH625" s="31">
        <v>0.77749999999999997</v>
      </c>
      <c r="BI625" s="32">
        <v>777.2</v>
      </c>
      <c r="BJ625" s="33"/>
      <c r="BK625" s="12"/>
      <c r="BL625" s="12"/>
      <c r="BM625" s="12"/>
      <c r="BN625" s="33"/>
      <c r="BO625" s="33"/>
      <c r="BP625" s="33"/>
      <c r="BQ625" s="33"/>
      <c r="BR625" s="520"/>
    </row>
    <row r="626" spans="37:70">
      <c r="AK626" s="2482"/>
      <c r="BG626" s="30">
        <v>50.6</v>
      </c>
      <c r="BH626" s="31">
        <v>0.77700000000000002</v>
      </c>
      <c r="BI626" s="32">
        <v>776.7</v>
      </c>
      <c r="BJ626" s="33"/>
      <c r="BK626" s="12"/>
      <c r="BL626" s="12"/>
      <c r="BM626" s="12"/>
      <c r="BN626" s="33"/>
      <c r="BO626" s="33"/>
      <c r="BP626" s="33"/>
      <c r="BQ626" s="33"/>
      <c r="BR626" s="520"/>
    </row>
    <row r="627" spans="37:70">
      <c r="AK627" s="2482"/>
      <c r="BG627" s="30">
        <v>50.7</v>
      </c>
      <c r="BH627" s="31">
        <v>0.77659999999999996</v>
      </c>
      <c r="BI627" s="32">
        <v>776.3</v>
      </c>
      <c r="BJ627" s="33"/>
      <c r="BK627" s="12"/>
      <c r="BL627" s="12"/>
      <c r="BM627" s="12"/>
      <c r="BN627" s="33"/>
      <c r="BO627" s="33"/>
      <c r="BP627" s="33"/>
      <c r="BQ627" s="33"/>
      <c r="BR627" s="520"/>
    </row>
    <row r="628" spans="37:70">
      <c r="AK628" s="2482"/>
      <c r="BG628" s="30">
        <v>50.8</v>
      </c>
      <c r="BH628" s="31">
        <v>0.7762</v>
      </c>
      <c r="BI628" s="32">
        <v>775.9</v>
      </c>
      <c r="BJ628" s="33"/>
      <c r="BK628" s="12"/>
      <c r="BL628" s="12"/>
      <c r="BM628" s="12"/>
      <c r="BN628" s="33"/>
      <c r="BO628" s="33"/>
      <c r="BP628" s="33"/>
      <c r="BQ628" s="33"/>
      <c r="BR628" s="520"/>
    </row>
    <row r="629" spans="37:70">
      <c r="AK629" s="2482"/>
      <c r="BG629" s="30">
        <v>50.9</v>
      </c>
      <c r="BH629" s="31">
        <v>0.77580000000000005</v>
      </c>
      <c r="BI629" s="32">
        <v>775.5</v>
      </c>
      <c r="BJ629" s="33"/>
      <c r="BK629" s="12"/>
      <c r="BL629" s="12"/>
      <c r="BM629" s="12"/>
      <c r="BN629" s="33"/>
      <c r="BO629" s="33"/>
      <c r="BP629" s="33"/>
      <c r="BQ629" s="33"/>
      <c r="BR629" s="520"/>
    </row>
    <row r="630" spans="37:70">
      <c r="AK630" s="2482"/>
      <c r="BG630" s="30">
        <v>51</v>
      </c>
      <c r="BH630" s="31">
        <v>0.77529999999999999</v>
      </c>
      <c r="BI630" s="32">
        <v>775.1</v>
      </c>
      <c r="BJ630" s="33"/>
      <c r="BK630" s="12"/>
      <c r="BL630" s="12"/>
      <c r="BM630" s="12"/>
      <c r="BN630" s="33"/>
      <c r="BO630" s="33"/>
      <c r="BP630" s="33"/>
      <c r="BQ630" s="33"/>
      <c r="BR630" s="520"/>
    </row>
    <row r="631" spans="37:70">
      <c r="AK631" s="2482"/>
      <c r="BG631" s="30">
        <v>51.1</v>
      </c>
      <c r="BH631" s="31">
        <v>0.77490000000000003</v>
      </c>
      <c r="BI631" s="32">
        <v>774.6</v>
      </c>
      <c r="BJ631" s="33"/>
      <c r="BK631" s="12"/>
      <c r="BL631" s="12"/>
      <c r="BM631" s="12"/>
      <c r="BN631" s="33"/>
      <c r="BO631" s="33"/>
      <c r="BP631" s="33"/>
      <c r="BQ631" s="33"/>
      <c r="BR631" s="520"/>
    </row>
    <row r="632" spans="37:70">
      <c r="AK632" s="2482"/>
      <c r="BG632" s="30">
        <v>51.2</v>
      </c>
      <c r="BH632" s="31">
        <v>0.77449999999999997</v>
      </c>
      <c r="BI632" s="32">
        <v>774.2</v>
      </c>
      <c r="BJ632" s="33"/>
      <c r="BK632" s="12"/>
      <c r="BL632" s="12"/>
      <c r="BM632" s="12"/>
      <c r="BN632" s="33"/>
      <c r="BO632" s="33"/>
      <c r="BP632" s="33"/>
      <c r="BQ632" s="33"/>
      <c r="BR632" s="520"/>
    </row>
    <row r="633" spans="37:70">
      <c r="AK633" s="2482"/>
      <c r="BG633" s="30">
        <v>51.3</v>
      </c>
      <c r="BH633" s="31">
        <v>0.77410000000000001</v>
      </c>
      <c r="BI633" s="32">
        <v>773.8</v>
      </c>
      <c r="BJ633" s="33"/>
      <c r="BK633" s="12"/>
      <c r="BL633" s="12"/>
      <c r="BM633" s="12"/>
      <c r="BN633" s="33"/>
      <c r="BO633" s="33"/>
      <c r="BP633" s="33"/>
      <c r="BQ633" s="33"/>
      <c r="BR633" s="520"/>
    </row>
    <row r="634" spans="37:70">
      <c r="AK634" s="2482"/>
      <c r="BG634" s="30">
        <v>51.4</v>
      </c>
      <c r="BH634" s="31">
        <v>0.77359999999999995</v>
      </c>
      <c r="BI634" s="32">
        <v>773.4</v>
      </c>
      <c r="BJ634" s="33"/>
      <c r="BK634" s="12"/>
      <c r="BL634" s="12"/>
      <c r="BM634" s="12"/>
      <c r="BN634" s="33"/>
      <c r="BO634" s="33"/>
      <c r="BP634" s="33"/>
      <c r="BQ634" s="33"/>
      <c r="BR634" s="520"/>
    </row>
    <row r="635" spans="37:70">
      <c r="AK635" s="2482"/>
      <c r="BG635" s="30">
        <v>51.5</v>
      </c>
      <c r="BH635" s="31">
        <v>0.7732</v>
      </c>
      <c r="BI635" s="32">
        <v>772.9</v>
      </c>
      <c r="BJ635" s="33"/>
      <c r="BK635" s="12"/>
      <c r="BL635" s="12"/>
      <c r="BM635" s="12"/>
      <c r="BN635" s="33"/>
      <c r="BO635" s="33"/>
      <c r="BP635" s="33"/>
      <c r="BQ635" s="33"/>
      <c r="BR635" s="520"/>
    </row>
    <row r="636" spans="37:70">
      <c r="AK636" s="2482"/>
      <c r="BG636" s="30">
        <v>51.6</v>
      </c>
      <c r="BH636" s="31">
        <v>0.77280000000000004</v>
      </c>
      <c r="BI636" s="32">
        <v>772.5</v>
      </c>
      <c r="BJ636" s="33"/>
      <c r="BK636" s="12"/>
      <c r="BL636" s="12"/>
      <c r="BM636" s="12"/>
      <c r="BN636" s="33"/>
      <c r="BO636" s="33"/>
      <c r="BP636" s="33"/>
      <c r="BQ636" s="33"/>
      <c r="BR636" s="520"/>
    </row>
    <row r="637" spans="37:70">
      <c r="AK637" s="2482"/>
      <c r="BG637" s="30">
        <v>51.7</v>
      </c>
      <c r="BH637" s="31">
        <v>0.77239999999999998</v>
      </c>
      <c r="BI637" s="32">
        <v>772.1</v>
      </c>
      <c r="BJ637" s="33"/>
      <c r="BK637" s="12"/>
      <c r="BL637" s="12"/>
      <c r="BM637" s="12"/>
      <c r="BN637" s="33"/>
      <c r="BO637" s="33"/>
      <c r="BP637" s="33"/>
      <c r="BQ637" s="33"/>
      <c r="BR637" s="520"/>
    </row>
    <row r="638" spans="37:70">
      <c r="AK638" s="2482"/>
      <c r="BG638" s="30">
        <v>51.8</v>
      </c>
      <c r="BH638" s="31">
        <v>0.77200000000000002</v>
      </c>
      <c r="BI638" s="32">
        <v>771.7</v>
      </c>
      <c r="BJ638" s="33"/>
      <c r="BK638" s="12"/>
      <c r="BL638" s="12"/>
      <c r="BM638" s="12"/>
      <c r="BN638" s="33"/>
      <c r="BO638" s="33"/>
      <c r="BP638" s="33"/>
      <c r="BQ638" s="33"/>
      <c r="BR638" s="520"/>
    </row>
    <row r="639" spans="37:70">
      <c r="AK639" s="2482"/>
      <c r="BG639" s="30">
        <v>51.9</v>
      </c>
      <c r="BH639" s="31">
        <v>0.77149999999999996</v>
      </c>
      <c r="BI639" s="32">
        <v>771.3</v>
      </c>
      <c r="BJ639" s="33"/>
      <c r="BK639" s="12"/>
      <c r="BL639" s="12"/>
      <c r="BM639" s="12"/>
      <c r="BN639" s="33"/>
      <c r="BO639" s="33"/>
      <c r="BP639" s="33"/>
      <c r="BQ639" s="33"/>
      <c r="BR639" s="520"/>
    </row>
    <row r="640" spans="37:70">
      <c r="AK640" s="2482"/>
      <c r="BG640" s="30">
        <v>52</v>
      </c>
      <c r="BH640" s="31">
        <v>0.77110000000000001</v>
      </c>
      <c r="BI640" s="32">
        <v>770.8</v>
      </c>
      <c r="BJ640" s="33"/>
      <c r="BK640" s="12"/>
      <c r="BL640" s="12"/>
      <c r="BM640" s="12"/>
      <c r="BN640" s="33"/>
      <c r="BO640" s="33"/>
      <c r="BP640" s="33"/>
      <c r="BQ640" s="33"/>
      <c r="BR640" s="520"/>
    </row>
    <row r="641" spans="37:70">
      <c r="AK641" s="2482"/>
      <c r="BG641" s="30">
        <v>52.1</v>
      </c>
      <c r="BH641" s="31">
        <v>0.77070000000000005</v>
      </c>
      <c r="BI641" s="32">
        <v>770.4</v>
      </c>
      <c r="BJ641" s="33"/>
      <c r="BK641" s="12"/>
      <c r="BL641" s="12"/>
      <c r="BM641" s="12"/>
      <c r="BN641" s="33"/>
      <c r="BO641" s="33"/>
      <c r="BP641" s="33"/>
      <c r="BQ641" s="33"/>
      <c r="BR641" s="520"/>
    </row>
    <row r="642" spans="37:70">
      <c r="AK642" s="2482"/>
      <c r="BG642" s="30">
        <v>52.2</v>
      </c>
      <c r="BH642" s="31">
        <v>0.77029999999999998</v>
      </c>
      <c r="BI642" s="32">
        <v>770</v>
      </c>
      <c r="BJ642" s="33"/>
      <c r="BK642" s="12"/>
      <c r="BL642" s="12"/>
      <c r="BM642" s="12"/>
      <c r="BN642" s="33"/>
      <c r="BO642" s="33"/>
      <c r="BP642" s="33"/>
      <c r="BQ642" s="33"/>
      <c r="BR642" s="520"/>
    </row>
    <row r="643" spans="37:70">
      <c r="AK643" s="2482"/>
      <c r="BG643" s="30">
        <v>52.3</v>
      </c>
      <c r="BH643" s="31">
        <v>0.76990000000000003</v>
      </c>
      <c r="BI643" s="32">
        <v>769.6</v>
      </c>
      <c r="BJ643" s="33"/>
      <c r="BK643" s="12"/>
      <c r="BL643" s="12"/>
      <c r="BM643" s="12"/>
      <c r="BN643" s="33"/>
      <c r="BO643" s="33"/>
      <c r="BP643" s="33"/>
      <c r="BQ643" s="33"/>
      <c r="BR643" s="520"/>
    </row>
    <row r="644" spans="37:70">
      <c r="AK644" s="2482"/>
      <c r="BG644" s="30">
        <v>52.4</v>
      </c>
      <c r="BH644" s="31">
        <v>0.76939999999999997</v>
      </c>
      <c r="BI644" s="32">
        <v>769.2</v>
      </c>
      <c r="BJ644" s="33"/>
      <c r="BK644" s="12"/>
      <c r="BL644" s="12"/>
      <c r="BM644" s="12"/>
      <c r="BN644" s="33"/>
      <c r="BO644" s="33"/>
      <c r="BP644" s="33"/>
      <c r="BQ644" s="33"/>
      <c r="BR644" s="520"/>
    </row>
    <row r="645" spans="37:70">
      <c r="AK645" s="2482"/>
      <c r="BG645" s="30">
        <v>52.5</v>
      </c>
      <c r="BH645" s="31">
        <v>0.76900000000000002</v>
      </c>
      <c r="BI645" s="32">
        <v>768.8</v>
      </c>
      <c r="BJ645" s="33"/>
      <c r="BK645" s="12"/>
      <c r="BL645" s="12"/>
      <c r="BM645" s="12"/>
      <c r="BN645" s="33"/>
      <c r="BO645" s="33"/>
      <c r="BP645" s="33"/>
      <c r="BQ645" s="33"/>
      <c r="BR645" s="520"/>
    </row>
    <row r="646" spans="37:70">
      <c r="AK646" s="2482"/>
      <c r="BG646" s="30">
        <v>52.6</v>
      </c>
      <c r="BH646" s="31">
        <v>0.76859999999999995</v>
      </c>
      <c r="BI646" s="32">
        <v>768.3</v>
      </c>
      <c r="BJ646" s="33"/>
      <c r="BK646" s="12"/>
      <c r="BL646" s="12"/>
      <c r="BM646" s="12"/>
      <c r="BN646" s="33"/>
      <c r="BO646" s="33"/>
      <c r="BP646" s="33"/>
      <c r="BQ646" s="33"/>
      <c r="BR646" s="520"/>
    </row>
    <row r="647" spans="37:70">
      <c r="AK647" s="2482"/>
      <c r="BG647" s="30">
        <v>52.7</v>
      </c>
      <c r="BH647" s="31">
        <v>0.76819999999999999</v>
      </c>
      <c r="BI647" s="32">
        <v>767.9</v>
      </c>
      <c r="BJ647" s="33"/>
      <c r="BK647" s="12"/>
      <c r="BL647" s="12"/>
      <c r="BM647" s="12"/>
      <c r="BN647" s="33"/>
      <c r="BO647" s="33"/>
      <c r="BP647" s="33"/>
      <c r="BQ647" s="33"/>
      <c r="BR647" s="520"/>
    </row>
    <row r="648" spans="37:70">
      <c r="AK648" s="2482"/>
      <c r="BG648" s="30">
        <v>52.8</v>
      </c>
      <c r="BH648" s="31">
        <v>0.76780000000000004</v>
      </c>
      <c r="BI648" s="32">
        <v>767.5</v>
      </c>
      <c r="BJ648" s="33"/>
      <c r="BK648" s="12"/>
      <c r="BL648" s="12"/>
      <c r="BM648" s="12"/>
      <c r="BN648" s="33"/>
      <c r="BO648" s="33"/>
      <c r="BP648" s="33"/>
      <c r="BQ648" s="33"/>
      <c r="BR648" s="520"/>
    </row>
    <row r="649" spans="37:70">
      <c r="AK649" s="2482"/>
      <c r="BG649" s="30">
        <v>52.9</v>
      </c>
      <c r="BH649" s="31">
        <v>0.76739999999999997</v>
      </c>
      <c r="BI649" s="32">
        <v>767.1</v>
      </c>
      <c r="BJ649" s="33"/>
      <c r="BK649" s="12"/>
      <c r="BL649" s="12"/>
      <c r="BM649" s="12"/>
      <c r="BN649" s="33"/>
      <c r="BO649" s="33"/>
      <c r="BP649" s="33"/>
      <c r="BQ649" s="33"/>
      <c r="BR649" s="520"/>
    </row>
    <row r="650" spans="37:70">
      <c r="AK650" s="2482"/>
      <c r="BG650" s="30">
        <v>53</v>
      </c>
      <c r="BH650" s="31">
        <v>0.76690000000000003</v>
      </c>
      <c r="BI650" s="32">
        <v>766.7</v>
      </c>
      <c r="BJ650" s="33"/>
      <c r="BK650" s="12"/>
      <c r="BL650" s="12"/>
      <c r="BM650" s="12"/>
      <c r="BN650" s="33"/>
      <c r="BO650" s="33"/>
      <c r="BP650" s="33"/>
      <c r="BQ650" s="33"/>
      <c r="BR650" s="520"/>
    </row>
    <row r="651" spans="37:70">
      <c r="AK651" s="2482"/>
      <c r="BG651" s="30">
        <v>53.1</v>
      </c>
      <c r="BH651" s="31">
        <v>0.76649999999999996</v>
      </c>
      <c r="BI651" s="32">
        <v>766.3</v>
      </c>
      <c r="BJ651" s="33"/>
      <c r="BK651" s="12"/>
      <c r="BL651" s="12"/>
      <c r="BM651" s="12"/>
      <c r="BN651" s="33"/>
      <c r="BO651" s="33"/>
      <c r="BP651" s="33"/>
      <c r="BQ651" s="33"/>
      <c r="BR651" s="520"/>
    </row>
    <row r="652" spans="37:70">
      <c r="AK652" s="2482"/>
      <c r="BG652" s="30">
        <v>53.2</v>
      </c>
      <c r="BH652" s="31">
        <v>0.7661</v>
      </c>
      <c r="BI652" s="32">
        <v>765.8</v>
      </c>
      <c r="BJ652" s="33"/>
      <c r="BK652" s="12"/>
      <c r="BL652" s="12"/>
      <c r="BM652" s="12"/>
      <c r="BN652" s="33"/>
      <c r="BO652" s="33"/>
      <c r="BP652" s="33"/>
      <c r="BQ652" s="33"/>
      <c r="BR652" s="520"/>
    </row>
    <row r="653" spans="37:70">
      <c r="AK653" s="2482"/>
      <c r="BG653" s="30">
        <v>53.3</v>
      </c>
      <c r="BH653" s="31">
        <v>0.76570000000000005</v>
      </c>
      <c r="BI653" s="32">
        <v>765.4</v>
      </c>
      <c r="BJ653" s="33"/>
      <c r="BK653" s="12"/>
      <c r="BL653" s="12"/>
      <c r="BM653" s="12"/>
      <c r="BN653" s="33"/>
      <c r="BO653" s="33"/>
      <c r="BP653" s="33"/>
      <c r="BQ653" s="33"/>
      <c r="BR653" s="520"/>
    </row>
    <row r="654" spans="37:70">
      <c r="AK654" s="2482"/>
      <c r="BG654" s="30">
        <v>53.4</v>
      </c>
      <c r="BH654" s="31">
        <v>0.76529999999999998</v>
      </c>
      <c r="BI654" s="32">
        <v>765</v>
      </c>
      <c r="BJ654" s="33"/>
      <c r="BK654" s="12"/>
      <c r="BL654" s="12"/>
      <c r="BM654" s="12"/>
      <c r="BN654" s="33"/>
      <c r="BO654" s="33"/>
      <c r="BP654" s="33"/>
      <c r="BQ654" s="33"/>
      <c r="BR654" s="520"/>
    </row>
    <row r="655" spans="37:70">
      <c r="AK655" s="2482"/>
      <c r="BG655" s="30">
        <v>53.5</v>
      </c>
      <c r="BH655" s="31">
        <v>0.76490000000000002</v>
      </c>
      <c r="BI655" s="32">
        <v>764.6</v>
      </c>
      <c r="BJ655" s="33"/>
      <c r="BK655" s="12"/>
      <c r="BL655" s="12"/>
      <c r="BM655" s="12"/>
      <c r="BN655" s="33"/>
      <c r="BO655" s="33"/>
      <c r="BP655" s="33"/>
      <c r="BQ655" s="33"/>
      <c r="BR655" s="520"/>
    </row>
    <row r="656" spans="37:70">
      <c r="AK656" s="2482"/>
      <c r="BG656" s="30">
        <v>53.6</v>
      </c>
      <c r="BH656" s="31">
        <v>0.76449999999999996</v>
      </c>
      <c r="BI656" s="32">
        <v>764.2</v>
      </c>
      <c r="BJ656" s="33"/>
      <c r="BK656" s="12"/>
      <c r="BL656" s="12"/>
      <c r="BM656" s="12"/>
      <c r="BN656" s="33"/>
      <c r="BO656" s="33"/>
      <c r="BP656" s="33"/>
      <c r="BQ656" s="33"/>
      <c r="BR656" s="520"/>
    </row>
    <row r="657" spans="37:70">
      <c r="AK657" s="2482"/>
      <c r="BG657" s="30">
        <v>53.7</v>
      </c>
      <c r="BH657" s="31">
        <v>0.76400000000000001</v>
      </c>
      <c r="BI657" s="32">
        <v>763.8</v>
      </c>
      <c r="BJ657" s="33"/>
      <c r="BK657" s="12"/>
      <c r="BL657" s="12"/>
      <c r="BM657" s="12"/>
      <c r="BN657" s="33"/>
      <c r="BO657" s="33"/>
      <c r="BP657" s="33"/>
      <c r="BQ657" s="33"/>
      <c r="BR657" s="520"/>
    </row>
    <row r="658" spans="37:70">
      <c r="AK658" s="2482"/>
      <c r="BG658" s="30">
        <v>53.8</v>
      </c>
      <c r="BH658" s="31">
        <v>0.76359999999999995</v>
      </c>
      <c r="BI658" s="32">
        <v>763.4</v>
      </c>
      <c r="BJ658" s="33"/>
      <c r="BK658" s="12"/>
      <c r="BL658" s="12"/>
      <c r="BM658" s="12"/>
      <c r="BN658" s="33"/>
      <c r="BO658" s="33"/>
      <c r="BP658" s="33"/>
      <c r="BQ658" s="33"/>
      <c r="BR658" s="520"/>
    </row>
    <row r="659" spans="37:70">
      <c r="AK659" s="2482"/>
      <c r="BG659" s="30">
        <v>53.9</v>
      </c>
      <c r="BH659" s="31">
        <v>0.76319999999999999</v>
      </c>
      <c r="BI659" s="32">
        <v>763</v>
      </c>
      <c r="BJ659" s="33"/>
      <c r="BK659" s="12"/>
      <c r="BL659" s="12"/>
      <c r="BM659" s="12"/>
      <c r="BN659" s="33"/>
      <c r="BO659" s="33"/>
      <c r="BP659" s="33"/>
      <c r="BQ659" s="33"/>
      <c r="BR659" s="520"/>
    </row>
    <row r="660" spans="37:70">
      <c r="AK660" s="2482"/>
      <c r="BG660" s="30">
        <v>54</v>
      </c>
      <c r="BH660" s="31">
        <v>0.76280000000000003</v>
      </c>
      <c r="BI660" s="32">
        <v>762.5</v>
      </c>
      <c r="BJ660" s="33"/>
      <c r="BK660" s="12"/>
      <c r="BL660" s="12"/>
      <c r="BM660" s="12"/>
      <c r="BN660" s="33"/>
      <c r="BO660" s="33"/>
      <c r="BP660" s="33"/>
      <c r="BQ660" s="33"/>
      <c r="BR660" s="520"/>
    </row>
    <row r="661" spans="37:70">
      <c r="AK661" s="2482"/>
      <c r="BG661" s="30">
        <v>54.1</v>
      </c>
      <c r="BH661" s="31">
        <v>0.76239999999999997</v>
      </c>
      <c r="BI661" s="32">
        <v>762.1</v>
      </c>
      <c r="BJ661" s="33"/>
      <c r="BK661" s="12"/>
      <c r="BL661" s="12"/>
      <c r="BM661" s="12"/>
      <c r="BN661" s="33"/>
      <c r="BO661" s="33"/>
      <c r="BP661" s="33"/>
      <c r="BQ661" s="33"/>
      <c r="BR661" s="520"/>
    </row>
    <row r="662" spans="37:70">
      <c r="AK662" s="2482"/>
      <c r="BG662" s="30">
        <v>54.2</v>
      </c>
      <c r="BH662" s="31">
        <v>0.76200000000000001</v>
      </c>
      <c r="BI662" s="32">
        <v>761.7</v>
      </c>
      <c r="BJ662" s="33"/>
      <c r="BK662" s="12"/>
      <c r="BL662" s="12"/>
      <c r="BM662" s="12"/>
      <c r="BN662" s="33"/>
      <c r="BO662" s="33"/>
      <c r="BP662" s="33"/>
      <c r="BQ662" s="33"/>
      <c r="BR662" s="520"/>
    </row>
    <row r="663" spans="37:70">
      <c r="AK663" s="2482"/>
      <c r="BG663" s="30">
        <v>54.3</v>
      </c>
      <c r="BH663" s="31">
        <v>0.76160000000000005</v>
      </c>
      <c r="BI663" s="32">
        <v>761.3</v>
      </c>
      <c r="BJ663" s="33"/>
      <c r="BK663" s="12"/>
      <c r="BL663" s="12"/>
      <c r="BM663" s="12"/>
      <c r="BN663" s="33"/>
      <c r="BO663" s="33"/>
      <c r="BP663" s="33"/>
      <c r="BQ663" s="33"/>
      <c r="BR663" s="520"/>
    </row>
    <row r="664" spans="37:70">
      <c r="AK664" s="2482"/>
      <c r="BG664" s="30">
        <v>54.4</v>
      </c>
      <c r="BH664" s="31">
        <v>0.76119999999999999</v>
      </c>
      <c r="BI664" s="32">
        <v>760.9</v>
      </c>
      <c r="BJ664" s="33"/>
      <c r="BK664" s="12"/>
      <c r="BL664" s="12"/>
      <c r="BM664" s="12"/>
      <c r="BN664" s="33"/>
      <c r="BO664" s="33"/>
      <c r="BP664" s="33"/>
      <c r="BQ664" s="33"/>
      <c r="BR664" s="520"/>
    </row>
    <row r="665" spans="37:70">
      <c r="AK665" s="2482"/>
      <c r="BG665" s="30">
        <v>54.5</v>
      </c>
      <c r="BH665" s="31">
        <v>0.76080000000000003</v>
      </c>
      <c r="BI665" s="32">
        <v>760.5</v>
      </c>
      <c r="BJ665" s="33"/>
      <c r="BK665" s="12"/>
      <c r="BL665" s="12"/>
      <c r="BM665" s="12"/>
      <c r="BN665" s="33"/>
      <c r="BO665" s="33"/>
      <c r="BP665" s="33"/>
      <c r="BQ665" s="33"/>
      <c r="BR665" s="520"/>
    </row>
    <row r="666" spans="37:70">
      <c r="AK666" s="2482"/>
      <c r="BG666" s="30">
        <v>54.6</v>
      </c>
      <c r="BH666" s="31">
        <v>0.76029999999999998</v>
      </c>
      <c r="BI666" s="32">
        <v>760.1</v>
      </c>
      <c r="BJ666" s="33"/>
      <c r="BK666" s="12"/>
      <c r="BL666" s="12"/>
      <c r="BM666" s="12"/>
      <c r="BN666" s="33"/>
      <c r="BO666" s="33"/>
      <c r="BP666" s="33"/>
      <c r="BQ666" s="33"/>
      <c r="BR666" s="520"/>
    </row>
    <row r="667" spans="37:70">
      <c r="AK667" s="2482"/>
      <c r="BG667" s="30">
        <v>54.7</v>
      </c>
      <c r="BH667" s="31">
        <v>0.75990000000000002</v>
      </c>
      <c r="BI667" s="32">
        <v>759.7</v>
      </c>
      <c r="BJ667" s="33"/>
      <c r="BK667" s="12"/>
      <c r="BL667" s="12"/>
      <c r="BM667" s="12"/>
      <c r="BN667" s="33"/>
      <c r="BO667" s="33"/>
      <c r="BP667" s="33"/>
      <c r="BQ667" s="33"/>
      <c r="BR667" s="520"/>
    </row>
    <row r="668" spans="37:70">
      <c r="AK668" s="2482"/>
      <c r="BG668" s="30">
        <v>54.8</v>
      </c>
      <c r="BH668" s="31">
        <v>0.75949999999999995</v>
      </c>
      <c r="BI668" s="32">
        <v>759.3</v>
      </c>
      <c r="BJ668" s="33"/>
      <c r="BK668" s="12"/>
      <c r="BL668" s="12"/>
      <c r="BM668" s="12"/>
      <c r="BN668" s="33"/>
      <c r="BO668" s="33"/>
      <c r="BP668" s="33"/>
      <c r="BQ668" s="33"/>
      <c r="BR668" s="520"/>
    </row>
    <row r="669" spans="37:70">
      <c r="AK669" s="2482"/>
      <c r="BG669" s="30">
        <v>54.9</v>
      </c>
      <c r="BH669" s="31">
        <v>0.7591</v>
      </c>
      <c r="BI669" s="32">
        <v>758.9</v>
      </c>
      <c r="BJ669" s="33"/>
      <c r="BK669" s="12"/>
      <c r="BL669" s="12"/>
      <c r="BM669" s="12"/>
      <c r="BN669" s="33"/>
      <c r="BO669" s="33"/>
      <c r="BP669" s="33"/>
      <c r="BQ669" s="33"/>
      <c r="BR669" s="520"/>
    </row>
    <row r="670" spans="37:70">
      <c r="AK670" s="2482"/>
      <c r="BG670" s="30">
        <v>55</v>
      </c>
      <c r="BH670" s="31">
        <v>0.75870000000000004</v>
      </c>
      <c r="BI670" s="32">
        <v>758.5</v>
      </c>
      <c r="BJ670" s="33"/>
      <c r="BK670" s="12"/>
      <c r="BL670" s="12"/>
      <c r="BM670" s="12"/>
      <c r="BN670" s="33"/>
      <c r="BO670" s="33"/>
      <c r="BP670" s="33"/>
      <c r="BQ670" s="33"/>
      <c r="BR670" s="520"/>
    </row>
    <row r="671" spans="37:70">
      <c r="AK671" s="2482"/>
      <c r="BG671" s="30">
        <v>55.1</v>
      </c>
      <c r="BH671" s="31">
        <v>0.75829999999999997</v>
      </c>
      <c r="BI671" s="32">
        <v>758.1</v>
      </c>
      <c r="BJ671" s="33"/>
      <c r="BK671" s="12"/>
      <c r="BL671" s="12"/>
      <c r="BM671" s="12"/>
      <c r="BN671" s="33"/>
      <c r="BO671" s="33"/>
      <c r="BP671" s="33"/>
      <c r="BQ671" s="33"/>
      <c r="BR671" s="520"/>
    </row>
    <row r="672" spans="37:70">
      <c r="AK672" s="2482"/>
      <c r="BG672" s="30">
        <v>55.2</v>
      </c>
      <c r="BH672" s="31">
        <v>0.75790000000000002</v>
      </c>
      <c r="BI672" s="32">
        <v>757.6</v>
      </c>
      <c r="BJ672" s="33"/>
      <c r="BK672" s="12"/>
      <c r="BL672" s="12"/>
      <c r="BM672" s="12"/>
      <c r="BN672" s="33"/>
      <c r="BO672" s="33"/>
      <c r="BP672" s="33"/>
      <c r="BQ672" s="33"/>
      <c r="BR672" s="520"/>
    </row>
    <row r="673" spans="37:70">
      <c r="AK673" s="2482"/>
      <c r="BG673" s="30">
        <v>55.3</v>
      </c>
      <c r="BH673" s="31">
        <v>0.75749999999999995</v>
      </c>
      <c r="BI673" s="32">
        <v>757.2</v>
      </c>
      <c r="BJ673" s="33"/>
      <c r="BK673" s="12"/>
      <c r="BL673" s="12"/>
      <c r="BM673" s="12"/>
      <c r="BN673" s="33"/>
      <c r="BO673" s="33"/>
      <c r="BP673" s="33"/>
      <c r="BQ673" s="33"/>
      <c r="BR673" s="520"/>
    </row>
    <row r="674" spans="37:70">
      <c r="AK674" s="2482"/>
      <c r="BG674" s="30">
        <v>55.4</v>
      </c>
      <c r="BH674" s="31">
        <v>0.7571</v>
      </c>
      <c r="BI674" s="32">
        <v>756.8</v>
      </c>
      <c r="BJ674" s="33"/>
      <c r="BK674" s="12"/>
      <c r="BL674" s="12"/>
      <c r="BM674" s="12"/>
      <c r="BN674" s="33"/>
      <c r="BO674" s="33"/>
      <c r="BP674" s="33"/>
      <c r="BQ674" s="33"/>
      <c r="BR674" s="520"/>
    </row>
    <row r="675" spans="37:70">
      <c r="AK675" s="2482"/>
      <c r="BG675" s="30">
        <v>55.5</v>
      </c>
      <c r="BH675" s="31">
        <v>0.75670000000000004</v>
      </c>
      <c r="BI675" s="32">
        <v>756.4</v>
      </c>
      <c r="BJ675" s="33"/>
      <c r="BK675" s="12"/>
      <c r="BL675" s="12"/>
      <c r="BM675" s="12"/>
      <c r="BN675" s="33"/>
      <c r="BO675" s="33"/>
      <c r="BP675" s="33"/>
      <c r="BQ675" s="33"/>
      <c r="BR675" s="520"/>
    </row>
    <row r="676" spans="37:70">
      <c r="AK676" s="2482"/>
      <c r="BG676" s="30">
        <v>55.6</v>
      </c>
      <c r="BH676" s="31">
        <v>0.75629999999999997</v>
      </c>
      <c r="BI676" s="32">
        <v>756</v>
      </c>
      <c r="BJ676" s="33"/>
      <c r="BK676" s="12"/>
      <c r="BL676" s="12"/>
      <c r="BM676" s="12"/>
      <c r="BN676" s="33"/>
      <c r="BO676" s="33"/>
      <c r="BP676" s="33"/>
      <c r="BQ676" s="33"/>
      <c r="BR676" s="520"/>
    </row>
    <row r="677" spans="37:70">
      <c r="AK677" s="2482"/>
      <c r="BG677" s="30">
        <v>55.7</v>
      </c>
      <c r="BH677" s="31">
        <v>0.75590000000000002</v>
      </c>
      <c r="BI677" s="32">
        <v>755.6</v>
      </c>
      <c r="BJ677" s="33"/>
      <c r="BK677" s="12"/>
      <c r="BL677" s="12"/>
      <c r="BM677" s="12"/>
      <c r="BN677" s="33"/>
      <c r="BO677" s="33"/>
      <c r="BP677" s="33"/>
      <c r="BQ677" s="33"/>
      <c r="BR677" s="520"/>
    </row>
    <row r="678" spans="37:70">
      <c r="AK678" s="2482"/>
      <c r="BG678" s="30">
        <v>55.8</v>
      </c>
      <c r="BH678" s="31">
        <v>0.75549999999999995</v>
      </c>
      <c r="BI678" s="32">
        <v>755.2</v>
      </c>
      <c r="BJ678" s="33"/>
      <c r="BK678" s="12"/>
      <c r="BL678" s="12"/>
      <c r="BM678" s="12"/>
      <c r="BN678" s="33"/>
      <c r="BO678" s="33"/>
      <c r="BP678" s="33"/>
      <c r="BQ678" s="33"/>
      <c r="BR678" s="520"/>
    </row>
    <row r="679" spans="37:70">
      <c r="AK679" s="2482"/>
      <c r="BG679" s="30">
        <v>55.9</v>
      </c>
      <c r="BH679" s="31">
        <v>0.75509999999999999</v>
      </c>
      <c r="BI679" s="32">
        <v>754.8</v>
      </c>
      <c r="BJ679" s="33"/>
      <c r="BK679" s="12"/>
      <c r="BL679" s="12"/>
      <c r="BM679" s="12"/>
      <c r="BN679" s="33"/>
      <c r="BO679" s="33"/>
      <c r="BP679" s="33"/>
      <c r="BQ679" s="33"/>
      <c r="BR679" s="520"/>
    </row>
    <row r="680" spans="37:70">
      <c r="AK680" s="2482"/>
      <c r="BG680" s="30">
        <v>56</v>
      </c>
      <c r="BH680" s="31">
        <v>0.75470000000000004</v>
      </c>
      <c r="BI680" s="32">
        <v>754.4</v>
      </c>
      <c r="BJ680" s="33"/>
      <c r="BK680" s="12"/>
      <c r="BL680" s="12"/>
      <c r="BM680" s="12"/>
      <c r="BN680" s="33"/>
      <c r="BO680" s="33"/>
      <c r="BP680" s="33"/>
      <c r="BQ680" s="33"/>
      <c r="BR680" s="520"/>
    </row>
    <row r="681" spans="37:70">
      <c r="AK681" s="2482"/>
      <c r="BG681" s="30">
        <v>56.1</v>
      </c>
      <c r="BH681" s="31">
        <v>0.75429999999999997</v>
      </c>
      <c r="BI681" s="32">
        <v>754</v>
      </c>
      <c r="BJ681" s="33"/>
      <c r="BK681" s="12"/>
      <c r="BL681" s="12"/>
      <c r="BM681" s="12"/>
      <c r="BN681" s="33"/>
      <c r="BO681" s="33"/>
      <c r="BP681" s="33"/>
      <c r="BQ681" s="33"/>
      <c r="BR681" s="520"/>
    </row>
    <row r="682" spans="37:70">
      <c r="AK682" s="2482"/>
      <c r="BG682" s="30">
        <v>56.2</v>
      </c>
      <c r="BH682" s="31">
        <v>0.75390000000000001</v>
      </c>
      <c r="BI682" s="32">
        <v>753.6</v>
      </c>
      <c r="BJ682" s="33"/>
      <c r="BK682" s="12"/>
      <c r="BL682" s="12"/>
      <c r="BM682" s="12"/>
      <c r="BN682" s="33"/>
      <c r="BO682" s="33"/>
      <c r="BP682" s="33"/>
      <c r="BQ682" s="33"/>
      <c r="BR682" s="520"/>
    </row>
    <row r="683" spans="37:70">
      <c r="AK683" s="2482"/>
      <c r="BG683" s="30">
        <v>56.3</v>
      </c>
      <c r="BH683" s="31">
        <v>0.75349999999999995</v>
      </c>
      <c r="BI683" s="32">
        <v>753.2</v>
      </c>
      <c r="BJ683" s="33"/>
      <c r="BK683" s="12"/>
      <c r="BL683" s="12"/>
      <c r="BM683" s="12"/>
      <c r="BN683" s="33"/>
      <c r="BO683" s="33"/>
      <c r="BP683" s="33"/>
      <c r="BQ683" s="33"/>
      <c r="BR683" s="520"/>
    </row>
    <row r="684" spans="37:70">
      <c r="AK684" s="2482"/>
      <c r="BG684" s="30">
        <v>56.4</v>
      </c>
      <c r="BH684" s="31">
        <v>0.75309999999999999</v>
      </c>
      <c r="BI684" s="32">
        <v>752.8</v>
      </c>
      <c r="BJ684" s="33"/>
      <c r="BK684" s="12"/>
      <c r="BL684" s="12"/>
      <c r="BM684" s="12"/>
      <c r="BN684" s="33"/>
      <c r="BO684" s="33"/>
      <c r="BP684" s="33"/>
      <c r="BQ684" s="33"/>
      <c r="BR684" s="520"/>
    </row>
    <row r="685" spans="37:70">
      <c r="AK685" s="2482"/>
      <c r="BG685" s="30">
        <v>56.5</v>
      </c>
      <c r="BH685" s="31">
        <v>0.75270000000000004</v>
      </c>
      <c r="BI685" s="32">
        <v>752.4</v>
      </c>
      <c r="BJ685" s="33"/>
      <c r="BK685" s="12"/>
      <c r="BL685" s="12"/>
      <c r="BM685" s="12"/>
      <c r="BN685" s="33"/>
      <c r="BO685" s="33"/>
      <c r="BP685" s="33"/>
      <c r="BQ685" s="33"/>
      <c r="BR685" s="520"/>
    </row>
    <row r="686" spans="37:70">
      <c r="AK686" s="2482"/>
      <c r="BG686" s="30">
        <v>56.6</v>
      </c>
      <c r="BH686" s="31">
        <v>0.75229999999999997</v>
      </c>
      <c r="BI686" s="32">
        <v>752</v>
      </c>
      <c r="BJ686" s="33"/>
      <c r="BK686" s="12"/>
      <c r="BL686" s="12"/>
      <c r="BM686" s="12"/>
      <c r="BN686" s="33"/>
      <c r="BO686" s="33"/>
      <c r="BP686" s="33"/>
      <c r="BQ686" s="33"/>
      <c r="BR686" s="520"/>
    </row>
    <row r="687" spans="37:70">
      <c r="AK687" s="2482"/>
      <c r="BG687" s="30">
        <v>56.7</v>
      </c>
      <c r="BH687" s="31">
        <v>0.75190000000000001</v>
      </c>
      <c r="BI687" s="32">
        <v>751.6</v>
      </c>
      <c r="BJ687" s="33"/>
      <c r="BK687" s="12"/>
      <c r="BL687" s="12"/>
      <c r="BM687" s="12"/>
      <c r="BN687" s="33"/>
      <c r="BO687" s="33"/>
      <c r="BP687" s="33"/>
      <c r="BQ687" s="33"/>
      <c r="BR687" s="520"/>
    </row>
    <row r="688" spans="37:70">
      <c r="AK688" s="2482"/>
      <c r="BG688" s="30">
        <v>56.8</v>
      </c>
      <c r="BH688" s="31">
        <v>0.75149999999999995</v>
      </c>
      <c r="BI688" s="32">
        <v>751.2</v>
      </c>
      <c r="BJ688" s="33"/>
      <c r="BK688" s="12"/>
      <c r="BL688" s="12"/>
      <c r="BM688" s="12"/>
      <c r="BN688" s="33"/>
      <c r="BO688" s="33"/>
      <c r="BP688" s="33"/>
      <c r="BQ688" s="33"/>
      <c r="BR688" s="520"/>
    </row>
    <row r="689" spans="37:70">
      <c r="AK689" s="2482"/>
      <c r="BG689" s="30">
        <v>56.9</v>
      </c>
      <c r="BH689" s="31">
        <v>0.75109999999999999</v>
      </c>
      <c r="BI689" s="32">
        <v>750.8</v>
      </c>
      <c r="BJ689" s="33"/>
      <c r="BK689" s="12"/>
      <c r="BL689" s="12"/>
      <c r="BM689" s="12"/>
      <c r="BN689" s="33"/>
      <c r="BO689" s="33"/>
      <c r="BP689" s="33"/>
      <c r="BQ689" s="33"/>
      <c r="BR689" s="520"/>
    </row>
    <row r="690" spans="37:70">
      <c r="AK690" s="2482"/>
      <c r="BG690" s="30">
        <v>57</v>
      </c>
      <c r="BH690" s="31">
        <v>0.75070000000000003</v>
      </c>
      <c r="BI690" s="32">
        <v>750.4</v>
      </c>
      <c r="BJ690" s="33"/>
      <c r="BK690" s="12"/>
      <c r="BL690" s="12"/>
      <c r="BM690" s="12"/>
      <c r="BN690" s="33"/>
      <c r="BO690" s="33"/>
      <c r="BP690" s="33"/>
      <c r="BQ690" s="33"/>
      <c r="BR690" s="520"/>
    </row>
    <row r="691" spans="37:70">
      <c r="AK691" s="2482"/>
      <c r="BG691" s="30">
        <v>57.1</v>
      </c>
      <c r="BH691" s="31">
        <v>0.75029999999999997</v>
      </c>
      <c r="BI691" s="32">
        <v>750</v>
      </c>
      <c r="BJ691" s="33"/>
      <c r="BK691" s="12"/>
      <c r="BL691" s="12"/>
      <c r="BM691" s="12"/>
      <c r="BN691" s="33"/>
      <c r="BO691" s="33"/>
      <c r="BP691" s="33"/>
      <c r="BQ691" s="33"/>
      <c r="BR691" s="520"/>
    </row>
    <row r="692" spans="37:70">
      <c r="AK692" s="2482"/>
      <c r="BG692" s="30">
        <v>57.2</v>
      </c>
      <c r="BH692" s="31">
        <v>0.74990000000000001</v>
      </c>
      <c r="BI692" s="32">
        <v>749.6</v>
      </c>
      <c r="BJ692" s="33"/>
      <c r="BK692" s="12"/>
      <c r="BL692" s="12"/>
      <c r="BM692" s="12"/>
      <c r="BN692" s="33"/>
      <c r="BO692" s="33"/>
      <c r="BP692" s="33"/>
      <c r="BQ692" s="33"/>
      <c r="BR692" s="520"/>
    </row>
    <row r="693" spans="37:70">
      <c r="AK693" s="2482"/>
      <c r="BG693" s="30">
        <v>57.3</v>
      </c>
      <c r="BH693" s="31">
        <v>0.74950000000000006</v>
      </c>
      <c r="BI693" s="32">
        <v>749.2</v>
      </c>
      <c r="BJ693" s="33"/>
      <c r="BK693" s="12"/>
      <c r="BL693" s="12"/>
      <c r="BM693" s="12"/>
      <c r="BN693" s="33"/>
      <c r="BO693" s="33"/>
      <c r="BP693" s="33"/>
      <c r="BQ693" s="33"/>
      <c r="BR693" s="520"/>
    </row>
    <row r="694" spans="37:70">
      <c r="AK694" s="2482"/>
      <c r="BG694" s="30">
        <v>57.4</v>
      </c>
      <c r="BH694" s="31">
        <v>0.74909999999999999</v>
      </c>
      <c r="BI694" s="32">
        <v>748.8</v>
      </c>
      <c r="BJ694" s="33"/>
      <c r="BK694" s="12"/>
      <c r="BL694" s="12"/>
      <c r="BM694" s="12"/>
      <c r="BN694" s="33"/>
      <c r="BO694" s="33"/>
      <c r="BP694" s="33"/>
      <c r="BQ694" s="33"/>
      <c r="BR694" s="520"/>
    </row>
    <row r="695" spans="37:70">
      <c r="AK695" s="2482"/>
      <c r="BG695" s="30">
        <v>57.5</v>
      </c>
      <c r="BH695" s="31">
        <v>0.74870000000000003</v>
      </c>
      <c r="BI695" s="32">
        <v>748.4</v>
      </c>
      <c r="BJ695" s="33"/>
      <c r="BK695" s="12"/>
      <c r="BL695" s="12"/>
      <c r="BM695" s="12"/>
      <c r="BN695" s="33"/>
      <c r="BO695" s="33"/>
      <c r="BP695" s="33"/>
      <c r="BQ695" s="33"/>
      <c r="BR695" s="520"/>
    </row>
    <row r="696" spans="37:70">
      <c r="AK696" s="2482"/>
      <c r="BG696" s="30">
        <v>57.6</v>
      </c>
      <c r="BH696" s="31">
        <v>0.74829999999999997</v>
      </c>
      <c r="BI696" s="32">
        <v>748</v>
      </c>
      <c r="BJ696" s="33"/>
      <c r="BK696" s="12"/>
      <c r="BL696" s="12"/>
      <c r="BM696" s="12"/>
      <c r="BN696" s="33"/>
      <c r="BO696" s="33"/>
      <c r="BP696" s="33"/>
      <c r="BQ696" s="33"/>
      <c r="BR696" s="520"/>
    </row>
    <row r="697" spans="37:70">
      <c r="AK697" s="2482"/>
      <c r="BG697" s="30">
        <v>57.7</v>
      </c>
      <c r="BH697" s="31">
        <v>0.74790000000000001</v>
      </c>
      <c r="BI697" s="32">
        <v>747.6</v>
      </c>
      <c r="BJ697" s="33"/>
      <c r="BK697" s="12"/>
      <c r="BL697" s="12"/>
      <c r="BM697" s="12"/>
      <c r="BN697" s="33"/>
      <c r="BO697" s="33"/>
      <c r="BP697" s="33"/>
      <c r="BQ697" s="33"/>
      <c r="BR697" s="520"/>
    </row>
    <row r="698" spans="37:70">
      <c r="AK698" s="2482"/>
      <c r="BG698" s="30">
        <v>57.8</v>
      </c>
      <c r="BH698" s="31">
        <v>0.74750000000000005</v>
      </c>
      <c r="BI698" s="32">
        <v>747.3</v>
      </c>
      <c r="BJ698" s="33"/>
      <c r="BK698" s="12"/>
      <c r="BL698" s="12"/>
      <c r="BM698" s="12"/>
      <c r="BN698" s="33"/>
      <c r="BO698" s="33"/>
      <c r="BP698" s="33"/>
      <c r="BQ698" s="33"/>
      <c r="BR698" s="520"/>
    </row>
    <row r="699" spans="37:70">
      <c r="AK699" s="2482"/>
      <c r="BG699" s="30">
        <v>57.9</v>
      </c>
      <c r="BH699" s="31">
        <v>0.74709999999999999</v>
      </c>
      <c r="BI699" s="32">
        <v>746.9</v>
      </c>
      <c r="BJ699" s="33"/>
      <c r="BK699" s="12"/>
      <c r="BL699" s="12"/>
      <c r="BM699" s="12"/>
      <c r="BN699" s="33"/>
      <c r="BO699" s="33"/>
      <c r="BP699" s="33"/>
      <c r="BQ699" s="33"/>
      <c r="BR699" s="520"/>
    </row>
    <row r="700" spans="37:70">
      <c r="AK700" s="2482"/>
      <c r="BG700" s="30">
        <v>58</v>
      </c>
      <c r="BH700" s="31">
        <v>0.74670000000000003</v>
      </c>
      <c r="BI700" s="32">
        <v>746.5</v>
      </c>
      <c r="BJ700" s="33"/>
      <c r="BK700" s="12"/>
      <c r="BL700" s="12"/>
      <c r="BM700" s="12"/>
      <c r="BN700" s="33"/>
      <c r="BO700" s="33"/>
      <c r="BP700" s="33"/>
      <c r="BQ700" s="33"/>
      <c r="BR700" s="520"/>
    </row>
    <row r="701" spans="37:70">
      <c r="AK701" s="2482"/>
      <c r="BG701" s="30">
        <v>58.1</v>
      </c>
      <c r="BH701" s="31">
        <v>0.74629999999999996</v>
      </c>
      <c r="BI701" s="32">
        <v>746.1</v>
      </c>
      <c r="BJ701" s="33"/>
      <c r="BK701" s="12"/>
      <c r="BL701" s="12"/>
      <c r="BM701" s="12"/>
      <c r="BN701" s="33"/>
      <c r="BO701" s="33"/>
      <c r="BP701" s="33"/>
      <c r="BQ701" s="33"/>
      <c r="BR701" s="520"/>
    </row>
    <row r="702" spans="37:70">
      <c r="AK702" s="2482"/>
      <c r="BG702" s="30">
        <v>58.2</v>
      </c>
      <c r="BH702" s="31">
        <v>0.74590000000000001</v>
      </c>
      <c r="BI702" s="32">
        <v>745.7</v>
      </c>
      <c r="BJ702" s="33"/>
      <c r="BK702" s="12"/>
      <c r="BL702" s="12"/>
      <c r="BM702" s="12"/>
      <c r="BN702" s="33"/>
      <c r="BO702" s="33"/>
      <c r="BP702" s="33"/>
      <c r="BQ702" s="33"/>
      <c r="BR702" s="520"/>
    </row>
    <row r="703" spans="37:70">
      <c r="AK703" s="2482"/>
      <c r="BG703" s="30">
        <v>58.3</v>
      </c>
      <c r="BH703" s="31">
        <v>0.74550000000000005</v>
      </c>
      <c r="BI703" s="32">
        <v>745.3</v>
      </c>
      <c r="BJ703" s="33"/>
      <c r="BK703" s="12"/>
      <c r="BL703" s="12"/>
      <c r="BM703" s="12"/>
      <c r="BN703" s="33"/>
      <c r="BO703" s="33"/>
      <c r="BP703" s="33"/>
      <c r="BQ703" s="33"/>
      <c r="BR703" s="520"/>
    </row>
    <row r="704" spans="37:70">
      <c r="AK704" s="2482"/>
      <c r="BG704" s="30">
        <v>58.4</v>
      </c>
      <c r="BH704" s="31">
        <v>0.74509999999999998</v>
      </c>
      <c r="BI704" s="32">
        <v>744.9</v>
      </c>
      <c r="BJ704" s="33"/>
      <c r="BK704" s="12"/>
      <c r="BL704" s="12"/>
      <c r="BM704" s="12"/>
      <c r="BN704" s="33"/>
      <c r="BO704" s="33"/>
      <c r="BP704" s="33"/>
      <c r="BQ704" s="33"/>
      <c r="BR704" s="520"/>
    </row>
    <row r="705" spans="37:70">
      <c r="AK705" s="2482"/>
      <c r="BG705" s="30">
        <v>58.5</v>
      </c>
      <c r="BH705" s="31">
        <v>0.74470000000000003</v>
      </c>
      <c r="BI705" s="32">
        <v>744.5</v>
      </c>
      <c r="BJ705" s="33"/>
      <c r="BK705" s="12"/>
      <c r="BL705" s="12"/>
      <c r="BM705" s="12"/>
      <c r="BN705" s="33"/>
      <c r="BO705" s="33"/>
      <c r="BP705" s="33"/>
      <c r="BQ705" s="33"/>
      <c r="BR705" s="520"/>
    </row>
    <row r="706" spans="37:70">
      <c r="AK706" s="2482"/>
      <c r="BG706" s="30">
        <v>58.6</v>
      </c>
      <c r="BH706" s="31">
        <v>0.74429999999999996</v>
      </c>
      <c r="BI706" s="32">
        <v>744.13</v>
      </c>
      <c r="BJ706" s="33"/>
      <c r="BK706" s="12"/>
      <c r="BL706" s="12"/>
      <c r="BM706" s="12"/>
      <c r="BN706" s="33"/>
      <c r="BO706" s="33"/>
      <c r="BP706" s="33"/>
      <c r="BQ706" s="33"/>
      <c r="BR706" s="520"/>
    </row>
    <row r="707" spans="37:70">
      <c r="AK707" s="2482"/>
      <c r="BG707" s="30">
        <v>58.7</v>
      </c>
      <c r="BH707" s="31">
        <v>0.74399999999999999</v>
      </c>
      <c r="BI707" s="32">
        <v>743.7</v>
      </c>
      <c r="BJ707" s="33"/>
      <c r="BK707" s="12"/>
      <c r="BL707" s="12"/>
      <c r="BM707" s="12"/>
      <c r="BN707" s="33"/>
      <c r="BO707" s="33"/>
      <c r="BP707" s="33"/>
      <c r="BQ707" s="33"/>
      <c r="BR707" s="520"/>
    </row>
    <row r="708" spans="37:70">
      <c r="AK708" s="2482"/>
      <c r="BG708" s="30">
        <v>58.8</v>
      </c>
      <c r="BH708" s="31">
        <v>0.74360000000000004</v>
      </c>
      <c r="BI708" s="32">
        <v>743.3</v>
      </c>
      <c r="BJ708" s="33"/>
      <c r="BK708" s="12"/>
      <c r="BL708" s="12"/>
      <c r="BM708" s="12"/>
      <c r="BN708" s="33"/>
      <c r="BO708" s="33"/>
      <c r="BP708" s="33"/>
      <c r="BQ708" s="33"/>
      <c r="BR708" s="520"/>
    </row>
    <row r="709" spans="37:70">
      <c r="AK709" s="2482"/>
      <c r="BG709" s="30">
        <v>58.9</v>
      </c>
      <c r="BH709" s="31">
        <v>0.74319999999999997</v>
      </c>
      <c r="BI709" s="32">
        <v>742.9</v>
      </c>
      <c r="BJ709" s="33"/>
      <c r="BK709" s="12"/>
      <c r="BL709" s="12"/>
      <c r="BM709" s="12"/>
      <c r="BN709" s="33"/>
      <c r="BO709" s="33"/>
      <c r="BP709" s="33"/>
      <c r="BQ709" s="33"/>
      <c r="BR709" s="520"/>
    </row>
    <row r="710" spans="37:70">
      <c r="AK710" s="2482"/>
      <c r="BG710" s="30">
        <v>59</v>
      </c>
      <c r="BH710" s="31">
        <v>0.74280000000000002</v>
      </c>
      <c r="BI710" s="32">
        <v>742.6</v>
      </c>
      <c r="BJ710" s="33"/>
      <c r="BK710" s="12"/>
      <c r="BL710" s="12"/>
      <c r="BM710" s="12"/>
      <c r="BN710" s="33"/>
      <c r="BO710" s="33"/>
      <c r="BP710" s="33"/>
      <c r="BQ710" s="33"/>
      <c r="BR710" s="520"/>
    </row>
    <row r="711" spans="37:70">
      <c r="AK711" s="2482"/>
      <c r="BG711" s="30">
        <v>59.1</v>
      </c>
      <c r="BH711" s="31">
        <v>0.74239999999999995</v>
      </c>
      <c r="BI711" s="32">
        <v>742.2</v>
      </c>
      <c r="BJ711" s="33"/>
      <c r="BK711" s="12"/>
      <c r="BL711" s="12"/>
      <c r="BM711" s="12"/>
      <c r="BN711" s="33"/>
      <c r="BO711" s="33"/>
      <c r="BP711" s="33"/>
      <c r="BQ711" s="33"/>
      <c r="BR711" s="520"/>
    </row>
    <row r="712" spans="37:70">
      <c r="AK712" s="2482"/>
      <c r="BG712" s="30">
        <v>59.2</v>
      </c>
      <c r="BH712" s="31">
        <v>0.74199999999999999</v>
      </c>
      <c r="BI712" s="32">
        <v>741.8</v>
      </c>
      <c r="BJ712" s="33"/>
      <c r="BK712" s="12"/>
      <c r="BL712" s="12"/>
      <c r="BM712" s="12"/>
      <c r="BN712" s="33"/>
      <c r="BO712" s="33"/>
      <c r="BP712" s="33"/>
      <c r="BQ712" s="33"/>
      <c r="BR712" s="520"/>
    </row>
    <row r="713" spans="37:70">
      <c r="AK713" s="2482"/>
      <c r="BG713" s="30">
        <v>59.3</v>
      </c>
      <c r="BH713" s="31">
        <v>0.74160000000000004</v>
      </c>
      <c r="BI713" s="32">
        <v>741.4</v>
      </c>
      <c r="BJ713" s="33"/>
      <c r="BK713" s="12"/>
      <c r="BL713" s="12"/>
      <c r="BM713" s="12"/>
      <c r="BN713" s="33"/>
      <c r="BO713" s="33"/>
      <c r="BP713" s="33"/>
      <c r="BQ713" s="33"/>
      <c r="BR713" s="520"/>
    </row>
    <row r="714" spans="37:70">
      <c r="AK714" s="2482"/>
      <c r="BG714" s="30">
        <v>59.4</v>
      </c>
      <c r="BH714" s="31">
        <v>0.74119999999999997</v>
      </c>
      <c r="BI714" s="32">
        <v>741</v>
      </c>
      <c r="BJ714" s="33"/>
      <c r="BK714" s="12"/>
      <c r="BL714" s="12"/>
      <c r="BM714" s="12"/>
      <c r="BN714" s="33"/>
      <c r="BO714" s="33"/>
      <c r="BP714" s="33"/>
      <c r="BQ714" s="33"/>
      <c r="BR714" s="520"/>
    </row>
    <row r="715" spans="37:70">
      <c r="AK715" s="2482"/>
      <c r="BG715" s="30">
        <v>59.5</v>
      </c>
      <c r="BH715" s="31">
        <v>0.74080000000000001</v>
      </c>
      <c r="BI715" s="32">
        <v>740.6</v>
      </c>
      <c r="BJ715" s="33"/>
      <c r="BK715" s="12"/>
      <c r="BL715" s="12"/>
      <c r="BM715" s="12"/>
      <c r="BN715" s="33"/>
      <c r="BO715" s="33"/>
      <c r="BP715" s="33"/>
      <c r="BQ715" s="33"/>
      <c r="BR715" s="520"/>
    </row>
    <row r="716" spans="37:70">
      <c r="AK716" s="2482"/>
      <c r="BG716" s="30">
        <v>59.6</v>
      </c>
      <c r="BH716" s="31">
        <v>0.74050000000000005</v>
      </c>
      <c r="BI716" s="32">
        <v>740.2</v>
      </c>
      <c r="BJ716" s="33"/>
      <c r="BK716" s="12"/>
      <c r="BL716" s="12"/>
      <c r="BM716" s="12"/>
      <c r="BN716" s="33"/>
      <c r="BO716" s="33"/>
      <c r="BP716" s="33"/>
      <c r="BQ716" s="33"/>
      <c r="BR716" s="520"/>
    </row>
    <row r="717" spans="37:70">
      <c r="AK717" s="2482"/>
      <c r="BG717" s="30">
        <v>59.7</v>
      </c>
      <c r="BH717" s="31">
        <v>0.74009999999999998</v>
      </c>
      <c r="BI717" s="32">
        <v>739.8</v>
      </c>
      <c r="BJ717" s="33"/>
      <c r="BK717" s="12"/>
      <c r="BL717" s="12"/>
      <c r="BM717" s="12"/>
      <c r="BN717" s="33"/>
      <c r="BO717" s="33"/>
      <c r="BP717" s="33"/>
      <c r="BQ717" s="33"/>
      <c r="BR717" s="520"/>
    </row>
    <row r="718" spans="37:70">
      <c r="AK718" s="2482"/>
      <c r="BG718" s="30">
        <v>59.8</v>
      </c>
      <c r="BH718" s="31">
        <v>0.73970000000000002</v>
      </c>
      <c r="BI718" s="32">
        <v>739.4</v>
      </c>
      <c r="BJ718" s="33"/>
      <c r="BK718" s="12"/>
      <c r="BL718" s="12"/>
      <c r="BM718" s="12"/>
      <c r="BN718" s="33"/>
      <c r="BO718" s="33"/>
      <c r="BP718" s="33"/>
      <c r="BQ718" s="33"/>
      <c r="BR718" s="520"/>
    </row>
    <row r="719" spans="37:70">
      <c r="AK719" s="2482"/>
      <c r="BG719" s="30">
        <v>59.9</v>
      </c>
      <c r="BH719" s="31">
        <v>0.73929999999999996</v>
      </c>
      <c r="BI719" s="32">
        <v>739.1</v>
      </c>
      <c r="BJ719" s="33"/>
      <c r="BK719" s="12"/>
      <c r="BL719" s="12"/>
      <c r="BM719" s="12"/>
      <c r="BN719" s="33"/>
      <c r="BO719" s="33"/>
      <c r="BP719" s="33"/>
      <c r="BQ719" s="33"/>
      <c r="BR719" s="520"/>
    </row>
    <row r="720" spans="37:70">
      <c r="AK720" s="2482"/>
      <c r="BG720" s="30">
        <v>60</v>
      </c>
      <c r="BH720" s="31">
        <v>0.7389</v>
      </c>
      <c r="BI720" s="32">
        <v>738.7</v>
      </c>
      <c r="BJ720" s="33"/>
      <c r="BK720" s="12"/>
      <c r="BL720" s="12"/>
      <c r="BM720" s="12"/>
      <c r="BN720" s="33"/>
      <c r="BO720" s="33"/>
      <c r="BP720" s="33"/>
      <c r="BQ720" s="33"/>
      <c r="BR720" s="520"/>
    </row>
    <row r="721" spans="37:70">
      <c r="AK721" s="2482"/>
      <c r="BG721" s="30">
        <v>60.1</v>
      </c>
      <c r="BH721" s="31">
        <v>0.73850000000000005</v>
      </c>
      <c r="BI721" s="32">
        <v>738.3</v>
      </c>
      <c r="BJ721" s="33"/>
      <c r="BK721" s="12"/>
      <c r="BL721" s="12"/>
      <c r="BM721" s="12"/>
      <c r="BN721" s="33"/>
      <c r="BO721" s="33"/>
      <c r="BP721" s="33"/>
      <c r="BQ721" s="33"/>
      <c r="BR721" s="520"/>
    </row>
    <row r="722" spans="37:70">
      <c r="AK722" s="2482"/>
      <c r="BG722" s="30">
        <v>60.2</v>
      </c>
      <c r="BH722" s="31">
        <v>0.73809999999999998</v>
      </c>
      <c r="BI722" s="32">
        <v>737.9</v>
      </c>
      <c r="BJ722" s="33"/>
      <c r="BK722" s="12"/>
      <c r="BL722" s="12"/>
      <c r="BM722" s="12"/>
      <c r="BN722" s="33"/>
      <c r="BO722" s="33"/>
      <c r="BP722" s="33"/>
      <c r="BQ722" s="33"/>
      <c r="BR722" s="520"/>
    </row>
    <row r="723" spans="37:70">
      <c r="AK723" s="2482"/>
      <c r="BG723" s="30">
        <v>60.3</v>
      </c>
      <c r="BH723" s="31">
        <v>0.73770000000000002</v>
      </c>
      <c r="BI723" s="32">
        <v>737.5</v>
      </c>
      <c r="BJ723" s="33"/>
      <c r="BK723" s="12"/>
      <c r="BL723" s="12"/>
      <c r="BM723" s="12"/>
      <c r="BN723" s="33"/>
      <c r="BO723" s="33"/>
      <c r="BP723" s="33"/>
      <c r="BQ723" s="33"/>
      <c r="BR723" s="520"/>
    </row>
    <row r="724" spans="37:70">
      <c r="AK724" s="2482"/>
      <c r="BG724" s="30">
        <v>60.4</v>
      </c>
      <c r="BH724" s="31">
        <v>0.73740000000000006</v>
      </c>
      <c r="BI724" s="32">
        <v>737.1</v>
      </c>
      <c r="BJ724" s="33"/>
      <c r="BK724" s="12"/>
      <c r="BL724" s="12"/>
      <c r="BM724" s="12"/>
      <c r="BN724" s="33"/>
      <c r="BO724" s="33"/>
      <c r="BP724" s="33"/>
      <c r="BQ724" s="33"/>
      <c r="BR724" s="520"/>
    </row>
    <row r="725" spans="37:70">
      <c r="AK725" s="2482"/>
      <c r="BG725" s="30">
        <v>60.5</v>
      </c>
      <c r="BH725" s="31">
        <v>0.73699999999999999</v>
      </c>
      <c r="BI725" s="32">
        <v>736.8</v>
      </c>
      <c r="BJ725" s="33"/>
      <c r="BK725" s="12"/>
      <c r="BL725" s="12"/>
      <c r="BM725" s="12"/>
      <c r="BN725" s="33"/>
      <c r="BO725" s="33"/>
      <c r="BP725" s="33"/>
      <c r="BQ725" s="33"/>
      <c r="BR725" s="520"/>
    </row>
    <row r="726" spans="37:70">
      <c r="AK726" s="2482"/>
      <c r="BG726" s="30">
        <v>60.6</v>
      </c>
      <c r="BH726" s="31">
        <v>0.73660000000000003</v>
      </c>
      <c r="BI726" s="32">
        <v>736.4</v>
      </c>
      <c r="BJ726" s="33"/>
      <c r="BK726" s="12"/>
      <c r="BL726" s="12"/>
      <c r="BM726" s="12"/>
      <c r="BN726" s="33"/>
      <c r="BO726" s="33"/>
      <c r="BP726" s="33"/>
      <c r="BQ726" s="33"/>
      <c r="BR726" s="520"/>
    </row>
    <row r="727" spans="37:70">
      <c r="AK727" s="2482"/>
      <c r="BG727" s="30">
        <v>60.7</v>
      </c>
      <c r="BH727" s="31">
        <v>0.73619999999999997</v>
      </c>
      <c r="BI727" s="32">
        <v>736</v>
      </c>
      <c r="BJ727" s="33"/>
      <c r="BK727" s="12"/>
      <c r="BL727" s="12"/>
      <c r="BM727" s="12"/>
      <c r="BN727" s="33"/>
      <c r="BO727" s="33"/>
      <c r="BP727" s="33"/>
      <c r="BQ727" s="33"/>
      <c r="BR727" s="520"/>
    </row>
    <row r="728" spans="37:70">
      <c r="AK728" s="2482"/>
      <c r="BG728" s="30">
        <v>60.8</v>
      </c>
      <c r="BH728" s="31">
        <v>0.73580000000000001</v>
      </c>
      <c r="BI728" s="32">
        <v>735.6</v>
      </c>
      <c r="BJ728" s="33"/>
      <c r="BK728" s="12"/>
      <c r="BL728" s="12"/>
      <c r="BM728" s="12"/>
      <c r="BN728" s="33"/>
      <c r="BO728" s="33"/>
      <c r="BP728" s="33"/>
      <c r="BQ728" s="33"/>
      <c r="BR728" s="520"/>
    </row>
    <row r="729" spans="37:70">
      <c r="AK729" s="2482"/>
      <c r="BG729" s="30">
        <v>60.9</v>
      </c>
      <c r="BH729" s="31">
        <v>0.73540000000000005</v>
      </c>
      <c r="BI729" s="32">
        <v>735.2</v>
      </c>
      <c r="BJ729" s="33"/>
      <c r="BK729" s="12"/>
      <c r="BL729" s="12"/>
      <c r="BM729" s="12"/>
      <c r="BN729" s="33"/>
      <c r="BO729" s="33"/>
      <c r="BP729" s="33"/>
      <c r="BQ729" s="33"/>
      <c r="BR729" s="520"/>
    </row>
    <row r="730" spans="37:70">
      <c r="AK730" s="2482"/>
      <c r="BG730" s="30">
        <v>61</v>
      </c>
      <c r="BH730" s="31">
        <v>0.73509999999999998</v>
      </c>
      <c r="BI730" s="32">
        <v>734.8</v>
      </c>
      <c r="BJ730" s="33"/>
      <c r="BK730" s="12"/>
      <c r="BL730" s="12"/>
      <c r="BM730" s="12"/>
      <c r="BN730" s="33"/>
      <c r="BO730" s="33"/>
      <c r="BP730" s="33"/>
      <c r="BQ730" s="33"/>
      <c r="BR730" s="520"/>
    </row>
    <row r="731" spans="37:70">
      <c r="AK731" s="2482"/>
      <c r="BG731" s="30">
        <v>61.1</v>
      </c>
      <c r="BH731" s="31">
        <v>0.73470000000000002</v>
      </c>
      <c r="BI731" s="32">
        <v>734.5</v>
      </c>
      <c r="BJ731" s="33"/>
      <c r="BK731" s="12"/>
      <c r="BL731" s="12"/>
      <c r="BM731" s="12"/>
      <c r="BN731" s="33"/>
      <c r="BO731" s="33"/>
      <c r="BP731" s="33"/>
      <c r="BQ731" s="33"/>
      <c r="BR731" s="520"/>
    </row>
    <row r="732" spans="37:70">
      <c r="AK732" s="2482"/>
      <c r="BG732" s="30">
        <v>61.2</v>
      </c>
      <c r="BH732" s="31">
        <v>0.73429999999999995</v>
      </c>
      <c r="BI732" s="32">
        <v>734.1</v>
      </c>
      <c r="BJ732" s="33"/>
      <c r="BK732" s="12"/>
      <c r="BL732" s="12"/>
      <c r="BM732" s="12"/>
      <c r="BN732" s="33"/>
      <c r="BO732" s="33"/>
      <c r="BP732" s="33"/>
      <c r="BQ732" s="33"/>
      <c r="BR732" s="520"/>
    </row>
    <row r="733" spans="37:70">
      <c r="AK733" s="2482"/>
      <c r="BG733" s="30">
        <v>61.3</v>
      </c>
      <c r="BH733" s="31">
        <v>0.7339</v>
      </c>
      <c r="BI733" s="32">
        <v>733.7</v>
      </c>
      <c r="BJ733" s="33"/>
      <c r="BK733" s="12"/>
      <c r="BL733" s="12"/>
      <c r="BM733" s="12"/>
      <c r="BN733" s="33"/>
      <c r="BO733" s="33"/>
      <c r="BP733" s="33"/>
      <c r="BQ733" s="33"/>
      <c r="BR733" s="520"/>
    </row>
    <row r="734" spans="37:70">
      <c r="AK734" s="2482"/>
      <c r="BG734" s="30">
        <v>61.4</v>
      </c>
      <c r="BH734" s="31">
        <v>0.73350000000000004</v>
      </c>
      <c r="BI734" s="32">
        <v>733.3</v>
      </c>
      <c r="BJ734" s="33"/>
      <c r="BK734" s="12"/>
      <c r="BL734" s="12"/>
      <c r="BM734" s="12"/>
      <c r="BN734" s="33"/>
      <c r="BO734" s="33"/>
      <c r="BP734" s="33"/>
      <c r="BQ734" s="33"/>
      <c r="BR734" s="520"/>
    </row>
    <row r="735" spans="37:70">
      <c r="AK735" s="2482"/>
      <c r="BG735" s="30">
        <v>61.5</v>
      </c>
      <c r="BH735" s="31">
        <v>0.73319999999999996</v>
      </c>
      <c r="BI735" s="32">
        <v>732.9</v>
      </c>
      <c r="BJ735" s="33"/>
      <c r="BK735" s="12"/>
      <c r="BL735" s="12"/>
      <c r="BM735" s="12"/>
      <c r="BN735" s="33"/>
      <c r="BO735" s="33"/>
      <c r="BP735" s="33"/>
      <c r="BQ735" s="33"/>
      <c r="BR735" s="520"/>
    </row>
    <row r="736" spans="37:70">
      <c r="AK736" s="2482"/>
      <c r="BG736" s="30">
        <v>61.6</v>
      </c>
      <c r="BH736" s="31">
        <v>0.73280000000000001</v>
      </c>
      <c r="BI736" s="32">
        <v>732.6</v>
      </c>
      <c r="BJ736" s="33"/>
      <c r="BK736" s="12"/>
      <c r="BL736" s="12"/>
      <c r="BM736" s="12"/>
      <c r="BN736" s="33"/>
      <c r="BO736" s="33"/>
      <c r="BP736" s="33"/>
      <c r="BQ736" s="33"/>
      <c r="BR736" s="520"/>
    </row>
    <row r="737" spans="37:70">
      <c r="AK737" s="2482"/>
      <c r="BG737" s="30">
        <v>61.7</v>
      </c>
      <c r="BH737" s="31">
        <v>0.73240000000000005</v>
      </c>
      <c r="BI737" s="32">
        <v>732.2</v>
      </c>
      <c r="BJ737" s="33"/>
      <c r="BK737" s="12"/>
      <c r="BL737" s="12"/>
      <c r="BM737" s="12"/>
      <c r="BN737" s="33"/>
      <c r="BO737" s="33"/>
      <c r="BP737" s="33"/>
      <c r="BQ737" s="33"/>
      <c r="BR737" s="520"/>
    </row>
    <row r="738" spans="37:70">
      <c r="AK738" s="2482"/>
      <c r="BG738" s="30">
        <v>61.8</v>
      </c>
      <c r="BH738" s="31">
        <v>0.73199999999999998</v>
      </c>
      <c r="BI738" s="32">
        <v>731.8</v>
      </c>
      <c r="BJ738" s="33"/>
      <c r="BK738" s="12"/>
      <c r="BL738" s="12"/>
      <c r="BM738" s="12"/>
      <c r="BN738" s="33"/>
      <c r="BO738" s="33"/>
      <c r="BP738" s="33"/>
      <c r="BQ738" s="33"/>
      <c r="BR738" s="520"/>
    </row>
    <row r="739" spans="37:70">
      <c r="AK739" s="2482"/>
      <c r="BG739" s="30">
        <v>61.9</v>
      </c>
      <c r="BH739" s="31">
        <v>0.73160000000000003</v>
      </c>
      <c r="BI739" s="32">
        <v>731.4</v>
      </c>
      <c r="BJ739" s="33"/>
      <c r="BK739" s="12"/>
      <c r="BL739" s="12"/>
      <c r="BM739" s="12"/>
      <c r="BN739" s="33"/>
      <c r="BO739" s="33"/>
      <c r="BP739" s="33"/>
      <c r="BQ739" s="33"/>
      <c r="BR739" s="520"/>
    </row>
    <row r="740" spans="37:70">
      <c r="AK740" s="2482"/>
      <c r="BG740" s="30">
        <v>62</v>
      </c>
      <c r="BH740" s="31">
        <v>0.73129999999999995</v>
      </c>
      <c r="BI740" s="32">
        <v>731.1</v>
      </c>
      <c r="BJ740" s="33"/>
      <c r="BK740" s="12"/>
      <c r="BL740" s="12"/>
      <c r="BM740" s="12"/>
      <c r="BN740" s="33"/>
      <c r="BO740" s="33"/>
      <c r="BP740" s="33"/>
      <c r="BQ740" s="33"/>
      <c r="BR740" s="520"/>
    </row>
    <row r="741" spans="37:70">
      <c r="AK741" s="2482"/>
      <c r="BG741" s="30">
        <v>62.1</v>
      </c>
      <c r="BH741" s="31">
        <v>0.73089999999999999</v>
      </c>
      <c r="BI741" s="32">
        <v>730.7</v>
      </c>
      <c r="BJ741" s="33"/>
      <c r="BK741" s="12"/>
      <c r="BL741" s="12"/>
      <c r="BM741" s="12"/>
      <c r="BN741" s="33"/>
      <c r="BO741" s="33"/>
      <c r="BP741" s="33"/>
      <c r="BQ741" s="33"/>
      <c r="BR741" s="520"/>
    </row>
    <row r="742" spans="37:70">
      <c r="AK742" s="2482"/>
      <c r="BG742" s="30">
        <v>62.2</v>
      </c>
      <c r="BH742" s="31">
        <v>0.73050000000000004</v>
      </c>
      <c r="BI742" s="32">
        <v>730.3</v>
      </c>
      <c r="BJ742" s="33"/>
      <c r="BK742" s="12"/>
      <c r="BL742" s="12"/>
      <c r="BM742" s="12"/>
      <c r="BN742" s="33"/>
      <c r="BO742" s="33"/>
      <c r="BP742" s="33"/>
      <c r="BQ742" s="33"/>
      <c r="BR742" s="520"/>
    </row>
    <row r="743" spans="37:70">
      <c r="AK743" s="2482"/>
      <c r="BG743" s="30">
        <v>62.3</v>
      </c>
      <c r="BH743" s="31">
        <v>0.73009999999999997</v>
      </c>
      <c r="BI743" s="32">
        <v>729.9</v>
      </c>
      <c r="BJ743" s="33"/>
      <c r="BK743" s="12"/>
      <c r="BL743" s="12"/>
      <c r="BM743" s="12"/>
      <c r="BN743" s="33"/>
      <c r="BO743" s="33"/>
      <c r="BP743" s="33"/>
      <c r="BQ743" s="33"/>
      <c r="BR743" s="520"/>
    </row>
    <row r="744" spans="37:70">
      <c r="AK744" s="2482"/>
      <c r="BG744" s="30">
        <v>62.4</v>
      </c>
      <c r="BH744" s="31">
        <v>0.7298</v>
      </c>
      <c r="BI744" s="32">
        <v>729.5</v>
      </c>
      <c r="BJ744" s="33"/>
      <c r="BK744" s="12"/>
      <c r="BL744" s="12"/>
      <c r="BM744" s="12"/>
      <c r="BN744" s="33"/>
      <c r="BO744" s="33"/>
      <c r="BP744" s="33"/>
      <c r="BQ744" s="33"/>
      <c r="BR744" s="520"/>
    </row>
    <row r="745" spans="37:70">
      <c r="AK745" s="2482"/>
      <c r="BG745" s="30">
        <v>62.5</v>
      </c>
      <c r="BH745" s="31">
        <v>0.72940000000000005</v>
      </c>
      <c r="BI745" s="32">
        <v>729.2</v>
      </c>
      <c r="BJ745" s="33"/>
      <c r="BK745" s="12"/>
      <c r="BL745" s="12"/>
      <c r="BM745" s="12"/>
      <c r="BN745" s="33"/>
      <c r="BO745" s="33"/>
      <c r="BP745" s="33"/>
      <c r="BQ745" s="33"/>
      <c r="BR745" s="520"/>
    </row>
    <row r="746" spans="37:70">
      <c r="AK746" s="2482"/>
      <c r="BG746" s="30">
        <v>62.6</v>
      </c>
      <c r="BH746" s="31">
        <v>0.72899999999999998</v>
      </c>
      <c r="BI746" s="32">
        <v>728.8</v>
      </c>
      <c r="BJ746" s="33"/>
      <c r="BK746" s="12"/>
      <c r="BL746" s="12"/>
      <c r="BM746" s="12"/>
      <c r="BN746" s="33"/>
      <c r="BO746" s="33"/>
      <c r="BP746" s="33"/>
      <c r="BQ746" s="33"/>
      <c r="BR746" s="520"/>
    </row>
    <row r="747" spans="37:70">
      <c r="AK747" s="2482"/>
      <c r="BG747" s="30">
        <v>62.7</v>
      </c>
      <c r="BH747" s="31">
        <v>0.72860000000000003</v>
      </c>
      <c r="BI747" s="32">
        <v>728.4</v>
      </c>
      <c r="BJ747" s="33"/>
      <c r="BK747" s="12"/>
      <c r="BL747" s="12"/>
      <c r="BM747" s="12"/>
      <c r="BN747" s="33"/>
      <c r="BO747" s="33"/>
      <c r="BP747" s="33"/>
      <c r="BQ747" s="33"/>
      <c r="BR747" s="520"/>
    </row>
    <row r="748" spans="37:70">
      <c r="AK748" s="2482"/>
      <c r="BG748" s="30">
        <v>62.8</v>
      </c>
      <c r="BH748" s="31">
        <v>0.72829999999999995</v>
      </c>
      <c r="BI748" s="32">
        <v>728</v>
      </c>
      <c r="BJ748" s="33"/>
      <c r="BK748" s="12"/>
      <c r="BL748" s="12"/>
      <c r="BM748" s="12"/>
      <c r="BN748" s="33"/>
      <c r="BO748" s="33"/>
      <c r="BP748" s="33"/>
      <c r="BQ748" s="33"/>
      <c r="BR748" s="520"/>
    </row>
    <row r="749" spans="37:70">
      <c r="AK749" s="2482"/>
      <c r="BG749" s="30">
        <v>62.9</v>
      </c>
      <c r="BH749" s="31">
        <v>0.72789999999999999</v>
      </c>
      <c r="BI749" s="32">
        <v>727.7</v>
      </c>
      <c r="BJ749" s="33"/>
      <c r="BK749" s="12"/>
      <c r="BL749" s="12"/>
      <c r="BM749" s="12"/>
      <c r="BN749" s="33"/>
      <c r="BO749" s="33"/>
      <c r="BP749" s="33"/>
      <c r="BQ749" s="33"/>
      <c r="BR749" s="520"/>
    </row>
    <row r="750" spans="37:70">
      <c r="AK750" s="2482"/>
      <c r="BG750" s="30">
        <v>63</v>
      </c>
      <c r="BH750" s="31">
        <v>0.72750000000000004</v>
      </c>
      <c r="BI750" s="32">
        <v>727.3</v>
      </c>
      <c r="BJ750" s="33"/>
      <c r="BK750" s="12"/>
      <c r="BL750" s="12"/>
      <c r="BM750" s="12"/>
      <c r="BN750" s="33"/>
      <c r="BO750" s="33"/>
      <c r="BP750" s="33"/>
      <c r="BQ750" s="33"/>
      <c r="BR750" s="520"/>
    </row>
    <row r="751" spans="37:70">
      <c r="AK751" s="2482"/>
      <c r="BG751" s="30">
        <v>63.1</v>
      </c>
      <c r="BH751" s="31">
        <v>0.72709999999999997</v>
      </c>
      <c r="BI751" s="32">
        <v>726.9</v>
      </c>
      <c r="BJ751" s="33"/>
      <c r="BK751" s="12"/>
      <c r="BL751" s="12"/>
      <c r="BM751" s="12"/>
      <c r="BN751" s="33"/>
      <c r="BO751" s="33"/>
      <c r="BP751" s="33"/>
      <c r="BQ751" s="33"/>
      <c r="BR751" s="520"/>
    </row>
    <row r="752" spans="37:70">
      <c r="AK752" s="2482"/>
      <c r="BG752" s="30">
        <v>63.2</v>
      </c>
      <c r="BH752" s="31">
        <v>0.7268</v>
      </c>
      <c r="BI752" s="32">
        <v>726.5</v>
      </c>
      <c r="BJ752" s="33"/>
      <c r="BK752" s="12"/>
      <c r="BL752" s="12"/>
      <c r="BM752" s="12"/>
      <c r="BN752" s="33"/>
      <c r="BO752" s="33"/>
      <c r="BP752" s="33"/>
      <c r="BQ752" s="33"/>
      <c r="BR752" s="520"/>
    </row>
    <row r="753" spans="37:70">
      <c r="AK753" s="2482"/>
      <c r="BG753" s="30">
        <v>63.3</v>
      </c>
      <c r="BH753" s="31">
        <v>0.72640000000000005</v>
      </c>
      <c r="BI753" s="32">
        <v>726.2</v>
      </c>
      <c r="BJ753" s="33"/>
      <c r="BK753" s="12"/>
      <c r="BL753" s="12"/>
      <c r="BM753" s="12"/>
      <c r="BN753" s="33"/>
      <c r="BO753" s="33"/>
      <c r="BP753" s="33"/>
      <c r="BQ753" s="33"/>
      <c r="BR753" s="520"/>
    </row>
    <row r="754" spans="37:70">
      <c r="AK754" s="2482"/>
      <c r="BG754" s="30">
        <v>63.4</v>
      </c>
      <c r="BH754" s="31">
        <v>0.72599999999999998</v>
      </c>
      <c r="BI754" s="32">
        <v>725.8</v>
      </c>
      <c r="BJ754" s="33"/>
      <c r="BK754" s="12"/>
      <c r="BL754" s="12"/>
      <c r="BM754" s="12"/>
      <c r="BN754" s="33"/>
      <c r="BO754" s="33"/>
      <c r="BP754" s="33"/>
      <c r="BQ754" s="33"/>
      <c r="BR754" s="520"/>
    </row>
    <row r="755" spans="37:70">
      <c r="AK755" s="2482"/>
      <c r="BG755" s="30">
        <v>63.5</v>
      </c>
      <c r="BH755" s="31">
        <v>0.72560000000000002</v>
      </c>
      <c r="BI755" s="32">
        <v>725.4</v>
      </c>
      <c r="BJ755" s="33"/>
      <c r="BK755" s="12"/>
      <c r="BL755" s="12"/>
      <c r="BM755" s="12"/>
      <c r="BN755" s="33"/>
      <c r="BO755" s="33"/>
      <c r="BP755" s="33"/>
      <c r="BQ755" s="33"/>
      <c r="BR755" s="520"/>
    </row>
    <row r="756" spans="37:70">
      <c r="AK756" s="2482"/>
      <c r="BG756" s="30">
        <v>63.6</v>
      </c>
      <c r="BH756" s="31">
        <v>0.72529999999999994</v>
      </c>
      <c r="BI756" s="32">
        <v>725.1</v>
      </c>
      <c r="BJ756" s="33"/>
      <c r="BK756" s="12"/>
      <c r="BL756" s="12"/>
      <c r="BM756" s="12"/>
      <c r="BN756" s="33"/>
      <c r="BO756" s="33"/>
      <c r="BP756" s="33"/>
      <c r="BQ756" s="33"/>
      <c r="BR756" s="520"/>
    </row>
    <row r="757" spans="37:70">
      <c r="AK757" s="2482"/>
      <c r="BG757" s="30">
        <v>63.7</v>
      </c>
      <c r="BH757" s="31">
        <v>0.72489999999999999</v>
      </c>
      <c r="BI757" s="32">
        <v>724.7</v>
      </c>
      <c r="BJ757" s="33"/>
      <c r="BK757" s="12"/>
      <c r="BL757" s="12"/>
      <c r="BM757" s="12"/>
      <c r="BN757" s="33"/>
      <c r="BO757" s="33"/>
      <c r="BP757" s="33"/>
      <c r="BQ757" s="33"/>
      <c r="BR757" s="520"/>
    </row>
    <row r="758" spans="37:70">
      <c r="AK758" s="2482"/>
      <c r="BG758" s="30">
        <v>63.8</v>
      </c>
      <c r="BH758" s="31">
        <v>0.72450000000000003</v>
      </c>
      <c r="BI758" s="32">
        <v>724.3</v>
      </c>
      <c r="BJ758" s="33"/>
      <c r="BK758" s="12"/>
      <c r="BL758" s="12"/>
      <c r="BM758" s="12"/>
      <c r="BN758" s="33"/>
      <c r="BO758" s="33"/>
      <c r="BP758" s="33"/>
      <c r="BQ758" s="33"/>
      <c r="BR758" s="520"/>
    </row>
    <row r="759" spans="37:70">
      <c r="AK759" s="2482"/>
      <c r="BG759" s="30">
        <v>63.9</v>
      </c>
      <c r="BH759" s="31">
        <v>0.72419999999999995</v>
      </c>
      <c r="BI759" s="32">
        <v>723.9</v>
      </c>
      <c r="BJ759" s="33"/>
      <c r="BK759" s="12"/>
      <c r="BL759" s="12"/>
      <c r="BM759" s="12"/>
      <c r="BN759" s="33"/>
      <c r="BO759" s="33"/>
      <c r="BP759" s="33"/>
      <c r="BQ759" s="33"/>
      <c r="BR759" s="520"/>
    </row>
    <row r="760" spans="37:70">
      <c r="AK760" s="2482"/>
      <c r="BG760" s="30">
        <v>64</v>
      </c>
      <c r="BH760" s="31">
        <v>0.7238</v>
      </c>
      <c r="BI760" s="32">
        <v>723.6</v>
      </c>
      <c r="BJ760" s="33"/>
      <c r="BK760" s="12"/>
      <c r="BL760" s="12"/>
      <c r="BM760" s="12"/>
      <c r="BN760" s="33"/>
      <c r="BO760" s="33"/>
      <c r="BP760" s="33"/>
      <c r="BQ760" s="33"/>
      <c r="BR760" s="520"/>
    </row>
    <row r="761" spans="37:70">
      <c r="AK761" s="2482"/>
      <c r="BG761" s="30">
        <v>64.099999999999994</v>
      </c>
      <c r="BH761" s="31">
        <v>0.72340000000000004</v>
      </c>
      <c r="BI761" s="32">
        <v>723.2</v>
      </c>
      <c r="BJ761" s="33"/>
      <c r="BK761" s="12"/>
      <c r="BL761" s="12"/>
      <c r="BM761" s="12"/>
      <c r="BN761" s="33"/>
      <c r="BO761" s="33"/>
      <c r="BP761" s="33"/>
      <c r="BQ761" s="33"/>
      <c r="BR761" s="520"/>
    </row>
    <row r="762" spans="37:70">
      <c r="AK762" s="2482"/>
      <c r="BG762" s="30">
        <v>64.2</v>
      </c>
      <c r="BH762" s="31">
        <v>0.72299999999999998</v>
      </c>
      <c r="BI762" s="32">
        <v>722.8</v>
      </c>
      <c r="BJ762" s="33"/>
      <c r="BK762" s="12"/>
      <c r="BL762" s="12"/>
      <c r="BM762" s="12"/>
      <c r="BN762" s="33"/>
      <c r="BO762" s="33"/>
      <c r="BP762" s="33"/>
      <c r="BQ762" s="33"/>
      <c r="BR762" s="520"/>
    </row>
    <row r="763" spans="37:70">
      <c r="AK763" s="2482"/>
      <c r="BG763" s="30">
        <v>64.3</v>
      </c>
      <c r="BH763" s="31">
        <v>0.72270000000000001</v>
      </c>
      <c r="BI763" s="32">
        <v>722.5</v>
      </c>
      <c r="BJ763" s="33"/>
      <c r="BK763" s="12"/>
      <c r="BL763" s="12"/>
      <c r="BM763" s="12"/>
      <c r="BN763" s="33"/>
      <c r="BO763" s="33"/>
      <c r="BP763" s="33"/>
      <c r="BQ763" s="33"/>
      <c r="BR763" s="520"/>
    </row>
    <row r="764" spans="37:70">
      <c r="AK764" s="2482"/>
      <c r="BG764" s="30">
        <v>64.400000000000006</v>
      </c>
      <c r="BH764" s="31">
        <v>0.72230000000000005</v>
      </c>
      <c r="BI764" s="32">
        <v>722.1</v>
      </c>
      <c r="BJ764" s="33"/>
      <c r="BK764" s="12"/>
      <c r="BL764" s="12"/>
      <c r="BM764" s="12"/>
      <c r="BN764" s="33"/>
      <c r="BO764" s="33"/>
      <c r="BP764" s="33"/>
      <c r="BQ764" s="33"/>
      <c r="BR764" s="520"/>
    </row>
    <row r="765" spans="37:70">
      <c r="AK765" s="2482"/>
      <c r="BG765" s="30">
        <v>64.5</v>
      </c>
      <c r="BH765" s="31">
        <v>0.72189999999999999</v>
      </c>
      <c r="BI765" s="32">
        <v>721.7</v>
      </c>
      <c r="BJ765" s="33"/>
      <c r="BK765" s="12"/>
      <c r="BL765" s="12"/>
      <c r="BM765" s="12"/>
      <c r="BN765" s="33"/>
      <c r="BO765" s="33"/>
      <c r="BP765" s="33"/>
      <c r="BQ765" s="33"/>
      <c r="BR765" s="520"/>
    </row>
    <row r="766" spans="37:70">
      <c r="AK766" s="2482"/>
      <c r="BG766" s="30">
        <v>64.599999999999994</v>
      </c>
      <c r="BH766" s="31">
        <v>0.72160000000000002</v>
      </c>
      <c r="BI766" s="32">
        <v>721.4</v>
      </c>
      <c r="BJ766" s="33"/>
      <c r="BK766" s="12"/>
      <c r="BL766" s="12"/>
      <c r="BM766" s="12"/>
      <c r="BN766" s="33"/>
      <c r="BO766" s="33"/>
      <c r="BP766" s="33"/>
      <c r="BQ766" s="33"/>
      <c r="BR766" s="520"/>
    </row>
    <row r="767" spans="37:70">
      <c r="AK767" s="2482"/>
      <c r="BG767" s="30">
        <v>64.7</v>
      </c>
      <c r="BH767" s="31">
        <v>0.72119999999999995</v>
      </c>
      <c r="BI767" s="32">
        <v>721</v>
      </c>
      <c r="BJ767" s="33"/>
      <c r="BK767" s="12"/>
      <c r="BL767" s="12"/>
      <c r="BM767" s="12"/>
      <c r="BN767" s="33"/>
      <c r="BO767" s="33"/>
      <c r="BP767" s="33"/>
      <c r="BQ767" s="33"/>
      <c r="BR767" s="520"/>
    </row>
    <row r="768" spans="37:70">
      <c r="AK768" s="2482"/>
      <c r="BG768" s="30">
        <v>64.8</v>
      </c>
      <c r="BH768" s="31">
        <v>0.7208</v>
      </c>
      <c r="BI768" s="32">
        <v>720.6</v>
      </c>
      <c r="BJ768" s="33"/>
      <c r="BK768" s="12"/>
      <c r="BL768" s="12"/>
      <c r="BM768" s="12"/>
      <c r="BN768" s="33"/>
      <c r="BO768" s="33"/>
      <c r="BP768" s="33"/>
      <c r="BQ768" s="33"/>
      <c r="BR768" s="520"/>
    </row>
    <row r="769" spans="37:70">
      <c r="AK769" s="2482"/>
      <c r="BG769" s="30">
        <v>64.900000000000006</v>
      </c>
      <c r="BH769" s="31">
        <v>0.72050000000000003</v>
      </c>
      <c r="BI769" s="32">
        <v>720.3</v>
      </c>
      <c r="BJ769" s="33"/>
      <c r="BK769" s="12"/>
      <c r="BL769" s="12"/>
      <c r="BM769" s="12"/>
      <c r="BN769" s="33"/>
      <c r="BO769" s="33"/>
      <c r="BP769" s="33"/>
      <c r="BQ769" s="33"/>
      <c r="BR769" s="520"/>
    </row>
    <row r="770" spans="37:70">
      <c r="AK770" s="2482"/>
      <c r="BG770" s="30">
        <v>65</v>
      </c>
      <c r="BH770" s="31">
        <v>0.72009999999999996</v>
      </c>
      <c r="BI770" s="32">
        <v>719.9</v>
      </c>
      <c r="BJ770" s="33"/>
      <c r="BK770" s="12"/>
      <c r="BL770" s="12"/>
      <c r="BM770" s="12"/>
      <c r="BN770" s="33"/>
      <c r="BO770" s="33"/>
      <c r="BP770" s="33"/>
      <c r="BQ770" s="33"/>
      <c r="BR770" s="520"/>
    </row>
    <row r="771" spans="37:70">
      <c r="AK771" s="2482"/>
      <c r="BG771" s="30">
        <v>65.099999999999994</v>
      </c>
      <c r="BH771" s="31">
        <v>0.71970000000000001</v>
      </c>
      <c r="BI771" s="32">
        <v>719.5</v>
      </c>
      <c r="BJ771" s="33"/>
      <c r="BK771" s="12"/>
      <c r="BL771" s="12"/>
      <c r="BM771" s="12"/>
      <c r="BN771" s="33"/>
      <c r="BO771" s="33"/>
      <c r="BP771" s="33"/>
      <c r="BQ771" s="33"/>
      <c r="BR771" s="520"/>
    </row>
    <row r="772" spans="37:70">
      <c r="AK772" s="2482"/>
      <c r="BG772" s="30">
        <v>65.2</v>
      </c>
      <c r="BH772" s="31">
        <v>0.71940000000000004</v>
      </c>
      <c r="BI772" s="32">
        <v>719.2</v>
      </c>
      <c r="BJ772" s="33"/>
      <c r="BK772" s="12"/>
      <c r="BL772" s="12"/>
      <c r="BM772" s="12"/>
      <c r="BN772" s="33"/>
      <c r="BO772" s="33"/>
      <c r="BP772" s="33"/>
      <c r="BQ772" s="33"/>
      <c r="BR772" s="520"/>
    </row>
    <row r="773" spans="37:70">
      <c r="AK773" s="2482"/>
      <c r="BG773" s="30">
        <v>65.3</v>
      </c>
      <c r="BH773" s="31">
        <v>0.71899999999999997</v>
      </c>
      <c r="BI773" s="32">
        <v>718.8</v>
      </c>
      <c r="BJ773" s="33"/>
      <c r="BK773" s="12"/>
      <c r="BL773" s="12"/>
      <c r="BM773" s="12"/>
      <c r="BN773" s="33"/>
      <c r="BO773" s="33"/>
      <c r="BP773" s="33"/>
      <c r="BQ773" s="33"/>
      <c r="BR773" s="520"/>
    </row>
    <row r="774" spans="37:70">
      <c r="AK774" s="2482"/>
      <c r="BG774" s="30">
        <v>65.400000000000006</v>
      </c>
      <c r="BH774" s="31">
        <v>0.71860000000000002</v>
      </c>
      <c r="BI774" s="32">
        <v>718.4</v>
      </c>
      <c r="BJ774" s="33"/>
      <c r="BK774" s="12"/>
      <c r="BL774" s="12"/>
      <c r="BM774" s="12"/>
      <c r="BN774" s="33"/>
      <c r="BO774" s="33"/>
      <c r="BP774" s="33"/>
      <c r="BQ774" s="33"/>
      <c r="BR774" s="520"/>
    </row>
    <row r="775" spans="37:70">
      <c r="AK775" s="2482"/>
      <c r="BG775" s="30">
        <v>65.5</v>
      </c>
      <c r="BH775" s="31">
        <v>0.71830000000000005</v>
      </c>
      <c r="BI775" s="32">
        <v>718.1</v>
      </c>
      <c r="BJ775" s="33"/>
      <c r="BK775" s="12"/>
      <c r="BL775" s="12"/>
      <c r="BM775" s="12"/>
      <c r="BN775" s="33"/>
      <c r="BO775" s="33"/>
      <c r="BP775" s="33"/>
      <c r="BQ775" s="33"/>
      <c r="BR775" s="520"/>
    </row>
    <row r="776" spans="37:70">
      <c r="AK776" s="2482"/>
      <c r="BG776" s="30">
        <v>65.599999999999994</v>
      </c>
      <c r="BH776" s="31">
        <v>0.71789999999999998</v>
      </c>
      <c r="BI776" s="32">
        <v>717.7</v>
      </c>
      <c r="BJ776" s="33"/>
      <c r="BK776" s="12"/>
      <c r="BL776" s="12"/>
      <c r="BM776" s="12"/>
      <c r="BN776" s="33"/>
      <c r="BO776" s="33"/>
      <c r="BP776" s="33"/>
      <c r="BQ776" s="33"/>
      <c r="BR776" s="520"/>
    </row>
    <row r="777" spans="37:70">
      <c r="AK777" s="2482"/>
      <c r="BG777" s="30">
        <v>65.7</v>
      </c>
      <c r="BH777" s="31">
        <v>0.71750000000000003</v>
      </c>
      <c r="BI777" s="32">
        <v>717.3</v>
      </c>
      <c r="BJ777" s="33"/>
      <c r="BK777" s="12"/>
      <c r="BL777" s="12"/>
      <c r="BM777" s="12"/>
      <c r="BN777" s="33"/>
      <c r="BO777" s="33"/>
      <c r="BP777" s="33"/>
      <c r="BQ777" s="33"/>
      <c r="BR777" s="520"/>
    </row>
    <row r="778" spans="37:70">
      <c r="AK778" s="2482"/>
      <c r="BG778" s="30">
        <v>65.8</v>
      </c>
      <c r="BH778" s="31">
        <v>0.71719999999999995</v>
      </c>
      <c r="BI778" s="32">
        <v>717</v>
      </c>
      <c r="BJ778" s="33"/>
      <c r="BK778" s="12"/>
      <c r="BL778" s="12"/>
      <c r="BM778" s="12"/>
      <c r="BN778" s="33"/>
      <c r="BO778" s="33"/>
      <c r="BP778" s="33"/>
      <c r="BQ778" s="33"/>
      <c r="BR778" s="520"/>
    </row>
    <row r="779" spans="37:70">
      <c r="AK779" s="2482"/>
      <c r="BG779" s="30">
        <v>65.900000000000006</v>
      </c>
      <c r="BH779" s="31">
        <v>0.71679999999999999</v>
      </c>
      <c r="BI779" s="32">
        <v>716.6</v>
      </c>
      <c r="BJ779" s="33"/>
      <c r="BK779" s="12"/>
      <c r="BL779" s="12"/>
      <c r="BM779" s="12"/>
      <c r="BN779" s="33"/>
      <c r="BO779" s="33"/>
      <c r="BP779" s="33"/>
      <c r="BQ779" s="33"/>
      <c r="BR779" s="520"/>
    </row>
    <row r="780" spans="37:70">
      <c r="AK780" s="2482"/>
      <c r="BG780" s="30">
        <v>66</v>
      </c>
      <c r="BH780" s="31">
        <v>0.71650000000000003</v>
      </c>
      <c r="BI780" s="32">
        <v>716.3</v>
      </c>
      <c r="BJ780" s="33"/>
      <c r="BK780" s="12"/>
      <c r="BL780" s="12"/>
      <c r="BM780" s="12"/>
      <c r="BN780" s="33"/>
      <c r="BO780" s="33"/>
      <c r="BP780" s="33"/>
      <c r="BQ780" s="33"/>
      <c r="BR780" s="520"/>
    </row>
    <row r="781" spans="37:70">
      <c r="AK781" s="2482"/>
      <c r="BG781" s="30">
        <v>66.099999999999994</v>
      </c>
      <c r="BH781" s="31">
        <v>0.71609999999999996</v>
      </c>
      <c r="BI781" s="32">
        <v>715.9</v>
      </c>
      <c r="BJ781" s="33"/>
      <c r="BK781" s="12"/>
      <c r="BL781" s="12"/>
      <c r="BM781" s="12"/>
      <c r="BN781" s="33"/>
      <c r="BO781" s="33"/>
      <c r="BP781" s="33"/>
      <c r="BQ781" s="33"/>
      <c r="BR781" s="520"/>
    </row>
    <row r="782" spans="37:70">
      <c r="AK782" s="2482"/>
      <c r="BG782" s="30">
        <v>66.2</v>
      </c>
      <c r="BH782" s="31">
        <v>0.7157</v>
      </c>
      <c r="BI782" s="32">
        <v>715.5</v>
      </c>
      <c r="BJ782" s="33"/>
      <c r="BK782" s="12"/>
      <c r="BL782" s="12"/>
      <c r="BM782" s="12"/>
      <c r="BN782" s="33"/>
      <c r="BO782" s="33"/>
      <c r="BP782" s="33"/>
      <c r="BQ782" s="33"/>
      <c r="BR782" s="520"/>
    </row>
    <row r="783" spans="37:70">
      <c r="AK783" s="2482"/>
      <c r="BG783" s="30">
        <v>66.3</v>
      </c>
      <c r="BH783" s="31">
        <v>0.71540000000000004</v>
      </c>
      <c r="BI783" s="32">
        <v>715.2</v>
      </c>
      <c r="BJ783" s="33"/>
      <c r="BK783" s="12"/>
      <c r="BL783" s="12"/>
      <c r="BM783" s="12"/>
      <c r="BN783" s="33"/>
      <c r="BO783" s="33"/>
      <c r="BP783" s="33"/>
      <c r="BQ783" s="33"/>
      <c r="BR783" s="520"/>
    </row>
    <row r="784" spans="37:70">
      <c r="AK784" s="2482"/>
      <c r="BG784" s="30">
        <v>66.400000000000006</v>
      </c>
      <c r="BH784" s="31">
        <v>0.71499999999999997</v>
      </c>
      <c r="BI784" s="32">
        <v>714.8</v>
      </c>
      <c r="BJ784" s="33"/>
      <c r="BK784" s="12"/>
      <c r="BL784" s="12"/>
      <c r="BM784" s="12"/>
      <c r="BN784" s="33"/>
      <c r="BO784" s="33"/>
      <c r="BP784" s="33"/>
      <c r="BQ784" s="33"/>
      <c r="BR784" s="520"/>
    </row>
    <row r="785" spans="37:70">
      <c r="AK785" s="2482"/>
      <c r="BG785" s="30">
        <v>66.5</v>
      </c>
      <c r="BH785" s="31">
        <v>0.71460000000000001</v>
      </c>
      <c r="BI785" s="32">
        <v>714.5</v>
      </c>
      <c r="BJ785" s="33"/>
      <c r="BK785" s="12"/>
      <c r="BL785" s="12"/>
      <c r="BM785" s="12"/>
      <c r="BN785" s="33"/>
      <c r="BO785" s="33"/>
      <c r="BP785" s="33"/>
      <c r="BQ785" s="33"/>
      <c r="BR785" s="520"/>
    </row>
    <row r="786" spans="37:70">
      <c r="AK786" s="2482"/>
      <c r="BG786" s="30">
        <v>66.599999999999994</v>
      </c>
      <c r="BH786" s="31">
        <v>0.71430000000000005</v>
      </c>
      <c r="BI786" s="32">
        <v>714.1</v>
      </c>
      <c r="BJ786" s="33"/>
      <c r="BK786" s="12"/>
      <c r="BL786" s="12"/>
      <c r="BM786" s="12"/>
      <c r="BN786" s="33"/>
      <c r="BO786" s="33"/>
      <c r="BP786" s="33"/>
      <c r="BQ786" s="33"/>
      <c r="BR786" s="520"/>
    </row>
    <row r="787" spans="37:70">
      <c r="AK787" s="2482"/>
      <c r="BG787" s="30">
        <v>66.7</v>
      </c>
      <c r="BH787" s="31">
        <v>0.71389999999999998</v>
      </c>
      <c r="BI787" s="32">
        <v>713.7</v>
      </c>
      <c r="BJ787" s="33"/>
      <c r="BK787" s="12"/>
      <c r="BL787" s="12"/>
      <c r="BM787" s="12"/>
      <c r="BN787" s="33"/>
      <c r="BO787" s="33"/>
      <c r="BP787" s="33"/>
      <c r="BQ787" s="33"/>
      <c r="BR787" s="520"/>
    </row>
    <row r="788" spans="37:70">
      <c r="AK788" s="2482"/>
      <c r="BG788" s="30">
        <v>66.8</v>
      </c>
      <c r="BH788" s="31">
        <v>0.71360000000000001</v>
      </c>
      <c r="BI788" s="32">
        <v>713.4</v>
      </c>
      <c r="BJ788" s="33"/>
      <c r="BK788" s="12"/>
      <c r="BL788" s="12"/>
      <c r="BM788" s="12"/>
      <c r="BN788" s="33"/>
      <c r="BO788" s="33"/>
      <c r="BP788" s="33"/>
      <c r="BQ788" s="33"/>
      <c r="BR788" s="520"/>
    </row>
    <row r="789" spans="37:70">
      <c r="AK789" s="2482"/>
      <c r="BG789" s="30">
        <v>66.900000000000006</v>
      </c>
      <c r="BH789" s="31">
        <v>0.71319999999999995</v>
      </c>
      <c r="BI789" s="32">
        <v>713</v>
      </c>
      <c r="BJ789" s="33"/>
      <c r="BK789" s="12"/>
      <c r="BL789" s="12"/>
      <c r="BM789" s="12"/>
      <c r="BN789" s="33"/>
      <c r="BO789" s="33"/>
      <c r="BP789" s="33"/>
      <c r="BQ789" s="33"/>
      <c r="BR789" s="520"/>
    </row>
    <row r="790" spans="37:70">
      <c r="AK790" s="2482"/>
      <c r="BG790" s="30">
        <v>67</v>
      </c>
      <c r="BH790" s="31">
        <v>0.71279999999999999</v>
      </c>
      <c r="BI790" s="32">
        <v>712.7</v>
      </c>
      <c r="BJ790" s="33"/>
      <c r="BK790" s="12"/>
      <c r="BL790" s="12"/>
      <c r="BM790" s="12"/>
      <c r="BN790" s="33"/>
      <c r="BO790" s="33"/>
      <c r="BP790" s="33"/>
      <c r="BQ790" s="33"/>
      <c r="BR790" s="520"/>
    </row>
    <row r="791" spans="37:70">
      <c r="AK791" s="2482"/>
      <c r="BG791" s="30">
        <v>67.099999999999994</v>
      </c>
      <c r="BH791" s="31">
        <v>0.71250000000000002</v>
      </c>
      <c r="BI791" s="32">
        <v>712.3</v>
      </c>
      <c r="BJ791" s="33"/>
      <c r="BK791" s="12"/>
      <c r="BL791" s="12"/>
      <c r="BM791" s="12"/>
      <c r="BN791" s="33"/>
      <c r="BO791" s="33"/>
      <c r="BP791" s="33"/>
      <c r="BQ791" s="33"/>
      <c r="BR791" s="520"/>
    </row>
    <row r="792" spans="37:70">
      <c r="AK792" s="2482"/>
      <c r="BG792" s="30">
        <v>67.2</v>
      </c>
      <c r="BH792" s="31">
        <v>0.71209999999999996</v>
      </c>
      <c r="BI792" s="32">
        <v>711.9</v>
      </c>
      <c r="BJ792" s="33"/>
      <c r="BK792" s="12"/>
      <c r="BL792" s="12"/>
      <c r="BM792" s="12"/>
      <c r="BN792" s="33"/>
      <c r="BO792" s="33"/>
      <c r="BP792" s="33"/>
      <c r="BQ792" s="33"/>
      <c r="BR792" s="520"/>
    </row>
    <row r="793" spans="37:70">
      <c r="AK793" s="2482"/>
      <c r="BG793" s="30">
        <v>67.3</v>
      </c>
      <c r="BH793" s="31">
        <v>0.71179999999999999</v>
      </c>
      <c r="BI793" s="32">
        <v>711.6</v>
      </c>
      <c r="BJ793" s="33"/>
      <c r="BK793" s="12"/>
      <c r="BL793" s="12"/>
      <c r="BM793" s="12"/>
      <c r="BN793" s="33"/>
      <c r="BO793" s="33"/>
      <c r="BP793" s="33"/>
      <c r="BQ793" s="33"/>
      <c r="BR793" s="520"/>
    </row>
    <row r="794" spans="37:70">
      <c r="AK794" s="2482"/>
      <c r="BG794" s="30">
        <v>67.400000000000006</v>
      </c>
      <c r="BH794" s="31">
        <v>0.71140000000000003</v>
      </c>
      <c r="BI794" s="32">
        <v>711.2</v>
      </c>
      <c r="BJ794" s="33"/>
      <c r="BK794" s="12"/>
      <c r="BL794" s="12"/>
      <c r="BM794" s="12"/>
      <c r="BN794" s="33"/>
      <c r="BO794" s="33"/>
      <c r="BP794" s="33"/>
      <c r="BQ794" s="33"/>
      <c r="BR794" s="520"/>
    </row>
    <row r="795" spans="37:70">
      <c r="AK795" s="2482"/>
      <c r="BG795" s="30">
        <v>67.5</v>
      </c>
      <c r="BH795" s="31">
        <v>0.71109999999999995</v>
      </c>
      <c r="BI795" s="32">
        <v>710.9</v>
      </c>
      <c r="BJ795" s="33"/>
      <c r="BK795" s="12"/>
      <c r="BL795" s="12"/>
      <c r="BM795" s="12"/>
      <c r="BN795" s="33"/>
      <c r="BO795" s="33"/>
      <c r="BP795" s="33"/>
      <c r="BQ795" s="33"/>
      <c r="BR795" s="520"/>
    </row>
    <row r="796" spans="37:70">
      <c r="AK796" s="2482"/>
      <c r="BG796" s="30">
        <v>67.599999999999994</v>
      </c>
      <c r="BH796" s="31">
        <v>0.7107</v>
      </c>
      <c r="BI796" s="32">
        <v>710.5</v>
      </c>
      <c r="BJ796" s="33"/>
      <c r="BK796" s="12"/>
      <c r="BL796" s="12"/>
      <c r="BM796" s="12"/>
      <c r="BN796" s="33"/>
      <c r="BO796" s="33"/>
      <c r="BP796" s="33"/>
      <c r="BQ796" s="33"/>
      <c r="BR796" s="520"/>
    </row>
    <row r="797" spans="37:70">
      <c r="AK797" s="2482"/>
      <c r="BG797" s="30">
        <v>67.7</v>
      </c>
      <c r="BH797" s="31">
        <v>0.71030000000000004</v>
      </c>
      <c r="BI797" s="32">
        <v>710.2</v>
      </c>
      <c r="BJ797" s="33"/>
      <c r="BK797" s="12"/>
      <c r="BL797" s="12"/>
      <c r="BM797" s="12"/>
      <c r="BN797" s="33"/>
      <c r="BO797" s="33"/>
      <c r="BP797" s="33"/>
      <c r="BQ797" s="33"/>
      <c r="BR797" s="520"/>
    </row>
    <row r="798" spans="37:70">
      <c r="AK798" s="2482"/>
      <c r="BG798" s="30">
        <v>67.8</v>
      </c>
      <c r="BH798" s="31">
        <v>0.71</v>
      </c>
      <c r="BI798" s="32">
        <v>709.8</v>
      </c>
      <c r="BJ798" s="33"/>
      <c r="BK798" s="12"/>
      <c r="BL798" s="12"/>
      <c r="BM798" s="12"/>
      <c r="BN798" s="33"/>
      <c r="BO798" s="33"/>
      <c r="BP798" s="33"/>
      <c r="BQ798" s="33"/>
      <c r="BR798" s="520"/>
    </row>
    <row r="799" spans="37:70">
      <c r="AK799" s="2482"/>
      <c r="BG799" s="30">
        <v>67.900000000000006</v>
      </c>
      <c r="BH799" s="31">
        <v>0.70960000000000001</v>
      </c>
      <c r="BI799" s="32">
        <v>709.4</v>
      </c>
      <c r="BJ799" s="33"/>
      <c r="BK799" s="12"/>
      <c r="BL799" s="12"/>
      <c r="BM799" s="12"/>
      <c r="BN799" s="33"/>
      <c r="BO799" s="33"/>
      <c r="BP799" s="33"/>
      <c r="BQ799" s="33"/>
      <c r="BR799" s="520"/>
    </row>
    <row r="800" spans="37:70">
      <c r="AK800" s="2482"/>
      <c r="BG800" s="30">
        <v>68</v>
      </c>
      <c r="BH800" s="31">
        <v>0.70930000000000004</v>
      </c>
      <c r="BI800" s="32">
        <v>709.1</v>
      </c>
      <c r="BJ800" s="33"/>
      <c r="BK800" s="12"/>
      <c r="BL800" s="12"/>
      <c r="BM800" s="12"/>
      <c r="BN800" s="33"/>
      <c r="BO800" s="33"/>
      <c r="BP800" s="33"/>
      <c r="BQ800" s="33"/>
      <c r="BR800" s="520"/>
    </row>
    <row r="801" spans="37:70">
      <c r="AK801" s="2482"/>
      <c r="BG801" s="30">
        <v>68.099999999999994</v>
      </c>
      <c r="BH801" s="31">
        <v>0.70889999999999997</v>
      </c>
      <c r="BI801" s="32">
        <v>708.7</v>
      </c>
      <c r="BJ801" s="33"/>
      <c r="BK801" s="12"/>
      <c r="BL801" s="12"/>
      <c r="BM801" s="12"/>
      <c r="BN801" s="33"/>
      <c r="BO801" s="33"/>
      <c r="BP801" s="33"/>
      <c r="BQ801" s="33"/>
      <c r="BR801" s="520"/>
    </row>
    <row r="802" spans="37:70">
      <c r="AK802" s="2482"/>
      <c r="BG802" s="30">
        <v>68.2</v>
      </c>
      <c r="BH802" s="31">
        <v>0.70860000000000001</v>
      </c>
      <c r="BI802" s="32">
        <v>708.4</v>
      </c>
      <c r="BJ802" s="33"/>
      <c r="BK802" s="12"/>
      <c r="BL802" s="12"/>
      <c r="BM802" s="12"/>
      <c r="BN802" s="33"/>
      <c r="BO802" s="33"/>
      <c r="BP802" s="33"/>
      <c r="BQ802" s="33"/>
      <c r="BR802" s="520"/>
    </row>
    <row r="803" spans="37:70">
      <c r="AK803" s="2482"/>
      <c r="BG803" s="30">
        <v>68.3</v>
      </c>
      <c r="BH803" s="31">
        <v>0.70820000000000005</v>
      </c>
      <c r="BI803" s="32">
        <v>708</v>
      </c>
      <c r="BJ803" s="33"/>
      <c r="BK803" s="12"/>
      <c r="BL803" s="12"/>
      <c r="BM803" s="12"/>
      <c r="BN803" s="33"/>
      <c r="BO803" s="33"/>
      <c r="BP803" s="33"/>
      <c r="BQ803" s="33"/>
      <c r="BR803" s="520"/>
    </row>
    <row r="804" spans="37:70">
      <c r="AK804" s="2482"/>
      <c r="BG804" s="30">
        <v>68.400000000000006</v>
      </c>
      <c r="BH804" s="31">
        <v>0.70789999999999997</v>
      </c>
      <c r="BI804" s="32">
        <v>707.7</v>
      </c>
      <c r="BJ804" s="33"/>
      <c r="BK804" s="12"/>
      <c r="BL804" s="12"/>
      <c r="BM804" s="12"/>
      <c r="BN804" s="33"/>
      <c r="BO804" s="33"/>
      <c r="BP804" s="33"/>
      <c r="BQ804" s="33"/>
      <c r="BR804" s="520"/>
    </row>
    <row r="805" spans="37:70">
      <c r="AK805" s="2482"/>
      <c r="BG805" s="30">
        <v>68.5</v>
      </c>
      <c r="BH805" s="31">
        <v>0.70750000000000002</v>
      </c>
      <c r="BI805" s="32">
        <v>707.3</v>
      </c>
      <c r="BJ805" s="33"/>
      <c r="BK805" s="12"/>
      <c r="BL805" s="12"/>
      <c r="BM805" s="12"/>
      <c r="BN805" s="33"/>
      <c r="BO805" s="33"/>
      <c r="BP805" s="33"/>
      <c r="BQ805" s="33"/>
      <c r="BR805" s="520"/>
    </row>
    <row r="806" spans="37:70">
      <c r="AK806" s="2482"/>
      <c r="BG806" s="30">
        <v>68.599999999999994</v>
      </c>
      <c r="BH806" s="31">
        <v>0.70709999999999995</v>
      </c>
      <c r="BI806" s="32">
        <v>707</v>
      </c>
      <c r="BJ806" s="33"/>
      <c r="BK806" s="12"/>
      <c r="BL806" s="12"/>
      <c r="BM806" s="12"/>
      <c r="BN806" s="33"/>
      <c r="BO806" s="33"/>
      <c r="BP806" s="33"/>
      <c r="BQ806" s="33"/>
      <c r="BR806" s="520"/>
    </row>
    <row r="807" spans="37:70">
      <c r="AK807" s="2482"/>
      <c r="BG807" s="30">
        <v>68.7</v>
      </c>
      <c r="BH807" s="31">
        <v>0.70679999999999998</v>
      </c>
      <c r="BI807" s="32">
        <v>706.6</v>
      </c>
      <c r="BJ807" s="33"/>
      <c r="BK807" s="12"/>
      <c r="BL807" s="12"/>
      <c r="BM807" s="12"/>
      <c r="BN807" s="33"/>
      <c r="BO807" s="33"/>
      <c r="BP807" s="33"/>
      <c r="BQ807" s="33"/>
      <c r="BR807" s="520"/>
    </row>
    <row r="808" spans="37:70">
      <c r="AK808" s="2482"/>
      <c r="BG808" s="30">
        <v>68.8</v>
      </c>
      <c r="BH808" s="31">
        <v>0.70640000000000003</v>
      </c>
      <c r="BI808" s="32">
        <v>706.3</v>
      </c>
      <c r="BJ808" s="33"/>
      <c r="BK808" s="12"/>
      <c r="BL808" s="12"/>
      <c r="BM808" s="12"/>
      <c r="BN808" s="33"/>
      <c r="BO808" s="33"/>
      <c r="BP808" s="33"/>
      <c r="BQ808" s="33"/>
      <c r="BR808" s="520"/>
    </row>
    <row r="809" spans="37:70">
      <c r="AK809" s="2482"/>
      <c r="BG809" s="30">
        <v>68.900000000000006</v>
      </c>
      <c r="BH809" s="31">
        <v>0.70609999999999995</v>
      </c>
      <c r="BI809" s="32">
        <v>705.9</v>
      </c>
      <c r="BJ809" s="33"/>
      <c r="BK809" s="12"/>
      <c r="BL809" s="12"/>
      <c r="BM809" s="12"/>
      <c r="BN809" s="33"/>
      <c r="BO809" s="33"/>
      <c r="BP809" s="33"/>
      <c r="BQ809" s="33"/>
      <c r="BR809" s="520"/>
    </row>
    <row r="810" spans="37:70">
      <c r="AK810" s="2482"/>
      <c r="BG810" s="30">
        <v>69</v>
      </c>
      <c r="BH810" s="31">
        <v>0.70569999999999999</v>
      </c>
      <c r="BI810" s="32">
        <v>705.6</v>
      </c>
      <c r="BJ810" s="33"/>
      <c r="BK810" s="12"/>
      <c r="BL810" s="12"/>
      <c r="BM810" s="12"/>
      <c r="BN810" s="33"/>
      <c r="BO810" s="33"/>
      <c r="BP810" s="33"/>
      <c r="BQ810" s="33"/>
      <c r="BR810" s="520"/>
    </row>
    <row r="811" spans="37:70">
      <c r="AK811" s="2482"/>
      <c r="BG811" s="30">
        <v>69.099999999999994</v>
      </c>
      <c r="BH811" s="31">
        <v>0.70540000000000003</v>
      </c>
      <c r="BI811" s="32">
        <v>705.2</v>
      </c>
      <c r="BJ811" s="33"/>
      <c r="BK811" s="12"/>
      <c r="BL811" s="12"/>
      <c r="BM811" s="12"/>
      <c r="BN811" s="33"/>
      <c r="BO811" s="33"/>
      <c r="BP811" s="33"/>
      <c r="BQ811" s="33"/>
      <c r="BR811" s="520"/>
    </row>
    <row r="812" spans="37:70">
      <c r="AK812" s="2482"/>
      <c r="BG812" s="30">
        <v>69.2</v>
      </c>
      <c r="BH812" s="31">
        <v>0.70499999999999996</v>
      </c>
      <c r="BI812" s="32">
        <v>704.9</v>
      </c>
      <c r="BJ812" s="33"/>
      <c r="BK812" s="12"/>
      <c r="BL812" s="12"/>
      <c r="BM812" s="12"/>
      <c r="BN812" s="33"/>
      <c r="BO812" s="33"/>
      <c r="BP812" s="33"/>
      <c r="BQ812" s="33"/>
      <c r="BR812" s="520"/>
    </row>
    <row r="813" spans="37:70">
      <c r="AK813" s="2482"/>
      <c r="BG813" s="30">
        <v>69.3</v>
      </c>
      <c r="BH813" s="31">
        <v>0.70469999999999999</v>
      </c>
      <c r="BI813" s="32">
        <v>704.5</v>
      </c>
      <c r="BJ813" s="33"/>
      <c r="BK813" s="12"/>
      <c r="BL813" s="12"/>
      <c r="BM813" s="12"/>
      <c r="BN813" s="33"/>
      <c r="BO813" s="33"/>
      <c r="BP813" s="33"/>
      <c r="BQ813" s="33"/>
      <c r="BR813" s="520"/>
    </row>
    <row r="814" spans="37:70">
      <c r="AK814" s="2482"/>
      <c r="BG814" s="30">
        <v>69.400000000000006</v>
      </c>
      <c r="BH814" s="31">
        <v>0.70430000000000004</v>
      </c>
      <c r="BI814" s="32">
        <v>704.2</v>
      </c>
      <c r="BJ814" s="33"/>
      <c r="BK814" s="12"/>
      <c r="BL814" s="12"/>
      <c r="BM814" s="12"/>
      <c r="BN814" s="33"/>
      <c r="BO814" s="33"/>
      <c r="BP814" s="33"/>
      <c r="BQ814" s="33"/>
      <c r="BR814" s="520"/>
    </row>
    <row r="815" spans="37:70">
      <c r="AK815" s="2482"/>
      <c r="BG815" s="30">
        <v>69.5</v>
      </c>
      <c r="BH815" s="31">
        <v>0.70399999999999996</v>
      </c>
      <c r="BI815" s="32">
        <v>703.8</v>
      </c>
      <c r="BJ815" s="33"/>
      <c r="BK815" s="12"/>
      <c r="BL815" s="12"/>
      <c r="BM815" s="12"/>
      <c r="BN815" s="33"/>
      <c r="BO815" s="33"/>
      <c r="BP815" s="33"/>
      <c r="BQ815" s="33"/>
      <c r="BR815" s="520"/>
    </row>
    <row r="816" spans="37:70">
      <c r="AK816" s="2482"/>
      <c r="BG816" s="30">
        <v>69.599999999999994</v>
      </c>
      <c r="BH816" s="31">
        <v>0.7036</v>
      </c>
      <c r="BI816" s="32">
        <v>703.5</v>
      </c>
      <c r="BJ816" s="33"/>
      <c r="BK816" s="12"/>
      <c r="BL816" s="12"/>
      <c r="BM816" s="12"/>
      <c r="BN816" s="33"/>
      <c r="BO816" s="33"/>
      <c r="BP816" s="33"/>
      <c r="BQ816" s="33"/>
      <c r="BR816" s="520"/>
    </row>
    <row r="817" spans="37:70">
      <c r="AK817" s="2482"/>
      <c r="BG817" s="30">
        <v>69.7</v>
      </c>
      <c r="BH817" s="31">
        <v>0.70330000000000004</v>
      </c>
      <c r="BI817" s="32">
        <v>703.1</v>
      </c>
      <c r="BJ817" s="33"/>
      <c r="BK817" s="12"/>
      <c r="BL817" s="12"/>
      <c r="BM817" s="12"/>
      <c r="BN817" s="33"/>
      <c r="BO817" s="33"/>
      <c r="BP817" s="33"/>
      <c r="BQ817" s="33"/>
      <c r="BR817" s="520"/>
    </row>
    <row r="818" spans="37:70">
      <c r="AK818" s="2482"/>
      <c r="BG818" s="30">
        <v>69.8</v>
      </c>
      <c r="BH818" s="31">
        <v>0.70289999999999997</v>
      </c>
      <c r="BI818" s="32">
        <v>702.8</v>
      </c>
      <c r="BJ818" s="33"/>
      <c r="BK818" s="12"/>
      <c r="BL818" s="12"/>
      <c r="BM818" s="12"/>
      <c r="BN818" s="33"/>
      <c r="BO818" s="33"/>
      <c r="BP818" s="33"/>
      <c r="BQ818" s="33"/>
      <c r="BR818" s="520"/>
    </row>
    <row r="819" spans="37:70">
      <c r="AK819" s="2482"/>
      <c r="BG819" s="30">
        <v>69.900000000000006</v>
      </c>
      <c r="BH819" s="31">
        <v>0.7026</v>
      </c>
      <c r="BI819" s="32">
        <v>702.4</v>
      </c>
      <c r="BJ819" s="33"/>
      <c r="BK819" s="12"/>
      <c r="BL819" s="12"/>
      <c r="BM819" s="12"/>
      <c r="BN819" s="33"/>
      <c r="BO819" s="33"/>
      <c r="BP819" s="33"/>
      <c r="BQ819" s="33"/>
      <c r="BR819" s="520"/>
    </row>
    <row r="820" spans="37:70">
      <c r="AK820" s="2482"/>
      <c r="BG820" s="30">
        <v>70</v>
      </c>
      <c r="BH820" s="31">
        <v>0.70220000000000005</v>
      </c>
      <c r="BI820" s="32">
        <v>702.1</v>
      </c>
      <c r="BJ820" s="33"/>
      <c r="BK820" s="12"/>
      <c r="BL820" s="12"/>
      <c r="BM820" s="12"/>
      <c r="BN820" s="33"/>
      <c r="BO820" s="33"/>
      <c r="BP820" s="33"/>
      <c r="BQ820" s="33"/>
      <c r="BR820" s="520"/>
    </row>
    <row r="821" spans="37:70">
      <c r="AK821" s="2482"/>
      <c r="BG821" s="30">
        <v>70.099999999999994</v>
      </c>
      <c r="BH821" s="31">
        <v>0.70189999999999997</v>
      </c>
      <c r="BI821" s="32">
        <v>701.7</v>
      </c>
      <c r="BJ821" s="33"/>
      <c r="BK821" s="12"/>
      <c r="BL821" s="12"/>
      <c r="BM821" s="12"/>
      <c r="BN821" s="33"/>
      <c r="BO821" s="33"/>
      <c r="BP821" s="33"/>
      <c r="BQ821" s="33"/>
      <c r="BR821" s="520"/>
    </row>
    <row r="822" spans="37:70">
      <c r="AK822" s="2482"/>
      <c r="BG822" s="30">
        <v>70.2</v>
      </c>
      <c r="BH822" s="31">
        <v>0.70150000000000001</v>
      </c>
      <c r="BI822" s="32">
        <v>701.4</v>
      </c>
      <c r="BJ822" s="33"/>
      <c r="BK822" s="12"/>
      <c r="BL822" s="12"/>
      <c r="BM822" s="12"/>
      <c r="BN822" s="33"/>
      <c r="BO822" s="33"/>
      <c r="BP822" s="33"/>
      <c r="BQ822" s="33"/>
      <c r="BR822" s="520"/>
    </row>
    <row r="823" spans="37:70">
      <c r="AK823" s="2482"/>
      <c r="BG823" s="30">
        <v>70.3</v>
      </c>
      <c r="BH823" s="31">
        <v>0.70120000000000005</v>
      </c>
      <c r="BI823" s="32">
        <v>701</v>
      </c>
      <c r="BJ823" s="33"/>
      <c r="BK823" s="12"/>
      <c r="BL823" s="12"/>
      <c r="BM823" s="12"/>
      <c r="BN823" s="33"/>
      <c r="BO823" s="33"/>
      <c r="BP823" s="33"/>
      <c r="BQ823" s="33"/>
      <c r="BR823" s="520"/>
    </row>
    <row r="824" spans="37:70">
      <c r="AK824" s="2482"/>
      <c r="BG824" s="30">
        <v>70.400000000000006</v>
      </c>
      <c r="BH824" s="31">
        <v>0.70079999999999998</v>
      </c>
      <c r="BI824" s="32">
        <v>700.7</v>
      </c>
      <c r="BJ824" s="33"/>
      <c r="BK824" s="12"/>
      <c r="BL824" s="12"/>
      <c r="BM824" s="12"/>
      <c r="BN824" s="33"/>
      <c r="BO824" s="33"/>
      <c r="BP824" s="33"/>
      <c r="BQ824" s="33"/>
      <c r="BR824" s="520"/>
    </row>
    <row r="825" spans="37:70">
      <c r="AK825" s="2482"/>
      <c r="BG825" s="30">
        <v>70.5</v>
      </c>
      <c r="BH825" s="31">
        <v>0.70050000000000001</v>
      </c>
      <c r="BI825" s="32">
        <v>700.3</v>
      </c>
      <c r="BJ825" s="33"/>
      <c r="BK825" s="12"/>
      <c r="BL825" s="12"/>
      <c r="BM825" s="12"/>
      <c r="BN825" s="33"/>
      <c r="BO825" s="33"/>
      <c r="BP825" s="33"/>
      <c r="BQ825" s="33"/>
      <c r="BR825" s="520"/>
    </row>
    <row r="826" spans="37:70">
      <c r="AK826" s="2482"/>
      <c r="BG826" s="30">
        <v>70.599999999999994</v>
      </c>
      <c r="BH826" s="31">
        <v>0.70009999999999994</v>
      </c>
      <c r="BI826" s="32">
        <v>700</v>
      </c>
      <c r="BJ826" s="33"/>
      <c r="BK826" s="12"/>
      <c r="BL826" s="12"/>
      <c r="BM826" s="12"/>
      <c r="BN826" s="33"/>
      <c r="BO826" s="33"/>
      <c r="BP826" s="33"/>
      <c r="BQ826" s="33"/>
      <c r="BR826" s="520"/>
    </row>
    <row r="827" spans="37:70">
      <c r="AK827" s="2482"/>
      <c r="BG827" s="30">
        <v>70.7</v>
      </c>
      <c r="BH827" s="31">
        <v>0.69979999999999998</v>
      </c>
      <c r="BI827" s="32">
        <v>699.6</v>
      </c>
      <c r="BJ827" s="33"/>
      <c r="BK827" s="12"/>
      <c r="BL827" s="12"/>
      <c r="BM827" s="12"/>
      <c r="BN827" s="33"/>
      <c r="BO827" s="33"/>
      <c r="BP827" s="33"/>
      <c r="BQ827" s="33"/>
      <c r="BR827" s="520"/>
    </row>
    <row r="828" spans="37:70">
      <c r="AK828" s="2482"/>
      <c r="BG828" s="30">
        <v>70.8</v>
      </c>
      <c r="BH828" s="31">
        <v>0.69950000000000001</v>
      </c>
      <c r="BI828" s="32">
        <v>699.3</v>
      </c>
      <c r="BJ828" s="33"/>
      <c r="BK828" s="12"/>
      <c r="BL828" s="12"/>
      <c r="BM828" s="12"/>
      <c r="BN828" s="33"/>
      <c r="BO828" s="33"/>
      <c r="BP828" s="33"/>
      <c r="BQ828" s="33"/>
      <c r="BR828" s="520"/>
    </row>
    <row r="829" spans="37:70">
      <c r="AK829" s="2482"/>
      <c r="BG829" s="30">
        <v>70.900000000000006</v>
      </c>
      <c r="BH829" s="31">
        <v>0.69910000000000005</v>
      </c>
      <c r="BI829" s="32">
        <v>698.9</v>
      </c>
      <c r="BJ829" s="33"/>
      <c r="BK829" s="12"/>
      <c r="BL829" s="12"/>
      <c r="BM829" s="12"/>
      <c r="BN829" s="33"/>
      <c r="BO829" s="33"/>
      <c r="BP829" s="33"/>
      <c r="BQ829" s="33"/>
      <c r="BR829" s="520"/>
    </row>
    <row r="830" spans="37:70">
      <c r="AK830" s="2482"/>
      <c r="BG830" s="30">
        <v>71</v>
      </c>
      <c r="BH830" s="31">
        <v>0.69879999999999998</v>
      </c>
      <c r="BI830" s="32">
        <v>698.6</v>
      </c>
      <c r="BJ830" s="33"/>
      <c r="BK830" s="12"/>
      <c r="BL830" s="12"/>
      <c r="BM830" s="12"/>
      <c r="BN830" s="33"/>
      <c r="BO830" s="33"/>
      <c r="BP830" s="33"/>
      <c r="BQ830" s="33"/>
      <c r="BR830" s="520"/>
    </row>
    <row r="831" spans="37:70">
      <c r="AK831" s="2482"/>
      <c r="BG831" s="30">
        <v>71.099999999999994</v>
      </c>
      <c r="BH831" s="31">
        <v>0.69840000000000002</v>
      </c>
      <c r="BI831" s="32">
        <v>698.2</v>
      </c>
      <c r="BJ831" s="33"/>
      <c r="BK831" s="12"/>
      <c r="BL831" s="12"/>
      <c r="BM831" s="12"/>
      <c r="BN831" s="33"/>
      <c r="BO831" s="33"/>
      <c r="BP831" s="33"/>
      <c r="BQ831" s="33"/>
      <c r="BR831" s="520"/>
    </row>
    <row r="832" spans="37:70">
      <c r="AK832" s="2482"/>
      <c r="BG832" s="30">
        <v>71.2</v>
      </c>
      <c r="BH832" s="31">
        <v>0.69810000000000005</v>
      </c>
      <c r="BI832" s="32">
        <v>697.9</v>
      </c>
      <c r="BJ832" s="33"/>
      <c r="BK832" s="12"/>
      <c r="BL832" s="12"/>
      <c r="BM832" s="12"/>
      <c r="BN832" s="33"/>
      <c r="BO832" s="33"/>
      <c r="BP832" s="33"/>
      <c r="BQ832" s="33"/>
      <c r="BR832" s="520"/>
    </row>
    <row r="833" spans="37:70">
      <c r="AK833" s="2482"/>
      <c r="BG833" s="30">
        <v>71.3</v>
      </c>
      <c r="BH833" s="31">
        <v>0.69769999999999999</v>
      </c>
      <c r="BI833" s="32">
        <v>697.6</v>
      </c>
      <c r="BJ833" s="33"/>
      <c r="BK833" s="12"/>
      <c r="BL833" s="12"/>
      <c r="BM833" s="12"/>
      <c r="BN833" s="33"/>
      <c r="BO833" s="33"/>
      <c r="BP833" s="33"/>
      <c r="BQ833" s="33"/>
      <c r="BR833" s="520"/>
    </row>
    <row r="834" spans="37:70">
      <c r="AK834" s="2482"/>
      <c r="BG834" s="30">
        <v>71.400000000000006</v>
      </c>
      <c r="BH834" s="31">
        <v>0.69740000000000002</v>
      </c>
      <c r="BI834" s="32">
        <v>697.2</v>
      </c>
      <c r="BJ834" s="33"/>
      <c r="BK834" s="12"/>
      <c r="BL834" s="12"/>
      <c r="BM834" s="12"/>
      <c r="BN834" s="33"/>
      <c r="BO834" s="33"/>
      <c r="BP834" s="33"/>
      <c r="BQ834" s="33"/>
      <c r="BR834" s="520"/>
    </row>
    <row r="835" spans="37:70">
      <c r="AK835" s="2482"/>
      <c r="BG835" s="30">
        <v>71.5</v>
      </c>
      <c r="BH835" s="31">
        <v>0.69699999999999995</v>
      </c>
      <c r="BI835" s="32">
        <v>696.9</v>
      </c>
      <c r="BJ835" s="33"/>
      <c r="BK835" s="12"/>
      <c r="BL835" s="12"/>
      <c r="BM835" s="12"/>
      <c r="BN835" s="33"/>
      <c r="BO835" s="33"/>
      <c r="BP835" s="33"/>
      <c r="BQ835" s="33"/>
      <c r="BR835" s="520"/>
    </row>
    <row r="836" spans="37:70">
      <c r="AK836" s="2482"/>
      <c r="BG836" s="30">
        <v>71.599999999999994</v>
      </c>
      <c r="BH836" s="31">
        <v>0.69669999999999999</v>
      </c>
      <c r="BI836" s="32">
        <v>696.5</v>
      </c>
      <c r="BJ836" s="33"/>
      <c r="BK836" s="12"/>
      <c r="BL836" s="12"/>
      <c r="BM836" s="12"/>
      <c r="BN836" s="33"/>
      <c r="BO836" s="33"/>
      <c r="BP836" s="33"/>
      <c r="BQ836" s="33"/>
      <c r="BR836" s="520"/>
    </row>
    <row r="837" spans="37:70">
      <c r="AK837" s="2482"/>
      <c r="BG837" s="30">
        <v>71.7</v>
      </c>
      <c r="BH837" s="31">
        <v>0.69640000000000002</v>
      </c>
      <c r="BI837" s="32">
        <v>696.2</v>
      </c>
      <c r="BJ837" s="33"/>
      <c r="BK837" s="12"/>
      <c r="BL837" s="12"/>
      <c r="BM837" s="12"/>
      <c r="BN837" s="33"/>
      <c r="BO837" s="33"/>
      <c r="BP837" s="33"/>
      <c r="BQ837" s="33"/>
      <c r="BR837" s="520"/>
    </row>
    <row r="838" spans="37:70">
      <c r="AK838" s="2482"/>
      <c r="BG838" s="30">
        <v>71.8</v>
      </c>
      <c r="BH838" s="31">
        <v>0.69599999999999995</v>
      </c>
      <c r="BI838" s="32">
        <v>695.8</v>
      </c>
      <c r="BJ838" s="33"/>
      <c r="BK838" s="12"/>
      <c r="BL838" s="12"/>
      <c r="BM838" s="12"/>
      <c r="BN838" s="33"/>
      <c r="BO838" s="33"/>
      <c r="BP838" s="33"/>
      <c r="BQ838" s="33"/>
      <c r="BR838" s="520"/>
    </row>
    <row r="839" spans="37:70">
      <c r="AK839" s="2482"/>
      <c r="BG839" s="30">
        <v>71.900000000000006</v>
      </c>
      <c r="BH839" s="31">
        <v>0.69569999999999999</v>
      </c>
      <c r="BI839" s="32">
        <v>695.5</v>
      </c>
      <c r="BJ839" s="33"/>
      <c r="BK839" s="12"/>
      <c r="BL839" s="12"/>
      <c r="BM839" s="12"/>
      <c r="BN839" s="33"/>
      <c r="BO839" s="33"/>
      <c r="BP839" s="33"/>
      <c r="BQ839" s="33"/>
      <c r="BR839" s="520"/>
    </row>
    <row r="840" spans="37:70">
      <c r="AK840" s="2482"/>
      <c r="BG840" s="30">
        <v>72</v>
      </c>
      <c r="BH840" s="31">
        <v>0.69530000000000003</v>
      </c>
      <c r="BI840" s="32">
        <v>695.2</v>
      </c>
      <c r="BJ840" s="33"/>
      <c r="BK840" s="12"/>
      <c r="BL840" s="12"/>
      <c r="BM840" s="12"/>
      <c r="BN840" s="33"/>
      <c r="BO840" s="33"/>
      <c r="BP840" s="33"/>
      <c r="BQ840" s="33"/>
      <c r="BR840" s="520"/>
    </row>
    <row r="841" spans="37:70">
      <c r="AK841" s="2482"/>
      <c r="BG841" s="30">
        <v>72.099999999999994</v>
      </c>
      <c r="BH841" s="31">
        <v>0.69499999999999995</v>
      </c>
      <c r="BI841" s="32">
        <v>694.8</v>
      </c>
      <c r="BJ841" s="33"/>
      <c r="BK841" s="12"/>
      <c r="BL841" s="12"/>
      <c r="BM841" s="12"/>
      <c r="BN841" s="33"/>
      <c r="BO841" s="33"/>
      <c r="BP841" s="33"/>
      <c r="BQ841" s="33"/>
      <c r="BR841" s="520"/>
    </row>
    <row r="842" spans="37:70">
      <c r="AK842" s="2482"/>
      <c r="BG842" s="30">
        <v>72.2</v>
      </c>
      <c r="BH842" s="31">
        <v>0.6946</v>
      </c>
      <c r="BI842" s="32">
        <v>694.5</v>
      </c>
      <c r="BJ842" s="33"/>
      <c r="BK842" s="12"/>
      <c r="BL842" s="12"/>
      <c r="BM842" s="12"/>
      <c r="BN842" s="33"/>
      <c r="BO842" s="33"/>
      <c r="BP842" s="33"/>
      <c r="BQ842" s="33"/>
      <c r="BR842" s="520"/>
    </row>
    <row r="843" spans="37:70">
      <c r="AK843" s="2482"/>
      <c r="BG843" s="30">
        <v>72.3</v>
      </c>
      <c r="BH843" s="31">
        <v>0.69430000000000003</v>
      </c>
      <c r="BI843" s="32">
        <v>694.1</v>
      </c>
      <c r="BJ843" s="33"/>
      <c r="BK843" s="12"/>
      <c r="BL843" s="12"/>
      <c r="BM843" s="12"/>
      <c r="BN843" s="33"/>
      <c r="BO843" s="33"/>
      <c r="BP843" s="33"/>
      <c r="BQ843" s="33"/>
      <c r="BR843" s="520"/>
    </row>
    <row r="844" spans="37:70">
      <c r="AK844" s="2482"/>
      <c r="BG844" s="30">
        <v>72.400000000000006</v>
      </c>
      <c r="BH844" s="31">
        <v>0.69399999999999995</v>
      </c>
      <c r="BI844" s="32">
        <v>693.8</v>
      </c>
      <c r="BJ844" s="33"/>
      <c r="BK844" s="12"/>
      <c r="BL844" s="12"/>
      <c r="BM844" s="12"/>
      <c r="BN844" s="33"/>
      <c r="BO844" s="33"/>
      <c r="BP844" s="33"/>
      <c r="BQ844" s="33"/>
      <c r="BR844" s="520"/>
    </row>
    <row r="845" spans="37:70">
      <c r="AK845" s="2482"/>
      <c r="BG845" s="30">
        <v>72.5</v>
      </c>
      <c r="BH845" s="31">
        <v>0.69359999999999999</v>
      </c>
      <c r="BI845" s="32">
        <v>693.5</v>
      </c>
      <c r="BJ845" s="33"/>
      <c r="BK845" s="12"/>
      <c r="BL845" s="12"/>
      <c r="BM845" s="12"/>
      <c r="BN845" s="33"/>
      <c r="BO845" s="33"/>
      <c r="BP845" s="33"/>
      <c r="BQ845" s="33"/>
      <c r="BR845" s="520"/>
    </row>
    <row r="846" spans="37:70">
      <c r="AK846" s="2482"/>
      <c r="BG846" s="30">
        <v>72.599999999999994</v>
      </c>
      <c r="BH846" s="31">
        <v>0.69330000000000003</v>
      </c>
      <c r="BI846" s="32">
        <v>693.1</v>
      </c>
      <c r="BJ846" s="33"/>
      <c r="BK846" s="12"/>
      <c r="BL846" s="12"/>
      <c r="BM846" s="12"/>
      <c r="BN846" s="33"/>
      <c r="BO846" s="33"/>
      <c r="BP846" s="33"/>
      <c r="BQ846" s="33"/>
      <c r="BR846" s="520"/>
    </row>
    <row r="847" spans="37:70">
      <c r="AK847" s="2482"/>
      <c r="BG847" s="30">
        <v>72.7</v>
      </c>
      <c r="BH847" s="31">
        <v>0.69289999999999996</v>
      </c>
      <c r="BI847" s="32">
        <v>692.8</v>
      </c>
      <c r="BJ847" s="33"/>
      <c r="BK847" s="12"/>
      <c r="BL847" s="12"/>
      <c r="BM847" s="12"/>
      <c r="BN847" s="33"/>
      <c r="BO847" s="33"/>
      <c r="BP847" s="33"/>
      <c r="BQ847" s="33"/>
      <c r="BR847" s="520"/>
    </row>
    <row r="848" spans="37:70">
      <c r="AK848" s="2482"/>
      <c r="BG848" s="30">
        <v>72.8</v>
      </c>
      <c r="BH848" s="31">
        <v>0.69259999999999999</v>
      </c>
      <c r="BI848" s="32">
        <v>692.4</v>
      </c>
      <c r="BJ848" s="33"/>
      <c r="BK848" s="12"/>
      <c r="BL848" s="12"/>
      <c r="BM848" s="12"/>
      <c r="BN848" s="33"/>
      <c r="BO848" s="33"/>
      <c r="BP848" s="33"/>
      <c r="BQ848" s="33"/>
      <c r="BR848" s="520"/>
    </row>
    <row r="849" spans="37:70">
      <c r="AK849" s="2482"/>
      <c r="BG849" s="30">
        <v>72.900000000000006</v>
      </c>
      <c r="BH849" s="31">
        <v>0.69230000000000003</v>
      </c>
      <c r="BI849" s="32">
        <v>692.1</v>
      </c>
      <c r="BJ849" s="33"/>
      <c r="BK849" s="12"/>
      <c r="BL849" s="12"/>
      <c r="BM849" s="12"/>
      <c r="BN849" s="33"/>
      <c r="BO849" s="33"/>
      <c r="BP849" s="33"/>
      <c r="BQ849" s="33"/>
      <c r="BR849" s="520"/>
    </row>
    <row r="850" spans="37:70">
      <c r="AK850" s="2482"/>
      <c r="BG850" s="30">
        <v>73</v>
      </c>
      <c r="BH850" s="31">
        <v>0.69189999999999996</v>
      </c>
      <c r="BI850" s="32">
        <v>691.8</v>
      </c>
      <c r="BJ850" s="33"/>
      <c r="BK850" s="12"/>
      <c r="BL850" s="12"/>
      <c r="BM850" s="12"/>
      <c r="BN850" s="33"/>
      <c r="BO850" s="33"/>
      <c r="BP850" s="33"/>
      <c r="BQ850" s="33"/>
      <c r="BR850" s="520"/>
    </row>
    <row r="851" spans="37:70">
      <c r="AK851" s="2482"/>
      <c r="BG851" s="30">
        <v>73.099999999999994</v>
      </c>
      <c r="BH851" s="31">
        <v>0.69159999999999999</v>
      </c>
      <c r="BI851" s="32">
        <v>691.4</v>
      </c>
      <c r="BJ851" s="33"/>
      <c r="BK851" s="12"/>
      <c r="BL851" s="12"/>
      <c r="BM851" s="12"/>
      <c r="BN851" s="33"/>
      <c r="BO851" s="33"/>
      <c r="BP851" s="33"/>
      <c r="BQ851" s="33"/>
      <c r="BR851" s="520"/>
    </row>
    <row r="852" spans="37:70">
      <c r="AK852" s="2482"/>
      <c r="BG852" s="30">
        <v>73.2</v>
      </c>
      <c r="BH852" s="31">
        <v>0.69130000000000003</v>
      </c>
      <c r="BI852" s="32">
        <v>691.1</v>
      </c>
      <c r="BJ852" s="33"/>
      <c r="BK852" s="12"/>
      <c r="BL852" s="12"/>
      <c r="BM852" s="12"/>
      <c r="BN852" s="33"/>
      <c r="BO852" s="33"/>
      <c r="BP852" s="33"/>
      <c r="BQ852" s="33"/>
      <c r="BR852" s="520"/>
    </row>
    <row r="853" spans="37:70">
      <c r="AK853" s="2482"/>
      <c r="BG853" s="30">
        <v>73.3</v>
      </c>
      <c r="BH853" s="31">
        <v>0.69089999999999996</v>
      </c>
      <c r="BI853" s="32">
        <v>690.8</v>
      </c>
      <c r="BJ853" s="33"/>
      <c r="BK853" s="12"/>
      <c r="BL853" s="12"/>
      <c r="BM853" s="12"/>
      <c r="BN853" s="33"/>
      <c r="BO853" s="33"/>
      <c r="BP853" s="33"/>
      <c r="BQ853" s="33"/>
      <c r="BR853" s="520"/>
    </row>
    <row r="854" spans="37:70">
      <c r="AK854" s="2482"/>
      <c r="BG854" s="30">
        <v>73.400000000000006</v>
      </c>
      <c r="BH854" s="31">
        <v>0.69059999999999999</v>
      </c>
      <c r="BI854" s="32">
        <v>690.4</v>
      </c>
      <c r="BJ854" s="33"/>
      <c r="BK854" s="12"/>
      <c r="BL854" s="12"/>
      <c r="BM854" s="12"/>
      <c r="BN854" s="33"/>
      <c r="BO854" s="33"/>
      <c r="BP854" s="33"/>
      <c r="BQ854" s="33"/>
      <c r="BR854" s="520"/>
    </row>
    <row r="855" spans="37:70">
      <c r="AK855" s="2482"/>
      <c r="BG855" s="30">
        <v>73.5</v>
      </c>
      <c r="BH855" s="31">
        <v>0.69020000000000004</v>
      </c>
      <c r="BI855" s="32">
        <v>690.1</v>
      </c>
      <c r="BJ855" s="33"/>
      <c r="BK855" s="12"/>
      <c r="BL855" s="12"/>
      <c r="BM855" s="12"/>
      <c r="BN855" s="33"/>
      <c r="BO855" s="33"/>
      <c r="BP855" s="33"/>
      <c r="BQ855" s="33"/>
      <c r="BR855" s="520"/>
    </row>
    <row r="856" spans="37:70">
      <c r="AK856" s="2482"/>
      <c r="BG856" s="30">
        <v>73.599999999999994</v>
      </c>
      <c r="BH856" s="31">
        <v>0.68989999999999996</v>
      </c>
      <c r="BI856" s="32">
        <v>689.7</v>
      </c>
      <c r="BJ856" s="33"/>
      <c r="BK856" s="12"/>
      <c r="BL856" s="12"/>
      <c r="BM856" s="12"/>
      <c r="BN856" s="33"/>
      <c r="BO856" s="33"/>
      <c r="BP856" s="33"/>
      <c r="BQ856" s="33"/>
      <c r="BR856" s="520"/>
    </row>
    <row r="857" spans="37:70">
      <c r="AK857" s="2482"/>
      <c r="BG857" s="30">
        <v>73.7</v>
      </c>
      <c r="BH857" s="31">
        <v>0.68959999999999999</v>
      </c>
      <c r="BI857" s="32">
        <v>689.4</v>
      </c>
      <c r="BJ857" s="33"/>
      <c r="BK857" s="12"/>
      <c r="BL857" s="12"/>
      <c r="BM857" s="12"/>
      <c r="BN857" s="33"/>
      <c r="BO857" s="33"/>
      <c r="BP857" s="33"/>
      <c r="BQ857" s="33"/>
      <c r="BR857" s="520"/>
    </row>
    <row r="858" spans="37:70">
      <c r="AK858" s="2482"/>
      <c r="BG858" s="30">
        <v>73.8</v>
      </c>
      <c r="BH858" s="31">
        <v>0.68920000000000003</v>
      </c>
      <c r="BI858" s="32">
        <v>689.1</v>
      </c>
      <c r="BJ858" s="33"/>
      <c r="BK858" s="12"/>
      <c r="BL858" s="12"/>
      <c r="BM858" s="12"/>
      <c r="BN858" s="33"/>
      <c r="BO858" s="33"/>
      <c r="BP858" s="33"/>
      <c r="BQ858" s="33"/>
      <c r="BR858" s="520"/>
    </row>
    <row r="859" spans="37:70">
      <c r="AK859" s="2482"/>
      <c r="BG859" s="30">
        <v>73.900000000000006</v>
      </c>
      <c r="BH859" s="31">
        <v>0.68889999999999996</v>
      </c>
      <c r="BI859" s="32">
        <v>688.7</v>
      </c>
      <c r="BJ859" s="33"/>
      <c r="BK859" s="12"/>
      <c r="BL859" s="12"/>
      <c r="BM859" s="12"/>
      <c r="BN859" s="33"/>
      <c r="BO859" s="33"/>
      <c r="BP859" s="33"/>
      <c r="BQ859" s="33"/>
      <c r="BR859" s="520"/>
    </row>
    <row r="860" spans="37:70">
      <c r="AK860" s="2482"/>
      <c r="BG860" s="30">
        <v>74</v>
      </c>
      <c r="BH860" s="31">
        <v>0.68859999999999999</v>
      </c>
      <c r="BI860" s="32">
        <v>688.4</v>
      </c>
      <c r="BJ860" s="33"/>
      <c r="BK860" s="12"/>
      <c r="BL860" s="12"/>
      <c r="BM860" s="12"/>
      <c r="BN860" s="33"/>
      <c r="BO860" s="33"/>
      <c r="BP860" s="33"/>
      <c r="BQ860" s="33"/>
      <c r="BR860" s="520"/>
    </row>
    <row r="861" spans="37:70">
      <c r="AK861" s="2482"/>
      <c r="BG861" s="30">
        <v>74.099999999999994</v>
      </c>
      <c r="BH861" s="31">
        <v>0.68820000000000003</v>
      </c>
      <c r="BI861" s="32">
        <v>688.1</v>
      </c>
      <c r="BJ861" s="33"/>
      <c r="BK861" s="12"/>
      <c r="BL861" s="12"/>
      <c r="BM861" s="12"/>
      <c r="BN861" s="33"/>
      <c r="BO861" s="33"/>
      <c r="BP861" s="33"/>
      <c r="BQ861" s="33"/>
      <c r="BR861" s="520"/>
    </row>
    <row r="862" spans="37:70">
      <c r="AK862" s="2482"/>
      <c r="BG862" s="30">
        <v>74.2</v>
      </c>
      <c r="BH862" s="31">
        <v>0.68789999999999996</v>
      </c>
      <c r="BI862" s="32">
        <v>687.7</v>
      </c>
      <c r="BJ862" s="33"/>
      <c r="BK862" s="12"/>
      <c r="BL862" s="12"/>
      <c r="BM862" s="12"/>
      <c r="BN862" s="33"/>
      <c r="BO862" s="33"/>
      <c r="BP862" s="33"/>
      <c r="BQ862" s="33"/>
      <c r="BR862" s="520"/>
    </row>
    <row r="863" spans="37:70">
      <c r="AK863" s="2482"/>
      <c r="BG863" s="30">
        <v>74.3</v>
      </c>
      <c r="BH863" s="31">
        <v>0.68759999999999999</v>
      </c>
      <c r="BI863" s="32">
        <v>687.4</v>
      </c>
      <c r="BJ863" s="33"/>
      <c r="BK863" s="12"/>
      <c r="BL863" s="12"/>
      <c r="BM863" s="12"/>
      <c r="BN863" s="33"/>
      <c r="BO863" s="33"/>
      <c r="BP863" s="33"/>
      <c r="BQ863" s="33"/>
      <c r="BR863" s="520"/>
    </row>
    <row r="864" spans="37:70">
      <c r="AK864" s="2482"/>
      <c r="BG864" s="30">
        <v>74.400000000000006</v>
      </c>
      <c r="BH864" s="31">
        <v>0.68720000000000003</v>
      </c>
      <c r="BI864" s="32">
        <v>687.1</v>
      </c>
      <c r="BJ864" s="33"/>
      <c r="BK864" s="12"/>
      <c r="BL864" s="12"/>
      <c r="BM864" s="12"/>
      <c r="BN864" s="33"/>
      <c r="BO864" s="33"/>
      <c r="BP864" s="33"/>
      <c r="BQ864" s="33"/>
      <c r="BR864" s="520"/>
    </row>
    <row r="865" spans="37:70">
      <c r="AK865" s="2482"/>
      <c r="BG865" s="30">
        <v>74.5</v>
      </c>
      <c r="BH865" s="31">
        <v>0.68689999999999996</v>
      </c>
      <c r="BI865" s="32">
        <v>686.7</v>
      </c>
      <c r="BJ865" s="33"/>
      <c r="BK865" s="12"/>
      <c r="BL865" s="12"/>
      <c r="BM865" s="12"/>
      <c r="BN865" s="33"/>
      <c r="BO865" s="33"/>
      <c r="BP865" s="33"/>
      <c r="BQ865" s="33"/>
      <c r="BR865" s="520"/>
    </row>
    <row r="866" spans="37:70">
      <c r="AK866" s="2482"/>
      <c r="BG866" s="30">
        <v>74.599999999999994</v>
      </c>
      <c r="BH866" s="31">
        <v>0.68659999999999999</v>
      </c>
      <c r="BI866" s="32">
        <v>686.4</v>
      </c>
      <c r="BJ866" s="33"/>
      <c r="BK866" s="12"/>
      <c r="BL866" s="12"/>
      <c r="BM866" s="12"/>
      <c r="BN866" s="33"/>
      <c r="BO866" s="33"/>
      <c r="BP866" s="33"/>
      <c r="BQ866" s="33"/>
      <c r="BR866" s="520"/>
    </row>
    <row r="867" spans="37:70">
      <c r="AK867" s="2482"/>
      <c r="BG867" s="30">
        <v>74.7</v>
      </c>
      <c r="BH867" s="31">
        <v>0.68620000000000003</v>
      </c>
      <c r="BI867" s="32">
        <v>686.1</v>
      </c>
      <c r="BJ867" s="33"/>
      <c r="BK867" s="12"/>
      <c r="BL867" s="12"/>
      <c r="BM867" s="12"/>
      <c r="BN867" s="33"/>
      <c r="BO867" s="33"/>
      <c r="BP867" s="33"/>
      <c r="BQ867" s="33"/>
      <c r="BR867" s="520"/>
    </row>
    <row r="868" spans="37:70">
      <c r="AK868" s="2482"/>
      <c r="BG868" s="30">
        <v>74.8</v>
      </c>
      <c r="BH868" s="31">
        <v>0.68589999999999995</v>
      </c>
      <c r="BI868" s="32">
        <v>685.7</v>
      </c>
      <c r="BJ868" s="33"/>
      <c r="BK868" s="12"/>
      <c r="BL868" s="12"/>
      <c r="BM868" s="12"/>
      <c r="BN868" s="33"/>
      <c r="BO868" s="33"/>
      <c r="BP868" s="33"/>
      <c r="BQ868" s="33"/>
      <c r="BR868" s="520"/>
    </row>
    <row r="869" spans="37:70">
      <c r="AK869" s="2482"/>
      <c r="BG869" s="30">
        <v>74.900000000000006</v>
      </c>
      <c r="BH869" s="31">
        <v>0.68559999999999999</v>
      </c>
      <c r="BI869" s="32">
        <v>685.4</v>
      </c>
      <c r="BJ869" s="33"/>
      <c r="BK869" s="12"/>
      <c r="BL869" s="12"/>
      <c r="BM869" s="12"/>
      <c r="BN869" s="33"/>
      <c r="BO869" s="33"/>
      <c r="BP869" s="33"/>
      <c r="BQ869" s="33"/>
      <c r="BR869" s="520"/>
    </row>
    <row r="870" spans="37:70">
      <c r="AK870" s="2482"/>
      <c r="BG870" s="30">
        <v>75</v>
      </c>
      <c r="BH870" s="31">
        <v>0.68520000000000003</v>
      </c>
      <c r="BI870" s="32">
        <v>685.1</v>
      </c>
      <c r="BJ870" s="33"/>
      <c r="BK870" s="12"/>
      <c r="BL870" s="12"/>
      <c r="BM870" s="12"/>
      <c r="BN870" s="33"/>
      <c r="BO870" s="33"/>
      <c r="BP870" s="33"/>
      <c r="BQ870" s="33"/>
      <c r="BR870" s="520"/>
    </row>
    <row r="871" spans="37:70">
      <c r="AK871" s="2482"/>
      <c r="BG871" s="30">
        <v>75.099999999999994</v>
      </c>
      <c r="BH871" s="31">
        <v>0.68489999999999995</v>
      </c>
      <c r="BI871" s="32">
        <v>684.7</v>
      </c>
      <c r="BJ871" s="33"/>
      <c r="BK871" s="12"/>
      <c r="BL871" s="12"/>
      <c r="BM871" s="12"/>
      <c r="BN871" s="33"/>
      <c r="BO871" s="33"/>
      <c r="BP871" s="33"/>
      <c r="BQ871" s="33"/>
      <c r="BR871" s="520"/>
    </row>
    <row r="872" spans="37:70">
      <c r="AK872" s="2482"/>
      <c r="BG872" s="30">
        <v>75.2</v>
      </c>
      <c r="BH872" s="31">
        <v>0.68459999999999999</v>
      </c>
      <c r="BI872" s="32">
        <v>684.4</v>
      </c>
      <c r="BJ872" s="33"/>
      <c r="BK872" s="12"/>
      <c r="BL872" s="12"/>
      <c r="BM872" s="12"/>
      <c r="BN872" s="33"/>
      <c r="BO872" s="33"/>
      <c r="BP872" s="33"/>
      <c r="BQ872" s="33"/>
      <c r="BR872" s="520"/>
    </row>
    <row r="873" spans="37:70">
      <c r="AK873" s="2482"/>
      <c r="BG873" s="30">
        <v>75.3</v>
      </c>
      <c r="BH873" s="31">
        <v>0.68420000000000003</v>
      </c>
      <c r="BI873" s="32">
        <v>684.1</v>
      </c>
      <c r="BJ873" s="33"/>
      <c r="BK873" s="12"/>
      <c r="BL873" s="12"/>
      <c r="BM873" s="12"/>
      <c r="BN873" s="33"/>
      <c r="BO873" s="33"/>
      <c r="BP873" s="33"/>
      <c r="BQ873" s="33"/>
      <c r="BR873" s="520"/>
    </row>
    <row r="874" spans="37:70">
      <c r="AK874" s="2482"/>
      <c r="BG874" s="30">
        <v>75.400000000000006</v>
      </c>
      <c r="BH874" s="31">
        <v>0.68389999999999995</v>
      </c>
      <c r="BI874" s="32">
        <v>683.8</v>
      </c>
      <c r="BJ874" s="33"/>
      <c r="BK874" s="12"/>
      <c r="BL874" s="12"/>
      <c r="BM874" s="12"/>
      <c r="BN874" s="33"/>
      <c r="BO874" s="33"/>
      <c r="BP874" s="33"/>
      <c r="BQ874" s="33"/>
      <c r="BR874" s="520"/>
    </row>
    <row r="875" spans="37:70">
      <c r="AK875" s="2482"/>
      <c r="BG875" s="30">
        <v>75.5</v>
      </c>
      <c r="BH875" s="31">
        <v>0.68359999999999999</v>
      </c>
      <c r="BI875" s="32">
        <v>683.4</v>
      </c>
      <c r="BJ875" s="33"/>
      <c r="BK875" s="12"/>
      <c r="BL875" s="12"/>
      <c r="BM875" s="12"/>
      <c r="BN875" s="33"/>
      <c r="BO875" s="33"/>
      <c r="BP875" s="33"/>
      <c r="BQ875" s="33"/>
      <c r="BR875" s="520"/>
    </row>
    <row r="876" spans="37:70">
      <c r="AK876" s="2482"/>
      <c r="BG876" s="30">
        <v>75.599999999999994</v>
      </c>
      <c r="BH876" s="31">
        <v>0.68320000000000003</v>
      </c>
      <c r="BI876" s="32">
        <v>683.1</v>
      </c>
      <c r="BJ876" s="33"/>
      <c r="BK876" s="12"/>
      <c r="BL876" s="12"/>
      <c r="BM876" s="12"/>
      <c r="BN876" s="33"/>
      <c r="BO876" s="33"/>
      <c r="BP876" s="33"/>
      <c r="BQ876" s="33"/>
      <c r="BR876" s="520"/>
    </row>
    <row r="877" spans="37:70">
      <c r="AK877" s="2482"/>
      <c r="BG877" s="30">
        <v>75.7</v>
      </c>
      <c r="BH877" s="31">
        <v>0.68289999999999995</v>
      </c>
      <c r="BI877" s="32">
        <v>682.8</v>
      </c>
      <c r="BJ877" s="33"/>
      <c r="BK877" s="12"/>
      <c r="BL877" s="12"/>
      <c r="BM877" s="12"/>
      <c r="BN877" s="33"/>
      <c r="BO877" s="33"/>
      <c r="BP877" s="33"/>
      <c r="BQ877" s="33"/>
      <c r="BR877" s="520"/>
    </row>
    <row r="878" spans="37:70">
      <c r="AK878" s="2482"/>
      <c r="BG878" s="30">
        <v>75.8</v>
      </c>
      <c r="BH878" s="31">
        <v>0.68259999999999998</v>
      </c>
      <c r="BI878" s="32">
        <v>682.4</v>
      </c>
      <c r="BJ878" s="33"/>
      <c r="BK878" s="12"/>
      <c r="BL878" s="12"/>
      <c r="BM878" s="12"/>
      <c r="BN878" s="33"/>
      <c r="BO878" s="33"/>
      <c r="BP878" s="33"/>
      <c r="BQ878" s="33"/>
      <c r="BR878" s="520"/>
    </row>
    <row r="879" spans="37:70">
      <c r="AK879" s="2482"/>
      <c r="BG879" s="30">
        <v>75.900000000000006</v>
      </c>
      <c r="BH879" s="31">
        <v>0.68230000000000002</v>
      </c>
      <c r="BI879" s="32">
        <v>682.1</v>
      </c>
      <c r="BJ879" s="33"/>
      <c r="BK879" s="12"/>
      <c r="BL879" s="12"/>
      <c r="BM879" s="12"/>
      <c r="BN879" s="33"/>
      <c r="BO879" s="33"/>
      <c r="BP879" s="33"/>
      <c r="BQ879" s="33"/>
      <c r="BR879" s="520"/>
    </row>
    <row r="880" spans="37:70">
      <c r="AK880" s="2482"/>
      <c r="BG880" s="30">
        <v>76</v>
      </c>
      <c r="BH880" s="31">
        <v>0.68189999999999995</v>
      </c>
      <c r="BI880" s="32">
        <v>681.8</v>
      </c>
      <c r="BJ880" s="33"/>
      <c r="BK880" s="12"/>
      <c r="BL880" s="12"/>
      <c r="BM880" s="12"/>
      <c r="BN880" s="33"/>
      <c r="BO880" s="33"/>
      <c r="BP880" s="33"/>
      <c r="BQ880" s="33"/>
      <c r="BR880" s="520"/>
    </row>
    <row r="881" spans="37:70">
      <c r="AK881" s="2482"/>
      <c r="BG881" s="30">
        <v>76.099999999999994</v>
      </c>
      <c r="BH881" s="31">
        <v>0.68159999999999998</v>
      </c>
      <c r="BI881" s="32">
        <v>681.5</v>
      </c>
      <c r="BJ881" s="33"/>
      <c r="BK881" s="12"/>
      <c r="BL881" s="12"/>
      <c r="BM881" s="12"/>
      <c r="BN881" s="33"/>
      <c r="BO881" s="33"/>
      <c r="BP881" s="33"/>
      <c r="BQ881" s="33"/>
      <c r="BR881" s="520"/>
    </row>
    <row r="882" spans="37:70">
      <c r="AK882" s="2482"/>
      <c r="BG882" s="30">
        <v>76.2</v>
      </c>
      <c r="BH882" s="31">
        <v>0.68130000000000002</v>
      </c>
      <c r="BI882" s="32">
        <v>681.1</v>
      </c>
      <c r="BJ882" s="33"/>
      <c r="BK882" s="12"/>
      <c r="BL882" s="12"/>
      <c r="BM882" s="12"/>
      <c r="BN882" s="33"/>
      <c r="BO882" s="33"/>
      <c r="BP882" s="33"/>
      <c r="BQ882" s="33"/>
      <c r="BR882" s="520"/>
    </row>
    <row r="883" spans="37:70">
      <c r="AK883" s="2482"/>
      <c r="BG883" s="30">
        <v>76.3</v>
      </c>
      <c r="BH883" s="31">
        <v>0.68089999999999995</v>
      </c>
      <c r="BI883" s="32">
        <v>680.8</v>
      </c>
      <c r="BJ883" s="33"/>
      <c r="BK883" s="12"/>
      <c r="BL883" s="12"/>
      <c r="BM883" s="12"/>
      <c r="BN883" s="33"/>
      <c r="BO883" s="33"/>
      <c r="BP883" s="33"/>
      <c r="BQ883" s="33"/>
      <c r="BR883" s="520"/>
    </row>
    <row r="884" spans="37:70">
      <c r="AK884" s="2482"/>
      <c r="BG884" s="30">
        <v>76.400000000000006</v>
      </c>
      <c r="BH884" s="31">
        <v>0.68059999999999998</v>
      </c>
      <c r="BI884" s="32">
        <v>680.5</v>
      </c>
      <c r="BJ884" s="33"/>
      <c r="BK884" s="12"/>
      <c r="BL884" s="12"/>
      <c r="BM884" s="12"/>
      <c r="BN884" s="33"/>
      <c r="BO884" s="33"/>
      <c r="BP884" s="33"/>
      <c r="BQ884" s="33"/>
      <c r="BR884" s="520"/>
    </row>
    <row r="885" spans="37:70">
      <c r="AK885" s="2482"/>
      <c r="BG885" s="30">
        <v>76.5</v>
      </c>
      <c r="BH885" s="31">
        <v>0.68030000000000002</v>
      </c>
      <c r="BI885" s="32">
        <v>680.1</v>
      </c>
      <c r="BJ885" s="33"/>
      <c r="BK885" s="12"/>
      <c r="BL885" s="12"/>
      <c r="BM885" s="12"/>
      <c r="BN885" s="33"/>
      <c r="BO885" s="33"/>
      <c r="BP885" s="33"/>
      <c r="BQ885" s="33"/>
      <c r="BR885" s="520"/>
    </row>
    <row r="886" spans="37:70">
      <c r="AK886" s="2482"/>
      <c r="BG886" s="30">
        <v>76.599999999999994</v>
      </c>
      <c r="BH886" s="31">
        <v>0.68</v>
      </c>
      <c r="BI886" s="32">
        <v>679.8</v>
      </c>
      <c r="BJ886" s="33"/>
      <c r="BK886" s="12"/>
      <c r="BL886" s="12"/>
      <c r="BM886" s="12"/>
      <c r="BN886" s="33"/>
      <c r="BO886" s="33"/>
      <c r="BP886" s="33"/>
      <c r="BQ886" s="33"/>
      <c r="BR886" s="520"/>
    </row>
    <row r="887" spans="37:70">
      <c r="AK887" s="2482"/>
      <c r="BG887" s="30">
        <v>76.7</v>
      </c>
      <c r="BH887" s="31">
        <v>0.67959999999999998</v>
      </c>
      <c r="BI887" s="32">
        <v>679.5</v>
      </c>
      <c r="BJ887" s="33"/>
      <c r="BK887" s="12"/>
      <c r="BL887" s="12"/>
      <c r="BM887" s="12"/>
      <c r="BN887" s="33"/>
      <c r="BO887" s="33"/>
      <c r="BP887" s="33"/>
      <c r="BQ887" s="33"/>
      <c r="BR887" s="520"/>
    </row>
    <row r="888" spans="37:70">
      <c r="AK888" s="2482"/>
      <c r="BG888" s="30">
        <v>76.8</v>
      </c>
      <c r="BH888" s="31">
        <v>0.67930000000000001</v>
      </c>
      <c r="BI888" s="32">
        <v>679.2</v>
      </c>
      <c r="BJ888" s="33"/>
      <c r="BK888" s="12"/>
      <c r="BL888" s="12"/>
      <c r="BM888" s="12"/>
      <c r="BN888" s="33"/>
      <c r="BO888" s="33"/>
      <c r="BP888" s="33"/>
      <c r="BQ888" s="33"/>
      <c r="BR888" s="520"/>
    </row>
    <row r="889" spans="37:70">
      <c r="AK889" s="2482"/>
      <c r="BG889" s="30">
        <v>76.900000000000006</v>
      </c>
      <c r="BH889" s="31">
        <v>0.67900000000000005</v>
      </c>
      <c r="BI889" s="32">
        <v>678.8</v>
      </c>
      <c r="BJ889" s="33"/>
      <c r="BK889" s="12"/>
      <c r="BL889" s="12"/>
      <c r="BM889" s="12"/>
      <c r="BN889" s="33"/>
      <c r="BO889" s="33"/>
      <c r="BP889" s="33"/>
      <c r="BQ889" s="33"/>
      <c r="BR889" s="520"/>
    </row>
    <row r="890" spans="37:70">
      <c r="AK890" s="2482"/>
      <c r="BG890" s="30">
        <v>77</v>
      </c>
      <c r="BH890" s="31">
        <v>0.67869999999999997</v>
      </c>
      <c r="BI890" s="32">
        <v>678.5</v>
      </c>
      <c r="BJ890" s="33"/>
      <c r="BK890" s="12"/>
      <c r="BL890" s="12"/>
      <c r="BM890" s="12"/>
      <c r="BN890" s="33"/>
      <c r="BO890" s="33"/>
      <c r="BP890" s="33"/>
      <c r="BQ890" s="33"/>
      <c r="BR890" s="520"/>
    </row>
    <row r="891" spans="37:70">
      <c r="AK891" s="2482"/>
      <c r="BG891" s="30">
        <v>77.099999999999994</v>
      </c>
      <c r="BH891" s="31">
        <v>0.67830000000000001</v>
      </c>
      <c r="BI891" s="32">
        <v>678.2</v>
      </c>
      <c r="BJ891" s="33"/>
      <c r="BK891" s="12"/>
      <c r="BL891" s="12"/>
      <c r="BM891" s="12"/>
      <c r="BN891" s="33"/>
      <c r="BO891" s="33"/>
      <c r="BP891" s="33"/>
      <c r="BQ891" s="33"/>
      <c r="BR891" s="520"/>
    </row>
    <row r="892" spans="37:70">
      <c r="AK892" s="2482"/>
      <c r="BG892" s="30">
        <v>77.2</v>
      </c>
      <c r="BH892" s="31">
        <v>0.67800000000000005</v>
      </c>
      <c r="BI892" s="32">
        <v>677.9</v>
      </c>
      <c r="BJ892" s="33"/>
      <c r="BK892" s="12"/>
      <c r="BL892" s="12"/>
      <c r="BM892" s="12"/>
      <c r="BN892" s="33"/>
      <c r="BO892" s="33"/>
      <c r="BP892" s="33"/>
      <c r="BQ892" s="33"/>
      <c r="BR892" s="520"/>
    </row>
    <row r="893" spans="37:70">
      <c r="AK893" s="2482"/>
      <c r="BG893" s="30">
        <v>77.3</v>
      </c>
      <c r="BH893" s="31">
        <v>0.67769999999999997</v>
      </c>
      <c r="BI893" s="32">
        <v>677.5</v>
      </c>
      <c r="BJ893" s="33"/>
      <c r="BK893" s="12"/>
      <c r="BL893" s="12"/>
      <c r="BM893" s="12"/>
      <c r="BN893" s="33"/>
      <c r="BO893" s="33"/>
      <c r="BP893" s="33"/>
      <c r="BQ893" s="33"/>
      <c r="BR893" s="520"/>
    </row>
    <row r="894" spans="37:70">
      <c r="AK894" s="2482"/>
      <c r="BG894" s="30">
        <v>77.400000000000006</v>
      </c>
      <c r="BH894" s="31">
        <v>0.6774</v>
      </c>
      <c r="BI894" s="32">
        <v>677.2</v>
      </c>
      <c r="BJ894" s="33"/>
      <c r="BK894" s="12"/>
      <c r="BL894" s="12"/>
      <c r="BM894" s="12"/>
      <c r="BN894" s="33"/>
      <c r="BO894" s="33"/>
      <c r="BP894" s="33"/>
      <c r="BQ894" s="33"/>
      <c r="BR894" s="520"/>
    </row>
    <row r="895" spans="37:70">
      <c r="AK895" s="2482"/>
      <c r="BG895" s="30">
        <v>77.5</v>
      </c>
      <c r="BH895" s="31">
        <v>0.67700000000000005</v>
      </c>
      <c r="BI895" s="32">
        <v>676.9</v>
      </c>
      <c r="BJ895" s="33"/>
      <c r="BK895" s="12"/>
      <c r="BL895" s="12"/>
      <c r="BM895" s="12"/>
      <c r="BN895" s="33"/>
      <c r="BO895" s="33"/>
      <c r="BP895" s="33"/>
      <c r="BQ895" s="33"/>
      <c r="BR895" s="520"/>
    </row>
    <row r="896" spans="37:70">
      <c r="AK896" s="2482"/>
      <c r="BG896" s="30">
        <v>77.599999999999994</v>
      </c>
      <c r="BH896" s="31">
        <v>0.67669999999999997</v>
      </c>
      <c r="BI896" s="32">
        <v>676.6</v>
      </c>
      <c r="BJ896" s="33"/>
      <c r="BK896" s="12"/>
      <c r="BL896" s="12"/>
      <c r="BM896" s="12"/>
      <c r="BN896" s="33"/>
      <c r="BO896" s="33"/>
      <c r="BP896" s="33"/>
      <c r="BQ896" s="33"/>
      <c r="BR896" s="520"/>
    </row>
    <row r="897" spans="37:70">
      <c r="AK897" s="2482"/>
      <c r="BG897" s="30">
        <v>77.7</v>
      </c>
      <c r="BH897" s="31">
        <v>0.6764</v>
      </c>
      <c r="BI897" s="32">
        <v>676.2</v>
      </c>
      <c r="BJ897" s="33"/>
      <c r="BK897" s="12"/>
      <c r="BL897" s="12"/>
      <c r="BM897" s="12"/>
      <c r="BN897" s="33"/>
      <c r="BO897" s="33"/>
      <c r="BP897" s="33"/>
      <c r="BQ897" s="33"/>
      <c r="BR897" s="520"/>
    </row>
    <row r="898" spans="37:70">
      <c r="AK898" s="2482"/>
      <c r="BG898" s="30">
        <v>77.8</v>
      </c>
      <c r="BH898" s="31">
        <v>0.67610000000000003</v>
      </c>
      <c r="BI898" s="32">
        <v>675.9</v>
      </c>
      <c r="BJ898" s="33"/>
      <c r="BK898" s="12"/>
      <c r="BL898" s="12"/>
      <c r="BM898" s="12"/>
      <c r="BN898" s="33"/>
      <c r="BO898" s="33"/>
      <c r="BP898" s="33"/>
      <c r="BQ898" s="33"/>
      <c r="BR898" s="520"/>
    </row>
    <row r="899" spans="37:70">
      <c r="AK899" s="2482"/>
      <c r="BG899" s="30">
        <v>77.900000000000006</v>
      </c>
      <c r="BH899" s="31">
        <v>0.67569999999999997</v>
      </c>
      <c r="BI899" s="32">
        <v>675.6</v>
      </c>
      <c r="BJ899" s="33"/>
      <c r="BK899" s="12"/>
      <c r="BL899" s="12"/>
      <c r="BM899" s="12"/>
      <c r="BN899" s="33"/>
      <c r="BO899" s="33"/>
      <c r="BP899" s="33"/>
      <c r="BQ899" s="33"/>
      <c r="BR899" s="520"/>
    </row>
    <row r="900" spans="37:70">
      <c r="AK900" s="2482"/>
      <c r="BG900" s="30">
        <v>78</v>
      </c>
      <c r="BH900" s="31">
        <v>0.6754</v>
      </c>
      <c r="BI900" s="32">
        <v>675.3</v>
      </c>
      <c r="BJ900" s="33"/>
      <c r="BK900" s="12"/>
      <c r="BL900" s="12"/>
      <c r="BM900" s="12"/>
      <c r="BN900" s="33"/>
      <c r="BO900" s="33"/>
      <c r="BP900" s="33"/>
      <c r="BQ900" s="33"/>
      <c r="BR900" s="520"/>
    </row>
    <row r="901" spans="37:70">
      <c r="AK901" s="2482"/>
      <c r="BG901" s="30">
        <v>78.099999999999994</v>
      </c>
      <c r="BH901" s="31">
        <v>0.67510000000000003</v>
      </c>
      <c r="BI901" s="32">
        <v>675</v>
      </c>
      <c r="BJ901" s="33"/>
      <c r="BK901" s="12"/>
      <c r="BL901" s="12"/>
      <c r="BM901" s="12"/>
      <c r="BN901" s="33"/>
      <c r="BO901" s="33"/>
      <c r="BP901" s="33"/>
      <c r="BQ901" s="33"/>
      <c r="BR901" s="520"/>
    </row>
    <row r="902" spans="37:70">
      <c r="AK902" s="2482"/>
      <c r="BG902" s="30">
        <v>78.2</v>
      </c>
      <c r="BH902" s="31">
        <v>0.67479999999999996</v>
      </c>
      <c r="BI902" s="32">
        <v>674.6</v>
      </c>
      <c r="BJ902" s="33"/>
      <c r="BK902" s="12"/>
      <c r="BL902" s="12"/>
      <c r="BM902" s="12"/>
      <c r="BN902" s="33"/>
      <c r="BO902" s="33"/>
      <c r="BP902" s="33"/>
      <c r="BQ902" s="33"/>
      <c r="BR902" s="520"/>
    </row>
    <row r="903" spans="37:70">
      <c r="AK903" s="2482"/>
      <c r="BG903" s="30">
        <v>78.3</v>
      </c>
      <c r="BH903" s="31">
        <v>0.67449999999999999</v>
      </c>
      <c r="BI903" s="32">
        <v>674.3</v>
      </c>
      <c r="BJ903" s="33"/>
      <c r="BK903" s="12"/>
      <c r="BL903" s="12"/>
      <c r="BM903" s="12"/>
      <c r="BN903" s="33"/>
      <c r="BO903" s="33"/>
      <c r="BP903" s="33"/>
      <c r="BQ903" s="33"/>
      <c r="BR903" s="520"/>
    </row>
    <row r="904" spans="37:70">
      <c r="AK904" s="2482"/>
      <c r="BG904" s="30">
        <v>78.400000000000006</v>
      </c>
      <c r="BH904" s="31">
        <v>0.67410000000000003</v>
      </c>
      <c r="BI904" s="32">
        <v>674</v>
      </c>
      <c r="BJ904" s="33"/>
      <c r="BK904" s="12"/>
      <c r="BL904" s="12"/>
      <c r="BM904" s="12"/>
      <c r="BN904" s="33"/>
      <c r="BO904" s="33"/>
      <c r="BP904" s="33"/>
      <c r="BQ904" s="33"/>
      <c r="BR904" s="520"/>
    </row>
    <row r="905" spans="37:70">
      <c r="AK905" s="2482"/>
      <c r="BG905" s="30">
        <v>78.5</v>
      </c>
      <c r="BH905" s="31">
        <v>0.67379999999999995</v>
      </c>
      <c r="BI905" s="32">
        <v>673.7</v>
      </c>
      <c r="BJ905" s="33"/>
      <c r="BK905" s="12"/>
      <c r="BL905" s="12"/>
      <c r="BM905" s="12"/>
      <c r="BN905" s="33"/>
      <c r="BO905" s="33"/>
      <c r="BP905" s="33"/>
      <c r="BQ905" s="33"/>
      <c r="BR905" s="520"/>
    </row>
    <row r="906" spans="37:70">
      <c r="AK906" s="2482"/>
      <c r="BG906" s="30">
        <v>78.599999999999994</v>
      </c>
      <c r="BH906" s="31">
        <v>0.67349999999999999</v>
      </c>
      <c r="BI906" s="32">
        <v>673.4</v>
      </c>
      <c r="BJ906" s="33"/>
      <c r="BK906" s="12"/>
      <c r="BL906" s="12"/>
      <c r="BM906" s="12"/>
      <c r="BN906" s="33"/>
      <c r="BO906" s="33"/>
      <c r="BP906" s="33"/>
      <c r="BQ906" s="33"/>
      <c r="BR906" s="520"/>
    </row>
    <row r="907" spans="37:70">
      <c r="AK907" s="2482"/>
      <c r="BG907" s="30">
        <v>78.7</v>
      </c>
      <c r="BH907" s="31">
        <v>0.67320000000000002</v>
      </c>
      <c r="BI907" s="32">
        <v>673</v>
      </c>
      <c r="BJ907" s="33"/>
      <c r="BK907" s="12"/>
      <c r="BL907" s="12"/>
      <c r="BM907" s="12"/>
      <c r="BN907" s="33"/>
      <c r="BO907" s="33"/>
      <c r="BP907" s="33"/>
      <c r="BQ907" s="33"/>
      <c r="BR907" s="520"/>
    </row>
    <row r="908" spans="37:70">
      <c r="AK908" s="2482"/>
      <c r="BG908" s="30">
        <v>78.8</v>
      </c>
      <c r="BH908" s="31">
        <v>0.67279999999999995</v>
      </c>
      <c r="BI908" s="32">
        <v>672.7</v>
      </c>
      <c r="BJ908" s="33"/>
      <c r="BK908" s="12"/>
      <c r="BL908" s="12"/>
      <c r="BM908" s="12"/>
      <c r="BN908" s="33"/>
      <c r="BO908" s="33"/>
      <c r="BP908" s="33"/>
      <c r="BQ908" s="33"/>
      <c r="BR908" s="520"/>
    </row>
    <row r="909" spans="37:70">
      <c r="AK909" s="2482"/>
      <c r="BG909" s="30">
        <v>78.900000000000006</v>
      </c>
      <c r="BH909" s="31">
        <v>0.67249999999999999</v>
      </c>
      <c r="BI909" s="32">
        <v>672.4</v>
      </c>
      <c r="BJ909" s="33"/>
      <c r="BK909" s="12"/>
      <c r="BL909" s="12"/>
      <c r="BM909" s="12"/>
      <c r="BN909" s="33"/>
      <c r="BO909" s="33"/>
      <c r="BP909" s="33"/>
      <c r="BQ909" s="33"/>
      <c r="BR909" s="520"/>
    </row>
    <row r="910" spans="37:70">
      <c r="AK910" s="2482"/>
      <c r="BG910" s="30">
        <v>79</v>
      </c>
      <c r="BH910" s="31">
        <v>0.67220000000000002</v>
      </c>
      <c r="BI910" s="32">
        <v>672.1</v>
      </c>
      <c r="BJ910" s="33"/>
      <c r="BK910" s="12"/>
      <c r="BL910" s="12"/>
      <c r="BM910" s="12"/>
      <c r="BN910" s="33"/>
      <c r="BO910" s="33"/>
      <c r="BP910" s="33"/>
      <c r="BQ910" s="33"/>
      <c r="BR910" s="520"/>
    </row>
    <row r="911" spans="37:70">
      <c r="AK911" s="2482"/>
      <c r="BG911" s="30">
        <v>79.099999999999994</v>
      </c>
      <c r="BH911" s="31">
        <v>0.67190000000000005</v>
      </c>
      <c r="BI911" s="32">
        <v>671.8</v>
      </c>
      <c r="BJ911" s="33"/>
      <c r="BK911" s="12"/>
      <c r="BL911" s="12"/>
      <c r="BM911" s="12"/>
      <c r="BN911" s="33"/>
      <c r="BO911" s="33"/>
      <c r="BP911" s="33"/>
      <c r="BQ911" s="33"/>
      <c r="BR911" s="520"/>
    </row>
    <row r="912" spans="37:70">
      <c r="AK912" s="2482"/>
      <c r="BG912" s="30">
        <v>79.2</v>
      </c>
      <c r="BH912" s="31">
        <v>0.67159999999999997</v>
      </c>
      <c r="BI912" s="32">
        <v>671.4</v>
      </c>
      <c r="BJ912" s="33"/>
      <c r="BK912" s="12"/>
      <c r="BL912" s="12"/>
      <c r="BM912" s="12"/>
      <c r="BN912" s="33"/>
      <c r="BO912" s="33"/>
      <c r="BP912" s="33"/>
      <c r="BQ912" s="33"/>
      <c r="BR912" s="520"/>
    </row>
    <row r="913" spans="37:70">
      <c r="AK913" s="2482"/>
      <c r="BG913" s="30">
        <v>79.3</v>
      </c>
      <c r="BH913" s="31">
        <v>0.67130000000000001</v>
      </c>
      <c r="BI913" s="32">
        <v>671.1</v>
      </c>
      <c r="BJ913" s="33"/>
      <c r="BK913" s="12"/>
      <c r="BL913" s="12"/>
      <c r="BM913" s="12"/>
      <c r="BN913" s="33"/>
      <c r="BO913" s="33"/>
      <c r="BP913" s="33"/>
      <c r="BQ913" s="33"/>
      <c r="BR913" s="520"/>
    </row>
    <row r="914" spans="37:70">
      <c r="AK914" s="2482"/>
      <c r="BG914" s="30">
        <v>79.400000000000006</v>
      </c>
      <c r="BH914" s="31">
        <v>0.67090000000000005</v>
      </c>
      <c r="BI914" s="32">
        <v>670.8</v>
      </c>
      <c r="BJ914" s="33"/>
      <c r="BK914" s="12"/>
      <c r="BL914" s="12"/>
      <c r="BM914" s="12"/>
      <c r="BN914" s="33"/>
      <c r="BO914" s="33"/>
      <c r="BP914" s="33"/>
      <c r="BQ914" s="33"/>
      <c r="BR914" s="520"/>
    </row>
    <row r="915" spans="37:70">
      <c r="AK915" s="2482"/>
      <c r="BG915" s="30">
        <v>79.5</v>
      </c>
      <c r="BH915" s="31">
        <v>0.67059999999999997</v>
      </c>
      <c r="BI915" s="32">
        <v>670.5</v>
      </c>
      <c r="BJ915" s="33"/>
      <c r="BK915" s="12"/>
      <c r="BL915" s="12"/>
      <c r="BM915" s="12"/>
      <c r="BN915" s="33"/>
      <c r="BO915" s="33"/>
      <c r="BP915" s="33"/>
      <c r="BQ915" s="33"/>
      <c r="BR915" s="520"/>
    </row>
    <row r="916" spans="37:70">
      <c r="AK916" s="2482"/>
      <c r="BG916" s="30">
        <v>79.599999999999994</v>
      </c>
      <c r="BH916" s="31">
        <v>0.67030000000000001</v>
      </c>
      <c r="BI916" s="32">
        <v>670.2</v>
      </c>
      <c r="BJ916" s="33"/>
      <c r="BK916" s="12"/>
      <c r="BL916" s="12"/>
      <c r="BM916" s="12"/>
      <c r="BN916" s="33"/>
      <c r="BO916" s="33"/>
      <c r="BP916" s="33"/>
      <c r="BQ916" s="33"/>
      <c r="BR916" s="520"/>
    </row>
    <row r="917" spans="37:70">
      <c r="AK917" s="2482"/>
      <c r="BG917" s="30">
        <v>79.7</v>
      </c>
      <c r="BH917" s="31">
        <v>0.67</v>
      </c>
      <c r="BI917" s="32">
        <v>669.9</v>
      </c>
      <c r="BJ917" s="33"/>
      <c r="BK917" s="12"/>
      <c r="BL917" s="12"/>
      <c r="BM917" s="12"/>
      <c r="BN917" s="33"/>
      <c r="BO917" s="33"/>
      <c r="BP917" s="33"/>
      <c r="BQ917" s="33"/>
      <c r="BR917" s="520"/>
    </row>
    <row r="918" spans="37:70">
      <c r="AK918" s="2482"/>
      <c r="BG918" s="30">
        <v>79.8</v>
      </c>
      <c r="BH918" s="31">
        <v>0.66969999999999996</v>
      </c>
      <c r="BI918" s="32">
        <v>669.5</v>
      </c>
      <c r="BJ918" s="33"/>
      <c r="BK918" s="12"/>
      <c r="BL918" s="12"/>
      <c r="BM918" s="12"/>
      <c r="BN918" s="33"/>
      <c r="BO918" s="33"/>
      <c r="BP918" s="33"/>
      <c r="BQ918" s="33"/>
      <c r="BR918" s="520"/>
    </row>
    <row r="919" spans="37:70">
      <c r="AK919" s="2482"/>
      <c r="BG919" s="30">
        <v>79.900000000000006</v>
      </c>
      <c r="BH919" s="31">
        <v>0.66930000000000001</v>
      </c>
      <c r="BI919" s="32">
        <v>669.2</v>
      </c>
      <c r="BJ919" s="33"/>
      <c r="BK919" s="12"/>
      <c r="BL919" s="12"/>
      <c r="BM919" s="12"/>
      <c r="BN919" s="33"/>
      <c r="BO919" s="33"/>
      <c r="BP919" s="33"/>
      <c r="BQ919" s="33"/>
      <c r="BR919" s="520"/>
    </row>
    <row r="920" spans="37:70">
      <c r="AK920" s="2482"/>
      <c r="BG920" s="30">
        <v>80</v>
      </c>
      <c r="BH920" s="31">
        <v>0.66900000000000004</v>
      </c>
      <c r="BI920" s="32">
        <v>668.9</v>
      </c>
      <c r="BJ920" s="33"/>
      <c r="BK920" s="12"/>
      <c r="BL920" s="12"/>
      <c r="BM920" s="12"/>
      <c r="BN920" s="33"/>
      <c r="BO920" s="33"/>
      <c r="BP920" s="33"/>
      <c r="BQ920" s="33"/>
      <c r="BR920" s="520"/>
    </row>
    <row r="921" spans="37:70">
      <c r="AK921" s="2482"/>
      <c r="BG921" s="30">
        <v>80.099999999999994</v>
      </c>
      <c r="BH921" s="31">
        <v>0.66869999999999996</v>
      </c>
      <c r="BI921" s="32">
        <v>668.6</v>
      </c>
      <c r="BJ921" s="33"/>
      <c r="BK921" s="12"/>
      <c r="BL921" s="12"/>
      <c r="BM921" s="12"/>
      <c r="BN921" s="33"/>
      <c r="BO921" s="33"/>
      <c r="BP921" s="33"/>
      <c r="BQ921" s="33"/>
      <c r="BR921" s="520"/>
    </row>
    <row r="922" spans="37:70">
      <c r="AK922" s="2482"/>
      <c r="BG922" s="30">
        <v>80.2</v>
      </c>
      <c r="BH922" s="31">
        <v>0.66839999999999999</v>
      </c>
      <c r="BI922" s="32">
        <v>668.3</v>
      </c>
      <c r="BJ922" s="33"/>
      <c r="BK922" s="12"/>
      <c r="BL922" s="12"/>
      <c r="BM922" s="12"/>
      <c r="BN922" s="33"/>
      <c r="BO922" s="33"/>
      <c r="BP922" s="33"/>
      <c r="BQ922" s="33"/>
      <c r="BR922" s="520"/>
    </row>
    <row r="923" spans="37:70">
      <c r="AK923" s="2482"/>
      <c r="BG923" s="30">
        <v>80.3</v>
      </c>
      <c r="BH923" s="31">
        <v>0.66810000000000003</v>
      </c>
      <c r="BI923" s="32">
        <v>668</v>
      </c>
      <c r="BJ923" s="33"/>
      <c r="BK923" s="12"/>
      <c r="BL923" s="12"/>
      <c r="BM923" s="12"/>
      <c r="BN923" s="33"/>
      <c r="BO923" s="33"/>
      <c r="BP923" s="33"/>
      <c r="BQ923" s="33"/>
      <c r="BR923" s="520"/>
    </row>
    <row r="924" spans="37:70">
      <c r="AK924" s="2482"/>
      <c r="BG924" s="30">
        <v>80.400000000000006</v>
      </c>
      <c r="BH924" s="31">
        <v>0.66779999999999995</v>
      </c>
      <c r="BI924" s="32">
        <v>667.6</v>
      </c>
      <c r="BJ924" s="33"/>
      <c r="BK924" s="12"/>
      <c r="BL924" s="12"/>
      <c r="BM924" s="12"/>
      <c r="BN924" s="33"/>
      <c r="BO924" s="33"/>
      <c r="BP924" s="33"/>
      <c r="BQ924" s="33"/>
      <c r="BR924" s="520"/>
    </row>
    <row r="925" spans="37:70">
      <c r="AK925" s="2482"/>
      <c r="BG925" s="30">
        <v>80.5</v>
      </c>
      <c r="BH925" s="31">
        <v>0.66749999999999998</v>
      </c>
      <c r="BI925" s="32">
        <v>667.3</v>
      </c>
      <c r="BJ925" s="33"/>
      <c r="BK925" s="12"/>
      <c r="BL925" s="12"/>
      <c r="BM925" s="12"/>
      <c r="BN925" s="33"/>
      <c r="BO925" s="33"/>
      <c r="BP925" s="33"/>
      <c r="BQ925" s="33"/>
      <c r="BR925" s="520"/>
    </row>
    <row r="926" spans="37:70">
      <c r="AK926" s="2482"/>
      <c r="BG926" s="30">
        <v>80.599999999999994</v>
      </c>
      <c r="BH926" s="31">
        <v>0.66710000000000003</v>
      </c>
      <c r="BI926" s="32">
        <v>667</v>
      </c>
      <c r="BJ926" s="33"/>
      <c r="BK926" s="12"/>
      <c r="BL926" s="12"/>
      <c r="BM926" s="12"/>
      <c r="BN926" s="33"/>
      <c r="BO926" s="33"/>
      <c r="BP926" s="33"/>
      <c r="BQ926" s="33"/>
      <c r="BR926" s="520"/>
    </row>
    <row r="927" spans="37:70">
      <c r="AK927" s="2482"/>
      <c r="BG927" s="30">
        <v>80.7</v>
      </c>
      <c r="BH927" s="31">
        <v>0.66679999999999995</v>
      </c>
      <c r="BI927" s="32">
        <v>666.7</v>
      </c>
      <c r="BJ927" s="33"/>
      <c r="BK927" s="12"/>
      <c r="BL927" s="12"/>
      <c r="BM927" s="12"/>
      <c r="BN927" s="33"/>
      <c r="BO927" s="33"/>
      <c r="BP927" s="33"/>
      <c r="BQ927" s="33"/>
      <c r="BR927" s="520"/>
    </row>
    <row r="928" spans="37:70">
      <c r="AK928" s="2482"/>
      <c r="BG928" s="30">
        <v>80.8</v>
      </c>
      <c r="BH928" s="31">
        <v>0.66649999999999998</v>
      </c>
      <c r="BI928" s="32">
        <v>666.4</v>
      </c>
      <c r="BJ928" s="33"/>
      <c r="BK928" s="12"/>
      <c r="BL928" s="12"/>
      <c r="BM928" s="12"/>
      <c r="BN928" s="33"/>
      <c r="BO928" s="33"/>
      <c r="BP928" s="33"/>
      <c r="BQ928" s="33"/>
      <c r="BR928" s="520"/>
    </row>
    <row r="929" spans="37:70">
      <c r="AK929" s="2482"/>
      <c r="BG929" s="30">
        <v>80.900000000000006</v>
      </c>
      <c r="BH929" s="31">
        <v>0.66620000000000001</v>
      </c>
      <c r="BI929" s="32">
        <v>666.1</v>
      </c>
      <c r="BJ929" s="33"/>
      <c r="BK929" s="12"/>
      <c r="BL929" s="12"/>
      <c r="BM929" s="12"/>
      <c r="BN929" s="33"/>
      <c r="BO929" s="33"/>
      <c r="BP929" s="33"/>
      <c r="BQ929" s="33"/>
      <c r="BR929" s="520"/>
    </row>
    <row r="930" spans="37:70">
      <c r="AK930" s="2482"/>
      <c r="BG930" s="30">
        <v>81</v>
      </c>
      <c r="BH930" s="31">
        <v>0.66590000000000005</v>
      </c>
      <c r="BI930" s="32">
        <v>665.8</v>
      </c>
      <c r="BJ930" s="33"/>
      <c r="BK930" s="12"/>
      <c r="BL930" s="12"/>
      <c r="BM930" s="12"/>
      <c r="BN930" s="33"/>
      <c r="BO930" s="33"/>
      <c r="BP930" s="33"/>
      <c r="BQ930" s="33"/>
      <c r="BR930" s="520"/>
    </row>
    <row r="931" spans="37:70">
      <c r="AK931" s="2482"/>
      <c r="BG931" s="30">
        <v>81.099999999999994</v>
      </c>
      <c r="BH931" s="31">
        <v>0.66559999999999997</v>
      </c>
      <c r="BI931" s="32">
        <v>665.4</v>
      </c>
      <c r="BJ931" s="33"/>
      <c r="BK931" s="12"/>
      <c r="BL931" s="12"/>
      <c r="BM931" s="12"/>
      <c r="BN931" s="33"/>
      <c r="BO931" s="33"/>
      <c r="BP931" s="33"/>
      <c r="BQ931" s="33"/>
      <c r="BR931" s="520"/>
    </row>
    <row r="932" spans="37:70">
      <c r="AK932" s="2482"/>
      <c r="BG932" s="30">
        <v>81.2</v>
      </c>
      <c r="BH932" s="31">
        <v>0.6653</v>
      </c>
      <c r="BI932" s="32">
        <v>665.1</v>
      </c>
      <c r="BJ932" s="33"/>
      <c r="BK932" s="12"/>
      <c r="BL932" s="12"/>
      <c r="BM932" s="12"/>
      <c r="BN932" s="33"/>
      <c r="BO932" s="33"/>
      <c r="BP932" s="33"/>
      <c r="BQ932" s="33"/>
      <c r="BR932" s="520"/>
    </row>
    <row r="933" spans="37:70">
      <c r="AK933" s="2482"/>
      <c r="BG933" s="30">
        <v>81.3</v>
      </c>
      <c r="BH933" s="31">
        <v>0.66490000000000005</v>
      </c>
      <c r="BI933" s="32">
        <v>664.8</v>
      </c>
      <c r="BJ933" s="33"/>
      <c r="BK933" s="12"/>
      <c r="BL933" s="12"/>
      <c r="BM933" s="12"/>
      <c r="BN933" s="33"/>
      <c r="BO933" s="33"/>
      <c r="BP933" s="33"/>
      <c r="BQ933" s="33"/>
      <c r="BR933" s="520"/>
    </row>
    <row r="934" spans="37:70">
      <c r="AK934" s="2482"/>
      <c r="BG934" s="30">
        <v>81.400000000000006</v>
      </c>
      <c r="BH934" s="31">
        <v>0.66459999999999997</v>
      </c>
      <c r="BI934" s="32">
        <v>664.5</v>
      </c>
      <c r="BJ934" s="33"/>
      <c r="BK934" s="12"/>
      <c r="BL934" s="12"/>
      <c r="BM934" s="12"/>
      <c r="BN934" s="33"/>
      <c r="BO934" s="33"/>
      <c r="BP934" s="33"/>
      <c r="BQ934" s="33"/>
      <c r="BR934" s="520"/>
    </row>
    <row r="935" spans="37:70">
      <c r="AK935" s="2482"/>
      <c r="BG935" s="30">
        <v>81.5</v>
      </c>
      <c r="BH935" s="31">
        <v>0.6643</v>
      </c>
      <c r="BI935" s="32">
        <v>664.2</v>
      </c>
      <c r="BJ935" s="33"/>
      <c r="BK935" s="12"/>
      <c r="BL935" s="12"/>
      <c r="BM935" s="12"/>
      <c r="BN935" s="33"/>
      <c r="BO935" s="33"/>
      <c r="BP935" s="33"/>
      <c r="BQ935" s="33"/>
      <c r="BR935" s="520"/>
    </row>
    <row r="936" spans="37:70">
      <c r="AK936" s="2482"/>
      <c r="BG936" s="30">
        <v>81.599999999999994</v>
      </c>
      <c r="BH936" s="31">
        <v>0.66400000000000003</v>
      </c>
      <c r="BI936" s="32">
        <v>663.9</v>
      </c>
      <c r="BJ936" s="33"/>
      <c r="BK936" s="12"/>
      <c r="BL936" s="12"/>
      <c r="BM936" s="12"/>
      <c r="BN936" s="33"/>
      <c r="BO936" s="33"/>
      <c r="BP936" s="33"/>
      <c r="BQ936" s="33"/>
      <c r="BR936" s="520"/>
    </row>
    <row r="937" spans="37:70">
      <c r="AK937" s="2482"/>
      <c r="BG937" s="30">
        <v>81.7</v>
      </c>
      <c r="BH937" s="31">
        <v>0.66369999999999996</v>
      </c>
      <c r="BI937" s="32">
        <v>663.6</v>
      </c>
      <c r="BJ937" s="33"/>
      <c r="BK937" s="12"/>
      <c r="BL937" s="12"/>
      <c r="BM937" s="12"/>
      <c r="BN937" s="33"/>
      <c r="BO937" s="33"/>
      <c r="BP937" s="33"/>
      <c r="BQ937" s="33"/>
      <c r="BR937" s="520"/>
    </row>
    <row r="938" spans="37:70">
      <c r="AK938" s="2482"/>
      <c r="BG938" s="30">
        <v>81.8</v>
      </c>
      <c r="BH938" s="31">
        <v>0.66339999999999999</v>
      </c>
      <c r="BI938" s="32">
        <v>663.3</v>
      </c>
      <c r="BJ938" s="33"/>
      <c r="BK938" s="12"/>
      <c r="BL938" s="12"/>
      <c r="BM938" s="12"/>
      <c r="BN938" s="33"/>
      <c r="BO938" s="33"/>
      <c r="BP938" s="33"/>
      <c r="BQ938" s="33"/>
      <c r="BR938" s="520"/>
    </row>
    <row r="939" spans="37:70">
      <c r="AK939" s="2482"/>
      <c r="BG939" s="30">
        <v>81.900000000000006</v>
      </c>
      <c r="BH939" s="31">
        <v>0.66310000000000002</v>
      </c>
      <c r="BI939" s="32">
        <v>663</v>
      </c>
      <c r="BJ939" s="33"/>
      <c r="BK939" s="12"/>
      <c r="BL939" s="12"/>
      <c r="BM939" s="12"/>
      <c r="BN939" s="33"/>
      <c r="BO939" s="33"/>
      <c r="BP939" s="33"/>
      <c r="BQ939" s="33"/>
      <c r="BR939" s="520"/>
    </row>
    <row r="940" spans="37:70">
      <c r="AK940" s="2482"/>
      <c r="BG940" s="30">
        <v>82</v>
      </c>
      <c r="BH940" s="31">
        <v>0.66279999999999994</v>
      </c>
      <c r="BI940" s="32">
        <v>662.6</v>
      </c>
      <c r="BJ940" s="33"/>
      <c r="BK940" s="12"/>
      <c r="BL940" s="12"/>
      <c r="BM940" s="12"/>
      <c r="BN940" s="33"/>
      <c r="BO940" s="33"/>
      <c r="BP940" s="33"/>
      <c r="BQ940" s="33"/>
      <c r="BR940" s="520"/>
    </row>
    <row r="941" spans="37:70">
      <c r="AK941" s="2482"/>
      <c r="BG941" s="30">
        <v>82.1</v>
      </c>
      <c r="BH941" s="31">
        <v>0.66249999999999998</v>
      </c>
      <c r="BI941" s="32">
        <v>662.3</v>
      </c>
      <c r="BJ941" s="33"/>
      <c r="BK941" s="12"/>
      <c r="BL941" s="12"/>
      <c r="BM941" s="12"/>
      <c r="BN941" s="33"/>
      <c r="BO941" s="33"/>
      <c r="BP941" s="33"/>
      <c r="BQ941" s="33"/>
      <c r="BR941" s="520"/>
    </row>
    <row r="942" spans="37:70">
      <c r="AK942" s="2482"/>
      <c r="BG942" s="30">
        <v>82.2</v>
      </c>
      <c r="BH942" s="31">
        <v>0.66210000000000002</v>
      </c>
      <c r="BI942" s="32">
        <v>662</v>
      </c>
      <c r="BJ942" s="33"/>
      <c r="BK942" s="12"/>
      <c r="BL942" s="12"/>
      <c r="BM942" s="12"/>
      <c r="BN942" s="33"/>
      <c r="BO942" s="33"/>
      <c r="BP942" s="33"/>
      <c r="BQ942" s="33"/>
      <c r="BR942" s="520"/>
    </row>
    <row r="943" spans="37:70">
      <c r="AK943" s="2482"/>
      <c r="BG943" s="30">
        <v>82.3</v>
      </c>
      <c r="BH943" s="31">
        <v>0.66180000000000005</v>
      </c>
      <c r="BI943" s="32">
        <v>661.7</v>
      </c>
      <c r="BJ943" s="33"/>
      <c r="BK943" s="12"/>
      <c r="BL943" s="12"/>
      <c r="BM943" s="12"/>
      <c r="BN943" s="33"/>
      <c r="BO943" s="33"/>
      <c r="BP943" s="33"/>
      <c r="BQ943" s="33"/>
      <c r="BR943" s="520"/>
    </row>
    <row r="944" spans="37:70">
      <c r="AK944" s="2482"/>
      <c r="BG944" s="30">
        <v>82.4</v>
      </c>
      <c r="BH944" s="31">
        <v>0.66149999999999998</v>
      </c>
      <c r="BI944" s="32">
        <v>661.4</v>
      </c>
      <c r="BJ944" s="33"/>
      <c r="BK944" s="12"/>
      <c r="BL944" s="12"/>
      <c r="BM944" s="12"/>
      <c r="BN944" s="33"/>
      <c r="BO944" s="33"/>
      <c r="BP944" s="33"/>
      <c r="BQ944" s="33"/>
      <c r="BR944" s="520"/>
    </row>
    <row r="945" spans="37:70">
      <c r="AK945" s="2482"/>
      <c r="BG945" s="30">
        <v>82.5</v>
      </c>
      <c r="BH945" s="31">
        <v>0.66120000000000001</v>
      </c>
      <c r="BI945" s="32">
        <v>661.1</v>
      </c>
      <c r="BJ945" s="33"/>
      <c r="BK945" s="12"/>
      <c r="BL945" s="12"/>
      <c r="BM945" s="12"/>
      <c r="BN945" s="33"/>
      <c r="BO945" s="33"/>
      <c r="BP945" s="33"/>
      <c r="BQ945" s="33"/>
      <c r="BR945" s="520"/>
    </row>
    <row r="946" spans="37:70">
      <c r="AK946" s="2482"/>
      <c r="BG946" s="30">
        <v>82.6</v>
      </c>
      <c r="BH946" s="31">
        <v>0.66090000000000004</v>
      </c>
      <c r="BI946" s="32">
        <v>660.8</v>
      </c>
      <c r="BJ946" s="33"/>
      <c r="BK946" s="12"/>
      <c r="BL946" s="12"/>
      <c r="BM946" s="12"/>
      <c r="BN946" s="33"/>
      <c r="BO946" s="33"/>
      <c r="BP946" s="33"/>
      <c r="BQ946" s="33"/>
      <c r="BR946" s="520"/>
    </row>
    <row r="947" spans="37:70">
      <c r="AK947" s="2482"/>
      <c r="BG947" s="30">
        <v>82.7</v>
      </c>
      <c r="BH947" s="31">
        <v>0.66059999999999997</v>
      </c>
      <c r="BI947" s="32">
        <v>660.5</v>
      </c>
      <c r="BJ947" s="33"/>
      <c r="BK947" s="12"/>
      <c r="BL947" s="12"/>
      <c r="BM947" s="12"/>
      <c r="BN947" s="33"/>
      <c r="BO947" s="33"/>
      <c r="BP947" s="33"/>
      <c r="BQ947" s="33"/>
      <c r="BR947" s="520"/>
    </row>
    <row r="948" spans="37:70">
      <c r="AK948" s="2482"/>
      <c r="BG948" s="30">
        <v>82.8</v>
      </c>
      <c r="BH948" s="31">
        <v>0.6603</v>
      </c>
      <c r="BI948" s="32">
        <v>660.2</v>
      </c>
      <c r="BJ948" s="33"/>
      <c r="BK948" s="12"/>
      <c r="BL948" s="12"/>
      <c r="BM948" s="12"/>
      <c r="BN948" s="33"/>
      <c r="BO948" s="33"/>
      <c r="BP948" s="33"/>
      <c r="BQ948" s="33"/>
      <c r="BR948" s="520"/>
    </row>
    <row r="949" spans="37:70">
      <c r="AK949" s="2482"/>
      <c r="BG949" s="30">
        <v>82.9</v>
      </c>
      <c r="BH949" s="31">
        <v>0.66</v>
      </c>
      <c r="BI949" s="32">
        <v>659.9</v>
      </c>
      <c r="BJ949" s="33"/>
      <c r="BK949" s="12"/>
      <c r="BL949" s="12"/>
      <c r="BM949" s="12"/>
      <c r="BN949" s="33"/>
      <c r="BO949" s="33"/>
      <c r="BP949" s="33"/>
      <c r="BQ949" s="33"/>
      <c r="BR949" s="520"/>
    </row>
    <row r="950" spans="37:70">
      <c r="AK950" s="2482"/>
      <c r="BG950" s="30">
        <v>83</v>
      </c>
      <c r="BH950" s="31">
        <v>0.65969999999999995</v>
      </c>
      <c r="BI950" s="32">
        <v>659.6</v>
      </c>
      <c r="BJ950" s="33"/>
      <c r="BK950" s="12"/>
      <c r="BL950" s="12"/>
      <c r="BM950" s="12"/>
      <c r="BN950" s="33"/>
      <c r="BO950" s="33"/>
      <c r="BP950" s="33"/>
      <c r="BQ950" s="33"/>
      <c r="BR950" s="520"/>
    </row>
    <row r="951" spans="37:70">
      <c r="AK951" s="2482"/>
      <c r="BG951" s="30">
        <v>83.1</v>
      </c>
      <c r="BH951" s="31">
        <v>0.65939999999999999</v>
      </c>
      <c r="BI951" s="32">
        <v>659.3</v>
      </c>
      <c r="BJ951" s="33"/>
      <c r="BK951" s="12"/>
      <c r="BL951" s="12"/>
      <c r="BM951" s="12"/>
      <c r="BN951" s="33"/>
      <c r="BO951" s="33"/>
      <c r="BP951" s="33"/>
      <c r="BQ951" s="33"/>
      <c r="BR951" s="520"/>
    </row>
    <row r="952" spans="37:70">
      <c r="AK952" s="2482"/>
      <c r="BG952" s="30">
        <v>83.2</v>
      </c>
      <c r="BH952" s="31">
        <v>0.65910000000000002</v>
      </c>
      <c r="BI952" s="32">
        <v>658.9</v>
      </c>
      <c r="BJ952" s="33"/>
      <c r="BK952" s="12"/>
      <c r="BL952" s="12"/>
      <c r="BM952" s="12"/>
      <c r="BN952" s="33"/>
      <c r="BO952" s="33"/>
      <c r="BP952" s="33"/>
      <c r="BQ952" s="33"/>
      <c r="BR952" s="520"/>
    </row>
    <row r="953" spans="37:70">
      <c r="AK953" s="2482"/>
      <c r="BG953" s="30">
        <v>83.3</v>
      </c>
      <c r="BH953" s="31">
        <v>0.65880000000000005</v>
      </c>
      <c r="BI953" s="32">
        <v>658.6</v>
      </c>
      <c r="BJ953" s="33"/>
      <c r="BK953" s="12"/>
      <c r="BL953" s="12"/>
      <c r="BM953" s="12"/>
      <c r="BN953" s="33"/>
      <c r="BO953" s="33"/>
      <c r="BP953" s="33"/>
      <c r="BQ953" s="33"/>
      <c r="BR953" s="520"/>
    </row>
    <row r="954" spans="37:70">
      <c r="AK954" s="2482"/>
      <c r="BG954" s="30">
        <v>83.4</v>
      </c>
      <c r="BH954" s="31">
        <v>0.65839999999999999</v>
      </c>
      <c r="BI954" s="32">
        <v>658.3</v>
      </c>
      <c r="BJ954" s="33"/>
      <c r="BK954" s="12"/>
      <c r="BL954" s="12"/>
      <c r="BM954" s="12"/>
      <c r="BN954" s="33"/>
      <c r="BO954" s="33"/>
      <c r="BP954" s="33"/>
      <c r="BQ954" s="33"/>
      <c r="BR954" s="520"/>
    </row>
    <row r="955" spans="37:70">
      <c r="AK955" s="2482"/>
      <c r="BG955" s="30">
        <v>83.5</v>
      </c>
      <c r="BH955" s="31">
        <v>0.65810000000000002</v>
      </c>
      <c r="BI955" s="32">
        <v>658</v>
      </c>
      <c r="BJ955" s="33"/>
      <c r="BK955" s="12"/>
      <c r="BL955" s="12"/>
      <c r="BM955" s="12"/>
      <c r="BN955" s="33"/>
      <c r="BO955" s="33"/>
      <c r="BP955" s="33"/>
      <c r="BQ955" s="33"/>
      <c r="BR955" s="520"/>
    </row>
    <row r="956" spans="37:70">
      <c r="AK956" s="2482"/>
      <c r="BG956" s="30">
        <v>83.6</v>
      </c>
      <c r="BH956" s="31">
        <v>0.65780000000000005</v>
      </c>
      <c r="BI956" s="32">
        <v>657.7</v>
      </c>
      <c r="BJ956" s="33"/>
      <c r="BK956" s="12"/>
      <c r="BL956" s="12"/>
      <c r="BM956" s="12"/>
      <c r="BN956" s="33"/>
      <c r="BO956" s="33"/>
      <c r="BP956" s="33"/>
      <c r="BQ956" s="33"/>
      <c r="BR956" s="520"/>
    </row>
    <row r="957" spans="37:70">
      <c r="AK957" s="2482"/>
      <c r="BG957" s="30">
        <v>83.7</v>
      </c>
      <c r="BH957" s="31">
        <v>0.65749999999999997</v>
      </c>
      <c r="BI957" s="32">
        <v>657.4</v>
      </c>
      <c r="BJ957" s="33"/>
      <c r="BK957" s="12"/>
      <c r="BL957" s="12"/>
      <c r="BM957" s="12"/>
      <c r="BN957" s="33"/>
      <c r="BO957" s="33"/>
      <c r="BP957" s="33"/>
      <c r="BQ957" s="33"/>
      <c r="BR957" s="520"/>
    </row>
    <row r="958" spans="37:70">
      <c r="AK958" s="2482"/>
      <c r="BG958" s="30">
        <v>83.8</v>
      </c>
      <c r="BH958" s="31">
        <v>0.65720000000000001</v>
      </c>
      <c r="BI958" s="32">
        <v>657.1</v>
      </c>
      <c r="BJ958" s="33"/>
      <c r="BK958" s="12"/>
      <c r="BL958" s="12"/>
      <c r="BM958" s="12"/>
      <c r="BN958" s="33"/>
      <c r="BO958" s="33"/>
      <c r="BP958" s="33"/>
      <c r="BQ958" s="33"/>
      <c r="BR958" s="520"/>
    </row>
    <row r="959" spans="37:70">
      <c r="AK959" s="2482"/>
      <c r="BG959" s="30">
        <v>83.9</v>
      </c>
      <c r="BH959" s="31">
        <v>0.65690000000000004</v>
      </c>
      <c r="BI959" s="32">
        <v>656.8</v>
      </c>
      <c r="BJ959" s="33"/>
      <c r="BK959" s="12"/>
      <c r="BL959" s="12"/>
      <c r="BM959" s="12"/>
      <c r="BN959" s="33"/>
      <c r="BO959" s="33"/>
      <c r="BP959" s="33"/>
      <c r="BQ959" s="33"/>
      <c r="BR959" s="520"/>
    </row>
    <row r="960" spans="37:70">
      <c r="AK960" s="2482"/>
      <c r="BG960" s="30">
        <v>84</v>
      </c>
      <c r="BH960" s="31">
        <v>0.65659999999999996</v>
      </c>
      <c r="BI960" s="32">
        <v>656.5</v>
      </c>
      <c r="BJ960" s="33"/>
      <c r="BK960" s="12"/>
      <c r="BL960" s="12"/>
      <c r="BM960" s="12"/>
      <c r="BN960" s="33"/>
      <c r="BO960" s="33"/>
      <c r="BP960" s="33"/>
      <c r="BQ960" s="33"/>
      <c r="BR960" s="520"/>
    </row>
    <row r="961" spans="37:70">
      <c r="AK961" s="2482"/>
      <c r="BG961" s="30">
        <v>84.1</v>
      </c>
      <c r="BH961" s="31">
        <v>0.65629999999999999</v>
      </c>
      <c r="BI961" s="32">
        <v>656.2</v>
      </c>
      <c r="BJ961" s="33"/>
      <c r="BK961" s="12"/>
      <c r="BL961" s="12"/>
      <c r="BM961" s="12"/>
      <c r="BN961" s="33"/>
      <c r="BO961" s="33"/>
      <c r="BP961" s="33"/>
      <c r="BQ961" s="33"/>
      <c r="BR961" s="520"/>
    </row>
    <row r="962" spans="37:70">
      <c r="AK962" s="2482"/>
      <c r="BG962" s="30">
        <v>84.2</v>
      </c>
      <c r="BH962" s="31">
        <v>0.65600000000000003</v>
      </c>
      <c r="BI962" s="32">
        <v>655.9</v>
      </c>
      <c r="BJ962" s="33"/>
      <c r="BK962" s="12"/>
      <c r="BL962" s="12"/>
      <c r="BM962" s="12"/>
      <c r="BN962" s="33"/>
      <c r="BO962" s="33"/>
      <c r="BP962" s="33"/>
      <c r="BQ962" s="33"/>
      <c r="BR962" s="520"/>
    </row>
    <row r="963" spans="37:70">
      <c r="AK963" s="2482"/>
      <c r="BG963" s="30">
        <v>84.3</v>
      </c>
      <c r="BH963" s="31">
        <v>0.65569999999999995</v>
      </c>
      <c r="BI963" s="32">
        <v>655.6</v>
      </c>
      <c r="BJ963" s="33"/>
      <c r="BK963" s="12"/>
      <c r="BL963" s="12"/>
      <c r="BM963" s="12"/>
      <c r="BN963" s="33"/>
      <c r="BO963" s="33"/>
      <c r="BP963" s="33"/>
      <c r="BQ963" s="33"/>
      <c r="BR963" s="520"/>
    </row>
    <row r="964" spans="37:70">
      <c r="AK964" s="2482"/>
      <c r="BG964" s="30">
        <v>84.4</v>
      </c>
      <c r="BH964" s="31">
        <v>0.65539999999999998</v>
      </c>
      <c r="BI964" s="32">
        <v>655.29999999999995</v>
      </c>
      <c r="BJ964" s="33"/>
      <c r="BK964" s="12"/>
      <c r="BL964" s="12"/>
      <c r="BM964" s="12"/>
      <c r="BN964" s="33"/>
      <c r="BO964" s="33"/>
      <c r="BP964" s="33"/>
      <c r="BQ964" s="33"/>
      <c r="BR964" s="520"/>
    </row>
    <row r="965" spans="37:70">
      <c r="AK965" s="2482"/>
      <c r="BG965" s="30">
        <v>84.5</v>
      </c>
      <c r="BH965" s="31">
        <v>0.65510000000000002</v>
      </c>
      <c r="BI965" s="32">
        <v>655</v>
      </c>
      <c r="BJ965" s="33"/>
      <c r="BK965" s="12"/>
      <c r="BL965" s="12"/>
      <c r="BM965" s="12"/>
      <c r="BN965" s="33"/>
      <c r="BO965" s="33"/>
      <c r="BP965" s="33"/>
      <c r="BQ965" s="33"/>
      <c r="BR965" s="520"/>
    </row>
    <row r="966" spans="37:70">
      <c r="AK966" s="2482"/>
      <c r="BG966" s="30">
        <v>84.6</v>
      </c>
      <c r="BH966" s="31">
        <v>0.65480000000000005</v>
      </c>
      <c r="BI966" s="32">
        <v>654.70000000000005</v>
      </c>
      <c r="BJ966" s="33"/>
      <c r="BK966" s="12"/>
      <c r="BL966" s="12"/>
      <c r="BM966" s="12"/>
      <c r="BN966" s="33"/>
      <c r="BO966" s="33"/>
      <c r="BP966" s="33"/>
      <c r="BQ966" s="33"/>
      <c r="BR966" s="520"/>
    </row>
    <row r="967" spans="37:70">
      <c r="AK967" s="2482"/>
      <c r="BG967" s="30">
        <v>84.7</v>
      </c>
      <c r="BH967" s="31">
        <v>0.65449999999999997</v>
      </c>
      <c r="BI967" s="32">
        <v>654.4</v>
      </c>
      <c r="BJ967" s="33"/>
      <c r="BK967" s="12"/>
      <c r="BL967" s="12"/>
      <c r="BM967" s="12"/>
      <c r="BN967" s="33"/>
      <c r="BO967" s="33"/>
      <c r="BP967" s="33"/>
      <c r="BQ967" s="33"/>
      <c r="BR967" s="520"/>
    </row>
    <row r="968" spans="37:70">
      <c r="AK968" s="2482"/>
      <c r="BG968" s="30">
        <v>84.8</v>
      </c>
      <c r="BH968" s="31">
        <v>0.6542</v>
      </c>
      <c r="BI968" s="32">
        <v>654.1</v>
      </c>
      <c r="BJ968" s="33"/>
      <c r="BK968" s="12"/>
      <c r="BL968" s="12"/>
      <c r="BM968" s="12"/>
      <c r="BN968" s="33"/>
      <c r="BO968" s="33"/>
      <c r="BP968" s="33"/>
      <c r="BQ968" s="33"/>
      <c r="BR968" s="520"/>
    </row>
    <row r="969" spans="37:70">
      <c r="AK969" s="2482"/>
      <c r="BG969" s="30">
        <v>84.9</v>
      </c>
      <c r="BH969" s="31">
        <v>0.65390000000000004</v>
      </c>
      <c r="BI969" s="32">
        <v>653.79999999999995</v>
      </c>
      <c r="BJ969" s="33"/>
      <c r="BK969" s="12"/>
      <c r="BL969" s="12"/>
      <c r="BM969" s="12"/>
      <c r="BN969" s="33"/>
      <c r="BO969" s="33"/>
      <c r="BP969" s="33"/>
      <c r="BQ969" s="33"/>
      <c r="BR969" s="520"/>
    </row>
    <row r="970" spans="37:70">
      <c r="AK970" s="2482"/>
      <c r="BG970" s="1728">
        <v>85</v>
      </c>
      <c r="BH970" s="52">
        <v>0.65359999999999996</v>
      </c>
      <c r="BI970" s="1729">
        <v>653.5</v>
      </c>
      <c r="BJ970" s="33"/>
      <c r="BK970" s="12"/>
      <c r="BL970" s="12"/>
      <c r="BM970" s="12"/>
      <c r="BN970" s="33"/>
      <c r="BO970" s="33"/>
      <c r="BP970" s="33"/>
      <c r="BQ970" s="33"/>
      <c r="BR970" s="520"/>
    </row>
    <row r="971" spans="37:70">
      <c r="AK971" s="2483"/>
      <c r="AL971" s="538"/>
      <c r="AM971" s="538"/>
      <c r="AN971" s="538"/>
      <c r="AO971" s="538"/>
      <c r="AP971" s="538"/>
      <c r="AQ971" s="538"/>
      <c r="AR971" s="538"/>
      <c r="AS971" s="538"/>
      <c r="AT971" s="538"/>
      <c r="AU971" s="538"/>
      <c r="AV971" s="538"/>
      <c r="AW971" s="538"/>
      <c r="AX971" s="538"/>
      <c r="AY971" s="538"/>
      <c r="AZ971" s="538"/>
      <c r="BA971" s="538"/>
      <c r="BB971" s="538"/>
      <c r="BC971" s="538"/>
      <c r="BD971" s="538"/>
      <c r="BE971" s="538"/>
      <c r="BF971" s="538"/>
      <c r="BG971" s="2590"/>
      <c r="BH971" s="2590"/>
      <c r="BI971" s="2590"/>
      <c r="BJ971" s="2590"/>
      <c r="BK971" s="2590"/>
      <c r="BL971" s="2590"/>
      <c r="BM971" s="2590"/>
      <c r="BN971" s="2590"/>
      <c r="BO971" s="2590"/>
      <c r="BP971" s="2590"/>
      <c r="BQ971" s="2590"/>
      <c r="BR971" s="537"/>
    </row>
    <row r="972" spans="37:70">
      <c r="BG972" s="33"/>
      <c r="BH972" s="33"/>
      <c r="BI972" s="33"/>
      <c r="BJ972" s="33"/>
      <c r="BK972" s="33"/>
      <c r="BL972" s="33"/>
      <c r="BM972" s="33"/>
      <c r="BN972" s="33"/>
      <c r="BO972" s="33"/>
      <c r="BP972" s="33"/>
      <c r="BQ972" s="33"/>
    </row>
  </sheetData>
  <mergeCells count="22">
    <mergeCell ref="AX108:AX109"/>
    <mergeCell ref="AY108:AY109"/>
    <mergeCell ref="B2:B3"/>
    <mergeCell ref="AC102:AF103"/>
    <mergeCell ref="AH102:AI103"/>
    <mergeCell ref="AX103:AX104"/>
    <mergeCell ref="AY103:AY104"/>
    <mergeCell ref="BD120:BD121"/>
    <mergeCell ref="BE120:BE121"/>
    <mergeCell ref="AX127:AX128"/>
    <mergeCell ref="AY127:AY128"/>
    <mergeCell ref="AC114:AI114"/>
    <mergeCell ref="AQ115:AR115"/>
    <mergeCell ref="AS115:AV115"/>
    <mergeCell ref="AX115:BB115"/>
    <mergeCell ref="BD115:BD116"/>
    <mergeCell ref="BE115:BE116"/>
    <mergeCell ref="AX132:AX133"/>
    <mergeCell ref="AY132:AY133"/>
    <mergeCell ref="AQ120:AR120"/>
    <mergeCell ref="AS120:AV120"/>
    <mergeCell ref="AX120:BB120"/>
  </mergeCells>
  <conditionalFormatting sqref="G11">
    <cfRule type="expression" dxfId="105" priority="3">
      <formula>G11=#REF!</formula>
    </cfRule>
  </conditionalFormatting>
  <conditionalFormatting sqref="H10:H14">
    <cfRule type="expression" dxfId="104" priority="4">
      <formula>H10=#REF!</formula>
    </cfRule>
  </conditionalFormatting>
  <conditionalFormatting sqref="I12">
    <cfRule type="expression" dxfId="103" priority="2">
      <formula>$I$12&gt;98</formula>
    </cfRule>
  </conditionalFormatting>
  <conditionalFormatting sqref="I15">
    <cfRule type="expression" dxfId="102" priority="1">
      <formula>$I$15&gt;98</formula>
    </cfRule>
  </conditionalFormatting>
  <conditionalFormatting sqref="AE117">
    <cfRule type="expression" dxfId="101" priority="5">
      <formula>AE117=#REF!</formula>
    </cfRule>
  </conditionalFormatting>
  <conditionalFormatting sqref="AF116:AF119">
    <cfRule type="expression" dxfId="100" priority="6">
      <formula>AF116=#REF!</formula>
    </cfRule>
  </conditionalFormatting>
  <hyperlinks>
    <hyperlink ref="B2:B3" location="Home!A1" display="HOME" xr:uid="{D73D3084-75DD-4D7C-8808-0C2F5F6ABDB9}"/>
    <hyperlink ref="G21" location="'ASTM Calculator Volume T.E.(3)'!AS130" display="Go to Calc" xr:uid="{1CC42E5C-838B-4AB4-9358-1518AD1EEDF7}"/>
    <hyperlink ref="AC100" location="'ASTM Calculator Volume T.E.(3)'!A1" display="Go to Up" xr:uid="{1C295776-E5B1-4EF4-9553-696DB689137B}"/>
    <hyperlink ref="B5" location="'Documents Manager'!A1" display="DOCUMENTS MANAGER" xr:uid="{99E87203-73B2-40DF-9972-FEFCC359527F}"/>
    <hyperlink ref="B25" location="Disclaimer!A1" display="Disclaimer" xr:uid="{ED91405A-C7C3-4511-9E5D-E3FF5D12C9D0}"/>
    <hyperlink ref="B24" location="Help!A1" display="Help" xr:uid="{BDC37CF0-45F3-4D7E-9552-6307BDE4E47E}"/>
    <hyperlink ref="B22" location="'Source - Links'!A1" display="SOURCE / LINKS" xr:uid="{CB9B678F-4CA2-4D3A-9F57-3A401581CAE8}"/>
    <hyperlink ref="B9" location="'ASTM Calculator V.W.'!A1" display="• Calculator - Volume &amp; Weght" xr:uid="{FE60BCAC-D80C-43F2-85F5-DF0F7F36D186}"/>
    <hyperlink ref="B10" location="'ASTM Calculator Volume T.E.(1)'!A1" display="• Calculator - Volume (Therm. expansion) " xr:uid="{834B7E69-F1F5-4C2D-861F-32FA530A97C6}"/>
    <hyperlink ref="B17" location="'ASTM Calc BL Outturn Compare'!A1" display="• BL Figures &amp; Outturn Compare" xr:uid="{5F09188F-AFA2-4D54-A942-E658231E21D4}"/>
    <hyperlink ref="B8" location="'ASTM Calculator V.W.'!A1" display="ASTM - CALCULATORS" xr:uid="{E3DAAD47-894B-4E39-B98C-D4FCD00CB052}"/>
    <hyperlink ref="B6" location="'ASTM Vol. XI - Tab.1'!A1" display="ASTM TABLES" xr:uid="{7E782E10-9FC5-4FBF-AB31-D104F76F15A0}"/>
    <hyperlink ref="B7" location="'ASTM Converter (Tab.1)'!A1" display="ASTM - CONVERTERS" xr:uid="{68D5EF7E-EDE9-41EB-98FB-6FCF6EA8FD9F}"/>
    <hyperlink ref="B13" location="'ASTM CP min CARGO Check'!A1" display="• Calculator - C/P min CARGO Check" xr:uid="{250A5A97-2955-4749-8819-022F9C1FBEE8}"/>
    <hyperlink ref="B12" location="'ASTM Calculator Volume T.E.(3)'!A1" display="• Calculator - Volume (Therm. expan. 3) " xr:uid="{9D89F903-0EE6-4219-9447-38416DF41633}"/>
    <hyperlink ref="B18" location="'Initial&amp;Max. Loading Rate'!A1" display="CARGO - CALCULATORS" xr:uid="{E07EF268-C47A-404B-B6C4-1A0F936B7265}"/>
    <hyperlink ref="B14" location="'ASTM Calculator Blended Cargo'!A1" display="• Calculator - Blended Cargo" xr:uid="{3499E938-C6B7-48AA-B234-EDE1E493361C}"/>
    <hyperlink ref="B15" location="'ASTM Blended Cargo Prediction'!A1" display="• Calculator - Blended Cargo Prediction" xr:uid="{C61BD850-8C27-4C1B-934A-A295D9F156E8}"/>
    <hyperlink ref="B16" location="'ASTM Shore Line Displacement'!A1" display="• Calculator - Shore Line Displacement" xr:uid="{C775C7F5-52F9-4C3E-96C0-52BBD63647CA}"/>
    <hyperlink ref="B11" location="'ASTM Calculator Volume T.E.(2)'!A1" display="• Calculator - Volume (Therm. expan. 2) " xr:uid="{BCB257C2-FEE8-4F0D-9BA5-4D93CD17081D}"/>
    <hyperlink ref="AK100" location="'ASTM Calculator Volume T.E.(3)'!A1" display="Go to Up" xr:uid="{4A670D0D-2EB0-44AB-B761-FD00D7D6D2E1}"/>
    <hyperlink ref="AW100" location="'ASTM Calculator Volume T.E.(3)'!A1" display="Go to Up" xr:uid="{06256034-1528-4B8F-A2C8-F3C65D2A6C3C}"/>
    <hyperlink ref="BG100" location="'ASTM Calculator Volume T.E.(3)'!A1" display="Go to Up" xr:uid="{BA297C31-7A05-4FCE-8EAC-76E75E9B443B}"/>
    <hyperlink ref="BQ100" location="'ASTM Calculator Volume T.E.(3)'!A1" display="Go to Up" xr:uid="{8B357482-72EF-4CAF-B721-E9128FD8580B}"/>
    <hyperlink ref="B20" location="'Guidelines - Definitions'!A1" display="GUIDELINES" xr:uid="{533C5002-35CC-4292-8BCB-56A22C648E1B}"/>
    <hyperlink ref="B21" location="'Guidelines - Bottom Lines'!A1" display="GUIDELINES - CARGO" xr:uid="{7C628158-E1B5-422A-99BD-F5DD89994520}"/>
  </hyperlinks>
  <pageMargins left="0.75" right="0.75" top="1" bottom="1" header="0.5" footer="0.5"/>
  <pageSetup paperSize="9"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54977" r:id="rId4" name="Option Button 1">
              <controlPr defaultSize="0" autoFill="0" autoLine="0" autoPict="0">
                <anchor moveWithCells="1">
                  <from>
                    <xdr:col>6</xdr:col>
                    <xdr:colOff>9525</xdr:colOff>
                    <xdr:row>3</xdr:row>
                    <xdr:rowOff>123825</xdr:rowOff>
                  </from>
                  <to>
                    <xdr:col>7</xdr:col>
                    <xdr:colOff>466725</xdr:colOff>
                    <xdr:row>4</xdr:row>
                    <xdr:rowOff>66675</xdr:rowOff>
                  </to>
                </anchor>
              </controlPr>
            </control>
          </mc:Choice>
        </mc:AlternateContent>
        <mc:AlternateContent xmlns:mc="http://schemas.openxmlformats.org/markup-compatibility/2006">
          <mc:Choice Requires="x14">
            <control shapeId="254978" r:id="rId5" name="Option Button 2">
              <controlPr defaultSize="0" autoFill="0" autoLine="0" autoPict="0">
                <anchor moveWithCells="1">
                  <from>
                    <xdr:col>6</xdr:col>
                    <xdr:colOff>9525</xdr:colOff>
                    <xdr:row>4</xdr:row>
                    <xdr:rowOff>76200</xdr:rowOff>
                  </from>
                  <to>
                    <xdr:col>7</xdr:col>
                    <xdr:colOff>685800</xdr:colOff>
                    <xdr:row>5</xdr:row>
                    <xdr:rowOff>28575</xdr:rowOff>
                  </to>
                </anchor>
              </controlPr>
            </control>
          </mc:Choice>
        </mc:AlternateContent>
        <mc:AlternateContent xmlns:mc="http://schemas.openxmlformats.org/markup-compatibility/2006">
          <mc:Choice Requires="x14">
            <control shapeId="254979" r:id="rId6" name="Option Button 3">
              <controlPr defaultSize="0" autoFill="0" autoLine="0" autoPict="0">
                <anchor moveWithCells="1">
                  <from>
                    <xdr:col>6</xdr:col>
                    <xdr:colOff>9525</xdr:colOff>
                    <xdr:row>5</xdr:row>
                    <xdr:rowOff>38100</xdr:rowOff>
                  </from>
                  <to>
                    <xdr:col>7</xdr:col>
                    <xdr:colOff>685800</xdr:colOff>
                    <xdr:row>5</xdr:row>
                    <xdr:rowOff>257175</xdr:rowOff>
                  </to>
                </anchor>
              </controlPr>
            </control>
          </mc:Choice>
        </mc:AlternateContent>
        <mc:AlternateContent xmlns:mc="http://schemas.openxmlformats.org/markup-compatibility/2006">
          <mc:Choice Requires="x14">
            <control shapeId="254980" r:id="rId7" name="Option Button 4">
              <controlPr defaultSize="0" autoFill="0" autoLine="0" autoPict="0">
                <anchor moveWithCells="1">
                  <from>
                    <xdr:col>6</xdr:col>
                    <xdr:colOff>9525</xdr:colOff>
                    <xdr:row>6</xdr:row>
                    <xdr:rowOff>0</xdr:rowOff>
                  </from>
                  <to>
                    <xdr:col>7</xdr:col>
                    <xdr:colOff>685800</xdr:colOff>
                    <xdr:row>6</xdr:row>
                    <xdr:rowOff>219075</xdr:rowOff>
                  </to>
                </anchor>
              </controlPr>
            </control>
          </mc:Choice>
        </mc:AlternateContent>
        <mc:AlternateContent xmlns:mc="http://schemas.openxmlformats.org/markup-compatibility/2006">
          <mc:Choice Requires="x14">
            <control shapeId="254981" r:id="rId8" name="Option Button 5">
              <controlPr defaultSize="0" autoFill="0" autoLine="0" autoPict="0">
                <anchor moveWithCells="1">
                  <from>
                    <xdr:col>6</xdr:col>
                    <xdr:colOff>9525</xdr:colOff>
                    <xdr:row>6</xdr:row>
                    <xdr:rowOff>228600</xdr:rowOff>
                  </from>
                  <to>
                    <xdr:col>7</xdr:col>
                    <xdr:colOff>685800</xdr:colOff>
                    <xdr:row>7</xdr:row>
                    <xdr:rowOff>180975</xdr:rowOff>
                  </to>
                </anchor>
              </controlPr>
            </control>
          </mc:Choice>
        </mc:AlternateContent>
        <mc:AlternateContent xmlns:mc="http://schemas.openxmlformats.org/markup-compatibility/2006">
          <mc:Choice Requires="x14">
            <control shapeId="254982" r:id="rId9" name="Option Button 6">
              <controlPr defaultSize="0" autoFill="0" autoLine="0" autoPict="0">
                <anchor moveWithCells="1">
                  <from>
                    <xdr:col>6</xdr:col>
                    <xdr:colOff>9525</xdr:colOff>
                    <xdr:row>7</xdr:row>
                    <xdr:rowOff>190500</xdr:rowOff>
                  </from>
                  <to>
                    <xdr:col>7</xdr:col>
                    <xdr:colOff>685800</xdr:colOff>
                    <xdr:row>8</xdr:row>
                    <xdr:rowOff>142875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158B-5CFC-4B62-889F-668EBF126455}">
  <sheetPr>
    <tabColor rgb="FF008080"/>
  </sheetPr>
  <dimension ref="A1:BT984"/>
  <sheetViews>
    <sheetView showGridLines="0" showRowColHeaders="0" topLeftCell="B1" workbookViewId="0">
      <selection activeCell="B14" sqref="B14"/>
    </sheetView>
  </sheetViews>
  <sheetFormatPr defaultColWidth="9.19921875" defaultRowHeight="12.75"/>
  <cols>
    <col min="1" max="1" width="1.46484375" style="2233" hidden="1" customWidth="1"/>
    <col min="2" max="2" width="36.6640625" style="2231" customWidth="1"/>
    <col min="3" max="4" width="2.6640625" style="2232" customWidth="1"/>
    <col min="5" max="5" width="26.796875" style="2232" customWidth="1"/>
    <col min="6" max="6" width="13.796875" style="2232" customWidth="1"/>
    <col min="7" max="7" width="13.53125" style="2232" bestFit="1" customWidth="1"/>
    <col min="8" max="8" width="12.796875" style="2232" customWidth="1"/>
    <col min="9" max="9" width="13.796875" style="2232" customWidth="1"/>
    <col min="10" max="11" width="15.796875" style="2232" customWidth="1"/>
    <col min="12" max="12" width="17.796875" style="2232" customWidth="1"/>
    <col min="13" max="13" width="12.1328125" style="2232" bestFit="1" customWidth="1"/>
    <col min="14" max="14" width="12.33203125" style="2232" customWidth="1"/>
    <col min="15" max="15" width="12.19921875" style="2232" bestFit="1" customWidth="1"/>
    <col min="16" max="27" width="9.19921875" style="2232"/>
    <col min="28" max="28" width="3.46484375" style="2232" customWidth="1"/>
    <col min="29" max="29" width="10.33203125" style="2232" customWidth="1"/>
    <col min="30" max="30" width="10.6640625" style="2232" bestFit="1" customWidth="1"/>
    <col min="31" max="31" width="11.6640625" style="2232" bestFit="1" customWidth="1"/>
    <col min="32" max="32" width="13.33203125" style="2232" bestFit="1" customWidth="1"/>
    <col min="33" max="33" width="9.19921875" style="2232"/>
    <col min="34" max="34" width="10.19921875" style="2232" bestFit="1" customWidth="1"/>
    <col min="35" max="35" width="13.86328125" style="2232" customWidth="1"/>
    <col min="36" max="36" width="11.6640625" style="2232" customWidth="1"/>
    <col min="37" max="37" width="12.33203125" style="2232" bestFit="1" customWidth="1"/>
    <col min="38" max="38" width="14.19921875" style="2232" bestFit="1" customWidth="1"/>
    <col min="39" max="39" width="12.86328125" style="2232" bestFit="1" customWidth="1"/>
    <col min="40" max="41" width="3.46484375" style="2232" customWidth="1"/>
    <col min="42" max="42" width="12.33203125" style="2232" bestFit="1" customWidth="1"/>
    <col min="43" max="43" width="11.796875" style="2232" bestFit="1" customWidth="1"/>
    <col min="44" max="44" width="13.86328125" style="2232" customWidth="1"/>
    <col min="45" max="46" width="12.1328125" style="2232" customWidth="1"/>
    <col min="47" max="47" width="9.33203125" style="2232" bestFit="1" customWidth="1"/>
    <col min="48" max="48" width="14.53125" style="2232" bestFit="1" customWidth="1"/>
    <col min="49" max="49" width="16" style="2232" bestFit="1" customWidth="1"/>
    <col min="50" max="50" width="15.6640625" style="2232" bestFit="1" customWidth="1"/>
    <col min="51" max="53" width="9.19921875" style="2232"/>
    <col min="54" max="54" width="8.1328125" style="2232" customWidth="1"/>
    <col min="55" max="56" width="2.796875" style="2232" customWidth="1"/>
    <col min="57" max="59" width="9.19921875" style="2232"/>
    <col min="60" max="60" width="2.796875" style="2232" customWidth="1"/>
    <col min="61" max="61" width="6.6640625" style="2232" bestFit="1" customWidth="1"/>
    <col min="62" max="62" width="14.53125" style="2232" bestFit="1" customWidth="1"/>
    <col min="63" max="63" width="7.53125" style="2232" bestFit="1" customWidth="1"/>
    <col min="64" max="64" width="2.796875" style="2232" customWidth="1"/>
    <col min="65" max="67" width="9.19921875" style="2232"/>
    <col min="68" max="68" width="2.796875" style="2232" customWidth="1"/>
    <col min="69" max="71" width="9.19921875" style="2232"/>
    <col min="72" max="72" width="11.86328125" style="2232" customWidth="1"/>
    <col min="73" max="255" width="9.19921875" style="2232"/>
    <col min="256" max="256" width="0" style="2232" hidden="1" customWidth="1"/>
    <col min="257" max="257" width="30.796875" style="2232" customWidth="1"/>
    <col min="258" max="258" width="3.796875" style="2232" customWidth="1"/>
    <col min="259" max="259" width="26.796875" style="2232" customWidth="1"/>
    <col min="260" max="260" width="13.796875" style="2232" customWidth="1"/>
    <col min="261" max="261" width="13.53125" style="2232" bestFit="1" customWidth="1"/>
    <col min="262" max="263" width="12.796875" style="2232" customWidth="1"/>
    <col min="264" max="264" width="18" style="2232" customWidth="1"/>
    <col min="265" max="265" width="15.796875" style="2232" customWidth="1"/>
    <col min="266" max="266" width="17.796875" style="2232" customWidth="1"/>
    <col min="267" max="267" width="9.19921875" style="2232"/>
    <col min="268" max="268" width="11.53125" style="2232" customWidth="1"/>
    <col min="269" max="269" width="12.19921875" style="2232" bestFit="1" customWidth="1"/>
    <col min="270" max="281" width="9.19921875" style="2232"/>
    <col min="282" max="283" width="3.46484375" style="2232" customWidth="1"/>
    <col min="284" max="289" width="9.19921875" style="2232"/>
    <col min="290" max="290" width="9.796875" style="2232" bestFit="1" customWidth="1"/>
    <col min="291" max="291" width="12.19921875" style="2232" bestFit="1" customWidth="1"/>
    <col min="292" max="292" width="10.19921875" style="2232" customWidth="1"/>
    <col min="293" max="293" width="2" style="2232" customWidth="1"/>
    <col min="294" max="511" width="9.19921875" style="2232"/>
    <col min="512" max="512" width="0" style="2232" hidden="1" customWidth="1"/>
    <col min="513" max="513" width="30.796875" style="2232" customWidth="1"/>
    <col min="514" max="514" width="3.796875" style="2232" customWidth="1"/>
    <col min="515" max="515" width="26.796875" style="2232" customWidth="1"/>
    <col min="516" max="516" width="13.796875" style="2232" customWidth="1"/>
    <col min="517" max="517" width="13.53125" style="2232" bestFit="1" customWidth="1"/>
    <col min="518" max="519" width="12.796875" style="2232" customWidth="1"/>
    <col min="520" max="520" width="18" style="2232" customWidth="1"/>
    <col min="521" max="521" width="15.796875" style="2232" customWidth="1"/>
    <col min="522" max="522" width="17.796875" style="2232" customWidth="1"/>
    <col min="523" max="523" width="9.19921875" style="2232"/>
    <col min="524" max="524" width="11.53125" style="2232" customWidth="1"/>
    <col min="525" max="525" width="12.19921875" style="2232" bestFit="1" customWidth="1"/>
    <col min="526" max="537" width="9.19921875" style="2232"/>
    <col min="538" max="539" width="3.46484375" style="2232" customWidth="1"/>
    <col min="540" max="545" width="9.19921875" style="2232"/>
    <col min="546" max="546" width="9.796875" style="2232" bestFit="1" customWidth="1"/>
    <col min="547" max="547" width="12.19921875" style="2232" bestFit="1" customWidth="1"/>
    <col min="548" max="548" width="10.19921875" style="2232" customWidth="1"/>
    <col min="549" max="549" width="2" style="2232" customWidth="1"/>
    <col min="550" max="767" width="9.19921875" style="2232"/>
    <col min="768" max="768" width="0" style="2232" hidden="1" customWidth="1"/>
    <col min="769" max="769" width="30.796875" style="2232" customWidth="1"/>
    <col min="770" max="770" width="3.796875" style="2232" customWidth="1"/>
    <col min="771" max="771" width="26.796875" style="2232" customWidth="1"/>
    <col min="772" max="772" width="13.796875" style="2232" customWidth="1"/>
    <col min="773" max="773" width="13.53125" style="2232" bestFit="1" customWidth="1"/>
    <col min="774" max="775" width="12.796875" style="2232" customWidth="1"/>
    <col min="776" max="776" width="18" style="2232" customWidth="1"/>
    <col min="777" max="777" width="15.796875" style="2232" customWidth="1"/>
    <col min="778" max="778" width="17.796875" style="2232" customWidth="1"/>
    <col min="779" max="779" width="9.19921875" style="2232"/>
    <col min="780" max="780" width="11.53125" style="2232" customWidth="1"/>
    <col min="781" max="781" width="12.19921875" style="2232" bestFit="1" customWidth="1"/>
    <col min="782" max="793" width="9.19921875" style="2232"/>
    <col min="794" max="795" width="3.46484375" style="2232" customWidth="1"/>
    <col min="796" max="801" width="9.19921875" style="2232"/>
    <col min="802" max="802" width="9.796875" style="2232" bestFit="1" customWidth="1"/>
    <col min="803" max="803" width="12.19921875" style="2232" bestFit="1" customWidth="1"/>
    <col min="804" max="804" width="10.19921875" style="2232" customWidth="1"/>
    <col min="805" max="805" width="2" style="2232" customWidth="1"/>
    <col min="806" max="1023" width="9.19921875" style="2232"/>
    <col min="1024" max="1024" width="0" style="2232" hidden="1" customWidth="1"/>
    <col min="1025" max="1025" width="30.796875" style="2232" customWidth="1"/>
    <col min="1026" max="1026" width="3.796875" style="2232" customWidth="1"/>
    <col min="1027" max="1027" width="26.796875" style="2232" customWidth="1"/>
    <col min="1028" max="1028" width="13.796875" style="2232" customWidth="1"/>
    <col min="1029" max="1029" width="13.53125" style="2232" bestFit="1" customWidth="1"/>
    <col min="1030" max="1031" width="12.796875" style="2232" customWidth="1"/>
    <col min="1032" max="1032" width="18" style="2232" customWidth="1"/>
    <col min="1033" max="1033" width="15.796875" style="2232" customWidth="1"/>
    <col min="1034" max="1034" width="17.796875" style="2232" customWidth="1"/>
    <col min="1035" max="1035" width="9.19921875" style="2232"/>
    <col min="1036" max="1036" width="11.53125" style="2232" customWidth="1"/>
    <col min="1037" max="1037" width="12.19921875" style="2232" bestFit="1" customWidth="1"/>
    <col min="1038" max="1049" width="9.19921875" style="2232"/>
    <col min="1050" max="1051" width="3.46484375" style="2232" customWidth="1"/>
    <col min="1052" max="1057" width="9.19921875" style="2232"/>
    <col min="1058" max="1058" width="9.796875" style="2232" bestFit="1" customWidth="1"/>
    <col min="1059" max="1059" width="12.19921875" style="2232" bestFit="1" customWidth="1"/>
    <col min="1060" max="1060" width="10.19921875" style="2232" customWidth="1"/>
    <col min="1061" max="1061" width="2" style="2232" customWidth="1"/>
    <col min="1062" max="1279" width="9.19921875" style="2232"/>
    <col min="1280" max="1280" width="0" style="2232" hidden="1" customWidth="1"/>
    <col min="1281" max="1281" width="30.796875" style="2232" customWidth="1"/>
    <col min="1282" max="1282" width="3.796875" style="2232" customWidth="1"/>
    <col min="1283" max="1283" width="26.796875" style="2232" customWidth="1"/>
    <col min="1284" max="1284" width="13.796875" style="2232" customWidth="1"/>
    <col min="1285" max="1285" width="13.53125" style="2232" bestFit="1" customWidth="1"/>
    <col min="1286" max="1287" width="12.796875" style="2232" customWidth="1"/>
    <col min="1288" max="1288" width="18" style="2232" customWidth="1"/>
    <col min="1289" max="1289" width="15.796875" style="2232" customWidth="1"/>
    <col min="1290" max="1290" width="17.796875" style="2232" customWidth="1"/>
    <col min="1291" max="1291" width="9.19921875" style="2232"/>
    <col min="1292" max="1292" width="11.53125" style="2232" customWidth="1"/>
    <col min="1293" max="1293" width="12.19921875" style="2232" bestFit="1" customWidth="1"/>
    <col min="1294" max="1305" width="9.19921875" style="2232"/>
    <col min="1306" max="1307" width="3.46484375" style="2232" customWidth="1"/>
    <col min="1308" max="1313" width="9.19921875" style="2232"/>
    <col min="1314" max="1314" width="9.796875" style="2232" bestFit="1" customWidth="1"/>
    <col min="1315" max="1315" width="12.19921875" style="2232" bestFit="1" customWidth="1"/>
    <col min="1316" max="1316" width="10.19921875" style="2232" customWidth="1"/>
    <col min="1317" max="1317" width="2" style="2232" customWidth="1"/>
    <col min="1318" max="1535" width="9.19921875" style="2232"/>
    <col min="1536" max="1536" width="0" style="2232" hidden="1" customWidth="1"/>
    <col min="1537" max="1537" width="30.796875" style="2232" customWidth="1"/>
    <col min="1538" max="1538" width="3.796875" style="2232" customWidth="1"/>
    <col min="1539" max="1539" width="26.796875" style="2232" customWidth="1"/>
    <col min="1540" max="1540" width="13.796875" style="2232" customWidth="1"/>
    <col min="1541" max="1541" width="13.53125" style="2232" bestFit="1" customWidth="1"/>
    <col min="1542" max="1543" width="12.796875" style="2232" customWidth="1"/>
    <col min="1544" max="1544" width="18" style="2232" customWidth="1"/>
    <col min="1545" max="1545" width="15.796875" style="2232" customWidth="1"/>
    <col min="1546" max="1546" width="17.796875" style="2232" customWidth="1"/>
    <col min="1547" max="1547" width="9.19921875" style="2232"/>
    <col min="1548" max="1548" width="11.53125" style="2232" customWidth="1"/>
    <col min="1549" max="1549" width="12.19921875" style="2232" bestFit="1" customWidth="1"/>
    <col min="1550" max="1561" width="9.19921875" style="2232"/>
    <col min="1562" max="1563" width="3.46484375" style="2232" customWidth="1"/>
    <col min="1564" max="1569" width="9.19921875" style="2232"/>
    <col min="1570" max="1570" width="9.796875" style="2232" bestFit="1" customWidth="1"/>
    <col min="1571" max="1571" width="12.19921875" style="2232" bestFit="1" customWidth="1"/>
    <col min="1572" max="1572" width="10.19921875" style="2232" customWidth="1"/>
    <col min="1573" max="1573" width="2" style="2232" customWidth="1"/>
    <col min="1574" max="1791" width="9.19921875" style="2232"/>
    <col min="1792" max="1792" width="0" style="2232" hidden="1" customWidth="1"/>
    <col min="1793" max="1793" width="30.796875" style="2232" customWidth="1"/>
    <col min="1794" max="1794" width="3.796875" style="2232" customWidth="1"/>
    <col min="1795" max="1795" width="26.796875" style="2232" customWidth="1"/>
    <col min="1796" max="1796" width="13.796875" style="2232" customWidth="1"/>
    <col min="1797" max="1797" width="13.53125" style="2232" bestFit="1" customWidth="1"/>
    <col min="1798" max="1799" width="12.796875" style="2232" customWidth="1"/>
    <col min="1800" max="1800" width="18" style="2232" customWidth="1"/>
    <col min="1801" max="1801" width="15.796875" style="2232" customWidth="1"/>
    <col min="1802" max="1802" width="17.796875" style="2232" customWidth="1"/>
    <col min="1803" max="1803" width="9.19921875" style="2232"/>
    <col min="1804" max="1804" width="11.53125" style="2232" customWidth="1"/>
    <col min="1805" max="1805" width="12.19921875" style="2232" bestFit="1" customWidth="1"/>
    <col min="1806" max="1817" width="9.19921875" style="2232"/>
    <col min="1818" max="1819" width="3.46484375" style="2232" customWidth="1"/>
    <col min="1820" max="1825" width="9.19921875" style="2232"/>
    <col min="1826" max="1826" width="9.796875" style="2232" bestFit="1" customWidth="1"/>
    <col min="1827" max="1827" width="12.19921875" style="2232" bestFit="1" customWidth="1"/>
    <col min="1828" max="1828" width="10.19921875" style="2232" customWidth="1"/>
    <col min="1829" max="1829" width="2" style="2232" customWidth="1"/>
    <col min="1830" max="2047" width="9.19921875" style="2232"/>
    <col min="2048" max="2048" width="0" style="2232" hidden="1" customWidth="1"/>
    <col min="2049" max="2049" width="30.796875" style="2232" customWidth="1"/>
    <col min="2050" max="2050" width="3.796875" style="2232" customWidth="1"/>
    <col min="2051" max="2051" width="26.796875" style="2232" customWidth="1"/>
    <col min="2052" max="2052" width="13.796875" style="2232" customWidth="1"/>
    <col min="2053" max="2053" width="13.53125" style="2232" bestFit="1" customWidth="1"/>
    <col min="2054" max="2055" width="12.796875" style="2232" customWidth="1"/>
    <col min="2056" max="2056" width="18" style="2232" customWidth="1"/>
    <col min="2057" max="2057" width="15.796875" style="2232" customWidth="1"/>
    <col min="2058" max="2058" width="17.796875" style="2232" customWidth="1"/>
    <col min="2059" max="2059" width="9.19921875" style="2232"/>
    <col min="2060" max="2060" width="11.53125" style="2232" customWidth="1"/>
    <col min="2061" max="2061" width="12.19921875" style="2232" bestFit="1" customWidth="1"/>
    <col min="2062" max="2073" width="9.19921875" style="2232"/>
    <col min="2074" max="2075" width="3.46484375" style="2232" customWidth="1"/>
    <col min="2076" max="2081" width="9.19921875" style="2232"/>
    <col min="2082" max="2082" width="9.796875" style="2232" bestFit="1" customWidth="1"/>
    <col min="2083" max="2083" width="12.19921875" style="2232" bestFit="1" customWidth="1"/>
    <col min="2084" max="2084" width="10.19921875" style="2232" customWidth="1"/>
    <col min="2085" max="2085" width="2" style="2232" customWidth="1"/>
    <col min="2086" max="2303" width="9.19921875" style="2232"/>
    <col min="2304" max="2304" width="0" style="2232" hidden="1" customWidth="1"/>
    <col min="2305" max="2305" width="30.796875" style="2232" customWidth="1"/>
    <col min="2306" max="2306" width="3.796875" style="2232" customWidth="1"/>
    <col min="2307" max="2307" width="26.796875" style="2232" customWidth="1"/>
    <col min="2308" max="2308" width="13.796875" style="2232" customWidth="1"/>
    <col min="2309" max="2309" width="13.53125" style="2232" bestFit="1" customWidth="1"/>
    <col min="2310" max="2311" width="12.796875" style="2232" customWidth="1"/>
    <col min="2312" max="2312" width="18" style="2232" customWidth="1"/>
    <col min="2313" max="2313" width="15.796875" style="2232" customWidth="1"/>
    <col min="2314" max="2314" width="17.796875" style="2232" customWidth="1"/>
    <col min="2315" max="2315" width="9.19921875" style="2232"/>
    <col min="2316" max="2316" width="11.53125" style="2232" customWidth="1"/>
    <col min="2317" max="2317" width="12.19921875" style="2232" bestFit="1" customWidth="1"/>
    <col min="2318" max="2329" width="9.19921875" style="2232"/>
    <col min="2330" max="2331" width="3.46484375" style="2232" customWidth="1"/>
    <col min="2332" max="2337" width="9.19921875" style="2232"/>
    <col min="2338" max="2338" width="9.796875" style="2232" bestFit="1" customWidth="1"/>
    <col min="2339" max="2339" width="12.19921875" style="2232" bestFit="1" customWidth="1"/>
    <col min="2340" max="2340" width="10.19921875" style="2232" customWidth="1"/>
    <col min="2341" max="2341" width="2" style="2232" customWidth="1"/>
    <col min="2342" max="2559" width="9.19921875" style="2232"/>
    <col min="2560" max="2560" width="0" style="2232" hidden="1" customWidth="1"/>
    <col min="2561" max="2561" width="30.796875" style="2232" customWidth="1"/>
    <col min="2562" max="2562" width="3.796875" style="2232" customWidth="1"/>
    <col min="2563" max="2563" width="26.796875" style="2232" customWidth="1"/>
    <col min="2564" max="2564" width="13.796875" style="2232" customWidth="1"/>
    <col min="2565" max="2565" width="13.53125" style="2232" bestFit="1" customWidth="1"/>
    <col min="2566" max="2567" width="12.796875" style="2232" customWidth="1"/>
    <col min="2568" max="2568" width="18" style="2232" customWidth="1"/>
    <col min="2569" max="2569" width="15.796875" style="2232" customWidth="1"/>
    <col min="2570" max="2570" width="17.796875" style="2232" customWidth="1"/>
    <col min="2571" max="2571" width="9.19921875" style="2232"/>
    <col min="2572" max="2572" width="11.53125" style="2232" customWidth="1"/>
    <col min="2573" max="2573" width="12.19921875" style="2232" bestFit="1" customWidth="1"/>
    <col min="2574" max="2585" width="9.19921875" style="2232"/>
    <col min="2586" max="2587" width="3.46484375" style="2232" customWidth="1"/>
    <col min="2588" max="2593" width="9.19921875" style="2232"/>
    <col min="2594" max="2594" width="9.796875" style="2232" bestFit="1" customWidth="1"/>
    <col min="2595" max="2595" width="12.19921875" style="2232" bestFit="1" customWidth="1"/>
    <col min="2596" max="2596" width="10.19921875" style="2232" customWidth="1"/>
    <col min="2597" max="2597" width="2" style="2232" customWidth="1"/>
    <col min="2598" max="2815" width="9.19921875" style="2232"/>
    <col min="2816" max="2816" width="0" style="2232" hidden="1" customWidth="1"/>
    <col min="2817" max="2817" width="30.796875" style="2232" customWidth="1"/>
    <col min="2818" max="2818" width="3.796875" style="2232" customWidth="1"/>
    <col min="2819" max="2819" width="26.796875" style="2232" customWidth="1"/>
    <col min="2820" max="2820" width="13.796875" style="2232" customWidth="1"/>
    <col min="2821" max="2821" width="13.53125" style="2232" bestFit="1" customWidth="1"/>
    <col min="2822" max="2823" width="12.796875" style="2232" customWidth="1"/>
    <col min="2824" max="2824" width="18" style="2232" customWidth="1"/>
    <col min="2825" max="2825" width="15.796875" style="2232" customWidth="1"/>
    <col min="2826" max="2826" width="17.796875" style="2232" customWidth="1"/>
    <col min="2827" max="2827" width="9.19921875" style="2232"/>
    <col min="2828" max="2828" width="11.53125" style="2232" customWidth="1"/>
    <col min="2829" max="2829" width="12.19921875" style="2232" bestFit="1" customWidth="1"/>
    <col min="2830" max="2841" width="9.19921875" style="2232"/>
    <col min="2842" max="2843" width="3.46484375" style="2232" customWidth="1"/>
    <col min="2844" max="2849" width="9.19921875" style="2232"/>
    <col min="2850" max="2850" width="9.796875" style="2232" bestFit="1" customWidth="1"/>
    <col min="2851" max="2851" width="12.19921875" style="2232" bestFit="1" customWidth="1"/>
    <col min="2852" max="2852" width="10.19921875" style="2232" customWidth="1"/>
    <col min="2853" max="2853" width="2" style="2232" customWidth="1"/>
    <col min="2854" max="3071" width="9.19921875" style="2232"/>
    <col min="3072" max="3072" width="0" style="2232" hidden="1" customWidth="1"/>
    <col min="3073" max="3073" width="30.796875" style="2232" customWidth="1"/>
    <col min="3074" max="3074" width="3.796875" style="2232" customWidth="1"/>
    <col min="3075" max="3075" width="26.796875" style="2232" customWidth="1"/>
    <col min="3076" max="3076" width="13.796875" style="2232" customWidth="1"/>
    <col min="3077" max="3077" width="13.53125" style="2232" bestFit="1" customWidth="1"/>
    <col min="3078" max="3079" width="12.796875" style="2232" customWidth="1"/>
    <col min="3080" max="3080" width="18" style="2232" customWidth="1"/>
    <col min="3081" max="3081" width="15.796875" style="2232" customWidth="1"/>
    <col min="3082" max="3082" width="17.796875" style="2232" customWidth="1"/>
    <col min="3083" max="3083" width="9.19921875" style="2232"/>
    <col min="3084" max="3084" width="11.53125" style="2232" customWidth="1"/>
    <col min="3085" max="3085" width="12.19921875" style="2232" bestFit="1" customWidth="1"/>
    <col min="3086" max="3097" width="9.19921875" style="2232"/>
    <col min="3098" max="3099" width="3.46484375" style="2232" customWidth="1"/>
    <col min="3100" max="3105" width="9.19921875" style="2232"/>
    <col min="3106" max="3106" width="9.796875" style="2232" bestFit="1" customWidth="1"/>
    <col min="3107" max="3107" width="12.19921875" style="2232" bestFit="1" customWidth="1"/>
    <col min="3108" max="3108" width="10.19921875" style="2232" customWidth="1"/>
    <col min="3109" max="3109" width="2" style="2232" customWidth="1"/>
    <col min="3110" max="3327" width="9.19921875" style="2232"/>
    <col min="3328" max="3328" width="0" style="2232" hidden="1" customWidth="1"/>
    <col min="3329" max="3329" width="30.796875" style="2232" customWidth="1"/>
    <col min="3330" max="3330" width="3.796875" style="2232" customWidth="1"/>
    <col min="3331" max="3331" width="26.796875" style="2232" customWidth="1"/>
    <col min="3332" max="3332" width="13.796875" style="2232" customWidth="1"/>
    <col min="3333" max="3333" width="13.53125" style="2232" bestFit="1" customWidth="1"/>
    <col min="3334" max="3335" width="12.796875" style="2232" customWidth="1"/>
    <col min="3336" max="3336" width="18" style="2232" customWidth="1"/>
    <col min="3337" max="3337" width="15.796875" style="2232" customWidth="1"/>
    <col min="3338" max="3338" width="17.796875" style="2232" customWidth="1"/>
    <col min="3339" max="3339" width="9.19921875" style="2232"/>
    <col min="3340" max="3340" width="11.53125" style="2232" customWidth="1"/>
    <col min="3341" max="3341" width="12.19921875" style="2232" bestFit="1" customWidth="1"/>
    <col min="3342" max="3353" width="9.19921875" style="2232"/>
    <col min="3354" max="3355" width="3.46484375" style="2232" customWidth="1"/>
    <col min="3356" max="3361" width="9.19921875" style="2232"/>
    <col min="3362" max="3362" width="9.796875" style="2232" bestFit="1" customWidth="1"/>
    <col min="3363" max="3363" width="12.19921875" style="2232" bestFit="1" customWidth="1"/>
    <col min="3364" max="3364" width="10.19921875" style="2232" customWidth="1"/>
    <col min="3365" max="3365" width="2" style="2232" customWidth="1"/>
    <col min="3366" max="3583" width="9.19921875" style="2232"/>
    <col min="3584" max="3584" width="0" style="2232" hidden="1" customWidth="1"/>
    <col min="3585" max="3585" width="30.796875" style="2232" customWidth="1"/>
    <col min="3586" max="3586" width="3.796875" style="2232" customWidth="1"/>
    <col min="3587" max="3587" width="26.796875" style="2232" customWidth="1"/>
    <col min="3588" max="3588" width="13.796875" style="2232" customWidth="1"/>
    <col min="3589" max="3589" width="13.53125" style="2232" bestFit="1" customWidth="1"/>
    <col min="3590" max="3591" width="12.796875" style="2232" customWidth="1"/>
    <col min="3592" max="3592" width="18" style="2232" customWidth="1"/>
    <col min="3593" max="3593" width="15.796875" style="2232" customWidth="1"/>
    <col min="3594" max="3594" width="17.796875" style="2232" customWidth="1"/>
    <col min="3595" max="3595" width="9.19921875" style="2232"/>
    <col min="3596" max="3596" width="11.53125" style="2232" customWidth="1"/>
    <col min="3597" max="3597" width="12.19921875" style="2232" bestFit="1" customWidth="1"/>
    <col min="3598" max="3609" width="9.19921875" style="2232"/>
    <col min="3610" max="3611" width="3.46484375" style="2232" customWidth="1"/>
    <col min="3612" max="3617" width="9.19921875" style="2232"/>
    <col min="3618" max="3618" width="9.796875" style="2232" bestFit="1" customWidth="1"/>
    <col min="3619" max="3619" width="12.19921875" style="2232" bestFit="1" customWidth="1"/>
    <col min="3620" max="3620" width="10.19921875" style="2232" customWidth="1"/>
    <col min="3621" max="3621" width="2" style="2232" customWidth="1"/>
    <col min="3622" max="3839" width="9.19921875" style="2232"/>
    <col min="3840" max="3840" width="0" style="2232" hidden="1" customWidth="1"/>
    <col min="3841" max="3841" width="30.796875" style="2232" customWidth="1"/>
    <col min="3842" max="3842" width="3.796875" style="2232" customWidth="1"/>
    <col min="3843" max="3843" width="26.796875" style="2232" customWidth="1"/>
    <col min="3844" max="3844" width="13.796875" style="2232" customWidth="1"/>
    <col min="3845" max="3845" width="13.53125" style="2232" bestFit="1" customWidth="1"/>
    <col min="3846" max="3847" width="12.796875" style="2232" customWidth="1"/>
    <col min="3848" max="3848" width="18" style="2232" customWidth="1"/>
    <col min="3849" max="3849" width="15.796875" style="2232" customWidth="1"/>
    <col min="3850" max="3850" width="17.796875" style="2232" customWidth="1"/>
    <col min="3851" max="3851" width="9.19921875" style="2232"/>
    <col min="3852" max="3852" width="11.53125" style="2232" customWidth="1"/>
    <col min="3853" max="3853" width="12.19921875" style="2232" bestFit="1" customWidth="1"/>
    <col min="3854" max="3865" width="9.19921875" style="2232"/>
    <col min="3866" max="3867" width="3.46484375" style="2232" customWidth="1"/>
    <col min="3868" max="3873" width="9.19921875" style="2232"/>
    <col min="3874" max="3874" width="9.796875" style="2232" bestFit="1" customWidth="1"/>
    <col min="3875" max="3875" width="12.19921875" style="2232" bestFit="1" customWidth="1"/>
    <col min="3876" max="3876" width="10.19921875" style="2232" customWidth="1"/>
    <col min="3877" max="3877" width="2" style="2232" customWidth="1"/>
    <col min="3878" max="4095" width="9.19921875" style="2232"/>
    <col min="4096" max="4096" width="0" style="2232" hidden="1" customWidth="1"/>
    <col min="4097" max="4097" width="30.796875" style="2232" customWidth="1"/>
    <col min="4098" max="4098" width="3.796875" style="2232" customWidth="1"/>
    <col min="4099" max="4099" width="26.796875" style="2232" customWidth="1"/>
    <col min="4100" max="4100" width="13.796875" style="2232" customWidth="1"/>
    <col min="4101" max="4101" width="13.53125" style="2232" bestFit="1" customWidth="1"/>
    <col min="4102" max="4103" width="12.796875" style="2232" customWidth="1"/>
    <col min="4104" max="4104" width="18" style="2232" customWidth="1"/>
    <col min="4105" max="4105" width="15.796875" style="2232" customWidth="1"/>
    <col min="4106" max="4106" width="17.796875" style="2232" customWidth="1"/>
    <col min="4107" max="4107" width="9.19921875" style="2232"/>
    <col min="4108" max="4108" width="11.53125" style="2232" customWidth="1"/>
    <col min="4109" max="4109" width="12.19921875" style="2232" bestFit="1" customWidth="1"/>
    <col min="4110" max="4121" width="9.19921875" style="2232"/>
    <col min="4122" max="4123" width="3.46484375" style="2232" customWidth="1"/>
    <col min="4124" max="4129" width="9.19921875" style="2232"/>
    <col min="4130" max="4130" width="9.796875" style="2232" bestFit="1" customWidth="1"/>
    <col min="4131" max="4131" width="12.19921875" style="2232" bestFit="1" customWidth="1"/>
    <col min="4132" max="4132" width="10.19921875" style="2232" customWidth="1"/>
    <col min="4133" max="4133" width="2" style="2232" customWidth="1"/>
    <col min="4134" max="4351" width="9.19921875" style="2232"/>
    <col min="4352" max="4352" width="0" style="2232" hidden="1" customWidth="1"/>
    <col min="4353" max="4353" width="30.796875" style="2232" customWidth="1"/>
    <col min="4354" max="4354" width="3.796875" style="2232" customWidth="1"/>
    <col min="4355" max="4355" width="26.796875" style="2232" customWidth="1"/>
    <col min="4356" max="4356" width="13.796875" style="2232" customWidth="1"/>
    <col min="4357" max="4357" width="13.53125" style="2232" bestFit="1" customWidth="1"/>
    <col min="4358" max="4359" width="12.796875" style="2232" customWidth="1"/>
    <col min="4360" max="4360" width="18" style="2232" customWidth="1"/>
    <col min="4361" max="4361" width="15.796875" style="2232" customWidth="1"/>
    <col min="4362" max="4362" width="17.796875" style="2232" customWidth="1"/>
    <col min="4363" max="4363" width="9.19921875" style="2232"/>
    <col min="4364" max="4364" width="11.53125" style="2232" customWidth="1"/>
    <col min="4365" max="4365" width="12.19921875" style="2232" bestFit="1" customWidth="1"/>
    <col min="4366" max="4377" width="9.19921875" style="2232"/>
    <col min="4378" max="4379" width="3.46484375" style="2232" customWidth="1"/>
    <col min="4380" max="4385" width="9.19921875" style="2232"/>
    <col min="4386" max="4386" width="9.796875" style="2232" bestFit="1" customWidth="1"/>
    <col min="4387" max="4387" width="12.19921875" style="2232" bestFit="1" customWidth="1"/>
    <col min="4388" max="4388" width="10.19921875" style="2232" customWidth="1"/>
    <col min="4389" max="4389" width="2" style="2232" customWidth="1"/>
    <col min="4390" max="4607" width="9.19921875" style="2232"/>
    <col min="4608" max="4608" width="0" style="2232" hidden="1" customWidth="1"/>
    <col min="4609" max="4609" width="30.796875" style="2232" customWidth="1"/>
    <col min="4610" max="4610" width="3.796875" style="2232" customWidth="1"/>
    <col min="4611" max="4611" width="26.796875" style="2232" customWidth="1"/>
    <col min="4612" max="4612" width="13.796875" style="2232" customWidth="1"/>
    <col min="4613" max="4613" width="13.53125" style="2232" bestFit="1" customWidth="1"/>
    <col min="4614" max="4615" width="12.796875" style="2232" customWidth="1"/>
    <col min="4616" max="4616" width="18" style="2232" customWidth="1"/>
    <col min="4617" max="4617" width="15.796875" style="2232" customWidth="1"/>
    <col min="4618" max="4618" width="17.796875" style="2232" customWidth="1"/>
    <col min="4619" max="4619" width="9.19921875" style="2232"/>
    <col min="4620" max="4620" width="11.53125" style="2232" customWidth="1"/>
    <col min="4621" max="4621" width="12.19921875" style="2232" bestFit="1" customWidth="1"/>
    <col min="4622" max="4633" width="9.19921875" style="2232"/>
    <col min="4634" max="4635" width="3.46484375" style="2232" customWidth="1"/>
    <col min="4636" max="4641" width="9.19921875" style="2232"/>
    <col min="4642" max="4642" width="9.796875" style="2232" bestFit="1" customWidth="1"/>
    <col min="4643" max="4643" width="12.19921875" style="2232" bestFit="1" customWidth="1"/>
    <col min="4644" max="4644" width="10.19921875" style="2232" customWidth="1"/>
    <col min="4645" max="4645" width="2" style="2232" customWidth="1"/>
    <col min="4646" max="4863" width="9.19921875" style="2232"/>
    <col min="4864" max="4864" width="0" style="2232" hidden="1" customWidth="1"/>
    <col min="4865" max="4865" width="30.796875" style="2232" customWidth="1"/>
    <col min="4866" max="4866" width="3.796875" style="2232" customWidth="1"/>
    <col min="4867" max="4867" width="26.796875" style="2232" customWidth="1"/>
    <col min="4868" max="4868" width="13.796875" style="2232" customWidth="1"/>
    <col min="4869" max="4869" width="13.53125" style="2232" bestFit="1" customWidth="1"/>
    <col min="4870" max="4871" width="12.796875" style="2232" customWidth="1"/>
    <col min="4872" max="4872" width="18" style="2232" customWidth="1"/>
    <col min="4873" max="4873" width="15.796875" style="2232" customWidth="1"/>
    <col min="4874" max="4874" width="17.796875" style="2232" customWidth="1"/>
    <col min="4875" max="4875" width="9.19921875" style="2232"/>
    <col min="4876" max="4876" width="11.53125" style="2232" customWidth="1"/>
    <col min="4877" max="4877" width="12.19921875" style="2232" bestFit="1" customWidth="1"/>
    <col min="4878" max="4889" width="9.19921875" style="2232"/>
    <col min="4890" max="4891" width="3.46484375" style="2232" customWidth="1"/>
    <col min="4892" max="4897" width="9.19921875" style="2232"/>
    <col min="4898" max="4898" width="9.796875" style="2232" bestFit="1" customWidth="1"/>
    <col min="4899" max="4899" width="12.19921875" style="2232" bestFit="1" customWidth="1"/>
    <col min="4900" max="4900" width="10.19921875" style="2232" customWidth="1"/>
    <col min="4901" max="4901" width="2" style="2232" customWidth="1"/>
    <col min="4902" max="5119" width="9.19921875" style="2232"/>
    <col min="5120" max="5120" width="0" style="2232" hidden="1" customWidth="1"/>
    <col min="5121" max="5121" width="30.796875" style="2232" customWidth="1"/>
    <col min="5122" max="5122" width="3.796875" style="2232" customWidth="1"/>
    <col min="5123" max="5123" width="26.796875" style="2232" customWidth="1"/>
    <col min="5124" max="5124" width="13.796875" style="2232" customWidth="1"/>
    <col min="5125" max="5125" width="13.53125" style="2232" bestFit="1" customWidth="1"/>
    <col min="5126" max="5127" width="12.796875" style="2232" customWidth="1"/>
    <col min="5128" max="5128" width="18" style="2232" customWidth="1"/>
    <col min="5129" max="5129" width="15.796875" style="2232" customWidth="1"/>
    <col min="5130" max="5130" width="17.796875" style="2232" customWidth="1"/>
    <col min="5131" max="5131" width="9.19921875" style="2232"/>
    <col min="5132" max="5132" width="11.53125" style="2232" customWidth="1"/>
    <col min="5133" max="5133" width="12.19921875" style="2232" bestFit="1" customWidth="1"/>
    <col min="5134" max="5145" width="9.19921875" style="2232"/>
    <col min="5146" max="5147" width="3.46484375" style="2232" customWidth="1"/>
    <col min="5148" max="5153" width="9.19921875" style="2232"/>
    <col min="5154" max="5154" width="9.796875" style="2232" bestFit="1" customWidth="1"/>
    <col min="5155" max="5155" width="12.19921875" style="2232" bestFit="1" customWidth="1"/>
    <col min="5156" max="5156" width="10.19921875" style="2232" customWidth="1"/>
    <col min="5157" max="5157" width="2" style="2232" customWidth="1"/>
    <col min="5158" max="5375" width="9.19921875" style="2232"/>
    <col min="5376" max="5376" width="0" style="2232" hidden="1" customWidth="1"/>
    <col min="5377" max="5377" width="30.796875" style="2232" customWidth="1"/>
    <col min="5378" max="5378" width="3.796875" style="2232" customWidth="1"/>
    <col min="5379" max="5379" width="26.796875" style="2232" customWidth="1"/>
    <col min="5380" max="5380" width="13.796875" style="2232" customWidth="1"/>
    <col min="5381" max="5381" width="13.53125" style="2232" bestFit="1" customWidth="1"/>
    <col min="5382" max="5383" width="12.796875" style="2232" customWidth="1"/>
    <col min="5384" max="5384" width="18" style="2232" customWidth="1"/>
    <col min="5385" max="5385" width="15.796875" style="2232" customWidth="1"/>
    <col min="5386" max="5386" width="17.796875" style="2232" customWidth="1"/>
    <col min="5387" max="5387" width="9.19921875" style="2232"/>
    <col min="5388" max="5388" width="11.53125" style="2232" customWidth="1"/>
    <col min="5389" max="5389" width="12.19921875" style="2232" bestFit="1" customWidth="1"/>
    <col min="5390" max="5401" width="9.19921875" style="2232"/>
    <col min="5402" max="5403" width="3.46484375" style="2232" customWidth="1"/>
    <col min="5404" max="5409" width="9.19921875" style="2232"/>
    <col min="5410" max="5410" width="9.796875" style="2232" bestFit="1" customWidth="1"/>
    <col min="5411" max="5411" width="12.19921875" style="2232" bestFit="1" customWidth="1"/>
    <col min="5412" max="5412" width="10.19921875" style="2232" customWidth="1"/>
    <col min="5413" max="5413" width="2" style="2232" customWidth="1"/>
    <col min="5414" max="5631" width="9.19921875" style="2232"/>
    <col min="5632" max="5632" width="0" style="2232" hidden="1" customWidth="1"/>
    <col min="5633" max="5633" width="30.796875" style="2232" customWidth="1"/>
    <col min="5634" max="5634" width="3.796875" style="2232" customWidth="1"/>
    <col min="5635" max="5635" width="26.796875" style="2232" customWidth="1"/>
    <col min="5636" max="5636" width="13.796875" style="2232" customWidth="1"/>
    <col min="5637" max="5637" width="13.53125" style="2232" bestFit="1" customWidth="1"/>
    <col min="5638" max="5639" width="12.796875" style="2232" customWidth="1"/>
    <col min="5640" max="5640" width="18" style="2232" customWidth="1"/>
    <col min="5641" max="5641" width="15.796875" style="2232" customWidth="1"/>
    <col min="5642" max="5642" width="17.796875" style="2232" customWidth="1"/>
    <col min="5643" max="5643" width="9.19921875" style="2232"/>
    <col min="5644" max="5644" width="11.53125" style="2232" customWidth="1"/>
    <col min="5645" max="5645" width="12.19921875" style="2232" bestFit="1" customWidth="1"/>
    <col min="5646" max="5657" width="9.19921875" style="2232"/>
    <col min="5658" max="5659" width="3.46484375" style="2232" customWidth="1"/>
    <col min="5660" max="5665" width="9.19921875" style="2232"/>
    <col min="5666" max="5666" width="9.796875" style="2232" bestFit="1" customWidth="1"/>
    <col min="5667" max="5667" width="12.19921875" style="2232" bestFit="1" customWidth="1"/>
    <col min="5668" max="5668" width="10.19921875" style="2232" customWidth="1"/>
    <col min="5669" max="5669" width="2" style="2232" customWidth="1"/>
    <col min="5670" max="5887" width="9.19921875" style="2232"/>
    <col min="5888" max="5888" width="0" style="2232" hidden="1" customWidth="1"/>
    <col min="5889" max="5889" width="30.796875" style="2232" customWidth="1"/>
    <col min="5890" max="5890" width="3.796875" style="2232" customWidth="1"/>
    <col min="5891" max="5891" width="26.796875" style="2232" customWidth="1"/>
    <col min="5892" max="5892" width="13.796875" style="2232" customWidth="1"/>
    <col min="5893" max="5893" width="13.53125" style="2232" bestFit="1" customWidth="1"/>
    <col min="5894" max="5895" width="12.796875" style="2232" customWidth="1"/>
    <col min="5896" max="5896" width="18" style="2232" customWidth="1"/>
    <col min="5897" max="5897" width="15.796875" style="2232" customWidth="1"/>
    <col min="5898" max="5898" width="17.796875" style="2232" customWidth="1"/>
    <col min="5899" max="5899" width="9.19921875" style="2232"/>
    <col min="5900" max="5900" width="11.53125" style="2232" customWidth="1"/>
    <col min="5901" max="5901" width="12.19921875" style="2232" bestFit="1" customWidth="1"/>
    <col min="5902" max="5913" width="9.19921875" style="2232"/>
    <col min="5914" max="5915" width="3.46484375" style="2232" customWidth="1"/>
    <col min="5916" max="5921" width="9.19921875" style="2232"/>
    <col min="5922" max="5922" width="9.796875" style="2232" bestFit="1" customWidth="1"/>
    <col min="5923" max="5923" width="12.19921875" style="2232" bestFit="1" customWidth="1"/>
    <col min="5924" max="5924" width="10.19921875" style="2232" customWidth="1"/>
    <col min="5925" max="5925" width="2" style="2232" customWidth="1"/>
    <col min="5926" max="6143" width="9.19921875" style="2232"/>
    <col min="6144" max="6144" width="0" style="2232" hidden="1" customWidth="1"/>
    <col min="6145" max="6145" width="30.796875" style="2232" customWidth="1"/>
    <col min="6146" max="6146" width="3.796875" style="2232" customWidth="1"/>
    <col min="6147" max="6147" width="26.796875" style="2232" customWidth="1"/>
    <col min="6148" max="6148" width="13.796875" style="2232" customWidth="1"/>
    <col min="6149" max="6149" width="13.53125" style="2232" bestFit="1" customWidth="1"/>
    <col min="6150" max="6151" width="12.796875" style="2232" customWidth="1"/>
    <col min="6152" max="6152" width="18" style="2232" customWidth="1"/>
    <col min="6153" max="6153" width="15.796875" style="2232" customWidth="1"/>
    <col min="6154" max="6154" width="17.796875" style="2232" customWidth="1"/>
    <col min="6155" max="6155" width="9.19921875" style="2232"/>
    <col min="6156" max="6156" width="11.53125" style="2232" customWidth="1"/>
    <col min="6157" max="6157" width="12.19921875" style="2232" bestFit="1" customWidth="1"/>
    <col min="6158" max="6169" width="9.19921875" style="2232"/>
    <col min="6170" max="6171" width="3.46484375" style="2232" customWidth="1"/>
    <col min="6172" max="6177" width="9.19921875" style="2232"/>
    <col min="6178" max="6178" width="9.796875" style="2232" bestFit="1" customWidth="1"/>
    <col min="6179" max="6179" width="12.19921875" style="2232" bestFit="1" customWidth="1"/>
    <col min="6180" max="6180" width="10.19921875" style="2232" customWidth="1"/>
    <col min="6181" max="6181" width="2" style="2232" customWidth="1"/>
    <col min="6182" max="6399" width="9.19921875" style="2232"/>
    <col min="6400" max="6400" width="0" style="2232" hidden="1" customWidth="1"/>
    <col min="6401" max="6401" width="30.796875" style="2232" customWidth="1"/>
    <col min="6402" max="6402" width="3.796875" style="2232" customWidth="1"/>
    <col min="6403" max="6403" width="26.796875" style="2232" customWidth="1"/>
    <col min="6404" max="6404" width="13.796875" style="2232" customWidth="1"/>
    <col min="6405" max="6405" width="13.53125" style="2232" bestFit="1" customWidth="1"/>
    <col min="6406" max="6407" width="12.796875" style="2232" customWidth="1"/>
    <col min="6408" max="6408" width="18" style="2232" customWidth="1"/>
    <col min="6409" max="6409" width="15.796875" style="2232" customWidth="1"/>
    <col min="6410" max="6410" width="17.796875" style="2232" customWidth="1"/>
    <col min="6411" max="6411" width="9.19921875" style="2232"/>
    <col min="6412" max="6412" width="11.53125" style="2232" customWidth="1"/>
    <col min="6413" max="6413" width="12.19921875" style="2232" bestFit="1" customWidth="1"/>
    <col min="6414" max="6425" width="9.19921875" style="2232"/>
    <col min="6426" max="6427" width="3.46484375" style="2232" customWidth="1"/>
    <col min="6428" max="6433" width="9.19921875" style="2232"/>
    <col min="6434" max="6434" width="9.796875" style="2232" bestFit="1" customWidth="1"/>
    <col min="6435" max="6435" width="12.19921875" style="2232" bestFit="1" customWidth="1"/>
    <col min="6436" max="6436" width="10.19921875" style="2232" customWidth="1"/>
    <col min="6437" max="6437" width="2" style="2232" customWidth="1"/>
    <col min="6438" max="6655" width="9.19921875" style="2232"/>
    <col min="6656" max="6656" width="0" style="2232" hidden="1" customWidth="1"/>
    <col min="6657" max="6657" width="30.796875" style="2232" customWidth="1"/>
    <col min="6658" max="6658" width="3.796875" style="2232" customWidth="1"/>
    <col min="6659" max="6659" width="26.796875" style="2232" customWidth="1"/>
    <col min="6660" max="6660" width="13.796875" style="2232" customWidth="1"/>
    <col min="6661" max="6661" width="13.53125" style="2232" bestFit="1" customWidth="1"/>
    <col min="6662" max="6663" width="12.796875" style="2232" customWidth="1"/>
    <col min="6664" max="6664" width="18" style="2232" customWidth="1"/>
    <col min="6665" max="6665" width="15.796875" style="2232" customWidth="1"/>
    <col min="6666" max="6666" width="17.796875" style="2232" customWidth="1"/>
    <col min="6667" max="6667" width="9.19921875" style="2232"/>
    <col min="6668" max="6668" width="11.53125" style="2232" customWidth="1"/>
    <col min="6669" max="6669" width="12.19921875" style="2232" bestFit="1" customWidth="1"/>
    <col min="6670" max="6681" width="9.19921875" style="2232"/>
    <col min="6682" max="6683" width="3.46484375" style="2232" customWidth="1"/>
    <col min="6684" max="6689" width="9.19921875" style="2232"/>
    <col min="6690" max="6690" width="9.796875" style="2232" bestFit="1" customWidth="1"/>
    <col min="6691" max="6691" width="12.19921875" style="2232" bestFit="1" customWidth="1"/>
    <col min="6692" max="6692" width="10.19921875" style="2232" customWidth="1"/>
    <col min="6693" max="6693" width="2" style="2232" customWidth="1"/>
    <col min="6694" max="6911" width="9.19921875" style="2232"/>
    <col min="6912" max="6912" width="0" style="2232" hidden="1" customWidth="1"/>
    <col min="6913" max="6913" width="30.796875" style="2232" customWidth="1"/>
    <col min="6914" max="6914" width="3.796875" style="2232" customWidth="1"/>
    <col min="6915" max="6915" width="26.796875" style="2232" customWidth="1"/>
    <col min="6916" max="6916" width="13.796875" style="2232" customWidth="1"/>
    <col min="6917" max="6917" width="13.53125" style="2232" bestFit="1" customWidth="1"/>
    <col min="6918" max="6919" width="12.796875" style="2232" customWidth="1"/>
    <col min="6920" max="6920" width="18" style="2232" customWidth="1"/>
    <col min="6921" max="6921" width="15.796875" style="2232" customWidth="1"/>
    <col min="6922" max="6922" width="17.796875" style="2232" customWidth="1"/>
    <col min="6923" max="6923" width="9.19921875" style="2232"/>
    <col min="6924" max="6924" width="11.53125" style="2232" customWidth="1"/>
    <col min="6925" max="6925" width="12.19921875" style="2232" bestFit="1" customWidth="1"/>
    <col min="6926" max="6937" width="9.19921875" style="2232"/>
    <col min="6938" max="6939" width="3.46484375" style="2232" customWidth="1"/>
    <col min="6940" max="6945" width="9.19921875" style="2232"/>
    <col min="6946" max="6946" width="9.796875" style="2232" bestFit="1" customWidth="1"/>
    <col min="6947" max="6947" width="12.19921875" style="2232" bestFit="1" customWidth="1"/>
    <col min="6948" max="6948" width="10.19921875" style="2232" customWidth="1"/>
    <col min="6949" max="6949" width="2" style="2232" customWidth="1"/>
    <col min="6950" max="7167" width="9.19921875" style="2232"/>
    <col min="7168" max="7168" width="0" style="2232" hidden="1" customWidth="1"/>
    <col min="7169" max="7169" width="30.796875" style="2232" customWidth="1"/>
    <col min="7170" max="7170" width="3.796875" style="2232" customWidth="1"/>
    <col min="7171" max="7171" width="26.796875" style="2232" customWidth="1"/>
    <col min="7172" max="7172" width="13.796875" style="2232" customWidth="1"/>
    <col min="7173" max="7173" width="13.53125" style="2232" bestFit="1" customWidth="1"/>
    <col min="7174" max="7175" width="12.796875" style="2232" customWidth="1"/>
    <col min="7176" max="7176" width="18" style="2232" customWidth="1"/>
    <col min="7177" max="7177" width="15.796875" style="2232" customWidth="1"/>
    <col min="7178" max="7178" width="17.796875" style="2232" customWidth="1"/>
    <col min="7179" max="7179" width="9.19921875" style="2232"/>
    <col min="7180" max="7180" width="11.53125" style="2232" customWidth="1"/>
    <col min="7181" max="7181" width="12.19921875" style="2232" bestFit="1" customWidth="1"/>
    <col min="7182" max="7193" width="9.19921875" style="2232"/>
    <col min="7194" max="7195" width="3.46484375" style="2232" customWidth="1"/>
    <col min="7196" max="7201" width="9.19921875" style="2232"/>
    <col min="7202" max="7202" width="9.796875" style="2232" bestFit="1" customWidth="1"/>
    <col min="7203" max="7203" width="12.19921875" style="2232" bestFit="1" customWidth="1"/>
    <col min="7204" max="7204" width="10.19921875" style="2232" customWidth="1"/>
    <col min="7205" max="7205" width="2" style="2232" customWidth="1"/>
    <col min="7206" max="7423" width="9.19921875" style="2232"/>
    <col min="7424" max="7424" width="0" style="2232" hidden="1" customWidth="1"/>
    <col min="7425" max="7425" width="30.796875" style="2232" customWidth="1"/>
    <col min="7426" max="7426" width="3.796875" style="2232" customWidth="1"/>
    <col min="7427" max="7427" width="26.796875" style="2232" customWidth="1"/>
    <col min="7428" max="7428" width="13.796875" style="2232" customWidth="1"/>
    <col min="7429" max="7429" width="13.53125" style="2232" bestFit="1" customWidth="1"/>
    <col min="7430" max="7431" width="12.796875" style="2232" customWidth="1"/>
    <col min="7432" max="7432" width="18" style="2232" customWidth="1"/>
    <col min="7433" max="7433" width="15.796875" style="2232" customWidth="1"/>
    <col min="7434" max="7434" width="17.796875" style="2232" customWidth="1"/>
    <col min="7435" max="7435" width="9.19921875" style="2232"/>
    <col min="7436" max="7436" width="11.53125" style="2232" customWidth="1"/>
    <col min="7437" max="7437" width="12.19921875" style="2232" bestFit="1" customWidth="1"/>
    <col min="7438" max="7449" width="9.19921875" style="2232"/>
    <col min="7450" max="7451" width="3.46484375" style="2232" customWidth="1"/>
    <col min="7452" max="7457" width="9.19921875" style="2232"/>
    <col min="7458" max="7458" width="9.796875" style="2232" bestFit="1" customWidth="1"/>
    <col min="7459" max="7459" width="12.19921875" style="2232" bestFit="1" customWidth="1"/>
    <col min="7460" max="7460" width="10.19921875" style="2232" customWidth="1"/>
    <col min="7461" max="7461" width="2" style="2232" customWidth="1"/>
    <col min="7462" max="7679" width="9.19921875" style="2232"/>
    <col min="7680" max="7680" width="0" style="2232" hidden="1" customWidth="1"/>
    <col min="7681" max="7681" width="30.796875" style="2232" customWidth="1"/>
    <col min="7682" max="7682" width="3.796875" style="2232" customWidth="1"/>
    <col min="7683" max="7683" width="26.796875" style="2232" customWidth="1"/>
    <col min="7684" max="7684" width="13.796875" style="2232" customWidth="1"/>
    <col min="7685" max="7685" width="13.53125" style="2232" bestFit="1" customWidth="1"/>
    <col min="7686" max="7687" width="12.796875" style="2232" customWidth="1"/>
    <col min="7688" max="7688" width="18" style="2232" customWidth="1"/>
    <col min="7689" max="7689" width="15.796875" style="2232" customWidth="1"/>
    <col min="7690" max="7690" width="17.796875" style="2232" customWidth="1"/>
    <col min="7691" max="7691" width="9.19921875" style="2232"/>
    <col min="7692" max="7692" width="11.53125" style="2232" customWidth="1"/>
    <col min="7693" max="7693" width="12.19921875" style="2232" bestFit="1" customWidth="1"/>
    <col min="7694" max="7705" width="9.19921875" style="2232"/>
    <col min="7706" max="7707" width="3.46484375" style="2232" customWidth="1"/>
    <col min="7708" max="7713" width="9.19921875" style="2232"/>
    <col min="7714" max="7714" width="9.796875" style="2232" bestFit="1" customWidth="1"/>
    <col min="7715" max="7715" width="12.19921875" style="2232" bestFit="1" customWidth="1"/>
    <col min="7716" max="7716" width="10.19921875" style="2232" customWidth="1"/>
    <col min="7717" max="7717" width="2" style="2232" customWidth="1"/>
    <col min="7718" max="7935" width="9.19921875" style="2232"/>
    <col min="7936" max="7936" width="0" style="2232" hidden="1" customWidth="1"/>
    <col min="7937" max="7937" width="30.796875" style="2232" customWidth="1"/>
    <col min="7938" max="7938" width="3.796875" style="2232" customWidth="1"/>
    <col min="7939" max="7939" width="26.796875" style="2232" customWidth="1"/>
    <col min="7940" max="7940" width="13.796875" style="2232" customWidth="1"/>
    <col min="7941" max="7941" width="13.53125" style="2232" bestFit="1" customWidth="1"/>
    <col min="7942" max="7943" width="12.796875" style="2232" customWidth="1"/>
    <col min="7944" max="7944" width="18" style="2232" customWidth="1"/>
    <col min="7945" max="7945" width="15.796875" style="2232" customWidth="1"/>
    <col min="7946" max="7946" width="17.796875" style="2232" customWidth="1"/>
    <col min="7947" max="7947" width="9.19921875" style="2232"/>
    <col min="7948" max="7948" width="11.53125" style="2232" customWidth="1"/>
    <col min="7949" max="7949" width="12.19921875" style="2232" bestFit="1" customWidth="1"/>
    <col min="7950" max="7961" width="9.19921875" style="2232"/>
    <col min="7962" max="7963" width="3.46484375" style="2232" customWidth="1"/>
    <col min="7964" max="7969" width="9.19921875" style="2232"/>
    <col min="7970" max="7970" width="9.796875" style="2232" bestFit="1" customWidth="1"/>
    <col min="7971" max="7971" width="12.19921875" style="2232" bestFit="1" customWidth="1"/>
    <col min="7972" max="7972" width="10.19921875" style="2232" customWidth="1"/>
    <col min="7973" max="7973" width="2" style="2232" customWidth="1"/>
    <col min="7974" max="8191" width="9.19921875" style="2232"/>
    <col min="8192" max="8192" width="0" style="2232" hidden="1" customWidth="1"/>
    <col min="8193" max="8193" width="30.796875" style="2232" customWidth="1"/>
    <col min="8194" max="8194" width="3.796875" style="2232" customWidth="1"/>
    <col min="8195" max="8195" width="26.796875" style="2232" customWidth="1"/>
    <col min="8196" max="8196" width="13.796875" style="2232" customWidth="1"/>
    <col min="8197" max="8197" width="13.53125" style="2232" bestFit="1" customWidth="1"/>
    <col min="8198" max="8199" width="12.796875" style="2232" customWidth="1"/>
    <col min="8200" max="8200" width="18" style="2232" customWidth="1"/>
    <col min="8201" max="8201" width="15.796875" style="2232" customWidth="1"/>
    <col min="8202" max="8202" width="17.796875" style="2232" customWidth="1"/>
    <col min="8203" max="8203" width="9.19921875" style="2232"/>
    <col min="8204" max="8204" width="11.53125" style="2232" customWidth="1"/>
    <col min="8205" max="8205" width="12.19921875" style="2232" bestFit="1" customWidth="1"/>
    <col min="8206" max="8217" width="9.19921875" style="2232"/>
    <col min="8218" max="8219" width="3.46484375" style="2232" customWidth="1"/>
    <col min="8220" max="8225" width="9.19921875" style="2232"/>
    <col min="8226" max="8226" width="9.796875" style="2232" bestFit="1" customWidth="1"/>
    <col min="8227" max="8227" width="12.19921875" style="2232" bestFit="1" customWidth="1"/>
    <col min="8228" max="8228" width="10.19921875" style="2232" customWidth="1"/>
    <col min="8229" max="8229" width="2" style="2232" customWidth="1"/>
    <col min="8230" max="8447" width="9.19921875" style="2232"/>
    <col min="8448" max="8448" width="0" style="2232" hidden="1" customWidth="1"/>
    <col min="8449" max="8449" width="30.796875" style="2232" customWidth="1"/>
    <col min="8450" max="8450" width="3.796875" style="2232" customWidth="1"/>
    <col min="8451" max="8451" width="26.796875" style="2232" customWidth="1"/>
    <col min="8452" max="8452" width="13.796875" style="2232" customWidth="1"/>
    <col min="8453" max="8453" width="13.53125" style="2232" bestFit="1" customWidth="1"/>
    <col min="8454" max="8455" width="12.796875" style="2232" customWidth="1"/>
    <col min="8456" max="8456" width="18" style="2232" customWidth="1"/>
    <col min="8457" max="8457" width="15.796875" style="2232" customWidth="1"/>
    <col min="8458" max="8458" width="17.796875" style="2232" customWidth="1"/>
    <col min="8459" max="8459" width="9.19921875" style="2232"/>
    <col min="8460" max="8460" width="11.53125" style="2232" customWidth="1"/>
    <col min="8461" max="8461" width="12.19921875" style="2232" bestFit="1" customWidth="1"/>
    <col min="8462" max="8473" width="9.19921875" style="2232"/>
    <col min="8474" max="8475" width="3.46484375" style="2232" customWidth="1"/>
    <col min="8476" max="8481" width="9.19921875" style="2232"/>
    <col min="8482" max="8482" width="9.796875" style="2232" bestFit="1" customWidth="1"/>
    <col min="8483" max="8483" width="12.19921875" style="2232" bestFit="1" customWidth="1"/>
    <col min="8484" max="8484" width="10.19921875" style="2232" customWidth="1"/>
    <col min="8485" max="8485" width="2" style="2232" customWidth="1"/>
    <col min="8486" max="8703" width="9.19921875" style="2232"/>
    <col min="8704" max="8704" width="0" style="2232" hidden="1" customWidth="1"/>
    <col min="8705" max="8705" width="30.796875" style="2232" customWidth="1"/>
    <col min="8706" max="8706" width="3.796875" style="2232" customWidth="1"/>
    <col min="8707" max="8707" width="26.796875" style="2232" customWidth="1"/>
    <col min="8708" max="8708" width="13.796875" style="2232" customWidth="1"/>
    <col min="8709" max="8709" width="13.53125" style="2232" bestFit="1" customWidth="1"/>
    <col min="8710" max="8711" width="12.796875" style="2232" customWidth="1"/>
    <col min="8712" max="8712" width="18" style="2232" customWidth="1"/>
    <col min="8713" max="8713" width="15.796875" style="2232" customWidth="1"/>
    <col min="8714" max="8714" width="17.796875" style="2232" customWidth="1"/>
    <col min="8715" max="8715" width="9.19921875" style="2232"/>
    <col min="8716" max="8716" width="11.53125" style="2232" customWidth="1"/>
    <col min="8717" max="8717" width="12.19921875" style="2232" bestFit="1" customWidth="1"/>
    <col min="8718" max="8729" width="9.19921875" style="2232"/>
    <col min="8730" max="8731" width="3.46484375" style="2232" customWidth="1"/>
    <col min="8732" max="8737" width="9.19921875" style="2232"/>
    <col min="8738" max="8738" width="9.796875" style="2232" bestFit="1" customWidth="1"/>
    <col min="8739" max="8739" width="12.19921875" style="2232" bestFit="1" customWidth="1"/>
    <col min="8740" max="8740" width="10.19921875" style="2232" customWidth="1"/>
    <col min="8741" max="8741" width="2" style="2232" customWidth="1"/>
    <col min="8742" max="8959" width="9.19921875" style="2232"/>
    <col min="8960" max="8960" width="0" style="2232" hidden="1" customWidth="1"/>
    <col min="8961" max="8961" width="30.796875" style="2232" customWidth="1"/>
    <col min="8962" max="8962" width="3.796875" style="2232" customWidth="1"/>
    <col min="8963" max="8963" width="26.796875" style="2232" customWidth="1"/>
    <col min="8964" max="8964" width="13.796875" style="2232" customWidth="1"/>
    <col min="8965" max="8965" width="13.53125" style="2232" bestFit="1" customWidth="1"/>
    <col min="8966" max="8967" width="12.796875" style="2232" customWidth="1"/>
    <col min="8968" max="8968" width="18" style="2232" customWidth="1"/>
    <col min="8969" max="8969" width="15.796875" style="2232" customWidth="1"/>
    <col min="8970" max="8970" width="17.796875" style="2232" customWidth="1"/>
    <col min="8971" max="8971" width="9.19921875" style="2232"/>
    <col min="8972" max="8972" width="11.53125" style="2232" customWidth="1"/>
    <col min="8973" max="8973" width="12.19921875" style="2232" bestFit="1" customWidth="1"/>
    <col min="8974" max="8985" width="9.19921875" style="2232"/>
    <col min="8986" max="8987" width="3.46484375" style="2232" customWidth="1"/>
    <col min="8988" max="8993" width="9.19921875" style="2232"/>
    <col min="8994" max="8994" width="9.796875" style="2232" bestFit="1" customWidth="1"/>
    <col min="8995" max="8995" width="12.19921875" style="2232" bestFit="1" customWidth="1"/>
    <col min="8996" max="8996" width="10.19921875" style="2232" customWidth="1"/>
    <col min="8997" max="8997" width="2" style="2232" customWidth="1"/>
    <col min="8998" max="9215" width="9.19921875" style="2232"/>
    <col min="9216" max="9216" width="0" style="2232" hidden="1" customWidth="1"/>
    <col min="9217" max="9217" width="30.796875" style="2232" customWidth="1"/>
    <col min="9218" max="9218" width="3.796875" style="2232" customWidth="1"/>
    <col min="9219" max="9219" width="26.796875" style="2232" customWidth="1"/>
    <col min="9220" max="9220" width="13.796875" style="2232" customWidth="1"/>
    <col min="9221" max="9221" width="13.53125" style="2232" bestFit="1" customWidth="1"/>
    <col min="9222" max="9223" width="12.796875" style="2232" customWidth="1"/>
    <col min="9224" max="9224" width="18" style="2232" customWidth="1"/>
    <col min="9225" max="9225" width="15.796875" style="2232" customWidth="1"/>
    <col min="9226" max="9226" width="17.796875" style="2232" customWidth="1"/>
    <col min="9227" max="9227" width="9.19921875" style="2232"/>
    <col min="9228" max="9228" width="11.53125" style="2232" customWidth="1"/>
    <col min="9229" max="9229" width="12.19921875" style="2232" bestFit="1" customWidth="1"/>
    <col min="9230" max="9241" width="9.19921875" style="2232"/>
    <col min="9242" max="9243" width="3.46484375" style="2232" customWidth="1"/>
    <col min="9244" max="9249" width="9.19921875" style="2232"/>
    <col min="9250" max="9250" width="9.796875" style="2232" bestFit="1" customWidth="1"/>
    <col min="9251" max="9251" width="12.19921875" style="2232" bestFit="1" customWidth="1"/>
    <col min="9252" max="9252" width="10.19921875" style="2232" customWidth="1"/>
    <col min="9253" max="9253" width="2" style="2232" customWidth="1"/>
    <col min="9254" max="9471" width="9.19921875" style="2232"/>
    <col min="9472" max="9472" width="0" style="2232" hidden="1" customWidth="1"/>
    <col min="9473" max="9473" width="30.796875" style="2232" customWidth="1"/>
    <col min="9474" max="9474" width="3.796875" style="2232" customWidth="1"/>
    <col min="9475" max="9475" width="26.796875" style="2232" customWidth="1"/>
    <col min="9476" max="9476" width="13.796875" style="2232" customWidth="1"/>
    <col min="9477" max="9477" width="13.53125" style="2232" bestFit="1" customWidth="1"/>
    <col min="9478" max="9479" width="12.796875" style="2232" customWidth="1"/>
    <col min="9480" max="9480" width="18" style="2232" customWidth="1"/>
    <col min="9481" max="9481" width="15.796875" style="2232" customWidth="1"/>
    <col min="9482" max="9482" width="17.796875" style="2232" customWidth="1"/>
    <col min="9483" max="9483" width="9.19921875" style="2232"/>
    <col min="9484" max="9484" width="11.53125" style="2232" customWidth="1"/>
    <col min="9485" max="9485" width="12.19921875" style="2232" bestFit="1" customWidth="1"/>
    <col min="9486" max="9497" width="9.19921875" style="2232"/>
    <col min="9498" max="9499" width="3.46484375" style="2232" customWidth="1"/>
    <col min="9500" max="9505" width="9.19921875" style="2232"/>
    <col min="9506" max="9506" width="9.796875" style="2232" bestFit="1" customWidth="1"/>
    <col min="9507" max="9507" width="12.19921875" style="2232" bestFit="1" customWidth="1"/>
    <col min="9508" max="9508" width="10.19921875" style="2232" customWidth="1"/>
    <col min="9509" max="9509" width="2" style="2232" customWidth="1"/>
    <col min="9510" max="9727" width="9.19921875" style="2232"/>
    <col min="9728" max="9728" width="0" style="2232" hidden="1" customWidth="1"/>
    <col min="9729" max="9729" width="30.796875" style="2232" customWidth="1"/>
    <col min="9730" max="9730" width="3.796875" style="2232" customWidth="1"/>
    <col min="9731" max="9731" width="26.796875" style="2232" customWidth="1"/>
    <col min="9732" max="9732" width="13.796875" style="2232" customWidth="1"/>
    <col min="9733" max="9733" width="13.53125" style="2232" bestFit="1" customWidth="1"/>
    <col min="9734" max="9735" width="12.796875" style="2232" customWidth="1"/>
    <col min="9736" max="9736" width="18" style="2232" customWidth="1"/>
    <col min="9737" max="9737" width="15.796875" style="2232" customWidth="1"/>
    <col min="9738" max="9738" width="17.796875" style="2232" customWidth="1"/>
    <col min="9739" max="9739" width="9.19921875" style="2232"/>
    <col min="9740" max="9740" width="11.53125" style="2232" customWidth="1"/>
    <col min="9741" max="9741" width="12.19921875" style="2232" bestFit="1" customWidth="1"/>
    <col min="9742" max="9753" width="9.19921875" style="2232"/>
    <col min="9754" max="9755" width="3.46484375" style="2232" customWidth="1"/>
    <col min="9756" max="9761" width="9.19921875" style="2232"/>
    <col min="9762" max="9762" width="9.796875" style="2232" bestFit="1" customWidth="1"/>
    <col min="9763" max="9763" width="12.19921875" style="2232" bestFit="1" customWidth="1"/>
    <col min="9764" max="9764" width="10.19921875" style="2232" customWidth="1"/>
    <col min="9765" max="9765" width="2" style="2232" customWidth="1"/>
    <col min="9766" max="9983" width="9.19921875" style="2232"/>
    <col min="9984" max="9984" width="0" style="2232" hidden="1" customWidth="1"/>
    <col min="9985" max="9985" width="30.796875" style="2232" customWidth="1"/>
    <col min="9986" max="9986" width="3.796875" style="2232" customWidth="1"/>
    <col min="9987" max="9987" width="26.796875" style="2232" customWidth="1"/>
    <col min="9988" max="9988" width="13.796875" style="2232" customWidth="1"/>
    <col min="9989" max="9989" width="13.53125" style="2232" bestFit="1" customWidth="1"/>
    <col min="9990" max="9991" width="12.796875" style="2232" customWidth="1"/>
    <col min="9992" max="9992" width="18" style="2232" customWidth="1"/>
    <col min="9993" max="9993" width="15.796875" style="2232" customWidth="1"/>
    <col min="9994" max="9994" width="17.796875" style="2232" customWidth="1"/>
    <col min="9995" max="9995" width="9.19921875" style="2232"/>
    <col min="9996" max="9996" width="11.53125" style="2232" customWidth="1"/>
    <col min="9997" max="9997" width="12.19921875" style="2232" bestFit="1" customWidth="1"/>
    <col min="9998" max="10009" width="9.19921875" style="2232"/>
    <col min="10010" max="10011" width="3.46484375" style="2232" customWidth="1"/>
    <col min="10012" max="10017" width="9.19921875" style="2232"/>
    <col min="10018" max="10018" width="9.796875" style="2232" bestFit="1" customWidth="1"/>
    <col min="10019" max="10019" width="12.19921875" style="2232" bestFit="1" customWidth="1"/>
    <col min="10020" max="10020" width="10.19921875" style="2232" customWidth="1"/>
    <col min="10021" max="10021" width="2" style="2232" customWidth="1"/>
    <col min="10022" max="10239" width="9.19921875" style="2232"/>
    <col min="10240" max="10240" width="0" style="2232" hidden="1" customWidth="1"/>
    <col min="10241" max="10241" width="30.796875" style="2232" customWidth="1"/>
    <col min="10242" max="10242" width="3.796875" style="2232" customWidth="1"/>
    <col min="10243" max="10243" width="26.796875" style="2232" customWidth="1"/>
    <col min="10244" max="10244" width="13.796875" style="2232" customWidth="1"/>
    <col min="10245" max="10245" width="13.53125" style="2232" bestFit="1" customWidth="1"/>
    <col min="10246" max="10247" width="12.796875" style="2232" customWidth="1"/>
    <col min="10248" max="10248" width="18" style="2232" customWidth="1"/>
    <col min="10249" max="10249" width="15.796875" style="2232" customWidth="1"/>
    <col min="10250" max="10250" width="17.796875" style="2232" customWidth="1"/>
    <col min="10251" max="10251" width="9.19921875" style="2232"/>
    <col min="10252" max="10252" width="11.53125" style="2232" customWidth="1"/>
    <col min="10253" max="10253" width="12.19921875" style="2232" bestFit="1" customWidth="1"/>
    <col min="10254" max="10265" width="9.19921875" style="2232"/>
    <col min="10266" max="10267" width="3.46484375" style="2232" customWidth="1"/>
    <col min="10268" max="10273" width="9.19921875" style="2232"/>
    <col min="10274" max="10274" width="9.796875" style="2232" bestFit="1" customWidth="1"/>
    <col min="10275" max="10275" width="12.19921875" style="2232" bestFit="1" customWidth="1"/>
    <col min="10276" max="10276" width="10.19921875" style="2232" customWidth="1"/>
    <col min="10277" max="10277" width="2" style="2232" customWidth="1"/>
    <col min="10278" max="10495" width="9.19921875" style="2232"/>
    <col min="10496" max="10496" width="0" style="2232" hidden="1" customWidth="1"/>
    <col min="10497" max="10497" width="30.796875" style="2232" customWidth="1"/>
    <col min="10498" max="10498" width="3.796875" style="2232" customWidth="1"/>
    <col min="10499" max="10499" width="26.796875" style="2232" customWidth="1"/>
    <col min="10500" max="10500" width="13.796875" style="2232" customWidth="1"/>
    <col min="10501" max="10501" width="13.53125" style="2232" bestFit="1" customWidth="1"/>
    <col min="10502" max="10503" width="12.796875" style="2232" customWidth="1"/>
    <col min="10504" max="10504" width="18" style="2232" customWidth="1"/>
    <col min="10505" max="10505" width="15.796875" style="2232" customWidth="1"/>
    <col min="10506" max="10506" width="17.796875" style="2232" customWidth="1"/>
    <col min="10507" max="10507" width="9.19921875" style="2232"/>
    <col min="10508" max="10508" width="11.53125" style="2232" customWidth="1"/>
    <col min="10509" max="10509" width="12.19921875" style="2232" bestFit="1" customWidth="1"/>
    <col min="10510" max="10521" width="9.19921875" style="2232"/>
    <col min="10522" max="10523" width="3.46484375" style="2232" customWidth="1"/>
    <col min="10524" max="10529" width="9.19921875" style="2232"/>
    <col min="10530" max="10530" width="9.796875" style="2232" bestFit="1" customWidth="1"/>
    <col min="10531" max="10531" width="12.19921875" style="2232" bestFit="1" customWidth="1"/>
    <col min="10532" max="10532" width="10.19921875" style="2232" customWidth="1"/>
    <col min="10533" max="10533" width="2" style="2232" customWidth="1"/>
    <col min="10534" max="10751" width="9.19921875" style="2232"/>
    <col min="10752" max="10752" width="0" style="2232" hidden="1" customWidth="1"/>
    <col min="10753" max="10753" width="30.796875" style="2232" customWidth="1"/>
    <col min="10754" max="10754" width="3.796875" style="2232" customWidth="1"/>
    <col min="10755" max="10755" width="26.796875" style="2232" customWidth="1"/>
    <col min="10756" max="10756" width="13.796875" style="2232" customWidth="1"/>
    <col min="10757" max="10757" width="13.53125" style="2232" bestFit="1" customWidth="1"/>
    <col min="10758" max="10759" width="12.796875" style="2232" customWidth="1"/>
    <col min="10760" max="10760" width="18" style="2232" customWidth="1"/>
    <col min="10761" max="10761" width="15.796875" style="2232" customWidth="1"/>
    <col min="10762" max="10762" width="17.796875" style="2232" customWidth="1"/>
    <col min="10763" max="10763" width="9.19921875" style="2232"/>
    <col min="10764" max="10764" width="11.53125" style="2232" customWidth="1"/>
    <col min="10765" max="10765" width="12.19921875" style="2232" bestFit="1" customWidth="1"/>
    <col min="10766" max="10777" width="9.19921875" style="2232"/>
    <col min="10778" max="10779" width="3.46484375" style="2232" customWidth="1"/>
    <col min="10780" max="10785" width="9.19921875" style="2232"/>
    <col min="10786" max="10786" width="9.796875" style="2232" bestFit="1" customWidth="1"/>
    <col min="10787" max="10787" width="12.19921875" style="2232" bestFit="1" customWidth="1"/>
    <col min="10788" max="10788" width="10.19921875" style="2232" customWidth="1"/>
    <col min="10789" max="10789" width="2" style="2232" customWidth="1"/>
    <col min="10790" max="11007" width="9.19921875" style="2232"/>
    <col min="11008" max="11008" width="0" style="2232" hidden="1" customWidth="1"/>
    <col min="11009" max="11009" width="30.796875" style="2232" customWidth="1"/>
    <col min="11010" max="11010" width="3.796875" style="2232" customWidth="1"/>
    <col min="11011" max="11011" width="26.796875" style="2232" customWidth="1"/>
    <col min="11012" max="11012" width="13.796875" style="2232" customWidth="1"/>
    <col min="11013" max="11013" width="13.53125" style="2232" bestFit="1" customWidth="1"/>
    <col min="11014" max="11015" width="12.796875" style="2232" customWidth="1"/>
    <col min="11016" max="11016" width="18" style="2232" customWidth="1"/>
    <col min="11017" max="11017" width="15.796875" style="2232" customWidth="1"/>
    <col min="11018" max="11018" width="17.796875" style="2232" customWidth="1"/>
    <col min="11019" max="11019" width="9.19921875" style="2232"/>
    <col min="11020" max="11020" width="11.53125" style="2232" customWidth="1"/>
    <col min="11021" max="11021" width="12.19921875" style="2232" bestFit="1" customWidth="1"/>
    <col min="11022" max="11033" width="9.19921875" style="2232"/>
    <col min="11034" max="11035" width="3.46484375" style="2232" customWidth="1"/>
    <col min="11036" max="11041" width="9.19921875" style="2232"/>
    <col min="11042" max="11042" width="9.796875" style="2232" bestFit="1" customWidth="1"/>
    <col min="11043" max="11043" width="12.19921875" style="2232" bestFit="1" customWidth="1"/>
    <col min="11044" max="11044" width="10.19921875" style="2232" customWidth="1"/>
    <col min="11045" max="11045" width="2" style="2232" customWidth="1"/>
    <col min="11046" max="11263" width="9.19921875" style="2232"/>
    <col min="11264" max="11264" width="0" style="2232" hidden="1" customWidth="1"/>
    <col min="11265" max="11265" width="30.796875" style="2232" customWidth="1"/>
    <col min="11266" max="11266" width="3.796875" style="2232" customWidth="1"/>
    <col min="11267" max="11267" width="26.796875" style="2232" customWidth="1"/>
    <col min="11268" max="11268" width="13.796875" style="2232" customWidth="1"/>
    <col min="11269" max="11269" width="13.53125" style="2232" bestFit="1" customWidth="1"/>
    <col min="11270" max="11271" width="12.796875" style="2232" customWidth="1"/>
    <col min="11272" max="11272" width="18" style="2232" customWidth="1"/>
    <col min="11273" max="11273" width="15.796875" style="2232" customWidth="1"/>
    <col min="11274" max="11274" width="17.796875" style="2232" customWidth="1"/>
    <col min="11275" max="11275" width="9.19921875" style="2232"/>
    <col min="11276" max="11276" width="11.53125" style="2232" customWidth="1"/>
    <col min="11277" max="11277" width="12.19921875" style="2232" bestFit="1" customWidth="1"/>
    <col min="11278" max="11289" width="9.19921875" style="2232"/>
    <col min="11290" max="11291" width="3.46484375" style="2232" customWidth="1"/>
    <col min="11292" max="11297" width="9.19921875" style="2232"/>
    <col min="11298" max="11298" width="9.796875" style="2232" bestFit="1" customWidth="1"/>
    <col min="11299" max="11299" width="12.19921875" style="2232" bestFit="1" customWidth="1"/>
    <col min="11300" max="11300" width="10.19921875" style="2232" customWidth="1"/>
    <col min="11301" max="11301" width="2" style="2232" customWidth="1"/>
    <col min="11302" max="11519" width="9.19921875" style="2232"/>
    <col min="11520" max="11520" width="0" style="2232" hidden="1" customWidth="1"/>
    <col min="11521" max="11521" width="30.796875" style="2232" customWidth="1"/>
    <col min="11522" max="11522" width="3.796875" style="2232" customWidth="1"/>
    <col min="11523" max="11523" width="26.796875" style="2232" customWidth="1"/>
    <col min="11524" max="11524" width="13.796875" style="2232" customWidth="1"/>
    <col min="11525" max="11525" width="13.53125" style="2232" bestFit="1" customWidth="1"/>
    <col min="11526" max="11527" width="12.796875" style="2232" customWidth="1"/>
    <col min="11528" max="11528" width="18" style="2232" customWidth="1"/>
    <col min="11529" max="11529" width="15.796875" style="2232" customWidth="1"/>
    <col min="11530" max="11530" width="17.796875" style="2232" customWidth="1"/>
    <col min="11531" max="11531" width="9.19921875" style="2232"/>
    <col min="11532" max="11532" width="11.53125" style="2232" customWidth="1"/>
    <col min="11533" max="11533" width="12.19921875" style="2232" bestFit="1" customWidth="1"/>
    <col min="11534" max="11545" width="9.19921875" style="2232"/>
    <col min="11546" max="11547" width="3.46484375" style="2232" customWidth="1"/>
    <col min="11548" max="11553" width="9.19921875" style="2232"/>
    <col min="11554" max="11554" width="9.796875" style="2232" bestFit="1" customWidth="1"/>
    <col min="11555" max="11555" width="12.19921875" style="2232" bestFit="1" customWidth="1"/>
    <col min="11556" max="11556" width="10.19921875" style="2232" customWidth="1"/>
    <col min="11557" max="11557" width="2" style="2232" customWidth="1"/>
    <col min="11558" max="11775" width="9.19921875" style="2232"/>
    <col min="11776" max="11776" width="0" style="2232" hidden="1" customWidth="1"/>
    <col min="11777" max="11777" width="30.796875" style="2232" customWidth="1"/>
    <col min="11778" max="11778" width="3.796875" style="2232" customWidth="1"/>
    <col min="11779" max="11779" width="26.796875" style="2232" customWidth="1"/>
    <col min="11780" max="11780" width="13.796875" style="2232" customWidth="1"/>
    <col min="11781" max="11781" width="13.53125" style="2232" bestFit="1" customWidth="1"/>
    <col min="11782" max="11783" width="12.796875" style="2232" customWidth="1"/>
    <col min="11784" max="11784" width="18" style="2232" customWidth="1"/>
    <col min="11785" max="11785" width="15.796875" style="2232" customWidth="1"/>
    <col min="11786" max="11786" width="17.796875" style="2232" customWidth="1"/>
    <col min="11787" max="11787" width="9.19921875" style="2232"/>
    <col min="11788" max="11788" width="11.53125" style="2232" customWidth="1"/>
    <col min="11789" max="11789" width="12.19921875" style="2232" bestFit="1" customWidth="1"/>
    <col min="11790" max="11801" width="9.19921875" style="2232"/>
    <col min="11802" max="11803" width="3.46484375" style="2232" customWidth="1"/>
    <col min="11804" max="11809" width="9.19921875" style="2232"/>
    <col min="11810" max="11810" width="9.796875" style="2232" bestFit="1" customWidth="1"/>
    <col min="11811" max="11811" width="12.19921875" style="2232" bestFit="1" customWidth="1"/>
    <col min="11812" max="11812" width="10.19921875" style="2232" customWidth="1"/>
    <col min="11813" max="11813" width="2" style="2232" customWidth="1"/>
    <col min="11814" max="12031" width="9.19921875" style="2232"/>
    <col min="12032" max="12032" width="0" style="2232" hidden="1" customWidth="1"/>
    <col min="12033" max="12033" width="30.796875" style="2232" customWidth="1"/>
    <col min="12034" max="12034" width="3.796875" style="2232" customWidth="1"/>
    <col min="12035" max="12035" width="26.796875" style="2232" customWidth="1"/>
    <col min="12036" max="12036" width="13.796875" style="2232" customWidth="1"/>
    <col min="12037" max="12037" width="13.53125" style="2232" bestFit="1" customWidth="1"/>
    <col min="12038" max="12039" width="12.796875" style="2232" customWidth="1"/>
    <col min="12040" max="12040" width="18" style="2232" customWidth="1"/>
    <col min="12041" max="12041" width="15.796875" style="2232" customWidth="1"/>
    <col min="12042" max="12042" width="17.796875" style="2232" customWidth="1"/>
    <col min="12043" max="12043" width="9.19921875" style="2232"/>
    <col min="12044" max="12044" width="11.53125" style="2232" customWidth="1"/>
    <col min="12045" max="12045" width="12.19921875" style="2232" bestFit="1" customWidth="1"/>
    <col min="12046" max="12057" width="9.19921875" style="2232"/>
    <col min="12058" max="12059" width="3.46484375" style="2232" customWidth="1"/>
    <col min="12060" max="12065" width="9.19921875" style="2232"/>
    <col min="12066" max="12066" width="9.796875" style="2232" bestFit="1" customWidth="1"/>
    <col min="12067" max="12067" width="12.19921875" style="2232" bestFit="1" customWidth="1"/>
    <col min="12068" max="12068" width="10.19921875" style="2232" customWidth="1"/>
    <col min="12069" max="12069" width="2" style="2232" customWidth="1"/>
    <col min="12070" max="12287" width="9.19921875" style="2232"/>
    <col min="12288" max="12288" width="0" style="2232" hidden="1" customWidth="1"/>
    <col min="12289" max="12289" width="30.796875" style="2232" customWidth="1"/>
    <col min="12290" max="12290" width="3.796875" style="2232" customWidth="1"/>
    <col min="12291" max="12291" width="26.796875" style="2232" customWidth="1"/>
    <col min="12292" max="12292" width="13.796875" style="2232" customWidth="1"/>
    <col min="12293" max="12293" width="13.53125" style="2232" bestFit="1" customWidth="1"/>
    <col min="12294" max="12295" width="12.796875" style="2232" customWidth="1"/>
    <col min="12296" max="12296" width="18" style="2232" customWidth="1"/>
    <col min="12297" max="12297" width="15.796875" style="2232" customWidth="1"/>
    <col min="12298" max="12298" width="17.796875" style="2232" customWidth="1"/>
    <col min="12299" max="12299" width="9.19921875" style="2232"/>
    <col min="12300" max="12300" width="11.53125" style="2232" customWidth="1"/>
    <col min="12301" max="12301" width="12.19921875" style="2232" bestFit="1" customWidth="1"/>
    <col min="12302" max="12313" width="9.19921875" style="2232"/>
    <col min="12314" max="12315" width="3.46484375" style="2232" customWidth="1"/>
    <col min="12316" max="12321" width="9.19921875" style="2232"/>
    <col min="12322" max="12322" width="9.796875" style="2232" bestFit="1" customWidth="1"/>
    <col min="12323" max="12323" width="12.19921875" style="2232" bestFit="1" customWidth="1"/>
    <col min="12324" max="12324" width="10.19921875" style="2232" customWidth="1"/>
    <col min="12325" max="12325" width="2" style="2232" customWidth="1"/>
    <col min="12326" max="12543" width="9.19921875" style="2232"/>
    <col min="12544" max="12544" width="0" style="2232" hidden="1" customWidth="1"/>
    <col min="12545" max="12545" width="30.796875" style="2232" customWidth="1"/>
    <col min="12546" max="12546" width="3.796875" style="2232" customWidth="1"/>
    <col min="12547" max="12547" width="26.796875" style="2232" customWidth="1"/>
    <col min="12548" max="12548" width="13.796875" style="2232" customWidth="1"/>
    <col min="12549" max="12549" width="13.53125" style="2232" bestFit="1" customWidth="1"/>
    <col min="12550" max="12551" width="12.796875" style="2232" customWidth="1"/>
    <col min="12552" max="12552" width="18" style="2232" customWidth="1"/>
    <col min="12553" max="12553" width="15.796875" style="2232" customWidth="1"/>
    <col min="12554" max="12554" width="17.796875" style="2232" customWidth="1"/>
    <col min="12555" max="12555" width="9.19921875" style="2232"/>
    <col min="12556" max="12556" width="11.53125" style="2232" customWidth="1"/>
    <col min="12557" max="12557" width="12.19921875" style="2232" bestFit="1" customWidth="1"/>
    <col min="12558" max="12569" width="9.19921875" style="2232"/>
    <col min="12570" max="12571" width="3.46484375" style="2232" customWidth="1"/>
    <col min="12572" max="12577" width="9.19921875" style="2232"/>
    <col min="12578" max="12578" width="9.796875" style="2232" bestFit="1" customWidth="1"/>
    <col min="12579" max="12579" width="12.19921875" style="2232" bestFit="1" customWidth="1"/>
    <col min="12580" max="12580" width="10.19921875" style="2232" customWidth="1"/>
    <col min="12581" max="12581" width="2" style="2232" customWidth="1"/>
    <col min="12582" max="12799" width="9.19921875" style="2232"/>
    <col min="12800" max="12800" width="0" style="2232" hidden="1" customWidth="1"/>
    <col min="12801" max="12801" width="30.796875" style="2232" customWidth="1"/>
    <col min="12802" max="12802" width="3.796875" style="2232" customWidth="1"/>
    <col min="12803" max="12803" width="26.796875" style="2232" customWidth="1"/>
    <col min="12804" max="12804" width="13.796875" style="2232" customWidth="1"/>
    <col min="12805" max="12805" width="13.53125" style="2232" bestFit="1" customWidth="1"/>
    <col min="12806" max="12807" width="12.796875" style="2232" customWidth="1"/>
    <col min="12808" max="12808" width="18" style="2232" customWidth="1"/>
    <col min="12809" max="12809" width="15.796875" style="2232" customWidth="1"/>
    <col min="12810" max="12810" width="17.796875" style="2232" customWidth="1"/>
    <col min="12811" max="12811" width="9.19921875" style="2232"/>
    <col min="12812" max="12812" width="11.53125" style="2232" customWidth="1"/>
    <col min="12813" max="12813" width="12.19921875" style="2232" bestFit="1" customWidth="1"/>
    <col min="12814" max="12825" width="9.19921875" style="2232"/>
    <col min="12826" max="12827" width="3.46484375" style="2232" customWidth="1"/>
    <col min="12828" max="12833" width="9.19921875" style="2232"/>
    <col min="12834" max="12834" width="9.796875" style="2232" bestFit="1" customWidth="1"/>
    <col min="12835" max="12835" width="12.19921875" style="2232" bestFit="1" customWidth="1"/>
    <col min="12836" max="12836" width="10.19921875" style="2232" customWidth="1"/>
    <col min="12837" max="12837" width="2" style="2232" customWidth="1"/>
    <col min="12838" max="13055" width="9.19921875" style="2232"/>
    <col min="13056" max="13056" width="0" style="2232" hidden="1" customWidth="1"/>
    <col min="13057" max="13057" width="30.796875" style="2232" customWidth="1"/>
    <col min="13058" max="13058" width="3.796875" style="2232" customWidth="1"/>
    <col min="13059" max="13059" width="26.796875" style="2232" customWidth="1"/>
    <col min="13060" max="13060" width="13.796875" style="2232" customWidth="1"/>
    <col min="13061" max="13061" width="13.53125" style="2232" bestFit="1" customWidth="1"/>
    <col min="13062" max="13063" width="12.796875" style="2232" customWidth="1"/>
    <col min="13064" max="13064" width="18" style="2232" customWidth="1"/>
    <col min="13065" max="13065" width="15.796875" style="2232" customWidth="1"/>
    <col min="13066" max="13066" width="17.796875" style="2232" customWidth="1"/>
    <col min="13067" max="13067" width="9.19921875" style="2232"/>
    <col min="13068" max="13068" width="11.53125" style="2232" customWidth="1"/>
    <col min="13069" max="13069" width="12.19921875" style="2232" bestFit="1" customWidth="1"/>
    <col min="13070" max="13081" width="9.19921875" style="2232"/>
    <col min="13082" max="13083" width="3.46484375" style="2232" customWidth="1"/>
    <col min="13084" max="13089" width="9.19921875" style="2232"/>
    <col min="13090" max="13090" width="9.796875" style="2232" bestFit="1" customWidth="1"/>
    <col min="13091" max="13091" width="12.19921875" style="2232" bestFit="1" customWidth="1"/>
    <col min="13092" max="13092" width="10.19921875" style="2232" customWidth="1"/>
    <col min="13093" max="13093" width="2" style="2232" customWidth="1"/>
    <col min="13094" max="13311" width="9.19921875" style="2232"/>
    <col min="13312" max="13312" width="0" style="2232" hidden="1" customWidth="1"/>
    <col min="13313" max="13313" width="30.796875" style="2232" customWidth="1"/>
    <col min="13314" max="13314" width="3.796875" style="2232" customWidth="1"/>
    <col min="13315" max="13315" width="26.796875" style="2232" customWidth="1"/>
    <col min="13316" max="13316" width="13.796875" style="2232" customWidth="1"/>
    <col min="13317" max="13317" width="13.53125" style="2232" bestFit="1" customWidth="1"/>
    <col min="13318" max="13319" width="12.796875" style="2232" customWidth="1"/>
    <col min="13320" max="13320" width="18" style="2232" customWidth="1"/>
    <col min="13321" max="13321" width="15.796875" style="2232" customWidth="1"/>
    <col min="13322" max="13322" width="17.796875" style="2232" customWidth="1"/>
    <col min="13323" max="13323" width="9.19921875" style="2232"/>
    <col min="13324" max="13324" width="11.53125" style="2232" customWidth="1"/>
    <col min="13325" max="13325" width="12.19921875" style="2232" bestFit="1" customWidth="1"/>
    <col min="13326" max="13337" width="9.19921875" style="2232"/>
    <col min="13338" max="13339" width="3.46484375" style="2232" customWidth="1"/>
    <col min="13340" max="13345" width="9.19921875" style="2232"/>
    <col min="13346" max="13346" width="9.796875" style="2232" bestFit="1" customWidth="1"/>
    <col min="13347" max="13347" width="12.19921875" style="2232" bestFit="1" customWidth="1"/>
    <col min="13348" max="13348" width="10.19921875" style="2232" customWidth="1"/>
    <col min="13349" max="13349" width="2" style="2232" customWidth="1"/>
    <col min="13350" max="13567" width="9.19921875" style="2232"/>
    <col min="13568" max="13568" width="0" style="2232" hidden="1" customWidth="1"/>
    <col min="13569" max="13569" width="30.796875" style="2232" customWidth="1"/>
    <col min="13570" max="13570" width="3.796875" style="2232" customWidth="1"/>
    <col min="13571" max="13571" width="26.796875" style="2232" customWidth="1"/>
    <col min="13572" max="13572" width="13.796875" style="2232" customWidth="1"/>
    <col min="13573" max="13573" width="13.53125" style="2232" bestFit="1" customWidth="1"/>
    <col min="13574" max="13575" width="12.796875" style="2232" customWidth="1"/>
    <col min="13576" max="13576" width="18" style="2232" customWidth="1"/>
    <col min="13577" max="13577" width="15.796875" style="2232" customWidth="1"/>
    <col min="13578" max="13578" width="17.796875" style="2232" customWidth="1"/>
    <col min="13579" max="13579" width="9.19921875" style="2232"/>
    <col min="13580" max="13580" width="11.53125" style="2232" customWidth="1"/>
    <col min="13581" max="13581" width="12.19921875" style="2232" bestFit="1" customWidth="1"/>
    <col min="13582" max="13593" width="9.19921875" style="2232"/>
    <col min="13594" max="13595" width="3.46484375" style="2232" customWidth="1"/>
    <col min="13596" max="13601" width="9.19921875" style="2232"/>
    <col min="13602" max="13602" width="9.796875" style="2232" bestFit="1" customWidth="1"/>
    <col min="13603" max="13603" width="12.19921875" style="2232" bestFit="1" customWidth="1"/>
    <col min="13604" max="13604" width="10.19921875" style="2232" customWidth="1"/>
    <col min="13605" max="13605" width="2" style="2232" customWidth="1"/>
    <col min="13606" max="13823" width="9.19921875" style="2232"/>
    <col min="13824" max="13824" width="0" style="2232" hidden="1" customWidth="1"/>
    <col min="13825" max="13825" width="30.796875" style="2232" customWidth="1"/>
    <col min="13826" max="13826" width="3.796875" style="2232" customWidth="1"/>
    <col min="13827" max="13827" width="26.796875" style="2232" customWidth="1"/>
    <col min="13828" max="13828" width="13.796875" style="2232" customWidth="1"/>
    <col min="13829" max="13829" width="13.53125" style="2232" bestFit="1" customWidth="1"/>
    <col min="13830" max="13831" width="12.796875" style="2232" customWidth="1"/>
    <col min="13832" max="13832" width="18" style="2232" customWidth="1"/>
    <col min="13833" max="13833" width="15.796875" style="2232" customWidth="1"/>
    <col min="13834" max="13834" width="17.796875" style="2232" customWidth="1"/>
    <col min="13835" max="13835" width="9.19921875" style="2232"/>
    <col min="13836" max="13836" width="11.53125" style="2232" customWidth="1"/>
    <col min="13837" max="13837" width="12.19921875" style="2232" bestFit="1" customWidth="1"/>
    <col min="13838" max="13849" width="9.19921875" style="2232"/>
    <col min="13850" max="13851" width="3.46484375" style="2232" customWidth="1"/>
    <col min="13852" max="13857" width="9.19921875" style="2232"/>
    <col min="13858" max="13858" width="9.796875" style="2232" bestFit="1" customWidth="1"/>
    <col min="13859" max="13859" width="12.19921875" style="2232" bestFit="1" customWidth="1"/>
    <col min="13860" max="13860" width="10.19921875" style="2232" customWidth="1"/>
    <col min="13861" max="13861" width="2" style="2232" customWidth="1"/>
    <col min="13862" max="14079" width="9.19921875" style="2232"/>
    <col min="14080" max="14080" width="0" style="2232" hidden="1" customWidth="1"/>
    <col min="14081" max="14081" width="30.796875" style="2232" customWidth="1"/>
    <col min="14082" max="14082" width="3.796875" style="2232" customWidth="1"/>
    <col min="14083" max="14083" width="26.796875" style="2232" customWidth="1"/>
    <col min="14084" max="14084" width="13.796875" style="2232" customWidth="1"/>
    <col min="14085" max="14085" width="13.53125" style="2232" bestFit="1" customWidth="1"/>
    <col min="14086" max="14087" width="12.796875" style="2232" customWidth="1"/>
    <col min="14088" max="14088" width="18" style="2232" customWidth="1"/>
    <col min="14089" max="14089" width="15.796875" style="2232" customWidth="1"/>
    <col min="14090" max="14090" width="17.796875" style="2232" customWidth="1"/>
    <col min="14091" max="14091" width="9.19921875" style="2232"/>
    <col min="14092" max="14092" width="11.53125" style="2232" customWidth="1"/>
    <col min="14093" max="14093" width="12.19921875" style="2232" bestFit="1" customWidth="1"/>
    <col min="14094" max="14105" width="9.19921875" style="2232"/>
    <col min="14106" max="14107" width="3.46484375" style="2232" customWidth="1"/>
    <col min="14108" max="14113" width="9.19921875" style="2232"/>
    <col min="14114" max="14114" width="9.796875" style="2232" bestFit="1" customWidth="1"/>
    <col min="14115" max="14115" width="12.19921875" style="2232" bestFit="1" customWidth="1"/>
    <col min="14116" max="14116" width="10.19921875" style="2232" customWidth="1"/>
    <col min="14117" max="14117" width="2" style="2232" customWidth="1"/>
    <col min="14118" max="14335" width="9.19921875" style="2232"/>
    <col min="14336" max="14336" width="0" style="2232" hidden="1" customWidth="1"/>
    <col min="14337" max="14337" width="30.796875" style="2232" customWidth="1"/>
    <col min="14338" max="14338" width="3.796875" style="2232" customWidth="1"/>
    <col min="14339" max="14339" width="26.796875" style="2232" customWidth="1"/>
    <col min="14340" max="14340" width="13.796875" style="2232" customWidth="1"/>
    <col min="14341" max="14341" width="13.53125" style="2232" bestFit="1" customWidth="1"/>
    <col min="14342" max="14343" width="12.796875" style="2232" customWidth="1"/>
    <col min="14344" max="14344" width="18" style="2232" customWidth="1"/>
    <col min="14345" max="14345" width="15.796875" style="2232" customWidth="1"/>
    <col min="14346" max="14346" width="17.796875" style="2232" customWidth="1"/>
    <col min="14347" max="14347" width="9.19921875" style="2232"/>
    <col min="14348" max="14348" width="11.53125" style="2232" customWidth="1"/>
    <col min="14349" max="14349" width="12.19921875" style="2232" bestFit="1" customWidth="1"/>
    <col min="14350" max="14361" width="9.19921875" style="2232"/>
    <col min="14362" max="14363" width="3.46484375" style="2232" customWidth="1"/>
    <col min="14364" max="14369" width="9.19921875" style="2232"/>
    <col min="14370" max="14370" width="9.796875" style="2232" bestFit="1" customWidth="1"/>
    <col min="14371" max="14371" width="12.19921875" style="2232" bestFit="1" customWidth="1"/>
    <col min="14372" max="14372" width="10.19921875" style="2232" customWidth="1"/>
    <col min="14373" max="14373" width="2" style="2232" customWidth="1"/>
    <col min="14374" max="14591" width="9.19921875" style="2232"/>
    <col min="14592" max="14592" width="0" style="2232" hidden="1" customWidth="1"/>
    <col min="14593" max="14593" width="30.796875" style="2232" customWidth="1"/>
    <col min="14594" max="14594" width="3.796875" style="2232" customWidth="1"/>
    <col min="14595" max="14595" width="26.796875" style="2232" customWidth="1"/>
    <col min="14596" max="14596" width="13.796875" style="2232" customWidth="1"/>
    <col min="14597" max="14597" width="13.53125" style="2232" bestFit="1" customWidth="1"/>
    <col min="14598" max="14599" width="12.796875" style="2232" customWidth="1"/>
    <col min="14600" max="14600" width="18" style="2232" customWidth="1"/>
    <col min="14601" max="14601" width="15.796875" style="2232" customWidth="1"/>
    <col min="14602" max="14602" width="17.796875" style="2232" customWidth="1"/>
    <col min="14603" max="14603" width="9.19921875" style="2232"/>
    <col min="14604" max="14604" width="11.53125" style="2232" customWidth="1"/>
    <col min="14605" max="14605" width="12.19921875" style="2232" bestFit="1" customWidth="1"/>
    <col min="14606" max="14617" width="9.19921875" style="2232"/>
    <col min="14618" max="14619" width="3.46484375" style="2232" customWidth="1"/>
    <col min="14620" max="14625" width="9.19921875" style="2232"/>
    <col min="14626" max="14626" width="9.796875" style="2232" bestFit="1" customWidth="1"/>
    <col min="14627" max="14627" width="12.19921875" style="2232" bestFit="1" customWidth="1"/>
    <col min="14628" max="14628" width="10.19921875" style="2232" customWidth="1"/>
    <col min="14629" max="14629" width="2" style="2232" customWidth="1"/>
    <col min="14630" max="14847" width="9.19921875" style="2232"/>
    <col min="14848" max="14848" width="0" style="2232" hidden="1" customWidth="1"/>
    <col min="14849" max="14849" width="30.796875" style="2232" customWidth="1"/>
    <col min="14850" max="14850" width="3.796875" style="2232" customWidth="1"/>
    <col min="14851" max="14851" width="26.796875" style="2232" customWidth="1"/>
    <col min="14852" max="14852" width="13.796875" style="2232" customWidth="1"/>
    <col min="14853" max="14853" width="13.53125" style="2232" bestFit="1" customWidth="1"/>
    <col min="14854" max="14855" width="12.796875" style="2232" customWidth="1"/>
    <col min="14856" max="14856" width="18" style="2232" customWidth="1"/>
    <col min="14857" max="14857" width="15.796875" style="2232" customWidth="1"/>
    <col min="14858" max="14858" width="17.796875" style="2232" customWidth="1"/>
    <col min="14859" max="14859" width="9.19921875" style="2232"/>
    <col min="14860" max="14860" width="11.53125" style="2232" customWidth="1"/>
    <col min="14861" max="14861" width="12.19921875" style="2232" bestFit="1" customWidth="1"/>
    <col min="14862" max="14873" width="9.19921875" style="2232"/>
    <col min="14874" max="14875" width="3.46484375" style="2232" customWidth="1"/>
    <col min="14876" max="14881" width="9.19921875" style="2232"/>
    <col min="14882" max="14882" width="9.796875" style="2232" bestFit="1" customWidth="1"/>
    <col min="14883" max="14883" width="12.19921875" style="2232" bestFit="1" customWidth="1"/>
    <col min="14884" max="14884" width="10.19921875" style="2232" customWidth="1"/>
    <col min="14885" max="14885" width="2" style="2232" customWidth="1"/>
    <col min="14886" max="15103" width="9.19921875" style="2232"/>
    <col min="15104" max="15104" width="0" style="2232" hidden="1" customWidth="1"/>
    <col min="15105" max="15105" width="30.796875" style="2232" customWidth="1"/>
    <col min="15106" max="15106" width="3.796875" style="2232" customWidth="1"/>
    <col min="15107" max="15107" width="26.796875" style="2232" customWidth="1"/>
    <col min="15108" max="15108" width="13.796875" style="2232" customWidth="1"/>
    <col min="15109" max="15109" width="13.53125" style="2232" bestFit="1" customWidth="1"/>
    <col min="15110" max="15111" width="12.796875" style="2232" customWidth="1"/>
    <col min="15112" max="15112" width="18" style="2232" customWidth="1"/>
    <col min="15113" max="15113" width="15.796875" style="2232" customWidth="1"/>
    <col min="15114" max="15114" width="17.796875" style="2232" customWidth="1"/>
    <col min="15115" max="15115" width="9.19921875" style="2232"/>
    <col min="15116" max="15116" width="11.53125" style="2232" customWidth="1"/>
    <col min="15117" max="15117" width="12.19921875" style="2232" bestFit="1" customWidth="1"/>
    <col min="15118" max="15129" width="9.19921875" style="2232"/>
    <col min="15130" max="15131" width="3.46484375" style="2232" customWidth="1"/>
    <col min="15132" max="15137" width="9.19921875" style="2232"/>
    <col min="15138" max="15138" width="9.796875" style="2232" bestFit="1" customWidth="1"/>
    <col min="15139" max="15139" width="12.19921875" style="2232" bestFit="1" customWidth="1"/>
    <col min="15140" max="15140" width="10.19921875" style="2232" customWidth="1"/>
    <col min="15141" max="15141" width="2" style="2232" customWidth="1"/>
    <col min="15142" max="15359" width="9.19921875" style="2232"/>
    <col min="15360" max="15360" width="0" style="2232" hidden="1" customWidth="1"/>
    <col min="15361" max="15361" width="30.796875" style="2232" customWidth="1"/>
    <col min="15362" max="15362" width="3.796875" style="2232" customWidth="1"/>
    <col min="15363" max="15363" width="26.796875" style="2232" customWidth="1"/>
    <col min="15364" max="15364" width="13.796875" style="2232" customWidth="1"/>
    <col min="15365" max="15365" width="13.53125" style="2232" bestFit="1" customWidth="1"/>
    <col min="15366" max="15367" width="12.796875" style="2232" customWidth="1"/>
    <col min="15368" max="15368" width="18" style="2232" customWidth="1"/>
    <col min="15369" max="15369" width="15.796875" style="2232" customWidth="1"/>
    <col min="15370" max="15370" width="17.796875" style="2232" customWidth="1"/>
    <col min="15371" max="15371" width="9.19921875" style="2232"/>
    <col min="15372" max="15372" width="11.53125" style="2232" customWidth="1"/>
    <col min="15373" max="15373" width="12.19921875" style="2232" bestFit="1" customWidth="1"/>
    <col min="15374" max="15385" width="9.19921875" style="2232"/>
    <col min="15386" max="15387" width="3.46484375" style="2232" customWidth="1"/>
    <col min="15388" max="15393" width="9.19921875" style="2232"/>
    <col min="15394" max="15394" width="9.796875" style="2232" bestFit="1" customWidth="1"/>
    <col min="15395" max="15395" width="12.19921875" style="2232" bestFit="1" customWidth="1"/>
    <col min="15396" max="15396" width="10.19921875" style="2232" customWidth="1"/>
    <col min="15397" max="15397" width="2" style="2232" customWidth="1"/>
    <col min="15398" max="15615" width="9.19921875" style="2232"/>
    <col min="15616" max="15616" width="0" style="2232" hidden="1" customWidth="1"/>
    <col min="15617" max="15617" width="30.796875" style="2232" customWidth="1"/>
    <col min="15618" max="15618" width="3.796875" style="2232" customWidth="1"/>
    <col min="15619" max="15619" width="26.796875" style="2232" customWidth="1"/>
    <col min="15620" max="15620" width="13.796875" style="2232" customWidth="1"/>
    <col min="15621" max="15621" width="13.53125" style="2232" bestFit="1" customWidth="1"/>
    <col min="15622" max="15623" width="12.796875" style="2232" customWidth="1"/>
    <col min="15624" max="15624" width="18" style="2232" customWidth="1"/>
    <col min="15625" max="15625" width="15.796875" style="2232" customWidth="1"/>
    <col min="15626" max="15626" width="17.796875" style="2232" customWidth="1"/>
    <col min="15627" max="15627" width="9.19921875" style="2232"/>
    <col min="15628" max="15628" width="11.53125" style="2232" customWidth="1"/>
    <col min="15629" max="15629" width="12.19921875" style="2232" bestFit="1" customWidth="1"/>
    <col min="15630" max="15641" width="9.19921875" style="2232"/>
    <col min="15642" max="15643" width="3.46484375" style="2232" customWidth="1"/>
    <col min="15644" max="15649" width="9.19921875" style="2232"/>
    <col min="15650" max="15650" width="9.796875" style="2232" bestFit="1" customWidth="1"/>
    <col min="15651" max="15651" width="12.19921875" style="2232" bestFit="1" customWidth="1"/>
    <col min="15652" max="15652" width="10.19921875" style="2232" customWidth="1"/>
    <col min="15653" max="15653" width="2" style="2232" customWidth="1"/>
    <col min="15654" max="15871" width="9.19921875" style="2232"/>
    <col min="15872" max="15872" width="0" style="2232" hidden="1" customWidth="1"/>
    <col min="15873" max="15873" width="30.796875" style="2232" customWidth="1"/>
    <col min="15874" max="15874" width="3.796875" style="2232" customWidth="1"/>
    <col min="15875" max="15875" width="26.796875" style="2232" customWidth="1"/>
    <col min="15876" max="15876" width="13.796875" style="2232" customWidth="1"/>
    <col min="15877" max="15877" width="13.53125" style="2232" bestFit="1" customWidth="1"/>
    <col min="15878" max="15879" width="12.796875" style="2232" customWidth="1"/>
    <col min="15880" max="15880" width="18" style="2232" customWidth="1"/>
    <col min="15881" max="15881" width="15.796875" style="2232" customWidth="1"/>
    <col min="15882" max="15882" width="17.796875" style="2232" customWidth="1"/>
    <col min="15883" max="15883" width="9.19921875" style="2232"/>
    <col min="15884" max="15884" width="11.53125" style="2232" customWidth="1"/>
    <col min="15885" max="15885" width="12.19921875" style="2232" bestFit="1" customWidth="1"/>
    <col min="15886" max="15897" width="9.19921875" style="2232"/>
    <col min="15898" max="15899" width="3.46484375" style="2232" customWidth="1"/>
    <col min="15900" max="15905" width="9.19921875" style="2232"/>
    <col min="15906" max="15906" width="9.796875" style="2232" bestFit="1" customWidth="1"/>
    <col min="15907" max="15907" width="12.19921875" style="2232" bestFit="1" customWidth="1"/>
    <col min="15908" max="15908" width="10.19921875" style="2232" customWidth="1"/>
    <col min="15909" max="15909" width="2" style="2232" customWidth="1"/>
    <col min="15910" max="16127" width="9.19921875" style="2232"/>
    <col min="16128" max="16128" width="0" style="2232" hidden="1" customWidth="1"/>
    <col min="16129" max="16129" width="30.796875" style="2232" customWidth="1"/>
    <col min="16130" max="16130" width="3.796875" style="2232" customWidth="1"/>
    <col min="16131" max="16131" width="26.796875" style="2232" customWidth="1"/>
    <col min="16132" max="16132" width="13.796875" style="2232" customWidth="1"/>
    <col min="16133" max="16133" width="13.53125" style="2232" bestFit="1" customWidth="1"/>
    <col min="16134" max="16135" width="12.796875" style="2232" customWidth="1"/>
    <col min="16136" max="16136" width="18" style="2232" customWidth="1"/>
    <col min="16137" max="16137" width="15.796875" style="2232" customWidth="1"/>
    <col min="16138" max="16138" width="17.796875" style="2232" customWidth="1"/>
    <col min="16139" max="16139" width="9.19921875" style="2232"/>
    <col min="16140" max="16140" width="11.53125" style="2232" customWidth="1"/>
    <col min="16141" max="16141" width="12.19921875" style="2232" bestFit="1" customWidth="1"/>
    <col min="16142" max="16153" width="9.19921875" style="2232"/>
    <col min="16154" max="16155" width="3.46484375" style="2232" customWidth="1"/>
    <col min="16156" max="16161" width="9.19921875" style="2232"/>
    <col min="16162" max="16162" width="9.796875" style="2232" bestFit="1" customWidth="1"/>
    <col min="16163" max="16163" width="12.19921875" style="2232" bestFit="1" customWidth="1"/>
    <col min="16164" max="16164" width="10.19921875" style="2232" customWidth="1"/>
    <col min="16165" max="16165" width="2" style="2232" customWidth="1"/>
    <col min="16166" max="16384" width="9.19921875" style="2232"/>
  </cols>
  <sheetData>
    <row r="1" spans="1:15" ht="12.75" customHeight="1">
      <c r="A1" s="2230"/>
    </row>
    <row r="2" spans="1:15" s="2823" customFormat="1" ht="21" customHeight="1">
      <c r="A2" s="2233"/>
      <c r="B2" s="3258" t="s">
        <v>0</v>
      </c>
      <c r="C2" s="2232"/>
      <c r="D2" s="2820" t="s">
        <v>1268</v>
      </c>
      <c r="E2" s="2821"/>
      <c r="F2" s="2821"/>
      <c r="G2" s="2822"/>
      <c r="H2" s="2822"/>
      <c r="I2" s="2822"/>
      <c r="J2" s="2822"/>
      <c r="K2" s="2822"/>
      <c r="L2" s="2822"/>
      <c r="M2" s="2822"/>
      <c r="N2" s="2822"/>
    </row>
    <row r="3" spans="1:15" ht="21" customHeight="1">
      <c r="B3" s="3258"/>
      <c r="E3" s="2263"/>
      <c r="F3" s="2263"/>
      <c r="G3" s="2263"/>
      <c r="H3" s="2263"/>
      <c r="I3" s="2263"/>
      <c r="J3" s="2263"/>
      <c r="K3" s="2263"/>
      <c r="L3" s="2263"/>
    </row>
    <row r="4" spans="1:15" ht="21" customHeight="1">
      <c r="E4" s="2263"/>
      <c r="F4" s="2263"/>
      <c r="G4" s="2235" t="s">
        <v>1166</v>
      </c>
      <c r="H4" s="3265">
        <v>100000</v>
      </c>
      <c r="I4" s="3266"/>
      <c r="J4" s="2236" t="s">
        <v>1233</v>
      </c>
      <c r="L4" s="2263"/>
      <c r="M4" s="2263"/>
    </row>
    <row r="5" spans="1:15" ht="21" customHeight="1">
      <c r="B5" s="62" t="s">
        <v>1</v>
      </c>
      <c r="E5" s="2234"/>
      <c r="F5" s="2234"/>
      <c r="G5" s="2235" t="s">
        <v>1166</v>
      </c>
      <c r="H5" s="3259">
        <f>H4*6.28981</f>
        <v>628981</v>
      </c>
      <c r="I5" s="3259"/>
      <c r="J5" s="2236" t="s">
        <v>1234</v>
      </c>
      <c r="L5" s="2234"/>
      <c r="M5" s="2234"/>
    </row>
    <row r="6" spans="1:15" ht="21" customHeight="1">
      <c r="B6" s="62" t="s">
        <v>452</v>
      </c>
      <c r="E6" s="2234"/>
      <c r="F6" s="2234"/>
      <c r="G6" s="2235" t="s">
        <v>1167</v>
      </c>
      <c r="H6" s="3260">
        <v>100000</v>
      </c>
      <c r="I6" s="3261"/>
      <c r="J6" s="2236" t="s">
        <v>1168</v>
      </c>
      <c r="L6" s="2234"/>
      <c r="M6" s="2234"/>
    </row>
    <row r="7" spans="1:15" ht="21" customHeight="1">
      <c r="B7" s="62" t="s">
        <v>239</v>
      </c>
      <c r="E7" s="2234"/>
      <c r="F7" s="2234"/>
      <c r="G7" s="2235" t="s">
        <v>1204</v>
      </c>
      <c r="H7" s="3263" t="s">
        <v>1192</v>
      </c>
      <c r="I7" s="3264"/>
      <c r="L7" s="2234"/>
      <c r="M7" s="2234"/>
    </row>
    <row r="8" spans="1:15" ht="21" customHeight="1">
      <c r="B8" s="146" t="s">
        <v>1263</v>
      </c>
      <c r="E8" s="2237"/>
      <c r="F8" s="2237"/>
      <c r="G8" s="2237"/>
      <c r="H8" s="3267" t="s">
        <v>1186</v>
      </c>
      <c r="I8" s="3267"/>
      <c r="J8" s="2782"/>
      <c r="K8" s="2237"/>
      <c r="L8" s="2237"/>
      <c r="M8" s="2237"/>
      <c r="N8" s="2237"/>
    </row>
    <row r="9" spans="1:15" ht="21" customHeight="1">
      <c r="B9" s="145" t="s">
        <v>486</v>
      </c>
      <c r="E9" s="3252" t="s">
        <v>1169</v>
      </c>
      <c r="F9" s="3262" t="s">
        <v>1170</v>
      </c>
      <c r="G9" s="3252" t="s">
        <v>1171</v>
      </c>
      <c r="H9" s="2784" t="str">
        <f>IF(AC102&lt;3,"API","Density")</f>
        <v>Density</v>
      </c>
      <c r="I9" s="3262" t="s">
        <v>1251</v>
      </c>
      <c r="J9" s="3252" t="s">
        <v>1172</v>
      </c>
      <c r="K9" s="3254" t="s">
        <v>1172</v>
      </c>
      <c r="L9" s="3254" t="s">
        <v>1172</v>
      </c>
      <c r="M9" s="3254" t="s">
        <v>1172</v>
      </c>
      <c r="N9" s="3256" t="s">
        <v>1232</v>
      </c>
    </row>
    <row r="10" spans="1:15" ht="21" customHeight="1">
      <c r="B10" s="145" t="s">
        <v>487</v>
      </c>
      <c r="E10" s="3252"/>
      <c r="F10" s="3262"/>
      <c r="G10" s="3252"/>
      <c r="H10" s="2783" t="str">
        <f>IF(AC102&lt;3,"(60°F)","(15°C)")</f>
        <v>(15°C)</v>
      </c>
      <c r="I10" s="3252"/>
      <c r="J10" s="3252"/>
      <c r="K10" s="3255"/>
      <c r="L10" s="3255"/>
      <c r="M10" s="3255"/>
      <c r="N10" s="3257"/>
    </row>
    <row r="11" spans="1:15" ht="21" customHeight="1">
      <c r="B11" s="145" t="s">
        <v>1273</v>
      </c>
      <c r="E11" s="2238"/>
      <c r="F11" s="2780" t="s">
        <v>946</v>
      </c>
      <c r="G11" s="2239"/>
      <c r="H11" s="2239" t="str">
        <f>IF(AC102&lt;3,"","kg/m3 or kg/L")</f>
        <v>kg/m3 or kg/L</v>
      </c>
      <c r="I11" s="2239" t="str">
        <f>IF(AC102&lt;3,"(°F)","(°C)")</f>
        <v>(°C)</v>
      </c>
      <c r="J11" s="2239" t="str">
        <f>F11</f>
        <v>MT</v>
      </c>
      <c r="K11" s="2239" t="str">
        <f>IF(AC102&lt;3,"Bbls@60°F","Cub.m.@15°C")</f>
        <v>Cub.m.@15°C</v>
      </c>
      <c r="L11" s="2752" t="str">
        <f>IF(AC102&lt;3,"Bbls@Obs.Temp.","Cub/m.@Obs.Temp.")</f>
        <v>Cub/m.@Obs.Temp.</v>
      </c>
      <c r="M11" s="2357" t="s">
        <v>946</v>
      </c>
      <c r="N11" s="2239" t="s">
        <v>1173</v>
      </c>
      <c r="O11" s="2241"/>
    </row>
    <row r="12" spans="1:15" ht="21" customHeight="1">
      <c r="B12" s="145" t="s">
        <v>1276</v>
      </c>
      <c r="E12" s="2753" t="s">
        <v>1174</v>
      </c>
      <c r="F12" s="2648">
        <v>50000</v>
      </c>
      <c r="G12" s="2649"/>
      <c r="H12" s="2650">
        <v>0.87570000000000003</v>
      </c>
      <c r="I12" s="2755">
        <v>20</v>
      </c>
      <c r="J12" s="2648">
        <v>50000</v>
      </c>
      <c r="K12" s="2797">
        <f>IF(F12=0,"",AK134)</f>
        <v>57168.991538989249</v>
      </c>
      <c r="L12" s="2797">
        <f>IF(F12=0,"",AL134)</f>
        <v>57398.585882519328</v>
      </c>
      <c r="M12" s="2651">
        <f>IF(F12=0,"",AM134)</f>
        <v>50000</v>
      </c>
      <c r="N12" s="2652">
        <f>(J12-F12)*100/F12</f>
        <v>0</v>
      </c>
      <c r="O12" s="2241"/>
    </row>
    <row r="13" spans="1:15" ht="21" customHeight="1">
      <c r="B13" s="147" t="s">
        <v>1264</v>
      </c>
      <c r="E13" s="2754" t="s">
        <v>1175</v>
      </c>
      <c r="F13" s="2653">
        <v>50000</v>
      </c>
      <c r="G13" s="2654">
        <v>10</v>
      </c>
      <c r="H13" s="2655">
        <v>0.86499999999999999</v>
      </c>
      <c r="I13" s="2756">
        <v>22</v>
      </c>
      <c r="J13" s="2656">
        <f>IF(OR(F13=0,H13=0,AK135=0),"",AJ135)</f>
        <v>36593.9401</v>
      </c>
      <c r="K13" s="2798">
        <f>IF(OR(F13=0,H13=0,AK135=0),"",AK135)</f>
        <v>42359</v>
      </c>
      <c r="L13" s="2798">
        <f>IF(OR(F13=0,H13=0,AL135=0),"",AL135)</f>
        <v>42601.414117480672</v>
      </c>
      <c r="M13" s="2657">
        <f>IF(OR(F13=0,H13=0,AL135=0),"",AM135)</f>
        <v>36593.9401</v>
      </c>
      <c r="N13" s="2658">
        <f>IF(OR(F13=0,H13=0,J13=""),"",(J13-F13)*100/F13)</f>
        <v>-26.812119800000001</v>
      </c>
      <c r="O13" s="2241"/>
    </row>
    <row r="14" spans="1:15" ht="21" customHeight="1">
      <c r="B14" s="145" t="s">
        <v>1265</v>
      </c>
      <c r="E14" s="2234"/>
      <c r="F14" s="2234"/>
      <c r="G14" s="2234"/>
      <c r="H14" s="2234"/>
      <c r="I14" s="2235" t="s">
        <v>548</v>
      </c>
      <c r="J14" s="2235"/>
      <c r="K14" s="2647">
        <f>SUM(K12:K13)</f>
        <v>99527.991538989241</v>
      </c>
      <c r="L14" s="2647">
        <f>SUM(L12:L13)</f>
        <v>100000</v>
      </c>
      <c r="M14" s="2240">
        <f>SUM(M12:M13)</f>
        <v>86593.940100000007</v>
      </c>
      <c r="N14" s="2245"/>
    </row>
    <row r="15" spans="1:15" ht="21" customHeight="1">
      <c r="B15" s="145" t="s">
        <v>1266</v>
      </c>
      <c r="E15" s="2237"/>
      <c r="F15" s="2237"/>
      <c r="G15" s="2237"/>
      <c r="H15" s="2237"/>
      <c r="I15" s="2242"/>
      <c r="J15" s="2242"/>
      <c r="K15" s="2243"/>
      <c r="L15" s="2243"/>
      <c r="M15" s="2243"/>
      <c r="N15" s="2244"/>
    </row>
    <row r="16" spans="1:15" ht="21" customHeight="1">
      <c r="B16" s="145" t="s">
        <v>1267</v>
      </c>
      <c r="E16" s="2234"/>
      <c r="F16" s="2234"/>
      <c r="I16" s="2235" t="s">
        <v>1176</v>
      </c>
      <c r="J16" s="2235"/>
      <c r="K16" s="2647">
        <f>K14</f>
        <v>99527.991538989241</v>
      </c>
      <c r="L16" s="2659" t="str">
        <f>K11</f>
        <v>Cub.m.@15°C</v>
      </c>
      <c r="M16" s="2245"/>
    </row>
    <row r="17" spans="2:13" ht="21" customHeight="1">
      <c r="B17" s="145" t="s">
        <v>556</v>
      </c>
      <c r="E17" s="2234"/>
      <c r="F17" s="2234"/>
      <c r="I17" s="2235" t="s">
        <v>1176</v>
      </c>
      <c r="J17" s="2235"/>
      <c r="K17" s="2647">
        <f>L14</f>
        <v>100000</v>
      </c>
      <c r="L17" s="2659" t="str">
        <f>L11</f>
        <v>Cub/m.@Obs.Temp.</v>
      </c>
      <c r="M17" s="2245"/>
    </row>
    <row r="18" spans="2:13" ht="21" customHeight="1">
      <c r="B18" s="62" t="s">
        <v>557</v>
      </c>
      <c r="E18" s="2234"/>
      <c r="F18" s="2234"/>
      <c r="I18" s="2235" t="s">
        <v>1177</v>
      </c>
      <c r="J18" s="2235"/>
      <c r="K18" s="2660">
        <f>ROUND(AL138,1)</f>
        <v>98</v>
      </c>
      <c r="L18" s="2659"/>
      <c r="M18" s="2245"/>
    </row>
    <row r="19" spans="2:13" ht="21" customHeight="1">
      <c r="B19" s="62" t="s">
        <v>238</v>
      </c>
      <c r="E19" s="2234"/>
      <c r="F19" s="2234"/>
      <c r="I19" s="2235" t="s">
        <v>1176</v>
      </c>
      <c r="J19" s="2235"/>
      <c r="K19" s="2647">
        <f>M14</f>
        <v>86593.940100000007</v>
      </c>
      <c r="L19" s="2246" t="str">
        <f>IF(M14&gt;H6," M.T."," M.T.  C/P min. not meet")</f>
        <v xml:space="preserve"> M.T.  C/P min. not meet</v>
      </c>
      <c r="M19" s="2245"/>
    </row>
    <row r="20" spans="2:13" ht="21" customHeight="1">
      <c r="B20" s="62" t="s">
        <v>1652</v>
      </c>
      <c r="E20" s="2234"/>
      <c r="F20" s="2234"/>
      <c r="I20" s="2235" t="s">
        <v>1235</v>
      </c>
      <c r="J20" s="2235"/>
      <c r="K20" s="2647">
        <f>IF(AM137&lt;0,AM137,"")</f>
        <v>-13406.059899999993</v>
      </c>
      <c r="L20" s="2246" t="str">
        <f>IF(M14&gt;H6,""," M.T.  C/P min. not meet")</f>
        <v xml:space="preserve"> M.T.  C/P min. not meet</v>
      </c>
      <c r="M20" s="2234"/>
    </row>
    <row r="21" spans="2:13" ht="21" customHeight="1">
      <c r="B21" s="62" t="s">
        <v>1653</v>
      </c>
      <c r="E21" s="2247" t="s">
        <v>1178</v>
      </c>
      <c r="F21" s="2248"/>
      <c r="G21" s="2248"/>
      <c r="H21" s="2248"/>
      <c r="I21" s="2248"/>
      <c r="J21" s="2248"/>
      <c r="K21" s="2248"/>
      <c r="L21" s="2248"/>
      <c r="M21" s="2264"/>
    </row>
    <row r="22" spans="2:13" ht="21" customHeight="1">
      <c r="B22" s="62" t="s">
        <v>40</v>
      </c>
      <c r="E22" s="2249" t="s">
        <v>1179</v>
      </c>
      <c r="F22" s="2265"/>
      <c r="G22" s="2265"/>
      <c r="H22" s="2265"/>
      <c r="I22" s="2265"/>
      <c r="J22" s="2265"/>
      <c r="K22" s="2265"/>
      <c r="L22" s="2265"/>
      <c r="M22" s="2266"/>
    </row>
    <row r="23" spans="2:13" ht="21" customHeight="1">
      <c r="B23" s="62" t="s">
        <v>238</v>
      </c>
      <c r="E23" s="2267" t="s">
        <v>1261</v>
      </c>
      <c r="F23" s="2268"/>
      <c r="G23" s="2268"/>
      <c r="H23" s="2268"/>
      <c r="I23" s="2268"/>
      <c r="J23" s="2268"/>
      <c r="K23" s="2268"/>
      <c r="L23" s="2268"/>
      <c r="M23" s="2269"/>
    </row>
    <row r="24" spans="2:13" ht="21" customHeight="1">
      <c r="B24" s="62" t="s">
        <v>39</v>
      </c>
      <c r="E24" s="2250"/>
    </row>
    <row r="25" spans="2:13" ht="21" customHeight="1">
      <c r="B25" s="62" t="s">
        <v>38</v>
      </c>
      <c r="E25" s="2250"/>
    </row>
    <row r="26" spans="2:13" ht="21" customHeight="1">
      <c r="B26" s="62"/>
    </row>
    <row r="27" spans="2:13" ht="21" customHeight="1">
      <c r="B27" s="62"/>
    </row>
    <row r="28" spans="2:13" ht="21" customHeight="1">
      <c r="B28" s="565"/>
    </row>
    <row r="29" spans="2:13" ht="21" customHeight="1">
      <c r="B29" s="565"/>
    </row>
    <row r="30" spans="2:13" ht="21" customHeight="1">
      <c r="B30" s="565"/>
    </row>
    <row r="31" spans="2:13" ht="21" customHeight="1">
      <c r="B31" s="565"/>
    </row>
    <row r="32" spans="2:13" ht="21" customHeight="1">
      <c r="B32" s="565"/>
    </row>
    <row r="33" spans="2:2" ht="21" customHeight="1">
      <c r="B33" s="565"/>
    </row>
    <row r="34" spans="2:2" ht="21" customHeight="1"/>
    <row r="35" spans="2:2" ht="21" customHeight="1"/>
    <row r="99" spans="28:72">
      <c r="AB99" s="3253" t="s">
        <v>900</v>
      </c>
      <c r="AC99" s="3253"/>
      <c r="AD99" s="3253"/>
      <c r="AP99" s="2746" t="s">
        <v>900</v>
      </c>
      <c r="AQ99" s="2746"/>
      <c r="AR99" s="2746"/>
      <c r="BE99" s="2746" t="s">
        <v>900</v>
      </c>
      <c r="BF99" s="2746"/>
      <c r="BG99" s="2746"/>
      <c r="BK99" s="2746" t="s">
        <v>900</v>
      </c>
      <c r="BO99" s="2746"/>
      <c r="BP99" s="2746"/>
      <c r="BQ99" s="2746"/>
      <c r="BS99" s="2746" t="s">
        <v>900</v>
      </c>
    </row>
    <row r="100" spans="28:72">
      <c r="AB100" s="2503" t="s">
        <v>575</v>
      </c>
      <c r="AC100" s="2502"/>
      <c r="AD100" s="2506"/>
      <c r="AE100" s="2506"/>
      <c r="AF100" s="2502"/>
      <c r="AG100" s="2502"/>
      <c r="AH100" s="2682"/>
      <c r="AI100" s="2682"/>
      <c r="AJ100" s="2502"/>
      <c r="AK100" s="2502"/>
      <c r="AL100" s="2502"/>
      <c r="AM100" s="2502"/>
      <c r="AN100" s="2502"/>
      <c r="AO100" s="2502"/>
      <c r="AP100" s="1056"/>
      <c r="AQ100" s="1056"/>
      <c r="AR100" s="1057"/>
      <c r="AS100" s="1058"/>
      <c r="AT100" s="1058"/>
      <c r="AU100" s="1058"/>
      <c r="AV100" s="1058"/>
      <c r="AW100" s="1058"/>
      <c r="AX100" s="1058"/>
      <c r="AY100" s="1058"/>
      <c r="AZ100" s="1058"/>
      <c r="BA100" s="1058"/>
      <c r="BB100" s="1074" t="s">
        <v>575</v>
      </c>
      <c r="BC100" s="1058"/>
      <c r="BD100" s="1058"/>
      <c r="BE100" s="1058"/>
      <c r="BF100" s="1058"/>
      <c r="BG100" s="1058"/>
      <c r="BH100" s="1058"/>
      <c r="BI100" s="2591"/>
      <c r="BJ100" s="2591"/>
      <c r="BK100" s="2591"/>
      <c r="BL100" s="2591"/>
      <c r="BM100" s="1058"/>
      <c r="BN100" s="1058"/>
      <c r="BO100" s="1058"/>
      <c r="BP100" s="1059"/>
      <c r="BQ100" s="1058"/>
      <c r="BR100" s="1058"/>
      <c r="BS100" s="1059"/>
    </row>
    <row r="101" spans="28:72" ht="13.15">
      <c r="AB101" s="2504"/>
      <c r="AC101" s="3270" t="s">
        <v>1199</v>
      </c>
      <c r="AD101" s="3271"/>
      <c r="AE101" s="3271"/>
      <c r="AF101" s="3271"/>
      <c r="AG101" s="3271"/>
      <c r="AH101" s="3271"/>
      <c r="AI101" s="3272"/>
      <c r="AJ101" s="2776"/>
      <c r="AK101" s="3273"/>
      <c r="AL101" s="3274"/>
      <c r="AM101" s="3275"/>
      <c r="AN101" s="2690"/>
      <c r="AO101" s="2691"/>
      <c r="AP101" s="2529" t="s">
        <v>580</v>
      </c>
      <c r="AQ101" s="2434"/>
      <c r="AR101" s="2434"/>
      <c r="AS101" s="2434"/>
      <c r="AT101" s="2434"/>
      <c r="AU101" s="2434"/>
      <c r="AV101" s="2434"/>
      <c r="AW101" s="2434"/>
      <c r="AX101" s="2434"/>
      <c r="AY101" s="2434"/>
      <c r="AZ101" s="2434"/>
      <c r="BA101" s="2434"/>
      <c r="BB101" s="2530"/>
      <c r="BC101" s="2481"/>
      <c r="BD101" s="2501"/>
      <c r="BE101" s="1996" t="s">
        <v>11</v>
      </c>
      <c r="BF101" s="1997"/>
      <c r="BG101" s="1997"/>
      <c r="BH101" s="2532"/>
      <c r="BI101" s="2435" t="s">
        <v>6</v>
      </c>
      <c r="BJ101" s="2436"/>
      <c r="BK101" s="2436"/>
      <c r="BL101" s="2681"/>
      <c r="BM101" s="1998" t="s">
        <v>12</v>
      </c>
      <c r="BN101" s="2342"/>
      <c r="BO101" s="1999"/>
      <c r="BP101" s="2681"/>
      <c r="BQ101" s="19" t="s">
        <v>8</v>
      </c>
      <c r="BR101" s="20"/>
      <c r="BS101" s="20"/>
    </row>
    <row r="102" spans="28:72" ht="13.15">
      <c r="AB102" s="2482"/>
      <c r="AC102" s="2705">
        <f>MATCH(AD102,AD103:AD106,0)</f>
        <v>4</v>
      </c>
      <c r="AD102" s="2706" t="str">
        <f>H7</f>
        <v xml:space="preserve"> ASTM T. 54B - Dens. / m³ / °C </v>
      </c>
      <c r="AE102" s="2707"/>
      <c r="AF102" s="2708"/>
      <c r="AG102" s="2709" t="str">
        <f>VLOOKUP(AC102,AC103:AL106,5)</f>
        <v xml:space="preserve"> ASTM Table 54B</v>
      </c>
      <c r="AH102" s="2704"/>
      <c r="AI102" s="2719" t="str">
        <f>VLOOKUP(AC102,AC103:AL106,7)</f>
        <v>T.54A</v>
      </c>
      <c r="AJ102" s="2720" t="str">
        <f>VLOOKUP(AC102,AC103:AL106,8)</f>
        <v xml:space="preserve"> Density15°C </v>
      </c>
      <c r="AK102" s="2721" t="str">
        <f>VLOOKUP(AC102,AC103:AL106,9)</f>
        <v xml:space="preserve"> T°C</v>
      </c>
      <c r="AL102" s="2786" t="str">
        <f>VLOOKUP(AC102,AC103:AL106,10)</f>
        <v>Cub.m.@15°C</v>
      </c>
      <c r="AM102" s="2721" t="str">
        <f>VLOOKUP(AC102,AC103:AM106,11)</f>
        <v>T.56</v>
      </c>
      <c r="AN102" s="2692"/>
      <c r="AO102" s="2492"/>
      <c r="AP102" s="2533"/>
      <c r="AQ102" s="2534" t="s">
        <v>576</v>
      </c>
      <c r="AR102" s="2535"/>
      <c r="AS102" s="2529" t="s">
        <v>203</v>
      </c>
      <c r="AT102" s="2434"/>
      <c r="AU102" s="2536"/>
      <c r="AV102" s="2304"/>
      <c r="AW102" s="2537"/>
      <c r="AX102" s="2538"/>
      <c r="AY102" s="2538"/>
      <c r="AZ102" s="2538"/>
      <c r="BA102" s="2539"/>
      <c r="BB102" s="2540" t="s">
        <v>204</v>
      </c>
      <c r="BC102" s="520"/>
      <c r="BD102" s="514"/>
      <c r="BE102" s="2439" t="s">
        <v>18</v>
      </c>
      <c r="BF102" s="2439" t="s">
        <v>19</v>
      </c>
      <c r="BG102" s="2439" t="s">
        <v>20</v>
      </c>
      <c r="BH102" s="2404"/>
      <c r="BI102" s="2439" t="s">
        <v>18</v>
      </c>
      <c r="BJ102" s="2439" t="s">
        <v>15</v>
      </c>
      <c r="BK102" s="2439" t="s">
        <v>15</v>
      </c>
      <c r="BL102" s="2404"/>
      <c r="BM102" s="2439" t="s">
        <v>20</v>
      </c>
      <c r="BN102" s="2439" t="s">
        <v>19</v>
      </c>
      <c r="BO102" s="2439" t="s">
        <v>18</v>
      </c>
      <c r="BP102" s="2404"/>
      <c r="BQ102" s="177" t="s">
        <v>20</v>
      </c>
      <c r="BR102" s="178" t="s">
        <v>17</v>
      </c>
      <c r="BS102" s="179" t="s">
        <v>22</v>
      </c>
    </row>
    <row r="103" spans="28:72">
      <c r="AB103" s="2482"/>
      <c r="AC103" s="2488">
        <v>1</v>
      </c>
      <c r="AD103" s="2710" t="s">
        <v>1187</v>
      </c>
      <c r="AE103" s="2711"/>
      <c r="AF103" s="2491"/>
      <c r="AG103" s="2710" t="s">
        <v>1214</v>
      </c>
      <c r="AH103" s="2702"/>
      <c r="AI103" s="2498" t="s">
        <v>1183</v>
      </c>
      <c r="AJ103" s="2715" t="s">
        <v>1218</v>
      </c>
      <c r="AK103" s="2715" t="s">
        <v>1220</v>
      </c>
      <c r="AL103" s="2722" t="s">
        <v>1224</v>
      </c>
      <c r="AM103" s="2498" t="s">
        <v>1018</v>
      </c>
      <c r="AN103" s="398"/>
      <c r="AO103" s="2693"/>
      <c r="AP103" s="1091"/>
      <c r="AQ103" s="1607" t="s">
        <v>18</v>
      </c>
      <c r="AR103" s="1607" t="s">
        <v>205</v>
      </c>
      <c r="AS103" s="2529" t="s">
        <v>18</v>
      </c>
      <c r="AT103" s="2529" t="s">
        <v>205</v>
      </c>
      <c r="AU103" s="2296" t="s">
        <v>206</v>
      </c>
      <c r="AV103" s="2296" t="s">
        <v>207</v>
      </c>
      <c r="AW103" s="2537"/>
      <c r="AX103" s="2538"/>
      <c r="AY103" s="2538"/>
      <c r="AZ103" s="2538"/>
      <c r="BA103" s="2539"/>
      <c r="BB103" s="1092" t="s">
        <v>208</v>
      </c>
      <c r="BC103" s="520"/>
      <c r="BD103" s="514"/>
      <c r="BE103" s="2541" t="s">
        <v>26</v>
      </c>
      <c r="BF103" s="2541" t="s">
        <v>20</v>
      </c>
      <c r="BG103" s="2541" t="s">
        <v>27</v>
      </c>
      <c r="BH103" s="2404"/>
      <c r="BI103" s="2014" t="s">
        <v>26</v>
      </c>
      <c r="BJ103" s="2014" t="s">
        <v>25</v>
      </c>
      <c r="BK103" s="2014" t="s">
        <v>25</v>
      </c>
      <c r="BL103" s="2404"/>
      <c r="BM103" s="2541" t="s">
        <v>27</v>
      </c>
      <c r="BN103" s="2541" t="s">
        <v>20</v>
      </c>
      <c r="BO103" s="2541" t="s">
        <v>26</v>
      </c>
      <c r="BP103" s="2404"/>
      <c r="BQ103" s="180" t="s">
        <v>27</v>
      </c>
      <c r="BR103" s="181" t="s">
        <v>25</v>
      </c>
      <c r="BS103" s="182" t="s">
        <v>25</v>
      </c>
    </row>
    <row r="104" spans="28:72" ht="13.15">
      <c r="AB104" s="2482"/>
      <c r="AC104" s="2492">
        <v>2</v>
      </c>
      <c r="AD104" s="2712" t="s">
        <v>1188</v>
      </c>
      <c r="AE104" s="278"/>
      <c r="AF104" s="398"/>
      <c r="AG104" s="2712" t="s">
        <v>1215</v>
      </c>
      <c r="AH104" s="2480"/>
      <c r="AI104" s="2499" t="s">
        <v>1222</v>
      </c>
      <c r="AJ104" s="2716" t="s">
        <v>1218</v>
      </c>
      <c r="AK104" s="2716" t="s">
        <v>1220</v>
      </c>
      <c r="AL104" s="2693" t="s">
        <v>1224</v>
      </c>
      <c r="AM104" s="2499" t="s">
        <v>1018</v>
      </c>
      <c r="AN104" s="398"/>
      <c r="AO104" s="2693"/>
      <c r="AP104" s="2599">
        <v>1</v>
      </c>
      <c r="AQ104" s="1786">
        <f>AE114</f>
        <v>30</v>
      </c>
      <c r="AR104" s="1787">
        <f>AE117</f>
        <v>68</v>
      </c>
      <c r="AS104" s="2543">
        <f>FLOOR(AQ104,1)+IF(MOD(AQ104,1)&lt;0.26,0,IF(MOD(AQ104,1)&lt;0.76,0.5,1))</f>
        <v>30</v>
      </c>
      <c r="AT104" s="2543">
        <f>FLOOR(AR104,1)+IF(MOD(AR104,1)&lt;0.26,0,IF(MOD(AR104,1)&lt;0.76,0.5,1))</f>
        <v>68</v>
      </c>
      <c r="AU104" s="2544">
        <f>341.0957/(141.5*999.012/(AS104+131.5))^2</f>
        <v>4.4521215039333283E-4</v>
      </c>
      <c r="AV104" s="2544">
        <f>1+0.8*AU104*(AT104-60)</f>
        <v>1.0028493577625173</v>
      </c>
      <c r="AW104" s="2545"/>
      <c r="AX104" s="2546"/>
      <c r="AY104" s="2546"/>
      <c r="AZ104" s="2546"/>
      <c r="BA104" s="2547"/>
      <c r="BB104" s="2548">
        <f>ROUND(EXP(AU104*(AT104-60)*AV104*-1),4)</f>
        <v>0.99639999999999995</v>
      </c>
      <c r="BC104" s="520"/>
      <c r="BD104" s="514"/>
      <c r="BE104" s="2541" t="s">
        <v>27</v>
      </c>
      <c r="BF104" s="2541" t="s">
        <v>27</v>
      </c>
      <c r="BG104" s="2541" t="s">
        <v>27</v>
      </c>
      <c r="BH104" s="2404"/>
      <c r="BI104" s="2014" t="s">
        <v>27</v>
      </c>
      <c r="BJ104" s="2014" t="s">
        <v>963</v>
      </c>
      <c r="BK104" s="2014" t="s">
        <v>28</v>
      </c>
      <c r="BL104" s="2404"/>
      <c r="BM104" s="2541" t="s">
        <v>27</v>
      </c>
      <c r="BN104" s="2541" t="s">
        <v>27</v>
      </c>
      <c r="BO104" s="2541" t="s">
        <v>27</v>
      </c>
      <c r="BP104" s="2404"/>
      <c r="BQ104" s="180" t="s">
        <v>27</v>
      </c>
      <c r="BR104" s="181" t="s">
        <v>22</v>
      </c>
      <c r="BS104" s="182" t="s">
        <v>29</v>
      </c>
    </row>
    <row r="105" spans="28:72" ht="13.15">
      <c r="AB105" s="2482"/>
      <c r="AC105" s="2492">
        <v>3</v>
      </c>
      <c r="AD105" s="2712" t="s">
        <v>1191</v>
      </c>
      <c r="AE105" s="278"/>
      <c r="AF105" s="398"/>
      <c r="AG105" s="2712" t="s">
        <v>1216</v>
      </c>
      <c r="AH105" s="2480"/>
      <c r="AI105" s="2485" t="s">
        <v>1223</v>
      </c>
      <c r="AJ105" s="2716" t="s">
        <v>1219</v>
      </c>
      <c r="AK105" s="2716" t="s">
        <v>1221</v>
      </c>
      <c r="AL105" s="2693" t="s">
        <v>1225</v>
      </c>
      <c r="AM105" s="2485" t="s">
        <v>1250</v>
      </c>
      <c r="AN105" s="398"/>
      <c r="AO105" s="2693"/>
      <c r="AP105" s="2599">
        <v>2</v>
      </c>
      <c r="AQ105" s="1786">
        <f>AE120</f>
        <v>32</v>
      </c>
      <c r="AR105" s="1787">
        <f>AE123</f>
        <v>71.599999999999994</v>
      </c>
      <c r="AS105" s="2543">
        <f>FLOOR(AQ105,1)+IF(MOD(AQ105,1)&lt;0.26,0,IF(MOD(AQ105,1)&lt;0.76,0.5,1))</f>
        <v>32</v>
      </c>
      <c r="AT105" s="2543">
        <f>FLOOR(AR105,1)+IF(MOD(AR105,1)&lt;0.26,0,IF(MOD(AR105,1)&lt;0.76,0.5,1))</f>
        <v>71.5</v>
      </c>
      <c r="AU105" s="2544">
        <f>341.0957/(141.5*999.012/(AS105+131.5))^2</f>
        <v>4.5630735490044658E-4</v>
      </c>
      <c r="AV105" s="2544">
        <f>1+0.8*AU105*(AT105-60)</f>
        <v>1.0041980276650841</v>
      </c>
      <c r="AW105" s="2545"/>
      <c r="AX105" s="2546"/>
      <c r="AY105" s="2546"/>
      <c r="AZ105" s="2546"/>
      <c r="BA105" s="2547"/>
      <c r="BB105" s="2548">
        <f>ROUND(EXP(AU105*(AT105-60)*AV105*-1),4)</f>
        <v>0.99470000000000003</v>
      </c>
      <c r="BC105" s="520"/>
      <c r="BD105" s="514"/>
      <c r="BE105" s="2020" t="s">
        <v>32</v>
      </c>
      <c r="BF105" s="2020" t="s">
        <v>33</v>
      </c>
      <c r="BG105" s="2020" t="s">
        <v>31</v>
      </c>
      <c r="BH105" s="2404"/>
      <c r="BI105" s="2020" t="s">
        <v>32</v>
      </c>
      <c r="BJ105" s="2020" t="s">
        <v>32</v>
      </c>
      <c r="BK105" s="2020" t="s">
        <v>32</v>
      </c>
      <c r="BL105" s="2404"/>
      <c r="BM105" s="2020" t="s">
        <v>34</v>
      </c>
      <c r="BN105" s="2020" t="s">
        <v>35</v>
      </c>
      <c r="BO105" s="2020" t="s">
        <v>32</v>
      </c>
      <c r="BP105" s="2404"/>
      <c r="BQ105" s="23" t="s">
        <v>34</v>
      </c>
      <c r="BR105" s="183"/>
      <c r="BS105" s="184"/>
    </row>
    <row r="106" spans="28:72">
      <c r="AB106" s="2482"/>
      <c r="AC106" s="2486">
        <v>4</v>
      </c>
      <c r="AD106" s="2713" t="s">
        <v>1192</v>
      </c>
      <c r="AE106" s="2714"/>
      <c r="AF106" s="2495"/>
      <c r="AG106" s="2713" t="s">
        <v>1217</v>
      </c>
      <c r="AH106" s="2703"/>
      <c r="AI106" s="2487" t="s">
        <v>1223</v>
      </c>
      <c r="AJ106" s="2717" t="s">
        <v>1219</v>
      </c>
      <c r="AK106" s="2717" t="s">
        <v>1221</v>
      </c>
      <c r="AL106" s="2723" t="s">
        <v>1225</v>
      </c>
      <c r="AM106" s="2487" t="s">
        <v>1250</v>
      </c>
      <c r="AN106" s="398"/>
      <c r="AO106" s="2693"/>
      <c r="AP106" s="2551"/>
      <c r="AQ106" s="541"/>
      <c r="AR106" s="541"/>
      <c r="AS106" s="541"/>
      <c r="AT106" s="541"/>
      <c r="AU106" s="541"/>
      <c r="AV106" s="541"/>
      <c r="AW106" s="541"/>
      <c r="AX106" s="541"/>
      <c r="AY106" s="541"/>
      <c r="AZ106" s="541"/>
      <c r="BA106" s="541"/>
      <c r="BB106" s="2552"/>
      <c r="BC106" s="520"/>
      <c r="BD106" s="514"/>
      <c r="BE106" s="1650">
        <f>VLOOKUP(BE107,BE119:BE969,TRUE)</f>
        <v>30</v>
      </c>
      <c r="BF106" s="1651">
        <f>VLOOKUP(BE106,BE119:BF969,2)</f>
        <v>0.87619999999999998</v>
      </c>
      <c r="BG106" s="1652">
        <f>VLOOKUP(BE106,BE119:BG969,3)</f>
        <v>875.7</v>
      </c>
      <c r="BH106" s="33"/>
      <c r="BI106" s="1650">
        <f>VLOOKUP(BI107,$BI$119:$BI$969,TRUE)</f>
        <v>30</v>
      </c>
      <c r="BJ106" s="1653">
        <f>VLOOKUP(BI106,$BI$119:$BJ$969,2)</f>
        <v>3.3092000000000001</v>
      </c>
      <c r="BK106" s="1654">
        <f>VLOOKUP(BI106,$BI$119:$BK$969,3)</f>
        <v>0.13899</v>
      </c>
      <c r="BL106" s="33"/>
      <c r="BM106" s="1650">
        <f>VLOOKUP(BM107,BM119:BM544,TRUE)</f>
        <v>875</v>
      </c>
      <c r="BN106" s="1651">
        <f>VLOOKUP(BM106,BM119:BN544,2)</f>
        <v>0.87549999999999994</v>
      </c>
      <c r="BO106" s="1655">
        <f>VLOOKUP(BM106,BM119:BO544,3)</f>
        <v>30.13</v>
      </c>
      <c r="BP106" s="520"/>
      <c r="BQ106" s="1650">
        <f>VLOOKUP(BQ107,BQ119:BQ544,TRUE)</f>
        <v>875</v>
      </c>
      <c r="BR106" s="1652">
        <f>VLOOKUP(BQ106,BQ119:BR544,2)</f>
        <v>873.9</v>
      </c>
      <c r="BS106" s="1651">
        <f>VLOOKUP(BQ106,BQ119:BS544,3)</f>
        <v>1.1443000000000001</v>
      </c>
    </row>
    <row r="107" spans="28:72" ht="13.15">
      <c r="AB107" s="2482"/>
      <c r="AC107" s="514"/>
      <c r="AD107" s="514"/>
      <c r="AE107" s="514"/>
      <c r="AF107" s="514"/>
      <c r="AG107" s="514"/>
      <c r="AH107" s="514"/>
      <c r="AI107" s="514"/>
      <c r="AJ107" s="514"/>
      <c r="AK107" s="12"/>
      <c r="AL107" s="12"/>
      <c r="AM107" s="12"/>
      <c r="AN107" s="398"/>
      <c r="AO107" s="2693"/>
      <c r="AP107" s="2533"/>
      <c r="AQ107" s="2534" t="s">
        <v>576</v>
      </c>
      <c r="AR107" s="2535"/>
      <c r="AS107" s="2529" t="s">
        <v>209</v>
      </c>
      <c r="AT107" s="2434"/>
      <c r="AU107" s="2291" t="s">
        <v>210</v>
      </c>
      <c r="AV107" s="2287" t="s">
        <v>211</v>
      </c>
      <c r="AW107" s="2292"/>
      <c r="AX107" s="2292"/>
      <c r="AY107" s="2288"/>
      <c r="AZ107" s="2291" t="s">
        <v>211</v>
      </c>
      <c r="BA107" s="2553" t="s">
        <v>212</v>
      </c>
      <c r="BB107" s="2540" t="s">
        <v>204</v>
      </c>
      <c r="BC107" s="520"/>
      <c r="BD107" s="514"/>
      <c r="BE107" s="1656">
        <f>AE114</f>
        <v>30</v>
      </c>
      <c r="BF107" s="1657">
        <f>ROUND(BF106+((BE107-BE106)/(BE108-BE106))*(BF108-BF106),4)</f>
        <v>0.87619999999999998</v>
      </c>
      <c r="BG107" s="1658">
        <f>ROUND(BG106+((BE107-BE106)/(BE108-BE106))*(BG108-BG106),1)</f>
        <v>875.7</v>
      </c>
      <c r="BH107" s="33"/>
      <c r="BI107" s="1656">
        <f>AE114</f>
        <v>30</v>
      </c>
      <c r="BJ107" s="1659">
        <f>BJ106+((BI107-BI106)/(BI108-BI106))*(BJ108-BJ106)</f>
        <v>3.3092000000000001</v>
      </c>
      <c r="BK107" s="1660">
        <f>BK106+((BI107-BI106)/(BI108-BI106))*(BK108-BK106)</f>
        <v>0.13899</v>
      </c>
      <c r="BL107" s="33"/>
      <c r="BM107" s="1661">
        <f>$AE115</f>
        <v>875.7</v>
      </c>
      <c r="BN107" s="1657">
        <f>ROUND(BN106+((BM107-BM106)/(BM108-BM106))*(BN108-BN106),4)</f>
        <v>0.87619999999999998</v>
      </c>
      <c r="BO107" s="1662">
        <f>ROUND(BO106+((BM107-BM106)/(BM108-BM106))*(BO108-BO106),2)</f>
        <v>30</v>
      </c>
      <c r="BP107" s="520"/>
      <c r="BQ107" s="1661">
        <f>$AE115</f>
        <v>875.7</v>
      </c>
      <c r="BR107" s="1658">
        <f>ROUND(BR106+((BQ107-BQ106)/(BQ108-BQ106))*(BR108-BR106),6)</f>
        <v>874.6</v>
      </c>
      <c r="BS107" s="1657">
        <f>ROUND(BS106+((BQ107-BQ106)/(BQ108-BQ106))*(BS108-BS106),6)</f>
        <v>1.1433899999999999</v>
      </c>
      <c r="BT107" s="2785"/>
    </row>
    <row r="108" spans="28:72" ht="13.15">
      <c r="AB108" s="2482"/>
      <c r="AC108" s="3243" t="s">
        <v>1198</v>
      </c>
      <c r="AD108" s="3244"/>
      <c r="AE108" s="3244"/>
      <c r="AF108" s="3244"/>
      <c r="AG108" s="3244"/>
      <c r="AH108" s="3245"/>
      <c r="AI108" s="2741"/>
      <c r="AJ108" s="2777"/>
      <c r="AK108" s="2778" t="s">
        <v>1249</v>
      </c>
      <c r="AL108" s="2779"/>
      <c r="AM108" s="12"/>
      <c r="AN108" s="398"/>
      <c r="AO108" s="2693"/>
      <c r="AP108" s="1091"/>
      <c r="AQ108" s="1607" t="s">
        <v>18</v>
      </c>
      <c r="AR108" s="1607" t="s">
        <v>205</v>
      </c>
      <c r="AS108" s="2529" t="s">
        <v>18</v>
      </c>
      <c r="AT108" s="2529" t="s">
        <v>205</v>
      </c>
      <c r="AU108" s="2299"/>
      <c r="AV108" s="2296" t="s">
        <v>213</v>
      </c>
      <c r="AW108" s="2296" t="s">
        <v>214</v>
      </c>
      <c r="AX108" s="2296" t="s">
        <v>215</v>
      </c>
      <c r="AY108" s="2296" t="s">
        <v>216</v>
      </c>
      <c r="AZ108" s="2299"/>
      <c r="BA108" s="2476"/>
      <c r="BB108" s="1092" t="s">
        <v>217</v>
      </c>
      <c r="BC108" s="520"/>
      <c r="BD108" s="514"/>
      <c r="BE108" s="1650">
        <f>INDEX(BE119:BE969,(MATCH(BE106,BE119:BE969,1)+1))</f>
        <v>30.1</v>
      </c>
      <c r="BF108" s="1651">
        <f>VLOOKUP(BE108,BE119:BF969,2)</f>
        <v>0.87560000000000004</v>
      </c>
      <c r="BG108" s="1652">
        <f>VLOOKUP(BE108,BE119:BG969,3)</f>
        <v>875.1</v>
      </c>
      <c r="BH108" s="33"/>
      <c r="BI108" s="1650">
        <f>INDEX($BI$119:$BI$969,(MATCH(BI106,$BI$119:$BI$969,1)+1))</f>
        <v>30.1</v>
      </c>
      <c r="BJ108" s="1653">
        <f>VLOOKUP(BI108,$BI$119:$BJ$969,2)</f>
        <v>3.3071999999999999</v>
      </c>
      <c r="BK108" s="1654">
        <f>VLOOKUP(BI108,$BI$119:$BK$969,3)</f>
        <v>0.1389</v>
      </c>
      <c r="BL108" s="33"/>
      <c r="BM108" s="1650">
        <f>INDEX(BM119:BM544,(MATCH(BM106,BM119:BM544,1)+1))</f>
        <v>876</v>
      </c>
      <c r="BN108" s="1651">
        <f>VLOOKUP(BM108,BM119:BN544,2)</f>
        <v>0.87649999999999995</v>
      </c>
      <c r="BO108" s="1655">
        <f>VLOOKUP(BM108,BM119:BO544,3)</f>
        <v>29.94</v>
      </c>
      <c r="BP108" s="520"/>
      <c r="BQ108" s="1650">
        <f>INDEX(BQ119:BQ544,(MATCH(BQ106,BQ119:BQ544,1)+1))</f>
        <v>876</v>
      </c>
      <c r="BR108" s="1652">
        <f>VLOOKUP(BQ108,BQ119:BR544,2)</f>
        <v>874.9</v>
      </c>
      <c r="BS108" s="1651">
        <f>VLOOKUP(BQ108,BQ119:BS544,3)</f>
        <v>1.143</v>
      </c>
    </row>
    <row r="109" spans="28:72" ht="13.15">
      <c r="AB109" s="2482"/>
      <c r="AC109" s="2482"/>
      <c r="AD109" s="2496" t="str">
        <f>IF(AC102&lt;3,"A.P.I. Cargp 1 ","Density  Cargp 1 ")</f>
        <v xml:space="preserve">Density  Cargp 1 </v>
      </c>
      <c r="AE109" s="2508">
        <f>H12</f>
        <v>0.87570000000000003</v>
      </c>
      <c r="AF109" s="2497" t="str">
        <f>IF(AC102&lt;3,"",IF(AE109&gt;1,"kg/m³@15°C","kg/L@15°C"))</f>
        <v>kg/L@15°C</v>
      </c>
      <c r="AG109" s="514"/>
      <c r="AH109" s="520"/>
      <c r="AI109" s="2482"/>
      <c r="AJ109" s="514"/>
      <c r="AK109" s="2718">
        <f>MATCH(F11,AL110:AL111,0)</f>
        <v>2</v>
      </c>
      <c r="AL109" s="2718" t="str">
        <f>VLOOKUP(AK109,AK109:AL112,2)</f>
        <v>MT</v>
      </c>
      <c r="AM109" s="514"/>
      <c r="AN109" s="520"/>
      <c r="AO109" s="2694"/>
      <c r="AP109" s="2599">
        <v>1</v>
      </c>
      <c r="AQ109" s="1786">
        <f>AE114</f>
        <v>30</v>
      </c>
      <c r="AR109" s="1787">
        <f>AE117</f>
        <v>68</v>
      </c>
      <c r="AS109" s="2543">
        <f>FLOOR(AQ109,1)+IF(MOD(AQ109,1)&lt;0.26,0,IF(MOD(AQ109,1)&lt;0.76,0.5,1))</f>
        <v>30</v>
      </c>
      <c r="AT109" s="2543">
        <f>FLOOR(AR109,1)+IF(MOD(AR109,1)&lt;0.26,0,IF(MOD(AR109,1)&lt;0.76,0.5,1))</f>
        <v>68</v>
      </c>
      <c r="AU109" s="1607">
        <f>(141.5*999.012 )/(AS109+131.5)</f>
        <v>875.29534365325082</v>
      </c>
      <c r="AV109" s="1607">
        <f>IF(AS109&lt;37,(103.872/AU109^2)+(0.2701/AU109),0)</f>
        <v>4.4415956778610943E-4</v>
      </c>
      <c r="AW109" s="1607">
        <f>IF(AND(AS109&gt;=37,AS109&lt;48),330.301/AU109^2,0)</f>
        <v>0</v>
      </c>
      <c r="AX109" s="1607">
        <f>IF(AND(AS109&gt;=48,AS109&lt;52),((1489.067/AU109^2)-0.0018684),0)</f>
        <v>0</v>
      </c>
      <c r="AY109" s="1607">
        <f>IF(AND(AS109&gt;=52,AS109&lt;85),(192.4571/AU109^2)+(0.2438/AU109),0)</f>
        <v>0</v>
      </c>
      <c r="AZ109" s="1687">
        <f>MAX(AV109:AY109)</f>
        <v>4.4415956778610943E-4</v>
      </c>
      <c r="BA109" s="1607">
        <f>1+0.8*AZ109*(AT109-60)</f>
        <v>1.0028426212338311</v>
      </c>
      <c r="BB109" s="1093">
        <f>ROUND(EXP(AZ109*(AT109-60)*BA109*-1),4)</f>
        <v>0.99639999999999995</v>
      </c>
      <c r="BC109" s="520"/>
      <c r="BD109" s="514"/>
      <c r="BE109" s="1681"/>
      <c r="BF109" s="1682"/>
      <c r="BG109" s="1683"/>
      <c r="BH109" s="33"/>
      <c r="BI109" s="12"/>
      <c r="BJ109" s="12"/>
      <c r="BK109" s="12"/>
      <c r="BL109" s="33"/>
      <c r="BM109" s="1681"/>
      <c r="BN109" s="1682"/>
      <c r="BO109" s="1682"/>
      <c r="BP109" s="520"/>
      <c r="BQ109" s="1681"/>
      <c r="BR109" s="1683"/>
      <c r="BS109" s="1682"/>
    </row>
    <row r="110" spans="28:72" ht="13.15">
      <c r="AB110" s="2482"/>
      <c r="AC110" s="2482"/>
      <c r="AD110" s="2496" t="str">
        <f>IF(AC102&lt;3,"A.P.I. Cargp 2 ","Density  Cargp 2 ")</f>
        <v xml:space="preserve">Density  Cargp 2 </v>
      </c>
      <c r="AE110" s="2508">
        <f>H13</f>
        <v>0.86499999999999999</v>
      </c>
      <c r="AF110" s="2497" t="str">
        <f>IF(AC102&lt;3,"",IF(AE109&gt;1,"kg/m³@15°C","kg/L@15°C"))</f>
        <v>kg/L@15°C</v>
      </c>
      <c r="AG110" s="514"/>
      <c r="AH110" s="520"/>
      <c r="AI110" s="2482"/>
      <c r="AJ110" s="514"/>
      <c r="AK110" s="2488">
        <v>1</v>
      </c>
      <c r="AL110" s="2722" t="str">
        <f>IF(AC102&lt;3,"Bbls@60°F","Cub.m@15°C")</f>
        <v>Cub.m@15°C</v>
      </c>
      <c r="AM110" s="514"/>
      <c r="AN110" s="520"/>
      <c r="AO110" s="2694"/>
      <c r="AP110" s="2599">
        <v>2</v>
      </c>
      <c r="AQ110" s="1786">
        <f>AE120</f>
        <v>32</v>
      </c>
      <c r="AR110" s="1787">
        <f>AE123</f>
        <v>71.599999999999994</v>
      </c>
      <c r="AS110" s="2543">
        <f>FLOOR(AQ110,1)+IF(MOD(AQ110,1)&lt;0.26,0,IF(MOD(AQ110,1)&lt;0.76,0.5,1))</f>
        <v>32</v>
      </c>
      <c r="AT110" s="2543">
        <f>FLOOR(AR110,1)+IF(MOD(AR110,1)&lt;0.26,0,IF(MOD(AR110,1)&lt;0.76,0.5,1))</f>
        <v>71.5</v>
      </c>
      <c r="AU110" s="1607">
        <f>(141.5*999.012 )/(AS110+131.5)</f>
        <v>864.58836697247705</v>
      </c>
      <c r="AV110" s="1607">
        <f>IF(AS110&lt;37,(103.872/AU110^2)+(0.2701/AU110),0)</f>
        <v>4.5135977290316272E-4</v>
      </c>
      <c r="AW110" s="1607">
        <f>IF(AND(AS110&gt;=37,AS110&lt;48),330.301/AU110^2,0)</f>
        <v>0</v>
      </c>
      <c r="AX110" s="1607">
        <f>IF(AND(AS110&gt;=48,AS110&lt;52),((1489.067/AU110^2)-0.0018684),0)</f>
        <v>0</v>
      </c>
      <c r="AY110" s="1607">
        <f>IF(AND(AS110&gt;=52,AS110&lt;85),(192.4571/AU110^2)+(0.2438/AU110),0)</f>
        <v>0</v>
      </c>
      <c r="AZ110" s="1687">
        <f>MAX(AV110:AY110)</f>
        <v>4.5135977290316272E-4</v>
      </c>
      <c r="BA110" s="1607">
        <f>1+0.8*AZ110*(AT110-60)</f>
        <v>1.0041525099107091</v>
      </c>
      <c r="BB110" s="1093">
        <f>ROUND(EXP(AZ110*(AT110-60)*BA110*-1),4)</f>
        <v>0.99480000000000002</v>
      </c>
      <c r="BC110" s="520"/>
      <c r="BD110" s="514"/>
      <c r="BE110" s="1650">
        <f>VLOOKUP(BE111,BE119:BE969,TRUE)</f>
        <v>32</v>
      </c>
      <c r="BF110" s="1651">
        <f>VLOOKUP(BE110,BE119:BF969,2)</f>
        <v>0.86539999999999995</v>
      </c>
      <c r="BG110" s="1652">
        <f>VLOOKUP(BE110,BE119:BG969,3)</f>
        <v>865</v>
      </c>
      <c r="BH110" s="33"/>
      <c r="BI110" s="1650">
        <f>VLOOKUP(BI111,$BI$119:$BI$969,TRUE)</f>
        <v>32</v>
      </c>
      <c r="BJ110" s="1653">
        <f>VLOOKUP(BI110,$BI$119:$BJ$969,2)</f>
        <v>3.2686999999999999</v>
      </c>
      <c r="BK110" s="1654">
        <f>VLOOKUP(BI110,$BI$119:$BK$969,3)</f>
        <v>0.13728000000000001</v>
      </c>
      <c r="BL110" s="33"/>
      <c r="BM110" s="1650">
        <f>VLOOKUP(BM111,BM119:BM544,TRUE)</f>
        <v>865</v>
      </c>
      <c r="BN110" s="1651">
        <f>VLOOKUP(BM110,BM119:BN544,2)</f>
        <v>0.86550000000000005</v>
      </c>
      <c r="BO110" s="1655">
        <f>VLOOKUP(BM110,BM119:BO544,3)</f>
        <v>32</v>
      </c>
      <c r="BP110" s="520"/>
      <c r="BQ110" s="1650">
        <f>VLOOKUP(BQ111,BQ119:BQ544,TRUE)</f>
        <v>865</v>
      </c>
      <c r="BR110" s="1652">
        <f>VLOOKUP(BQ110,BQ119:BR544,2)</f>
        <v>863.9</v>
      </c>
      <c r="BS110" s="1651">
        <f>VLOOKUP(BQ110,BQ119:BS544,3)</f>
        <v>1.1575</v>
      </c>
    </row>
    <row r="111" spans="28:72" ht="13.15">
      <c r="AB111" s="2482"/>
      <c r="AC111" s="2482"/>
      <c r="AD111" s="2496" t="s">
        <v>1205</v>
      </c>
      <c r="AE111" s="2510">
        <f>I12</f>
        <v>20</v>
      </c>
      <c r="AF111" s="2497" t="str">
        <f>IF(AC102&lt;3,"°F","°C")</f>
        <v>°C</v>
      </c>
      <c r="AG111" s="514"/>
      <c r="AH111" s="520"/>
      <c r="AI111" s="2482"/>
      <c r="AJ111" s="514"/>
      <c r="AK111" s="2492">
        <v>2</v>
      </c>
      <c r="AL111" s="2694" t="s">
        <v>946</v>
      </c>
      <c r="AN111" s="520"/>
      <c r="AO111" s="2694"/>
      <c r="AP111" s="2482"/>
      <c r="AQ111" s="171"/>
      <c r="AR111" s="171"/>
      <c r="AS111" s="171"/>
      <c r="AT111" s="171"/>
      <c r="AU111" s="171"/>
      <c r="AV111" s="171"/>
      <c r="AW111" s="171"/>
      <c r="AX111" s="171"/>
      <c r="AY111" s="171"/>
      <c r="AZ111" s="171"/>
      <c r="BA111" s="171"/>
      <c r="BB111" s="171"/>
      <c r="BC111" s="520"/>
      <c r="BD111" s="514"/>
      <c r="BE111" s="1656">
        <f>AE120</f>
        <v>32</v>
      </c>
      <c r="BF111" s="1657">
        <f>BF110+((BE111-BE110)/(BE112-BE110))*(BF112-BF110)</f>
        <v>0.86539999999999995</v>
      </c>
      <c r="BG111" s="1658">
        <f>BG110+((BE111-BE110)/(BE112-BE110))*(BG112-BG110)</f>
        <v>865</v>
      </c>
      <c r="BH111" s="33"/>
      <c r="BI111" s="1656">
        <f>AE120</f>
        <v>32</v>
      </c>
      <c r="BJ111" s="1659">
        <f>BJ110+((BI111-BI110)/(BI112-BI110))*(BJ112-BJ110)</f>
        <v>3.2686999999999999</v>
      </c>
      <c r="BK111" s="1660">
        <f>BK110+((BI111-BI110)/(BI112-BI110))*(BK112-BK110)</f>
        <v>0.13728000000000001</v>
      </c>
      <c r="BL111" s="33"/>
      <c r="BM111" s="1661">
        <f>$AE121</f>
        <v>865</v>
      </c>
      <c r="BN111" s="1657">
        <f>BN110+((BM111-BM110)/(BM112-BM110))*(BN112-BN110)</f>
        <v>0.86550000000000005</v>
      </c>
      <c r="BO111" s="1662">
        <f>BO110+((BM111-BM110)/(BM112-BM110))*(BO112-BO110)</f>
        <v>32</v>
      </c>
      <c r="BP111" s="520"/>
      <c r="BQ111" s="1661">
        <f>$AE121</f>
        <v>865</v>
      </c>
      <c r="BR111" s="1658">
        <f>BR110+((BQ111-BQ110)/(BQ112-BQ110))*(BR112-BR110)</f>
        <v>863.9</v>
      </c>
      <c r="BS111" s="1657">
        <f>BS110+((BQ111-BQ110)/(BQ112-BQ110))*(BS112-BS110)</f>
        <v>1.1575</v>
      </c>
    </row>
    <row r="112" spans="28:72">
      <c r="AB112" s="2482"/>
      <c r="AC112" s="2482"/>
      <c r="AD112" s="2496" t="s">
        <v>1206</v>
      </c>
      <c r="AE112" s="2510">
        <f>I13</f>
        <v>22</v>
      </c>
      <c r="AF112" s="2497" t="str">
        <f>IF(AC102&lt;3,"°F","°C")</f>
        <v>°C</v>
      </c>
      <c r="AG112" s="514"/>
      <c r="AH112" s="520"/>
      <c r="AI112" s="2482"/>
      <c r="AJ112" s="514"/>
      <c r="AK112" s="2486"/>
      <c r="AL112" s="1091"/>
      <c r="AN112" s="520"/>
      <c r="AO112" s="2694"/>
      <c r="AP112" s="2482"/>
      <c r="AQ112" s="171"/>
      <c r="AR112" s="171"/>
      <c r="AS112" s="171"/>
      <c r="AT112" s="171"/>
      <c r="AU112" s="171"/>
      <c r="AV112" s="171"/>
      <c r="AW112" s="171"/>
      <c r="AX112" s="171"/>
      <c r="AY112" s="171"/>
      <c r="AZ112" s="171"/>
      <c r="BA112" s="171"/>
      <c r="BB112" s="171"/>
      <c r="BC112" s="520"/>
      <c r="BD112" s="514"/>
      <c r="BE112" s="2422">
        <f>INDEX(BE119:BE969,(MATCH(BE110,BE119:BE969,1)+1))</f>
        <v>32.1</v>
      </c>
      <c r="BF112" s="2423">
        <f>VLOOKUP(BE112,BE119:BF969,2)</f>
        <v>0.8649</v>
      </c>
      <c r="BG112" s="2424">
        <f>VLOOKUP(BE112,BE119:BG969,3)</f>
        <v>864.5</v>
      </c>
      <c r="BH112" s="33"/>
      <c r="BI112" s="2422">
        <f>INDEX($BI$119:$BI$969,(MATCH(BI110,$BI$119:$BI$969,1)+1))</f>
        <v>32.1</v>
      </c>
      <c r="BJ112" s="2425">
        <f>VLOOKUP(BI112,$BI$119:$BJ$969,2)</f>
        <v>3.2667000000000002</v>
      </c>
      <c r="BK112" s="2426">
        <f>VLOOKUP(BI112,$BI$119:$BK$969,3)</f>
        <v>0.13719999999999999</v>
      </c>
      <c r="BL112" s="33"/>
      <c r="BM112" s="2422">
        <f>INDEX(BM119:BM544,(MATCH(BM110,BM119:BM544,1)+1))</f>
        <v>866</v>
      </c>
      <c r="BN112" s="2423">
        <f>VLOOKUP(BM112,BM119:BN544,2)</f>
        <v>0.86650000000000005</v>
      </c>
      <c r="BO112" s="2427">
        <f>VLOOKUP(BM112,BM119:BO544,3)</f>
        <v>31.81</v>
      </c>
      <c r="BP112" s="520"/>
      <c r="BQ112" s="2422">
        <f>INDEX(BQ119:BQ544,(MATCH(BQ110,BQ119:BQ544,1)+1))</f>
        <v>866</v>
      </c>
      <c r="BR112" s="2424">
        <f>VLOOKUP(BQ112,BQ119:BR544,2)</f>
        <v>864.9</v>
      </c>
      <c r="BS112" s="2423">
        <f>VLOOKUP(BQ112,BQ119:BS544,3)</f>
        <v>1.1561999999999999</v>
      </c>
    </row>
    <row r="113" spans="28:71" ht="13.15">
      <c r="AB113" s="2482"/>
      <c r="AC113" s="2482"/>
      <c r="AD113" s="514"/>
      <c r="AE113" s="514"/>
      <c r="AF113" s="514"/>
      <c r="AG113" s="514"/>
      <c r="AH113" s="520"/>
      <c r="AI113" s="2482"/>
      <c r="AJ113" s="514"/>
      <c r="AK113" s="514"/>
      <c r="AL113" s="514"/>
      <c r="AN113" s="520"/>
      <c r="AO113" s="2694"/>
      <c r="AP113" s="2529" t="s">
        <v>326</v>
      </c>
      <c r="AQ113" s="2434"/>
      <c r="AR113" s="2434"/>
      <c r="AS113" s="2434"/>
      <c r="AT113" s="2434"/>
      <c r="AU113" s="2434"/>
      <c r="AV113" s="2434"/>
      <c r="AW113" s="2434"/>
      <c r="AX113" s="2434"/>
      <c r="AY113" s="2434"/>
      <c r="AZ113" s="2434"/>
      <c r="BA113" s="2434"/>
      <c r="BB113" s="2530"/>
      <c r="BC113" s="520"/>
      <c r="BD113" s="514"/>
      <c r="BE113" s="2301" t="s">
        <v>985</v>
      </c>
      <c r="BF113" s="2292"/>
      <c r="BG113" s="2292"/>
      <c r="BH113" s="2434"/>
      <c r="BI113" s="2292"/>
      <c r="BJ113" s="2292"/>
      <c r="BK113" s="2292"/>
      <c r="BL113" s="2434"/>
      <c r="BM113" s="2292"/>
      <c r="BN113" s="2292"/>
      <c r="BO113" s="2292"/>
      <c r="BP113" s="2292"/>
      <c r="BQ113" s="2292"/>
      <c r="BR113" s="2292"/>
      <c r="BS113" s="2288"/>
    </row>
    <row r="114" spans="28:71" ht="13.15">
      <c r="AB114" s="2482"/>
      <c r="AC114" s="2482"/>
      <c r="AD114" s="2511" t="s">
        <v>1208</v>
      </c>
      <c r="AE114" s="2507">
        <f>IF(AC102&lt;3,AE109,BO107)</f>
        <v>30</v>
      </c>
      <c r="AF114" s="514"/>
      <c r="AG114" s="514"/>
      <c r="AH114" s="520"/>
      <c r="AI114" s="2482"/>
      <c r="AJ114" s="514"/>
      <c r="AK114" s="514"/>
      <c r="AL114" s="514"/>
      <c r="AN114" s="520"/>
      <c r="AO114" s="2694"/>
      <c r="AP114" s="2533"/>
      <c r="AQ114" s="2534" t="s">
        <v>576</v>
      </c>
      <c r="AR114" s="2535"/>
      <c r="AS114" s="2529" t="s">
        <v>218</v>
      </c>
      <c r="AT114" s="2434"/>
      <c r="AU114" s="2578"/>
      <c r="AV114" s="2579"/>
      <c r="AW114" s="2537"/>
      <c r="AX114" s="2538"/>
      <c r="AY114" s="2538"/>
      <c r="AZ114" s="2539"/>
      <c r="BA114" s="2580"/>
      <c r="BB114" s="2540" t="s">
        <v>204</v>
      </c>
      <c r="BC114" s="520"/>
      <c r="BD114" s="514"/>
      <c r="BE114" s="2428" t="s">
        <v>11</v>
      </c>
      <c r="BF114" s="2429"/>
      <c r="BG114" s="2429"/>
      <c r="BH114" s="2406"/>
      <c r="BI114" s="2428" t="s">
        <v>6</v>
      </c>
      <c r="BJ114" s="2430"/>
      <c r="BK114" s="2429"/>
      <c r="BL114" s="2406"/>
      <c r="BM114" s="2431" t="s">
        <v>12</v>
      </c>
      <c r="BN114" s="2432"/>
      <c r="BO114" s="2433"/>
      <c r="BP114" s="2681"/>
      <c r="BQ114" s="19" t="s">
        <v>8</v>
      </c>
      <c r="BR114" s="20"/>
      <c r="BS114" s="20"/>
    </row>
    <row r="115" spans="28:71">
      <c r="AB115" s="2661"/>
      <c r="AC115" s="2662"/>
      <c r="AD115" s="2738" t="s">
        <v>1209</v>
      </c>
      <c r="AE115" s="2739">
        <f>IF(AC102&lt;3,BG107,IF(AE109&gt;2,AE109,AE109*1000))</f>
        <v>875.7</v>
      </c>
      <c r="AF115" s="2468" t="s">
        <v>168</v>
      </c>
      <c r="AG115" s="2740"/>
      <c r="AH115" s="2663"/>
      <c r="AI115" s="2662"/>
      <c r="AJ115" s="2740"/>
      <c r="AK115" s="2664"/>
      <c r="AL115" s="2664"/>
      <c r="AM115" s="2664"/>
      <c r="AN115" s="2676"/>
      <c r="AO115" s="2695"/>
      <c r="AP115" s="1091"/>
      <c r="AQ115" s="1607" t="s">
        <v>219</v>
      </c>
      <c r="AR115" s="1607" t="s">
        <v>220</v>
      </c>
      <c r="AS115" s="2529" t="s">
        <v>219</v>
      </c>
      <c r="AT115" s="2529" t="s">
        <v>220</v>
      </c>
      <c r="AU115" s="2372" t="s">
        <v>206</v>
      </c>
      <c r="AV115" s="2372" t="s">
        <v>207</v>
      </c>
      <c r="AW115" s="2537"/>
      <c r="AX115" s="2538"/>
      <c r="AY115" s="2538"/>
      <c r="AZ115" s="2539"/>
      <c r="BA115" s="2580"/>
      <c r="BB115" s="1092" t="s">
        <v>221</v>
      </c>
      <c r="BC115" s="520"/>
      <c r="BD115" s="514"/>
      <c r="BE115" s="2592" t="s">
        <v>18</v>
      </c>
      <c r="BF115" s="2593" t="s">
        <v>19</v>
      </c>
      <c r="BG115" s="2594" t="s">
        <v>20</v>
      </c>
      <c r="BH115" s="2406"/>
      <c r="BI115" s="2592" t="s">
        <v>18</v>
      </c>
      <c r="BJ115" s="2593" t="s">
        <v>15</v>
      </c>
      <c r="BK115" s="2594" t="s">
        <v>15</v>
      </c>
      <c r="BL115" s="2406"/>
      <c r="BM115" s="2592" t="s">
        <v>20</v>
      </c>
      <c r="BN115" s="2593" t="s">
        <v>19</v>
      </c>
      <c r="BO115" s="2594" t="s">
        <v>18</v>
      </c>
      <c r="BP115" s="2404"/>
      <c r="BQ115" s="177" t="s">
        <v>20</v>
      </c>
      <c r="BR115" s="178" t="s">
        <v>17</v>
      </c>
      <c r="BS115" s="179" t="s">
        <v>22</v>
      </c>
    </row>
    <row r="116" spans="28:71" ht="13.15">
      <c r="AB116" s="2482"/>
      <c r="AC116" s="2482"/>
      <c r="AD116" s="2511" t="s">
        <v>1209</v>
      </c>
      <c r="AE116" s="2515">
        <f>AE115/1000</f>
        <v>0.87570000000000003</v>
      </c>
      <c r="AF116" s="2468" t="s">
        <v>168</v>
      </c>
      <c r="AG116" s="514"/>
      <c r="AH116" s="520"/>
      <c r="AI116" s="2482"/>
      <c r="AJ116" s="514"/>
      <c r="AK116" s="514"/>
      <c r="AL116" s="514"/>
      <c r="AM116" s="514"/>
      <c r="AN116" s="520"/>
      <c r="AO116" s="2694"/>
      <c r="AP116" s="2599">
        <v>1</v>
      </c>
      <c r="AQ116" s="1858">
        <f>AE115</f>
        <v>875.7</v>
      </c>
      <c r="AR116" s="1709">
        <f>AE118</f>
        <v>20</v>
      </c>
      <c r="AS116" s="1680">
        <f>IF((EVEN(AQ116)-AQ116)&lt;1,EVEN(AQ116),EVEN(AQ116)-2)</f>
        <v>876</v>
      </c>
      <c r="AT116" s="1710">
        <f>FLOOR(AR116,1)+IF(MOD(AR116,1)&lt;0.125,0,IF(MOD(AR116,1)&lt;0.375,0.25,IF(MOD(AR116,1)&lt;0.625,0.5,IF(MOD(AR116,1)&lt;0.875,0.75,1))))</f>
        <v>20</v>
      </c>
      <c r="AU116" s="1847">
        <f>613.9723/AS116^2</f>
        <v>8.0009317466274682E-4</v>
      </c>
      <c r="AV116" s="1847">
        <f>1+0.8*AU116*(AT116-15)</f>
        <v>1.0032003726986509</v>
      </c>
      <c r="AW116" s="2581"/>
      <c r="AX116" s="2582"/>
      <c r="AY116" s="2582"/>
      <c r="AZ116" s="2583"/>
      <c r="BA116" s="2584"/>
      <c r="BB116" s="1623">
        <f>ROUND(EXP(AU116*AV116*(AT116-15)*-1),4)</f>
        <v>0.996</v>
      </c>
      <c r="BC116" s="520"/>
      <c r="BD116" s="514"/>
      <c r="BE116" s="2595" t="s">
        <v>26</v>
      </c>
      <c r="BF116" s="2596" t="s">
        <v>20</v>
      </c>
      <c r="BG116" s="2597"/>
      <c r="BH116" s="2406"/>
      <c r="BI116" s="2595" t="s">
        <v>26</v>
      </c>
      <c r="BJ116" s="2596" t="s">
        <v>25</v>
      </c>
      <c r="BK116" s="2597" t="s">
        <v>25</v>
      </c>
      <c r="BL116" s="2406"/>
      <c r="BM116" s="2595"/>
      <c r="BN116" s="2598" t="s">
        <v>20</v>
      </c>
      <c r="BO116" s="2597" t="s">
        <v>26</v>
      </c>
      <c r="BP116" s="2404"/>
      <c r="BQ116" s="180" t="s">
        <v>27</v>
      </c>
      <c r="BR116" s="181" t="s">
        <v>25</v>
      </c>
      <c r="BS116" s="182" t="s">
        <v>25</v>
      </c>
    </row>
    <row r="117" spans="28:71" ht="13.15">
      <c r="AB117" s="2482"/>
      <c r="AC117" s="2482"/>
      <c r="AD117" s="2511" t="s">
        <v>1207</v>
      </c>
      <c r="AE117" s="2517">
        <f>IF(AF111="°F",AE111,ROUND((9/5)*AE111+32,1))</f>
        <v>68</v>
      </c>
      <c r="AF117" s="2468" t="s">
        <v>485</v>
      </c>
      <c r="AG117" s="514"/>
      <c r="AH117" s="520"/>
      <c r="AI117" s="2482"/>
      <c r="AJ117" s="514"/>
      <c r="AK117" s="514"/>
      <c r="AL117" s="514"/>
      <c r="AM117" s="514"/>
      <c r="AN117" s="520"/>
      <c r="AO117" s="2694"/>
      <c r="AP117" s="2665">
        <v>2</v>
      </c>
      <c r="AQ117" s="2666">
        <f>AE121</f>
        <v>865</v>
      </c>
      <c r="AR117" s="2667">
        <f>AE124</f>
        <v>22</v>
      </c>
      <c r="AS117" s="2668">
        <f>IF((EVEN(AQ117)-AQ117)&lt;1,EVEN(AQ117),EVEN(AQ117)-2)</f>
        <v>864</v>
      </c>
      <c r="AT117" s="2669">
        <f>FLOOR(AR117,1)+IF(MOD(AR117,1)&lt;0.125,0,IF(MOD(AR117,1)&lt;0.375,0.25,IF(MOD(AR117,1)&lt;0.625,0.5,IF(MOD(AR117,1)&lt;0.875,0.75,1))))</f>
        <v>22</v>
      </c>
      <c r="AU117" s="2670">
        <f>613.9723/AS117^2</f>
        <v>8.2247232403120712E-4</v>
      </c>
      <c r="AV117" s="2670">
        <f>1+0.8*AU117*(AT117-15)</f>
        <v>1.0046058450145747</v>
      </c>
      <c r="AW117" s="2671"/>
      <c r="AX117" s="2672"/>
      <c r="AY117" s="2672"/>
      <c r="AZ117" s="2673"/>
      <c r="BA117" s="2674"/>
      <c r="BB117" s="2675">
        <f>ROUND(EXP(AU117*AV117*(AT117-15)*-1),4)</f>
        <v>0.99419999999999997</v>
      </c>
      <c r="BC117" s="2676"/>
      <c r="BD117" s="2664"/>
      <c r="BE117" s="2677"/>
      <c r="BF117" s="2678"/>
      <c r="BG117" s="2679"/>
      <c r="BH117" s="2406"/>
      <c r="BI117" s="2677"/>
      <c r="BJ117" s="2678" t="s">
        <v>963</v>
      </c>
      <c r="BK117" s="2679" t="s">
        <v>28</v>
      </c>
      <c r="BL117" s="2406"/>
      <c r="BM117" s="2677"/>
      <c r="BN117" s="2680"/>
      <c r="BO117" s="2679"/>
      <c r="BP117" s="2404"/>
      <c r="BQ117" s="180" t="s">
        <v>27</v>
      </c>
      <c r="BR117" s="181" t="s">
        <v>22</v>
      </c>
      <c r="BS117" s="182" t="s">
        <v>29</v>
      </c>
    </row>
    <row r="118" spans="28:71">
      <c r="AB118" s="2482"/>
      <c r="AC118" s="2482"/>
      <c r="AD118" s="2511" t="s">
        <v>1207</v>
      </c>
      <c r="AE118" s="2516">
        <f>IF(AF111="°C",AE111,ROUND((AE111-32)/9*5,2))</f>
        <v>20</v>
      </c>
      <c r="AF118" s="2468" t="s">
        <v>484</v>
      </c>
      <c r="AG118" s="514"/>
      <c r="AH118" s="520"/>
      <c r="AI118" s="2482"/>
      <c r="AJ118" s="514"/>
      <c r="AK118" s="514"/>
      <c r="AL118" s="514"/>
      <c r="AM118" s="514"/>
      <c r="AN118" s="520"/>
      <c r="AO118" s="2694"/>
      <c r="AP118" s="2551"/>
      <c r="AQ118" s="2551"/>
      <c r="AR118" s="541"/>
      <c r="AS118" s="561"/>
      <c r="AT118" s="561"/>
      <c r="AU118" s="561"/>
      <c r="AV118" s="541"/>
      <c r="AW118" s="541"/>
      <c r="AX118" s="541"/>
      <c r="AY118" s="541"/>
      <c r="AZ118" s="541"/>
      <c r="BA118" s="514"/>
      <c r="BB118" s="541"/>
      <c r="BC118" s="520"/>
      <c r="BD118" s="514"/>
      <c r="BE118" s="2416" t="s">
        <v>32</v>
      </c>
      <c r="BF118" s="2417" t="s">
        <v>33</v>
      </c>
      <c r="BG118" s="2418" t="s">
        <v>31</v>
      </c>
      <c r="BH118" s="2406"/>
      <c r="BI118" s="2416" t="s">
        <v>32</v>
      </c>
      <c r="BJ118" s="2417" t="s">
        <v>32</v>
      </c>
      <c r="BK118" s="2418" t="s">
        <v>32</v>
      </c>
      <c r="BL118" s="2406"/>
      <c r="BM118" s="2416" t="s">
        <v>34</v>
      </c>
      <c r="BN118" s="2419" t="s">
        <v>35</v>
      </c>
      <c r="BO118" s="2418" t="s">
        <v>32</v>
      </c>
      <c r="BP118" s="2404"/>
      <c r="BQ118" s="23" t="s">
        <v>34</v>
      </c>
      <c r="BR118" s="183"/>
      <c r="BS118" s="184"/>
    </row>
    <row r="119" spans="28:71" ht="13.25" customHeight="1">
      <c r="AB119" s="2482"/>
      <c r="AC119" s="2482"/>
      <c r="AD119" s="514"/>
      <c r="AE119" s="2516"/>
      <c r="AF119" s="2468"/>
      <c r="AG119" s="514"/>
      <c r="AH119" s="520"/>
      <c r="AI119" s="2482"/>
      <c r="AJ119" s="514"/>
      <c r="AK119" s="514"/>
      <c r="AL119" s="514"/>
      <c r="AM119" s="514"/>
      <c r="AN119" s="520"/>
      <c r="AO119" s="2694"/>
      <c r="AP119" s="2533"/>
      <c r="AQ119" s="2534" t="s">
        <v>576</v>
      </c>
      <c r="AR119" s="2535"/>
      <c r="AS119" s="2529" t="s">
        <v>222</v>
      </c>
      <c r="AT119" s="2434"/>
      <c r="AU119" s="2287" t="s">
        <v>210</v>
      </c>
      <c r="AV119" s="2292"/>
      <c r="AW119" s="2292"/>
      <c r="AX119" s="2288"/>
      <c r="AY119" s="2291" t="s">
        <v>210</v>
      </c>
      <c r="AZ119" s="2315" t="s">
        <v>211</v>
      </c>
      <c r="BA119" s="2588"/>
      <c r="BB119" s="2540" t="s">
        <v>204</v>
      </c>
      <c r="BC119" s="520"/>
      <c r="BD119" s="514"/>
      <c r="BE119" s="30">
        <v>0</v>
      </c>
      <c r="BF119" s="31">
        <v>1.0760000000000001</v>
      </c>
      <c r="BG119" s="32">
        <v>1075.3</v>
      </c>
      <c r="BH119" s="33"/>
      <c r="BI119" s="30">
        <v>0</v>
      </c>
      <c r="BJ119" s="34">
        <v>4.0651999999999999</v>
      </c>
      <c r="BK119" s="35">
        <v>0.17074</v>
      </c>
      <c r="BL119" s="33"/>
      <c r="BM119" s="1713">
        <v>650</v>
      </c>
      <c r="BN119" s="1714"/>
      <c r="BO119" s="1715"/>
      <c r="BP119" s="520"/>
      <c r="BQ119" s="40">
        <v>650</v>
      </c>
      <c r="BR119" s="34"/>
      <c r="BS119" s="41"/>
    </row>
    <row r="120" spans="28:71">
      <c r="AB120" s="2482"/>
      <c r="AC120" s="2482"/>
      <c r="AD120" s="2511" t="s">
        <v>1212</v>
      </c>
      <c r="AE120" s="2516">
        <f>IF(AC102&lt;3,AE110,BO111)</f>
        <v>32</v>
      </c>
      <c r="AF120" s="2468"/>
      <c r="AG120" s="514"/>
      <c r="AH120" s="520"/>
      <c r="AI120" s="2482"/>
      <c r="AJ120" s="514"/>
      <c r="AK120" s="514"/>
      <c r="AL120" s="514"/>
      <c r="AM120" s="514"/>
      <c r="AN120" s="520"/>
      <c r="AO120" s="2694"/>
      <c r="AP120" s="1091"/>
      <c r="AQ120" s="1607" t="s">
        <v>219</v>
      </c>
      <c r="AR120" s="1607" t="s">
        <v>220</v>
      </c>
      <c r="AS120" s="2529" t="s">
        <v>219</v>
      </c>
      <c r="AT120" s="2529" t="s">
        <v>220</v>
      </c>
      <c r="AU120" s="2296" t="s">
        <v>223</v>
      </c>
      <c r="AV120" s="2296" t="s">
        <v>224</v>
      </c>
      <c r="AW120" s="2296" t="s">
        <v>225</v>
      </c>
      <c r="AX120" s="2296" t="s">
        <v>226</v>
      </c>
      <c r="AY120" s="2299"/>
      <c r="AZ120" s="2317"/>
      <c r="BA120" s="2479"/>
      <c r="BB120" s="1092" t="s">
        <v>227</v>
      </c>
      <c r="BC120" s="520"/>
      <c r="BD120" s="514"/>
      <c r="BE120" s="30">
        <v>0.1</v>
      </c>
      <c r="BF120" s="31">
        <v>1.0751999999999999</v>
      </c>
      <c r="BG120" s="32">
        <v>1074.5</v>
      </c>
      <c r="BH120" s="33"/>
      <c r="BI120" s="30">
        <v>0.1</v>
      </c>
      <c r="BJ120" s="34">
        <v>4.0621</v>
      </c>
      <c r="BK120" s="35">
        <v>0.17061000000000001</v>
      </c>
      <c r="BL120" s="33"/>
      <c r="BM120" s="37">
        <v>651</v>
      </c>
      <c r="BN120" s="38"/>
      <c r="BO120" s="39"/>
      <c r="BP120" s="520"/>
      <c r="BQ120" s="37">
        <v>651</v>
      </c>
      <c r="BR120" s="34"/>
      <c r="BS120" s="41"/>
    </row>
    <row r="121" spans="28:71" ht="13.15">
      <c r="AB121" s="2482"/>
      <c r="AC121" s="2482"/>
      <c r="AD121" s="2511" t="s">
        <v>1211</v>
      </c>
      <c r="AE121" s="2739">
        <f>IF(AC102&lt;3,BG111,IF(AE110&gt;2,AE110,AE110*1000))</f>
        <v>865</v>
      </c>
      <c r="AF121" s="2468" t="s">
        <v>168</v>
      </c>
      <c r="AG121" s="514"/>
      <c r="AH121" s="520"/>
      <c r="AI121" s="2482"/>
      <c r="AJ121" s="514"/>
      <c r="AK121" s="514"/>
      <c r="AL121" s="514"/>
      <c r="AM121" s="514"/>
      <c r="AN121" s="520"/>
      <c r="AO121" s="2694"/>
      <c r="AP121" s="2599">
        <v>1</v>
      </c>
      <c r="AQ121" s="1858">
        <f>AE115</f>
        <v>875.7</v>
      </c>
      <c r="AR121" s="1709">
        <f>AE118</f>
        <v>20</v>
      </c>
      <c r="AS121" s="1680">
        <f>IF((EVEN(AQ121)-AQ121)&lt;1,EVEN(AQ121),EVEN(AQ121)-2)</f>
        <v>876</v>
      </c>
      <c r="AT121" s="1710">
        <f>FLOOR(AR121,1)+IF(MOD(AR121,1)&lt;0.125,0,IF(MOD(AR121,1)&lt;0.375,0.25,IF(MOD(AR121,1)&lt;0.625,0.5,IF(MOD(AR121,1)&lt;0.875,0.75,1))))</f>
        <v>20</v>
      </c>
      <c r="AU121" s="1607">
        <f>IF(AS121&lt;770,(192.4571/AS121^2)+(0.2438/AS121),0)</f>
        <v>0</v>
      </c>
      <c r="AV121" s="1607">
        <f>IF(AND(AS121&gt;=770,AS121&lt;787.5),(1489.0671/(AS121^2))-0.0018684,0)</f>
        <v>0</v>
      </c>
      <c r="AW121" s="1607">
        <f>IF(AND(AS121&gt;=787.5,AS121&lt;838.5),330.301/AS121^2,0)</f>
        <v>0</v>
      </c>
      <c r="AX121" s="1607">
        <f>IF(AND(AS121&gt;=838.5,AS121&lt;1075),(0.2701/AS121)+(103.873/AS121^2),0)</f>
        <v>4.436946164592065E-4</v>
      </c>
      <c r="AY121" s="1687">
        <f>MAX(AU121:AX121)</f>
        <v>4.436946164592065E-4</v>
      </c>
      <c r="AZ121" s="1607">
        <f>((AT121+40)*1.8)-99</f>
        <v>9</v>
      </c>
      <c r="BA121" s="2584"/>
      <c r="BB121" s="1854">
        <f>ROUND(EXP(-1*AY121*AZ121*(1+0.8*AY121*AZ121)),4)</f>
        <v>0.996</v>
      </c>
      <c r="BC121" s="520"/>
      <c r="BD121" s="514"/>
      <c r="BE121" s="30">
        <v>0.2</v>
      </c>
      <c r="BF121" s="31">
        <v>1.0744</v>
      </c>
      <c r="BG121" s="32">
        <v>1073.7</v>
      </c>
      <c r="BH121" s="33"/>
      <c r="BI121" s="30">
        <v>0.2</v>
      </c>
      <c r="BJ121" s="34">
        <v>4.0590999999999999</v>
      </c>
      <c r="BK121" s="35">
        <v>0.17047999999999999</v>
      </c>
      <c r="BL121" s="33"/>
      <c r="BM121" s="37">
        <v>652</v>
      </c>
      <c r="BN121" s="38"/>
      <c r="BO121" s="39"/>
      <c r="BP121" s="520"/>
      <c r="BQ121" s="37">
        <v>652</v>
      </c>
      <c r="BR121" s="34"/>
      <c r="BS121" s="41"/>
    </row>
    <row r="122" spans="28:71" ht="13.15">
      <c r="AB122" s="2482"/>
      <c r="AC122" s="2482"/>
      <c r="AD122" s="2511" t="s">
        <v>1211</v>
      </c>
      <c r="AE122" s="2515">
        <f>AE121/1000</f>
        <v>0.86499999999999999</v>
      </c>
      <c r="AF122" s="2468" t="s">
        <v>168</v>
      </c>
      <c r="AG122" s="514"/>
      <c r="AH122" s="520"/>
      <c r="AI122" s="2482"/>
      <c r="AJ122" s="514"/>
      <c r="AK122" s="514"/>
      <c r="AL122" s="514"/>
      <c r="AM122" s="514"/>
      <c r="AN122" s="520"/>
      <c r="AO122" s="2694"/>
      <c r="AP122" s="2599">
        <v>2</v>
      </c>
      <c r="AQ122" s="1858">
        <f>AE121</f>
        <v>865</v>
      </c>
      <c r="AR122" s="1709">
        <f>AE124</f>
        <v>22</v>
      </c>
      <c r="AS122" s="1680">
        <f>IF((EVEN(AQ122)-AQ122)&lt;1,EVEN(AQ122),EVEN(AQ122)-2)</f>
        <v>864</v>
      </c>
      <c r="AT122" s="1710">
        <f>FLOOR(AR122,1)+IF(MOD(AR122,1)&lt;0.125,0,IF(MOD(AR122,1)&lt;0.375,0.25,IF(MOD(AR122,1)&lt;0.625,0.5,IF(MOD(AR122,1)&lt;0.875,0.75,1))))</f>
        <v>22</v>
      </c>
      <c r="AU122" s="1607">
        <f>IF(AS122&lt;770,(192.4571/AS122^2)+(0.2438/AS122),0)</f>
        <v>0</v>
      </c>
      <c r="AV122" s="1607">
        <f>IF(AND(AS122&gt;=770,AS122&lt;787.5),(1489.0671/(AS122^2))-0.0018684,0)</f>
        <v>0</v>
      </c>
      <c r="AW122" s="1607">
        <f>IF(AND(AS122&gt;=787.5,AS122&lt;838.5),330.301/AS122^2,0)</f>
        <v>0</v>
      </c>
      <c r="AX122" s="1607">
        <f>IF(AND(AS122&gt;=838.5,AS122&lt;1075),(0.2701/AS122)+(103.873/AS122^2),0)</f>
        <v>4.517631708676269E-4</v>
      </c>
      <c r="AY122" s="1687">
        <f>MAX(AU122:AX122)</f>
        <v>4.517631708676269E-4</v>
      </c>
      <c r="AZ122" s="1607">
        <f>((AT122+40)*1.8)-99</f>
        <v>12.600000000000009</v>
      </c>
      <c r="BA122" s="2584"/>
      <c r="BB122" s="1854">
        <f>ROUND(EXP(-1*AY122*AZ122*(1+0.8*AY122*AZ122)),4)</f>
        <v>0.99429999999999996</v>
      </c>
      <c r="BC122" s="520"/>
      <c r="BD122" s="514"/>
      <c r="BE122" s="30">
        <v>0.3</v>
      </c>
      <c r="BF122" s="31">
        <v>1.0736000000000001</v>
      </c>
      <c r="BG122" s="32">
        <v>1072.9000000000001</v>
      </c>
      <c r="BH122" s="33"/>
      <c r="BI122" s="30">
        <v>0.3</v>
      </c>
      <c r="BJ122" s="34">
        <v>4.056</v>
      </c>
      <c r="BK122" s="35">
        <v>0.17035</v>
      </c>
      <c r="BL122" s="33"/>
      <c r="BM122" s="37">
        <v>653</v>
      </c>
      <c r="BN122" s="38"/>
      <c r="BO122" s="39"/>
      <c r="BP122" s="520"/>
      <c r="BQ122" s="37">
        <v>653</v>
      </c>
      <c r="BR122" s="34"/>
      <c r="BS122" s="41"/>
    </row>
    <row r="123" spans="28:71">
      <c r="AB123" s="2482"/>
      <c r="AC123" s="2482"/>
      <c r="AD123" s="2511" t="s">
        <v>1210</v>
      </c>
      <c r="AE123" s="2517">
        <f>IF(AF112="°F",AE112,ROUND((9/5)*AE112+32,1))</f>
        <v>71.599999999999994</v>
      </c>
      <c r="AF123" s="2468" t="s">
        <v>485</v>
      </c>
      <c r="AG123" s="514"/>
      <c r="AH123" s="520"/>
      <c r="AI123" s="2482"/>
      <c r="AJ123" s="514"/>
      <c r="AK123" s="514"/>
      <c r="AL123" s="514"/>
      <c r="AM123" s="514"/>
      <c r="AN123" s="520"/>
      <c r="AO123" s="2694"/>
      <c r="AP123" s="2482"/>
      <c r="AQ123" s="514"/>
      <c r="AR123" s="514"/>
      <c r="AS123" s="514"/>
      <c r="AT123" s="514"/>
      <c r="AU123" s="514"/>
      <c r="AV123" s="514"/>
      <c r="AW123" s="514"/>
      <c r="AX123" s="514"/>
      <c r="AY123" s="514"/>
      <c r="AZ123" s="514"/>
      <c r="BA123" s="514"/>
      <c r="BB123" s="514"/>
      <c r="BC123" s="520"/>
      <c r="BD123" s="2482"/>
      <c r="BE123" s="30">
        <v>0.4</v>
      </c>
      <c r="BF123" s="31">
        <v>1.0728</v>
      </c>
      <c r="BG123" s="32">
        <v>1072.0999999999999</v>
      </c>
      <c r="BH123" s="33"/>
      <c r="BI123" s="30">
        <v>0.4</v>
      </c>
      <c r="BJ123" s="34">
        <v>4.0529000000000002</v>
      </c>
      <c r="BK123" s="35">
        <v>0.17022000000000001</v>
      </c>
      <c r="BL123" s="33"/>
      <c r="BM123" s="37">
        <v>654</v>
      </c>
      <c r="BN123" s="38">
        <v>0.65410000000000001</v>
      </c>
      <c r="BO123" s="39">
        <v>84.83</v>
      </c>
      <c r="BP123" s="520"/>
      <c r="BQ123" s="40">
        <v>654</v>
      </c>
      <c r="BR123" s="43">
        <v>652.9</v>
      </c>
      <c r="BS123" s="41">
        <v>1.5317000000000001</v>
      </c>
    </row>
    <row r="124" spans="28:71">
      <c r="AB124" s="2482"/>
      <c r="AC124" s="2482"/>
      <c r="AD124" s="2511" t="s">
        <v>1210</v>
      </c>
      <c r="AE124" s="2516">
        <f>IF(AF112="°C",AE112,ROUND((AE112-32)/9*5,2))</f>
        <v>22</v>
      </c>
      <c r="AF124" s="2468" t="s">
        <v>484</v>
      </c>
      <c r="AG124" s="514"/>
      <c r="AH124" s="520"/>
      <c r="AI124" s="2482"/>
      <c r="AJ124" s="514"/>
      <c r="AK124" s="514"/>
      <c r="AL124" s="514"/>
      <c r="AM124" s="514"/>
      <c r="AN124" s="520"/>
      <c r="AO124" s="2694"/>
      <c r="AP124" s="2482"/>
      <c r="AQ124" s="514"/>
      <c r="AR124" s="514"/>
      <c r="AS124" s="514"/>
      <c r="AT124" s="514"/>
      <c r="AU124" s="514"/>
      <c r="AV124" s="514"/>
      <c r="AW124" s="514"/>
      <c r="AX124" s="514"/>
      <c r="AY124" s="514"/>
      <c r="AZ124" s="514"/>
      <c r="BA124" s="514"/>
      <c r="BB124" s="514"/>
      <c r="BC124" s="514"/>
      <c r="BD124" s="2482"/>
      <c r="BE124" s="30">
        <v>0.5</v>
      </c>
      <c r="BF124" s="31">
        <v>1.0720000000000001</v>
      </c>
      <c r="BG124" s="32">
        <v>1071.3</v>
      </c>
      <c r="BH124" s="33"/>
      <c r="BI124" s="30">
        <v>0.5</v>
      </c>
      <c r="BJ124" s="34">
        <v>4.0498000000000003</v>
      </c>
      <c r="BK124" s="35">
        <v>0.17008999999999999</v>
      </c>
      <c r="BL124" s="33"/>
      <c r="BM124" s="37">
        <v>655</v>
      </c>
      <c r="BN124" s="38">
        <v>0.65510000000000002</v>
      </c>
      <c r="BO124" s="39">
        <v>84.49</v>
      </c>
      <c r="BP124" s="520"/>
      <c r="BQ124" s="40">
        <v>655</v>
      </c>
      <c r="BR124" s="43">
        <v>653.9</v>
      </c>
      <c r="BS124" s="41">
        <v>1.5293000000000001</v>
      </c>
    </row>
    <row r="125" spans="28:71">
      <c r="AB125" s="2482"/>
      <c r="AC125" s="2483"/>
      <c r="AD125" s="2500"/>
      <c r="AE125" s="2500"/>
      <c r="AF125" s="2500"/>
      <c r="AG125" s="2500"/>
      <c r="AH125" s="2484"/>
      <c r="AI125" s="2482"/>
      <c r="AJ125" s="514"/>
      <c r="AK125" s="514"/>
      <c r="AL125" s="514"/>
      <c r="AM125" s="514"/>
      <c r="AN125" s="520"/>
      <c r="AO125" s="2694"/>
      <c r="AP125" s="2482"/>
      <c r="AQ125" s="514"/>
      <c r="AR125" s="514"/>
      <c r="AS125" s="514"/>
      <c r="AT125" s="514"/>
      <c r="AU125" s="514"/>
      <c r="AV125" s="514"/>
      <c r="AW125" s="514"/>
      <c r="AX125" s="514"/>
      <c r="AY125" s="514"/>
      <c r="AZ125" s="514"/>
      <c r="BA125" s="514"/>
      <c r="BB125" s="514"/>
      <c r="BC125" s="514"/>
      <c r="BD125" s="2482"/>
      <c r="BE125" s="30">
        <v>0.6</v>
      </c>
      <c r="BF125" s="31">
        <v>1.0711999999999999</v>
      </c>
      <c r="BG125" s="32">
        <v>1070.5</v>
      </c>
      <c r="BH125" s="33"/>
      <c r="BI125" s="30">
        <v>0.6</v>
      </c>
      <c r="BJ125" s="34">
        <v>4.0467000000000004</v>
      </c>
      <c r="BK125" s="35">
        <v>0.16996</v>
      </c>
      <c r="BL125" s="33"/>
      <c r="BM125" s="37">
        <v>656</v>
      </c>
      <c r="BN125" s="38">
        <v>0.65610000000000002</v>
      </c>
      <c r="BO125" s="39">
        <v>84.16</v>
      </c>
      <c r="BP125" s="520"/>
      <c r="BQ125" s="40">
        <v>656</v>
      </c>
      <c r="BR125" s="43">
        <v>654.9</v>
      </c>
      <c r="BS125" s="41">
        <v>1.5269999999999999</v>
      </c>
    </row>
    <row r="126" spans="28:71">
      <c r="AB126" s="2482"/>
      <c r="AC126" s="514"/>
      <c r="AD126" s="514"/>
      <c r="AE126" s="514"/>
      <c r="AF126" s="514"/>
      <c r="AG126" s="514"/>
      <c r="AH126" s="514"/>
      <c r="AI126" s="514"/>
      <c r="AJ126" s="514"/>
      <c r="AK126" s="514"/>
      <c r="AL126" s="514"/>
      <c r="AM126" s="514"/>
      <c r="AN126" s="520"/>
      <c r="AO126" s="2694"/>
      <c r="AP126" s="2482"/>
      <c r="AQ126" s="514"/>
      <c r="AR126" s="514"/>
      <c r="AS126" s="514"/>
      <c r="AT126" s="514"/>
      <c r="AU126" s="514"/>
      <c r="AV126" s="514"/>
      <c r="AW126" s="514"/>
      <c r="AX126" s="514"/>
      <c r="AY126" s="514"/>
      <c r="AZ126" s="514"/>
      <c r="BA126" s="514"/>
      <c r="BB126" s="514"/>
      <c r="BC126" s="514"/>
      <c r="BD126" s="2482"/>
      <c r="BE126" s="30">
        <v>0.7</v>
      </c>
      <c r="BF126" s="31">
        <v>1.0703</v>
      </c>
      <c r="BG126" s="32">
        <v>1069.7</v>
      </c>
      <c r="BH126" s="33"/>
      <c r="BI126" s="30">
        <v>0.7</v>
      </c>
      <c r="BJ126" s="34">
        <v>4.0437000000000003</v>
      </c>
      <c r="BK126" s="35">
        <v>0.16983000000000001</v>
      </c>
      <c r="BL126" s="33"/>
      <c r="BM126" s="37">
        <v>657</v>
      </c>
      <c r="BN126" s="38">
        <v>0.65710000000000002</v>
      </c>
      <c r="BO126" s="39">
        <v>83.84</v>
      </c>
      <c r="BP126" s="520"/>
      <c r="BQ126" s="40">
        <v>657</v>
      </c>
      <c r="BR126" s="43">
        <v>655.9</v>
      </c>
      <c r="BS126" s="41">
        <v>1.5246999999999999</v>
      </c>
    </row>
    <row r="127" spans="28:71">
      <c r="AB127" s="2482"/>
      <c r="AC127" s="2683"/>
      <c r="AD127" s="2684"/>
      <c r="AE127" s="2684"/>
      <c r="AF127" s="2684"/>
      <c r="AG127" s="2684"/>
      <c r="AH127" s="2684"/>
      <c r="AI127" s="2684"/>
      <c r="AJ127" s="2684"/>
      <c r="AK127" s="2684"/>
      <c r="AL127" s="2684"/>
      <c r="AM127" s="2685"/>
      <c r="AN127" s="520"/>
      <c r="AO127" s="2694"/>
      <c r="AP127" s="2482"/>
      <c r="AQ127" s="514"/>
      <c r="AR127" s="514"/>
      <c r="AS127" s="514"/>
      <c r="AT127" s="514"/>
      <c r="AU127" s="514"/>
      <c r="AV127" s="514"/>
      <c r="AW127" s="514"/>
      <c r="AX127" s="514"/>
      <c r="AY127" s="514"/>
      <c r="AZ127" s="514"/>
      <c r="BA127" s="514"/>
      <c r="BB127" s="514"/>
      <c r="BC127" s="514"/>
      <c r="BD127" s="2482"/>
      <c r="BE127" s="30">
        <v>0.8</v>
      </c>
      <c r="BF127" s="31">
        <v>1.0694999999999999</v>
      </c>
      <c r="BG127" s="32">
        <v>1068.8</v>
      </c>
      <c r="BH127" s="33"/>
      <c r="BI127" s="30">
        <v>0.8</v>
      </c>
      <c r="BJ127" s="34">
        <v>4.0406000000000004</v>
      </c>
      <c r="BK127" s="35">
        <v>0.16971</v>
      </c>
      <c r="BL127" s="33"/>
      <c r="BM127" s="37">
        <v>658</v>
      </c>
      <c r="BN127" s="38">
        <v>0.65810000000000002</v>
      </c>
      <c r="BO127" s="39">
        <v>83.51</v>
      </c>
      <c r="BP127" s="520"/>
      <c r="BQ127" s="40">
        <v>658</v>
      </c>
      <c r="BR127" s="43">
        <v>656.9</v>
      </c>
      <c r="BS127" s="41">
        <v>1.5224</v>
      </c>
    </row>
    <row r="128" spans="28:71">
      <c r="AB128" s="2251"/>
      <c r="AC128" s="2686"/>
      <c r="AG128" s="2688" t="s">
        <v>1180</v>
      </c>
      <c r="AH128" s="2689">
        <f>H4</f>
        <v>100000</v>
      </c>
      <c r="AI128" s="2232" t="str">
        <f>J4</f>
        <v xml:space="preserve"> Cub.m.@Observed Temp.</v>
      </c>
      <c r="AM128" s="2252"/>
      <c r="AN128" s="2252"/>
      <c r="AO128" s="2696"/>
      <c r="AP128" s="2482"/>
      <c r="AQ128" s="514"/>
      <c r="AR128" s="514"/>
      <c r="AS128" s="514"/>
      <c r="AT128" s="514"/>
      <c r="AU128" s="514"/>
      <c r="AV128" s="514"/>
      <c r="AW128" s="514"/>
      <c r="AX128" s="514"/>
      <c r="AY128" s="514"/>
      <c r="AZ128" s="514"/>
      <c r="BA128" s="514"/>
      <c r="BB128" s="514"/>
      <c r="BC128" s="514"/>
      <c r="BD128" s="2482"/>
      <c r="BE128" s="30">
        <v>0.9</v>
      </c>
      <c r="BF128" s="31">
        <v>1.0687</v>
      </c>
      <c r="BG128" s="32">
        <v>1068</v>
      </c>
      <c r="BH128" s="33"/>
      <c r="BI128" s="30">
        <v>0.9</v>
      </c>
      <c r="BJ128" s="34">
        <v>4.0376000000000003</v>
      </c>
      <c r="BK128" s="35">
        <v>0.16958000000000001</v>
      </c>
      <c r="BL128" s="33"/>
      <c r="BM128" s="37">
        <v>659</v>
      </c>
      <c r="BN128" s="38">
        <v>0.65910000000000002</v>
      </c>
      <c r="BO128" s="39">
        <v>83.18</v>
      </c>
      <c r="BP128" s="520"/>
      <c r="BQ128" s="40">
        <v>659</v>
      </c>
      <c r="BR128" s="43">
        <v>657.9</v>
      </c>
      <c r="BS128" s="41">
        <v>1.52</v>
      </c>
    </row>
    <row r="129" spans="28:71">
      <c r="AB129" s="2251"/>
      <c r="AC129" s="2686"/>
      <c r="AG129" s="2688" t="s">
        <v>1180</v>
      </c>
      <c r="AH129" s="2689">
        <f>H5</f>
        <v>628981</v>
      </c>
      <c r="AI129" s="2232" t="str">
        <f>J5</f>
        <v xml:space="preserve"> Bbls@Observed Temp.</v>
      </c>
      <c r="AM129" s="2252"/>
      <c r="AN129" s="2252"/>
      <c r="AO129" s="2696"/>
      <c r="AP129" s="2482"/>
      <c r="AQ129" s="514"/>
      <c r="AR129" s="514"/>
      <c r="AS129" s="514"/>
      <c r="AT129" s="514"/>
      <c r="AU129" s="514"/>
      <c r="AV129" s="514"/>
      <c r="AW129" s="514"/>
      <c r="AX129" s="514"/>
      <c r="AY129" s="514"/>
      <c r="AZ129" s="514"/>
      <c r="BA129" s="514"/>
      <c r="BB129" s="514"/>
      <c r="BC129" s="514"/>
      <c r="BD129" s="2482"/>
      <c r="BE129" s="30">
        <v>1</v>
      </c>
      <c r="BF129" s="31">
        <v>1.0679000000000001</v>
      </c>
      <c r="BG129" s="32">
        <v>1067.2</v>
      </c>
      <c r="BH129" s="33"/>
      <c r="BI129" s="30">
        <v>1</v>
      </c>
      <c r="BJ129" s="34">
        <v>4.0345000000000004</v>
      </c>
      <c r="BK129" s="35">
        <v>0.16944999999999999</v>
      </c>
      <c r="BL129" s="33"/>
      <c r="BM129" s="37">
        <v>660</v>
      </c>
      <c r="BN129" s="38">
        <v>0.66010000000000002</v>
      </c>
      <c r="BO129" s="39">
        <v>82.86</v>
      </c>
      <c r="BP129" s="520"/>
      <c r="BQ129" s="40">
        <v>660</v>
      </c>
      <c r="BR129" s="43">
        <v>658.9</v>
      </c>
      <c r="BS129" s="41">
        <v>1.5177</v>
      </c>
    </row>
    <row r="130" spans="28:71">
      <c r="AB130" s="2251"/>
      <c r="AC130" s="2686"/>
      <c r="AG130" s="2688" t="s">
        <v>1181</v>
      </c>
      <c r="AH130" s="2689">
        <f>H6</f>
        <v>100000</v>
      </c>
      <c r="AI130" s="2232" t="str">
        <f>J6</f>
        <v xml:space="preserve"> MT</v>
      </c>
      <c r="AM130" s="2252"/>
      <c r="AN130" s="2252"/>
      <c r="AO130" s="2696"/>
      <c r="AP130" s="2482"/>
      <c r="AQ130" s="514"/>
      <c r="AR130" s="514"/>
      <c r="AS130" s="514"/>
      <c r="AT130" s="514"/>
      <c r="AU130" s="514"/>
      <c r="AV130" s="514"/>
      <c r="AW130" s="514"/>
      <c r="AX130" s="514"/>
      <c r="AY130" s="514"/>
      <c r="AZ130" s="514"/>
      <c r="BA130" s="514"/>
      <c r="BB130" s="514"/>
      <c r="BC130" s="514"/>
      <c r="BD130" s="2482"/>
      <c r="BE130" s="30">
        <v>1.1000000000000001</v>
      </c>
      <c r="BF130" s="31">
        <v>1.0670999999999999</v>
      </c>
      <c r="BG130" s="32">
        <v>1066.4000000000001</v>
      </c>
      <c r="BH130" s="33"/>
      <c r="BI130" s="30">
        <v>1.1000000000000001</v>
      </c>
      <c r="BJ130" s="34">
        <v>4.0315000000000003</v>
      </c>
      <c r="BK130" s="35">
        <v>0.16932</v>
      </c>
      <c r="BL130" s="33"/>
      <c r="BM130" s="37">
        <v>661</v>
      </c>
      <c r="BN130" s="38">
        <v>0.66110000000000002</v>
      </c>
      <c r="BO130" s="39">
        <v>82.53</v>
      </c>
      <c r="BP130" s="520"/>
      <c r="BQ130" s="40">
        <v>661</v>
      </c>
      <c r="BR130" s="43">
        <v>659.9</v>
      </c>
      <c r="BS130" s="41">
        <v>1.5154000000000001</v>
      </c>
    </row>
    <row r="131" spans="28:71">
      <c r="AB131" s="2251"/>
      <c r="AC131" s="2686"/>
      <c r="AM131" s="2252"/>
      <c r="AN131" s="2252"/>
      <c r="AO131" s="2696"/>
      <c r="AP131" s="2482"/>
      <c r="AQ131" s="514"/>
      <c r="AR131" s="514"/>
      <c r="AS131" s="514"/>
      <c r="AT131" s="514"/>
      <c r="AU131" s="514"/>
      <c r="AV131" s="514"/>
      <c r="AW131" s="514"/>
      <c r="AX131" s="514"/>
      <c r="AY131" s="514"/>
      <c r="AZ131" s="514"/>
      <c r="BA131" s="514"/>
      <c r="BB131" s="514"/>
      <c r="BC131" s="514"/>
      <c r="BD131" s="2482"/>
      <c r="BE131" s="30">
        <v>1.2</v>
      </c>
      <c r="BF131" s="31">
        <v>1.0663</v>
      </c>
      <c r="BG131" s="32">
        <v>1065.5999999999999</v>
      </c>
      <c r="BH131" s="33"/>
      <c r="BI131" s="30">
        <v>1.2</v>
      </c>
      <c r="BJ131" s="34">
        <v>4.0284000000000004</v>
      </c>
      <c r="BK131" s="35">
        <v>0.16919000000000001</v>
      </c>
      <c r="BL131" s="33"/>
      <c r="BM131" s="37">
        <v>662</v>
      </c>
      <c r="BN131" s="38">
        <v>0.66210000000000002</v>
      </c>
      <c r="BO131" s="39">
        <v>82.21</v>
      </c>
      <c r="BP131" s="520"/>
      <c r="BQ131" s="40">
        <v>662</v>
      </c>
      <c r="BR131" s="43">
        <v>660.9</v>
      </c>
      <c r="BS131" s="41">
        <v>1.5130999999999999</v>
      </c>
    </row>
    <row r="132" spans="28:71" ht="13.15">
      <c r="AB132" s="2251"/>
      <c r="AC132" s="3268" t="s">
        <v>1213</v>
      </c>
      <c r="AD132" s="2700" t="s">
        <v>576</v>
      </c>
      <c r="AE132" s="2701"/>
      <c r="AF132" s="2004" t="str">
        <f>AG102</f>
        <v xml:space="preserve"> ASTM Table 54B</v>
      </c>
      <c r="AG132" s="2005"/>
      <c r="AH132" s="1668" t="s">
        <v>204</v>
      </c>
      <c r="AI132" s="2253" t="s">
        <v>997</v>
      </c>
      <c r="AJ132" s="3279" t="s">
        <v>1182</v>
      </c>
      <c r="AK132" s="3280"/>
      <c r="AL132" s="3280"/>
      <c r="AM132" s="3281"/>
      <c r="AN132" s="2252"/>
      <c r="AO132" s="2696"/>
      <c r="AP132" s="2482"/>
      <c r="AQ132" s="514"/>
      <c r="AR132" s="514"/>
      <c r="AS132" s="514"/>
      <c r="AT132" s="514"/>
      <c r="AU132" s="514"/>
      <c r="AV132" s="514"/>
      <c r="AW132" s="514"/>
      <c r="AX132" s="514"/>
      <c r="AY132" s="514"/>
      <c r="AZ132" s="514"/>
      <c r="BA132" s="514"/>
      <c r="BB132" s="514"/>
      <c r="BC132" s="514"/>
      <c r="BD132" s="2482"/>
      <c r="BE132" s="30">
        <v>1.3</v>
      </c>
      <c r="BF132" s="31">
        <v>1.0654999999999999</v>
      </c>
      <c r="BG132" s="32">
        <v>1064.8</v>
      </c>
      <c r="BH132" s="33"/>
      <c r="BI132" s="30">
        <v>1.3</v>
      </c>
      <c r="BJ132" s="34">
        <v>4.0254000000000003</v>
      </c>
      <c r="BK132" s="35">
        <v>0.16907</v>
      </c>
      <c r="BL132" s="33"/>
      <c r="BM132" s="37">
        <v>663</v>
      </c>
      <c r="BN132" s="38">
        <v>0.66310000000000002</v>
      </c>
      <c r="BO132" s="39">
        <v>81.88</v>
      </c>
      <c r="BP132" s="520"/>
      <c r="BQ132" s="40">
        <v>663</v>
      </c>
      <c r="BR132" s="43">
        <v>661.9</v>
      </c>
      <c r="BS132" s="41">
        <v>1.5107999999999999</v>
      </c>
    </row>
    <row r="133" spans="28:71" ht="13.15">
      <c r="AB133" s="2251"/>
      <c r="AC133" s="3269"/>
      <c r="AD133" s="2254" t="str">
        <f>AJ102</f>
        <v xml:space="preserve"> Density15°C </v>
      </c>
      <c r="AE133" s="1607" t="str">
        <f>AK102</f>
        <v xml:space="preserve"> T°C</v>
      </c>
      <c r="AF133" s="1680" t="str">
        <f>AJ102</f>
        <v xml:space="preserve"> Density15°C </v>
      </c>
      <c r="AG133" s="1680" t="str">
        <f>AK102</f>
        <v xml:space="preserve"> T°C</v>
      </c>
      <c r="AH133" s="2747" t="str">
        <f>AI102</f>
        <v>T.54A</v>
      </c>
      <c r="AI133" s="1705" t="str">
        <f>AM102</f>
        <v>T.56</v>
      </c>
      <c r="AJ133" s="1705" t="str">
        <f>AL109</f>
        <v>MT</v>
      </c>
      <c r="AK133" s="2697" t="str">
        <f>AL102</f>
        <v>Cub.m.@15°C</v>
      </c>
      <c r="AL133" s="2697" t="str">
        <f>IF(AC102&lt;3,"Bbls@Obs.T.","Cub.m.@Obs.T.")</f>
        <v>Cub.m.@Obs.T.</v>
      </c>
      <c r="AM133" s="2255" t="s">
        <v>1184</v>
      </c>
      <c r="AN133" s="2252"/>
      <c r="AO133" s="2696"/>
      <c r="AP133" s="2482"/>
      <c r="AQ133" s="514"/>
      <c r="AR133" s="514"/>
      <c r="AS133" s="514"/>
      <c r="AT133" s="514"/>
      <c r="AU133" s="514"/>
      <c r="AV133" s="514"/>
      <c r="AW133" s="514"/>
      <c r="AX133" s="514"/>
      <c r="AY133" s="514"/>
      <c r="AZ133" s="514"/>
      <c r="BA133" s="514"/>
      <c r="BB133" s="514"/>
      <c r="BC133" s="514"/>
      <c r="BD133" s="2482"/>
      <c r="BE133" s="30">
        <v>1.4</v>
      </c>
      <c r="BF133" s="31">
        <v>1.0647</v>
      </c>
      <c r="BG133" s="32">
        <v>1064</v>
      </c>
      <c r="BH133" s="33"/>
      <c r="BI133" s="30">
        <v>1.4</v>
      </c>
      <c r="BJ133" s="34">
        <v>4.0224000000000002</v>
      </c>
      <c r="BK133" s="35">
        <v>0.16894000000000001</v>
      </c>
      <c r="BL133" s="33"/>
      <c r="BM133" s="37">
        <v>664</v>
      </c>
      <c r="BN133" s="38">
        <v>0.66410000000000002</v>
      </c>
      <c r="BO133" s="39">
        <v>81.56</v>
      </c>
      <c r="BP133" s="520"/>
      <c r="BQ133" s="40">
        <v>664</v>
      </c>
      <c r="BR133" s="43">
        <v>662.9</v>
      </c>
      <c r="BS133" s="41">
        <v>1.5085999999999999</v>
      </c>
    </row>
    <row r="134" spans="28:71" ht="13.15">
      <c r="AB134" s="2251"/>
      <c r="AC134" s="2256">
        <v>1</v>
      </c>
      <c r="AD134" s="2257">
        <f>IF(AC102=1,AD142,IF(AC102=2,AD143,IF(AC102=3,AD144,AD145)))</f>
        <v>875.7</v>
      </c>
      <c r="AE134" s="2258">
        <f>IF(AC102=1,AE142,IF(AC102=2,AE143,IF(AC102=3,AE144,AE145)))</f>
        <v>20</v>
      </c>
      <c r="AF134" s="2543">
        <f>IF(AC102=1,AF142,IF(AC102=2,AF143,IF(AC102=3,AF144,AF145)))</f>
        <v>876</v>
      </c>
      <c r="AG134" s="2543">
        <f>IF(AC102=1,AG142,IF(AC102=2,AG143,IF(AC102=3,AG144,AG145)))</f>
        <v>20</v>
      </c>
      <c r="AH134" s="2548">
        <f>IF(AC102=1,AH142,IF(AC102=2,AH143,IF(AC102=3,AH144,AH145)))</f>
        <v>0.996</v>
      </c>
      <c r="AI134" s="2748">
        <f>IF(AC102=1,AI142,IF(AC102=2,AI143,IF(AC102=3,AI144/1000,AI145/1000)))</f>
        <v>0.87460000000000004</v>
      </c>
      <c r="AJ134" s="2781">
        <f>J12</f>
        <v>50000</v>
      </c>
      <c r="AK134" s="2749">
        <f>IF(AK109=1,AJ134,AJ134/AI134)</f>
        <v>57168.991538989249</v>
      </c>
      <c r="AL134" s="2749">
        <f>AK134/AH134</f>
        <v>57398.585882519328</v>
      </c>
      <c r="AM134" s="2749">
        <f>IF(AK109=1,AK134*AI134,AJ134)</f>
        <v>50000</v>
      </c>
      <c r="AN134" s="2252"/>
      <c r="AO134" s="2696"/>
      <c r="AP134" s="2482"/>
      <c r="AQ134" s="514"/>
      <c r="AR134" s="514"/>
      <c r="AS134" s="514"/>
      <c r="AT134" s="514"/>
      <c r="AU134" s="514"/>
      <c r="AV134" s="514"/>
      <c r="AW134" s="514"/>
      <c r="AX134" s="514"/>
      <c r="AY134" s="514"/>
      <c r="AZ134" s="514"/>
      <c r="BA134" s="514"/>
      <c r="BB134" s="514"/>
      <c r="BC134" s="514"/>
      <c r="BD134" s="2482"/>
      <c r="BE134" s="30">
        <v>1.5</v>
      </c>
      <c r="BF134" s="31">
        <v>1.0639000000000001</v>
      </c>
      <c r="BG134" s="32">
        <v>1063.2</v>
      </c>
      <c r="BH134" s="33"/>
      <c r="BI134" s="30">
        <v>1.5</v>
      </c>
      <c r="BJ134" s="34">
        <v>4.0193000000000003</v>
      </c>
      <c r="BK134" s="35">
        <v>0.16880999999999999</v>
      </c>
      <c r="BL134" s="33"/>
      <c r="BM134" s="37">
        <v>665</v>
      </c>
      <c r="BN134" s="38">
        <v>0.66510000000000002</v>
      </c>
      <c r="BO134" s="39">
        <v>81.239999999999995</v>
      </c>
      <c r="BP134" s="520"/>
      <c r="BQ134" s="40">
        <v>665</v>
      </c>
      <c r="BR134" s="43">
        <v>663.9</v>
      </c>
      <c r="BS134" s="41">
        <v>1.5063</v>
      </c>
    </row>
    <row r="135" spans="28:71" ht="13.15">
      <c r="AB135" s="2251"/>
      <c r="AC135" s="2259">
        <v>2</v>
      </c>
      <c r="AD135" s="2257">
        <f>IF(AC102=1,AD149,IF(AC102=2,AD150,IF(AC102=3,AD151,AD152)))</f>
        <v>865</v>
      </c>
      <c r="AE135" s="2258">
        <f>IF(AC102=1,AE149,IF(AC102=2,AE150,IF(AC102=3,AE151,AE152)))</f>
        <v>22</v>
      </c>
      <c r="AF135" s="2543">
        <f>IF(AC102=1,AF149,IF(AC102=2,AF150,IF(AC102=3,AF151,AF152)))</f>
        <v>864</v>
      </c>
      <c r="AG135" s="2543">
        <f>IF(AC102=1,AG149,IF(AC102=2,AG150,IF(AC102=3,AG151,AG152)))</f>
        <v>22</v>
      </c>
      <c r="AH135" s="2548">
        <f>IF(AC102=1,AH149,IF(AC102=2,AH150,IF(AC102=3,AH151,AH152)))</f>
        <v>0.99429999999999996</v>
      </c>
      <c r="AI135" s="2748">
        <f>IF(AC102=1,AI149,IF(AC102=2,AI150,IF(AC102=3,AI151/1000,AI152/1000)))</f>
        <v>0.8639</v>
      </c>
      <c r="AJ135" s="2781">
        <f>IF(AK109=1,ROUND(AL135*AH135,0),AK135*AI135)</f>
        <v>36593.9401</v>
      </c>
      <c r="AK135" s="2749">
        <f>ROUND(AL135*AH135,0)</f>
        <v>42359</v>
      </c>
      <c r="AL135" s="2749">
        <f>IF(AC102&lt;3,IF(AD135=0,0,IF((AH129-AL134)&lt;0,0,AH129-AL134)),IF(AD135=0,0,IF((AH128-AL134)&lt;0,0,AH128-AL134)))</f>
        <v>42601.414117480672</v>
      </c>
      <c r="AM135" s="2749">
        <f>IF(AK109=1,AK135*AI135,AJ135)</f>
        <v>36593.9401</v>
      </c>
      <c r="AN135" s="2252"/>
      <c r="AO135" s="2696"/>
      <c r="AP135" s="2482"/>
      <c r="AQ135" s="514"/>
      <c r="AR135" s="514"/>
      <c r="AS135" s="514"/>
      <c r="AT135" s="514"/>
      <c r="AU135" s="514"/>
      <c r="AV135" s="514"/>
      <c r="AW135" s="514"/>
      <c r="AX135" s="514"/>
      <c r="AY135" s="514"/>
      <c r="AZ135" s="514"/>
      <c r="BA135" s="514"/>
      <c r="BB135" s="514"/>
      <c r="BC135" s="514"/>
      <c r="BD135" s="2482"/>
      <c r="BE135" s="30">
        <v>1.6</v>
      </c>
      <c r="BF135" s="31">
        <v>1.0630999999999999</v>
      </c>
      <c r="BG135" s="32">
        <v>1062.4000000000001</v>
      </c>
      <c r="BH135" s="33"/>
      <c r="BI135" s="30">
        <v>1.6</v>
      </c>
      <c r="BJ135" s="34">
        <v>4.0163000000000002</v>
      </c>
      <c r="BK135" s="35">
        <v>0.16869000000000001</v>
      </c>
      <c r="BL135" s="33"/>
      <c r="BM135" s="37">
        <v>666</v>
      </c>
      <c r="BN135" s="38">
        <v>0.66610000000000003</v>
      </c>
      <c r="BO135" s="39">
        <v>80.92</v>
      </c>
      <c r="BP135" s="520"/>
      <c r="BQ135" s="40">
        <v>666</v>
      </c>
      <c r="BR135" s="43">
        <v>664.9</v>
      </c>
      <c r="BS135" s="41">
        <v>1.504</v>
      </c>
    </row>
    <row r="136" spans="28:71">
      <c r="AB136" s="2251"/>
      <c r="AC136" s="2686"/>
      <c r="AI136" s="2688" t="s">
        <v>1185</v>
      </c>
      <c r="AJ136" s="2688"/>
      <c r="AK136" s="2749">
        <f>SUM(AK134:AK135)</f>
        <v>99527.991538989241</v>
      </c>
      <c r="AL136" s="2749">
        <f>SUM(AL134:AL135)</f>
        <v>100000</v>
      </c>
      <c r="AM136" s="2749">
        <f>SUM(AM134:AM135)</f>
        <v>86593.940100000007</v>
      </c>
      <c r="AN136" s="2252"/>
      <c r="AO136" s="2696"/>
      <c r="AP136" s="2482"/>
      <c r="AQ136" s="514"/>
      <c r="AR136" s="514"/>
      <c r="AS136" s="514"/>
      <c r="AT136" s="514"/>
      <c r="AU136" s="514"/>
      <c r="AV136" s="514"/>
      <c r="AW136" s="514"/>
      <c r="AX136" s="514"/>
      <c r="AY136" s="514"/>
      <c r="AZ136" s="514"/>
      <c r="BA136" s="514"/>
      <c r="BB136" s="514"/>
      <c r="BC136" s="514"/>
      <c r="BD136" s="2482"/>
      <c r="BE136" s="30">
        <v>1.7</v>
      </c>
      <c r="BF136" s="31">
        <v>1.0623</v>
      </c>
      <c r="BG136" s="32">
        <v>1061.5999999999999</v>
      </c>
      <c r="BH136" s="33"/>
      <c r="BI136" s="30">
        <v>1.7</v>
      </c>
      <c r="BJ136" s="34">
        <v>4.0133000000000001</v>
      </c>
      <c r="BK136" s="35">
        <v>0.16855999999999999</v>
      </c>
      <c r="BL136" s="33"/>
      <c r="BM136" s="37">
        <v>667</v>
      </c>
      <c r="BN136" s="38">
        <v>0.66710000000000003</v>
      </c>
      <c r="BO136" s="39">
        <v>80.599999999999994</v>
      </c>
      <c r="BP136" s="520"/>
      <c r="BQ136" s="40">
        <v>667</v>
      </c>
      <c r="BR136" s="43">
        <v>665.9</v>
      </c>
      <c r="BS136" s="41">
        <v>1.5018</v>
      </c>
    </row>
    <row r="137" spans="28:71">
      <c r="AB137" s="2251"/>
      <c r="AC137" s="2686"/>
      <c r="AI137" s="2688" t="str">
        <f>IF(AL137&gt;0,"Overloading :","Short Loading :")</f>
        <v>Short Loading :</v>
      </c>
      <c r="AJ137" s="2688"/>
      <c r="AK137" s="2749">
        <f>AL137*AH135</f>
        <v>0</v>
      </c>
      <c r="AL137" s="2749">
        <f>IF(AC102&lt;3,AL136-AH129,AL136-AH128)</f>
        <v>0</v>
      </c>
      <c r="AM137" s="2749">
        <f>AM136-AH130</f>
        <v>-13406.059899999993</v>
      </c>
      <c r="AN137" s="2252"/>
      <c r="AO137" s="2696"/>
      <c r="AP137" s="2482"/>
      <c r="AQ137" s="514"/>
      <c r="AR137" s="514"/>
      <c r="AS137" s="514"/>
      <c r="AT137" s="514"/>
      <c r="AU137" s="514"/>
      <c r="AV137" s="514"/>
      <c r="AW137" s="514"/>
      <c r="AX137" s="514"/>
      <c r="AY137" s="514"/>
      <c r="AZ137" s="514"/>
      <c r="BA137" s="514"/>
      <c r="BB137" s="514"/>
      <c r="BC137" s="514"/>
      <c r="BD137" s="2482"/>
      <c r="BE137" s="30">
        <v>1.8</v>
      </c>
      <c r="BF137" s="31">
        <v>1.0615000000000001</v>
      </c>
      <c r="BG137" s="32">
        <v>1060.8</v>
      </c>
      <c r="BH137" s="33"/>
      <c r="BI137" s="30">
        <v>1.8</v>
      </c>
      <c r="BJ137" s="34">
        <v>4.0103</v>
      </c>
      <c r="BK137" s="35">
        <v>0.16843</v>
      </c>
      <c r="BL137" s="33"/>
      <c r="BM137" s="37">
        <v>668</v>
      </c>
      <c r="BN137" s="38">
        <v>0.66810000000000003</v>
      </c>
      <c r="BO137" s="39">
        <v>80.290000000000006</v>
      </c>
      <c r="BP137" s="520"/>
      <c r="BQ137" s="40">
        <v>668</v>
      </c>
      <c r="BR137" s="43">
        <v>666.9</v>
      </c>
      <c r="BS137" s="41">
        <v>1.4995000000000001</v>
      </c>
    </row>
    <row r="138" spans="28:71">
      <c r="AB138" s="2251"/>
      <c r="AC138" s="2686"/>
      <c r="AI138" s="2688" t="s">
        <v>1231</v>
      </c>
      <c r="AJ138" s="2688"/>
      <c r="AK138" s="2241"/>
      <c r="AL138" s="2750">
        <f>IF(AC102&lt;3,ROUND(AL136*98/AH129,5),ROUND(AL136*98/AH128,5))</f>
        <v>98</v>
      </c>
      <c r="AM138" s="2751"/>
      <c r="AN138" s="2252"/>
      <c r="AO138" s="2696"/>
      <c r="AP138" s="2482"/>
      <c r="AQ138" s="514"/>
      <c r="AR138" s="514"/>
      <c r="AS138" s="514"/>
      <c r="AT138" s="514"/>
      <c r="AU138" s="514"/>
      <c r="AV138" s="514"/>
      <c r="AW138" s="514"/>
      <c r="AX138" s="514"/>
      <c r="AY138" s="514"/>
      <c r="AZ138" s="514"/>
      <c r="BA138" s="514"/>
      <c r="BB138" s="514"/>
      <c r="BC138" s="514"/>
      <c r="BD138" s="2482"/>
      <c r="BE138" s="30">
        <v>1.9</v>
      </c>
      <c r="BF138" s="31">
        <v>1.0607</v>
      </c>
      <c r="BG138" s="32">
        <v>1060</v>
      </c>
      <c r="BH138" s="33"/>
      <c r="BI138" s="30">
        <v>1.9</v>
      </c>
      <c r="BJ138" s="34">
        <v>4.0072999999999999</v>
      </c>
      <c r="BK138" s="35">
        <v>0.16830999999999999</v>
      </c>
      <c r="BL138" s="33"/>
      <c r="BM138" s="37">
        <v>669</v>
      </c>
      <c r="BN138" s="38">
        <v>0.66910000000000003</v>
      </c>
      <c r="BO138" s="39">
        <v>79.97</v>
      </c>
      <c r="BP138" s="520"/>
      <c r="BQ138" s="40">
        <v>669</v>
      </c>
      <c r="BR138" s="43">
        <v>667.9</v>
      </c>
      <c r="BS138" s="41">
        <v>1.4973000000000001</v>
      </c>
    </row>
    <row r="139" spans="28:71">
      <c r="AB139" s="2686"/>
      <c r="AC139" s="2686"/>
      <c r="AI139" s="2688"/>
      <c r="AJ139" s="2688"/>
      <c r="AK139" s="2698"/>
      <c r="AL139" s="2699"/>
      <c r="AM139" s="2252"/>
      <c r="AN139" s="2252"/>
      <c r="AO139" s="2696"/>
      <c r="AP139" s="2482"/>
      <c r="AQ139" s="514"/>
      <c r="AR139" s="514"/>
      <c r="AS139" s="514"/>
      <c r="AT139" s="514"/>
      <c r="AU139" s="514"/>
      <c r="AV139" s="514"/>
      <c r="AW139" s="514"/>
      <c r="AX139" s="514"/>
      <c r="AY139" s="514"/>
      <c r="AZ139" s="514"/>
      <c r="BA139" s="514"/>
      <c r="BB139" s="514"/>
      <c r="BC139" s="514"/>
      <c r="BD139" s="2482"/>
      <c r="BE139" s="30">
        <v>2</v>
      </c>
      <c r="BF139" s="31">
        <v>1.0599000000000001</v>
      </c>
      <c r="BG139" s="32">
        <v>1059.2</v>
      </c>
      <c r="BH139" s="33"/>
      <c r="BI139" s="30">
        <v>2</v>
      </c>
      <c r="BJ139" s="34">
        <v>4.0042999999999997</v>
      </c>
      <c r="BK139" s="35">
        <v>0.16818</v>
      </c>
      <c r="BL139" s="33"/>
      <c r="BM139" s="37">
        <v>670</v>
      </c>
      <c r="BN139" s="38">
        <v>0.67010000000000003</v>
      </c>
      <c r="BO139" s="39">
        <v>79.650000000000006</v>
      </c>
      <c r="BP139" s="520"/>
      <c r="BQ139" s="40">
        <v>670</v>
      </c>
      <c r="BR139" s="43">
        <v>668.9</v>
      </c>
      <c r="BS139" s="41">
        <v>1.4950000000000001</v>
      </c>
    </row>
    <row r="140" spans="28:71" ht="13.15">
      <c r="AB140" s="2686"/>
      <c r="AC140" s="3276" t="s">
        <v>1226</v>
      </c>
      <c r="AD140" s="3277"/>
      <c r="AE140" s="3277"/>
      <c r="AF140" s="3277"/>
      <c r="AG140" s="3277"/>
      <c r="AH140" s="3277"/>
      <c r="AI140" s="3277"/>
      <c r="AJ140" s="3277"/>
      <c r="AK140" s="3277"/>
      <c r="AL140" s="3277"/>
      <c r="AM140" s="3278"/>
      <c r="AN140" s="2252"/>
      <c r="AO140" s="2696"/>
      <c r="AP140" s="2482"/>
      <c r="AQ140" s="514"/>
      <c r="AR140" s="514"/>
      <c r="AS140" s="514"/>
      <c r="AT140" s="514"/>
      <c r="AU140" s="514"/>
      <c r="AV140" s="514"/>
      <c r="AW140" s="514"/>
      <c r="AX140" s="514"/>
      <c r="AY140" s="514"/>
      <c r="AZ140" s="514"/>
      <c r="BA140" s="514"/>
      <c r="BB140" s="514"/>
      <c r="BC140" s="514"/>
      <c r="BD140" s="2482"/>
      <c r="BE140" s="30">
        <v>2.1</v>
      </c>
      <c r="BF140" s="31">
        <v>1.0590999999999999</v>
      </c>
      <c r="BG140" s="32">
        <v>1058.5</v>
      </c>
      <c r="BH140" s="33"/>
      <c r="BI140" s="30">
        <v>2.1</v>
      </c>
      <c r="BJ140" s="34">
        <v>4.0012999999999996</v>
      </c>
      <c r="BK140" s="35">
        <v>0.16805</v>
      </c>
      <c r="BL140" s="33"/>
      <c r="BM140" s="37">
        <v>671</v>
      </c>
      <c r="BN140" s="38">
        <v>0.67110000000000003</v>
      </c>
      <c r="BO140" s="39">
        <v>79.34</v>
      </c>
      <c r="BP140" s="520"/>
      <c r="BQ140" s="40">
        <v>671</v>
      </c>
      <c r="BR140" s="43">
        <v>669.9</v>
      </c>
      <c r="BS140" s="41">
        <v>1.4927999999999999</v>
      </c>
    </row>
    <row r="141" spans="28:71" ht="13.15">
      <c r="AB141" s="2686"/>
      <c r="AC141" s="2742" t="s">
        <v>1228</v>
      </c>
      <c r="AD141" s="2742" t="s">
        <v>1229</v>
      </c>
      <c r="AE141" s="2742" t="s">
        <v>943</v>
      </c>
      <c r="AF141" s="2742" t="s">
        <v>1229</v>
      </c>
      <c r="AG141" s="2742" t="s">
        <v>943</v>
      </c>
      <c r="AH141" s="2742" t="s">
        <v>204</v>
      </c>
      <c r="AI141" s="2787" t="s">
        <v>1258</v>
      </c>
      <c r="AJ141" s="2787" t="s">
        <v>1259</v>
      </c>
      <c r="AK141" s="2743"/>
      <c r="AL141" s="2744"/>
      <c r="AM141" s="2745"/>
      <c r="AN141" s="2252"/>
      <c r="AO141" s="2696"/>
      <c r="AP141" s="2482"/>
      <c r="AQ141" s="514"/>
      <c r="AR141" s="514"/>
      <c r="AS141" s="514"/>
      <c r="AT141" s="514"/>
      <c r="AU141" s="514"/>
      <c r="AV141" s="514"/>
      <c r="AW141" s="514"/>
      <c r="AX141" s="514"/>
      <c r="AY141" s="514"/>
      <c r="AZ141" s="514"/>
      <c r="BA141" s="514"/>
      <c r="BB141" s="514"/>
      <c r="BC141" s="514"/>
      <c r="BD141" s="2482"/>
      <c r="BE141" s="30">
        <v>2.2000000000000002</v>
      </c>
      <c r="BF141" s="31">
        <v>1.0583</v>
      </c>
      <c r="BG141" s="32">
        <v>1057.7</v>
      </c>
      <c r="BH141" s="33"/>
      <c r="BI141" s="30">
        <v>2.2000000000000002</v>
      </c>
      <c r="BJ141" s="34">
        <v>3.9983</v>
      </c>
      <c r="BK141" s="35">
        <v>0.16793</v>
      </c>
      <c r="BL141" s="33"/>
      <c r="BM141" s="37">
        <v>672</v>
      </c>
      <c r="BN141" s="38">
        <v>0.67210000000000003</v>
      </c>
      <c r="BO141" s="39">
        <v>79.02</v>
      </c>
      <c r="BP141" s="520"/>
      <c r="BQ141" s="40">
        <v>672</v>
      </c>
      <c r="BR141" s="43">
        <v>670.9</v>
      </c>
      <c r="BS141" s="41">
        <v>1.4905999999999999</v>
      </c>
    </row>
    <row r="142" spans="28:71">
      <c r="AB142" s="2686"/>
      <c r="AC142" s="2728" t="s">
        <v>1183</v>
      </c>
      <c r="AD142" s="2724">
        <f>AE114</f>
        <v>30</v>
      </c>
      <c r="AE142" s="2726">
        <f>AE117</f>
        <v>68</v>
      </c>
      <c r="AF142" s="2731">
        <f>FLOOR(AD142,1)+IF(MOD(AD142,1)&lt;0.26,0,IF(MOD(AD142,1)&lt;0.76,0.5,1))</f>
        <v>30</v>
      </c>
      <c r="AG142" s="2731">
        <f>FLOOR(AE142,1)+IF(MOD(AE142,1)&lt;0.26,0,IF(MOD(AE142,1)&lt;0.76,0.5,1))</f>
        <v>68</v>
      </c>
      <c r="AH142" s="2729">
        <f>BB104</f>
        <v>0.99639999999999995</v>
      </c>
      <c r="AI142" s="2730">
        <f>BK107</f>
        <v>0.13899</v>
      </c>
      <c r="AJ142" s="2730"/>
      <c r="AK142" s="2733"/>
      <c r="AL142" s="2734"/>
      <c r="AM142" s="2735"/>
      <c r="AN142" s="2252"/>
      <c r="AO142" s="2696"/>
      <c r="AP142" s="2483"/>
      <c r="AQ142" s="2500"/>
      <c r="AR142" s="2500"/>
      <c r="AS142" s="2500"/>
      <c r="AT142" s="2500"/>
      <c r="AU142" s="2500"/>
      <c r="AV142" s="2500"/>
      <c r="AW142" s="2500"/>
      <c r="AX142" s="2500"/>
      <c r="AY142" s="2500"/>
      <c r="AZ142" s="2500"/>
      <c r="BA142" s="2500"/>
      <c r="BB142" s="2500"/>
      <c r="BC142" s="2484"/>
      <c r="BD142" s="2482"/>
      <c r="BE142" s="30">
        <v>2.2999999999999998</v>
      </c>
      <c r="BF142" s="31">
        <v>1.0575000000000001</v>
      </c>
      <c r="BG142" s="32">
        <v>1056.9000000000001</v>
      </c>
      <c r="BH142" s="33"/>
      <c r="BI142" s="30">
        <v>2.2999999999999998</v>
      </c>
      <c r="BJ142" s="34">
        <v>3.9952999999999999</v>
      </c>
      <c r="BK142" s="35">
        <v>0.1678</v>
      </c>
      <c r="BL142" s="33"/>
      <c r="BM142" s="37">
        <v>673</v>
      </c>
      <c r="BN142" s="38">
        <v>0.67310000000000003</v>
      </c>
      <c r="BO142" s="39">
        <v>78.709999999999994</v>
      </c>
      <c r="BP142" s="520"/>
      <c r="BQ142" s="40">
        <v>673</v>
      </c>
      <c r="BR142" s="43">
        <v>671.9</v>
      </c>
      <c r="BS142" s="41">
        <v>1.4883999999999999</v>
      </c>
    </row>
    <row r="143" spans="28:71">
      <c r="AB143" s="2686"/>
      <c r="AC143" s="2728" t="s">
        <v>1222</v>
      </c>
      <c r="AD143" s="2724">
        <f>AE114</f>
        <v>30</v>
      </c>
      <c r="AE143" s="2726">
        <f>AE117</f>
        <v>68</v>
      </c>
      <c r="AF143" s="2731">
        <f>FLOOR(AD143,1)+IF(MOD(AD143,1)&lt;0.26,0,IF(MOD(AD143,1)&lt;0.76,0.5,1))</f>
        <v>30</v>
      </c>
      <c r="AG143" s="2731">
        <f>FLOOR(AE143,1)+IF(MOD(AE143,1)&lt;0.26,0,IF(MOD(AE143,1)&lt;0.76,0.5,1))</f>
        <v>68</v>
      </c>
      <c r="AH143" s="2729">
        <f>BB109</f>
        <v>0.99639999999999995</v>
      </c>
      <c r="AI143" s="2730">
        <f>BK107</f>
        <v>0.13899</v>
      </c>
      <c r="AJ143" s="2730"/>
      <c r="AK143" s="2736"/>
      <c r="AL143" s="2699"/>
      <c r="AM143" s="2252"/>
      <c r="AN143" s="2252"/>
      <c r="AO143" s="514"/>
      <c r="AP143" s="2501"/>
      <c r="AQ143" s="2501"/>
      <c r="AR143" s="2501"/>
      <c r="AS143" s="2501"/>
      <c r="AT143" s="2501"/>
      <c r="AU143" s="2501"/>
      <c r="AV143" s="2501"/>
      <c r="AW143" s="2501"/>
      <c r="AX143" s="2501"/>
      <c r="AY143" s="2501"/>
      <c r="AZ143" s="2501"/>
      <c r="BA143" s="2501"/>
      <c r="BB143" s="2501"/>
      <c r="BC143" s="2481"/>
      <c r="BD143" s="2482"/>
      <c r="BE143" s="30">
        <v>2.4</v>
      </c>
      <c r="BF143" s="31">
        <v>1.0568</v>
      </c>
      <c r="BG143" s="32">
        <v>1056.0999999999999</v>
      </c>
      <c r="BH143" s="33"/>
      <c r="BI143" s="30">
        <v>2.4</v>
      </c>
      <c r="BJ143" s="34">
        <v>3.9923000000000002</v>
      </c>
      <c r="BK143" s="35">
        <v>0.16768</v>
      </c>
      <c r="BL143" s="33"/>
      <c r="BM143" s="37">
        <v>674</v>
      </c>
      <c r="BN143" s="38">
        <v>0.67410000000000003</v>
      </c>
      <c r="BO143" s="39">
        <v>78.400000000000006</v>
      </c>
      <c r="BP143" s="520"/>
      <c r="BQ143" s="40">
        <v>674</v>
      </c>
      <c r="BR143" s="43">
        <v>672.9</v>
      </c>
      <c r="BS143" s="41">
        <v>1.4861</v>
      </c>
    </row>
    <row r="144" spans="28:71">
      <c r="AB144" s="2686"/>
      <c r="AC144" s="2728" t="s">
        <v>1223</v>
      </c>
      <c r="AD144" s="2757">
        <f>AE115</f>
        <v>875.7</v>
      </c>
      <c r="AE144" s="2727">
        <f>AE118</f>
        <v>20</v>
      </c>
      <c r="AF144" s="2758">
        <f>AS116</f>
        <v>876</v>
      </c>
      <c r="AG144" s="2732">
        <f>AT116</f>
        <v>20</v>
      </c>
      <c r="AH144" s="2729">
        <f>BB116</f>
        <v>0.996</v>
      </c>
      <c r="AI144" s="2757">
        <f>BR107</f>
        <v>874.6</v>
      </c>
      <c r="AJ144" s="2796">
        <f>BS107</f>
        <v>1.1433899999999999</v>
      </c>
      <c r="AK144" s="2736"/>
      <c r="AL144" s="2699"/>
      <c r="AM144" s="2252"/>
      <c r="AN144" s="2252"/>
      <c r="AO144" s="514"/>
      <c r="AP144" s="514"/>
      <c r="AQ144" s="514"/>
      <c r="AR144" s="514"/>
      <c r="AS144" s="514"/>
      <c r="AT144" s="514"/>
      <c r="AU144" s="514"/>
      <c r="AV144" s="514"/>
      <c r="AW144" s="514"/>
      <c r="AX144" s="514"/>
      <c r="AY144" s="514"/>
      <c r="AZ144" s="514"/>
      <c r="BA144" s="514"/>
      <c r="BB144" s="514"/>
      <c r="BC144" s="520"/>
      <c r="BD144" s="2482"/>
      <c r="BE144" s="30">
        <v>2.5</v>
      </c>
      <c r="BF144" s="31">
        <v>1.056</v>
      </c>
      <c r="BG144" s="32">
        <v>1055.3</v>
      </c>
      <c r="BH144" s="33"/>
      <c r="BI144" s="30">
        <v>2.5</v>
      </c>
      <c r="BJ144" s="34">
        <v>3.9893000000000001</v>
      </c>
      <c r="BK144" s="35">
        <v>0.16755</v>
      </c>
      <c r="BL144" s="33"/>
      <c r="BM144" s="37">
        <v>675</v>
      </c>
      <c r="BN144" s="38">
        <v>0.67510000000000003</v>
      </c>
      <c r="BO144" s="39">
        <v>78.09</v>
      </c>
      <c r="BP144" s="520"/>
      <c r="BQ144" s="40">
        <v>675</v>
      </c>
      <c r="BR144" s="43">
        <v>673.9</v>
      </c>
      <c r="BS144" s="41">
        <v>1.4839</v>
      </c>
    </row>
    <row r="145" spans="28:71">
      <c r="AB145" s="2686"/>
      <c r="AC145" s="2728" t="s">
        <v>1227</v>
      </c>
      <c r="AD145" s="2757">
        <f>AE115</f>
        <v>875.7</v>
      </c>
      <c r="AE145" s="2727">
        <f>AE118</f>
        <v>20</v>
      </c>
      <c r="AF145" s="2758">
        <f>AS121</f>
        <v>876</v>
      </c>
      <c r="AG145" s="2732">
        <f>AT121</f>
        <v>20</v>
      </c>
      <c r="AH145" s="2729">
        <f>BB121</f>
        <v>0.996</v>
      </c>
      <c r="AI145" s="2757">
        <f>BR107</f>
        <v>874.6</v>
      </c>
      <c r="AJ145" s="2796">
        <f>BS107</f>
        <v>1.1433899999999999</v>
      </c>
      <c r="AK145" s="2737"/>
      <c r="AL145" s="2687"/>
      <c r="AM145" s="2262"/>
      <c r="AN145" s="2252"/>
      <c r="AO145" s="514"/>
      <c r="AP145" s="514"/>
      <c r="AQ145" s="514"/>
      <c r="AR145" s="514"/>
      <c r="AS145" s="514"/>
      <c r="AT145" s="514"/>
      <c r="AU145" s="514"/>
      <c r="AV145" s="514"/>
      <c r="AW145" s="514"/>
      <c r="AX145" s="514"/>
      <c r="AY145" s="514"/>
      <c r="AZ145" s="514"/>
      <c r="BA145" s="514"/>
      <c r="BB145" s="514"/>
      <c r="BC145" s="520"/>
      <c r="BD145" s="2482"/>
      <c r="BE145" s="30">
        <v>2.6</v>
      </c>
      <c r="BF145" s="31">
        <v>1.0551999999999999</v>
      </c>
      <c r="BG145" s="32">
        <v>1054.5</v>
      </c>
      <c r="BH145" s="33"/>
      <c r="BI145" s="30">
        <v>2.6</v>
      </c>
      <c r="BJ145" s="34">
        <v>3.9863</v>
      </c>
      <c r="BK145" s="35">
        <v>0.16743</v>
      </c>
      <c r="BL145" s="33"/>
      <c r="BM145" s="37">
        <v>676</v>
      </c>
      <c r="BN145" s="38">
        <v>0.67610000000000003</v>
      </c>
      <c r="BO145" s="39">
        <v>77.78</v>
      </c>
      <c r="BP145" s="520"/>
      <c r="BQ145" s="40">
        <v>676</v>
      </c>
      <c r="BR145" s="43">
        <v>674.9</v>
      </c>
      <c r="BS145" s="41">
        <v>1.4817</v>
      </c>
    </row>
    <row r="146" spans="28:71">
      <c r="AB146" s="2686"/>
      <c r="AC146" s="2686"/>
      <c r="AI146" s="2688"/>
      <c r="AJ146" s="2688"/>
      <c r="AK146" s="2698"/>
      <c r="AL146" s="2699"/>
      <c r="AM146" s="2252"/>
      <c r="AN146" s="2252"/>
      <c r="AO146" s="514"/>
      <c r="AP146" s="514"/>
      <c r="AQ146" s="514"/>
      <c r="AR146" s="514"/>
      <c r="AS146" s="514"/>
      <c r="AT146" s="514"/>
      <c r="AU146" s="514"/>
      <c r="AV146" s="514"/>
      <c r="AW146" s="514"/>
      <c r="AX146" s="514"/>
      <c r="AY146" s="514"/>
      <c r="AZ146" s="514"/>
      <c r="BA146" s="514"/>
      <c r="BB146" s="514"/>
      <c r="BC146" s="520"/>
      <c r="BD146" s="2482"/>
      <c r="BE146" s="30">
        <v>2.7</v>
      </c>
      <c r="BF146" s="31">
        <v>1.0544</v>
      </c>
      <c r="BG146" s="32">
        <v>1053.7</v>
      </c>
      <c r="BH146" s="33"/>
      <c r="BI146" s="30">
        <v>2.7</v>
      </c>
      <c r="BJ146" s="34">
        <v>3.9834000000000001</v>
      </c>
      <c r="BK146" s="35">
        <v>0.1673</v>
      </c>
      <c r="BL146" s="33"/>
      <c r="BM146" s="37">
        <v>677</v>
      </c>
      <c r="BN146" s="38">
        <v>0.67710000000000004</v>
      </c>
      <c r="BO146" s="39">
        <v>77.47</v>
      </c>
      <c r="BP146" s="520"/>
      <c r="BQ146" s="40">
        <v>677</v>
      </c>
      <c r="BR146" s="43">
        <v>675.9</v>
      </c>
      <c r="BS146" s="41">
        <v>1.4795</v>
      </c>
    </row>
    <row r="147" spans="28:71" ht="13.15">
      <c r="AB147" s="2686"/>
      <c r="AC147" s="3276" t="s">
        <v>1230</v>
      </c>
      <c r="AD147" s="3277"/>
      <c r="AE147" s="3277"/>
      <c r="AF147" s="3277"/>
      <c r="AG147" s="3277"/>
      <c r="AH147" s="3277"/>
      <c r="AI147" s="3277"/>
      <c r="AJ147" s="3277"/>
      <c r="AK147" s="3277"/>
      <c r="AL147" s="3277"/>
      <c r="AM147" s="3278"/>
      <c r="AN147" s="2252"/>
      <c r="AO147" s="514"/>
      <c r="AP147" s="514"/>
      <c r="AQ147" s="514"/>
      <c r="AR147" s="514"/>
      <c r="AS147" s="514"/>
      <c r="AT147" s="514"/>
      <c r="AU147" s="514"/>
      <c r="AV147" s="514"/>
      <c r="AW147" s="514"/>
      <c r="AX147" s="514"/>
      <c r="AY147" s="514"/>
      <c r="AZ147" s="514"/>
      <c r="BA147" s="514"/>
      <c r="BB147" s="514"/>
      <c r="BC147" s="520"/>
      <c r="BD147" s="2482"/>
      <c r="BE147" s="30">
        <v>2.8</v>
      </c>
      <c r="BF147" s="31">
        <v>1.0536000000000001</v>
      </c>
      <c r="BG147" s="32">
        <v>1052.9000000000001</v>
      </c>
      <c r="BH147" s="33"/>
      <c r="BI147" s="30">
        <v>2.8</v>
      </c>
      <c r="BJ147" s="34">
        <v>3.9803999999999999</v>
      </c>
      <c r="BK147" s="35">
        <v>0.16718</v>
      </c>
      <c r="BL147" s="33"/>
      <c r="BM147" s="37">
        <v>678</v>
      </c>
      <c r="BN147" s="38">
        <v>0.67810000000000004</v>
      </c>
      <c r="BO147" s="39">
        <v>77.16</v>
      </c>
      <c r="BP147" s="520"/>
      <c r="BQ147" s="40">
        <v>678</v>
      </c>
      <c r="BR147" s="43">
        <v>676.9</v>
      </c>
      <c r="BS147" s="41">
        <v>1.4774</v>
      </c>
    </row>
    <row r="148" spans="28:71" ht="13.15">
      <c r="AB148" s="2686"/>
      <c r="AC148" s="2742" t="s">
        <v>1228</v>
      </c>
      <c r="AD148" s="2742" t="s">
        <v>1229</v>
      </c>
      <c r="AE148" s="2742" t="s">
        <v>943</v>
      </c>
      <c r="AF148" s="2742" t="s">
        <v>1229</v>
      </c>
      <c r="AG148" s="2742" t="s">
        <v>943</v>
      </c>
      <c r="AH148" s="2742" t="s">
        <v>204</v>
      </c>
      <c r="AI148" s="2787" t="s">
        <v>1258</v>
      </c>
      <c r="AJ148" s="2787" t="s">
        <v>1259</v>
      </c>
      <c r="AK148" s="2743"/>
      <c r="AL148" s="2744"/>
      <c r="AM148" s="2745"/>
      <c r="AN148" s="2252"/>
      <c r="AO148" s="514"/>
      <c r="AP148" s="514"/>
      <c r="AQ148" s="514"/>
      <c r="AR148" s="514"/>
      <c r="AS148" s="514"/>
      <c r="AT148" s="514"/>
      <c r="AU148" s="514"/>
      <c r="AV148" s="514"/>
      <c r="AW148" s="514"/>
      <c r="AX148" s="514"/>
      <c r="AY148" s="514"/>
      <c r="AZ148" s="514"/>
      <c r="BA148" s="514"/>
      <c r="BB148" s="514"/>
      <c r="BC148" s="520"/>
      <c r="BD148" s="2482"/>
      <c r="BE148" s="30">
        <v>2.9</v>
      </c>
      <c r="BF148" s="31">
        <v>1.0528</v>
      </c>
      <c r="BG148" s="32">
        <v>1052.2</v>
      </c>
      <c r="BH148" s="33"/>
      <c r="BI148" s="30">
        <v>2.9</v>
      </c>
      <c r="BJ148" s="34">
        <v>3.9773999999999998</v>
      </c>
      <c r="BK148" s="35">
        <v>0.16705</v>
      </c>
      <c r="BL148" s="33"/>
      <c r="BM148" s="37">
        <v>679</v>
      </c>
      <c r="BN148" s="38">
        <v>0.67910000000000004</v>
      </c>
      <c r="BO148" s="39">
        <v>76.849999999999994</v>
      </c>
      <c r="BP148" s="520"/>
      <c r="BQ148" s="40">
        <v>679</v>
      </c>
      <c r="BR148" s="43">
        <v>677.9</v>
      </c>
      <c r="BS148" s="41">
        <v>1.4752000000000001</v>
      </c>
    </row>
    <row r="149" spans="28:71">
      <c r="AB149" s="2686"/>
      <c r="AC149" s="2728" t="s">
        <v>1183</v>
      </c>
      <c r="AD149" s="2725">
        <f>AE120</f>
        <v>32</v>
      </c>
      <c r="AE149" s="2726">
        <f>AE123</f>
        <v>71.599999999999994</v>
      </c>
      <c r="AF149" s="2731">
        <f>AS105</f>
        <v>32</v>
      </c>
      <c r="AG149" s="2731">
        <f>AT105</f>
        <v>71.5</v>
      </c>
      <c r="AH149" s="2729">
        <f>BB105</f>
        <v>0.99470000000000003</v>
      </c>
      <c r="AI149" s="2730">
        <f>BK111</f>
        <v>0.13728000000000001</v>
      </c>
      <c r="AJ149" s="2730"/>
      <c r="AK149" s="2733"/>
      <c r="AL149" s="2734"/>
      <c r="AM149" s="2735"/>
      <c r="AN149" s="2252"/>
      <c r="AO149" s="514"/>
      <c r="AP149" s="514"/>
      <c r="AQ149" s="514"/>
      <c r="AR149" s="514"/>
      <c r="AS149" s="514"/>
      <c r="AT149" s="514"/>
      <c r="AU149" s="514"/>
      <c r="AV149" s="514"/>
      <c r="AW149" s="514"/>
      <c r="AX149" s="514"/>
      <c r="AY149" s="514"/>
      <c r="AZ149" s="514"/>
      <c r="BA149" s="514"/>
      <c r="BB149" s="514"/>
      <c r="BC149" s="520"/>
      <c r="BD149" s="2482"/>
      <c r="BE149" s="30">
        <v>3</v>
      </c>
      <c r="BF149" s="31">
        <v>1.052</v>
      </c>
      <c r="BG149" s="32">
        <v>1051.4000000000001</v>
      </c>
      <c r="BH149" s="33"/>
      <c r="BI149" s="30">
        <v>3</v>
      </c>
      <c r="BJ149" s="34">
        <v>3.9744999999999999</v>
      </c>
      <c r="BK149" s="35">
        <v>0.16693</v>
      </c>
      <c r="BL149" s="33"/>
      <c r="BM149" s="37">
        <v>680</v>
      </c>
      <c r="BN149" s="38">
        <v>0.68010000000000004</v>
      </c>
      <c r="BO149" s="39">
        <v>76.540000000000006</v>
      </c>
      <c r="BP149" s="520"/>
      <c r="BQ149" s="40">
        <v>680</v>
      </c>
      <c r="BR149" s="43">
        <v>678.9</v>
      </c>
      <c r="BS149" s="41">
        <v>1.4730000000000001</v>
      </c>
    </row>
    <row r="150" spans="28:71">
      <c r="AB150" s="2686"/>
      <c r="AC150" s="2728" t="s">
        <v>1222</v>
      </c>
      <c r="AD150" s="2725">
        <f>AE120</f>
        <v>32</v>
      </c>
      <c r="AE150" s="2726">
        <f>AE123</f>
        <v>71.599999999999994</v>
      </c>
      <c r="AF150" s="2731">
        <f>AS110</f>
        <v>32</v>
      </c>
      <c r="AG150" s="2731">
        <f>AT110</f>
        <v>71.5</v>
      </c>
      <c r="AH150" s="2729">
        <f>BB110</f>
        <v>0.99480000000000002</v>
      </c>
      <c r="AI150" s="2730">
        <f>BK111</f>
        <v>0.13728000000000001</v>
      </c>
      <c r="AJ150" s="2730"/>
      <c r="AK150" s="2736"/>
      <c r="AL150" s="2699"/>
      <c r="AM150" s="2252"/>
      <c r="AN150" s="2252"/>
      <c r="AO150" s="514"/>
      <c r="AP150" s="514"/>
      <c r="AQ150" s="514"/>
      <c r="AR150" s="514"/>
      <c r="AS150" s="514"/>
      <c r="AT150" s="514"/>
      <c r="AU150" s="514"/>
      <c r="AV150" s="514"/>
      <c r="AW150" s="514"/>
      <c r="AX150" s="514"/>
      <c r="AY150" s="514"/>
      <c r="AZ150" s="514"/>
      <c r="BA150" s="514"/>
      <c r="BB150" s="514"/>
      <c r="BC150" s="520"/>
      <c r="BD150" s="2482"/>
      <c r="BE150" s="30">
        <v>3.1</v>
      </c>
      <c r="BF150" s="31">
        <v>1.0512999999999999</v>
      </c>
      <c r="BG150" s="32">
        <v>1050.5999999999999</v>
      </c>
      <c r="BH150" s="33"/>
      <c r="BI150" s="30">
        <v>3.1</v>
      </c>
      <c r="BJ150" s="34">
        <v>3.9714999999999998</v>
      </c>
      <c r="BK150" s="35">
        <v>0.1668</v>
      </c>
      <c r="BL150" s="33"/>
      <c r="BM150" s="37">
        <v>681</v>
      </c>
      <c r="BN150" s="38">
        <v>0.68110000000000004</v>
      </c>
      <c r="BO150" s="39">
        <v>76.239999999999995</v>
      </c>
      <c r="BP150" s="520"/>
      <c r="BQ150" s="40">
        <v>681</v>
      </c>
      <c r="BR150" s="43">
        <v>679.9</v>
      </c>
      <c r="BS150" s="41">
        <v>1.4708000000000001</v>
      </c>
    </row>
    <row r="151" spans="28:71">
      <c r="AB151" s="2686"/>
      <c r="AC151" s="2728" t="s">
        <v>1223</v>
      </c>
      <c r="AD151" s="2757">
        <f>AE121</f>
        <v>865</v>
      </c>
      <c r="AE151" s="2727">
        <f>AE124</f>
        <v>22</v>
      </c>
      <c r="AF151" s="2758">
        <f>AS117</f>
        <v>864</v>
      </c>
      <c r="AG151" s="2732">
        <f>AT117</f>
        <v>22</v>
      </c>
      <c r="AH151" s="2729">
        <f>BB117</f>
        <v>0.99419999999999997</v>
      </c>
      <c r="AI151" s="2757">
        <f>BR111</f>
        <v>863.9</v>
      </c>
      <c r="AJ151" s="2796">
        <f>BS111</f>
        <v>1.1575</v>
      </c>
      <c r="AK151" s="2736"/>
      <c r="AL151" s="2699"/>
      <c r="AM151" s="2252"/>
      <c r="AN151" s="2252"/>
      <c r="AO151" s="514"/>
      <c r="AP151" s="514"/>
      <c r="AQ151" s="514"/>
      <c r="AR151" s="514"/>
      <c r="AS151" s="514"/>
      <c r="AT151" s="514"/>
      <c r="AU151" s="514"/>
      <c r="AV151" s="514"/>
      <c r="AW151" s="514"/>
      <c r="AX151" s="514"/>
      <c r="AY151" s="514"/>
      <c r="AZ151" s="514"/>
      <c r="BA151" s="514"/>
      <c r="BB151" s="514"/>
      <c r="BC151" s="520"/>
      <c r="BD151" s="2482"/>
      <c r="BE151" s="30">
        <v>3.2</v>
      </c>
      <c r="BF151" s="31">
        <v>1.0505</v>
      </c>
      <c r="BG151" s="32">
        <v>1049.8</v>
      </c>
      <c r="BH151" s="33"/>
      <c r="BI151" s="30">
        <v>3.2</v>
      </c>
      <c r="BJ151" s="34">
        <v>3.9685000000000001</v>
      </c>
      <c r="BK151" s="35">
        <v>0.16667999999999999</v>
      </c>
      <c r="BL151" s="33"/>
      <c r="BM151" s="37">
        <v>682</v>
      </c>
      <c r="BN151" s="38">
        <v>0.68210000000000004</v>
      </c>
      <c r="BO151" s="39">
        <v>75.930000000000007</v>
      </c>
      <c r="BP151" s="520"/>
      <c r="BQ151" s="40">
        <v>682</v>
      </c>
      <c r="BR151" s="43">
        <v>680.9</v>
      </c>
      <c r="BS151" s="41">
        <v>1.4686999999999999</v>
      </c>
    </row>
    <row r="152" spans="28:71">
      <c r="AB152" s="2686"/>
      <c r="AC152" s="2728" t="s">
        <v>1227</v>
      </c>
      <c r="AD152" s="2757">
        <f>AE121</f>
        <v>865</v>
      </c>
      <c r="AE152" s="2727">
        <f>AE124</f>
        <v>22</v>
      </c>
      <c r="AF152" s="2758">
        <f>AS122</f>
        <v>864</v>
      </c>
      <c r="AG152" s="2732">
        <f>AT122</f>
        <v>22</v>
      </c>
      <c r="AH152" s="2729">
        <f>BB122</f>
        <v>0.99429999999999996</v>
      </c>
      <c r="AI152" s="2757">
        <f>BR111</f>
        <v>863.9</v>
      </c>
      <c r="AJ152" s="2796">
        <f>BS111</f>
        <v>1.1575</v>
      </c>
      <c r="AK152" s="2737"/>
      <c r="AL152" s="2687"/>
      <c r="AM152" s="2262"/>
      <c r="AN152" s="2252"/>
      <c r="AO152" s="514"/>
      <c r="AP152" s="514"/>
      <c r="AQ152" s="514"/>
      <c r="AR152" s="514"/>
      <c r="AS152" s="514"/>
      <c r="AT152" s="514"/>
      <c r="AU152" s="514"/>
      <c r="AV152" s="514"/>
      <c r="AW152" s="514"/>
      <c r="AX152" s="514"/>
      <c r="AY152" s="514"/>
      <c r="AZ152" s="514"/>
      <c r="BA152" s="514"/>
      <c r="BB152" s="514"/>
      <c r="BC152" s="520"/>
      <c r="BD152" s="2482"/>
      <c r="BE152" s="30">
        <v>3.3</v>
      </c>
      <c r="BF152" s="31">
        <v>1.0497000000000001</v>
      </c>
      <c r="BG152" s="32">
        <v>1049</v>
      </c>
      <c r="BH152" s="33"/>
      <c r="BI152" s="30">
        <v>3.3</v>
      </c>
      <c r="BJ152" s="34">
        <v>3.9655999999999998</v>
      </c>
      <c r="BK152" s="35">
        <v>0.16656000000000001</v>
      </c>
      <c r="BL152" s="33"/>
      <c r="BM152" s="37">
        <v>683</v>
      </c>
      <c r="BN152" s="38">
        <v>0.68310000000000004</v>
      </c>
      <c r="BO152" s="39">
        <v>75.63</v>
      </c>
      <c r="BP152" s="520"/>
      <c r="BQ152" s="40">
        <v>683</v>
      </c>
      <c r="BR152" s="43">
        <v>681.9</v>
      </c>
      <c r="BS152" s="41">
        <v>1.4664999999999999</v>
      </c>
    </row>
    <row r="153" spans="28:71">
      <c r="AB153" s="2260"/>
      <c r="AC153" s="2261"/>
      <c r="AD153" s="2261"/>
      <c r="AE153" s="2261"/>
      <c r="AF153" s="2261"/>
      <c r="AG153" s="2261"/>
      <c r="AH153" s="2261"/>
      <c r="AI153" s="2261"/>
      <c r="AJ153" s="2261"/>
      <c r="AK153" s="2261"/>
      <c r="AL153" s="2261"/>
      <c r="AM153" s="2261"/>
      <c r="AN153" s="2262"/>
      <c r="AO153" s="514"/>
      <c r="AP153" s="514"/>
      <c r="AQ153" s="514"/>
      <c r="AR153" s="514"/>
      <c r="AS153" s="514"/>
      <c r="AT153" s="514"/>
      <c r="AU153" s="514"/>
      <c r="AV153" s="514"/>
      <c r="AW153" s="514"/>
      <c r="AX153" s="514"/>
      <c r="AY153" s="514"/>
      <c r="AZ153" s="514"/>
      <c r="BA153" s="514"/>
      <c r="BB153" s="514"/>
      <c r="BC153" s="520"/>
      <c r="BD153" s="2482"/>
      <c r="BE153" s="30">
        <v>3.4</v>
      </c>
      <c r="BF153" s="31">
        <v>1.0488999999999999</v>
      </c>
      <c r="BG153" s="32">
        <v>1048.3</v>
      </c>
      <c r="BH153" s="33"/>
      <c r="BI153" s="30">
        <v>3.4</v>
      </c>
      <c r="BJ153" s="34">
        <v>3.9626999999999999</v>
      </c>
      <c r="BK153" s="35">
        <v>0.16642999999999999</v>
      </c>
      <c r="BL153" s="33"/>
      <c r="BM153" s="37">
        <v>684</v>
      </c>
      <c r="BN153" s="38">
        <v>0.68420000000000003</v>
      </c>
      <c r="BO153" s="39">
        <v>75.33</v>
      </c>
      <c r="BP153" s="520"/>
      <c r="BQ153" s="40">
        <v>684</v>
      </c>
      <c r="BR153" s="43">
        <v>682.9</v>
      </c>
      <c r="BS153" s="41">
        <v>1.4643999999999999</v>
      </c>
    </row>
    <row r="154" spans="28:71">
      <c r="AB154" s="514"/>
      <c r="AC154" s="514"/>
      <c r="AD154" s="514"/>
      <c r="AE154" s="514"/>
      <c r="AF154" s="514"/>
      <c r="AG154" s="514"/>
      <c r="AH154" s="514"/>
      <c r="AI154" s="514"/>
      <c r="AJ154" s="514"/>
      <c r="AK154" s="514"/>
      <c r="AL154" s="514"/>
      <c r="AM154" s="514"/>
      <c r="AN154" s="514"/>
      <c r="AO154" s="514"/>
      <c r="AP154" s="514"/>
      <c r="AQ154" s="514"/>
      <c r="AR154" s="514"/>
      <c r="AS154" s="514"/>
      <c r="AT154" s="514"/>
      <c r="AU154" s="514"/>
      <c r="AV154" s="514"/>
      <c r="AW154" s="514"/>
      <c r="AX154" s="514"/>
      <c r="AY154" s="514"/>
      <c r="AZ154" s="514"/>
      <c r="BA154" s="514"/>
      <c r="BB154" s="514"/>
      <c r="BC154" s="520"/>
      <c r="BD154" s="2482"/>
      <c r="BE154" s="30">
        <v>3.5</v>
      </c>
      <c r="BF154" s="31">
        <v>1.0481</v>
      </c>
      <c r="BG154" s="32">
        <v>1047.5</v>
      </c>
      <c r="BH154" s="33"/>
      <c r="BI154" s="30">
        <v>3.5</v>
      </c>
      <c r="BJ154" s="34">
        <v>3.9597000000000002</v>
      </c>
      <c r="BK154" s="35">
        <v>0.16631000000000001</v>
      </c>
      <c r="BL154" s="33"/>
      <c r="BM154" s="37">
        <v>685</v>
      </c>
      <c r="BN154" s="38">
        <v>0.68520000000000003</v>
      </c>
      <c r="BO154" s="39">
        <v>75.02</v>
      </c>
      <c r="BP154" s="520"/>
      <c r="BQ154" s="40">
        <v>685</v>
      </c>
      <c r="BR154" s="43">
        <v>683.9</v>
      </c>
      <c r="BS154" s="41">
        <v>1.4621999999999999</v>
      </c>
    </row>
    <row r="155" spans="28:71">
      <c r="AB155" s="514"/>
      <c r="AC155" s="514"/>
      <c r="AD155" s="514"/>
      <c r="AE155" s="514"/>
      <c r="AF155" s="514"/>
      <c r="AG155" s="514"/>
      <c r="AH155" s="514"/>
      <c r="AI155" s="514"/>
      <c r="AJ155" s="514"/>
      <c r="AK155" s="514"/>
      <c r="AL155" s="514"/>
      <c r="AM155" s="514"/>
      <c r="AN155" s="514"/>
      <c r="AO155" s="514"/>
      <c r="AP155" s="514"/>
      <c r="AQ155" s="514"/>
      <c r="AR155" s="514"/>
      <c r="AS155" s="514"/>
      <c r="AT155" s="514"/>
      <c r="AU155" s="514"/>
      <c r="AV155" s="514"/>
      <c r="AW155" s="514"/>
      <c r="AX155" s="514"/>
      <c r="AY155" s="514"/>
      <c r="AZ155" s="514"/>
      <c r="BA155" s="514"/>
      <c r="BB155" s="514"/>
      <c r="BC155" s="520"/>
      <c r="BD155" s="2482"/>
      <c r="BE155" s="30">
        <v>3.6</v>
      </c>
      <c r="BF155" s="31">
        <v>1.0474000000000001</v>
      </c>
      <c r="BG155" s="32">
        <v>1046.7</v>
      </c>
      <c r="BH155" s="33"/>
      <c r="BI155" s="30">
        <v>3.6</v>
      </c>
      <c r="BJ155" s="34">
        <v>3.9567999999999999</v>
      </c>
      <c r="BK155" s="35">
        <v>0.16617999999999999</v>
      </c>
      <c r="BL155" s="33"/>
      <c r="BM155" s="37">
        <v>686</v>
      </c>
      <c r="BN155" s="38">
        <v>0.68620000000000003</v>
      </c>
      <c r="BO155" s="39">
        <v>74.72</v>
      </c>
      <c r="BP155" s="520"/>
      <c r="BQ155" s="40">
        <v>686</v>
      </c>
      <c r="BR155" s="43">
        <v>684.9</v>
      </c>
      <c r="BS155" s="41">
        <v>1.4601</v>
      </c>
    </row>
    <row r="156" spans="28:71">
      <c r="AB156" s="514"/>
      <c r="AC156" s="514"/>
      <c r="AD156" s="514"/>
      <c r="AE156" s="514"/>
      <c r="AF156" s="514"/>
      <c r="AG156" s="514"/>
      <c r="AH156" s="514"/>
      <c r="AI156" s="514"/>
      <c r="AJ156" s="514"/>
      <c r="AK156" s="514"/>
      <c r="AL156" s="514"/>
      <c r="AM156" s="514"/>
      <c r="AN156" s="514"/>
      <c r="AO156" s="514"/>
      <c r="AP156" s="514"/>
      <c r="AQ156" s="514"/>
      <c r="AR156" s="514"/>
      <c r="AS156" s="514"/>
      <c r="AT156" s="514"/>
      <c r="AU156" s="514"/>
      <c r="AV156" s="514"/>
      <c r="AW156" s="514"/>
      <c r="AX156" s="514"/>
      <c r="AY156" s="514"/>
      <c r="AZ156" s="514"/>
      <c r="BA156" s="514"/>
      <c r="BB156" s="514"/>
      <c r="BC156" s="520"/>
      <c r="BD156" s="2482"/>
      <c r="BE156" s="30">
        <v>3.7</v>
      </c>
      <c r="BF156" s="31">
        <v>1.0466</v>
      </c>
      <c r="BG156" s="32">
        <v>1045.9000000000001</v>
      </c>
      <c r="BH156" s="33"/>
      <c r="BI156" s="30">
        <v>3.7</v>
      </c>
      <c r="BJ156" s="34">
        <v>3.9539</v>
      </c>
      <c r="BK156" s="35">
        <v>0.16606000000000001</v>
      </c>
      <c r="BL156" s="33"/>
      <c r="BM156" s="37">
        <v>687</v>
      </c>
      <c r="BN156" s="38">
        <v>0.68720000000000003</v>
      </c>
      <c r="BO156" s="39">
        <v>74.42</v>
      </c>
      <c r="BP156" s="520"/>
      <c r="BQ156" s="40">
        <v>687</v>
      </c>
      <c r="BR156" s="43">
        <v>685.9</v>
      </c>
      <c r="BS156" s="41">
        <v>1.458</v>
      </c>
    </row>
    <row r="157" spans="28:71">
      <c r="AB157" s="514"/>
      <c r="AC157" s="514"/>
      <c r="AD157" s="514"/>
      <c r="AE157" s="514"/>
      <c r="AF157" s="514"/>
      <c r="AG157" s="514"/>
      <c r="AH157" s="514"/>
      <c r="AI157" s="514"/>
      <c r="AJ157" s="514"/>
      <c r="AK157" s="514"/>
      <c r="AL157" s="514"/>
      <c r="AM157" s="514"/>
      <c r="AN157" s="514"/>
      <c r="AO157" s="514"/>
      <c r="AP157" s="514"/>
      <c r="AQ157" s="514"/>
      <c r="AR157" s="514"/>
      <c r="AS157" s="514"/>
      <c r="AT157" s="514"/>
      <c r="AU157" s="514"/>
      <c r="AV157" s="514"/>
      <c r="AW157" s="514"/>
      <c r="AX157" s="514"/>
      <c r="AY157" s="514"/>
      <c r="AZ157" s="514"/>
      <c r="BA157" s="514"/>
      <c r="BB157" s="514"/>
      <c r="BC157" s="520"/>
      <c r="BD157" s="2482"/>
      <c r="BE157" s="30">
        <v>3.8</v>
      </c>
      <c r="BF157" s="31">
        <v>1.0458000000000001</v>
      </c>
      <c r="BG157" s="32">
        <v>1045.2</v>
      </c>
      <c r="BH157" s="33"/>
      <c r="BI157" s="30">
        <v>3.8</v>
      </c>
      <c r="BJ157" s="34">
        <v>3.9508999999999999</v>
      </c>
      <c r="BK157" s="35">
        <v>0.16594</v>
      </c>
      <c r="BL157" s="33"/>
      <c r="BM157" s="37">
        <v>688</v>
      </c>
      <c r="BN157" s="38">
        <v>0.68820000000000003</v>
      </c>
      <c r="BO157" s="39">
        <v>74.12</v>
      </c>
      <c r="BP157" s="520"/>
      <c r="BQ157" s="40">
        <v>688</v>
      </c>
      <c r="BR157" s="43">
        <v>686.9</v>
      </c>
      <c r="BS157" s="41">
        <v>1.4559</v>
      </c>
    </row>
    <row r="158" spans="28:71">
      <c r="AB158" s="514"/>
      <c r="AC158" s="514"/>
      <c r="AD158" s="514"/>
      <c r="AE158" s="514"/>
      <c r="AF158" s="514"/>
      <c r="AG158" s="514"/>
      <c r="AH158" s="514"/>
      <c r="AI158" s="514"/>
      <c r="AJ158" s="514"/>
      <c r="AK158" s="514"/>
      <c r="AL158" s="514"/>
      <c r="AM158" s="514"/>
      <c r="AN158" s="514"/>
      <c r="AO158" s="514"/>
      <c r="AP158" s="514"/>
      <c r="AQ158" s="514"/>
      <c r="AR158" s="514"/>
      <c r="AS158" s="514"/>
      <c r="AT158" s="514"/>
      <c r="AU158" s="514"/>
      <c r="AV158" s="514"/>
      <c r="AW158" s="514"/>
      <c r="AX158" s="514"/>
      <c r="AY158" s="514"/>
      <c r="AZ158" s="514"/>
      <c r="BA158" s="514"/>
      <c r="BB158" s="514"/>
      <c r="BC158" s="520"/>
      <c r="BD158" s="2482"/>
      <c r="BE158" s="30">
        <v>3.9</v>
      </c>
      <c r="BF158" s="31">
        <v>1.0450999999999999</v>
      </c>
      <c r="BG158" s="32">
        <v>1044.4000000000001</v>
      </c>
      <c r="BH158" s="33"/>
      <c r="BI158" s="30">
        <v>3.9</v>
      </c>
      <c r="BJ158" s="34">
        <v>3.948</v>
      </c>
      <c r="BK158" s="35">
        <v>0.16582</v>
      </c>
      <c r="BL158" s="33"/>
      <c r="BM158" s="37">
        <v>689</v>
      </c>
      <c r="BN158" s="38">
        <v>0.68920000000000003</v>
      </c>
      <c r="BO158" s="39">
        <v>73.819999999999993</v>
      </c>
      <c r="BP158" s="520"/>
      <c r="BQ158" s="40">
        <v>689</v>
      </c>
      <c r="BR158" s="43">
        <v>687.9</v>
      </c>
      <c r="BS158" s="41">
        <v>1.4537</v>
      </c>
    </row>
    <row r="159" spans="28:71">
      <c r="AB159" s="514"/>
      <c r="AC159" s="514"/>
      <c r="AD159" s="514"/>
      <c r="AE159" s="514"/>
      <c r="AF159" s="514"/>
      <c r="AG159" s="514"/>
      <c r="AH159" s="514"/>
      <c r="AI159" s="514"/>
      <c r="AJ159" s="514"/>
      <c r="AK159" s="514"/>
      <c r="AL159" s="514"/>
      <c r="AM159" s="514"/>
      <c r="AN159" s="514"/>
      <c r="AO159" s="514"/>
      <c r="AP159" s="514"/>
      <c r="AQ159" s="514"/>
      <c r="AR159" s="514"/>
      <c r="AS159" s="514"/>
      <c r="AT159" s="514"/>
      <c r="AU159" s="514"/>
      <c r="AV159" s="514"/>
      <c r="AW159" s="514"/>
      <c r="AX159" s="514"/>
      <c r="AY159" s="514"/>
      <c r="AZ159" s="514"/>
      <c r="BA159" s="514"/>
      <c r="BB159" s="514"/>
      <c r="BC159" s="520"/>
      <c r="BD159" s="2482"/>
      <c r="BE159" s="30">
        <v>4</v>
      </c>
      <c r="BF159" s="31">
        <v>1.0443</v>
      </c>
      <c r="BG159" s="32">
        <v>1043.5999999999999</v>
      </c>
      <c r="BH159" s="33"/>
      <c r="BI159" s="30">
        <v>4</v>
      </c>
      <c r="BJ159" s="34">
        <v>3.9451000000000001</v>
      </c>
      <c r="BK159" s="35">
        <v>0.16569</v>
      </c>
      <c r="BL159" s="33"/>
      <c r="BM159" s="37">
        <v>690</v>
      </c>
      <c r="BN159" s="38">
        <v>0.69020000000000004</v>
      </c>
      <c r="BO159" s="39">
        <v>73.53</v>
      </c>
      <c r="BP159" s="520"/>
      <c r="BQ159" s="40">
        <v>690</v>
      </c>
      <c r="BR159" s="43">
        <v>688.9</v>
      </c>
      <c r="BS159" s="41">
        <v>1.4516</v>
      </c>
    </row>
    <row r="160" spans="28:71">
      <c r="AB160" s="514"/>
      <c r="AC160" s="514"/>
      <c r="AD160" s="514"/>
      <c r="AE160" s="514"/>
      <c r="AF160" s="514"/>
      <c r="AG160" s="514"/>
      <c r="AH160" s="514"/>
      <c r="AI160" s="514"/>
      <c r="AJ160" s="514"/>
      <c r="AK160" s="514"/>
      <c r="AL160" s="514"/>
      <c r="AM160" s="514"/>
      <c r="AN160" s="514"/>
      <c r="AO160" s="514"/>
      <c r="AP160" s="514"/>
      <c r="AQ160" s="514"/>
      <c r="AR160" s="514"/>
      <c r="AS160" s="514"/>
      <c r="AT160" s="514"/>
      <c r="AU160" s="514"/>
      <c r="AV160" s="514"/>
      <c r="AW160" s="514"/>
      <c r="AX160" s="514"/>
      <c r="AY160" s="514"/>
      <c r="AZ160" s="514"/>
      <c r="BA160" s="514"/>
      <c r="BB160" s="514"/>
      <c r="BC160" s="520"/>
      <c r="BD160" s="2482"/>
      <c r="BE160" s="30">
        <v>4.0999999999999996</v>
      </c>
      <c r="BF160" s="31">
        <v>1.0435000000000001</v>
      </c>
      <c r="BG160" s="32">
        <v>1042.8</v>
      </c>
      <c r="BH160" s="33"/>
      <c r="BI160" s="30">
        <v>4.0999999999999996</v>
      </c>
      <c r="BJ160" s="34">
        <v>3.9422000000000001</v>
      </c>
      <c r="BK160" s="35">
        <v>0.16556999999999999</v>
      </c>
      <c r="BL160" s="33"/>
      <c r="BM160" s="37">
        <v>691</v>
      </c>
      <c r="BN160" s="38">
        <v>0.69120000000000004</v>
      </c>
      <c r="BO160" s="39">
        <v>73.23</v>
      </c>
      <c r="BP160" s="520"/>
      <c r="BQ160" s="40">
        <v>691</v>
      </c>
      <c r="BR160" s="43">
        <v>689.9</v>
      </c>
      <c r="BS160" s="41">
        <v>1.4495</v>
      </c>
    </row>
    <row r="161" spans="28:71">
      <c r="AB161" s="514"/>
      <c r="AC161" s="514"/>
      <c r="AD161" s="514"/>
      <c r="AE161" s="514"/>
      <c r="AF161" s="514"/>
      <c r="AG161" s="514"/>
      <c r="AH161" s="514"/>
      <c r="AI161" s="514"/>
      <c r="AJ161" s="514"/>
      <c r="AK161" s="514"/>
      <c r="AL161" s="514"/>
      <c r="AM161" s="514"/>
      <c r="AN161" s="514"/>
      <c r="AO161" s="514"/>
      <c r="AP161" s="514"/>
      <c r="AQ161" s="514"/>
      <c r="AR161" s="514"/>
      <c r="AS161" s="514"/>
      <c r="AT161" s="514"/>
      <c r="AU161" s="514"/>
      <c r="AV161" s="514"/>
      <c r="AW161" s="514"/>
      <c r="AX161" s="514"/>
      <c r="AY161" s="514"/>
      <c r="AZ161" s="514"/>
      <c r="BA161" s="514"/>
      <c r="BB161" s="514"/>
      <c r="BC161" s="520"/>
      <c r="BD161" s="2482"/>
      <c r="BE161" s="30">
        <v>4.2</v>
      </c>
      <c r="BF161" s="31">
        <v>1.0427</v>
      </c>
      <c r="BG161" s="32">
        <v>1042.0999999999999</v>
      </c>
      <c r="BH161" s="33"/>
      <c r="BI161" s="30">
        <v>4.2</v>
      </c>
      <c r="BJ161" s="34">
        <v>3.9392999999999998</v>
      </c>
      <c r="BK161" s="35">
        <v>0.16545000000000001</v>
      </c>
      <c r="BL161" s="33"/>
      <c r="BM161" s="37">
        <v>692</v>
      </c>
      <c r="BN161" s="38">
        <v>0.69220000000000004</v>
      </c>
      <c r="BO161" s="39">
        <v>72.930000000000007</v>
      </c>
      <c r="BP161" s="520"/>
      <c r="BQ161" s="40">
        <v>692</v>
      </c>
      <c r="BR161" s="43">
        <v>690.9</v>
      </c>
      <c r="BS161" s="41">
        <v>1.4474</v>
      </c>
    </row>
    <row r="162" spans="28:71">
      <c r="AB162" s="514"/>
      <c r="AC162" s="514"/>
      <c r="AD162" s="514"/>
      <c r="AE162" s="514"/>
      <c r="AF162" s="514"/>
      <c r="AG162" s="514"/>
      <c r="AH162" s="514"/>
      <c r="AI162" s="514"/>
      <c r="AJ162" s="514"/>
      <c r="AK162" s="514"/>
      <c r="AL162" s="514"/>
      <c r="AM162" s="514"/>
      <c r="AN162" s="514"/>
      <c r="AO162" s="514"/>
      <c r="AP162" s="514"/>
      <c r="AQ162" s="514"/>
      <c r="AR162" s="514"/>
      <c r="AS162" s="514"/>
      <c r="AT162" s="514"/>
      <c r="AU162" s="514"/>
      <c r="AV162" s="514"/>
      <c r="AW162" s="514"/>
      <c r="AX162" s="514"/>
      <c r="AY162" s="514"/>
      <c r="AZ162" s="514"/>
      <c r="BA162" s="514"/>
      <c r="BB162" s="514"/>
      <c r="BC162" s="520"/>
      <c r="BD162" s="2482"/>
      <c r="BE162" s="30">
        <v>4.3</v>
      </c>
      <c r="BF162" s="31">
        <v>1.042</v>
      </c>
      <c r="BG162" s="32">
        <v>1041.3</v>
      </c>
      <c r="BH162" s="33"/>
      <c r="BI162" s="30">
        <v>4.3</v>
      </c>
      <c r="BJ162" s="34">
        <v>3.9363999999999999</v>
      </c>
      <c r="BK162" s="35">
        <v>0.16533</v>
      </c>
      <c r="BL162" s="33"/>
      <c r="BM162" s="37">
        <v>693</v>
      </c>
      <c r="BN162" s="38">
        <v>0.69320000000000004</v>
      </c>
      <c r="BO162" s="39">
        <v>72.64</v>
      </c>
      <c r="BP162" s="520"/>
      <c r="BQ162" s="40">
        <v>693</v>
      </c>
      <c r="BR162" s="43">
        <v>691.9</v>
      </c>
      <c r="BS162" s="41">
        <v>1.4453</v>
      </c>
    </row>
    <row r="163" spans="28:71">
      <c r="AB163" s="514"/>
      <c r="AC163" s="514"/>
      <c r="AD163" s="514"/>
      <c r="AE163" s="514"/>
      <c r="AF163" s="514"/>
      <c r="AG163" s="514"/>
      <c r="AH163" s="514"/>
      <c r="AI163" s="514"/>
      <c r="AJ163" s="514"/>
      <c r="AK163" s="514"/>
      <c r="AL163" s="514"/>
      <c r="AM163" s="514"/>
      <c r="AN163" s="514"/>
      <c r="AO163" s="514"/>
      <c r="AP163" s="514"/>
      <c r="AQ163" s="514"/>
      <c r="AR163" s="514"/>
      <c r="AS163" s="514"/>
      <c r="AT163" s="514"/>
      <c r="AU163" s="514"/>
      <c r="AV163" s="514"/>
      <c r="AW163" s="514"/>
      <c r="AX163" s="514"/>
      <c r="AY163" s="514"/>
      <c r="AZ163" s="514"/>
      <c r="BA163" s="514"/>
      <c r="BB163" s="514"/>
      <c r="BC163" s="520"/>
      <c r="BD163" s="2482"/>
      <c r="BE163" s="30">
        <v>4.4000000000000004</v>
      </c>
      <c r="BF163" s="31">
        <v>1.0411999999999999</v>
      </c>
      <c r="BG163" s="32">
        <v>1040.5</v>
      </c>
      <c r="BH163" s="33"/>
      <c r="BI163" s="30">
        <v>4.4000000000000004</v>
      </c>
      <c r="BJ163" s="34">
        <v>3.9335</v>
      </c>
      <c r="BK163" s="35">
        <v>0.16521</v>
      </c>
      <c r="BL163" s="33"/>
      <c r="BM163" s="37">
        <v>694</v>
      </c>
      <c r="BN163" s="38">
        <v>0.69420000000000004</v>
      </c>
      <c r="BO163" s="39">
        <v>72.34</v>
      </c>
      <c r="BP163" s="520"/>
      <c r="BQ163" s="40">
        <v>694</v>
      </c>
      <c r="BR163" s="43">
        <v>692.9</v>
      </c>
      <c r="BS163" s="41">
        <v>1.4432</v>
      </c>
    </row>
    <row r="164" spans="28:71">
      <c r="AB164" s="514"/>
      <c r="AC164" s="514"/>
      <c r="AD164" s="514"/>
      <c r="AE164" s="514"/>
      <c r="AF164" s="514"/>
      <c r="AG164" s="514"/>
      <c r="AH164" s="514"/>
      <c r="AI164" s="514"/>
      <c r="AJ164" s="514"/>
      <c r="AK164" s="514"/>
      <c r="AL164" s="514"/>
      <c r="AM164" s="514"/>
      <c r="AN164" s="514"/>
      <c r="AO164" s="514"/>
      <c r="AP164" s="514"/>
      <c r="AQ164" s="514"/>
      <c r="AR164" s="514"/>
      <c r="AS164" s="514"/>
      <c r="AT164" s="514"/>
      <c r="AU164" s="514"/>
      <c r="AV164" s="514"/>
      <c r="AW164" s="514"/>
      <c r="AX164" s="514"/>
      <c r="AY164" s="514"/>
      <c r="AZ164" s="514"/>
      <c r="BA164" s="514"/>
      <c r="BB164" s="514"/>
      <c r="BC164" s="520"/>
      <c r="BD164" s="2482"/>
      <c r="BE164" s="30">
        <v>4.5</v>
      </c>
      <c r="BF164" s="31">
        <v>1.0404</v>
      </c>
      <c r="BG164" s="32">
        <v>1039.8</v>
      </c>
      <c r="BH164" s="33"/>
      <c r="BI164" s="30">
        <v>4.5</v>
      </c>
      <c r="BJ164" s="34">
        <v>3.9306000000000001</v>
      </c>
      <c r="BK164" s="35">
        <v>0.16508</v>
      </c>
      <c r="BL164" s="33"/>
      <c r="BM164" s="37">
        <v>695</v>
      </c>
      <c r="BN164" s="38">
        <v>0.69520000000000004</v>
      </c>
      <c r="BO164" s="39">
        <v>72.05</v>
      </c>
      <c r="BP164" s="520"/>
      <c r="BQ164" s="40">
        <v>695</v>
      </c>
      <c r="BR164" s="43">
        <v>693.9</v>
      </c>
      <c r="BS164" s="41">
        <v>1.4412</v>
      </c>
    </row>
    <row r="165" spans="28:71">
      <c r="AB165" s="514"/>
      <c r="AC165" s="514"/>
      <c r="AD165" s="514"/>
      <c r="AE165" s="514"/>
      <c r="AF165" s="514"/>
      <c r="AG165" s="514"/>
      <c r="AH165" s="514"/>
      <c r="AI165" s="514"/>
      <c r="AJ165" s="514"/>
      <c r="AK165" s="514"/>
      <c r="AL165" s="514"/>
      <c r="AM165" s="514"/>
      <c r="AN165" s="514"/>
      <c r="AO165" s="514"/>
      <c r="AP165" s="514"/>
      <c r="AQ165" s="514"/>
      <c r="AR165" s="514"/>
      <c r="AS165" s="514"/>
      <c r="AT165" s="514"/>
      <c r="AU165" s="514"/>
      <c r="AV165" s="514"/>
      <c r="AW165" s="514"/>
      <c r="AX165" s="514"/>
      <c r="AY165" s="514"/>
      <c r="AZ165" s="514"/>
      <c r="BA165" s="514"/>
      <c r="BB165" s="514"/>
      <c r="BC165" s="520"/>
      <c r="BD165" s="2482"/>
      <c r="BE165" s="30">
        <v>4.5999999999999996</v>
      </c>
      <c r="BF165" s="31">
        <v>1.0397000000000001</v>
      </c>
      <c r="BG165" s="32">
        <v>1039</v>
      </c>
      <c r="BH165" s="33"/>
      <c r="BI165" s="30">
        <v>4.5999999999999996</v>
      </c>
      <c r="BJ165" s="34">
        <v>3.9277000000000002</v>
      </c>
      <c r="BK165" s="35">
        <v>0.16496</v>
      </c>
      <c r="BL165" s="33"/>
      <c r="BM165" s="37">
        <v>696</v>
      </c>
      <c r="BN165" s="38">
        <v>0.69620000000000004</v>
      </c>
      <c r="BO165" s="39">
        <v>71.760000000000005</v>
      </c>
      <c r="BP165" s="520"/>
      <c r="BQ165" s="40">
        <v>696</v>
      </c>
      <c r="BR165" s="43">
        <v>694.9</v>
      </c>
      <c r="BS165" s="41">
        <v>1.4391</v>
      </c>
    </row>
    <row r="166" spans="28:71">
      <c r="AB166" s="514"/>
      <c r="AC166" s="514"/>
      <c r="AD166" s="514"/>
      <c r="AE166" s="514"/>
      <c r="AF166" s="514"/>
      <c r="AG166" s="514"/>
      <c r="AH166" s="514"/>
      <c r="AI166" s="514"/>
      <c r="AJ166" s="514"/>
      <c r="AK166" s="514"/>
      <c r="AL166" s="514"/>
      <c r="AM166" s="514"/>
      <c r="AN166" s="514"/>
      <c r="AO166" s="514"/>
      <c r="AP166" s="514"/>
      <c r="AQ166" s="514"/>
      <c r="AR166" s="514"/>
      <c r="AS166" s="514"/>
      <c r="AT166" s="514"/>
      <c r="AU166" s="514"/>
      <c r="AV166" s="514"/>
      <c r="AW166" s="514"/>
      <c r="AX166" s="514"/>
      <c r="AY166" s="514"/>
      <c r="AZ166" s="514"/>
      <c r="BA166" s="514"/>
      <c r="BB166" s="514"/>
      <c r="BC166" s="520"/>
      <c r="BD166" s="2482"/>
      <c r="BE166" s="30">
        <v>4.7</v>
      </c>
      <c r="BF166" s="31">
        <v>1.0388999999999999</v>
      </c>
      <c r="BG166" s="32">
        <v>1038.3</v>
      </c>
      <c r="BH166" s="33"/>
      <c r="BI166" s="30">
        <v>4.7</v>
      </c>
      <c r="BJ166" s="34">
        <v>3.9247999999999998</v>
      </c>
      <c r="BK166" s="35">
        <v>0.16483999999999999</v>
      </c>
      <c r="BL166" s="33"/>
      <c r="BM166" s="37">
        <v>697</v>
      </c>
      <c r="BN166" s="38">
        <v>0.69720000000000004</v>
      </c>
      <c r="BO166" s="39">
        <v>71.459999999999994</v>
      </c>
      <c r="BP166" s="520"/>
      <c r="BQ166" s="40">
        <v>697</v>
      </c>
      <c r="BR166" s="43">
        <v>695.9</v>
      </c>
      <c r="BS166" s="41">
        <v>1.4370000000000001</v>
      </c>
    </row>
    <row r="167" spans="28:71">
      <c r="AB167" s="514"/>
      <c r="AC167" s="514"/>
      <c r="AD167" s="514"/>
      <c r="AE167" s="514"/>
      <c r="AF167" s="514"/>
      <c r="AG167" s="514"/>
      <c r="AH167" s="514"/>
      <c r="AI167" s="514"/>
      <c r="AJ167" s="514"/>
      <c r="AK167" s="514"/>
      <c r="AL167" s="514"/>
      <c r="AM167" s="514"/>
      <c r="AN167" s="514"/>
      <c r="AO167" s="514"/>
      <c r="AP167" s="514"/>
      <c r="AQ167" s="514"/>
      <c r="AR167" s="514"/>
      <c r="AS167" s="514"/>
      <c r="AT167" s="514"/>
      <c r="AU167" s="514"/>
      <c r="AV167" s="514"/>
      <c r="AW167" s="514"/>
      <c r="AX167" s="514"/>
      <c r="AY167" s="514"/>
      <c r="AZ167" s="514"/>
      <c r="BA167" s="514"/>
      <c r="BB167" s="514"/>
      <c r="BC167" s="520"/>
      <c r="BD167" s="2482"/>
      <c r="BE167" s="30">
        <v>4.8</v>
      </c>
      <c r="BF167" s="31">
        <v>1.0382</v>
      </c>
      <c r="BG167" s="32">
        <v>1037.5</v>
      </c>
      <c r="BH167" s="33"/>
      <c r="BI167" s="30">
        <v>4.8</v>
      </c>
      <c r="BJ167" s="34">
        <v>3.9218999999999999</v>
      </c>
      <c r="BK167" s="35">
        <v>0.16472000000000001</v>
      </c>
      <c r="BL167" s="33"/>
      <c r="BM167" s="37">
        <v>698</v>
      </c>
      <c r="BN167" s="38">
        <v>0.69820000000000004</v>
      </c>
      <c r="BO167" s="39">
        <v>71.17</v>
      </c>
      <c r="BP167" s="520"/>
      <c r="BQ167" s="40">
        <v>698</v>
      </c>
      <c r="BR167" s="43">
        <v>696.9</v>
      </c>
      <c r="BS167" s="41">
        <v>1.4350000000000001</v>
      </c>
    </row>
    <row r="168" spans="28:71">
      <c r="AB168" s="514"/>
      <c r="AC168" s="514"/>
      <c r="AD168" s="514"/>
      <c r="AE168" s="514"/>
      <c r="AF168" s="514"/>
      <c r="AG168" s="514"/>
      <c r="AH168" s="514"/>
      <c r="AI168" s="514"/>
      <c r="AJ168" s="514"/>
      <c r="AK168" s="514"/>
      <c r="AL168" s="514"/>
      <c r="AM168" s="514"/>
      <c r="AN168" s="514"/>
      <c r="AO168" s="514"/>
      <c r="AP168" s="514"/>
      <c r="AQ168" s="514"/>
      <c r="AR168" s="514"/>
      <c r="AS168" s="514"/>
      <c r="AT168" s="514"/>
      <c r="AU168" s="514"/>
      <c r="AV168" s="514"/>
      <c r="AW168" s="514"/>
      <c r="AX168" s="514"/>
      <c r="AY168" s="514"/>
      <c r="AZ168" s="514"/>
      <c r="BA168" s="514"/>
      <c r="BB168" s="514"/>
      <c r="BC168" s="520"/>
      <c r="BD168" s="2482"/>
      <c r="BE168" s="30">
        <v>4.9000000000000004</v>
      </c>
      <c r="BF168" s="31">
        <v>1.0374000000000001</v>
      </c>
      <c r="BG168" s="32">
        <v>1036.7</v>
      </c>
      <c r="BH168" s="33"/>
      <c r="BI168" s="30">
        <v>4.9000000000000004</v>
      </c>
      <c r="BJ168" s="34">
        <v>3.919</v>
      </c>
      <c r="BK168" s="35">
        <v>0.1646</v>
      </c>
      <c r="BL168" s="33"/>
      <c r="BM168" s="37">
        <v>699</v>
      </c>
      <c r="BN168" s="38">
        <v>0.69920000000000004</v>
      </c>
      <c r="BO168" s="39">
        <v>70.88</v>
      </c>
      <c r="BP168" s="520"/>
      <c r="BQ168" s="40">
        <v>699</v>
      </c>
      <c r="BR168" s="43">
        <v>697.9</v>
      </c>
      <c r="BS168" s="41">
        <v>1.4329000000000001</v>
      </c>
    </row>
    <row r="169" spans="28:71">
      <c r="AB169" s="514"/>
      <c r="AC169" s="514"/>
      <c r="AD169" s="514"/>
      <c r="AE169" s="514"/>
      <c r="AF169" s="514"/>
      <c r="AG169" s="514"/>
      <c r="AH169" s="514"/>
      <c r="AI169" s="514"/>
      <c r="AJ169" s="514"/>
      <c r="AK169" s="514"/>
      <c r="AL169" s="514"/>
      <c r="AM169" s="514"/>
      <c r="AN169" s="514"/>
      <c r="AO169" s="514"/>
      <c r="AP169" s="514"/>
      <c r="AQ169" s="514"/>
      <c r="AR169" s="514"/>
      <c r="AS169" s="514"/>
      <c r="AT169" s="514"/>
      <c r="AU169" s="514"/>
      <c r="AV169" s="514"/>
      <c r="AW169" s="514"/>
      <c r="AX169" s="514"/>
      <c r="AY169" s="514"/>
      <c r="AZ169" s="514"/>
      <c r="BA169" s="514"/>
      <c r="BB169" s="514"/>
      <c r="BC169" s="520"/>
      <c r="BD169" s="2482"/>
      <c r="BE169" s="30">
        <v>5</v>
      </c>
      <c r="BF169" s="31">
        <v>1.0366</v>
      </c>
      <c r="BG169" s="32">
        <v>1036</v>
      </c>
      <c r="BH169" s="33"/>
      <c r="BI169" s="30">
        <v>5</v>
      </c>
      <c r="BJ169" s="34">
        <v>3.9161999999999999</v>
      </c>
      <c r="BK169" s="35">
        <v>0.16447999999999999</v>
      </c>
      <c r="BL169" s="33"/>
      <c r="BM169" s="37">
        <v>700</v>
      </c>
      <c r="BN169" s="38">
        <v>0.70020000000000004</v>
      </c>
      <c r="BO169" s="39">
        <v>70.59</v>
      </c>
      <c r="BP169" s="520"/>
      <c r="BQ169" s="40">
        <v>700</v>
      </c>
      <c r="BR169" s="43">
        <v>698.9</v>
      </c>
      <c r="BS169" s="41">
        <v>1.4309000000000001</v>
      </c>
    </row>
    <row r="170" spans="28:71">
      <c r="AB170" s="514"/>
      <c r="AC170" s="514"/>
      <c r="AD170" s="514"/>
      <c r="AE170" s="514"/>
      <c r="AF170" s="514"/>
      <c r="AG170" s="514"/>
      <c r="AH170" s="514"/>
      <c r="AI170" s="514"/>
      <c r="AJ170" s="514"/>
      <c r="AK170" s="514"/>
      <c r="AL170" s="514"/>
      <c r="AM170" s="514"/>
      <c r="AN170" s="514"/>
      <c r="AO170" s="514"/>
      <c r="AP170" s="514"/>
      <c r="AQ170" s="514"/>
      <c r="AR170" s="514"/>
      <c r="AS170" s="514"/>
      <c r="AT170" s="514"/>
      <c r="AU170" s="514"/>
      <c r="AV170" s="514"/>
      <c r="AW170" s="514"/>
      <c r="AX170" s="514"/>
      <c r="AY170" s="514"/>
      <c r="AZ170" s="514"/>
      <c r="BA170" s="514"/>
      <c r="BB170" s="514"/>
      <c r="BC170" s="520"/>
      <c r="BD170" s="2482"/>
      <c r="BE170" s="30">
        <v>5.0999999999999996</v>
      </c>
      <c r="BF170" s="31">
        <v>1.0359</v>
      </c>
      <c r="BG170" s="32">
        <v>1035.2</v>
      </c>
      <c r="BH170" s="33"/>
      <c r="BI170" s="30">
        <v>5.0999999999999996</v>
      </c>
      <c r="BJ170" s="34">
        <v>3.9133</v>
      </c>
      <c r="BK170" s="35">
        <v>0.16436000000000001</v>
      </c>
      <c r="BL170" s="33"/>
      <c r="BM170" s="37">
        <v>701</v>
      </c>
      <c r="BN170" s="38">
        <v>0.70120000000000005</v>
      </c>
      <c r="BO170" s="39">
        <v>70.3</v>
      </c>
      <c r="BP170" s="520"/>
      <c r="BQ170" s="40">
        <v>701</v>
      </c>
      <c r="BR170" s="43">
        <v>699.9</v>
      </c>
      <c r="BS170" s="41">
        <v>1.4288000000000001</v>
      </c>
    </row>
    <row r="171" spans="28:71">
      <c r="AB171" s="514"/>
      <c r="AC171" s="514"/>
      <c r="AD171" s="514"/>
      <c r="AE171" s="514"/>
      <c r="AF171" s="514"/>
      <c r="AG171" s="514"/>
      <c r="AH171" s="514"/>
      <c r="AI171" s="514"/>
      <c r="AJ171" s="514"/>
      <c r="AK171" s="514"/>
      <c r="AL171" s="514"/>
      <c r="AM171" s="514"/>
      <c r="AN171" s="514"/>
      <c r="AO171" s="514"/>
      <c r="AP171" s="514"/>
      <c r="AQ171" s="514"/>
      <c r="AR171" s="514"/>
      <c r="AS171" s="514"/>
      <c r="AT171" s="514"/>
      <c r="AU171" s="514"/>
      <c r="AV171" s="514"/>
      <c r="AW171" s="514"/>
      <c r="AX171" s="514"/>
      <c r="AY171" s="514"/>
      <c r="AZ171" s="514"/>
      <c r="BA171" s="514"/>
      <c r="BB171" s="514"/>
      <c r="BC171" s="520"/>
      <c r="BD171" s="2482"/>
      <c r="BE171" s="30">
        <v>5.2</v>
      </c>
      <c r="BF171" s="31">
        <v>1.0350999999999999</v>
      </c>
      <c r="BG171" s="32">
        <v>1034.5</v>
      </c>
      <c r="BH171" s="33"/>
      <c r="BI171" s="30">
        <v>5.2</v>
      </c>
      <c r="BJ171" s="34">
        <v>3.9104000000000001</v>
      </c>
      <c r="BK171" s="35">
        <v>0.16424</v>
      </c>
      <c r="BL171" s="33"/>
      <c r="BM171" s="37">
        <v>702</v>
      </c>
      <c r="BN171" s="38">
        <v>0.70220000000000005</v>
      </c>
      <c r="BO171" s="39">
        <v>70.02</v>
      </c>
      <c r="BP171" s="520"/>
      <c r="BQ171" s="40">
        <v>702</v>
      </c>
      <c r="BR171" s="43">
        <v>700.9</v>
      </c>
      <c r="BS171" s="41">
        <v>1.4268000000000001</v>
      </c>
    </row>
    <row r="172" spans="28:71">
      <c r="AB172" s="514"/>
      <c r="AC172" s="514"/>
      <c r="AD172" s="514"/>
      <c r="AE172" s="514"/>
      <c r="AF172" s="514"/>
      <c r="AG172" s="514"/>
      <c r="AH172" s="514"/>
      <c r="AI172" s="514"/>
      <c r="AJ172" s="514"/>
      <c r="AK172" s="514"/>
      <c r="AL172" s="514"/>
      <c r="AM172" s="514"/>
      <c r="AN172" s="514"/>
      <c r="AO172" s="514"/>
      <c r="AP172" s="514"/>
      <c r="AQ172" s="514"/>
      <c r="AR172" s="514"/>
      <c r="AS172" s="514"/>
      <c r="AT172" s="514"/>
      <c r="AU172" s="514"/>
      <c r="AV172" s="514"/>
      <c r="AW172" s="514"/>
      <c r="AX172" s="514"/>
      <c r="AY172" s="514"/>
      <c r="AZ172" s="514"/>
      <c r="BA172" s="514"/>
      <c r="BB172" s="514"/>
      <c r="BC172" s="520"/>
      <c r="BD172" s="2482"/>
      <c r="BE172" s="30">
        <v>5.3</v>
      </c>
      <c r="BF172" s="31">
        <v>1.0344</v>
      </c>
      <c r="BG172" s="32">
        <v>1033.7</v>
      </c>
      <c r="BH172" s="33"/>
      <c r="BI172" s="30">
        <v>5.3</v>
      </c>
      <c r="BJ172" s="34">
        <v>3.9076</v>
      </c>
      <c r="BK172" s="35">
        <v>0.16411999999999999</v>
      </c>
      <c r="BL172" s="33"/>
      <c r="BM172" s="37">
        <v>703</v>
      </c>
      <c r="BN172" s="38">
        <v>0.70320000000000005</v>
      </c>
      <c r="BO172" s="39">
        <v>69.73</v>
      </c>
      <c r="BP172" s="520"/>
      <c r="BQ172" s="40">
        <v>703</v>
      </c>
      <c r="BR172" s="43">
        <v>701.9</v>
      </c>
      <c r="BS172" s="41">
        <v>1.4247000000000001</v>
      </c>
    </row>
    <row r="173" spans="28:71">
      <c r="AB173" s="514"/>
      <c r="AC173" s="514"/>
      <c r="AD173" s="514"/>
      <c r="AE173" s="514"/>
      <c r="AF173" s="514"/>
      <c r="AG173" s="514"/>
      <c r="AH173" s="514"/>
      <c r="AI173" s="514"/>
      <c r="AJ173" s="514"/>
      <c r="AK173" s="514"/>
      <c r="AL173" s="514"/>
      <c r="AM173" s="514"/>
      <c r="AN173" s="514"/>
      <c r="AO173" s="514"/>
      <c r="AP173" s="514"/>
      <c r="AQ173" s="514"/>
      <c r="AR173" s="514"/>
      <c r="AS173" s="514"/>
      <c r="AT173" s="514"/>
      <c r="AU173" s="514"/>
      <c r="AV173" s="514"/>
      <c r="AW173" s="514"/>
      <c r="AX173" s="514"/>
      <c r="AY173" s="514"/>
      <c r="AZ173" s="514"/>
      <c r="BA173" s="514"/>
      <c r="BB173" s="514"/>
      <c r="BC173" s="520"/>
      <c r="BD173" s="2482"/>
      <c r="BE173" s="30">
        <v>5.4</v>
      </c>
      <c r="BF173" s="31">
        <v>1.0336000000000001</v>
      </c>
      <c r="BG173" s="32">
        <v>1033</v>
      </c>
      <c r="BH173" s="33"/>
      <c r="BI173" s="30">
        <v>5.4</v>
      </c>
      <c r="BJ173" s="34">
        <v>3.9047000000000001</v>
      </c>
      <c r="BK173" s="35">
        <v>0.16400000000000001</v>
      </c>
      <c r="BL173" s="33"/>
      <c r="BM173" s="37">
        <v>704</v>
      </c>
      <c r="BN173" s="38">
        <v>0.70420000000000005</v>
      </c>
      <c r="BO173" s="39">
        <v>69.44</v>
      </c>
      <c r="BP173" s="520"/>
      <c r="BQ173" s="40">
        <v>704</v>
      </c>
      <c r="BR173" s="43">
        <v>702.9</v>
      </c>
      <c r="BS173" s="41">
        <v>1.4227000000000001</v>
      </c>
    </row>
    <row r="174" spans="28:71">
      <c r="AB174" s="514"/>
      <c r="AC174" s="514"/>
      <c r="AD174" s="514"/>
      <c r="AE174" s="514"/>
      <c r="AF174" s="514"/>
      <c r="AG174" s="514"/>
      <c r="AH174" s="514"/>
      <c r="AI174" s="514"/>
      <c r="AJ174" s="514"/>
      <c r="AK174" s="514"/>
      <c r="AL174" s="514"/>
      <c r="AM174" s="514"/>
      <c r="AN174" s="514"/>
      <c r="AO174" s="514"/>
      <c r="AP174" s="514"/>
      <c r="AQ174" s="514"/>
      <c r="AR174" s="514"/>
      <c r="AS174" s="514"/>
      <c r="AT174" s="514"/>
      <c r="AU174" s="514"/>
      <c r="AV174" s="514"/>
      <c r="AW174" s="514"/>
      <c r="AX174" s="514"/>
      <c r="AY174" s="514"/>
      <c r="AZ174" s="514"/>
      <c r="BA174" s="514"/>
      <c r="BB174" s="514"/>
      <c r="BC174" s="520"/>
      <c r="BD174" s="2482"/>
      <c r="BE174" s="30">
        <v>5.5</v>
      </c>
      <c r="BF174" s="31">
        <v>1.0327999999999999</v>
      </c>
      <c r="BG174" s="32">
        <v>1032.2</v>
      </c>
      <c r="BH174" s="33"/>
      <c r="BI174" s="30">
        <v>5.5</v>
      </c>
      <c r="BJ174" s="34">
        <v>3.9018000000000002</v>
      </c>
      <c r="BK174" s="35">
        <v>0.16388</v>
      </c>
      <c r="BL174" s="33"/>
      <c r="BM174" s="37">
        <v>705</v>
      </c>
      <c r="BN174" s="38">
        <v>0.70520000000000005</v>
      </c>
      <c r="BO174" s="39">
        <v>69.16</v>
      </c>
      <c r="BP174" s="520"/>
      <c r="BQ174" s="40">
        <v>705</v>
      </c>
      <c r="BR174" s="43">
        <v>703.9</v>
      </c>
      <c r="BS174" s="41">
        <v>1.4207000000000001</v>
      </c>
    </row>
    <row r="175" spans="28:71">
      <c r="AB175" s="514"/>
      <c r="AC175" s="514"/>
      <c r="AD175" s="514"/>
      <c r="AE175" s="514"/>
      <c r="AF175" s="514"/>
      <c r="AG175" s="514"/>
      <c r="AH175" s="514"/>
      <c r="AI175" s="514"/>
      <c r="AJ175" s="514"/>
      <c r="AK175" s="514"/>
      <c r="AL175" s="514"/>
      <c r="AM175" s="514"/>
      <c r="AN175" s="514"/>
      <c r="AO175" s="514"/>
      <c r="AP175" s="514"/>
      <c r="AQ175" s="514"/>
      <c r="AR175" s="514"/>
      <c r="AS175" s="514"/>
      <c r="AT175" s="514"/>
      <c r="AU175" s="514"/>
      <c r="AV175" s="514"/>
      <c r="AW175" s="514"/>
      <c r="AX175" s="514"/>
      <c r="AY175" s="514"/>
      <c r="AZ175" s="514"/>
      <c r="BA175" s="514"/>
      <c r="BB175" s="514"/>
      <c r="BC175" s="520"/>
      <c r="BD175" s="2482"/>
      <c r="BE175" s="30">
        <v>5.6</v>
      </c>
      <c r="BF175" s="31">
        <v>1.0321</v>
      </c>
      <c r="BG175" s="32">
        <v>1031.4000000000001</v>
      </c>
      <c r="BH175" s="33"/>
      <c r="BI175" s="30">
        <v>5.6</v>
      </c>
      <c r="BJ175" s="34">
        <v>3.899</v>
      </c>
      <c r="BK175" s="35">
        <v>0.16375999999999999</v>
      </c>
      <c r="BL175" s="33"/>
      <c r="BM175" s="37">
        <v>706</v>
      </c>
      <c r="BN175" s="38">
        <v>0.70620000000000005</v>
      </c>
      <c r="BO175" s="39">
        <v>68.87</v>
      </c>
      <c r="BP175" s="520"/>
      <c r="BQ175" s="40">
        <v>706</v>
      </c>
      <c r="BR175" s="43">
        <v>704.9</v>
      </c>
      <c r="BS175" s="41">
        <v>1.4187000000000001</v>
      </c>
    </row>
    <row r="176" spans="28:71">
      <c r="AB176" s="514"/>
      <c r="AC176" s="514"/>
      <c r="AD176" s="514"/>
      <c r="AE176" s="514"/>
      <c r="AF176" s="514"/>
      <c r="AG176" s="514"/>
      <c r="AH176" s="514"/>
      <c r="AI176" s="514"/>
      <c r="AJ176" s="514"/>
      <c r="AK176" s="514"/>
      <c r="AL176" s="514"/>
      <c r="AM176" s="514"/>
      <c r="AN176" s="514"/>
      <c r="AO176" s="514"/>
      <c r="AP176" s="514"/>
      <c r="AQ176" s="514"/>
      <c r="AR176" s="514"/>
      <c r="AS176" s="514"/>
      <c r="AT176" s="514"/>
      <c r="AU176" s="514"/>
      <c r="AV176" s="514"/>
      <c r="AW176" s="514"/>
      <c r="AX176" s="514"/>
      <c r="AY176" s="514"/>
      <c r="AZ176" s="514"/>
      <c r="BA176" s="514"/>
      <c r="BB176" s="514"/>
      <c r="BC176" s="520"/>
      <c r="BD176" s="2482"/>
      <c r="BE176" s="30">
        <v>5.7</v>
      </c>
      <c r="BF176" s="31">
        <v>1.0313000000000001</v>
      </c>
      <c r="BG176" s="32">
        <v>1030.7</v>
      </c>
      <c r="BH176" s="33"/>
      <c r="BI176" s="30">
        <v>5.7</v>
      </c>
      <c r="BJ176" s="34">
        <v>3.8961999999999999</v>
      </c>
      <c r="BK176" s="35">
        <v>0.16364000000000001</v>
      </c>
      <c r="BL176" s="33"/>
      <c r="BM176" s="37">
        <v>707</v>
      </c>
      <c r="BN176" s="38">
        <v>0.70720000000000005</v>
      </c>
      <c r="BO176" s="39">
        <v>68.59</v>
      </c>
      <c r="BP176" s="520"/>
      <c r="BQ176" s="40">
        <v>707</v>
      </c>
      <c r="BR176" s="43">
        <v>705.9</v>
      </c>
      <c r="BS176" s="41">
        <v>1.4167000000000001</v>
      </c>
    </row>
    <row r="177" spans="28:71">
      <c r="AB177" s="514"/>
      <c r="AC177" s="514"/>
      <c r="AD177" s="514"/>
      <c r="AE177" s="514"/>
      <c r="AF177" s="514"/>
      <c r="AG177" s="514"/>
      <c r="AH177" s="514"/>
      <c r="AI177" s="514"/>
      <c r="AJ177" s="514"/>
      <c r="AK177" s="514"/>
      <c r="AL177" s="514"/>
      <c r="AM177" s="514"/>
      <c r="AN177" s="514"/>
      <c r="AO177" s="514"/>
      <c r="AP177" s="514"/>
      <c r="AQ177" s="514"/>
      <c r="AR177" s="514"/>
      <c r="AS177" s="514"/>
      <c r="AT177" s="514"/>
      <c r="AU177" s="514"/>
      <c r="AV177" s="514"/>
      <c r="AW177" s="514"/>
      <c r="AX177" s="514"/>
      <c r="AY177" s="514"/>
      <c r="AZ177" s="514"/>
      <c r="BA177" s="514"/>
      <c r="BB177" s="514"/>
      <c r="BC177" s="520"/>
      <c r="BD177" s="2482"/>
      <c r="BE177" s="30">
        <v>5.8</v>
      </c>
      <c r="BF177" s="31">
        <v>1.0306</v>
      </c>
      <c r="BG177" s="32">
        <v>1029.9000000000001</v>
      </c>
      <c r="BH177" s="33"/>
      <c r="BI177" s="30">
        <v>5.8</v>
      </c>
      <c r="BJ177" s="34">
        <v>3.8933</v>
      </c>
      <c r="BK177" s="35">
        <v>0.16352</v>
      </c>
      <c r="BL177" s="33"/>
      <c r="BM177" s="37">
        <v>708</v>
      </c>
      <c r="BN177" s="38">
        <v>0.70820000000000005</v>
      </c>
      <c r="BO177" s="39">
        <v>68.31</v>
      </c>
      <c r="BP177" s="520"/>
      <c r="BQ177" s="40">
        <v>708</v>
      </c>
      <c r="BR177" s="43">
        <v>706.9</v>
      </c>
      <c r="BS177" s="41">
        <v>1.4147000000000001</v>
      </c>
    </row>
    <row r="178" spans="28:71">
      <c r="AB178" s="514"/>
      <c r="AC178" s="514"/>
      <c r="AD178" s="514"/>
      <c r="AE178" s="514"/>
      <c r="AF178" s="514"/>
      <c r="AG178" s="514"/>
      <c r="AH178" s="514"/>
      <c r="AI178" s="514"/>
      <c r="AJ178" s="514"/>
      <c r="AK178" s="514"/>
      <c r="AL178" s="514"/>
      <c r="AM178" s="514"/>
      <c r="AN178" s="514"/>
      <c r="AO178" s="514"/>
      <c r="AP178" s="514"/>
      <c r="AQ178" s="514"/>
      <c r="AR178" s="514"/>
      <c r="AS178" s="514"/>
      <c r="AT178" s="514"/>
      <c r="AU178" s="514"/>
      <c r="AV178" s="514"/>
      <c r="AW178" s="514"/>
      <c r="AX178" s="514"/>
      <c r="AY178" s="514"/>
      <c r="AZ178" s="514"/>
      <c r="BA178" s="514"/>
      <c r="BB178" s="514"/>
      <c r="BC178" s="520"/>
      <c r="BD178" s="2482"/>
      <c r="BE178" s="30">
        <v>5.9</v>
      </c>
      <c r="BF178" s="31">
        <v>1.0298</v>
      </c>
      <c r="BG178" s="32">
        <v>1029.2</v>
      </c>
      <c r="BH178" s="33"/>
      <c r="BI178" s="30">
        <v>5.9</v>
      </c>
      <c r="BJ178" s="34">
        <v>3.8904999999999998</v>
      </c>
      <c r="BK178" s="35">
        <v>0.16339999999999999</v>
      </c>
      <c r="BL178" s="33"/>
      <c r="BM178" s="37">
        <v>709</v>
      </c>
      <c r="BN178" s="38">
        <v>0.70920000000000005</v>
      </c>
      <c r="BO178" s="39">
        <v>68.02</v>
      </c>
      <c r="BP178" s="520"/>
      <c r="BQ178" s="40">
        <v>709</v>
      </c>
      <c r="BR178" s="43">
        <v>707.9</v>
      </c>
      <c r="BS178" s="41">
        <v>1.4127000000000001</v>
      </c>
    </row>
    <row r="179" spans="28:71">
      <c r="AB179" s="514"/>
      <c r="AC179" s="514"/>
      <c r="AD179" s="514"/>
      <c r="AE179" s="514"/>
      <c r="AF179" s="514"/>
      <c r="AG179" s="514"/>
      <c r="AH179" s="514"/>
      <c r="AI179" s="514"/>
      <c r="AJ179" s="514"/>
      <c r="AK179" s="514"/>
      <c r="AL179" s="514"/>
      <c r="AM179" s="514"/>
      <c r="AN179" s="514"/>
      <c r="AO179" s="514"/>
      <c r="AP179" s="514"/>
      <c r="AQ179" s="514"/>
      <c r="AR179" s="514"/>
      <c r="AS179" s="514"/>
      <c r="AT179" s="514"/>
      <c r="AU179" s="514"/>
      <c r="AV179" s="514"/>
      <c r="AW179" s="514"/>
      <c r="AX179" s="514"/>
      <c r="AY179" s="514"/>
      <c r="AZ179" s="514"/>
      <c r="BA179" s="514"/>
      <c r="BB179" s="514"/>
      <c r="BC179" s="520"/>
      <c r="BD179" s="2482"/>
      <c r="BE179" s="30">
        <v>6</v>
      </c>
      <c r="BF179" s="31">
        <v>1.0290999999999999</v>
      </c>
      <c r="BG179" s="32">
        <v>1028.4000000000001</v>
      </c>
      <c r="BH179" s="33"/>
      <c r="BI179" s="30">
        <v>6</v>
      </c>
      <c r="BJ179" s="34">
        <v>3.8875999999999999</v>
      </c>
      <c r="BK179" s="35">
        <v>0.16328000000000001</v>
      </c>
      <c r="BL179" s="33"/>
      <c r="BM179" s="37">
        <v>710</v>
      </c>
      <c r="BN179" s="38">
        <v>0.71020000000000005</v>
      </c>
      <c r="BO179" s="39">
        <v>67.739999999999995</v>
      </c>
      <c r="BP179" s="520"/>
      <c r="BQ179" s="40">
        <v>710</v>
      </c>
      <c r="BR179" s="43">
        <v>708.9</v>
      </c>
      <c r="BS179" s="41">
        <v>1.4107000000000001</v>
      </c>
    </row>
    <row r="180" spans="28:71">
      <c r="AB180" s="514"/>
      <c r="AC180" s="514"/>
      <c r="AD180" s="514"/>
      <c r="AE180" s="514"/>
      <c r="AF180" s="514"/>
      <c r="AG180" s="514"/>
      <c r="AH180" s="514"/>
      <c r="AI180" s="514"/>
      <c r="AJ180" s="514"/>
      <c r="AK180" s="514"/>
      <c r="AL180" s="514"/>
      <c r="AM180" s="514"/>
      <c r="AN180" s="514"/>
      <c r="AO180" s="514"/>
      <c r="AP180" s="514"/>
      <c r="AQ180" s="514"/>
      <c r="AR180" s="514"/>
      <c r="AS180" s="514"/>
      <c r="AT180" s="514"/>
      <c r="AU180" s="514"/>
      <c r="AV180" s="514"/>
      <c r="AW180" s="514"/>
      <c r="AX180" s="514"/>
      <c r="AY180" s="514"/>
      <c r="AZ180" s="514"/>
      <c r="BA180" s="514"/>
      <c r="BB180" s="514"/>
      <c r="BC180" s="520"/>
      <c r="BD180" s="2482"/>
      <c r="BE180" s="30">
        <v>6.1</v>
      </c>
      <c r="BF180" s="31">
        <v>1.0283</v>
      </c>
      <c r="BG180" s="32">
        <v>1027.7</v>
      </c>
      <c r="BH180" s="33"/>
      <c r="BI180" s="30">
        <v>6.1</v>
      </c>
      <c r="BJ180" s="34">
        <v>3.8847999999999998</v>
      </c>
      <c r="BK180" s="35">
        <v>0.16316</v>
      </c>
      <c r="BL180" s="33"/>
      <c r="BM180" s="37">
        <v>711</v>
      </c>
      <c r="BN180" s="38">
        <v>0.71120000000000005</v>
      </c>
      <c r="BO180" s="39">
        <v>67.459999999999994</v>
      </c>
      <c r="BP180" s="520"/>
      <c r="BQ180" s="40">
        <v>711</v>
      </c>
      <c r="BR180" s="43">
        <v>709.9</v>
      </c>
      <c r="BS180" s="41">
        <v>1.4087000000000001</v>
      </c>
    </row>
    <row r="181" spans="28:71">
      <c r="AB181" s="514"/>
      <c r="AC181" s="514"/>
      <c r="AD181" s="514"/>
      <c r="AE181" s="514"/>
      <c r="AF181" s="514"/>
      <c r="AG181" s="514"/>
      <c r="AH181" s="514"/>
      <c r="AI181" s="514"/>
      <c r="AJ181" s="514"/>
      <c r="AK181" s="514"/>
      <c r="AL181" s="514"/>
      <c r="AM181" s="514"/>
      <c r="AN181" s="514"/>
      <c r="AO181" s="514"/>
      <c r="AP181" s="514"/>
      <c r="AQ181" s="514"/>
      <c r="AR181" s="514"/>
      <c r="AS181" s="514"/>
      <c r="AT181" s="514"/>
      <c r="AU181" s="514"/>
      <c r="AV181" s="514"/>
      <c r="AW181" s="514"/>
      <c r="AX181" s="514"/>
      <c r="AY181" s="514"/>
      <c r="AZ181" s="514"/>
      <c r="BA181" s="514"/>
      <c r="BB181" s="514"/>
      <c r="BC181" s="520"/>
      <c r="BD181" s="2482"/>
      <c r="BE181" s="30">
        <v>6.2</v>
      </c>
      <c r="BF181" s="31">
        <v>1.0276000000000001</v>
      </c>
      <c r="BG181" s="32">
        <v>1027</v>
      </c>
      <c r="BH181" s="33"/>
      <c r="BI181" s="30">
        <v>6.2</v>
      </c>
      <c r="BJ181" s="34">
        <v>3.8820000000000001</v>
      </c>
      <c r="BK181" s="35">
        <v>0.16303999999999999</v>
      </c>
      <c r="BL181" s="33"/>
      <c r="BM181" s="37">
        <v>712</v>
      </c>
      <c r="BN181" s="38">
        <v>0.71220000000000006</v>
      </c>
      <c r="BO181" s="39">
        <v>67.180000000000007</v>
      </c>
      <c r="BP181" s="520"/>
      <c r="BQ181" s="40">
        <v>712</v>
      </c>
      <c r="BR181" s="43">
        <v>710.9</v>
      </c>
      <c r="BS181" s="41">
        <v>1.4067000000000001</v>
      </c>
    </row>
    <row r="182" spans="28:71">
      <c r="AB182" s="514"/>
      <c r="AC182" s="514"/>
      <c r="AD182" s="514"/>
      <c r="AE182" s="514"/>
      <c r="AF182" s="514"/>
      <c r="AG182" s="514"/>
      <c r="AH182" s="514"/>
      <c r="AI182" s="514"/>
      <c r="AJ182" s="514"/>
      <c r="AK182" s="514"/>
      <c r="AL182" s="514"/>
      <c r="AM182" s="514"/>
      <c r="AN182" s="514"/>
      <c r="AO182" s="514"/>
      <c r="AP182" s="514"/>
      <c r="AQ182" s="514"/>
      <c r="AR182" s="514"/>
      <c r="AS182" s="514"/>
      <c r="AT182" s="514"/>
      <c r="AU182" s="514"/>
      <c r="AV182" s="514"/>
      <c r="AW182" s="514"/>
      <c r="AX182" s="514"/>
      <c r="AY182" s="514"/>
      <c r="AZ182" s="514"/>
      <c r="BA182" s="514"/>
      <c r="BB182" s="514"/>
      <c r="BC182" s="520"/>
      <c r="BD182" s="2482"/>
      <c r="BE182" s="30">
        <v>6.3</v>
      </c>
      <c r="BF182" s="31">
        <v>1.0268999999999999</v>
      </c>
      <c r="BG182" s="32">
        <v>1026.2</v>
      </c>
      <c r="BH182" s="33"/>
      <c r="BI182" s="30">
        <v>6.3</v>
      </c>
      <c r="BJ182" s="34">
        <v>3.8792</v>
      </c>
      <c r="BK182" s="35">
        <v>0.16292999999999999</v>
      </c>
      <c r="BL182" s="33"/>
      <c r="BM182" s="37">
        <v>713</v>
      </c>
      <c r="BN182" s="38">
        <v>0.71319999999999995</v>
      </c>
      <c r="BO182" s="39">
        <v>66.900000000000006</v>
      </c>
      <c r="BP182" s="520"/>
      <c r="BQ182" s="40">
        <v>713</v>
      </c>
      <c r="BR182" s="43">
        <v>711.9</v>
      </c>
      <c r="BS182" s="41">
        <v>1.4047000000000001</v>
      </c>
    </row>
    <row r="183" spans="28:71">
      <c r="AB183" s="514"/>
      <c r="AC183" s="514"/>
      <c r="AD183" s="514"/>
      <c r="AE183" s="514"/>
      <c r="AF183" s="514"/>
      <c r="AG183" s="514"/>
      <c r="AH183" s="514"/>
      <c r="AI183" s="514"/>
      <c r="AJ183" s="514"/>
      <c r="AK183" s="514"/>
      <c r="AL183" s="514"/>
      <c r="AM183" s="514"/>
      <c r="AN183" s="514"/>
      <c r="AO183" s="514"/>
      <c r="AP183" s="514"/>
      <c r="AQ183" s="514"/>
      <c r="AR183" s="514"/>
      <c r="AS183" s="514"/>
      <c r="AT183" s="514"/>
      <c r="AU183" s="514"/>
      <c r="AV183" s="514"/>
      <c r="AW183" s="514"/>
      <c r="AX183" s="514"/>
      <c r="AY183" s="514"/>
      <c r="AZ183" s="514"/>
      <c r="BA183" s="514"/>
      <c r="BB183" s="514"/>
      <c r="BC183" s="520"/>
      <c r="BD183" s="2482"/>
      <c r="BE183" s="30">
        <v>6.4</v>
      </c>
      <c r="BF183" s="31">
        <v>1.0261</v>
      </c>
      <c r="BG183" s="32">
        <v>1025.5</v>
      </c>
      <c r="BH183" s="33"/>
      <c r="BI183" s="30">
        <v>6.4</v>
      </c>
      <c r="BJ183" s="34">
        <v>3.8763999999999998</v>
      </c>
      <c r="BK183" s="35">
        <v>0.16281000000000001</v>
      </c>
      <c r="BL183" s="33"/>
      <c r="BM183" s="37">
        <v>714</v>
      </c>
      <c r="BN183" s="38">
        <v>0.71419999999999995</v>
      </c>
      <c r="BO183" s="39">
        <v>66.63</v>
      </c>
      <c r="BP183" s="520"/>
      <c r="BQ183" s="40">
        <v>714</v>
      </c>
      <c r="BR183" s="43">
        <v>712.9</v>
      </c>
      <c r="BS183" s="41">
        <v>1.4027000000000001</v>
      </c>
    </row>
    <row r="184" spans="28:71">
      <c r="AB184" s="514"/>
      <c r="AC184" s="514"/>
      <c r="AD184" s="514"/>
      <c r="AE184" s="514"/>
      <c r="AF184" s="514"/>
      <c r="AG184" s="514"/>
      <c r="AH184" s="514"/>
      <c r="AI184" s="514"/>
      <c r="AJ184" s="514"/>
      <c r="AK184" s="514"/>
      <c r="AL184" s="514"/>
      <c r="AM184" s="514"/>
      <c r="AN184" s="514"/>
      <c r="AO184" s="514"/>
      <c r="AP184" s="514"/>
      <c r="AQ184" s="514"/>
      <c r="AR184" s="514"/>
      <c r="AS184" s="514"/>
      <c r="AT184" s="514"/>
      <c r="AU184" s="514"/>
      <c r="AV184" s="514"/>
      <c r="AW184" s="514"/>
      <c r="AX184" s="514"/>
      <c r="AY184" s="514"/>
      <c r="AZ184" s="514"/>
      <c r="BA184" s="514"/>
      <c r="BB184" s="514"/>
      <c r="BC184" s="520"/>
      <c r="BD184" s="2482"/>
      <c r="BE184" s="30">
        <v>6.5</v>
      </c>
      <c r="BF184" s="31">
        <v>1.0254000000000001</v>
      </c>
      <c r="BG184" s="32">
        <v>1024.7</v>
      </c>
      <c r="BH184" s="33"/>
      <c r="BI184" s="30">
        <v>6.5</v>
      </c>
      <c r="BJ184" s="34">
        <v>3.8734999999999999</v>
      </c>
      <c r="BK184" s="35">
        <v>0.16269</v>
      </c>
      <c r="BL184" s="33"/>
      <c r="BM184" s="37">
        <v>715</v>
      </c>
      <c r="BN184" s="38">
        <v>0.71519999999999995</v>
      </c>
      <c r="BO184" s="39">
        <v>66.349999999999994</v>
      </c>
      <c r="BP184" s="520"/>
      <c r="BQ184" s="40">
        <v>715</v>
      </c>
      <c r="BR184" s="43">
        <v>713.9</v>
      </c>
      <c r="BS184" s="41">
        <v>1.4008</v>
      </c>
    </row>
    <row r="185" spans="28:71">
      <c r="AB185" s="514"/>
      <c r="AC185" s="514"/>
      <c r="AD185" s="514"/>
      <c r="AE185" s="514"/>
      <c r="AF185" s="514"/>
      <c r="AG185" s="514"/>
      <c r="AH185" s="514"/>
      <c r="AI185" s="514"/>
      <c r="AJ185" s="514"/>
      <c r="AK185" s="514"/>
      <c r="AL185" s="514"/>
      <c r="AM185" s="514"/>
      <c r="AN185" s="514"/>
      <c r="AO185" s="514"/>
      <c r="AP185" s="514"/>
      <c r="AQ185" s="514"/>
      <c r="AR185" s="514"/>
      <c r="AS185" s="514"/>
      <c r="AT185" s="514"/>
      <c r="AU185" s="514"/>
      <c r="AV185" s="514"/>
      <c r="AW185" s="514"/>
      <c r="AX185" s="514"/>
      <c r="AY185" s="514"/>
      <c r="AZ185" s="514"/>
      <c r="BA185" s="514"/>
      <c r="BB185" s="514"/>
      <c r="BC185" s="520"/>
      <c r="BD185" s="2482"/>
      <c r="BE185" s="30">
        <v>6.6</v>
      </c>
      <c r="BF185" s="31">
        <v>1.0246</v>
      </c>
      <c r="BG185" s="32">
        <v>1024</v>
      </c>
      <c r="BH185" s="33"/>
      <c r="BI185" s="30">
        <v>6.6</v>
      </c>
      <c r="BJ185" s="34">
        <v>3.8706999999999998</v>
      </c>
      <c r="BK185" s="35">
        <v>0.16256999999999999</v>
      </c>
      <c r="BL185" s="33"/>
      <c r="BM185" s="37">
        <v>716</v>
      </c>
      <c r="BN185" s="38">
        <v>0.71619999999999995</v>
      </c>
      <c r="BO185" s="39">
        <v>66.069999999999993</v>
      </c>
      <c r="BP185" s="520"/>
      <c r="BQ185" s="40">
        <v>716</v>
      </c>
      <c r="BR185" s="43">
        <v>714.9</v>
      </c>
      <c r="BS185" s="41">
        <v>1.3988</v>
      </c>
    </row>
    <row r="186" spans="28:71">
      <c r="AB186" s="514"/>
      <c r="AC186" s="514"/>
      <c r="AD186" s="514"/>
      <c r="AE186" s="514"/>
      <c r="AF186" s="514"/>
      <c r="AG186" s="514"/>
      <c r="AH186" s="514"/>
      <c r="AI186" s="514"/>
      <c r="AJ186" s="514"/>
      <c r="AK186" s="514"/>
      <c r="AL186" s="514"/>
      <c r="AM186" s="514"/>
      <c r="AN186" s="514"/>
      <c r="AO186" s="514"/>
      <c r="AP186" s="514"/>
      <c r="AQ186" s="514"/>
      <c r="AR186" s="514"/>
      <c r="AS186" s="514"/>
      <c r="AT186" s="514"/>
      <c r="AU186" s="514"/>
      <c r="AV186" s="514"/>
      <c r="AW186" s="514"/>
      <c r="AX186" s="514"/>
      <c r="AY186" s="514"/>
      <c r="AZ186" s="514"/>
      <c r="BA186" s="514"/>
      <c r="BB186" s="514"/>
      <c r="BC186" s="520"/>
      <c r="BD186" s="2482"/>
      <c r="BE186" s="30">
        <v>6.7</v>
      </c>
      <c r="BF186" s="31">
        <v>1.0239</v>
      </c>
      <c r="BG186" s="32">
        <v>1023.2</v>
      </c>
      <c r="BH186" s="33"/>
      <c r="BI186" s="30">
        <v>6.7</v>
      </c>
      <c r="BJ186" s="34">
        <v>3.8679000000000001</v>
      </c>
      <c r="BK186" s="35">
        <v>0.16245000000000001</v>
      </c>
      <c r="BL186" s="33"/>
      <c r="BM186" s="37">
        <v>717</v>
      </c>
      <c r="BN186" s="38">
        <v>0.71719999999999995</v>
      </c>
      <c r="BO186" s="39">
        <v>65.8</v>
      </c>
      <c r="BP186" s="520"/>
      <c r="BQ186" s="40">
        <v>717</v>
      </c>
      <c r="BR186" s="43">
        <v>715.9</v>
      </c>
      <c r="BS186" s="41">
        <v>1.3969</v>
      </c>
    </row>
    <row r="187" spans="28:71">
      <c r="AB187" s="514"/>
      <c r="AC187" s="514"/>
      <c r="AD187" s="514"/>
      <c r="AE187" s="514"/>
      <c r="AF187" s="514"/>
      <c r="AG187" s="514"/>
      <c r="AH187" s="514"/>
      <c r="AI187" s="514"/>
      <c r="AJ187" s="514"/>
      <c r="AK187" s="514"/>
      <c r="AL187" s="514"/>
      <c r="AM187" s="514"/>
      <c r="AN187" s="514"/>
      <c r="AO187" s="514"/>
      <c r="AP187" s="514"/>
      <c r="AQ187" s="514"/>
      <c r="AR187" s="514"/>
      <c r="AS187" s="514"/>
      <c r="AT187" s="514"/>
      <c r="AU187" s="514"/>
      <c r="AV187" s="514"/>
      <c r="AW187" s="514"/>
      <c r="AX187" s="514"/>
      <c r="AY187" s="514"/>
      <c r="AZ187" s="514"/>
      <c r="BA187" s="514"/>
      <c r="BB187" s="514"/>
      <c r="BC187" s="520"/>
      <c r="BD187" s="2482"/>
      <c r="BE187" s="30">
        <v>6.8</v>
      </c>
      <c r="BF187" s="31">
        <v>1.0230999999999999</v>
      </c>
      <c r="BG187" s="32">
        <v>1022.5</v>
      </c>
      <c r="BH187" s="33"/>
      <c r="BI187" s="30">
        <v>6.8</v>
      </c>
      <c r="BJ187" s="34">
        <v>3.8651</v>
      </c>
      <c r="BK187" s="35">
        <v>0.16234000000000001</v>
      </c>
      <c r="BL187" s="33"/>
      <c r="BM187" s="37">
        <v>718</v>
      </c>
      <c r="BN187" s="38">
        <v>0.71819999999999995</v>
      </c>
      <c r="BO187" s="39">
        <v>65.52</v>
      </c>
      <c r="BP187" s="520"/>
      <c r="BQ187" s="40">
        <v>718</v>
      </c>
      <c r="BR187" s="43">
        <v>716.9</v>
      </c>
      <c r="BS187" s="41">
        <v>1.3949</v>
      </c>
    </row>
    <row r="188" spans="28:71">
      <c r="AB188" s="514"/>
      <c r="AC188" s="514"/>
      <c r="AD188" s="514"/>
      <c r="AE188" s="514"/>
      <c r="AF188" s="514"/>
      <c r="AG188" s="514"/>
      <c r="AH188" s="514"/>
      <c r="AI188" s="514"/>
      <c r="AJ188" s="514"/>
      <c r="AK188" s="514"/>
      <c r="AL188" s="514"/>
      <c r="AM188" s="514"/>
      <c r="AN188" s="514"/>
      <c r="AO188" s="514"/>
      <c r="AP188" s="514"/>
      <c r="AQ188" s="514"/>
      <c r="AR188" s="514"/>
      <c r="AS188" s="514"/>
      <c r="AT188" s="514"/>
      <c r="AU188" s="514"/>
      <c r="AV188" s="514"/>
      <c r="AW188" s="514"/>
      <c r="AX188" s="514"/>
      <c r="AY188" s="514"/>
      <c r="AZ188" s="514"/>
      <c r="BA188" s="514"/>
      <c r="BB188" s="514"/>
      <c r="BC188" s="520"/>
      <c r="BD188" s="2482"/>
      <c r="BE188" s="30">
        <v>6.9</v>
      </c>
      <c r="BF188" s="31">
        <v>1.0224</v>
      </c>
      <c r="BG188" s="32">
        <v>1021.8</v>
      </c>
      <c r="BH188" s="33"/>
      <c r="BI188" s="30">
        <v>6.9</v>
      </c>
      <c r="BJ188" s="34">
        <v>3.8622999999999998</v>
      </c>
      <c r="BK188" s="35">
        <v>0.16222</v>
      </c>
      <c r="BL188" s="33"/>
      <c r="BM188" s="37">
        <v>719</v>
      </c>
      <c r="BN188" s="38">
        <v>0.71919999999999995</v>
      </c>
      <c r="BO188" s="39">
        <v>65.25</v>
      </c>
      <c r="BP188" s="520"/>
      <c r="BQ188" s="40">
        <v>719</v>
      </c>
      <c r="BR188" s="43">
        <v>717.9</v>
      </c>
      <c r="BS188" s="41">
        <v>1.393</v>
      </c>
    </row>
    <row r="189" spans="28:71">
      <c r="AB189" s="514"/>
      <c r="AC189" s="514"/>
      <c r="AD189" s="514"/>
      <c r="AE189" s="514"/>
      <c r="AF189" s="514"/>
      <c r="AG189" s="514"/>
      <c r="AH189" s="514"/>
      <c r="AI189" s="514"/>
      <c r="AJ189" s="514"/>
      <c r="AK189" s="514"/>
      <c r="AL189" s="514"/>
      <c r="AM189" s="514"/>
      <c r="AN189" s="514"/>
      <c r="AO189" s="514"/>
      <c r="AP189" s="514"/>
      <c r="AQ189" s="514"/>
      <c r="AR189" s="514"/>
      <c r="AS189" s="514"/>
      <c r="AT189" s="514"/>
      <c r="AU189" s="514"/>
      <c r="AV189" s="514"/>
      <c r="AW189" s="514"/>
      <c r="AX189" s="514"/>
      <c r="AY189" s="514"/>
      <c r="AZ189" s="514"/>
      <c r="BA189" s="514"/>
      <c r="BB189" s="514"/>
      <c r="BC189" s="520"/>
      <c r="BD189" s="2482"/>
      <c r="BE189" s="30">
        <v>7</v>
      </c>
      <c r="BF189" s="31">
        <v>1.0217000000000001</v>
      </c>
      <c r="BG189" s="32">
        <v>1021</v>
      </c>
      <c r="BH189" s="33"/>
      <c r="BI189" s="30">
        <v>7</v>
      </c>
      <c r="BJ189" s="34">
        <v>3.8595000000000002</v>
      </c>
      <c r="BK189" s="35">
        <v>0.16209999999999999</v>
      </c>
      <c r="BL189" s="33"/>
      <c r="BM189" s="37">
        <v>720</v>
      </c>
      <c r="BN189" s="38">
        <v>0.72019999999999995</v>
      </c>
      <c r="BO189" s="39">
        <v>64.97</v>
      </c>
      <c r="BP189" s="520"/>
      <c r="BQ189" s="40">
        <v>720</v>
      </c>
      <c r="BR189" s="43">
        <v>718.9</v>
      </c>
      <c r="BS189" s="41">
        <v>1.391</v>
      </c>
    </row>
    <row r="190" spans="28:71">
      <c r="AB190" s="514"/>
      <c r="AC190" s="514"/>
      <c r="AD190" s="514"/>
      <c r="AE190" s="514"/>
      <c r="AF190" s="514"/>
      <c r="AG190" s="514"/>
      <c r="AH190" s="514"/>
      <c r="AI190" s="514"/>
      <c r="AJ190" s="514"/>
      <c r="AK190" s="514"/>
      <c r="AL190" s="514"/>
      <c r="AM190" s="514"/>
      <c r="AN190" s="514"/>
      <c r="AO190" s="514"/>
      <c r="AP190" s="514"/>
      <c r="AQ190" s="514"/>
      <c r="AR190" s="514"/>
      <c r="AS190" s="514"/>
      <c r="AT190" s="514"/>
      <c r="AU190" s="514"/>
      <c r="AV190" s="514"/>
      <c r="AW190" s="514"/>
      <c r="AX190" s="514"/>
      <c r="AY190" s="514"/>
      <c r="AZ190" s="514"/>
      <c r="BA190" s="514"/>
      <c r="BB190" s="514"/>
      <c r="BC190" s="520"/>
      <c r="BD190" s="2482"/>
      <c r="BE190" s="30">
        <v>7.1</v>
      </c>
      <c r="BF190" s="31">
        <v>1.0208999999999999</v>
      </c>
      <c r="BG190" s="32">
        <v>1020.3</v>
      </c>
      <c r="BH190" s="33"/>
      <c r="BI190" s="30">
        <v>7.1</v>
      </c>
      <c r="BJ190" s="34">
        <v>3.8567999999999998</v>
      </c>
      <c r="BK190" s="35">
        <v>0.16198000000000001</v>
      </c>
      <c r="BL190" s="33"/>
      <c r="BM190" s="37">
        <v>721</v>
      </c>
      <c r="BN190" s="38">
        <v>0.72119999999999995</v>
      </c>
      <c r="BO190" s="39">
        <v>64.7</v>
      </c>
      <c r="BP190" s="520"/>
      <c r="BQ190" s="40">
        <v>721</v>
      </c>
      <c r="BR190" s="43">
        <v>719.9</v>
      </c>
      <c r="BS190" s="41">
        <v>1.3891</v>
      </c>
    </row>
    <row r="191" spans="28:71">
      <c r="AB191" s="514"/>
      <c r="AC191" s="514"/>
      <c r="AD191" s="514"/>
      <c r="AE191" s="514"/>
      <c r="AF191" s="514"/>
      <c r="AG191" s="514"/>
      <c r="AH191" s="514"/>
      <c r="AI191" s="514"/>
      <c r="AJ191" s="514"/>
      <c r="AK191" s="514"/>
      <c r="AL191" s="514"/>
      <c r="AM191" s="514"/>
      <c r="AN191" s="514"/>
      <c r="AO191" s="514"/>
      <c r="AP191" s="514"/>
      <c r="AQ191" s="514"/>
      <c r="AR191" s="514"/>
      <c r="AS191" s="514"/>
      <c r="AT191" s="514"/>
      <c r="AU191" s="514"/>
      <c r="AV191" s="514"/>
      <c r="AW191" s="514"/>
      <c r="AX191" s="514"/>
      <c r="AY191" s="514"/>
      <c r="AZ191" s="514"/>
      <c r="BA191" s="514"/>
      <c r="BB191" s="514"/>
      <c r="BC191" s="520"/>
      <c r="BD191" s="2482"/>
      <c r="BE191" s="30">
        <v>7.2</v>
      </c>
      <c r="BF191" s="31">
        <v>1.0202</v>
      </c>
      <c r="BG191" s="32">
        <v>1019.6</v>
      </c>
      <c r="BH191" s="33"/>
      <c r="BI191" s="30">
        <v>7.2</v>
      </c>
      <c r="BJ191" s="34">
        <v>3.8540000000000001</v>
      </c>
      <c r="BK191" s="35">
        <v>0.16187000000000001</v>
      </c>
      <c r="BL191" s="33"/>
      <c r="BM191" s="37">
        <v>722</v>
      </c>
      <c r="BN191" s="38">
        <v>0.72219999999999995</v>
      </c>
      <c r="BO191" s="39">
        <v>64.430000000000007</v>
      </c>
      <c r="BP191" s="520"/>
      <c r="BQ191" s="40">
        <v>722</v>
      </c>
      <c r="BR191" s="43">
        <v>720.9</v>
      </c>
      <c r="BS191" s="41">
        <v>1.3872</v>
      </c>
    </row>
    <row r="192" spans="28:71">
      <c r="AB192" s="514"/>
      <c r="AC192" s="514"/>
      <c r="AD192" s="514"/>
      <c r="AE192" s="514"/>
      <c r="AF192" s="514"/>
      <c r="AG192" s="514"/>
      <c r="AH192" s="514"/>
      <c r="AI192" s="514"/>
      <c r="AJ192" s="514"/>
      <c r="AK192" s="514"/>
      <c r="AL192" s="514"/>
      <c r="AM192" s="514"/>
      <c r="AN192" s="514"/>
      <c r="AO192" s="514"/>
      <c r="AP192" s="514"/>
      <c r="AQ192" s="514"/>
      <c r="AR192" s="514"/>
      <c r="AS192" s="514"/>
      <c r="AT192" s="514"/>
      <c r="AU192" s="514"/>
      <c r="AV192" s="514"/>
      <c r="AW192" s="514"/>
      <c r="AX192" s="514"/>
      <c r="AY192" s="514"/>
      <c r="AZ192" s="514"/>
      <c r="BA192" s="514"/>
      <c r="BB192" s="514"/>
      <c r="BC192" s="520"/>
      <c r="BD192" s="2482"/>
      <c r="BE192" s="30">
        <v>7.3</v>
      </c>
      <c r="BF192" s="31">
        <v>1.0195000000000001</v>
      </c>
      <c r="BG192" s="32">
        <v>1018.8</v>
      </c>
      <c r="BH192" s="33"/>
      <c r="BI192" s="30">
        <v>7.3</v>
      </c>
      <c r="BJ192" s="34">
        <v>3.8512</v>
      </c>
      <c r="BK192" s="35">
        <v>0.16175</v>
      </c>
      <c r="BL192" s="33"/>
      <c r="BM192" s="37">
        <v>723</v>
      </c>
      <c r="BN192" s="38">
        <v>0.72319999999999995</v>
      </c>
      <c r="BO192" s="39">
        <v>64.16</v>
      </c>
      <c r="BP192" s="520"/>
      <c r="BQ192" s="40">
        <v>723</v>
      </c>
      <c r="BR192" s="43">
        <v>721.9</v>
      </c>
      <c r="BS192" s="41">
        <v>1.3853</v>
      </c>
    </row>
    <row r="193" spans="28:71">
      <c r="AB193" s="514"/>
      <c r="AC193" s="514"/>
      <c r="AD193" s="514"/>
      <c r="AE193" s="514"/>
      <c r="AF193" s="514"/>
      <c r="AG193" s="514"/>
      <c r="AH193" s="514"/>
      <c r="AI193" s="514"/>
      <c r="AJ193" s="514"/>
      <c r="AK193" s="514"/>
      <c r="AL193" s="514"/>
      <c r="AM193" s="514"/>
      <c r="AN193" s="514"/>
      <c r="AO193" s="514"/>
      <c r="AP193" s="514"/>
      <c r="AQ193" s="514"/>
      <c r="AR193" s="514"/>
      <c r="AS193" s="514"/>
      <c r="AT193" s="514"/>
      <c r="AU193" s="514"/>
      <c r="AV193" s="514"/>
      <c r="AW193" s="514"/>
      <c r="AX193" s="514"/>
      <c r="AY193" s="514"/>
      <c r="AZ193" s="514"/>
      <c r="BA193" s="514"/>
      <c r="BB193" s="514"/>
      <c r="BC193" s="520"/>
      <c r="BD193" s="2482"/>
      <c r="BE193" s="30">
        <v>7.4</v>
      </c>
      <c r="BF193" s="31">
        <v>1.0186999999999999</v>
      </c>
      <c r="BG193" s="32">
        <v>1018.1</v>
      </c>
      <c r="BH193" s="33"/>
      <c r="BI193" s="30">
        <v>7.4</v>
      </c>
      <c r="BJ193" s="34">
        <v>3.8483999999999998</v>
      </c>
      <c r="BK193" s="35">
        <v>0.16163</v>
      </c>
      <c r="BL193" s="33"/>
      <c r="BM193" s="37">
        <v>724</v>
      </c>
      <c r="BN193" s="38">
        <v>0.72419999999999995</v>
      </c>
      <c r="BO193" s="39">
        <v>63.89</v>
      </c>
      <c r="BP193" s="520"/>
      <c r="BQ193" s="40">
        <v>724</v>
      </c>
      <c r="BR193" s="43">
        <v>722.9</v>
      </c>
      <c r="BS193" s="41">
        <v>1.3833</v>
      </c>
    </row>
    <row r="194" spans="28:71">
      <c r="AB194" s="514"/>
      <c r="AC194" s="514"/>
      <c r="AD194" s="514"/>
      <c r="AE194" s="514"/>
      <c r="AF194" s="514"/>
      <c r="AG194" s="514"/>
      <c r="AH194" s="514"/>
      <c r="AI194" s="514"/>
      <c r="AJ194" s="514"/>
      <c r="AK194" s="514"/>
      <c r="AL194" s="514"/>
      <c r="AM194" s="514"/>
      <c r="AN194" s="514"/>
      <c r="AO194" s="514"/>
      <c r="AP194" s="514"/>
      <c r="AQ194" s="514"/>
      <c r="AR194" s="514"/>
      <c r="AS194" s="514"/>
      <c r="AT194" s="514"/>
      <c r="AU194" s="514"/>
      <c r="AV194" s="514"/>
      <c r="AW194" s="514"/>
      <c r="AX194" s="514"/>
      <c r="AY194" s="514"/>
      <c r="AZ194" s="514"/>
      <c r="BA194" s="514"/>
      <c r="BB194" s="514"/>
      <c r="BC194" s="520"/>
      <c r="BD194" s="2482"/>
      <c r="BE194" s="30">
        <v>7.5</v>
      </c>
      <c r="BF194" s="31">
        <v>1.018</v>
      </c>
      <c r="BG194" s="32">
        <v>1017.4</v>
      </c>
      <c r="BH194" s="33"/>
      <c r="BI194" s="30">
        <v>7.5</v>
      </c>
      <c r="BJ194" s="34">
        <v>3.8456000000000001</v>
      </c>
      <c r="BK194" s="35">
        <v>0.16152</v>
      </c>
      <c r="BL194" s="33"/>
      <c r="BM194" s="37">
        <v>725</v>
      </c>
      <c r="BN194" s="38">
        <v>0.72519999999999996</v>
      </c>
      <c r="BO194" s="39">
        <v>63.62</v>
      </c>
      <c r="BP194" s="520"/>
      <c r="BQ194" s="40">
        <v>725</v>
      </c>
      <c r="BR194" s="43">
        <v>723.9</v>
      </c>
      <c r="BS194" s="41">
        <v>1.3814</v>
      </c>
    </row>
    <row r="195" spans="28:71">
      <c r="AB195" s="514"/>
      <c r="AC195" s="514"/>
      <c r="AD195" s="514"/>
      <c r="AE195" s="514"/>
      <c r="AF195" s="514"/>
      <c r="AG195" s="514"/>
      <c r="AH195" s="514"/>
      <c r="AI195" s="514"/>
      <c r="AJ195" s="514"/>
      <c r="AK195" s="514"/>
      <c r="AL195" s="514"/>
      <c r="AM195" s="514"/>
      <c r="AN195" s="514"/>
      <c r="AO195" s="514"/>
      <c r="AP195" s="514"/>
      <c r="AQ195" s="514"/>
      <c r="AR195" s="514"/>
      <c r="AS195" s="514"/>
      <c r="AT195" s="514"/>
      <c r="AU195" s="514"/>
      <c r="AV195" s="514"/>
      <c r="AW195" s="514"/>
      <c r="AX195" s="514"/>
      <c r="AY195" s="514"/>
      <c r="AZ195" s="514"/>
      <c r="BA195" s="514"/>
      <c r="BB195" s="514"/>
      <c r="BC195" s="520"/>
      <c r="BD195" s="2482"/>
      <c r="BE195" s="30">
        <v>7.6</v>
      </c>
      <c r="BF195" s="31">
        <v>1.0173000000000001</v>
      </c>
      <c r="BG195" s="32">
        <v>1016.6</v>
      </c>
      <c r="BH195" s="33"/>
      <c r="BI195" s="30">
        <v>7.6</v>
      </c>
      <c r="BJ195" s="34">
        <v>3.8429000000000002</v>
      </c>
      <c r="BK195" s="35">
        <v>0.16139999999999999</v>
      </c>
      <c r="BL195" s="33"/>
      <c r="BM195" s="37">
        <v>726</v>
      </c>
      <c r="BN195" s="38">
        <v>0.72619999999999996</v>
      </c>
      <c r="BO195" s="39">
        <v>63.35</v>
      </c>
      <c r="BP195" s="520"/>
      <c r="BQ195" s="40">
        <v>726</v>
      </c>
      <c r="BR195" s="43">
        <v>724.9</v>
      </c>
      <c r="BS195" s="41">
        <v>1.3794999999999999</v>
      </c>
    </row>
    <row r="196" spans="28:71">
      <c r="AB196" s="514"/>
      <c r="AC196" s="514"/>
      <c r="AD196" s="514"/>
      <c r="AE196" s="514"/>
      <c r="AF196" s="514"/>
      <c r="AG196" s="514"/>
      <c r="AH196" s="514"/>
      <c r="AI196" s="514"/>
      <c r="AJ196" s="514"/>
      <c r="AK196" s="514"/>
      <c r="AL196" s="514"/>
      <c r="AM196" s="514"/>
      <c r="AN196" s="514"/>
      <c r="AO196" s="514"/>
      <c r="AP196" s="514"/>
      <c r="AQ196" s="514"/>
      <c r="AR196" s="514"/>
      <c r="AS196" s="514"/>
      <c r="AT196" s="514"/>
      <c r="AU196" s="514"/>
      <c r="AV196" s="514"/>
      <c r="AW196" s="514"/>
      <c r="AX196" s="514"/>
      <c r="AY196" s="514"/>
      <c r="AZ196" s="514"/>
      <c r="BA196" s="514"/>
      <c r="BB196" s="514"/>
      <c r="BC196" s="520"/>
      <c r="BD196" s="2482"/>
      <c r="BE196" s="30">
        <v>7.7</v>
      </c>
      <c r="BF196" s="31">
        <v>1.0165</v>
      </c>
      <c r="BG196" s="32">
        <v>1015.9</v>
      </c>
      <c r="BH196" s="33"/>
      <c r="BI196" s="30">
        <v>7.7</v>
      </c>
      <c r="BJ196" s="34">
        <v>3.8401000000000001</v>
      </c>
      <c r="BK196" s="35">
        <v>0.16128000000000001</v>
      </c>
      <c r="BL196" s="33"/>
      <c r="BM196" s="37">
        <v>727</v>
      </c>
      <c r="BN196" s="38">
        <v>0.72719999999999996</v>
      </c>
      <c r="BO196" s="39">
        <v>63.08</v>
      </c>
      <c r="BP196" s="520"/>
      <c r="BQ196" s="40">
        <v>727</v>
      </c>
      <c r="BR196" s="43">
        <v>725.9</v>
      </c>
      <c r="BS196" s="41">
        <v>1.3775999999999999</v>
      </c>
    </row>
    <row r="197" spans="28:71">
      <c r="AB197" s="514"/>
      <c r="AC197" s="514"/>
      <c r="AD197" s="514"/>
      <c r="AE197" s="514"/>
      <c r="AF197" s="514"/>
      <c r="AG197" s="514"/>
      <c r="AH197" s="514"/>
      <c r="AI197" s="514"/>
      <c r="AJ197" s="514"/>
      <c r="AK197" s="514"/>
      <c r="AL197" s="514"/>
      <c r="AM197" s="514"/>
      <c r="AN197" s="514"/>
      <c r="AO197" s="514"/>
      <c r="AP197" s="514"/>
      <c r="AQ197" s="514"/>
      <c r="AR197" s="514"/>
      <c r="AS197" s="514"/>
      <c r="AT197" s="514"/>
      <c r="AU197" s="514"/>
      <c r="AV197" s="514"/>
      <c r="AW197" s="514"/>
      <c r="AX197" s="514"/>
      <c r="AY197" s="514"/>
      <c r="AZ197" s="514"/>
      <c r="BA197" s="514"/>
      <c r="BB197" s="514"/>
      <c r="BC197" s="520"/>
      <c r="BD197" s="2482"/>
      <c r="BE197" s="30">
        <v>7.8</v>
      </c>
      <c r="BF197" s="31">
        <v>1.0158</v>
      </c>
      <c r="BG197" s="32">
        <v>1015.2</v>
      </c>
      <c r="BH197" s="33"/>
      <c r="BI197" s="30">
        <v>7.8</v>
      </c>
      <c r="BJ197" s="34">
        <v>3.8372999999999999</v>
      </c>
      <c r="BK197" s="35">
        <v>0.16117000000000001</v>
      </c>
      <c r="BL197" s="33"/>
      <c r="BM197" s="37">
        <v>728</v>
      </c>
      <c r="BN197" s="38">
        <v>0.72819999999999996</v>
      </c>
      <c r="BO197" s="39">
        <v>62.81</v>
      </c>
      <c r="BP197" s="520"/>
      <c r="BQ197" s="40">
        <v>728</v>
      </c>
      <c r="BR197" s="43">
        <v>726.9</v>
      </c>
      <c r="BS197" s="41">
        <v>1.3756999999999999</v>
      </c>
    </row>
    <row r="198" spans="28:71">
      <c r="AB198" s="514"/>
      <c r="AC198" s="514"/>
      <c r="AD198" s="514"/>
      <c r="AE198" s="514"/>
      <c r="AF198" s="514"/>
      <c r="AG198" s="514"/>
      <c r="AH198" s="514"/>
      <c r="AI198" s="514"/>
      <c r="AJ198" s="514"/>
      <c r="AK198" s="514"/>
      <c r="AL198" s="514"/>
      <c r="AM198" s="514"/>
      <c r="AN198" s="514"/>
      <c r="AO198" s="514"/>
      <c r="AP198" s="514"/>
      <c r="AQ198" s="514"/>
      <c r="AR198" s="514"/>
      <c r="AS198" s="514"/>
      <c r="AT198" s="514"/>
      <c r="AU198" s="514"/>
      <c r="AV198" s="514"/>
      <c r="AW198" s="514"/>
      <c r="AX198" s="514"/>
      <c r="AY198" s="514"/>
      <c r="AZ198" s="514"/>
      <c r="BA198" s="514"/>
      <c r="BB198" s="514"/>
      <c r="BC198" s="520"/>
      <c r="BD198" s="2482"/>
      <c r="BE198" s="30">
        <v>7.9</v>
      </c>
      <c r="BF198" s="31">
        <v>1.0150999999999999</v>
      </c>
      <c r="BG198" s="32">
        <v>1014.4</v>
      </c>
      <c r="BH198" s="33"/>
      <c r="BI198" s="30">
        <v>7.9</v>
      </c>
      <c r="BJ198" s="34">
        <v>3.8346</v>
      </c>
      <c r="BK198" s="35">
        <v>0.16105</v>
      </c>
      <c r="BL198" s="33"/>
      <c r="BM198" s="37">
        <v>729</v>
      </c>
      <c r="BN198" s="38">
        <v>0.72919999999999996</v>
      </c>
      <c r="BO198" s="39">
        <v>62.54</v>
      </c>
      <c r="BP198" s="520"/>
      <c r="BQ198" s="40">
        <v>729</v>
      </c>
      <c r="BR198" s="43">
        <v>727.9</v>
      </c>
      <c r="BS198" s="41">
        <v>1.3737999999999999</v>
      </c>
    </row>
    <row r="199" spans="28:71">
      <c r="AB199" s="514"/>
      <c r="AC199" s="514"/>
      <c r="AD199" s="514"/>
      <c r="AE199" s="514"/>
      <c r="AF199" s="514"/>
      <c r="AG199" s="514"/>
      <c r="AH199" s="514"/>
      <c r="AI199" s="514"/>
      <c r="AJ199" s="514"/>
      <c r="AK199" s="514"/>
      <c r="AL199" s="514"/>
      <c r="AM199" s="514"/>
      <c r="AN199" s="514"/>
      <c r="AO199" s="514"/>
      <c r="AP199" s="514"/>
      <c r="AQ199" s="514"/>
      <c r="AR199" s="514"/>
      <c r="AS199" s="514"/>
      <c r="AT199" s="514"/>
      <c r="AU199" s="514"/>
      <c r="AV199" s="514"/>
      <c r="AW199" s="514"/>
      <c r="AX199" s="514"/>
      <c r="AY199" s="514"/>
      <c r="AZ199" s="514"/>
      <c r="BA199" s="514"/>
      <c r="BB199" s="514"/>
      <c r="BC199" s="520"/>
      <c r="BD199" s="2482"/>
      <c r="BE199" s="30">
        <v>8</v>
      </c>
      <c r="BF199" s="31">
        <v>1.0143</v>
      </c>
      <c r="BG199" s="32">
        <v>1013.7</v>
      </c>
      <c r="BH199" s="33"/>
      <c r="BI199" s="30">
        <v>8</v>
      </c>
      <c r="BJ199" s="34">
        <v>3.8317999999999999</v>
      </c>
      <c r="BK199" s="35">
        <v>0.16094</v>
      </c>
      <c r="BL199" s="33"/>
      <c r="BM199" s="37">
        <v>730</v>
      </c>
      <c r="BN199" s="38">
        <v>0.73019999999999996</v>
      </c>
      <c r="BO199" s="39">
        <v>62.28</v>
      </c>
      <c r="BP199" s="520"/>
      <c r="BQ199" s="40">
        <v>730</v>
      </c>
      <c r="BR199" s="43">
        <v>728.9</v>
      </c>
      <c r="BS199" s="41">
        <v>1.3718999999999999</v>
      </c>
    </row>
    <row r="200" spans="28:71">
      <c r="AB200" s="514"/>
      <c r="AC200" s="514"/>
      <c r="AD200" s="514"/>
      <c r="AE200" s="514"/>
      <c r="AF200" s="514"/>
      <c r="AG200" s="514"/>
      <c r="AH200" s="514"/>
      <c r="AI200" s="514"/>
      <c r="AJ200" s="514"/>
      <c r="AK200" s="514"/>
      <c r="AL200" s="514"/>
      <c r="AM200" s="514"/>
      <c r="AN200" s="514"/>
      <c r="AO200" s="514"/>
      <c r="AP200" s="514"/>
      <c r="AQ200" s="514"/>
      <c r="AR200" s="514"/>
      <c r="AS200" s="514"/>
      <c r="AT200" s="514"/>
      <c r="AU200" s="514"/>
      <c r="AV200" s="514"/>
      <c r="AW200" s="514"/>
      <c r="AX200" s="514"/>
      <c r="AY200" s="514"/>
      <c r="AZ200" s="514"/>
      <c r="BA200" s="514"/>
      <c r="BB200" s="514"/>
      <c r="BC200" s="520"/>
      <c r="BD200" s="2482"/>
      <c r="BE200" s="30">
        <v>8.1</v>
      </c>
      <c r="BF200" s="31">
        <v>1.0136000000000001</v>
      </c>
      <c r="BG200" s="32">
        <v>1013</v>
      </c>
      <c r="BH200" s="33"/>
      <c r="BI200" s="30">
        <v>8.1</v>
      </c>
      <c r="BJ200" s="34">
        <v>3.8290999999999999</v>
      </c>
      <c r="BK200" s="35">
        <v>0.16081999999999999</v>
      </c>
      <c r="BL200" s="33"/>
      <c r="BM200" s="37">
        <v>731</v>
      </c>
      <c r="BN200" s="38">
        <v>0.73119999999999996</v>
      </c>
      <c r="BO200" s="39">
        <v>62.01</v>
      </c>
      <c r="BP200" s="520"/>
      <c r="BQ200" s="40">
        <v>731</v>
      </c>
      <c r="BR200" s="43">
        <v>729.9</v>
      </c>
      <c r="BS200" s="41">
        <v>1.3701000000000001</v>
      </c>
    </row>
    <row r="201" spans="28:71">
      <c r="AB201" s="514"/>
      <c r="AC201" s="514"/>
      <c r="AD201" s="514"/>
      <c r="AE201" s="514"/>
      <c r="AF201" s="514"/>
      <c r="AG201" s="514"/>
      <c r="AH201" s="514"/>
      <c r="AI201" s="514"/>
      <c r="AJ201" s="514"/>
      <c r="AK201" s="514"/>
      <c r="AL201" s="514"/>
      <c r="AM201" s="514"/>
      <c r="AN201" s="514"/>
      <c r="AO201" s="514"/>
      <c r="AP201" s="514"/>
      <c r="AQ201" s="514"/>
      <c r="AR201" s="514"/>
      <c r="AS201" s="514"/>
      <c r="AT201" s="514"/>
      <c r="AU201" s="514"/>
      <c r="AV201" s="514"/>
      <c r="AW201" s="514"/>
      <c r="AX201" s="514"/>
      <c r="AY201" s="514"/>
      <c r="AZ201" s="514"/>
      <c r="BA201" s="514"/>
      <c r="BB201" s="514"/>
      <c r="BC201" s="520"/>
      <c r="BD201" s="2482"/>
      <c r="BE201" s="30">
        <v>8.1999999999999993</v>
      </c>
      <c r="BF201" s="31">
        <v>1.0128999999999999</v>
      </c>
      <c r="BG201" s="32">
        <v>1012.3</v>
      </c>
      <c r="BH201" s="33"/>
      <c r="BI201" s="30">
        <v>8.1999999999999993</v>
      </c>
      <c r="BJ201" s="34">
        <v>3.8262999999999998</v>
      </c>
      <c r="BK201" s="35">
        <v>0.16070999999999999</v>
      </c>
      <c r="BL201" s="33"/>
      <c r="BM201" s="37">
        <v>732</v>
      </c>
      <c r="BN201" s="38">
        <v>0.73219999999999996</v>
      </c>
      <c r="BO201" s="39">
        <v>61.75</v>
      </c>
      <c r="BP201" s="520"/>
      <c r="BQ201" s="40">
        <v>732</v>
      </c>
      <c r="BR201" s="43">
        <v>730.9</v>
      </c>
      <c r="BS201" s="41">
        <v>1.3682000000000001</v>
      </c>
    </row>
    <row r="202" spans="28:71">
      <c r="AB202" s="514"/>
      <c r="AC202" s="514"/>
      <c r="AD202" s="514"/>
      <c r="AE202" s="514"/>
      <c r="AF202" s="514"/>
      <c r="AG202" s="514"/>
      <c r="AH202" s="514"/>
      <c r="AI202" s="514"/>
      <c r="AJ202" s="514"/>
      <c r="AK202" s="514"/>
      <c r="AL202" s="514"/>
      <c r="AM202" s="514"/>
      <c r="AN202" s="514"/>
      <c r="AO202" s="514"/>
      <c r="AP202" s="514"/>
      <c r="AQ202" s="514"/>
      <c r="AR202" s="514"/>
      <c r="AS202" s="514"/>
      <c r="AT202" s="514"/>
      <c r="AU202" s="514"/>
      <c r="AV202" s="514"/>
      <c r="AW202" s="514"/>
      <c r="AX202" s="514"/>
      <c r="AY202" s="514"/>
      <c r="AZ202" s="514"/>
      <c r="BA202" s="514"/>
      <c r="BB202" s="514"/>
      <c r="BC202" s="520"/>
      <c r="BD202" s="2482"/>
      <c r="BE202" s="30">
        <v>8.3000000000000007</v>
      </c>
      <c r="BF202" s="31">
        <v>1.0122</v>
      </c>
      <c r="BG202" s="32">
        <v>1011.5</v>
      </c>
      <c r="BH202" s="33"/>
      <c r="BI202" s="30">
        <v>8.3000000000000007</v>
      </c>
      <c r="BJ202" s="34">
        <v>3.8235999999999999</v>
      </c>
      <c r="BK202" s="35">
        <v>0.16059000000000001</v>
      </c>
      <c r="BL202" s="33"/>
      <c r="BM202" s="37">
        <v>733</v>
      </c>
      <c r="BN202" s="38">
        <v>0.73319999999999996</v>
      </c>
      <c r="BO202" s="39">
        <v>61.48</v>
      </c>
      <c r="BP202" s="520"/>
      <c r="BQ202" s="40">
        <v>733</v>
      </c>
      <c r="BR202" s="43">
        <v>731.9</v>
      </c>
      <c r="BS202" s="41">
        <v>1.3663000000000001</v>
      </c>
    </row>
    <row r="203" spans="28:71">
      <c r="AB203" s="514"/>
      <c r="AC203" s="514"/>
      <c r="AD203" s="514"/>
      <c r="AE203" s="514"/>
      <c r="AF203" s="514"/>
      <c r="AG203" s="514"/>
      <c r="AH203" s="514"/>
      <c r="AI203" s="514"/>
      <c r="AJ203" s="514"/>
      <c r="AK203" s="514"/>
      <c r="AL203" s="514"/>
      <c r="AM203" s="514"/>
      <c r="AN203" s="514"/>
      <c r="AO203" s="514"/>
      <c r="AP203" s="514"/>
      <c r="AQ203" s="514"/>
      <c r="AR203" s="514"/>
      <c r="AS203" s="514"/>
      <c r="AT203" s="514"/>
      <c r="AU203" s="514"/>
      <c r="AV203" s="514"/>
      <c r="AW203" s="514"/>
      <c r="AX203" s="514"/>
      <c r="AY203" s="514"/>
      <c r="AZ203" s="514"/>
      <c r="BA203" s="514"/>
      <c r="BB203" s="514"/>
      <c r="BC203" s="520"/>
      <c r="BD203" s="2482"/>
      <c r="BE203" s="30">
        <v>8.4</v>
      </c>
      <c r="BF203" s="31">
        <v>1.0114000000000001</v>
      </c>
      <c r="BG203" s="32">
        <v>1010.8</v>
      </c>
      <c r="BH203" s="33"/>
      <c r="BI203" s="30">
        <v>8.4</v>
      </c>
      <c r="BJ203" s="34">
        <v>3.8209</v>
      </c>
      <c r="BK203" s="35">
        <v>0.16048000000000001</v>
      </c>
      <c r="BL203" s="33"/>
      <c r="BM203" s="37">
        <v>734</v>
      </c>
      <c r="BN203" s="38">
        <v>0.73419999999999996</v>
      </c>
      <c r="BO203" s="39">
        <v>61.22</v>
      </c>
      <c r="BP203" s="520"/>
      <c r="BQ203" s="40">
        <v>734</v>
      </c>
      <c r="BR203" s="43">
        <v>732.9</v>
      </c>
      <c r="BS203" s="41">
        <v>1.3645</v>
      </c>
    </row>
    <row r="204" spans="28:71">
      <c r="AB204" s="514"/>
      <c r="AC204" s="514"/>
      <c r="AD204" s="514"/>
      <c r="AE204" s="514"/>
      <c r="AF204" s="514"/>
      <c r="AG204" s="514"/>
      <c r="AH204" s="514"/>
      <c r="AI204" s="514"/>
      <c r="AJ204" s="514"/>
      <c r="AK204" s="514"/>
      <c r="AL204" s="514"/>
      <c r="AM204" s="514"/>
      <c r="AN204" s="514"/>
      <c r="AO204" s="514"/>
      <c r="AP204" s="514"/>
      <c r="AQ204" s="514"/>
      <c r="AR204" s="514"/>
      <c r="AS204" s="514"/>
      <c r="AT204" s="514"/>
      <c r="AU204" s="514"/>
      <c r="AV204" s="514"/>
      <c r="AW204" s="514"/>
      <c r="AX204" s="514"/>
      <c r="AY204" s="514"/>
      <c r="AZ204" s="514"/>
      <c r="BA204" s="514"/>
      <c r="BB204" s="514"/>
      <c r="BC204" s="520"/>
      <c r="BD204" s="2482"/>
      <c r="BE204" s="30">
        <v>8.5</v>
      </c>
      <c r="BF204" s="31">
        <v>1.0106999999999999</v>
      </c>
      <c r="BG204" s="32">
        <v>1010.1</v>
      </c>
      <c r="BH204" s="33"/>
      <c r="BI204" s="30">
        <v>8.5</v>
      </c>
      <c r="BJ204" s="34">
        <v>3.8180999999999998</v>
      </c>
      <c r="BK204" s="35">
        <v>0.16036</v>
      </c>
      <c r="BL204" s="33"/>
      <c r="BM204" s="37">
        <v>735</v>
      </c>
      <c r="BN204" s="38">
        <v>0.73519999999999996</v>
      </c>
      <c r="BO204" s="39">
        <v>60.96</v>
      </c>
      <c r="BP204" s="520"/>
      <c r="BQ204" s="40">
        <v>735</v>
      </c>
      <c r="BR204" s="43">
        <v>733.9</v>
      </c>
      <c r="BS204" s="41">
        <v>1.3626</v>
      </c>
    </row>
    <row r="205" spans="28:71">
      <c r="AB205" s="514"/>
      <c r="AC205" s="514"/>
      <c r="AD205" s="514"/>
      <c r="AE205" s="514"/>
      <c r="AF205" s="514"/>
      <c r="AG205" s="514"/>
      <c r="AH205" s="514"/>
      <c r="AI205" s="514"/>
      <c r="AJ205" s="514"/>
      <c r="AK205" s="514"/>
      <c r="AL205" s="514"/>
      <c r="AM205" s="514"/>
      <c r="AN205" s="514"/>
      <c r="AO205" s="514"/>
      <c r="AP205" s="514"/>
      <c r="AQ205" s="514"/>
      <c r="AR205" s="514"/>
      <c r="AS205" s="514"/>
      <c r="AT205" s="514"/>
      <c r="AU205" s="514"/>
      <c r="AV205" s="514"/>
      <c r="AW205" s="514"/>
      <c r="AX205" s="514"/>
      <c r="AY205" s="514"/>
      <c r="AZ205" s="514"/>
      <c r="BA205" s="514"/>
      <c r="BB205" s="514"/>
      <c r="BC205" s="520"/>
      <c r="BD205" s="2482"/>
      <c r="BE205" s="30">
        <v>8.6</v>
      </c>
      <c r="BF205" s="31">
        <v>1.01</v>
      </c>
      <c r="BG205" s="32">
        <v>1009.4</v>
      </c>
      <c r="BH205" s="33"/>
      <c r="BI205" s="30">
        <v>8.6</v>
      </c>
      <c r="BJ205" s="34">
        <v>3.8153999999999999</v>
      </c>
      <c r="BK205" s="35">
        <v>0.16025</v>
      </c>
      <c r="BL205" s="33"/>
      <c r="BM205" s="37">
        <v>736</v>
      </c>
      <c r="BN205" s="38">
        <v>0.73619999999999997</v>
      </c>
      <c r="BO205" s="39">
        <v>60.7</v>
      </c>
      <c r="BP205" s="520"/>
      <c r="BQ205" s="40">
        <v>736</v>
      </c>
      <c r="BR205" s="43">
        <v>734.9</v>
      </c>
      <c r="BS205" s="41">
        <v>1.3607</v>
      </c>
    </row>
    <row r="206" spans="28:71">
      <c r="AB206" s="514"/>
      <c r="AC206" s="514"/>
      <c r="AD206" s="514"/>
      <c r="AE206" s="514"/>
      <c r="AF206" s="514"/>
      <c r="AG206" s="514"/>
      <c r="AH206" s="514"/>
      <c r="AI206" s="514"/>
      <c r="AJ206" s="514"/>
      <c r="AK206" s="514"/>
      <c r="AL206" s="514"/>
      <c r="AM206" s="514"/>
      <c r="AN206" s="514"/>
      <c r="AO206" s="514"/>
      <c r="AP206" s="514"/>
      <c r="AQ206" s="514"/>
      <c r="AR206" s="514"/>
      <c r="AS206" s="514"/>
      <c r="AT206" s="514"/>
      <c r="AU206" s="514"/>
      <c r="AV206" s="514"/>
      <c r="AW206" s="514"/>
      <c r="AX206" s="514"/>
      <c r="AY206" s="514"/>
      <c r="AZ206" s="514"/>
      <c r="BA206" s="514"/>
      <c r="BB206" s="514"/>
      <c r="BC206" s="520"/>
      <c r="BD206" s="2482"/>
      <c r="BE206" s="30">
        <v>8.6999999999999993</v>
      </c>
      <c r="BF206" s="31">
        <v>1.0093000000000001</v>
      </c>
      <c r="BG206" s="32">
        <v>1008.6</v>
      </c>
      <c r="BH206" s="33"/>
      <c r="BI206" s="30">
        <v>8.6999999999999993</v>
      </c>
      <c r="BJ206" s="34">
        <v>3.8127</v>
      </c>
      <c r="BK206" s="35">
        <v>0.16012999999999999</v>
      </c>
      <c r="BL206" s="33"/>
      <c r="BM206" s="37">
        <v>737</v>
      </c>
      <c r="BN206" s="38">
        <v>0.73719999999999997</v>
      </c>
      <c r="BO206" s="39">
        <v>60.44</v>
      </c>
      <c r="BP206" s="520"/>
      <c r="BQ206" s="40">
        <v>737</v>
      </c>
      <c r="BR206" s="43">
        <v>735.9</v>
      </c>
      <c r="BS206" s="41">
        <v>1.3589</v>
      </c>
    </row>
    <row r="207" spans="28:71">
      <c r="AB207" s="514"/>
      <c r="AC207" s="514"/>
      <c r="AD207" s="514"/>
      <c r="AE207" s="514"/>
      <c r="AF207" s="514"/>
      <c r="AG207" s="514"/>
      <c r="AH207" s="514"/>
      <c r="AI207" s="514"/>
      <c r="AJ207" s="514"/>
      <c r="AK207" s="514"/>
      <c r="AL207" s="514"/>
      <c r="AM207" s="514"/>
      <c r="AN207" s="514"/>
      <c r="AO207" s="514"/>
      <c r="AP207" s="514"/>
      <c r="AQ207" s="514"/>
      <c r="AR207" s="514"/>
      <c r="AS207" s="514"/>
      <c r="AT207" s="514"/>
      <c r="AU207" s="514"/>
      <c r="AV207" s="514"/>
      <c r="AW207" s="514"/>
      <c r="AX207" s="514"/>
      <c r="AY207" s="514"/>
      <c r="AZ207" s="514"/>
      <c r="BA207" s="514"/>
      <c r="BB207" s="514"/>
      <c r="BC207" s="520"/>
      <c r="BD207" s="2482"/>
      <c r="BE207" s="30">
        <v>8.8000000000000007</v>
      </c>
      <c r="BF207" s="31">
        <v>1.0085999999999999</v>
      </c>
      <c r="BG207" s="32">
        <v>1007.9</v>
      </c>
      <c r="BH207" s="33"/>
      <c r="BI207" s="30">
        <v>8.8000000000000007</v>
      </c>
      <c r="BJ207" s="34">
        <v>3.81</v>
      </c>
      <c r="BK207" s="35">
        <v>0.16002</v>
      </c>
      <c r="BL207" s="33"/>
      <c r="BM207" s="37">
        <v>738</v>
      </c>
      <c r="BN207" s="38">
        <v>0.73819999999999997</v>
      </c>
      <c r="BO207" s="39">
        <v>60.18</v>
      </c>
      <c r="BP207" s="520"/>
      <c r="BQ207" s="40">
        <v>738</v>
      </c>
      <c r="BR207" s="43">
        <v>736.9</v>
      </c>
      <c r="BS207" s="41">
        <v>1.3571</v>
      </c>
    </row>
    <row r="208" spans="28:71">
      <c r="AB208" s="514"/>
      <c r="AC208" s="514"/>
      <c r="AD208" s="514"/>
      <c r="AE208" s="514"/>
      <c r="AF208" s="514"/>
      <c r="AG208" s="514"/>
      <c r="AH208" s="514"/>
      <c r="AI208" s="514"/>
      <c r="AJ208" s="514"/>
      <c r="AK208" s="514"/>
      <c r="AL208" s="514"/>
      <c r="AM208" s="514"/>
      <c r="AN208" s="514"/>
      <c r="AO208" s="514"/>
      <c r="AP208" s="514"/>
      <c r="AQ208" s="514"/>
      <c r="AR208" s="514"/>
      <c r="AS208" s="514"/>
      <c r="AT208" s="514"/>
      <c r="AU208" s="514"/>
      <c r="AV208" s="514"/>
      <c r="AW208" s="514"/>
      <c r="AX208" s="514"/>
      <c r="AY208" s="514"/>
      <c r="AZ208" s="514"/>
      <c r="BA208" s="514"/>
      <c r="BB208" s="514"/>
      <c r="BC208" s="520"/>
      <c r="BD208" s="2482"/>
      <c r="BE208" s="30">
        <v>8.9</v>
      </c>
      <c r="BF208" s="31">
        <v>1.0078</v>
      </c>
      <c r="BG208" s="32">
        <v>1007.2</v>
      </c>
      <c r="BH208" s="33"/>
      <c r="BI208" s="30">
        <v>8.9</v>
      </c>
      <c r="BJ208" s="34">
        <v>3.8071999999999999</v>
      </c>
      <c r="BK208" s="35">
        <v>0.15989999999999999</v>
      </c>
      <c r="BL208" s="33"/>
      <c r="BM208" s="37">
        <v>739</v>
      </c>
      <c r="BN208" s="38">
        <v>0.73919999999999997</v>
      </c>
      <c r="BO208" s="39">
        <v>59.92</v>
      </c>
      <c r="BP208" s="520"/>
      <c r="BQ208" s="40">
        <v>739</v>
      </c>
      <c r="BR208" s="43">
        <v>737.9</v>
      </c>
      <c r="BS208" s="41">
        <v>1.3552</v>
      </c>
    </row>
    <row r="209" spans="28:71">
      <c r="AB209" s="514"/>
      <c r="AC209" s="514"/>
      <c r="AD209" s="514"/>
      <c r="AE209" s="514"/>
      <c r="AF209" s="514"/>
      <c r="AG209" s="514"/>
      <c r="AH209" s="514"/>
      <c r="AI209" s="514"/>
      <c r="AJ209" s="514"/>
      <c r="AK209" s="514"/>
      <c r="AL209" s="514"/>
      <c r="AM209" s="514"/>
      <c r="AN209" s="514"/>
      <c r="AO209" s="514"/>
      <c r="AP209" s="514"/>
      <c r="AQ209" s="514"/>
      <c r="AR209" s="514"/>
      <c r="AS209" s="514"/>
      <c r="AT209" s="514"/>
      <c r="AU209" s="514"/>
      <c r="AV209" s="514"/>
      <c r="AW209" s="514"/>
      <c r="AX209" s="514"/>
      <c r="AY209" s="514"/>
      <c r="AZ209" s="514"/>
      <c r="BA209" s="514"/>
      <c r="BB209" s="514"/>
      <c r="BC209" s="520"/>
      <c r="BD209" s="2482"/>
      <c r="BE209" s="30">
        <v>9</v>
      </c>
      <c r="BF209" s="31">
        <v>1.0071000000000001</v>
      </c>
      <c r="BG209" s="32">
        <v>1006.5</v>
      </c>
      <c r="BH209" s="33"/>
      <c r="BI209" s="30">
        <v>9</v>
      </c>
      <c r="BJ209" s="34">
        <v>3.8045</v>
      </c>
      <c r="BK209" s="35">
        <v>0.15978999999999999</v>
      </c>
      <c r="BL209" s="33"/>
      <c r="BM209" s="37">
        <v>740</v>
      </c>
      <c r="BN209" s="38">
        <v>0.74019999999999997</v>
      </c>
      <c r="BO209" s="39">
        <v>59.66</v>
      </c>
      <c r="BP209" s="520"/>
      <c r="BQ209" s="40">
        <v>740</v>
      </c>
      <c r="BR209" s="43">
        <v>738.9</v>
      </c>
      <c r="BS209" s="41">
        <v>1.3533999999999999</v>
      </c>
    </row>
    <row r="210" spans="28:71">
      <c r="AB210" s="514"/>
      <c r="AC210" s="514"/>
      <c r="AD210" s="514"/>
      <c r="AE210" s="514"/>
      <c r="AF210" s="514"/>
      <c r="AG210" s="514"/>
      <c r="AH210" s="514"/>
      <c r="AI210" s="514"/>
      <c r="AJ210" s="514"/>
      <c r="AK210" s="514"/>
      <c r="AL210" s="514"/>
      <c r="AM210" s="514"/>
      <c r="AN210" s="514"/>
      <c r="AO210" s="514"/>
      <c r="AP210" s="514"/>
      <c r="AQ210" s="514"/>
      <c r="AR210" s="514"/>
      <c r="AS210" s="514"/>
      <c r="AT210" s="514"/>
      <c r="AU210" s="514"/>
      <c r="AV210" s="514"/>
      <c r="AW210" s="514"/>
      <c r="AX210" s="514"/>
      <c r="AY210" s="514"/>
      <c r="AZ210" s="514"/>
      <c r="BA210" s="514"/>
      <c r="BB210" s="514"/>
      <c r="BC210" s="520"/>
      <c r="BD210" s="2482"/>
      <c r="BE210" s="30">
        <v>9.1</v>
      </c>
      <c r="BF210" s="31">
        <v>1.0064</v>
      </c>
      <c r="BG210" s="32">
        <v>1005.8</v>
      </c>
      <c r="BH210" s="33"/>
      <c r="BI210" s="30">
        <v>9.1</v>
      </c>
      <c r="BJ210" s="34">
        <v>3.8018000000000001</v>
      </c>
      <c r="BK210" s="35">
        <v>0.15967999999999999</v>
      </c>
      <c r="BL210" s="33"/>
      <c r="BM210" s="37">
        <v>741</v>
      </c>
      <c r="BN210" s="38">
        <v>0.74119999999999997</v>
      </c>
      <c r="BO210" s="39">
        <v>59.4</v>
      </c>
      <c r="BP210" s="520"/>
      <c r="BQ210" s="40">
        <v>741</v>
      </c>
      <c r="BR210" s="43">
        <v>739.9</v>
      </c>
      <c r="BS210" s="41">
        <v>1.3514999999999999</v>
      </c>
    </row>
    <row r="211" spans="28:71">
      <c r="AB211" s="514"/>
      <c r="AC211" s="514"/>
      <c r="AD211" s="514"/>
      <c r="AE211" s="514"/>
      <c r="AF211" s="514"/>
      <c r="AG211" s="514"/>
      <c r="AH211" s="514"/>
      <c r="AI211" s="514"/>
      <c r="AJ211" s="514"/>
      <c r="AK211" s="514"/>
      <c r="AL211" s="514"/>
      <c r="AM211" s="514"/>
      <c r="AN211" s="514"/>
      <c r="AO211" s="514"/>
      <c r="AP211" s="514"/>
      <c r="AQ211" s="514"/>
      <c r="AR211" s="514"/>
      <c r="AS211" s="514"/>
      <c r="AT211" s="514"/>
      <c r="AU211" s="514"/>
      <c r="AV211" s="514"/>
      <c r="AW211" s="514"/>
      <c r="AX211" s="514"/>
      <c r="AY211" s="514"/>
      <c r="AZ211" s="514"/>
      <c r="BA211" s="514"/>
      <c r="BB211" s="514"/>
      <c r="BC211" s="520"/>
      <c r="BD211" s="2482"/>
      <c r="BE211" s="30">
        <v>9.1999999999999993</v>
      </c>
      <c r="BF211" s="31">
        <v>1.0057</v>
      </c>
      <c r="BG211" s="32">
        <v>1005.1</v>
      </c>
      <c r="BH211" s="33"/>
      <c r="BI211" s="30">
        <v>9.1999999999999993</v>
      </c>
      <c r="BJ211" s="34">
        <v>3.7991000000000001</v>
      </c>
      <c r="BK211" s="35">
        <v>0.15956000000000001</v>
      </c>
      <c r="BL211" s="33"/>
      <c r="BM211" s="37">
        <v>742</v>
      </c>
      <c r="BN211" s="38">
        <v>0.74219999999999997</v>
      </c>
      <c r="BO211" s="39">
        <v>59.14</v>
      </c>
      <c r="BP211" s="520"/>
      <c r="BQ211" s="40">
        <v>742</v>
      </c>
      <c r="BR211" s="43">
        <v>740.9</v>
      </c>
      <c r="BS211" s="41">
        <v>1.3496999999999999</v>
      </c>
    </row>
    <row r="212" spans="28:71">
      <c r="AB212" s="514"/>
      <c r="AC212" s="514"/>
      <c r="AD212" s="514"/>
      <c r="AE212" s="514"/>
      <c r="AF212" s="514"/>
      <c r="AG212" s="514"/>
      <c r="AH212" s="514"/>
      <c r="AI212" s="514"/>
      <c r="AJ212" s="514"/>
      <c r="AK212" s="514"/>
      <c r="AL212" s="514"/>
      <c r="AM212" s="514"/>
      <c r="AN212" s="514"/>
      <c r="AO212" s="514"/>
      <c r="AP212" s="514"/>
      <c r="AQ212" s="514"/>
      <c r="AR212" s="514"/>
      <c r="AS212" s="514"/>
      <c r="AT212" s="514"/>
      <c r="AU212" s="514"/>
      <c r="AV212" s="514"/>
      <c r="AW212" s="514"/>
      <c r="AX212" s="514"/>
      <c r="AY212" s="514"/>
      <c r="AZ212" s="514"/>
      <c r="BA212" s="514"/>
      <c r="BB212" s="514"/>
      <c r="BC212" s="520"/>
      <c r="BD212" s="2482"/>
      <c r="BE212" s="30">
        <v>9.3000000000000007</v>
      </c>
      <c r="BF212" s="31">
        <v>1.0049999999999999</v>
      </c>
      <c r="BG212" s="32">
        <v>1004.4</v>
      </c>
      <c r="BH212" s="33"/>
      <c r="BI212" s="30">
        <v>9.3000000000000007</v>
      </c>
      <c r="BJ212" s="34">
        <v>3.7964000000000002</v>
      </c>
      <c r="BK212" s="35">
        <v>0.15945000000000001</v>
      </c>
      <c r="BL212" s="33"/>
      <c r="BM212" s="37">
        <v>743</v>
      </c>
      <c r="BN212" s="38">
        <v>0.74319999999999997</v>
      </c>
      <c r="BO212" s="39">
        <v>58.88</v>
      </c>
      <c r="BP212" s="520"/>
      <c r="BQ212" s="40">
        <v>743</v>
      </c>
      <c r="BR212" s="43">
        <v>741.9</v>
      </c>
      <c r="BS212" s="41">
        <v>1.3479000000000001</v>
      </c>
    </row>
    <row r="213" spans="28:71">
      <c r="AB213" s="514"/>
      <c r="AC213" s="514"/>
      <c r="AD213" s="514"/>
      <c r="AE213" s="514"/>
      <c r="AF213" s="514"/>
      <c r="AG213" s="514"/>
      <c r="AH213" s="514"/>
      <c r="AI213" s="514"/>
      <c r="AJ213" s="514"/>
      <c r="AK213" s="514"/>
      <c r="AL213" s="514"/>
      <c r="AM213" s="514"/>
      <c r="AN213" s="514"/>
      <c r="AO213" s="514"/>
      <c r="AP213" s="514"/>
      <c r="AQ213" s="514"/>
      <c r="AR213" s="514"/>
      <c r="AS213" s="514"/>
      <c r="AT213" s="514"/>
      <c r="AU213" s="514"/>
      <c r="AV213" s="514"/>
      <c r="AW213" s="514"/>
      <c r="AX213" s="514"/>
      <c r="AY213" s="514"/>
      <c r="AZ213" s="514"/>
      <c r="BA213" s="514"/>
      <c r="BB213" s="514"/>
      <c r="BC213" s="520"/>
      <c r="BD213" s="2482"/>
      <c r="BE213" s="30">
        <v>9.4</v>
      </c>
      <c r="BF213" s="31">
        <v>1.0043</v>
      </c>
      <c r="BG213" s="32">
        <v>1003.6</v>
      </c>
      <c r="BH213" s="33"/>
      <c r="BI213" s="30">
        <v>9.4</v>
      </c>
      <c r="BJ213" s="34">
        <v>3.7936999999999999</v>
      </c>
      <c r="BK213" s="35">
        <v>0.15934000000000001</v>
      </c>
      <c r="BL213" s="33"/>
      <c r="BM213" s="37">
        <v>744</v>
      </c>
      <c r="BN213" s="38">
        <v>0.74419999999999997</v>
      </c>
      <c r="BO213" s="39">
        <v>58.63</v>
      </c>
      <c r="BP213" s="520"/>
      <c r="BQ213" s="40">
        <v>744</v>
      </c>
      <c r="BR213" s="43">
        <v>742.9</v>
      </c>
      <c r="BS213" s="41">
        <v>1.3461000000000001</v>
      </c>
    </row>
    <row r="214" spans="28:71">
      <c r="AB214" s="514"/>
      <c r="AC214" s="514"/>
      <c r="AD214" s="514"/>
      <c r="AE214" s="514"/>
      <c r="AF214" s="514"/>
      <c r="AG214" s="514"/>
      <c r="AH214" s="514"/>
      <c r="AI214" s="514"/>
      <c r="AJ214" s="514"/>
      <c r="AK214" s="514"/>
      <c r="AL214" s="514"/>
      <c r="AM214" s="514"/>
      <c r="AN214" s="514"/>
      <c r="AO214" s="514"/>
      <c r="AP214" s="514"/>
      <c r="AQ214" s="514"/>
      <c r="AR214" s="514"/>
      <c r="AS214" s="514"/>
      <c r="AT214" s="514"/>
      <c r="AU214" s="514"/>
      <c r="AV214" s="514"/>
      <c r="AW214" s="514"/>
      <c r="AX214" s="514"/>
      <c r="AY214" s="514"/>
      <c r="AZ214" s="514"/>
      <c r="BA214" s="514"/>
      <c r="BB214" s="514"/>
      <c r="BC214" s="520"/>
      <c r="BD214" s="2482"/>
      <c r="BE214" s="30">
        <v>9.5</v>
      </c>
      <c r="BF214" s="31">
        <v>1.0035000000000001</v>
      </c>
      <c r="BG214" s="32">
        <v>1002.9</v>
      </c>
      <c r="BH214" s="33"/>
      <c r="BI214" s="30">
        <v>9.5</v>
      </c>
      <c r="BJ214" s="34">
        <v>3.7909999999999999</v>
      </c>
      <c r="BK214" s="35">
        <v>0.15922</v>
      </c>
      <c r="BL214" s="33"/>
      <c r="BM214" s="37">
        <v>745</v>
      </c>
      <c r="BN214" s="38">
        <v>0.74519999999999997</v>
      </c>
      <c r="BO214" s="39">
        <v>58.37</v>
      </c>
      <c r="BP214" s="520"/>
      <c r="BQ214" s="40">
        <v>745</v>
      </c>
      <c r="BR214" s="43">
        <v>743.9</v>
      </c>
      <c r="BS214" s="41">
        <v>1.3443000000000001</v>
      </c>
    </row>
    <row r="215" spans="28:71">
      <c r="AB215" s="514"/>
      <c r="AC215" s="514"/>
      <c r="AD215" s="514"/>
      <c r="AE215" s="514"/>
      <c r="AF215" s="514"/>
      <c r="AG215" s="514"/>
      <c r="AH215" s="514"/>
      <c r="AI215" s="514"/>
      <c r="AJ215" s="514"/>
      <c r="AK215" s="514"/>
      <c r="AL215" s="514"/>
      <c r="AM215" s="514"/>
      <c r="AN215" s="514"/>
      <c r="AO215" s="514"/>
      <c r="AP215" s="514"/>
      <c r="AQ215" s="514"/>
      <c r="AR215" s="514"/>
      <c r="AS215" s="514"/>
      <c r="AT215" s="514"/>
      <c r="AU215" s="514"/>
      <c r="AV215" s="514"/>
      <c r="AW215" s="514"/>
      <c r="AX215" s="514"/>
      <c r="AY215" s="514"/>
      <c r="AZ215" s="514"/>
      <c r="BA215" s="514"/>
      <c r="BB215" s="514"/>
      <c r="BC215" s="520"/>
      <c r="BD215" s="2482"/>
      <c r="BE215" s="30">
        <v>9.6</v>
      </c>
      <c r="BF215" s="31">
        <v>1.0027999999999999</v>
      </c>
      <c r="BG215" s="32">
        <v>1002.2</v>
      </c>
      <c r="BH215" s="33"/>
      <c r="BI215" s="30">
        <v>9.6</v>
      </c>
      <c r="BJ215" s="34">
        <v>3.7883</v>
      </c>
      <c r="BK215" s="35">
        <v>0.15911</v>
      </c>
      <c r="BL215" s="33"/>
      <c r="BM215" s="37">
        <v>746</v>
      </c>
      <c r="BN215" s="38">
        <v>0.74619999999999997</v>
      </c>
      <c r="BO215" s="39">
        <v>58.12</v>
      </c>
      <c r="BP215" s="520"/>
      <c r="BQ215" s="40">
        <v>746</v>
      </c>
      <c r="BR215" s="43">
        <v>744.9</v>
      </c>
      <c r="BS215" s="41">
        <v>1.3425</v>
      </c>
    </row>
    <row r="216" spans="28:71">
      <c r="AB216" s="514"/>
      <c r="AC216" s="514"/>
      <c r="AD216" s="514"/>
      <c r="AE216" s="514"/>
      <c r="AF216" s="514"/>
      <c r="AG216" s="514"/>
      <c r="AH216" s="514"/>
      <c r="AI216" s="514"/>
      <c r="AJ216" s="514"/>
      <c r="AK216" s="514"/>
      <c r="AL216" s="514"/>
      <c r="AM216" s="514"/>
      <c r="AN216" s="514"/>
      <c r="AO216" s="514"/>
      <c r="AP216" s="514"/>
      <c r="AQ216" s="514"/>
      <c r="AR216" s="514"/>
      <c r="AS216" s="514"/>
      <c r="AT216" s="514"/>
      <c r="AU216" s="514"/>
      <c r="AV216" s="514"/>
      <c r="AW216" s="514"/>
      <c r="AX216" s="514"/>
      <c r="AY216" s="514"/>
      <c r="AZ216" s="514"/>
      <c r="BA216" s="514"/>
      <c r="BB216" s="514"/>
      <c r="BC216" s="520"/>
      <c r="BD216" s="2482"/>
      <c r="BE216" s="30">
        <v>9.6999999999999993</v>
      </c>
      <c r="BF216" s="31">
        <v>1.0021</v>
      </c>
      <c r="BG216" s="32">
        <v>1001.5</v>
      </c>
      <c r="BH216" s="33"/>
      <c r="BI216" s="30">
        <v>9.6999999999999993</v>
      </c>
      <c r="BJ216" s="34">
        <v>3.7856000000000001</v>
      </c>
      <c r="BK216" s="35">
        <v>0.159</v>
      </c>
      <c r="BL216" s="33"/>
      <c r="BM216" s="37">
        <v>747</v>
      </c>
      <c r="BN216" s="38">
        <v>0.74719999999999998</v>
      </c>
      <c r="BO216" s="39">
        <v>57.86</v>
      </c>
      <c r="BP216" s="520"/>
      <c r="BQ216" s="40">
        <v>747</v>
      </c>
      <c r="BR216" s="43">
        <v>745.9</v>
      </c>
      <c r="BS216" s="41">
        <v>1.3407</v>
      </c>
    </row>
    <row r="217" spans="28:71">
      <c r="AB217" s="514"/>
      <c r="AC217" s="514"/>
      <c r="AD217" s="514"/>
      <c r="AE217" s="514"/>
      <c r="AF217" s="514"/>
      <c r="AG217" s="514"/>
      <c r="AH217" s="514"/>
      <c r="AI217" s="514"/>
      <c r="AJ217" s="514"/>
      <c r="AK217" s="514"/>
      <c r="AL217" s="514"/>
      <c r="AM217" s="514"/>
      <c r="AN217" s="514"/>
      <c r="AO217" s="514"/>
      <c r="AP217" s="514"/>
      <c r="AQ217" s="514"/>
      <c r="AR217" s="514"/>
      <c r="AS217" s="514"/>
      <c r="AT217" s="514"/>
      <c r="AU217" s="514"/>
      <c r="AV217" s="514"/>
      <c r="AW217" s="514"/>
      <c r="AX217" s="514"/>
      <c r="AY217" s="514"/>
      <c r="AZ217" s="514"/>
      <c r="BA217" s="514"/>
      <c r="BB217" s="514"/>
      <c r="BC217" s="520"/>
      <c r="BD217" s="2482"/>
      <c r="BE217" s="30">
        <v>9.8000000000000007</v>
      </c>
      <c r="BF217" s="31">
        <v>1.0014000000000001</v>
      </c>
      <c r="BG217" s="32">
        <v>1000.8</v>
      </c>
      <c r="BH217" s="33"/>
      <c r="BI217" s="30">
        <v>9.8000000000000007</v>
      </c>
      <c r="BJ217" s="34">
        <v>3.7829999999999999</v>
      </c>
      <c r="BK217" s="35">
        <v>0.15887999999999999</v>
      </c>
      <c r="BL217" s="33"/>
      <c r="BM217" s="37">
        <v>748</v>
      </c>
      <c r="BN217" s="38">
        <v>0.74819999999999998</v>
      </c>
      <c r="BO217" s="39">
        <v>57.61</v>
      </c>
      <c r="BP217" s="520"/>
      <c r="BQ217" s="40">
        <v>748</v>
      </c>
      <c r="BR217" s="43">
        <v>746.9</v>
      </c>
      <c r="BS217" s="41">
        <v>1.3389</v>
      </c>
    </row>
    <row r="218" spans="28:71">
      <c r="AB218" s="514"/>
      <c r="AC218" s="514"/>
      <c r="AD218" s="514"/>
      <c r="AE218" s="514"/>
      <c r="AF218" s="514"/>
      <c r="AG218" s="514"/>
      <c r="AH218" s="514"/>
      <c r="AI218" s="514"/>
      <c r="AJ218" s="514"/>
      <c r="AK218" s="514"/>
      <c r="AL218" s="514"/>
      <c r="AM218" s="514"/>
      <c r="AN218" s="514"/>
      <c r="AO218" s="514"/>
      <c r="AP218" s="514"/>
      <c r="AQ218" s="514"/>
      <c r="AR218" s="514"/>
      <c r="AS218" s="514"/>
      <c r="AT218" s="514"/>
      <c r="AU218" s="514"/>
      <c r="AV218" s="514"/>
      <c r="AW218" s="514"/>
      <c r="AX218" s="514"/>
      <c r="AY218" s="514"/>
      <c r="AZ218" s="514"/>
      <c r="BA218" s="514"/>
      <c r="BB218" s="514"/>
      <c r="BC218" s="520"/>
      <c r="BD218" s="2482"/>
      <c r="BE218" s="30">
        <v>9.9</v>
      </c>
      <c r="BF218" s="31">
        <v>1.0006999999999999</v>
      </c>
      <c r="BG218" s="32">
        <v>1000.1</v>
      </c>
      <c r="BH218" s="33"/>
      <c r="BI218" s="30">
        <v>9.9</v>
      </c>
      <c r="BJ218" s="34">
        <v>3.7803</v>
      </c>
      <c r="BK218" s="35">
        <v>0.15876999999999999</v>
      </c>
      <c r="BL218" s="33"/>
      <c r="BM218" s="37">
        <v>749</v>
      </c>
      <c r="BN218" s="38">
        <v>0.74919999999999998</v>
      </c>
      <c r="BO218" s="39">
        <v>57.36</v>
      </c>
      <c r="BP218" s="520"/>
      <c r="BQ218" s="40">
        <v>749</v>
      </c>
      <c r="BR218" s="43">
        <v>747.9</v>
      </c>
      <c r="BS218" s="41">
        <v>1.3371</v>
      </c>
    </row>
    <row r="219" spans="28:71">
      <c r="AB219" s="514"/>
      <c r="AC219" s="514"/>
      <c r="AD219" s="514"/>
      <c r="AE219" s="514"/>
      <c r="AF219" s="514"/>
      <c r="AG219" s="514"/>
      <c r="AH219" s="514"/>
      <c r="AI219" s="514"/>
      <c r="AJ219" s="514"/>
      <c r="AK219" s="514"/>
      <c r="AL219" s="514"/>
      <c r="AM219" s="514"/>
      <c r="AN219" s="514"/>
      <c r="AO219" s="514"/>
      <c r="AP219" s="514"/>
      <c r="AQ219" s="514"/>
      <c r="AR219" s="514"/>
      <c r="AS219" s="514"/>
      <c r="AT219" s="514"/>
      <c r="AU219" s="514"/>
      <c r="AV219" s="514"/>
      <c r="AW219" s="514"/>
      <c r="AX219" s="514"/>
      <c r="AY219" s="514"/>
      <c r="AZ219" s="514"/>
      <c r="BA219" s="514"/>
      <c r="BB219" s="514"/>
      <c r="BC219" s="520"/>
      <c r="BD219" s="2482"/>
      <c r="BE219" s="30">
        <v>10</v>
      </c>
      <c r="BF219" s="31">
        <v>1</v>
      </c>
      <c r="BG219" s="32">
        <v>999.4</v>
      </c>
      <c r="BH219" s="33"/>
      <c r="BI219" s="30">
        <v>10</v>
      </c>
      <c r="BJ219" s="34">
        <v>3.7776000000000001</v>
      </c>
      <c r="BK219" s="35">
        <v>0.15866</v>
      </c>
      <c r="BL219" s="33"/>
      <c r="BM219" s="37">
        <v>750</v>
      </c>
      <c r="BN219" s="38">
        <v>0.75019999999999998</v>
      </c>
      <c r="BO219" s="39">
        <v>57.11</v>
      </c>
      <c r="BP219" s="520"/>
      <c r="BQ219" s="40">
        <v>750</v>
      </c>
      <c r="BR219" s="43">
        <v>748.9</v>
      </c>
      <c r="BS219" s="41">
        <v>1.3352999999999999</v>
      </c>
    </row>
    <row r="220" spans="28:71">
      <c r="AB220" s="514"/>
      <c r="AC220" s="514"/>
      <c r="AD220" s="514"/>
      <c r="AE220" s="514"/>
      <c r="AF220" s="514"/>
      <c r="AG220" s="514"/>
      <c r="AH220" s="514"/>
      <c r="AI220" s="514"/>
      <c r="AJ220" s="514"/>
      <c r="AK220" s="514"/>
      <c r="AL220" s="514"/>
      <c r="AM220" s="514"/>
      <c r="AN220" s="514"/>
      <c r="AO220" s="514"/>
      <c r="AP220" s="514"/>
      <c r="AQ220" s="514"/>
      <c r="AR220" s="514"/>
      <c r="AS220" s="514"/>
      <c r="AT220" s="514"/>
      <c r="AU220" s="514"/>
      <c r="AV220" s="514"/>
      <c r="AW220" s="514"/>
      <c r="AX220" s="514"/>
      <c r="AY220" s="514"/>
      <c r="AZ220" s="514"/>
      <c r="BA220" s="514"/>
      <c r="BB220" s="514"/>
      <c r="BC220" s="520"/>
      <c r="BD220" s="2482"/>
      <c r="BE220" s="30">
        <v>10.1</v>
      </c>
      <c r="BF220" s="31">
        <v>0.99929999999999997</v>
      </c>
      <c r="BG220" s="32">
        <v>998.7</v>
      </c>
      <c r="BH220" s="33"/>
      <c r="BI220" s="30">
        <v>10.1</v>
      </c>
      <c r="BJ220" s="34">
        <v>3.7749000000000001</v>
      </c>
      <c r="BK220" s="35">
        <v>0.15855</v>
      </c>
      <c r="BL220" s="33"/>
      <c r="BM220" s="37">
        <v>751</v>
      </c>
      <c r="BN220" s="38">
        <v>0.75119999999999998</v>
      </c>
      <c r="BO220" s="39">
        <v>56.85</v>
      </c>
      <c r="BP220" s="520"/>
      <c r="BQ220" s="40">
        <v>751</v>
      </c>
      <c r="BR220" s="43">
        <v>749.9</v>
      </c>
      <c r="BS220" s="41">
        <v>1.3334999999999999</v>
      </c>
    </row>
    <row r="221" spans="28:71">
      <c r="AB221" s="514"/>
      <c r="AC221" s="514"/>
      <c r="AD221" s="514"/>
      <c r="AE221" s="514"/>
      <c r="AF221" s="514"/>
      <c r="AG221" s="514"/>
      <c r="AH221" s="514"/>
      <c r="AI221" s="514"/>
      <c r="AJ221" s="514"/>
      <c r="AK221" s="514"/>
      <c r="AL221" s="514"/>
      <c r="AM221" s="514"/>
      <c r="AN221" s="514"/>
      <c r="AO221" s="514"/>
      <c r="AP221" s="514"/>
      <c r="AQ221" s="514"/>
      <c r="AR221" s="514"/>
      <c r="AS221" s="514"/>
      <c r="AT221" s="514"/>
      <c r="AU221" s="514"/>
      <c r="AV221" s="514"/>
      <c r="AW221" s="514"/>
      <c r="AX221" s="514"/>
      <c r="AY221" s="514"/>
      <c r="AZ221" s="514"/>
      <c r="BA221" s="514"/>
      <c r="BB221" s="514"/>
      <c r="BC221" s="520"/>
      <c r="BD221" s="2482"/>
      <c r="BE221" s="30">
        <v>10.199999999999999</v>
      </c>
      <c r="BF221" s="31">
        <v>0.99860000000000004</v>
      </c>
      <c r="BG221" s="32">
        <v>998</v>
      </c>
      <c r="BH221" s="33"/>
      <c r="BI221" s="30">
        <v>10.199999999999999</v>
      </c>
      <c r="BJ221" s="34">
        <v>3.7723</v>
      </c>
      <c r="BK221" s="35">
        <v>0.15844</v>
      </c>
      <c r="BL221" s="33"/>
      <c r="BM221" s="37">
        <v>752</v>
      </c>
      <c r="BN221" s="38">
        <v>0.75219999999999998</v>
      </c>
      <c r="BO221" s="39">
        <v>56.6</v>
      </c>
      <c r="BP221" s="520"/>
      <c r="BQ221" s="40">
        <v>752</v>
      </c>
      <c r="BR221" s="43">
        <v>750.9</v>
      </c>
      <c r="BS221" s="41">
        <v>1.3317000000000001</v>
      </c>
    </row>
    <row r="222" spans="28:71">
      <c r="AB222" s="514"/>
      <c r="AC222" s="514"/>
      <c r="AD222" s="514"/>
      <c r="AE222" s="514"/>
      <c r="AF222" s="514"/>
      <c r="AG222" s="514"/>
      <c r="AH222" s="514"/>
      <c r="AI222" s="514"/>
      <c r="AJ222" s="514"/>
      <c r="AK222" s="514"/>
      <c r="AL222" s="514"/>
      <c r="AM222" s="514"/>
      <c r="AN222" s="514"/>
      <c r="AO222" s="514"/>
      <c r="AP222" s="514"/>
      <c r="AQ222" s="514"/>
      <c r="AR222" s="514"/>
      <c r="AS222" s="514"/>
      <c r="AT222" s="514"/>
      <c r="AU222" s="514"/>
      <c r="AV222" s="514"/>
      <c r="AW222" s="514"/>
      <c r="AX222" s="514"/>
      <c r="AY222" s="514"/>
      <c r="AZ222" s="514"/>
      <c r="BA222" s="514"/>
      <c r="BB222" s="514"/>
      <c r="BC222" s="520"/>
      <c r="BD222" s="2482"/>
      <c r="BE222" s="30">
        <v>10.3</v>
      </c>
      <c r="BF222" s="31">
        <v>0.99790000000000001</v>
      </c>
      <c r="BG222" s="32">
        <v>997.3</v>
      </c>
      <c r="BH222" s="33"/>
      <c r="BI222" s="30">
        <v>10.3</v>
      </c>
      <c r="BJ222" s="34">
        <v>3.7696000000000001</v>
      </c>
      <c r="BK222" s="35">
        <v>0.15831999999999999</v>
      </c>
      <c r="BL222" s="33"/>
      <c r="BM222" s="37">
        <v>753</v>
      </c>
      <c r="BN222" s="38">
        <v>0.75319999999999998</v>
      </c>
      <c r="BO222" s="39">
        <v>56.35</v>
      </c>
      <c r="BP222" s="520"/>
      <c r="BQ222" s="40">
        <v>753</v>
      </c>
      <c r="BR222" s="43">
        <v>751.9</v>
      </c>
      <c r="BS222" s="41">
        <v>1.33</v>
      </c>
    </row>
    <row r="223" spans="28:71">
      <c r="AB223" s="514"/>
      <c r="AC223" s="514"/>
      <c r="AD223" s="514"/>
      <c r="AE223" s="514"/>
      <c r="AF223" s="514"/>
      <c r="AG223" s="514"/>
      <c r="AH223" s="514"/>
      <c r="AI223" s="514"/>
      <c r="AJ223" s="514"/>
      <c r="AK223" s="514"/>
      <c r="AL223" s="514"/>
      <c r="AM223" s="514"/>
      <c r="AN223" s="514"/>
      <c r="AO223" s="514"/>
      <c r="AP223" s="514"/>
      <c r="AQ223" s="514"/>
      <c r="AR223" s="514"/>
      <c r="AS223" s="514"/>
      <c r="AT223" s="514"/>
      <c r="AU223" s="514"/>
      <c r="AV223" s="514"/>
      <c r="AW223" s="514"/>
      <c r="AX223" s="514"/>
      <c r="AY223" s="514"/>
      <c r="AZ223" s="514"/>
      <c r="BA223" s="514"/>
      <c r="BB223" s="514"/>
      <c r="BC223" s="520"/>
      <c r="BD223" s="2482"/>
      <c r="BE223" s="30">
        <v>10.4</v>
      </c>
      <c r="BF223" s="31">
        <v>0.99719999999999998</v>
      </c>
      <c r="BG223" s="32">
        <v>996.6</v>
      </c>
      <c r="BH223" s="33"/>
      <c r="BI223" s="30">
        <v>10.4</v>
      </c>
      <c r="BJ223" s="34">
        <v>3.7669999999999999</v>
      </c>
      <c r="BK223" s="35">
        <v>0.15820999999999999</v>
      </c>
      <c r="BL223" s="33"/>
      <c r="BM223" s="37">
        <v>754</v>
      </c>
      <c r="BN223" s="38">
        <v>0.75419999999999998</v>
      </c>
      <c r="BO223" s="39">
        <v>56.1</v>
      </c>
      <c r="BP223" s="520"/>
      <c r="BQ223" s="40">
        <v>754</v>
      </c>
      <c r="BR223" s="43">
        <v>752.9</v>
      </c>
      <c r="BS223" s="41">
        <v>1.3282</v>
      </c>
    </row>
    <row r="224" spans="28:71">
      <c r="AB224" s="514"/>
      <c r="AC224" s="514"/>
      <c r="AD224" s="514"/>
      <c r="AE224" s="514"/>
      <c r="AF224" s="514"/>
      <c r="AG224" s="514"/>
      <c r="AH224" s="514"/>
      <c r="AI224" s="514"/>
      <c r="AJ224" s="514"/>
      <c r="AK224" s="514"/>
      <c r="AL224" s="514"/>
      <c r="AM224" s="514"/>
      <c r="AN224" s="514"/>
      <c r="AO224" s="514"/>
      <c r="AP224" s="514"/>
      <c r="AQ224" s="514"/>
      <c r="AR224" s="514"/>
      <c r="AS224" s="514"/>
      <c r="AT224" s="514"/>
      <c r="AU224" s="514"/>
      <c r="AV224" s="514"/>
      <c r="AW224" s="514"/>
      <c r="AX224" s="514"/>
      <c r="AY224" s="514"/>
      <c r="AZ224" s="514"/>
      <c r="BA224" s="514"/>
      <c r="BB224" s="514"/>
      <c r="BC224" s="520"/>
      <c r="BD224" s="2482"/>
      <c r="BE224" s="30">
        <v>10.5</v>
      </c>
      <c r="BF224" s="31">
        <v>0.99650000000000005</v>
      </c>
      <c r="BG224" s="32">
        <v>995.9</v>
      </c>
      <c r="BH224" s="33"/>
      <c r="BI224" s="30">
        <v>10.5</v>
      </c>
      <c r="BJ224" s="34">
        <v>3.7643</v>
      </c>
      <c r="BK224" s="35">
        <v>0.15809999999999999</v>
      </c>
      <c r="BL224" s="33"/>
      <c r="BM224" s="37">
        <v>755</v>
      </c>
      <c r="BN224" s="38">
        <v>0.75519999999999998</v>
      </c>
      <c r="BO224" s="39">
        <v>55.86</v>
      </c>
      <c r="BP224" s="520"/>
      <c r="BQ224" s="40">
        <v>755</v>
      </c>
      <c r="BR224" s="43">
        <v>753.9</v>
      </c>
      <c r="BS224" s="41">
        <v>1.3264</v>
      </c>
    </row>
    <row r="225" spans="28:71">
      <c r="AB225" s="514"/>
      <c r="AC225" s="514"/>
      <c r="AD225" s="514"/>
      <c r="AE225" s="514"/>
      <c r="AF225" s="514"/>
      <c r="AG225" s="514"/>
      <c r="AH225" s="514"/>
      <c r="AI225" s="514"/>
      <c r="AJ225" s="514"/>
      <c r="AK225" s="514"/>
      <c r="AL225" s="514"/>
      <c r="AM225" s="514"/>
      <c r="AN225" s="514"/>
      <c r="AO225" s="514"/>
      <c r="AP225" s="514"/>
      <c r="AQ225" s="514"/>
      <c r="AR225" s="514"/>
      <c r="AS225" s="514"/>
      <c r="AT225" s="514"/>
      <c r="AU225" s="514"/>
      <c r="AV225" s="514"/>
      <c r="AW225" s="514"/>
      <c r="AX225" s="514"/>
      <c r="AY225" s="514"/>
      <c r="AZ225" s="514"/>
      <c r="BA225" s="514"/>
      <c r="BB225" s="514"/>
      <c r="BC225" s="520"/>
      <c r="BD225" s="2482"/>
      <c r="BE225" s="30">
        <v>10.6</v>
      </c>
      <c r="BF225" s="31">
        <v>0.99580000000000002</v>
      </c>
      <c r="BG225" s="32">
        <v>995.2</v>
      </c>
      <c r="BH225" s="33"/>
      <c r="BI225" s="30">
        <v>10.6</v>
      </c>
      <c r="BJ225" s="34">
        <v>3.7616000000000001</v>
      </c>
      <c r="BK225" s="35">
        <v>0.15798999999999999</v>
      </c>
      <c r="BL225" s="33"/>
      <c r="BM225" s="37">
        <v>756</v>
      </c>
      <c r="BN225" s="38">
        <v>0.75619999999999998</v>
      </c>
      <c r="BO225" s="39">
        <v>55.61</v>
      </c>
      <c r="BP225" s="520"/>
      <c r="BQ225" s="40">
        <v>756</v>
      </c>
      <c r="BR225" s="43">
        <v>754.9</v>
      </c>
      <c r="BS225" s="41">
        <v>1.3247</v>
      </c>
    </row>
    <row r="226" spans="28:71">
      <c r="AB226" s="514"/>
      <c r="AC226" s="514"/>
      <c r="AD226" s="514"/>
      <c r="AE226" s="514"/>
      <c r="AF226" s="514"/>
      <c r="AG226" s="514"/>
      <c r="AH226" s="514"/>
      <c r="AI226" s="514"/>
      <c r="AJ226" s="514"/>
      <c r="AK226" s="514"/>
      <c r="AL226" s="514"/>
      <c r="AM226" s="514"/>
      <c r="AN226" s="514"/>
      <c r="AO226" s="514"/>
      <c r="AP226" s="514"/>
      <c r="AQ226" s="514"/>
      <c r="AR226" s="514"/>
      <c r="AS226" s="514"/>
      <c r="AT226" s="514"/>
      <c r="AU226" s="514"/>
      <c r="AV226" s="514"/>
      <c r="AW226" s="514"/>
      <c r="AX226" s="514"/>
      <c r="AY226" s="514"/>
      <c r="AZ226" s="514"/>
      <c r="BA226" s="514"/>
      <c r="BB226" s="514"/>
      <c r="BC226" s="520"/>
      <c r="BD226" s="2482"/>
      <c r="BE226" s="30">
        <v>10.7</v>
      </c>
      <c r="BF226" s="31">
        <v>0.99509999999999998</v>
      </c>
      <c r="BG226" s="32">
        <v>994.5</v>
      </c>
      <c r="BH226" s="33"/>
      <c r="BI226" s="30">
        <v>10.7</v>
      </c>
      <c r="BJ226" s="34">
        <v>3.7589999999999999</v>
      </c>
      <c r="BK226" s="35">
        <v>0.15787999999999999</v>
      </c>
      <c r="BL226" s="33"/>
      <c r="BM226" s="37">
        <v>757</v>
      </c>
      <c r="BN226" s="38">
        <v>0.75729999999999997</v>
      </c>
      <c r="BO226" s="39">
        <v>55.36</v>
      </c>
      <c r="BP226" s="520"/>
      <c r="BQ226" s="40">
        <v>757</v>
      </c>
      <c r="BR226" s="43">
        <v>755.9</v>
      </c>
      <c r="BS226" s="41">
        <v>1.3229</v>
      </c>
    </row>
    <row r="227" spans="28:71">
      <c r="AB227" s="514"/>
      <c r="AC227" s="514"/>
      <c r="AD227" s="514"/>
      <c r="AE227" s="514"/>
      <c r="AF227" s="514"/>
      <c r="AG227" s="514"/>
      <c r="AH227" s="514"/>
      <c r="AI227" s="514"/>
      <c r="AJ227" s="514"/>
      <c r="AK227" s="514"/>
      <c r="AL227" s="514"/>
      <c r="AM227" s="514"/>
      <c r="AN227" s="514"/>
      <c r="AO227" s="514"/>
      <c r="AP227" s="514"/>
      <c r="AQ227" s="514"/>
      <c r="AR227" s="514"/>
      <c r="AS227" s="514"/>
      <c r="AT227" s="514"/>
      <c r="AU227" s="514"/>
      <c r="AV227" s="514"/>
      <c r="AW227" s="514"/>
      <c r="AX227" s="514"/>
      <c r="AY227" s="514"/>
      <c r="AZ227" s="514"/>
      <c r="BA227" s="514"/>
      <c r="BB227" s="514"/>
      <c r="BC227" s="520"/>
      <c r="BD227" s="2482"/>
      <c r="BE227" s="30">
        <v>10.8</v>
      </c>
      <c r="BF227" s="31">
        <v>0.99439999999999995</v>
      </c>
      <c r="BG227" s="32">
        <v>993.8</v>
      </c>
      <c r="BH227" s="33"/>
      <c r="BI227" s="30">
        <v>10.8</v>
      </c>
      <c r="BJ227" s="34">
        <v>3.7563</v>
      </c>
      <c r="BK227" s="35">
        <v>0.15776999999999999</v>
      </c>
      <c r="BL227" s="33"/>
      <c r="BM227" s="37">
        <v>758</v>
      </c>
      <c r="BN227" s="38">
        <v>0.75829999999999997</v>
      </c>
      <c r="BO227" s="39">
        <v>55.11</v>
      </c>
      <c r="BP227" s="520"/>
      <c r="BQ227" s="40">
        <v>758</v>
      </c>
      <c r="BR227" s="43">
        <v>756.9</v>
      </c>
      <c r="BS227" s="41">
        <v>1.3211999999999999</v>
      </c>
    </row>
    <row r="228" spans="28:71">
      <c r="AB228" s="514"/>
      <c r="AC228" s="514"/>
      <c r="AD228" s="514"/>
      <c r="AE228" s="514"/>
      <c r="AF228" s="514"/>
      <c r="AG228" s="514"/>
      <c r="AH228" s="514"/>
      <c r="AI228" s="514"/>
      <c r="AJ228" s="514"/>
      <c r="AK228" s="514"/>
      <c r="AL228" s="514"/>
      <c r="AM228" s="514"/>
      <c r="AN228" s="514"/>
      <c r="AO228" s="514"/>
      <c r="AP228" s="514"/>
      <c r="AQ228" s="514"/>
      <c r="AR228" s="514"/>
      <c r="AS228" s="514"/>
      <c r="AT228" s="514"/>
      <c r="AU228" s="514"/>
      <c r="AV228" s="514"/>
      <c r="AW228" s="514"/>
      <c r="AX228" s="514"/>
      <c r="AY228" s="514"/>
      <c r="AZ228" s="514"/>
      <c r="BA228" s="514"/>
      <c r="BB228" s="514"/>
      <c r="BC228" s="520"/>
      <c r="BD228" s="2482"/>
      <c r="BE228" s="30">
        <v>10.9</v>
      </c>
      <c r="BF228" s="31">
        <v>0.99370000000000003</v>
      </c>
      <c r="BG228" s="32">
        <v>993.1</v>
      </c>
      <c r="BH228" s="33"/>
      <c r="BI228" s="30">
        <v>10.9</v>
      </c>
      <c r="BJ228" s="34">
        <v>3.7536999999999998</v>
      </c>
      <c r="BK228" s="35">
        <v>0.15765999999999999</v>
      </c>
      <c r="BL228" s="33"/>
      <c r="BM228" s="37">
        <v>759</v>
      </c>
      <c r="BN228" s="38">
        <v>0.75929999999999997</v>
      </c>
      <c r="BO228" s="39">
        <v>54.87</v>
      </c>
      <c r="BP228" s="520"/>
      <c r="BQ228" s="40">
        <v>759</v>
      </c>
      <c r="BR228" s="43">
        <v>757.9</v>
      </c>
      <c r="BS228" s="41">
        <v>1.3193999999999999</v>
      </c>
    </row>
    <row r="229" spans="28:71">
      <c r="AB229" s="514"/>
      <c r="AC229" s="514"/>
      <c r="AD229" s="514"/>
      <c r="AE229" s="514"/>
      <c r="AF229" s="514"/>
      <c r="AG229" s="514"/>
      <c r="AH229" s="514"/>
      <c r="AI229" s="514"/>
      <c r="AJ229" s="514"/>
      <c r="AK229" s="514"/>
      <c r="AL229" s="514"/>
      <c r="AM229" s="514"/>
      <c r="AN229" s="514"/>
      <c r="AO229" s="514"/>
      <c r="AP229" s="514"/>
      <c r="AQ229" s="514"/>
      <c r="AR229" s="514"/>
      <c r="AS229" s="514"/>
      <c r="AT229" s="514"/>
      <c r="AU229" s="514"/>
      <c r="AV229" s="514"/>
      <c r="AW229" s="514"/>
      <c r="AX229" s="514"/>
      <c r="AY229" s="514"/>
      <c r="AZ229" s="514"/>
      <c r="BA229" s="514"/>
      <c r="BB229" s="514"/>
      <c r="BC229" s="520"/>
      <c r="BD229" s="2482"/>
      <c r="BE229" s="30">
        <v>11</v>
      </c>
      <c r="BF229" s="31">
        <v>0.99299999999999999</v>
      </c>
      <c r="BG229" s="32">
        <v>992.4</v>
      </c>
      <c r="BH229" s="33"/>
      <c r="BI229" s="30">
        <v>11</v>
      </c>
      <c r="BJ229" s="34">
        <v>3.7511000000000001</v>
      </c>
      <c r="BK229" s="35">
        <v>0.15754000000000001</v>
      </c>
      <c r="BL229" s="33"/>
      <c r="BM229" s="37">
        <v>760</v>
      </c>
      <c r="BN229" s="38">
        <v>0.76029999999999998</v>
      </c>
      <c r="BO229" s="39">
        <v>54.62</v>
      </c>
      <c r="BP229" s="520"/>
      <c r="BQ229" s="40">
        <v>760</v>
      </c>
      <c r="BR229" s="43">
        <v>758.9</v>
      </c>
      <c r="BS229" s="41">
        <v>1.3177000000000001</v>
      </c>
    </row>
    <row r="230" spans="28:71">
      <c r="AB230" s="514"/>
      <c r="AC230" s="514"/>
      <c r="AD230" s="514"/>
      <c r="AE230" s="514"/>
      <c r="AF230" s="514"/>
      <c r="AG230" s="514"/>
      <c r="AH230" s="514"/>
      <c r="AI230" s="514"/>
      <c r="AJ230" s="514"/>
      <c r="AK230" s="514"/>
      <c r="AL230" s="514"/>
      <c r="AM230" s="514"/>
      <c r="AN230" s="514"/>
      <c r="AO230" s="514"/>
      <c r="AP230" s="514"/>
      <c r="AQ230" s="514"/>
      <c r="AR230" s="514"/>
      <c r="AS230" s="514"/>
      <c r="AT230" s="514"/>
      <c r="AU230" s="514"/>
      <c r="AV230" s="514"/>
      <c r="AW230" s="514"/>
      <c r="AX230" s="514"/>
      <c r="AY230" s="514"/>
      <c r="AZ230" s="514"/>
      <c r="BA230" s="514"/>
      <c r="BB230" s="514"/>
      <c r="BC230" s="520"/>
      <c r="BD230" s="2482"/>
      <c r="BE230" s="30">
        <v>11.1</v>
      </c>
      <c r="BF230" s="31">
        <v>0.99229999999999996</v>
      </c>
      <c r="BG230" s="32">
        <v>991.7</v>
      </c>
      <c r="BH230" s="33"/>
      <c r="BI230" s="30">
        <v>11.1</v>
      </c>
      <c r="BJ230" s="34">
        <v>3.7484000000000002</v>
      </c>
      <c r="BK230" s="35">
        <v>0.15742999999999999</v>
      </c>
      <c r="BL230" s="33"/>
      <c r="BM230" s="37">
        <v>761</v>
      </c>
      <c r="BN230" s="38">
        <v>0.76129999999999998</v>
      </c>
      <c r="BO230" s="39">
        <v>54.38</v>
      </c>
      <c r="BP230" s="520"/>
      <c r="BQ230" s="40">
        <v>761</v>
      </c>
      <c r="BR230" s="43">
        <v>759.9</v>
      </c>
      <c r="BS230" s="41">
        <v>1.3160000000000001</v>
      </c>
    </row>
    <row r="231" spans="28:71">
      <c r="AB231" s="514"/>
      <c r="AC231" s="514"/>
      <c r="AD231" s="514"/>
      <c r="AE231" s="514"/>
      <c r="AF231" s="514"/>
      <c r="AG231" s="514"/>
      <c r="AH231" s="514"/>
      <c r="AI231" s="514"/>
      <c r="AJ231" s="514"/>
      <c r="AK231" s="514"/>
      <c r="AL231" s="514"/>
      <c r="AM231" s="514"/>
      <c r="AN231" s="514"/>
      <c r="AO231" s="514"/>
      <c r="AP231" s="514"/>
      <c r="AQ231" s="514"/>
      <c r="AR231" s="514"/>
      <c r="AS231" s="514"/>
      <c r="AT231" s="514"/>
      <c r="AU231" s="514"/>
      <c r="AV231" s="514"/>
      <c r="AW231" s="514"/>
      <c r="AX231" s="514"/>
      <c r="AY231" s="514"/>
      <c r="AZ231" s="514"/>
      <c r="BA231" s="514"/>
      <c r="BB231" s="514"/>
      <c r="BC231" s="520"/>
      <c r="BD231" s="2482"/>
      <c r="BE231" s="30">
        <v>11.2</v>
      </c>
      <c r="BF231" s="31">
        <v>0.99160000000000004</v>
      </c>
      <c r="BG231" s="32">
        <v>991</v>
      </c>
      <c r="BH231" s="33"/>
      <c r="BI231" s="30">
        <v>11.2</v>
      </c>
      <c r="BJ231" s="34">
        <v>3.7458</v>
      </c>
      <c r="BK231" s="35">
        <v>0.15731999999999999</v>
      </c>
      <c r="BL231" s="33"/>
      <c r="BM231" s="37">
        <v>762</v>
      </c>
      <c r="BN231" s="38">
        <v>0.76229999999999998</v>
      </c>
      <c r="BO231" s="39">
        <v>54.13</v>
      </c>
      <c r="BP231" s="520"/>
      <c r="BQ231" s="40">
        <v>762</v>
      </c>
      <c r="BR231" s="43">
        <v>760.9</v>
      </c>
      <c r="BS231" s="41">
        <v>1.3142</v>
      </c>
    </row>
    <row r="232" spans="28:71">
      <c r="AB232" s="514"/>
      <c r="AC232" s="514"/>
      <c r="AD232" s="514"/>
      <c r="AE232" s="514"/>
      <c r="AF232" s="514"/>
      <c r="AG232" s="514"/>
      <c r="AH232" s="514"/>
      <c r="AI232" s="514"/>
      <c r="AJ232" s="514"/>
      <c r="AK232" s="514"/>
      <c r="AL232" s="514"/>
      <c r="AM232" s="514"/>
      <c r="AN232" s="514"/>
      <c r="AO232" s="514"/>
      <c r="AP232" s="514"/>
      <c r="AQ232" s="514"/>
      <c r="AR232" s="514"/>
      <c r="AS232" s="514"/>
      <c r="AT232" s="514"/>
      <c r="AU232" s="514"/>
      <c r="AV232" s="514"/>
      <c r="AW232" s="514"/>
      <c r="AX232" s="514"/>
      <c r="AY232" s="514"/>
      <c r="AZ232" s="514"/>
      <c r="BA232" s="514"/>
      <c r="BB232" s="514"/>
      <c r="BC232" s="520"/>
      <c r="BD232" s="2482"/>
      <c r="BE232" s="30">
        <v>11.3</v>
      </c>
      <c r="BF232" s="31">
        <v>0.9909</v>
      </c>
      <c r="BG232" s="32">
        <v>990.3</v>
      </c>
      <c r="BH232" s="33"/>
      <c r="BI232" s="30">
        <v>11.3</v>
      </c>
      <c r="BJ232" s="34">
        <v>3.7431999999999999</v>
      </c>
      <c r="BK232" s="35">
        <v>0.15720999999999999</v>
      </c>
      <c r="BL232" s="33"/>
      <c r="BM232" s="37">
        <v>763</v>
      </c>
      <c r="BN232" s="38">
        <v>0.76329999999999998</v>
      </c>
      <c r="BO232" s="39">
        <v>53.89</v>
      </c>
      <c r="BP232" s="520"/>
      <c r="BQ232" s="40">
        <v>763</v>
      </c>
      <c r="BR232" s="43">
        <v>761.9</v>
      </c>
      <c r="BS232" s="41">
        <v>1.3125</v>
      </c>
    </row>
    <row r="233" spans="28:71">
      <c r="AB233" s="514"/>
      <c r="AC233" s="514"/>
      <c r="AD233" s="514"/>
      <c r="AE233" s="514"/>
      <c r="AF233" s="514"/>
      <c r="AG233" s="514"/>
      <c r="AH233" s="514"/>
      <c r="AI233" s="514"/>
      <c r="AJ233" s="514"/>
      <c r="AK233" s="514"/>
      <c r="AL233" s="514"/>
      <c r="AM233" s="514"/>
      <c r="AN233" s="514"/>
      <c r="AO233" s="514"/>
      <c r="AP233" s="514"/>
      <c r="AQ233" s="514"/>
      <c r="AR233" s="514"/>
      <c r="AS233" s="514"/>
      <c r="AT233" s="514"/>
      <c r="AU233" s="514"/>
      <c r="AV233" s="514"/>
      <c r="AW233" s="514"/>
      <c r="AX233" s="514"/>
      <c r="AY233" s="514"/>
      <c r="AZ233" s="514"/>
      <c r="BA233" s="514"/>
      <c r="BB233" s="514"/>
      <c r="BC233" s="520"/>
      <c r="BD233" s="2482"/>
      <c r="BE233" s="30">
        <v>11.4</v>
      </c>
      <c r="BF233" s="31">
        <v>0.99019999999999997</v>
      </c>
      <c r="BG233" s="32">
        <v>989.6</v>
      </c>
      <c r="BH233" s="33"/>
      <c r="BI233" s="30">
        <v>11.4</v>
      </c>
      <c r="BJ233" s="34">
        <v>3.7406000000000001</v>
      </c>
      <c r="BK233" s="35">
        <v>0.15709999999999999</v>
      </c>
      <c r="BL233" s="33"/>
      <c r="BM233" s="37">
        <v>764</v>
      </c>
      <c r="BN233" s="38">
        <v>0.76429999999999998</v>
      </c>
      <c r="BO233" s="39">
        <v>53.65</v>
      </c>
      <c r="BP233" s="520"/>
      <c r="BQ233" s="40">
        <v>764</v>
      </c>
      <c r="BR233" s="43">
        <v>762.9</v>
      </c>
      <c r="BS233" s="41">
        <v>1.3108</v>
      </c>
    </row>
    <row r="234" spans="28:71">
      <c r="AB234" s="514"/>
      <c r="AC234" s="514"/>
      <c r="AD234" s="514"/>
      <c r="AE234" s="514"/>
      <c r="AF234" s="514"/>
      <c r="AG234" s="514"/>
      <c r="AH234" s="514"/>
      <c r="AI234" s="514"/>
      <c r="AJ234" s="514"/>
      <c r="AK234" s="514"/>
      <c r="AL234" s="514"/>
      <c r="AM234" s="514"/>
      <c r="AN234" s="514"/>
      <c r="AO234" s="514"/>
      <c r="AP234" s="514"/>
      <c r="AQ234" s="514"/>
      <c r="AR234" s="514"/>
      <c r="AS234" s="514"/>
      <c r="AT234" s="514"/>
      <c r="AU234" s="514"/>
      <c r="AV234" s="514"/>
      <c r="AW234" s="514"/>
      <c r="AX234" s="514"/>
      <c r="AY234" s="514"/>
      <c r="AZ234" s="514"/>
      <c r="BA234" s="514"/>
      <c r="BB234" s="514"/>
      <c r="BC234" s="520"/>
      <c r="BD234" s="2482"/>
      <c r="BE234" s="30">
        <v>11.5</v>
      </c>
      <c r="BF234" s="31">
        <v>0.98950000000000005</v>
      </c>
      <c r="BG234" s="32">
        <v>988.9</v>
      </c>
      <c r="BH234" s="33"/>
      <c r="BI234" s="30">
        <v>11.5</v>
      </c>
      <c r="BJ234" s="34">
        <v>3.7378999999999998</v>
      </c>
      <c r="BK234" s="35">
        <v>0.15698999999999999</v>
      </c>
      <c r="BL234" s="33"/>
      <c r="BM234" s="37">
        <v>765</v>
      </c>
      <c r="BN234" s="38">
        <v>0.76529999999999998</v>
      </c>
      <c r="BO234" s="39">
        <v>53.4</v>
      </c>
      <c r="BP234" s="520"/>
      <c r="BQ234" s="40">
        <v>765</v>
      </c>
      <c r="BR234" s="43">
        <v>763.9</v>
      </c>
      <c r="BS234" s="41">
        <v>1.3090999999999999</v>
      </c>
    </row>
    <row r="235" spans="28:71">
      <c r="AB235" s="514"/>
      <c r="AC235" s="514"/>
      <c r="AD235" s="514"/>
      <c r="AE235" s="514"/>
      <c r="AF235" s="514"/>
      <c r="AG235" s="514"/>
      <c r="AH235" s="514"/>
      <c r="AI235" s="514"/>
      <c r="AJ235" s="514"/>
      <c r="AK235" s="514"/>
      <c r="AL235" s="514"/>
      <c r="AM235" s="514"/>
      <c r="AN235" s="514"/>
      <c r="AO235" s="514"/>
      <c r="AP235" s="514"/>
      <c r="AQ235" s="514"/>
      <c r="AR235" s="514"/>
      <c r="AS235" s="514"/>
      <c r="AT235" s="514"/>
      <c r="AU235" s="514"/>
      <c r="AV235" s="514"/>
      <c r="AW235" s="514"/>
      <c r="AX235" s="514"/>
      <c r="AY235" s="514"/>
      <c r="AZ235" s="514"/>
      <c r="BA235" s="514"/>
      <c r="BB235" s="514"/>
      <c r="BC235" s="520"/>
      <c r="BD235" s="2482"/>
      <c r="BE235" s="30">
        <v>11.6</v>
      </c>
      <c r="BF235" s="31">
        <v>0.98880000000000001</v>
      </c>
      <c r="BG235" s="32">
        <v>988.2</v>
      </c>
      <c r="BH235" s="33"/>
      <c r="BI235" s="30">
        <v>11.6</v>
      </c>
      <c r="BJ235" s="34">
        <v>3.7353000000000001</v>
      </c>
      <c r="BK235" s="35">
        <v>0.15687999999999999</v>
      </c>
      <c r="BL235" s="33"/>
      <c r="BM235" s="37">
        <v>766</v>
      </c>
      <c r="BN235" s="38">
        <v>0.76629999999999998</v>
      </c>
      <c r="BO235" s="39">
        <v>53.16</v>
      </c>
      <c r="BP235" s="520"/>
      <c r="BQ235" s="40">
        <v>766</v>
      </c>
      <c r="BR235" s="43">
        <v>764.9</v>
      </c>
      <c r="BS235" s="41">
        <v>1.3073999999999999</v>
      </c>
    </row>
    <row r="236" spans="28:71">
      <c r="AB236" s="514"/>
      <c r="AC236" s="514"/>
      <c r="AD236" s="514"/>
      <c r="AE236" s="514"/>
      <c r="AF236" s="514"/>
      <c r="AG236" s="514"/>
      <c r="AH236" s="514"/>
      <c r="AI236" s="514"/>
      <c r="AJ236" s="514"/>
      <c r="AK236" s="514"/>
      <c r="AL236" s="514"/>
      <c r="AM236" s="514"/>
      <c r="AN236" s="514"/>
      <c r="AO236" s="514"/>
      <c r="AP236" s="514"/>
      <c r="AQ236" s="514"/>
      <c r="AR236" s="514"/>
      <c r="AS236" s="514"/>
      <c r="AT236" s="514"/>
      <c r="AU236" s="514"/>
      <c r="AV236" s="514"/>
      <c r="AW236" s="514"/>
      <c r="AX236" s="514"/>
      <c r="AY236" s="514"/>
      <c r="AZ236" s="514"/>
      <c r="BA236" s="514"/>
      <c r="BB236" s="514"/>
      <c r="BC236" s="520"/>
      <c r="BD236" s="2482"/>
      <c r="BE236" s="30">
        <v>11.7</v>
      </c>
      <c r="BF236" s="31">
        <v>0.98809999999999998</v>
      </c>
      <c r="BG236" s="32">
        <v>987.5</v>
      </c>
      <c r="BH236" s="33"/>
      <c r="BI236" s="30">
        <v>11.7</v>
      </c>
      <c r="BJ236" s="34">
        <v>3.7326999999999999</v>
      </c>
      <c r="BK236" s="35">
        <v>0.15676999999999999</v>
      </c>
      <c r="BL236" s="33"/>
      <c r="BM236" s="37">
        <v>767</v>
      </c>
      <c r="BN236" s="38">
        <v>0.76729999999999998</v>
      </c>
      <c r="BO236" s="39">
        <v>52.92</v>
      </c>
      <c r="BP236" s="520"/>
      <c r="BQ236" s="40">
        <v>767</v>
      </c>
      <c r="BR236" s="43">
        <v>765.9</v>
      </c>
      <c r="BS236" s="41">
        <v>1.3057000000000001</v>
      </c>
    </row>
    <row r="237" spans="28:71">
      <c r="AB237" s="514"/>
      <c r="AC237" s="514"/>
      <c r="AD237" s="514"/>
      <c r="AE237" s="514"/>
      <c r="AF237" s="514"/>
      <c r="AG237" s="514"/>
      <c r="AH237" s="514"/>
      <c r="AI237" s="514"/>
      <c r="AJ237" s="514"/>
      <c r="AK237" s="514"/>
      <c r="AL237" s="514"/>
      <c r="AM237" s="514"/>
      <c r="AN237" s="514"/>
      <c r="AO237" s="514"/>
      <c r="AP237" s="514"/>
      <c r="AQ237" s="514"/>
      <c r="AR237" s="514"/>
      <c r="AS237" s="514"/>
      <c r="AT237" s="514"/>
      <c r="AU237" s="514"/>
      <c r="AV237" s="514"/>
      <c r="AW237" s="514"/>
      <c r="AX237" s="514"/>
      <c r="AY237" s="514"/>
      <c r="AZ237" s="514"/>
      <c r="BA237" s="514"/>
      <c r="BB237" s="514"/>
      <c r="BC237" s="520"/>
      <c r="BD237" s="2482"/>
      <c r="BE237" s="30">
        <v>11.8</v>
      </c>
      <c r="BF237" s="31">
        <v>0.98740000000000006</v>
      </c>
      <c r="BG237" s="32">
        <v>986.8</v>
      </c>
      <c r="BH237" s="33"/>
      <c r="BI237" s="30">
        <v>11.8</v>
      </c>
      <c r="BJ237" s="34">
        <v>3.7301000000000002</v>
      </c>
      <c r="BK237" s="35">
        <v>0.15665999999999999</v>
      </c>
      <c r="BL237" s="33"/>
      <c r="BM237" s="37">
        <v>768</v>
      </c>
      <c r="BN237" s="38">
        <v>0.76829999999999998</v>
      </c>
      <c r="BO237" s="39">
        <v>52.68</v>
      </c>
      <c r="BP237" s="520"/>
      <c r="BQ237" s="40">
        <v>768</v>
      </c>
      <c r="BR237" s="43">
        <v>766.9</v>
      </c>
      <c r="BS237" s="41">
        <v>1.304</v>
      </c>
    </row>
    <row r="238" spans="28:71">
      <c r="AB238" s="514"/>
      <c r="AC238" s="514"/>
      <c r="AD238" s="514"/>
      <c r="AE238" s="514"/>
      <c r="AF238" s="514"/>
      <c r="AG238" s="514"/>
      <c r="AH238" s="514"/>
      <c r="AI238" s="514"/>
      <c r="AJ238" s="514"/>
      <c r="AK238" s="514"/>
      <c r="AL238" s="514"/>
      <c r="AM238" s="514"/>
      <c r="AN238" s="514"/>
      <c r="AO238" s="514"/>
      <c r="AP238" s="514"/>
      <c r="AQ238" s="514"/>
      <c r="AR238" s="514"/>
      <c r="AS238" s="514"/>
      <c r="AT238" s="514"/>
      <c r="AU238" s="514"/>
      <c r="AV238" s="514"/>
      <c r="AW238" s="514"/>
      <c r="AX238" s="514"/>
      <c r="AY238" s="514"/>
      <c r="AZ238" s="514"/>
      <c r="BA238" s="514"/>
      <c r="BB238" s="514"/>
      <c r="BC238" s="520"/>
      <c r="BD238" s="2482"/>
      <c r="BE238" s="30">
        <v>11.9</v>
      </c>
      <c r="BF238" s="31">
        <v>0.98680000000000001</v>
      </c>
      <c r="BG238" s="32">
        <v>986.2</v>
      </c>
      <c r="BH238" s="33"/>
      <c r="BI238" s="30">
        <v>11.9</v>
      </c>
      <c r="BJ238" s="34">
        <v>3.7275</v>
      </c>
      <c r="BK238" s="35">
        <v>0.15654999999999999</v>
      </c>
      <c r="BL238" s="33"/>
      <c r="BM238" s="37">
        <v>769</v>
      </c>
      <c r="BN238" s="38">
        <v>0.76929999999999998</v>
      </c>
      <c r="BO238" s="39">
        <v>52.44</v>
      </c>
      <c r="BP238" s="520"/>
      <c r="BQ238" s="40">
        <v>769</v>
      </c>
      <c r="BR238" s="43">
        <v>767.9</v>
      </c>
      <c r="BS238" s="41">
        <v>1.3023</v>
      </c>
    </row>
    <row r="239" spans="28:71">
      <c r="AB239" s="514"/>
      <c r="AC239" s="514"/>
      <c r="AD239" s="514"/>
      <c r="AE239" s="514"/>
      <c r="AF239" s="514"/>
      <c r="AG239" s="514"/>
      <c r="AH239" s="514"/>
      <c r="AI239" s="514"/>
      <c r="AJ239" s="514"/>
      <c r="AK239" s="514"/>
      <c r="AL239" s="514"/>
      <c r="AM239" s="514"/>
      <c r="AN239" s="514"/>
      <c r="AO239" s="514"/>
      <c r="AP239" s="514"/>
      <c r="AQ239" s="514"/>
      <c r="AR239" s="514"/>
      <c r="AS239" s="514"/>
      <c r="AT239" s="514"/>
      <c r="AU239" s="514"/>
      <c r="AV239" s="514"/>
      <c r="AW239" s="514"/>
      <c r="AX239" s="514"/>
      <c r="AY239" s="514"/>
      <c r="AZ239" s="514"/>
      <c r="BA239" s="514"/>
      <c r="BB239" s="514"/>
      <c r="BC239" s="520"/>
      <c r="BD239" s="2482"/>
      <c r="BE239" s="30">
        <v>12</v>
      </c>
      <c r="BF239" s="31">
        <v>0.98609999999999998</v>
      </c>
      <c r="BG239" s="32">
        <v>985.5</v>
      </c>
      <c r="BH239" s="33"/>
      <c r="BI239" s="30">
        <v>12</v>
      </c>
      <c r="BJ239" s="34">
        <v>3.7248999999999999</v>
      </c>
      <c r="BK239" s="35">
        <v>0.15645000000000001</v>
      </c>
      <c r="BL239" s="33"/>
      <c r="BM239" s="37">
        <v>770</v>
      </c>
      <c r="BN239" s="38">
        <v>0.77029999999999998</v>
      </c>
      <c r="BO239" s="39">
        <v>52.2</v>
      </c>
      <c r="BP239" s="520"/>
      <c r="BQ239" s="40">
        <v>770</v>
      </c>
      <c r="BR239" s="43">
        <v>768.9</v>
      </c>
      <c r="BS239" s="41">
        <v>1.3006</v>
      </c>
    </row>
    <row r="240" spans="28:71">
      <c r="AB240" s="514"/>
      <c r="AC240" s="514"/>
      <c r="AD240" s="514"/>
      <c r="AE240" s="514"/>
      <c r="AF240" s="514"/>
      <c r="AG240" s="514"/>
      <c r="AH240" s="514"/>
      <c r="AI240" s="514"/>
      <c r="AJ240" s="514"/>
      <c r="AK240" s="514"/>
      <c r="AL240" s="514"/>
      <c r="AM240" s="514"/>
      <c r="AN240" s="514"/>
      <c r="AO240" s="514"/>
      <c r="AP240" s="514"/>
      <c r="AQ240" s="514"/>
      <c r="AR240" s="514"/>
      <c r="AS240" s="514"/>
      <c r="AT240" s="514"/>
      <c r="AU240" s="514"/>
      <c r="AV240" s="514"/>
      <c r="AW240" s="514"/>
      <c r="AX240" s="514"/>
      <c r="AY240" s="514"/>
      <c r="AZ240" s="514"/>
      <c r="BA240" s="514"/>
      <c r="BB240" s="514"/>
      <c r="BC240" s="520"/>
      <c r="BD240" s="2482"/>
      <c r="BE240" s="30">
        <v>12.1</v>
      </c>
      <c r="BF240" s="31">
        <v>0.98540000000000005</v>
      </c>
      <c r="BG240" s="32">
        <v>984.8</v>
      </c>
      <c r="BH240" s="33"/>
      <c r="BI240" s="30">
        <v>12.1</v>
      </c>
      <c r="BJ240" s="34">
        <v>3.7223000000000002</v>
      </c>
      <c r="BK240" s="35">
        <v>0.15634000000000001</v>
      </c>
      <c r="BL240" s="33"/>
      <c r="BM240" s="37">
        <v>771</v>
      </c>
      <c r="BN240" s="38">
        <v>0.77129999999999999</v>
      </c>
      <c r="BO240" s="39">
        <v>51.96</v>
      </c>
      <c r="BP240" s="520"/>
      <c r="BQ240" s="40">
        <v>771</v>
      </c>
      <c r="BR240" s="43">
        <v>769.9</v>
      </c>
      <c r="BS240" s="41">
        <v>1.2988999999999999</v>
      </c>
    </row>
    <row r="241" spans="28:71">
      <c r="AB241" s="514"/>
      <c r="AC241" s="514"/>
      <c r="AD241" s="514"/>
      <c r="AE241" s="514"/>
      <c r="AF241" s="514"/>
      <c r="AG241" s="514"/>
      <c r="AH241" s="514"/>
      <c r="AI241" s="514"/>
      <c r="AJ241" s="514"/>
      <c r="AK241" s="514"/>
      <c r="AL241" s="514"/>
      <c r="AM241" s="514"/>
      <c r="AN241" s="514"/>
      <c r="AO241" s="514"/>
      <c r="AP241" s="514"/>
      <c r="AQ241" s="514"/>
      <c r="AR241" s="514"/>
      <c r="AS241" s="514"/>
      <c r="AT241" s="514"/>
      <c r="AU241" s="514"/>
      <c r="AV241" s="514"/>
      <c r="AW241" s="514"/>
      <c r="AX241" s="514"/>
      <c r="AY241" s="514"/>
      <c r="AZ241" s="514"/>
      <c r="BA241" s="514"/>
      <c r="BB241" s="514"/>
      <c r="BC241" s="520"/>
      <c r="BD241" s="2482"/>
      <c r="BE241" s="30">
        <v>12.2</v>
      </c>
      <c r="BF241" s="31">
        <v>0.98470000000000002</v>
      </c>
      <c r="BG241" s="32">
        <v>984.1</v>
      </c>
      <c r="BH241" s="33"/>
      <c r="BI241" s="30">
        <v>12.2</v>
      </c>
      <c r="BJ241" s="34">
        <v>3.7197</v>
      </c>
      <c r="BK241" s="35">
        <v>0.15623000000000001</v>
      </c>
      <c r="BL241" s="33"/>
      <c r="BM241" s="37">
        <v>772</v>
      </c>
      <c r="BN241" s="38">
        <v>0.77229999999999999</v>
      </c>
      <c r="BO241" s="39">
        <v>51.72</v>
      </c>
      <c r="BP241" s="520"/>
      <c r="BQ241" s="40">
        <v>772</v>
      </c>
      <c r="BR241" s="43">
        <v>770.9</v>
      </c>
      <c r="BS241" s="41">
        <v>1.2971999999999999</v>
      </c>
    </row>
    <row r="242" spans="28:71">
      <c r="AB242" s="514"/>
      <c r="AC242" s="514"/>
      <c r="AD242" s="514"/>
      <c r="AE242" s="514"/>
      <c r="AF242" s="514"/>
      <c r="AG242" s="514"/>
      <c r="AH242" s="514"/>
      <c r="AI242" s="514"/>
      <c r="AJ242" s="514"/>
      <c r="AK242" s="514"/>
      <c r="AL242" s="514"/>
      <c r="AM242" s="514"/>
      <c r="AN242" s="514"/>
      <c r="AO242" s="514"/>
      <c r="AP242" s="514"/>
      <c r="AQ242" s="514"/>
      <c r="AR242" s="514"/>
      <c r="AS242" s="514"/>
      <c r="AT242" s="514"/>
      <c r="AU242" s="514"/>
      <c r="AV242" s="514"/>
      <c r="AW242" s="514"/>
      <c r="AX242" s="514"/>
      <c r="AY242" s="514"/>
      <c r="AZ242" s="514"/>
      <c r="BA242" s="514"/>
      <c r="BB242" s="514"/>
      <c r="BC242" s="520"/>
      <c r="BD242" s="2482"/>
      <c r="BE242" s="30">
        <v>12.3</v>
      </c>
      <c r="BF242" s="31">
        <v>0.98399999999999999</v>
      </c>
      <c r="BG242" s="32">
        <v>983.4</v>
      </c>
      <c r="BH242" s="33"/>
      <c r="BI242" s="30">
        <v>12.3</v>
      </c>
      <c r="BJ242" s="34">
        <v>3.7170999999999998</v>
      </c>
      <c r="BK242" s="35">
        <v>0.15612000000000001</v>
      </c>
      <c r="BL242" s="33"/>
      <c r="BM242" s="37">
        <v>773</v>
      </c>
      <c r="BN242" s="38">
        <v>0.77329999999999999</v>
      </c>
      <c r="BO242" s="39">
        <v>51.49</v>
      </c>
      <c r="BP242" s="520"/>
      <c r="BQ242" s="40">
        <v>773</v>
      </c>
      <c r="BR242" s="43">
        <v>771.9</v>
      </c>
      <c r="BS242" s="41">
        <v>1.2955000000000001</v>
      </c>
    </row>
    <row r="243" spans="28:71">
      <c r="AB243" s="514"/>
      <c r="AC243" s="514"/>
      <c r="AD243" s="514"/>
      <c r="AE243" s="514"/>
      <c r="AF243" s="514"/>
      <c r="AG243" s="514"/>
      <c r="AH243" s="514"/>
      <c r="AI243" s="514"/>
      <c r="AJ243" s="514"/>
      <c r="AK243" s="514"/>
      <c r="AL243" s="514"/>
      <c r="AM243" s="514"/>
      <c r="AN243" s="514"/>
      <c r="AO243" s="514"/>
      <c r="AP243" s="514"/>
      <c r="AQ243" s="514"/>
      <c r="AR243" s="514"/>
      <c r="AS243" s="514"/>
      <c r="AT243" s="514"/>
      <c r="AU243" s="514"/>
      <c r="AV243" s="514"/>
      <c r="AW243" s="514"/>
      <c r="AX243" s="514"/>
      <c r="AY243" s="514"/>
      <c r="AZ243" s="514"/>
      <c r="BA243" s="514"/>
      <c r="BB243" s="514"/>
      <c r="BC243" s="520"/>
      <c r="BD243" s="2482"/>
      <c r="BE243" s="30">
        <v>12.4</v>
      </c>
      <c r="BF243" s="31">
        <v>0.98329999999999995</v>
      </c>
      <c r="BG243" s="32">
        <v>982.7</v>
      </c>
      <c r="BH243" s="33"/>
      <c r="BI243" s="30">
        <v>12.4</v>
      </c>
      <c r="BJ243" s="34">
        <v>3.7145000000000001</v>
      </c>
      <c r="BK243" s="35">
        <v>0.15601000000000001</v>
      </c>
      <c r="BL243" s="33"/>
      <c r="BM243" s="37">
        <v>774</v>
      </c>
      <c r="BN243" s="38">
        <v>0.77429999999999999</v>
      </c>
      <c r="BO243" s="39">
        <v>51.25</v>
      </c>
      <c r="BP243" s="520"/>
      <c r="BQ243" s="40">
        <v>774</v>
      </c>
      <c r="BR243" s="43">
        <v>772.9</v>
      </c>
      <c r="BS243" s="41">
        <v>1.2938000000000001</v>
      </c>
    </row>
    <row r="244" spans="28:71">
      <c r="AB244" s="514"/>
      <c r="AC244" s="514"/>
      <c r="AD244" s="514"/>
      <c r="AE244" s="514"/>
      <c r="AF244" s="514"/>
      <c r="AG244" s="514"/>
      <c r="AH244" s="514"/>
      <c r="AI244" s="514"/>
      <c r="AJ244" s="514"/>
      <c r="AK244" s="514"/>
      <c r="AL244" s="514"/>
      <c r="AM244" s="514"/>
      <c r="AN244" s="514"/>
      <c r="AO244" s="514"/>
      <c r="AP244" s="514"/>
      <c r="AQ244" s="514"/>
      <c r="AR244" s="514"/>
      <c r="AS244" s="514"/>
      <c r="AT244" s="514"/>
      <c r="AU244" s="514"/>
      <c r="AV244" s="514"/>
      <c r="AW244" s="514"/>
      <c r="AX244" s="514"/>
      <c r="AY244" s="514"/>
      <c r="AZ244" s="514"/>
      <c r="BA244" s="514"/>
      <c r="BB244" s="514"/>
      <c r="BC244" s="520"/>
      <c r="BD244" s="2482"/>
      <c r="BE244" s="30">
        <v>12.5</v>
      </c>
      <c r="BF244" s="31">
        <v>0.98260000000000003</v>
      </c>
      <c r="BG244" s="32">
        <v>982</v>
      </c>
      <c r="BH244" s="33"/>
      <c r="BI244" s="30">
        <v>12.5</v>
      </c>
      <c r="BJ244" s="34">
        <v>3.7119</v>
      </c>
      <c r="BK244" s="35">
        <v>0.15590000000000001</v>
      </c>
      <c r="BL244" s="33"/>
      <c r="BM244" s="37">
        <v>775</v>
      </c>
      <c r="BN244" s="38">
        <v>0.77529999999999999</v>
      </c>
      <c r="BO244" s="39">
        <v>51.01</v>
      </c>
      <c r="BP244" s="520"/>
      <c r="BQ244" s="40">
        <v>775</v>
      </c>
      <c r="BR244" s="43">
        <v>773.9</v>
      </c>
      <c r="BS244" s="41">
        <v>1.2922</v>
      </c>
    </row>
    <row r="245" spans="28:71">
      <c r="AB245" s="514"/>
      <c r="AC245" s="514"/>
      <c r="AD245" s="514"/>
      <c r="AE245" s="514"/>
      <c r="AF245" s="514"/>
      <c r="AG245" s="514"/>
      <c r="AH245" s="514"/>
      <c r="AI245" s="514"/>
      <c r="AJ245" s="514"/>
      <c r="AK245" s="514"/>
      <c r="AL245" s="514"/>
      <c r="AM245" s="514"/>
      <c r="AN245" s="514"/>
      <c r="AO245" s="514"/>
      <c r="AP245" s="514"/>
      <c r="AQ245" s="514"/>
      <c r="AR245" s="514"/>
      <c r="AS245" s="514"/>
      <c r="AT245" s="514"/>
      <c r="AU245" s="514"/>
      <c r="AV245" s="514"/>
      <c r="AW245" s="514"/>
      <c r="AX245" s="514"/>
      <c r="AY245" s="514"/>
      <c r="AZ245" s="514"/>
      <c r="BA245" s="514"/>
      <c r="BB245" s="514"/>
      <c r="BC245" s="520"/>
      <c r="BD245" s="2482"/>
      <c r="BE245" s="30">
        <v>12.6</v>
      </c>
      <c r="BF245" s="31">
        <v>0.98199999999999998</v>
      </c>
      <c r="BG245" s="32">
        <v>981.4</v>
      </c>
      <c r="BH245" s="33"/>
      <c r="BI245" s="30">
        <v>12.6</v>
      </c>
      <c r="BJ245" s="34">
        <v>3.7094</v>
      </c>
      <c r="BK245" s="35">
        <v>0.15579000000000001</v>
      </c>
      <c r="BL245" s="33"/>
      <c r="BM245" s="37">
        <v>776</v>
      </c>
      <c r="BN245" s="38">
        <v>0.77629999999999999</v>
      </c>
      <c r="BO245" s="39">
        <v>50.78</v>
      </c>
      <c r="BP245" s="520"/>
      <c r="BQ245" s="40">
        <v>776</v>
      </c>
      <c r="BR245" s="43">
        <v>774.9</v>
      </c>
      <c r="BS245" s="41">
        <v>1.2905</v>
      </c>
    </row>
    <row r="246" spans="28:71">
      <c r="AB246" s="514"/>
      <c r="AC246" s="514"/>
      <c r="AD246" s="514"/>
      <c r="AE246" s="514"/>
      <c r="AF246" s="514"/>
      <c r="AG246" s="514"/>
      <c r="AH246" s="514"/>
      <c r="AI246" s="514"/>
      <c r="AJ246" s="514"/>
      <c r="AK246" s="514"/>
      <c r="AL246" s="514"/>
      <c r="AM246" s="514"/>
      <c r="AN246" s="514"/>
      <c r="AO246" s="514"/>
      <c r="AP246" s="514"/>
      <c r="AQ246" s="514"/>
      <c r="AR246" s="514"/>
      <c r="AS246" s="514"/>
      <c r="AT246" s="514"/>
      <c r="AU246" s="514"/>
      <c r="AV246" s="514"/>
      <c r="AW246" s="514"/>
      <c r="AX246" s="514"/>
      <c r="AY246" s="514"/>
      <c r="AZ246" s="514"/>
      <c r="BA246" s="514"/>
      <c r="BB246" s="514"/>
      <c r="BC246" s="520"/>
      <c r="BD246" s="2482"/>
      <c r="BE246" s="30">
        <v>12.7</v>
      </c>
      <c r="BF246" s="31">
        <v>0.98129999999999995</v>
      </c>
      <c r="BG246" s="32">
        <v>980.7</v>
      </c>
      <c r="BH246" s="33"/>
      <c r="BI246" s="30">
        <v>12.7</v>
      </c>
      <c r="BJ246" s="34">
        <v>3.7067999999999999</v>
      </c>
      <c r="BK246" s="35">
        <v>0.15569</v>
      </c>
      <c r="BL246" s="33"/>
      <c r="BM246" s="37">
        <v>777</v>
      </c>
      <c r="BN246" s="38">
        <v>0.77729999999999999</v>
      </c>
      <c r="BO246" s="39">
        <v>50.54</v>
      </c>
      <c r="BP246" s="520"/>
      <c r="BQ246" s="40">
        <v>777</v>
      </c>
      <c r="BR246" s="43">
        <v>775.9</v>
      </c>
      <c r="BS246" s="41">
        <v>1.2887999999999999</v>
      </c>
    </row>
    <row r="247" spans="28:71">
      <c r="AB247" s="514"/>
      <c r="AC247" s="514"/>
      <c r="AD247" s="514"/>
      <c r="AE247" s="514"/>
      <c r="AF247" s="514"/>
      <c r="AG247" s="514"/>
      <c r="AH247" s="514"/>
      <c r="AI247" s="514"/>
      <c r="AJ247" s="514"/>
      <c r="AK247" s="514"/>
      <c r="AL247" s="514"/>
      <c r="AM247" s="514"/>
      <c r="AN247" s="514"/>
      <c r="AO247" s="514"/>
      <c r="AP247" s="514"/>
      <c r="AQ247" s="514"/>
      <c r="AR247" s="514"/>
      <c r="AS247" s="514"/>
      <c r="AT247" s="514"/>
      <c r="AU247" s="514"/>
      <c r="AV247" s="514"/>
      <c r="AW247" s="514"/>
      <c r="AX247" s="514"/>
      <c r="AY247" s="514"/>
      <c r="AZ247" s="514"/>
      <c r="BA247" s="514"/>
      <c r="BB247" s="514"/>
      <c r="BC247" s="520"/>
      <c r="BD247" s="2482"/>
      <c r="BE247" s="30">
        <v>12.8</v>
      </c>
      <c r="BF247" s="31">
        <v>0.98060000000000003</v>
      </c>
      <c r="BG247" s="32">
        <v>980</v>
      </c>
      <c r="BH247" s="33"/>
      <c r="BI247" s="30">
        <v>12.8</v>
      </c>
      <c r="BJ247" s="34">
        <v>3.7042000000000002</v>
      </c>
      <c r="BK247" s="35">
        <v>0.15558</v>
      </c>
      <c r="BL247" s="33"/>
      <c r="BM247" s="37">
        <v>778</v>
      </c>
      <c r="BN247" s="38">
        <v>0.77829999999999999</v>
      </c>
      <c r="BO247" s="39">
        <v>50.3</v>
      </c>
      <c r="BP247" s="520"/>
      <c r="BQ247" s="40">
        <v>778</v>
      </c>
      <c r="BR247" s="43">
        <v>776.9</v>
      </c>
      <c r="BS247" s="41">
        <v>1.2871999999999999</v>
      </c>
    </row>
    <row r="248" spans="28:71">
      <c r="AB248" s="514"/>
      <c r="AC248" s="514"/>
      <c r="AD248" s="514"/>
      <c r="AE248" s="514"/>
      <c r="AF248" s="514"/>
      <c r="AG248" s="514"/>
      <c r="AH248" s="514"/>
      <c r="AI248" s="514"/>
      <c r="AJ248" s="514"/>
      <c r="AK248" s="514"/>
      <c r="AL248" s="514"/>
      <c r="AM248" s="514"/>
      <c r="AN248" s="514"/>
      <c r="AO248" s="514"/>
      <c r="AP248" s="514"/>
      <c r="AQ248" s="514"/>
      <c r="AR248" s="514"/>
      <c r="AS248" s="514"/>
      <c r="AT248" s="514"/>
      <c r="AU248" s="514"/>
      <c r="AV248" s="514"/>
      <c r="AW248" s="514"/>
      <c r="AX248" s="514"/>
      <c r="AY248" s="514"/>
      <c r="AZ248" s="514"/>
      <c r="BA248" s="514"/>
      <c r="BB248" s="514"/>
      <c r="BC248" s="520"/>
      <c r="BD248" s="2482"/>
      <c r="BE248" s="30">
        <v>12.9</v>
      </c>
      <c r="BF248" s="31">
        <v>0.97989999999999999</v>
      </c>
      <c r="BG248" s="32">
        <v>979.3</v>
      </c>
      <c r="BH248" s="33"/>
      <c r="BI248" s="30">
        <v>12.9</v>
      </c>
      <c r="BJ248" s="34">
        <v>3.7017000000000002</v>
      </c>
      <c r="BK248" s="35">
        <v>0.15547</v>
      </c>
      <c r="BL248" s="33"/>
      <c r="BM248" s="37">
        <v>779</v>
      </c>
      <c r="BN248" s="38">
        <v>0.77929999999999999</v>
      </c>
      <c r="BO248" s="39">
        <v>50.07</v>
      </c>
      <c r="BP248" s="520"/>
      <c r="BQ248" s="40">
        <v>779</v>
      </c>
      <c r="BR248" s="43">
        <v>777.9</v>
      </c>
      <c r="BS248" s="41">
        <v>1.2855000000000001</v>
      </c>
    </row>
    <row r="249" spans="28:71">
      <c r="AB249" s="514"/>
      <c r="AC249" s="514"/>
      <c r="AD249" s="514"/>
      <c r="AE249" s="514"/>
      <c r="AF249" s="514"/>
      <c r="AG249" s="514"/>
      <c r="AH249" s="514"/>
      <c r="AI249" s="514"/>
      <c r="AJ249" s="514"/>
      <c r="AK249" s="514"/>
      <c r="AL249" s="514"/>
      <c r="AM249" s="514"/>
      <c r="AN249" s="514"/>
      <c r="AO249" s="514"/>
      <c r="AP249" s="514"/>
      <c r="AQ249" s="514"/>
      <c r="AR249" s="514"/>
      <c r="AS249" s="514"/>
      <c r="AT249" s="514"/>
      <c r="AU249" s="514"/>
      <c r="AV249" s="514"/>
      <c r="AW249" s="514"/>
      <c r="AX249" s="514"/>
      <c r="AY249" s="514"/>
      <c r="AZ249" s="514"/>
      <c r="BA249" s="514"/>
      <c r="BB249" s="514"/>
      <c r="BC249" s="520"/>
      <c r="BD249" s="2482"/>
      <c r="BE249" s="30">
        <v>13</v>
      </c>
      <c r="BF249" s="31">
        <v>0.97919999999999996</v>
      </c>
      <c r="BG249" s="32">
        <v>978.6</v>
      </c>
      <c r="BH249" s="33"/>
      <c r="BI249" s="30">
        <v>13</v>
      </c>
      <c r="BJ249" s="34">
        <v>3.6991000000000001</v>
      </c>
      <c r="BK249" s="35">
        <v>0.15536</v>
      </c>
      <c r="BL249" s="33"/>
      <c r="BM249" s="37">
        <v>780</v>
      </c>
      <c r="BN249" s="38">
        <v>0.78029999999999999</v>
      </c>
      <c r="BO249" s="39">
        <v>49.84</v>
      </c>
      <c r="BP249" s="520"/>
      <c r="BQ249" s="40">
        <v>780</v>
      </c>
      <c r="BR249" s="43">
        <v>778.9</v>
      </c>
      <c r="BS249" s="41">
        <v>1.2839</v>
      </c>
    </row>
    <row r="250" spans="28:71">
      <c r="AB250" s="514"/>
      <c r="AC250" s="514"/>
      <c r="AD250" s="514"/>
      <c r="AE250" s="514"/>
      <c r="AF250" s="514"/>
      <c r="AG250" s="514"/>
      <c r="AH250" s="514"/>
      <c r="AI250" s="514"/>
      <c r="AJ250" s="514"/>
      <c r="AK250" s="514"/>
      <c r="AL250" s="514"/>
      <c r="AM250" s="514"/>
      <c r="AN250" s="514"/>
      <c r="AO250" s="514"/>
      <c r="AP250" s="514"/>
      <c r="AQ250" s="514"/>
      <c r="AR250" s="514"/>
      <c r="AS250" s="514"/>
      <c r="AT250" s="514"/>
      <c r="AU250" s="514"/>
      <c r="AV250" s="514"/>
      <c r="AW250" s="514"/>
      <c r="AX250" s="514"/>
      <c r="AY250" s="514"/>
      <c r="AZ250" s="514"/>
      <c r="BA250" s="514"/>
      <c r="BB250" s="514"/>
      <c r="BC250" s="520"/>
      <c r="BD250" s="2482"/>
      <c r="BE250" s="30">
        <v>13.1</v>
      </c>
      <c r="BF250" s="31">
        <v>0.97860000000000003</v>
      </c>
      <c r="BG250" s="32">
        <v>978</v>
      </c>
      <c r="BH250" s="33"/>
      <c r="BI250" s="30">
        <v>13.1</v>
      </c>
      <c r="BJ250" s="34">
        <v>3.6964999999999999</v>
      </c>
      <c r="BK250" s="35">
        <v>0.15525</v>
      </c>
      <c r="BL250" s="33"/>
      <c r="BM250" s="37">
        <v>781</v>
      </c>
      <c r="BN250" s="38">
        <v>0.78129999999999999</v>
      </c>
      <c r="BO250" s="39">
        <v>49.6</v>
      </c>
      <c r="BP250" s="520"/>
      <c r="BQ250" s="40">
        <v>781</v>
      </c>
      <c r="BR250" s="43">
        <v>779.9</v>
      </c>
      <c r="BS250" s="41">
        <v>1.2822</v>
      </c>
    </row>
    <row r="251" spans="28:71">
      <c r="AB251" s="514"/>
      <c r="AC251" s="514"/>
      <c r="AD251" s="514"/>
      <c r="AE251" s="514"/>
      <c r="AF251" s="514"/>
      <c r="AG251" s="514"/>
      <c r="AH251" s="514"/>
      <c r="AI251" s="514"/>
      <c r="AJ251" s="514"/>
      <c r="AK251" s="514"/>
      <c r="AL251" s="514"/>
      <c r="AM251" s="514"/>
      <c r="AN251" s="514"/>
      <c r="AO251" s="514"/>
      <c r="AP251" s="514"/>
      <c r="AQ251" s="514"/>
      <c r="AR251" s="514"/>
      <c r="AS251" s="514"/>
      <c r="AT251" s="514"/>
      <c r="AU251" s="514"/>
      <c r="AV251" s="514"/>
      <c r="AW251" s="514"/>
      <c r="AX251" s="514"/>
      <c r="AY251" s="514"/>
      <c r="AZ251" s="514"/>
      <c r="BA251" s="514"/>
      <c r="BB251" s="514"/>
      <c r="BC251" s="520"/>
      <c r="BD251" s="2482"/>
      <c r="BE251" s="30">
        <v>13.2</v>
      </c>
      <c r="BF251" s="31">
        <v>0.97789999999999999</v>
      </c>
      <c r="BG251" s="32">
        <v>977.3</v>
      </c>
      <c r="BH251" s="33"/>
      <c r="BI251" s="30">
        <v>13.2</v>
      </c>
      <c r="BJ251" s="34">
        <v>3.694</v>
      </c>
      <c r="BK251" s="35">
        <v>0.15515000000000001</v>
      </c>
      <c r="BL251" s="33"/>
      <c r="BM251" s="37">
        <v>782</v>
      </c>
      <c r="BN251" s="38">
        <v>0.7823</v>
      </c>
      <c r="BO251" s="39">
        <v>49.37</v>
      </c>
      <c r="BP251" s="520"/>
      <c r="BQ251" s="40">
        <v>782</v>
      </c>
      <c r="BR251" s="43">
        <v>780.9</v>
      </c>
      <c r="BS251" s="41">
        <v>1.2806</v>
      </c>
    </row>
    <row r="252" spans="28:71">
      <c r="AB252" s="514"/>
      <c r="AC252" s="514"/>
      <c r="AD252" s="514"/>
      <c r="AE252" s="514"/>
      <c r="AF252" s="514"/>
      <c r="AG252" s="514"/>
      <c r="AH252" s="514"/>
      <c r="AI252" s="514"/>
      <c r="AJ252" s="514"/>
      <c r="AK252" s="514"/>
      <c r="AL252" s="514"/>
      <c r="AM252" s="514"/>
      <c r="AN252" s="514"/>
      <c r="AO252" s="514"/>
      <c r="AP252" s="514"/>
      <c r="AQ252" s="514"/>
      <c r="AR252" s="514"/>
      <c r="AS252" s="514"/>
      <c r="AT252" s="514"/>
      <c r="AU252" s="514"/>
      <c r="AV252" s="514"/>
      <c r="AW252" s="514"/>
      <c r="AX252" s="514"/>
      <c r="AY252" s="514"/>
      <c r="AZ252" s="514"/>
      <c r="BA252" s="514"/>
      <c r="BB252" s="514"/>
      <c r="BC252" s="520"/>
      <c r="BD252" s="2482"/>
      <c r="BE252" s="30">
        <v>13.3</v>
      </c>
      <c r="BF252" s="31">
        <v>0.97719999999999996</v>
      </c>
      <c r="BG252" s="32">
        <v>976.6</v>
      </c>
      <c r="BH252" s="33"/>
      <c r="BI252" s="30">
        <v>13.3</v>
      </c>
      <c r="BJ252" s="34">
        <v>3.6913999999999998</v>
      </c>
      <c r="BK252" s="35">
        <v>0.15504000000000001</v>
      </c>
      <c r="BL252" s="33"/>
      <c r="BM252" s="37">
        <v>783</v>
      </c>
      <c r="BN252" s="38">
        <v>0.7833</v>
      </c>
      <c r="BO252" s="39">
        <v>49.14</v>
      </c>
      <c r="BP252" s="520"/>
      <c r="BQ252" s="40">
        <v>783</v>
      </c>
      <c r="BR252" s="43">
        <v>781.9</v>
      </c>
      <c r="BS252" s="41">
        <v>1.2788999999999999</v>
      </c>
    </row>
    <row r="253" spans="28:71">
      <c r="AB253" s="514"/>
      <c r="AC253" s="514"/>
      <c r="AD253" s="514"/>
      <c r="AE253" s="514"/>
      <c r="AF253" s="514"/>
      <c r="AG253" s="514"/>
      <c r="AH253" s="514"/>
      <c r="AI253" s="514"/>
      <c r="AJ253" s="514"/>
      <c r="AK253" s="514"/>
      <c r="AL253" s="514"/>
      <c r="AM253" s="514"/>
      <c r="AN253" s="514"/>
      <c r="AO253" s="514"/>
      <c r="AP253" s="514"/>
      <c r="AQ253" s="514"/>
      <c r="AR253" s="514"/>
      <c r="AS253" s="514"/>
      <c r="AT253" s="514"/>
      <c r="AU253" s="514"/>
      <c r="AV253" s="514"/>
      <c r="AW253" s="514"/>
      <c r="AX253" s="514"/>
      <c r="AY253" s="514"/>
      <c r="AZ253" s="514"/>
      <c r="BA253" s="514"/>
      <c r="BB253" s="514"/>
      <c r="BC253" s="520"/>
      <c r="BD253" s="2482"/>
      <c r="BE253" s="30">
        <v>13.4</v>
      </c>
      <c r="BF253" s="31">
        <v>0.97650000000000003</v>
      </c>
      <c r="BG253" s="32">
        <v>975.9</v>
      </c>
      <c r="BH253" s="33"/>
      <c r="BI253" s="30">
        <v>13.4</v>
      </c>
      <c r="BJ253" s="34">
        <v>3.6888999999999998</v>
      </c>
      <c r="BK253" s="35">
        <v>0.15493000000000001</v>
      </c>
      <c r="BL253" s="33"/>
      <c r="BM253" s="37">
        <v>784</v>
      </c>
      <c r="BN253" s="38">
        <v>0.7843</v>
      </c>
      <c r="BO253" s="39">
        <v>48.91</v>
      </c>
      <c r="BP253" s="520"/>
      <c r="BQ253" s="40">
        <v>784</v>
      </c>
      <c r="BR253" s="43">
        <v>782.9</v>
      </c>
      <c r="BS253" s="41">
        <v>1.2773000000000001</v>
      </c>
    </row>
    <row r="254" spans="28:71">
      <c r="AB254" s="514"/>
      <c r="AC254" s="514"/>
      <c r="AD254" s="514"/>
      <c r="AE254" s="514"/>
      <c r="AF254" s="514"/>
      <c r="AG254" s="514"/>
      <c r="AH254" s="514"/>
      <c r="AI254" s="514"/>
      <c r="AJ254" s="514"/>
      <c r="AK254" s="514"/>
      <c r="AL254" s="514"/>
      <c r="AM254" s="514"/>
      <c r="AN254" s="514"/>
      <c r="AO254" s="514"/>
      <c r="AP254" s="514"/>
      <c r="AQ254" s="514"/>
      <c r="AR254" s="514"/>
      <c r="AS254" s="514"/>
      <c r="AT254" s="514"/>
      <c r="AU254" s="514"/>
      <c r="AV254" s="514"/>
      <c r="AW254" s="514"/>
      <c r="AX254" s="514"/>
      <c r="AY254" s="514"/>
      <c r="AZ254" s="514"/>
      <c r="BA254" s="514"/>
      <c r="BB254" s="514"/>
      <c r="BC254" s="520"/>
      <c r="BD254" s="2482"/>
      <c r="BE254" s="30">
        <v>13.5</v>
      </c>
      <c r="BF254" s="31">
        <v>0.97589999999999999</v>
      </c>
      <c r="BG254" s="32">
        <v>975.3</v>
      </c>
      <c r="BH254" s="33"/>
      <c r="BI254" s="30">
        <v>13.5</v>
      </c>
      <c r="BJ254" s="34">
        <v>3.6863000000000001</v>
      </c>
      <c r="BK254" s="35">
        <v>0.15483</v>
      </c>
      <c r="BL254" s="33"/>
      <c r="BM254" s="37">
        <v>785</v>
      </c>
      <c r="BN254" s="38">
        <v>0.7853</v>
      </c>
      <c r="BO254" s="39">
        <v>48.68</v>
      </c>
      <c r="BP254" s="520"/>
      <c r="BQ254" s="40">
        <v>785</v>
      </c>
      <c r="BR254" s="43">
        <v>783.9</v>
      </c>
      <c r="BS254" s="41">
        <v>1.2757000000000001</v>
      </c>
    </row>
    <row r="255" spans="28:71">
      <c r="AB255" s="514"/>
      <c r="AC255" s="514"/>
      <c r="AD255" s="514"/>
      <c r="AE255" s="514"/>
      <c r="AF255" s="514"/>
      <c r="AG255" s="514"/>
      <c r="AH255" s="514"/>
      <c r="AI255" s="514"/>
      <c r="AJ255" s="514"/>
      <c r="AK255" s="514"/>
      <c r="AL255" s="514"/>
      <c r="AM255" s="514"/>
      <c r="AN255" s="514"/>
      <c r="AO255" s="514"/>
      <c r="AP255" s="514"/>
      <c r="AQ255" s="514"/>
      <c r="AR255" s="514"/>
      <c r="AS255" s="514"/>
      <c r="AT255" s="514"/>
      <c r="AU255" s="514"/>
      <c r="AV255" s="514"/>
      <c r="AW255" s="514"/>
      <c r="AX255" s="514"/>
      <c r="AY255" s="514"/>
      <c r="AZ255" s="514"/>
      <c r="BA255" s="514"/>
      <c r="BB255" s="514"/>
      <c r="BC255" s="520"/>
      <c r="BD255" s="2482"/>
      <c r="BE255" s="30">
        <v>13.6</v>
      </c>
      <c r="BF255" s="31">
        <v>0.97519999999999996</v>
      </c>
      <c r="BG255" s="32">
        <v>974.6</v>
      </c>
      <c r="BH255" s="33"/>
      <c r="BI255" s="30">
        <v>13.6</v>
      </c>
      <c r="BJ255" s="34">
        <v>3.6838000000000002</v>
      </c>
      <c r="BK255" s="35">
        <v>0.15472</v>
      </c>
      <c r="BL255" s="33"/>
      <c r="BM255" s="37">
        <v>786</v>
      </c>
      <c r="BN255" s="38">
        <v>0.78639999999999999</v>
      </c>
      <c r="BO255" s="39">
        <v>48.45</v>
      </c>
      <c r="BP255" s="520"/>
      <c r="BQ255" s="40">
        <v>786</v>
      </c>
      <c r="BR255" s="43">
        <v>784.9</v>
      </c>
      <c r="BS255" s="41">
        <v>1.2741</v>
      </c>
    </row>
    <row r="256" spans="28:71">
      <c r="AB256" s="514"/>
      <c r="AC256" s="514"/>
      <c r="AD256" s="514"/>
      <c r="AE256" s="514"/>
      <c r="AF256" s="514"/>
      <c r="AG256" s="514"/>
      <c r="AH256" s="514"/>
      <c r="AI256" s="514"/>
      <c r="AJ256" s="514"/>
      <c r="AK256" s="514"/>
      <c r="AL256" s="514"/>
      <c r="AM256" s="514"/>
      <c r="AN256" s="514"/>
      <c r="AO256" s="514"/>
      <c r="AP256" s="514"/>
      <c r="AQ256" s="514"/>
      <c r="AR256" s="514"/>
      <c r="AS256" s="514"/>
      <c r="AT256" s="514"/>
      <c r="AU256" s="514"/>
      <c r="AV256" s="514"/>
      <c r="AW256" s="514"/>
      <c r="AX256" s="514"/>
      <c r="AY256" s="514"/>
      <c r="AZ256" s="514"/>
      <c r="BA256" s="514"/>
      <c r="BB256" s="514"/>
      <c r="BC256" s="520"/>
      <c r="BD256" s="2482"/>
      <c r="BE256" s="30">
        <v>13.7</v>
      </c>
      <c r="BF256" s="31">
        <v>0.97450000000000003</v>
      </c>
      <c r="BG256" s="32">
        <v>973.9</v>
      </c>
      <c r="BH256" s="33"/>
      <c r="BI256" s="30">
        <v>13.7</v>
      </c>
      <c r="BJ256" s="34">
        <v>3.6812</v>
      </c>
      <c r="BK256" s="35">
        <v>0.15461</v>
      </c>
      <c r="BL256" s="33"/>
      <c r="BM256" s="37">
        <v>787</v>
      </c>
      <c r="BN256" s="38">
        <v>0.78739999999999999</v>
      </c>
      <c r="BO256" s="39">
        <v>48.22</v>
      </c>
      <c r="BP256" s="520"/>
      <c r="BQ256" s="40">
        <v>787</v>
      </c>
      <c r="BR256" s="43">
        <v>785.9</v>
      </c>
      <c r="BS256" s="41">
        <v>1.2724</v>
      </c>
    </row>
    <row r="257" spans="28:71">
      <c r="AB257" s="514"/>
      <c r="AC257" s="514"/>
      <c r="AD257" s="514"/>
      <c r="AE257" s="514"/>
      <c r="AF257" s="514"/>
      <c r="AG257" s="514"/>
      <c r="AH257" s="514"/>
      <c r="AI257" s="514"/>
      <c r="AJ257" s="514"/>
      <c r="AK257" s="514"/>
      <c r="AL257" s="514"/>
      <c r="AM257" s="514"/>
      <c r="AN257" s="514"/>
      <c r="AO257" s="514"/>
      <c r="AP257" s="514"/>
      <c r="AQ257" s="514"/>
      <c r="AR257" s="514"/>
      <c r="AS257" s="514"/>
      <c r="AT257" s="514"/>
      <c r="AU257" s="514"/>
      <c r="AV257" s="514"/>
      <c r="AW257" s="514"/>
      <c r="AX257" s="514"/>
      <c r="AY257" s="514"/>
      <c r="AZ257" s="514"/>
      <c r="BA257" s="514"/>
      <c r="BB257" s="514"/>
      <c r="BC257" s="520"/>
      <c r="BD257" s="2482"/>
      <c r="BE257" s="30">
        <v>13.8</v>
      </c>
      <c r="BF257" s="31">
        <v>0.9738</v>
      </c>
      <c r="BG257" s="32">
        <v>973.3</v>
      </c>
      <c r="BH257" s="33"/>
      <c r="BI257" s="30">
        <v>13.8</v>
      </c>
      <c r="BJ257" s="34">
        <v>3.6787000000000001</v>
      </c>
      <c r="BK257" s="35">
        <v>0.15451000000000001</v>
      </c>
      <c r="BL257" s="33"/>
      <c r="BM257" s="37">
        <v>788</v>
      </c>
      <c r="BN257" s="38">
        <v>0.78839999999999999</v>
      </c>
      <c r="BO257" s="39">
        <v>47.99</v>
      </c>
      <c r="BP257" s="520"/>
      <c r="BQ257" s="40">
        <v>788</v>
      </c>
      <c r="BR257" s="43">
        <v>786.9</v>
      </c>
      <c r="BS257" s="41">
        <v>1.2707999999999999</v>
      </c>
    </row>
    <row r="258" spans="28:71">
      <c r="AB258" s="514"/>
      <c r="AC258" s="514"/>
      <c r="AD258" s="514"/>
      <c r="AE258" s="514"/>
      <c r="AF258" s="514"/>
      <c r="AG258" s="514"/>
      <c r="AH258" s="514"/>
      <c r="AI258" s="514"/>
      <c r="AJ258" s="514"/>
      <c r="AK258" s="514"/>
      <c r="AL258" s="514"/>
      <c r="AM258" s="514"/>
      <c r="AN258" s="514"/>
      <c r="AO258" s="514"/>
      <c r="AP258" s="514"/>
      <c r="AQ258" s="514"/>
      <c r="AR258" s="514"/>
      <c r="AS258" s="514"/>
      <c r="AT258" s="514"/>
      <c r="AU258" s="514"/>
      <c r="AV258" s="514"/>
      <c r="AW258" s="514"/>
      <c r="AX258" s="514"/>
      <c r="AY258" s="514"/>
      <c r="AZ258" s="514"/>
      <c r="BA258" s="514"/>
      <c r="BB258" s="514"/>
      <c r="BC258" s="520"/>
      <c r="BD258" s="2482"/>
      <c r="BE258" s="30">
        <v>13.9</v>
      </c>
      <c r="BF258" s="31">
        <v>0.97319999999999995</v>
      </c>
      <c r="BG258" s="32">
        <v>972.6</v>
      </c>
      <c r="BH258" s="33"/>
      <c r="BI258" s="30">
        <v>13.9</v>
      </c>
      <c r="BJ258" s="34">
        <v>3.6762000000000001</v>
      </c>
      <c r="BK258" s="35">
        <v>0.15440000000000001</v>
      </c>
      <c r="BL258" s="33"/>
      <c r="BM258" s="37">
        <v>789</v>
      </c>
      <c r="BN258" s="38">
        <v>0.78939999999999999</v>
      </c>
      <c r="BO258" s="39">
        <v>47.76</v>
      </c>
      <c r="BP258" s="520"/>
      <c r="BQ258" s="40">
        <v>789</v>
      </c>
      <c r="BR258" s="43">
        <v>787.9</v>
      </c>
      <c r="BS258" s="41">
        <v>1.2692000000000001</v>
      </c>
    </row>
    <row r="259" spans="28:71">
      <c r="AB259" s="514"/>
      <c r="AC259" s="514"/>
      <c r="AD259" s="514"/>
      <c r="AE259" s="514"/>
      <c r="AF259" s="514"/>
      <c r="AG259" s="514"/>
      <c r="AH259" s="514"/>
      <c r="AI259" s="514"/>
      <c r="AJ259" s="514"/>
      <c r="AK259" s="514"/>
      <c r="AL259" s="514"/>
      <c r="AM259" s="514"/>
      <c r="AN259" s="514"/>
      <c r="AO259" s="514"/>
      <c r="AP259" s="514"/>
      <c r="AQ259" s="514"/>
      <c r="AR259" s="514"/>
      <c r="AS259" s="514"/>
      <c r="AT259" s="514"/>
      <c r="AU259" s="514"/>
      <c r="AV259" s="514"/>
      <c r="AW259" s="514"/>
      <c r="AX259" s="514"/>
      <c r="AY259" s="514"/>
      <c r="AZ259" s="514"/>
      <c r="BA259" s="514"/>
      <c r="BB259" s="514"/>
      <c r="BC259" s="520"/>
      <c r="BD259" s="2482"/>
      <c r="BE259" s="30">
        <v>14</v>
      </c>
      <c r="BF259" s="31">
        <v>0.97250000000000003</v>
      </c>
      <c r="BG259" s="32">
        <v>971.9</v>
      </c>
      <c r="BH259" s="33"/>
      <c r="BI259" s="30">
        <v>14</v>
      </c>
      <c r="BJ259" s="34">
        <v>3.6736</v>
      </c>
      <c r="BK259" s="35">
        <v>0.15429000000000001</v>
      </c>
      <c r="BL259" s="33"/>
      <c r="BM259" s="37">
        <v>790</v>
      </c>
      <c r="BN259" s="38">
        <v>0.79039999999999999</v>
      </c>
      <c r="BO259" s="39">
        <v>47.53</v>
      </c>
      <c r="BP259" s="520"/>
      <c r="BQ259" s="40">
        <v>790</v>
      </c>
      <c r="BR259" s="43">
        <v>788.9</v>
      </c>
      <c r="BS259" s="41">
        <v>1.2676000000000001</v>
      </c>
    </row>
    <row r="260" spans="28:71">
      <c r="AB260" s="514"/>
      <c r="AC260" s="514"/>
      <c r="AD260" s="514"/>
      <c r="AE260" s="514"/>
      <c r="AF260" s="514"/>
      <c r="AG260" s="514"/>
      <c r="AH260" s="514"/>
      <c r="AI260" s="514"/>
      <c r="AJ260" s="514"/>
      <c r="AK260" s="514"/>
      <c r="AL260" s="514"/>
      <c r="AM260" s="514"/>
      <c r="AN260" s="514"/>
      <c r="AO260" s="514"/>
      <c r="AP260" s="514"/>
      <c r="AQ260" s="514"/>
      <c r="AR260" s="514"/>
      <c r="AS260" s="514"/>
      <c r="AT260" s="514"/>
      <c r="AU260" s="514"/>
      <c r="AV260" s="514"/>
      <c r="AW260" s="514"/>
      <c r="AX260" s="514"/>
      <c r="AY260" s="514"/>
      <c r="AZ260" s="514"/>
      <c r="BA260" s="514"/>
      <c r="BB260" s="514"/>
      <c r="BC260" s="520"/>
      <c r="BD260" s="2482"/>
      <c r="BE260" s="30">
        <v>14.1</v>
      </c>
      <c r="BF260" s="31">
        <v>0.9718</v>
      </c>
      <c r="BG260" s="32">
        <v>971.3</v>
      </c>
      <c r="BH260" s="33"/>
      <c r="BI260" s="30">
        <v>14.1</v>
      </c>
      <c r="BJ260" s="34">
        <v>3.6711</v>
      </c>
      <c r="BK260" s="35">
        <v>0.15418999999999999</v>
      </c>
      <c r="BL260" s="33"/>
      <c r="BM260" s="37">
        <v>791</v>
      </c>
      <c r="BN260" s="38">
        <v>0.79139999999999999</v>
      </c>
      <c r="BO260" s="39">
        <v>47.31</v>
      </c>
      <c r="BP260" s="520"/>
      <c r="BQ260" s="40">
        <v>791</v>
      </c>
      <c r="BR260" s="43">
        <v>789.9</v>
      </c>
      <c r="BS260" s="41">
        <v>1.266</v>
      </c>
    </row>
    <row r="261" spans="28:71">
      <c r="AB261" s="514"/>
      <c r="AC261" s="514"/>
      <c r="AD261" s="514"/>
      <c r="AE261" s="514"/>
      <c r="AF261" s="514"/>
      <c r="AG261" s="514"/>
      <c r="AH261" s="514"/>
      <c r="AI261" s="514"/>
      <c r="AJ261" s="514"/>
      <c r="AK261" s="514"/>
      <c r="AL261" s="514"/>
      <c r="AM261" s="514"/>
      <c r="AN261" s="514"/>
      <c r="AO261" s="514"/>
      <c r="AP261" s="514"/>
      <c r="AQ261" s="514"/>
      <c r="AR261" s="514"/>
      <c r="AS261" s="514"/>
      <c r="AT261" s="514"/>
      <c r="AU261" s="514"/>
      <c r="AV261" s="514"/>
      <c r="AW261" s="514"/>
      <c r="AX261" s="514"/>
      <c r="AY261" s="514"/>
      <c r="AZ261" s="514"/>
      <c r="BA261" s="514"/>
      <c r="BB261" s="514"/>
      <c r="BC261" s="520"/>
      <c r="BD261" s="2482"/>
      <c r="BE261" s="30">
        <v>14.2</v>
      </c>
      <c r="BF261" s="31">
        <v>0.97119999999999995</v>
      </c>
      <c r="BG261" s="32">
        <v>970.6</v>
      </c>
      <c r="BH261" s="33"/>
      <c r="BI261" s="30">
        <v>14.2</v>
      </c>
      <c r="BJ261" s="34">
        <v>3.6686000000000001</v>
      </c>
      <c r="BK261" s="35">
        <v>0.15407999999999999</v>
      </c>
      <c r="BL261" s="33"/>
      <c r="BM261" s="37">
        <v>792</v>
      </c>
      <c r="BN261" s="38">
        <v>0.79239999999999999</v>
      </c>
      <c r="BO261" s="39">
        <v>47.08</v>
      </c>
      <c r="BP261" s="520"/>
      <c r="BQ261" s="40">
        <v>792</v>
      </c>
      <c r="BR261" s="43">
        <v>790.9</v>
      </c>
      <c r="BS261" s="41">
        <v>1.2644</v>
      </c>
    </row>
    <row r="262" spans="28:71">
      <c r="AB262" s="514"/>
      <c r="AC262" s="514"/>
      <c r="AD262" s="514"/>
      <c r="AE262" s="514"/>
      <c r="AF262" s="514"/>
      <c r="AG262" s="514"/>
      <c r="AH262" s="514"/>
      <c r="AI262" s="514"/>
      <c r="AJ262" s="514"/>
      <c r="AK262" s="514"/>
      <c r="AL262" s="514"/>
      <c r="AM262" s="514"/>
      <c r="AN262" s="514"/>
      <c r="AO262" s="514"/>
      <c r="AP262" s="514"/>
      <c r="AQ262" s="514"/>
      <c r="AR262" s="514"/>
      <c r="AS262" s="514"/>
      <c r="AT262" s="514"/>
      <c r="AU262" s="514"/>
      <c r="AV262" s="514"/>
      <c r="AW262" s="514"/>
      <c r="AX262" s="514"/>
      <c r="AY262" s="514"/>
      <c r="AZ262" s="514"/>
      <c r="BA262" s="514"/>
      <c r="BB262" s="514"/>
      <c r="BC262" s="520"/>
      <c r="BD262" s="2482"/>
      <c r="BE262" s="30">
        <v>14.3</v>
      </c>
      <c r="BF262" s="31">
        <v>0.97050000000000003</v>
      </c>
      <c r="BG262" s="32">
        <v>969.9</v>
      </c>
      <c r="BH262" s="33"/>
      <c r="BI262" s="30">
        <v>14.3</v>
      </c>
      <c r="BJ262" s="34">
        <v>3.6661000000000001</v>
      </c>
      <c r="BK262" s="35">
        <v>0.15397</v>
      </c>
      <c r="BL262" s="33"/>
      <c r="BM262" s="37">
        <v>793</v>
      </c>
      <c r="BN262" s="38">
        <v>0.79339999999999999</v>
      </c>
      <c r="BO262" s="39">
        <v>46.85</v>
      </c>
      <c r="BP262" s="520"/>
      <c r="BQ262" s="40">
        <v>793</v>
      </c>
      <c r="BR262" s="43">
        <v>791.9</v>
      </c>
      <c r="BS262" s="41">
        <v>1.2627999999999999</v>
      </c>
    </row>
    <row r="263" spans="28:71">
      <c r="AB263" s="514"/>
      <c r="AC263" s="514"/>
      <c r="AD263" s="514"/>
      <c r="AE263" s="514"/>
      <c r="AF263" s="514"/>
      <c r="AG263" s="514"/>
      <c r="AH263" s="514"/>
      <c r="AI263" s="514"/>
      <c r="AJ263" s="514"/>
      <c r="AK263" s="514"/>
      <c r="AL263" s="514"/>
      <c r="AM263" s="514"/>
      <c r="AN263" s="514"/>
      <c r="AO263" s="514"/>
      <c r="AP263" s="514"/>
      <c r="AQ263" s="514"/>
      <c r="AR263" s="514"/>
      <c r="AS263" s="514"/>
      <c r="AT263" s="514"/>
      <c r="AU263" s="514"/>
      <c r="AV263" s="514"/>
      <c r="AW263" s="514"/>
      <c r="AX263" s="514"/>
      <c r="AY263" s="514"/>
      <c r="AZ263" s="514"/>
      <c r="BA263" s="514"/>
      <c r="BB263" s="514"/>
      <c r="BC263" s="520"/>
      <c r="BD263" s="2482"/>
      <c r="BE263" s="30">
        <v>14.4</v>
      </c>
      <c r="BF263" s="31">
        <v>0.9698</v>
      </c>
      <c r="BG263" s="32">
        <v>969.3</v>
      </c>
      <c r="BH263" s="33"/>
      <c r="BI263" s="30">
        <v>14.4</v>
      </c>
      <c r="BJ263" s="34">
        <v>3.6635</v>
      </c>
      <c r="BK263" s="35">
        <v>0.15387000000000001</v>
      </c>
      <c r="BL263" s="33"/>
      <c r="BM263" s="37">
        <v>794</v>
      </c>
      <c r="BN263" s="38">
        <v>0.7944</v>
      </c>
      <c r="BO263" s="39">
        <v>46.63</v>
      </c>
      <c r="BP263" s="520"/>
      <c r="BQ263" s="40">
        <v>794</v>
      </c>
      <c r="BR263" s="43">
        <v>792.9</v>
      </c>
      <c r="BS263" s="41">
        <v>1.2612000000000001</v>
      </c>
    </row>
    <row r="264" spans="28:71">
      <c r="AB264" s="514"/>
      <c r="AC264" s="514"/>
      <c r="AD264" s="514"/>
      <c r="AE264" s="514"/>
      <c r="AF264" s="514"/>
      <c r="AG264" s="514"/>
      <c r="AH264" s="514"/>
      <c r="AI264" s="514"/>
      <c r="AJ264" s="514"/>
      <c r="AK264" s="514"/>
      <c r="AL264" s="514"/>
      <c r="AM264" s="514"/>
      <c r="AN264" s="514"/>
      <c r="AO264" s="514"/>
      <c r="AP264" s="514"/>
      <c r="AQ264" s="514"/>
      <c r="AR264" s="514"/>
      <c r="AS264" s="514"/>
      <c r="AT264" s="514"/>
      <c r="AU264" s="514"/>
      <c r="AV264" s="514"/>
      <c r="AW264" s="514"/>
      <c r="AX264" s="514"/>
      <c r="AY264" s="514"/>
      <c r="AZ264" s="514"/>
      <c r="BA264" s="514"/>
      <c r="BB264" s="514"/>
      <c r="BC264" s="520"/>
      <c r="BD264" s="2482"/>
      <c r="BE264" s="30">
        <v>14.5</v>
      </c>
      <c r="BF264" s="31">
        <v>0.96919999999999995</v>
      </c>
      <c r="BG264" s="32">
        <v>968.6</v>
      </c>
      <c r="BH264" s="33"/>
      <c r="BI264" s="30">
        <v>14.5</v>
      </c>
      <c r="BJ264" s="34">
        <v>3.661</v>
      </c>
      <c r="BK264" s="35">
        <v>0.15376000000000001</v>
      </c>
      <c r="BL264" s="33"/>
      <c r="BM264" s="37">
        <v>795</v>
      </c>
      <c r="BN264" s="38">
        <v>0.7954</v>
      </c>
      <c r="BO264" s="39">
        <v>46.4</v>
      </c>
      <c r="BP264" s="520"/>
      <c r="BQ264" s="40">
        <v>795</v>
      </c>
      <c r="BR264" s="43">
        <v>793.9</v>
      </c>
      <c r="BS264" s="41">
        <v>1.2596000000000001</v>
      </c>
    </row>
    <row r="265" spans="28:71">
      <c r="AB265" s="514"/>
      <c r="AC265" s="514"/>
      <c r="AD265" s="514"/>
      <c r="AE265" s="514"/>
      <c r="AF265" s="514"/>
      <c r="AG265" s="514"/>
      <c r="AH265" s="514"/>
      <c r="AI265" s="514"/>
      <c r="AJ265" s="514"/>
      <c r="AK265" s="514"/>
      <c r="AL265" s="514"/>
      <c r="AM265" s="514"/>
      <c r="AN265" s="514"/>
      <c r="AO265" s="514"/>
      <c r="AP265" s="514"/>
      <c r="AQ265" s="514"/>
      <c r="AR265" s="514"/>
      <c r="AS265" s="514"/>
      <c r="AT265" s="514"/>
      <c r="AU265" s="514"/>
      <c r="AV265" s="514"/>
      <c r="AW265" s="514"/>
      <c r="AX265" s="514"/>
      <c r="AY265" s="514"/>
      <c r="AZ265" s="514"/>
      <c r="BA265" s="514"/>
      <c r="BB265" s="514"/>
      <c r="BC265" s="520"/>
      <c r="BD265" s="2482"/>
      <c r="BE265" s="30">
        <v>14.6</v>
      </c>
      <c r="BF265" s="31">
        <v>0.96850000000000003</v>
      </c>
      <c r="BG265" s="32">
        <v>967.9</v>
      </c>
      <c r="BH265" s="33"/>
      <c r="BI265" s="30">
        <v>14.6</v>
      </c>
      <c r="BJ265" s="34">
        <v>3.6585000000000001</v>
      </c>
      <c r="BK265" s="35">
        <v>0.15365999999999999</v>
      </c>
      <c r="BL265" s="33"/>
      <c r="BM265" s="37">
        <v>796</v>
      </c>
      <c r="BN265" s="38">
        <v>0.7964</v>
      </c>
      <c r="BO265" s="39">
        <v>46.18</v>
      </c>
      <c r="BP265" s="520"/>
      <c r="BQ265" s="40">
        <v>796</v>
      </c>
      <c r="BR265" s="43">
        <v>794.9</v>
      </c>
      <c r="BS265" s="41">
        <v>1.258</v>
      </c>
    </row>
    <row r="266" spans="28:71">
      <c r="AB266" s="514"/>
      <c r="AC266" s="514"/>
      <c r="AD266" s="514"/>
      <c r="AE266" s="514"/>
      <c r="AF266" s="514"/>
      <c r="AG266" s="514"/>
      <c r="AH266" s="514"/>
      <c r="AI266" s="514"/>
      <c r="AJ266" s="514"/>
      <c r="AK266" s="514"/>
      <c r="AL266" s="514"/>
      <c r="AM266" s="514"/>
      <c r="AN266" s="514"/>
      <c r="AO266" s="514"/>
      <c r="AP266" s="514"/>
      <c r="AQ266" s="514"/>
      <c r="AR266" s="514"/>
      <c r="AS266" s="514"/>
      <c r="AT266" s="514"/>
      <c r="AU266" s="514"/>
      <c r="AV266" s="514"/>
      <c r="AW266" s="514"/>
      <c r="AX266" s="514"/>
      <c r="AY266" s="514"/>
      <c r="AZ266" s="514"/>
      <c r="BA266" s="514"/>
      <c r="BB266" s="514"/>
      <c r="BC266" s="520"/>
      <c r="BD266" s="2482"/>
      <c r="BE266" s="30">
        <v>14.7</v>
      </c>
      <c r="BF266" s="31">
        <v>0.96789999999999998</v>
      </c>
      <c r="BG266" s="32">
        <v>967.3</v>
      </c>
      <c r="BH266" s="33"/>
      <c r="BI266" s="30">
        <v>14.7</v>
      </c>
      <c r="BJ266" s="34">
        <v>3.6560000000000001</v>
      </c>
      <c r="BK266" s="35">
        <v>0.15354999999999999</v>
      </c>
      <c r="BL266" s="33"/>
      <c r="BM266" s="37">
        <v>797</v>
      </c>
      <c r="BN266" s="38">
        <v>0.7974</v>
      </c>
      <c r="BO266" s="39">
        <v>45.96</v>
      </c>
      <c r="BP266" s="520"/>
      <c r="BQ266" s="40">
        <v>797</v>
      </c>
      <c r="BR266" s="43">
        <v>795.9</v>
      </c>
      <c r="BS266" s="41">
        <v>1.2564</v>
      </c>
    </row>
    <row r="267" spans="28:71">
      <c r="AB267" s="514"/>
      <c r="AC267" s="514"/>
      <c r="AD267" s="514"/>
      <c r="AE267" s="514"/>
      <c r="AF267" s="514"/>
      <c r="AG267" s="514"/>
      <c r="AH267" s="514"/>
      <c r="AI267" s="514"/>
      <c r="AJ267" s="514"/>
      <c r="AK267" s="514"/>
      <c r="AL267" s="514"/>
      <c r="AM267" s="514"/>
      <c r="AN267" s="514"/>
      <c r="AO267" s="514"/>
      <c r="AP267" s="514"/>
      <c r="AQ267" s="514"/>
      <c r="AR267" s="514"/>
      <c r="AS267" s="514"/>
      <c r="AT267" s="514"/>
      <c r="AU267" s="514"/>
      <c r="AV267" s="514"/>
      <c r="AW267" s="514"/>
      <c r="AX267" s="514"/>
      <c r="AY267" s="514"/>
      <c r="AZ267" s="514"/>
      <c r="BA267" s="514"/>
      <c r="BB267" s="514"/>
      <c r="BC267" s="520"/>
      <c r="BD267" s="2482"/>
      <c r="BE267" s="30">
        <v>14.8</v>
      </c>
      <c r="BF267" s="31">
        <v>0.96719999999999995</v>
      </c>
      <c r="BG267" s="32">
        <v>966.6</v>
      </c>
      <c r="BH267" s="33"/>
      <c r="BI267" s="30">
        <v>14.8</v>
      </c>
      <c r="BJ267" s="34">
        <v>3.6535000000000002</v>
      </c>
      <c r="BK267" s="35">
        <v>0.15345</v>
      </c>
      <c r="BL267" s="33"/>
      <c r="BM267" s="37">
        <v>798</v>
      </c>
      <c r="BN267" s="38">
        <v>0.7984</v>
      </c>
      <c r="BO267" s="39">
        <v>45.74</v>
      </c>
      <c r="BP267" s="520"/>
      <c r="BQ267" s="40">
        <v>798</v>
      </c>
      <c r="BR267" s="43">
        <v>796.9</v>
      </c>
      <c r="BS267" s="41">
        <v>1.2548999999999999</v>
      </c>
    </row>
    <row r="268" spans="28:71">
      <c r="AB268" s="514"/>
      <c r="AC268" s="514"/>
      <c r="AD268" s="514"/>
      <c r="AE268" s="514"/>
      <c r="AF268" s="514"/>
      <c r="AG268" s="514"/>
      <c r="AH268" s="514"/>
      <c r="AI268" s="514"/>
      <c r="AJ268" s="514"/>
      <c r="AK268" s="514"/>
      <c r="AL268" s="514"/>
      <c r="AM268" s="514"/>
      <c r="AN268" s="514"/>
      <c r="AO268" s="514"/>
      <c r="AP268" s="514"/>
      <c r="AQ268" s="514"/>
      <c r="AR268" s="514"/>
      <c r="AS268" s="514"/>
      <c r="AT268" s="514"/>
      <c r="AU268" s="514"/>
      <c r="AV268" s="514"/>
      <c r="AW268" s="514"/>
      <c r="AX268" s="514"/>
      <c r="AY268" s="514"/>
      <c r="AZ268" s="514"/>
      <c r="BA268" s="514"/>
      <c r="BB268" s="514"/>
      <c r="BC268" s="520"/>
      <c r="BD268" s="2482"/>
      <c r="BE268" s="30">
        <v>14.9</v>
      </c>
      <c r="BF268" s="31">
        <v>0.96650000000000003</v>
      </c>
      <c r="BG268" s="32">
        <v>966</v>
      </c>
      <c r="BH268" s="33"/>
      <c r="BI268" s="30">
        <v>14.9</v>
      </c>
      <c r="BJ268" s="34">
        <v>3.6509999999999998</v>
      </c>
      <c r="BK268" s="35">
        <v>0.15334</v>
      </c>
      <c r="BL268" s="33"/>
      <c r="BM268" s="37">
        <v>799</v>
      </c>
      <c r="BN268" s="38">
        <v>0.7994</v>
      </c>
      <c r="BO268" s="39">
        <v>45.51</v>
      </c>
      <c r="BP268" s="520"/>
      <c r="BQ268" s="40">
        <v>799</v>
      </c>
      <c r="BR268" s="43">
        <v>797.9</v>
      </c>
      <c r="BS268" s="41">
        <v>1.2533000000000001</v>
      </c>
    </row>
    <row r="269" spans="28:71">
      <c r="AB269" s="514"/>
      <c r="AC269" s="514"/>
      <c r="AD269" s="514"/>
      <c r="AE269" s="514"/>
      <c r="AF269" s="514"/>
      <c r="AG269" s="514"/>
      <c r="AH269" s="514"/>
      <c r="AI269" s="514"/>
      <c r="AJ269" s="514"/>
      <c r="AK269" s="514"/>
      <c r="AL269" s="514"/>
      <c r="AM269" s="514"/>
      <c r="AN269" s="514"/>
      <c r="AO269" s="514"/>
      <c r="AP269" s="514"/>
      <c r="AQ269" s="514"/>
      <c r="AR269" s="514"/>
      <c r="AS269" s="514"/>
      <c r="AT269" s="514"/>
      <c r="AU269" s="514"/>
      <c r="AV269" s="514"/>
      <c r="AW269" s="514"/>
      <c r="AX269" s="514"/>
      <c r="AY269" s="514"/>
      <c r="AZ269" s="514"/>
      <c r="BA269" s="514"/>
      <c r="BB269" s="514"/>
      <c r="BC269" s="520"/>
      <c r="BD269" s="2482"/>
      <c r="BE269" s="30">
        <v>15</v>
      </c>
      <c r="BF269" s="31">
        <v>0.96589999999999998</v>
      </c>
      <c r="BG269" s="32">
        <v>965.3</v>
      </c>
      <c r="BH269" s="33"/>
      <c r="BI269" s="30">
        <v>15</v>
      </c>
      <c r="BJ269" s="34">
        <v>3.6484999999999999</v>
      </c>
      <c r="BK269" s="35">
        <v>0.15323999999999999</v>
      </c>
      <c r="BL269" s="33"/>
      <c r="BM269" s="37">
        <v>800</v>
      </c>
      <c r="BN269" s="38">
        <v>0.8004</v>
      </c>
      <c r="BO269" s="39">
        <v>45.29</v>
      </c>
      <c r="BP269" s="520"/>
      <c r="BQ269" s="40">
        <v>800</v>
      </c>
      <c r="BR269" s="43">
        <v>798.9</v>
      </c>
      <c r="BS269" s="41">
        <v>1.2517</v>
      </c>
    </row>
    <row r="270" spans="28:71">
      <c r="AB270" s="514"/>
      <c r="AC270" s="514"/>
      <c r="AD270" s="514"/>
      <c r="AE270" s="514"/>
      <c r="AF270" s="514"/>
      <c r="AG270" s="514"/>
      <c r="AH270" s="514"/>
      <c r="AI270" s="514"/>
      <c r="AJ270" s="514"/>
      <c r="AK270" s="514"/>
      <c r="AL270" s="514"/>
      <c r="AM270" s="514"/>
      <c r="AN270" s="514"/>
      <c r="AO270" s="514"/>
      <c r="AP270" s="514"/>
      <c r="AQ270" s="514"/>
      <c r="AR270" s="514"/>
      <c r="AS270" s="514"/>
      <c r="AT270" s="514"/>
      <c r="AU270" s="514"/>
      <c r="AV270" s="514"/>
      <c r="AW270" s="514"/>
      <c r="AX270" s="514"/>
      <c r="AY270" s="514"/>
      <c r="AZ270" s="514"/>
      <c r="BA270" s="514"/>
      <c r="BB270" s="514"/>
      <c r="BC270" s="520"/>
      <c r="BD270" s="2482"/>
      <c r="BE270" s="30">
        <v>15.1</v>
      </c>
      <c r="BF270" s="31">
        <v>0.96519999999999995</v>
      </c>
      <c r="BG270" s="32">
        <v>964.6</v>
      </c>
      <c r="BH270" s="33"/>
      <c r="BI270" s="30">
        <v>15.1</v>
      </c>
      <c r="BJ270" s="34">
        <v>3.6459999999999999</v>
      </c>
      <c r="BK270" s="35">
        <v>0.15312999999999999</v>
      </c>
      <c r="BL270" s="33"/>
      <c r="BM270" s="37">
        <v>801</v>
      </c>
      <c r="BN270" s="38">
        <v>0.8014</v>
      </c>
      <c r="BO270" s="39">
        <v>45.07</v>
      </c>
      <c r="BP270" s="520"/>
      <c r="BQ270" s="40">
        <v>801</v>
      </c>
      <c r="BR270" s="43">
        <v>799.9</v>
      </c>
      <c r="BS270" s="41">
        <v>1.2502</v>
      </c>
    </row>
    <row r="271" spans="28:71">
      <c r="AB271" s="514"/>
      <c r="AC271" s="514"/>
      <c r="AD271" s="514"/>
      <c r="AE271" s="514"/>
      <c r="AF271" s="514"/>
      <c r="AG271" s="514"/>
      <c r="AH271" s="514"/>
      <c r="AI271" s="514"/>
      <c r="AJ271" s="514"/>
      <c r="AK271" s="514"/>
      <c r="AL271" s="514"/>
      <c r="AM271" s="514"/>
      <c r="AN271" s="514"/>
      <c r="AO271" s="514"/>
      <c r="AP271" s="514"/>
      <c r="AQ271" s="514"/>
      <c r="AR271" s="514"/>
      <c r="AS271" s="514"/>
      <c r="AT271" s="514"/>
      <c r="AU271" s="514"/>
      <c r="AV271" s="514"/>
      <c r="AW271" s="514"/>
      <c r="AX271" s="514"/>
      <c r="AY271" s="514"/>
      <c r="AZ271" s="514"/>
      <c r="BA271" s="514"/>
      <c r="BB271" s="514"/>
      <c r="BC271" s="520"/>
      <c r="BD271" s="2482"/>
      <c r="BE271" s="30">
        <v>15.2</v>
      </c>
      <c r="BF271" s="31">
        <v>0.96460000000000001</v>
      </c>
      <c r="BG271" s="32">
        <v>964</v>
      </c>
      <c r="BH271" s="33"/>
      <c r="BI271" s="30">
        <v>15.2</v>
      </c>
      <c r="BJ271" s="34">
        <v>3.6435</v>
      </c>
      <c r="BK271" s="35">
        <v>0.15303</v>
      </c>
      <c r="BL271" s="33"/>
      <c r="BM271" s="37">
        <v>802</v>
      </c>
      <c r="BN271" s="38">
        <v>0.8024</v>
      </c>
      <c r="BO271" s="39">
        <v>44.85</v>
      </c>
      <c r="BP271" s="520"/>
      <c r="BQ271" s="40">
        <v>802</v>
      </c>
      <c r="BR271" s="43">
        <v>800.9</v>
      </c>
      <c r="BS271" s="41">
        <v>1.2485999999999999</v>
      </c>
    </row>
    <row r="272" spans="28:71">
      <c r="AB272" s="514"/>
      <c r="AC272" s="514"/>
      <c r="AD272" s="514"/>
      <c r="AE272" s="514"/>
      <c r="AF272" s="514"/>
      <c r="AG272" s="514"/>
      <c r="AH272" s="514"/>
      <c r="AI272" s="514"/>
      <c r="AJ272" s="514"/>
      <c r="AK272" s="514"/>
      <c r="AL272" s="514"/>
      <c r="AM272" s="514"/>
      <c r="AN272" s="514"/>
      <c r="AO272" s="514"/>
      <c r="AP272" s="514"/>
      <c r="AQ272" s="514"/>
      <c r="AR272" s="514"/>
      <c r="AS272" s="514"/>
      <c r="AT272" s="514"/>
      <c r="AU272" s="514"/>
      <c r="AV272" s="514"/>
      <c r="AW272" s="514"/>
      <c r="AX272" s="514"/>
      <c r="AY272" s="514"/>
      <c r="AZ272" s="514"/>
      <c r="BA272" s="514"/>
      <c r="BB272" s="514"/>
      <c r="BC272" s="520"/>
      <c r="BD272" s="2482"/>
      <c r="BE272" s="30">
        <v>15.3</v>
      </c>
      <c r="BF272" s="31">
        <v>0.96389999999999998</v>
      </c>
      <c r="BG272" s="32">
        <v>963.3</v>
      </c>
      <c r="BH272" s="33"/>
      <c r="BI272" s="30">
        <v>15.3</v>
      </c>
      <c r="BJ272" s="34">
        <v>3.6410999999999998</v>
      </c>
      <c r="BK272" s="35">
        <v>0.15292</v>
      </c>
      <c r="BL272" s="33"/>
      <c r="BM272" s="37">
        <v>803</v>
      </c>
      <c r="BN272" s="38">
        <v>0.8034</v>
      </c>
      <c r="BO272" s="39">
        <v>44.63</v>
      </c>
      <c r="BP272" s="520"/>
      <c r="BQ272" s="40">
        <v>803</v>
      </c>
      <c r="BR272" s="43">
        <v>801.9</v>
      </c>
      <c r="BS272" s="41">
        <v>1.2470000000000001</v>
      </c>
    </row>
    <row r="273" spans="28:71">
      <c r="AB273" s="514"/>
      <c r="AC273" s="514"/>
      <c r="AD273" s="514"/>
      <c r="AE273" s="514"/>
      <c r="AF273" s="514"/>
      <c r="AG273" s="514"/>
      <c r="AH273" s="514"/>
      <c r="AI273" s="514"/>
      <c r="AJ273" s="514"/>
      <c r="AK273" s="514"/>
      <c r="AL273" s="514"/>
      <c r="AM273" s="514"/>
      <c r="AN273" s="514"/>
      <c r="AO273" s="514"/>
      <c r="AP273" s="514"/>
      <c r="AQ273" s="514"/>
      <c r="AR273" s="514"/>
      <c r="AS273" s="514"/>
      <c r="AT273" s="514"/>
      <c r="AU273" s="514"/>
      <c r="AV273" s="514"/>
      <c r="AW273" s="514"/>
      <c r="AX273" s="514"/>
      <c r="AY273" s="514"/>
      <c r="AZ273" s="514"/>
      <c r="BA273" s="514"/>
      <c r="BB273" s="514"/>
      <c r="BC273" s="520"/>
      <c r="BD273" s="2482"/>
      <c r="BE273" s="30">
        <v>15.4</v>
      </c>
      <c r="BF273" s="31">
        <v>0.96319999999999995</v>
      </c>
      <c r="BG273" s="32">
        <v>962.7</v>
      </c>
      <c r="BH273" s="33"/>
      <c r="BI273" s="30">
        <v>15.4</v>
      </c>
      <c r="BJ273" s="34">
        <v>3.6385999999999998</v>
      </c>
      <c r="BK273" s="35">
        <v>0.15282000000000001</v>
      </c>
      <c r="BL273" s="33"/>
      <c r="BM273" s="37">
        <v>804</v>
      </c>
      <c r="BN273" s="38">
        <v>0.8044</v>
      </c>
      <c r="BO273" s="39">
        <v>44.41</v>
      </c>
      <c r="BP273" s="520"/>
      <c r="BQ273" s="40">
        <v>804</v>
      </c>
      <c r="BR273" s="43">
        <v>802.9</v>
      </c>
      <c r="BS273" s="41">
        <v>1.2455000000000001</v>
      </c>
    </row>
    <row r="274" spans="28:71">
      <c r="AB274" s="514"/>
      <c r="AC274" s="514"/>
      <c r="AD274" s="514"/>
      <c r="AE274" s="514"/>
      <c r="AF274" s="514"/>
      <c r="AG274" s="514"/>
      <c r="AH274" s="514"/>
      <c r="AI274" s="514"/>
      <c r="AJ274" s="514"/>
      <c r="AK274" s="514"/>
      <c r="AL274" s="514"/>
      <c r="AM274" s="514"/>
      <c r="AN274" s="514"/>
      <c r="AO274" s="514"/>
      <c r="AP274" s="514"/>
      <c r="AQ274" s="514"/>
      <c r="AR274" s="514"/>
      <c r="AS274" s="514"/>
      <c r="AT274" s="514"/>
      <c r="AU274" s="514"/>
      <c r="AV274" s="514"/>
      <c r="AW274" s="514"/>
      <c r="AX274" s="514"/>
      <c r="AY274" s="514"/>
      <c r="AZ274" s="514"/>
      <c r="BA274" s="514"/>
      <c r="BB274" s="514"/>
      <c r="BC274" s="520"/>
      <c r="BD274" s="2482"/>
      <c r="BE274" s="30">
        <v>15.5</v>
      </c>
      <c r="BF274" s="31">
        <v>0.96260000000000001</v>
      </c>
      <c r="BG274" s="32">
        <v>962</v>
      </c>
      <c r="BH274" s="33"/>
      <c r="BI274" s="30">
        <v>15.5</v>
      </c>
      <c r="BJ274" s="34">
        <v>3.6360999999999999</v>
      </c>
      <c r="BK274" s="35">
        <v>0.15271999999999999</v>
      </c>
      <c r="BL274" s="33"/>
      <c r="BM274" s="37">
        <v>805</v>
      </c>
      <c r="BN274" s="38">
        <v>0.8054</v>
      </c>
      <c r="BO274" s="39">
        <v>44.19</v>
      </c>
      <c r="BP274" s="520"/>
      <c r="BQ274" s="40">
        <v>805</v>
      </c>
      <c r="BR274" s="43">
        <v>803.9</v>
      </c>
      <c r="BS274" s="41">
        <v>1.2439</v>
      </c>
    </row>
    <row r="275" spans="28:71">
      <c r="AB275" s="514"/>
      <c r="AC275" s="514"/>
      <c r="AD275" s="514"/>
      <c r="AE275" s="514"/>
      <c r="AF275" s="514"/>
      <c r="AG275" s="514"/>
      <c r="AH275" s="514"/>
      <c r="AI275" s="514"/>
      <c r="AJ275" s="514"/>
      <c r="AK275" s="514"/>
      <c r="AL275" s="514"/>
      <c r="AM275" s="514"/>
      <c r="AN275" s="514"/>
      <c r="AO275" s="514"/>
      <c r="AP275" s="514"/>
      <c r="AQ275" s="514"/>
      <c r="AR275" s="514"/>
      <c r="AS275" s="514"/>
      <c r="AT275" s="514"/>
      <c r="AU275" s="514"/>
      <c r="AV275" s="514"/>
      <c r="AW275" s="514"/>
      <c r="AX275" s="514"/>
      <c r="AY275" s="514"/>
      <c r="AZ275" s="514"/>
      <c r="BA275" s="514"/>
      <c r="BB275" s="514"/>
      <c r="BC275" s="520"/>
      <c r="BD275" s="2482"/>
      <c r="BE275" s="30">
        <v>15.6</v>
      </c>
      <c r="BF275" s="31">
        <v>0.96189999999999998</v>
      </c>
      <c r="BG275" s="32">
        <v>961.4</v>
      </c>
      <c r="BH275" s="33"/>
      <c r="BI275" s="30">
        <v>15.6</v>
      </c>
      <c r="BJ275" s="34">
        <v>3.6335999999999999</v>
      </c>
      <c r="BK275" s="35">
        <v>0.15261</v>
      </c>
      <c r="BL275" s="33"/>
      <c r="BM275" s="37">
        <v>806</v>
      </c>
      <c r="BN275" s="38">
        <v>0.80640000000000001</v>
      </c>
      <c r="BO275" s="39">
        <v>43.97</v>
      </c>
      <c r="BP275" s="520"/>
      <c r="BQ275" s="40">
        <v>806</v>
      </c>
      <c r="BR275" s="43">
        <v>804.9</v>
      </c>
      <c r="BS275" s="41">
        <v>1.2423999999999999</v>
      </c>
    </row>
    <row r="276" spans="28:71">
      <c r="AB276" s="514"/>
      <c r="AC276" s="514"/>
      <c r="AD276" s="514"/>
      <c r="AE276" s="514"/>
      <c r="AF276" s="514"/>
      <c r="AG276" s="514"/>
      <c r="AH276" s="514"/>
      <c r="AI276" s="514"/>
      <c r="AJ276" s="514"/>
      <c r="AK276" s="514"/>
      <c r="AL276" s="514"/>
      <c r="AM276" s="514"/>
      <c r="AN276" s="514"/>
      <c r="AO276" s="514"/>
      <c r="AP276" s="514"/>
      <c r="AQ276" s="514"/>
      <c r="AR276" s="514"/>
      <c r="AS276" s="514"/>
      <c r="AT276" s="514"/>
      <c r="AU276" s="514"/>
      <c r="AV276" s="514"/>
      <c r="AW276" s="514"/>
      <c r="AX276" s="514"/>
      <c r="AY276" s="514"/>
      <c r="AZ276" s="514"/>
      <c r="BA276" s="514"/>
      <c r="BB276" s="514"/>
      <c r="BC276" s="520"/>
      <c r="BD276" s="2482"/>
      <c r="BE276" s="30">
        <v>15.7</v>
      </c>
      <c r="BF276" s="31">
        <v>0.96130000000000004</v>
      </c>
      <c r="BG276" s="32">
        <v>960.7</v>
      </c>
      <c r="BH276" s="33"/>
      <c r="BI276" s="30">
        <v>15.7</v>
      </c>
      <c r="BJ276" s="34">
        <v>3.6312000000000002</v>
      </c>
      <c r="BK276" s="35">
        <v>0.15251000000000001</v>
      </c>
      <c r="BL276" s="33"/>
      <c r="BM276" s="37">
        <v>807</v>
      </c>
      <c r="BN276" s="38">
        <v>0.80740000000000001</v>
      </c>
      <c r="BO276" s="39">
        <v>43.76</v>
      </c>
      <c r="BP276" s="520"/>
      <c r="BQ276" s="40">
        <v>807</v>
      </c>
      <c r="BR276" s="43">
        <v>805.9</v>
      </c>
      <c r="BS276" s="41">
        <v>1.2407999999999999</v>
      </c>
    </row>
    <row r="277" spans="28:71">
      <c r="AB277" s="514"/>
      <c r="AC277" s="514"/>
      <c r="AD277" s="514"/>
      <c r="AE277" s="514"/>
      <c r="AF277" s="514"/>
      <c r="AG277" s="514"/>
      <c r="AH277" s="514"/>
      <c r="AI277" s="514"/>
      <c r="AJ277" s="514"/>
      <c r="AK277" s="514"/>
      <c r="AL277" s="514"/>
      <c r="AM277" s="514"/>
      <c r="AN277" s="514"/>
      <c r="AO277" s="514"/>
      <c r="AP277" s="514"/>
      <c r="AQ277" s="514"/>
      <c r="AR277" s="514"/>
      <c r="AS277" s="514"/>
      <c r="AT277" s="514"/>
      <c r="AU277" s="514"/>
      <c r="AV277" s="514"/>
      <c r="AW277" s="514"/>
      <c r="AX277" s="514"/>
      <c r="AY277" s="514"/>
      <c r="AZ277" s="514"/>
      <c r="BA277" s="514"/>
      <c r="BB277" s="514"/>
      <c r="BC277" s="520"/>
      <c r="BD277" s="2482"/>
      <c r="BE277" s="30">
        <v>15.8</v>
      </c>
      <c r="BF277" s="31">
        <v>0.96060000000000001</v>
      </c>
      <c r="BG277" s="32">
        <v>960.1</v>
      </c>
      <c r="BH277" s="33"/>
      <c r="BI277" s="30">
        <v>15.8</v>
      </c>
      <c r="BJ277" s="34">
        <v>3.6286999999999998</v>
      </c>
      <c r="BK277" s="35">
        <v>0.15240000000000001</v>
      </c>
      <c r="BL277" s="33"/>
      <c r="BM277" s="37">
        <v>808</v>
      </c>
      <c r="BN277" s="38">
        <v>0.80840000000000001</v>
      </c>
      <c r="BO277" s="39">
        <v>43.54</v>
      </c>
      <c r="BP277" s="520"/>
      <c r="BQ277" s="40">
        <v>808</v>
      </c>
      <c r="BR277" s="43">
        <v>806.9</v>
      </c>
      <c r="BS277" s="41">
        <v>1.2393000000000001</v>
      </c>
    </row>
    <row r="278" spans="28:71">
      <c r="AB278" s="514"/>
      <c r="AC278" s="514"/>
      <c r="AD278" s="514"/>
      <c r="AE278" s="514"/>
      <c r="AF278" s="514"/>
      <c r="AG278" s="514"/>
      <c r="AH278" s="514"/>
      <c r="AI278" s="514"/>
      <c r="AJ278" s="514"/>
      <c r="AK278" s="514"/>
      <c r="AL278" s="514"/>
      <c r="AM278" s="514"/>
      <c r="AN278" s="514"/>
      <c r="AO278" s="514"/>
      <c r="AP278" s="514"/>
      <c r="AQ278" s="514"/>
      <c r="AR278" s="514"/>
      <c r="AS278" s="514"/>
      <c r="AT278" s="514"/>
      <c r="AU278" s="514"/>
      <c r="AV278" s="514"/>
      <c r="AW278" s="514"/>
      <c r="AX278" s="514"/>
      <c r="AY278" s="514"/>
      <c r="AZ278" s="514"/>
      <c r="BA278" s="514"/>
      <c r="BB278" s="514"/>
      <c r="BC278" s="520"/>
      <c r="BD278" s="2482"/>
      <c r="BE278" s="30">
        <v>15.9</v>
      </c>
      <c r="BF278" s="31">
        <v>0.96</v>
      </c>
      <c r="BG278" s="32">
        <v>959.4</v>
      </c>
      <c r="BH278" s="33"/>
      <c r="BI278" s="30">
        <v>15.9</v>
      </c>
      <c r="BJ278" s="34">
        <v>3.6261999999999999</v>
      </c>
      <c r="BK278" s="35">
        <v>0.15229999999999999</v>
      </c>
      <c r="BL278" s="33"/>
      <c r="BM278" s="37">
        <v>809</v>
      </c>
      <c r="BN278" s="38">
        <v>0.80940000000000001</v>
      </c>
      <c r="BO278" s="39">
        <v>43.32</v>
      </c>
      <c r="BP278" s="520"/>
      <c r="BQ278" s="40">
        <v>809</v>
      </c>
      <c r="BR278" s="43">
        <v>807.9</v>
      </c>
      <c r="BS278" s="41">
        <v>1.2378</v>
      </c>
    </row>
    <row r="279" spans="28:71">
      <c r="AB279" s="514"/>
      <c r="AC279" s="514"/>
      <c r="AD279" s="514"/>
      <c r="AE279" s="514"/>
      <c r="AF279" s="514"/>
      <c r="AG279" s="514"/>
      <c r="AH279" s="514"/>
      <c r="AI279" s="514"/>
      <c r="AJ279" s="514"/>
      <c r="AK279" s="514"/>
      <c r="AL279" s="514"/>
      <c r="AM279" s="514"/>
      <c r="AN279" s="514"/>
      <c r="AO279" s="514"/>
      <c r="AP279" s="514"/>
      <c r="AQ279" s="514"/>
      <c r="AR279" s="514"/>
      <c r="AS279" s="514"/>
      <c r="AT279" s="514"/>
      <c r="AU279" s="514"/>
      <c r="AV279" s="514"/>
      <c r="AW279" s="514"/>
      <c r="AX279" s="514"/>
      <c r="AY279" s="514"/>
      <c r="AZ279" s="514"/>
      <c r="BA279" s="514"/>
      <c r="BB279" s="514"/>
      <c r="BC279" s="520"/>
      <c r="BD279" s="2482"/>
      <c r="BE279" s="30">
        <v>16</v>
      </c>
      <c r="BF279" s="31">
        <v>0.95930000000000004</v>
      </c>
      <c r="BG279" s="32">
        <v>958.8</v>
      </c>
      <c r="BH279" s="33"/>
      <c r="BI279" s="30">
        <v>16</v>
      </c>
      <c r="BJ279" s="34">
        <v>3.6238000000000001</v>
      </c>
      <c r="BK279" s="35">
        <v>0.1522</v>
      </c>
      <c r="BL279" s="33"/>
      <c r="BM279" s="37">
        <v>810</v>
      </c>
      <c r="BN279" s="38">
        <v>0.81040000000000001</v>
      </c>
      <c r="BO279" s="39">
        <v>43.11</v>
      </c>
      <c r="BP279" s="520"/>
      <c r="BQ279" s="40">
        <v>810</v>
      </c>
      <c r="BR279" s="43">
        <v>808.9</v>
      </c>
      <c r="BS279" s="41">
        <v>1.2362</v>
      </c>
    </row>
    <row r="280" spans="28:71">
      <c r="AB280" s="514"/>
      <c r="AC280" s="514"/>
      <c r="AD280" s="514"/>
      <c r="AE280" s="514"/>
      <c r="AF280" s="514"/>
      <c r="AG280" s="514"/>
      <c r="AH280" s="514"/>
      <c r="AI280" s="514"/>
      <c r="AJ280" s="514"/>
      <c r="AK280" s="514"/>
      <c r="AL280" s="514"/>
      <c r="AM280" s="514"/>
      <c r="AN280" s="514"/>
      <c r="AO280" s="514"/>
      <c r="AP280" s="514"/>
      <c r="AQ280" s="514"/>
      <c r="AR280" s="514"/>
      <c r="AS280" s="514"/>
      <c r="AT280" s="514"/>
      <c r="AU280" s="514"/>
      <c r="AV280" s="514"/>
      <c r="AW280" s="514"/>
      <c r="AX280" s="514"/>
      <c r="AY280" s="514"/>
      <c r="AZ280" s="514"/>
      <c r="BA280" s="514"/>
      <c r="BB280" s="514"/>
      <c r="BC280" s="520"/>
      <c r="BD280" s="2482"/>
      <c r="BE280" s="30">
        <v>16.100000000000001</v>
      </c>
      <c r="BF280" s="31">
        <v>0.9587</v>
      </c>
      <c r="BG280" s="32">
        <v>958.1</v>
      </c>
      <c r="BH280" s="33"/>
      <c r="BI280" s="30">
        <v>16.100000000000001</v>
      </c>
      <c r="BJ280" s="34">
        <v>3.6213000000000002</v>
      </c>
      <c r="BK280" s="35">
        <v>0.15209</v>
      </c>
      <c r="BL280" s="33"/>
      <c r="BM280" s="37">
        <v>811</v>
      </c>
      <c r="BN280" s="38">
        <v>0.81140000000000001</v>
      </c>
      <c r="BO280" s="39">
        <v>42.89</v>
      </c>
      <c r="BP280" s="520"/>
      <c r="BQ280" s="40">
        <v>811</v>
      </c>
      <c r="BR280" s="43">
        <v>809.9</v>
      </c>
      <c r="BS280" s="41">
        <v>1.2346999999999999</v>
      </c>
    </row>
    <row r="281" spans="28:71">
      <c r="AB281" s="514"/>
      <c r="AC281" s="514"/>
      <c r="AD281" s="514"/>
      <c r="AE281" s="514"/>
      <c r="AF281" s="514"/>
      <c r="AG281" s="514"/>
      <c r="AH281" s="514"/>
      <c r="AI281" s="514"/>
      <c r="AJ281" s="514"/>
      <c r="AK281" s="514"/>
      <c r="AL281" s="514"/>
      <c r="AM281" s="514"/>
      <c r="AN281" s="514"/>
      <c r="AO281" s="514"/>
      <c r="AP281" s="514"/>
      <c r="AQ281" s="514"/>
      <c r="AR281" s="514"/>
      <c r="AS281" s="514"/>
      <c r="AT281" s="514"/>
      <c r="AU281" s="514"/>
      <c r="AV281" s="514"/>
      <c r="AW281" s="514"/>
      <c r="AX281" s="514"/>
      <c r="AY281" s="514"/>
      <c r="AZ281" s="514"/>
      <c r="BA281" s="514"/>
      <c r="BB281" s="514"/>
      <c r="BC281" s="520"/>
      <c r="BD281" s="2482"/>
      <c r="BE281" s="30">
        <v>16.2</v>
      </c>
      <c r="BF281" s="31">
        <v>0.95799999999999996</v>
      </c>
      <c r="BG281" s="32">
        <v>957.5</v>
      </c>
      <c r="BH281" s="33"/>
      <c r="BI281" s="30">
        <v>16.2</v>
      </c>
      <c r="BJ281" s="34">
        <v>3.6187999999999998</v>
      </c>
      <c r="BK281" s="35">
        <v>0.15198999999999999</v>
      </c>
      <c r="BL281" s="33"/>
      <c r="BM281" s="37">
        <v>812</v>
      </c>
      <c r="BN281" s="38">
        <v>0.81240000000000001</v>
      </c>
      <c r="BO281" s="39">
        <v>42.68</v>
      </c>
      <c r="BP281" s="520"/>
      <c r="BQ281" s="40">
        <v>812</v>
      </c>
      <c r="BR281" s="43">
        <v>810.9</v>
      </c>
      <c r="BS281" s="41">
        <v>1.2332000000000001</v>
      </c>
    </row>
    <row r="282" spans="28:71">
      <c r="AB282" s="514"/>
      <c r="AC282" s="514"/>
      <c r="AD282" s="514"/>
      <c r="AE282" s="514"/>
      <c r="AF282" s="514"/>
      <c r="AG282" s="514"/>
      <c r="AH282" s="514"/>
      <c r="AI282" s="514"/>
      <c r="AJ282" s="514"/>
      <c r="AK282" s="514"/>
      <c r="AL282" s="514"/>
      <c r="AM282" s="514"/>
      <c r="AN282" s="514"/>
      <c r="AO282" s="514"/>
      <c r="AP282" s="514"/>
      <c r="AQ282" s="514"/>
      <c r="AR282" s="514"/>
      <c r="AS282" s="514"/>
      <c r="AT282" s="514"/>
      <c r="AU282" s="514"/>
      <c r="AV282" s="514"/>
      <c r="AW282" s="514"/>
      <c r="AX282" s="514"/>
      <c r="AY282" s="514"/>
      <c r="AZ282" s="514"/>
      <c r="BA282" s="514"/>
      <c r="BB282" s="514"/>
      <c r="BC282" s="520"/>
      <c r="BD282" s="2482"/>
      <c r="BE282" s="30">
        <v>16.3</v>
      </c>
      <c r="BF282" s="31">
        <v>0.95740000000000003</v>
      </c>
      <c r="BG282" s="32">
        <v>956.8</v>
      </c>
      <c r="BH282" s="33"/>
      <c r="BI282" s="30">
        <v>16.3</v>
      </c>
      <c r="BJ282" s="34">
        <v>3.6164000000000001</v>
      </c>
      <c r="BK282" s="35">
        <v>0.15189</v>
      </c>
      <c r="BL282" s="33"/>
      <c r="BM282" s="37">
        <v>813</v>
      </c>
      <c r="BN282" s="38">
        <v>0.81340000000000001</v>
      </c>
      <c r="BO282" s="39">
        <v>42.46</v>
      </c>
      <c r="BP282" s="520"/>
      <c r="BQ282" s="40">
        <v>813</v>
      </c>
      <c r="BR282" s="43">
        <v>811.9</v>
      </c>
      <c r="BS282" s="41">
        <v>1.2317</v>
      </c>
    </row>
    <row r="283" spans="28:71">
      <c r="AB283" s="514"/>
      <c r="AC283" s="514"/>
      <c r="AD283" s="514"/>
      <c r="AE283" s="514"/>
      <c r="AF283" s="514"/>
      <c r="AG283" s="514"/>
      <c r="AH283" s="514"/>
      <c r="AI283" s="514"/>
      <c r="AJ283" s="514"/>
      <c r="AK283" s="514"/>
      <c r="AL283" s="514"/>
      <c r="AM283" s="514"/>
      <c r="AN283" s="514"/>
      <c r="AO283" s="514"/>
      <c r="AP283" s="514"/>
      <c r="AQ283" s="514"/>
      <c r="AR283" s="514"/>
      <c r="AS283" s="514"/>
      <c r="AT283" s="514"/>
      <c r="AU283" s="514"/>
      <c r="AV283" s="514"/>
      <c r="AW283" s="514"/>
      <c r="AX283" s="514"/>
      <c r="AY283" s="514"/>
      <c r="AZ283" s="514"/>
      <c r="BA283" s="514"/>
      <c r="BB283" s="514"/>
      <c r="BC283" s="520"/>
      <c r="BD283" s="2482"/>
      <c r="BE283" s="30">
        <v>16.399999999999999</v>
      </c>
      <c r="BF283" s="31">
        <v>0.95669999999999999</v>
      </c>
      <c r="BG283" s="32">
        <v>956.2</v>
      </c>
      <c r="BH283" s="33"/>
      <c r="BI283" s="30">
        <v>16.399999999999999</v>
      </c>
      <c r="BJ283" s="34">
        <v>3.6139000000000001</v>
      </c>
      <c r="BK283" s="35">
        <v>0.15179000000000001</v>
      </c>
      <c r="BL283" s="33"/>
      <c r="BM283" s="37">
        <v>814</v>
      </c>
      <c r="BN283" s="38">
        <v>0.81440000000000001</v>
      </c>
      <c r="BO283" s="39">
        <v>42.25</v>
      </c>
      <c r="BP283" s="520"/>
      <c r="BQ283" s="40">
        <v>814</v>
      </c>
      <c r="BR283" s="43">
        <v>812.9</v>
      </c>
      <c r="BS283" s="41">
        <v>1.2302</v>
      </c>
    </row>
    <row r="284" spans="28:71">
      <c r="AB284" s="514"/>
      <c r="AC284" s="514"/>
      <c r="AD284" s="514"/>
      <c r="AE284" s="514"/>
      <c r="AF284" s="514"/>
      <c r="AG284" s="514"/>
      <c r="AH284" s="514"/>
      <c r="AI284" s="514"/>
      <c r="AJ284" s="514"/>
      <c r="AK284" s="514"/>
      <c r="AL284" s="514"/>
      <c r="AM284" s="514"/>
      <c r="AN284" s="514"/>
      <c r="AO284" s="514"/>
      <c r="AP284" s="514"/>
      <c r="AQ284" s="514"/>
      <c r="AR284" s="514"/>
      <c r="AS284" s="514"/>
      <c r="AT284" s="514"/>
      <c r="AU284" s="514"/>
      <c r="AV284" s="514"/>
      <c r="AW284" s="514"/>
      <c r="AX284" s="514"/>
      <c r="AY284" s="514"/>
      <c r="AZ284" s="514"/>
      <c r="BA284" s="514"/>
      <c r="BB284" s="514"/>
      <c r="BC284" s="520"/>
      <c r="BD284" s="2482"/>
      <c r="BE284" s="30">
        <v>16.5</v>
      </c>
      <c r="BF284" s="31">
        <v>0.95609999999999995</v>
      </c>
      <c r="BG284" s="32">
        <v>955.5</v>
      </c>
      <c r="BH284" s="33"/>
      <c r="BI284" s="30">
        <v>16.5</v>
      </c>
      <c r="BJ284" s="34">
        <v>3.6114999999999999</v>
      </c>
      <c r="BK284" s="35">
        <v>0.15168000000000001</v>
      </c>
      <c r="BL284" s="33"/>
      <c r="BM284" s="37">
        <v>815</v>
      </c>
      <c r="BN284" s="38">
        <v>0.81540000000000001</v>
      </c>
      <c r="BO284" s="39">
        <v>42.03</v>
      </c>
      <c r="BP284" s="520"/>
      <c r="BQ284" s="40">
        <v>815</v>
      </c>
      <c r="BR284" s="43">
        <v>813.9</v>
      </c>
      <c r="BS284" s="41">
        <v>1.2285999999999999</v>
      </c>
    </row>
    <row r="285" spans="28:71">
      <c r="AB285" s="514"/>
      <c r="AC285" s="514"/>
      <c r="AD285" s="514"/>
      <c r="AE285" s="514"/>
      <c r="AF285" s="514"/>
      <c r="AG285" s="514"/>
      <c r="AH285" s="514"/>
      <c r="AI285" s="514"/>
      <c r="AJ285" s="514"/>
      <c r="AK285" s="514"/>
      <c r="AL285" s="514"/>
      <c r="AM285" s="514"/>
      <c r="AN285" s="514"/>
      <c r="AO285" s="514"/>
      <c r="AP285" s="514"/>
      <c r="AQ285" s="514"/>
      <c r="AR285" s="514"/>
      <c r="AS285" s="514"/>
      <c r="AT285" s="514"/>
      <c r="AU285" s="514"/>
      <c r="AV285" s="514"/>
      <c r="AW285" s="514"/>
      <c r="AX285" s="514"/>
      <c r="AY285" s="514"/>
      <c r="AZ285" s="514"/>
      <c r="BA285" s="514"/>
      <c r="BB285" s="514"/>
      <c r="BC285" s="520"/>
      <c r="BD285" s="2482"/>
      <c r="BE285" s="30">
        <v>16.600000000000001</v>
      </c>
      <c r="BF285" s="31">
        <v>0.95540000000000003</v>
      </c>
      <c r="BG285" s="32">
        <v>954.9</v>
      </c>
      <c r="BH285" s="33"/>
      <c r="BI285" s="30">
        <v>16.600000000000001</v>
      </c>
      <c r="BJ285" s="34">
        <v>3.6091000000000002</v>
      </c>
      <c r="BK285" s="35">
        <v>0.15157999999999999</v>
      </c>
      <c r="BL285" s="33"/>
      <c r="BM285" s="37">
        <v>816</v>
      </c>
      <c r="BN285" s="38">
        <v>0.81640000000000001</v>
      </c>
      <c r="BO285" s="39">
        <v>41.82</v>
      </c>
      <c r="BP285" s="520"/>
      <c r="BQ285" s="40">
        <v>816</v>
      </c>
      <c r="BR285" s="43">
        <v>814.9</v>
      </c>
      <c r="BS285" s="41">
        <v>1.2271000000000001</v>
      </c>
    </row>
    <row r="286" spans="28:71">
      <c r="AB286" s="514"/>
      <c r="AC286" s="514"/>
      <c r="AD286" s="514"/>
      <c r="AE286" s="514"/>
      <c r="AF286" s="514"/>
      <c r="AG286" s="514"/>
      <c r="AH286" s="514"/>
      <c r="AI286" s="514"/>
      <c r="AJ286" s="514"/>
      <c r="AK286" s="514"/>
      <c r="AL286" s="514"/>
      <c r="AM286" s="514"/>
      <c r="AN286" s="514"/>
      <c r="AO286" s="514"/>
      <c r="AP286" s="514"/>
      <c r="AQ286" s="514"/>
      <c r="AR286" s="514"/>
      <c r="AS286" s="514"/>
      <c r="AT286" s="514"/>
      <c r="AU286" s="514"/>
      <c r="AV286" s="514"/>
      <c r="AW286" s="514"/>
      <c r="AX286" s="514"/>
      <c r="AY286" s="514"/>
      <c r="AZ286" s="514"/>
      <c r="BA286" s="514"/>
      <c r="BB286" s="514"/>
      <c r="BC286" s="520"/>
      <c r="BD286" s="2482"/>
      <c r="BE286" s="30">
        <v>16.7</v>
      </c>
      <c r="BF286" s="31">
        <v>0.95479999999999998</v>
      </c>
      <c r="BG286" s="32">
        <v>954.2</v>
      </c>
      <c r="BH286" s="33"/>
      <c r="BI286" s="30">
        <v>16.7</v>
      </c>
      <c r="BJ286" s="34">
        <v>3.6065999999999998</v>
      </c>
      <c r="BK286" s="35">
        <v>0.15148</v>
      </c>
      <c r="BL286" s="33"/>
      <c r="BM286" s="37">
        <v>817</v>
      </c>
      <c r="BN286" s="38">
        <v>0.81740000000000002</v>
      </c>
      <c r="BO286" s="39">
        <v>41.61</v>
      </c>
      <c r="BP286" s="520"/>
      <c r="BQ286" s="40">
        <v>817</v>
      </c>
      <c r="BR286" s="43">
        <v>815.9</v>
      </c>
      <c r="BS286" s="41">
        <v>1.2256</v>
      </c>
    </row>
    <row r="287" spans="28:71">
      <c r="AB287" s="514"/>
      <c r="AC287" s="514"/>
      <c r="AD287" s="514"/>
      <c r="AE287" s="514"/>
      <c r="AF287" s="514"/>
      <c r="AG287" s="514"/>
      <c r="AH287" s="514"/>
      <c r="AI287" s="514"/>
      <c r="AJ287" s="514"/>
      <c r="AK287" s="514"/>
      <c r="AL287" s="514"/>
      <c r="AM287" s="514"/>
      <c r="AN287" s="514"/>
      <c r="AO287" s="514"/>
      <c r="AP287" s="514"/>
      <c r="AQ287" s="514"/>
      <c r="AR287" s="514"/>
      <c r="AS287" s="514"/>
      <c r="AT287" s="514"/>
      <c r="AU287" s="514"/>
      <c r="AV287" s="514"/>
      <c r="AW287" s="514"/>
      <c r="AX287" s="514"/>
      <c r="AY287" s="514"/>
      <c r="AZ287" s="514"/>
      <c r="BA287" s="514"/>
      <c r="BB287" s="514"/>
      <c r="BC287" s="520"/>
      <c r="BD287" s="2482"/>
      <c r="BE287" s="30">
        <v>16.8</v>
      </c>
      <c r="BF287" s="31">
        <v>0.95409999999999995</v>
      </c>
      <c r="BG287" s="32">
        <v>953.6</v>
      </c>
      <c r="BH287" s="33"/>
      <c r="BI287" s="30">
        <v>16.8</v>
      </c>
      <c r="BJ287" s="34">
        <v>3.6042000000000001</v>
      </c>
      <c r="BK287" s="35">
        <v>0.15137999999999999</v>
      </c>
      <c r="BL287" s="33"/>
      <c r="BM287" s="37">
        <v>818</v>
      </c>
      <c r="BN287" s="38">
        <v>0.81840000000000002</v>
      </c>
      <c r="BO287" s="39">
        <v>41.4</v>
      </c>
      <c r="BP287" s="520"/>
      <c r="BQ287" s="40">
        <v>818</v>
      </c>
      <c r="BR287" s="43">
        <v>816.9</v>
      </c>
      <c r="BS287" s="41">
        <v>1.2241</v>
      </c>
    </row>
    <row r="288" spans="28:71">
      <c r="AB288" s="514"/>
      <c r="AC288" s="514"/>
      <c r="AD288" s="514"/>
      <c r="AE288" s="514"/>
      <c r="AF288" s="514"/>
      <c r="AG288" s="514"/>
      <c r="AH288" s="514"/>
      <c r="AI288" s="514"/>
      <c r="AJ288" s="514"/>
      <c r="AK288" s="514"/>
      <c r="AL288" s="514"/>
      <c r="AM288" s="514"/>
      <c r="AN288" s="514"/>
      <c r="AO288" s="514"/>
      <c r="AP288" s="514"/>
      <c r="AQ288" s="514"/>
      <c r="AR288" s="514"/>
      <c r="AS288" s="514"/>
      <c r="AT288" s="514"/>
      <c r="AU288" s="514"/>
      <c r="AV288" s="514"/>
      <c r="AW288" s="514"/>
      <c r="AX288" s="514"/>
      <c r="AY288" s="514"/>
      <c r="AZ288" s="514"/>
      <c r="BA288" s="514"/>
      <c r="BB288" s="514"/>
      <c r="BC288" s="520"/>
      <c r="BD288" s="2482"/>
      <c r="BE288" s="30">
        <v>16.899999999999999</v>
      </c>
      <c r="BF288" s="31">
        <v>0.95350000000000001</v>
      </c>
      <c r="BG288" s="32">
        <v>952.9</v>
      </c>
      <c r="BH288" s="33"/>
      <c r="BI288" s="30">
        <v>16.899999999999999</v>
      </c>
      <c r="BJ288" s="34">
        <v>3.6017999999999999</v>
      </c>
      <c r="BK288" s="35">
        <v>0.15126999999999999</v>
      </c>
      <c r="BL288" s="33"/>
      <c r="BM288" s="37">
        <v>819</v>
      </c>
      <c r="BN288" s="38">
        <v>0.81940000000000002</v>
      </c>
      <c r="BO288" s="39">
        <v>41.19</v>
      </c>
      <c r="BP288" s="520"/>
      <c r="BQ288" s="40">
        <v>819</v>
      </c>
      <c r="BR288" s="43">
        <v>817.9</v>
      </c>
      <c r="BS288" s="41">
        <v>1.2225999999999999</v>
      </c>
    </row>
    <row r="289" spans="28:71">
      <c r="AB289" s="514"/>
      <c r="AC289" s="514"/>
      <c r="AD289" s="514"/>
      <c r="AE289" s="514"/>
      <c r="AF289" s="514"/>
      <c r="AG289" s="514"/>
      <c r="AH289" s="514"/>
      <c r="AI289" s="514"/>
      <c r="AJ289" s="514"/>
      <c r="AK289" s="514"/>
      <c r="AL289" s="514"/>
      <c r="AM289" s="514"/>
      <c r="AN289" s="514"/>
      <c r="AO289" s="514"/>
      <c r="AP289" s="514"/>
      <c r="AQ289" s="514"/>
      <c r="AR289" s="514"/>
      <c r="AS289" s="514"/>
      <c r="AT289" s="514"/>
      <c r="AU289" s="514"/>
      <c r="AV289" s="514"/>
      <c r="AW289" s="514"/>
      <c r="AX289" s="514"/>
      <c r="AY289" s="514"/>
      <c r="AZ289" s="514"/>
      <c r="BA289" s="514"/>
      <c r="BB289" s="514"/>
      <c r="BC289" s="520"/>
      <c r="BD289" s="2482"/>
      <c r="BE289" s="30">
        <v>17</v>
      </c>
      <c r="BF289" s="31">
        <v>0.95289999999999997</v>
      </c>
      <c r="BG289" s="32">
        <v>952.3</v>
      </c>
      <c r="BH289" s="33"/>
      <c r="BI289" s="30">
        <v>17</v>
      </c>
      <c r="BJ289" s="34">
        <v>3.5992999999999999</v>
      </c>
      <c r="BK289" s="35">
        <v>0.15117</v>
      </c>
      <c r="BL289" s="33"/>
      <c r="BM289" s="37">
        <v>820</v>
      </c>
      <c r="BN289" s="38">
        <v>0.82040000000000002</v>
      </c>
      <c r="BO289" s="39">
        <v>40.98</v>
      </c>
      <c r="BP289" s="520"/>
      <c r="BQ289" s="40">
        <v>820</v>
      </c>
      <c r="BR289" s="43">
        <v>818.9</v>
      </c>
      <c r="BS289" s="41">
        <v>1.2211000000000001</v>
      </c>
    </row>
    <row r="290" spans="28:71">
      <c r="AB290" s="514"/>
      <c r="AC290" s="514"/>
      <c r="AD290" s="514"/>
      <c r="AE290" s="514"/>
      <c r="AF290" s="514"/>
      <c r="AG290" s="514"/>
      <c r="AH290" s="514"/>
      <c r="AI290" s="514"/>
      <c r="AJ290" s="514"/>
      <c r="AK290" s="514"/>
      <c r="AL290" s="514"/>
      <c r="AM290" s="514"/>
      <c r="AN290" s="514"/>
      <c r="AO290" s="514"/>
      <c r="AP290" s="514"/>
      <c r="AQ290" s="514"/>
      <c r="AR290" s="514"/>
      <c r="AS290" s="514"/>
      <c r="AT290" s="514"/>
      <c r="AU290" s="514"/>
      <c r="AV290" s="514"/>
      <c r="AW290" s="514"/>
      <c r="AX290" s="514"/>
      <c r="AY290" s="514"/>
      <c r="AZ290" s="514"/>
      <c r="BA290" s="514"/>
      <c r="BB290" s="514"/>
      <c r="BC290" s="520"/>
      <c r="BD290" s="2482"/>
      <c r="BE290" s="30">
        <v>17.100000000000001</v>
      </c>
      <c r="BF290" s="31">
        <v>0.95220000000000005</v>
      </c>
      <c r="BG290" s="32">
        <v>951.7</v>
      </c>
      <c r="BH290" s="33"/>
      <c r="BI290" s="30">
        <v>17.100000000000001</v>
      </c>
      <c r="BJ290" s="34">
        <v>3.5969000000000002</v>
      </c>
      <c r="BK290" s="35">
        <v>0.15107000000000001</v>
      </c>
      <c r="BL290" s="33"/>
      <c r="BM290" s="37">
        <v>821</v>
      </c>
      <c r="BN290" s="38">
        <v>0.82140000000000002</v>
      </c>
      <c r="BO290" s="39">
        <v>40.76</v>
      </c>
      <c r="BP290" s="520"/>
      <c r="BQ290" s="40">
        <v>821</v>
      </c>
      <c r="BR290" s="43">
        <v>819.9</v>
      </c>
      <c r="BS290" s="41">
        <v>1.2197</v>
      </c>
    </row>
    <row r="291" spans="28:71">
      <c r="AB291" s="514"/>
      <c r="AC291" s="514"/>
      <c r="AD291" s="514"/>
      <c r="AE291" s="514"/>
      <c r="AF291" s="514"/>
      <c r="AG291" s="514"/>
      <c r="AH291" s="514"/>
      <c r="AI291" s="514"/>
      <c r="AJ291" s="514"/>
      <c r="AK291" s="514"/>
      <c r="AL291" s="514"/>
      <c r="AM291" s="514"/>
      <c r="AN291" s="514"/>
      <c r="AO291" s="514"/>
      <c r="AP291" s="514"/>
      <c r="AQ291" s="514"/>
      <c r="AR291" s="514"/>
      <c r="AS291" s="514"/>
      <c r="AT291" s="514"/>
      <c r="AU291" s="514"/>
      <c r="AV291" s="514"/>
      <c r="AW291" s="514"/>
      <c r="AX291" s="514"/>
      <c r="AY291" s="514"/>
      <c r="AZ291" s="514"/>
      <c r="BA291" s="514"/>
      <c r="BB291" s="514"/>
      <c r="BC291" s="520"/>
      <c r="BD291" s="2482"/>
      <c r="BE291" s="30">
        <v>17.2</v>
      </c>
      <c r="BF291" s="31">
        <v>0.9516</v>
      </c>
      <c r="BG291" s="32">
        <v>951</v>
      </c>
      <c r="BH291" s="33"/>
      <c r="BI291" s="30">
        <v>17.2</v>
      </c>
      <c r="BJ291" s="34">
        <v>3.5945</v>
      </c>
      <c r="BK291" s="35">
        <v>0.15096999999999999</v>
      </c>
      <c r="BL291" s="33"/>
      <c r="BM291" s="37">
        <v>822</v>
      </c>
      <c r="BN291" s="38">
        <v>0.82240000000000002</v>
      </c>
      <c r="BO291" s="39">
        <v>40.56</v>
      </c>
      <c r="BP291" s="520"/>
      <c r="BQ291" s="40">
        <v>822</v>
      </c>
      <c r="BR291" s="43">
        <v>820.9</v>
      </c>
      <c r="BS291" s="41">
        <v>1.2181999999999999</v>
      </c>
    </row>
    <row r="292" spans="28:71">
      <c r="AB292" s="514"/>
      <c r="AC292" s="514"/>
      <c r="AD292" s="514"/>
      <c r="AE292" s="514"/>
      <c r="AF292" s="514"/>
      <c r="AG292" s="514"/>
      <c r="AH292" s="514"/>
      <c r="AI292" s="514"/>
      <c r="AJ292" s="514"/>
      <c r="AK292" s="514"/>
      <c r="AL292" s="514"/>
      <c r="AM292" s="514"/>
      <c r="AN292" s="514"/>
      <c r="AO292" s="514"/>
      <c r="AP292" s="514"/>
      <c r="AQ292" s="514"/>
      <c r="AR292" s="514"/>
      <c r="AS292" s="514"/>
      <c r="AT292" s="514"/>
      <c r="AU292" s="514"/>
      <c r="AV292" s="514"/>
      <c r="AW292" s="514"/>
      <c r="AX292" s="514"/>
      <c r="AY292" s="514"/>
      <c r="AZ292" s="514"/>
      <c r="BA292" s="514"/>
      <c r="BB292" s="514"/>
      <c r="BC292" s="520"/>
      <c r="BD292" s="2482"/>
      <c r="BE292" s="30">
        <v>17.3</v>
      </c>
      <c r="BF292" s="31">
        <v>0.95089999999999997</v>
      </c>
      <c r="BG292" s="32">
        <v>950.4</v>
      </c>
      <c r="BH292" s="33"/>
      <c r="BI292" s="30">
        <v>17.3</v>
      </c>
      <c r="BJ292" s="34">
        <v>3.5920999999999998</v>
      </c>
      <c r="BK292" s="35">
        <v>0.15087</v>
      </c>
      <c r="BL292" s="33"/>
      <c r="BM292" s="37">
        <v>823</v>
      </c>
      <c r="BN292" s="38">
        <v>0.82340000000000002</v>
      </c>
      <c r="BO292" s="39">
        <v>40.35</v>
      </c>
      <c r="BP292" s="520"/>
      <c r="BQ292" s="40">
        <v>823</v>
      </c>
      <c r="BR292" s="43">
        <v>821.9</v>
      </c>
      <c r="BS292" s="41">
        <v>1.2166999999999999</v>
      </c>
    </row>
    <row r="293" spans="28:71">
      <c r="AB293" s="514"/>
      <c r="AC293" s="514"/>
      <c r="AD293" s="514"/>
      <c r="AE293" s="514"/>
      <c r="AF293" s="514"/>
      <c r="AG293" s="514"/>
      <c r="AH293" s="514"/>
      <c r="AI293" s="514"/>
      <c r="AJ293" s="514"/>
      <c r="AK293" s="514"/>
      <c r="AL293" s="514"/>
      <c r="AM293" s="514"/>
      <c r="AN293" s="514"/>
      <c r="AO293" s="514"/>
      <c r="AP293" s="514"/>
      <c r="AQ293" s="514"/>
      <c r="AR293" s="514"/>
      <c r="AS293" s="514"/>
      <c r="AT293" s="514"/>
      <c r="AU293" s="514"/>
      <c r="AV293" s="514"/>
      <c r="AW293" s="514"/>
      <c r="AX293" s="514"/>
      <c r="AY293" s="514"/>
      <c r="AZ293" s="514"/>
      <c r="BA293" s="514"/>
      <c r="BB293" s="514"/>
      <c r="BC293" s="520"/>
      <c r="BD293" s="2482"/>
      <c r="BE293" s="30">
        <v>17.399999999999999</v>
      </c>
      <c r="BF293" s="31">
        <v>0.95030000000000003</v>
      </c>
      <c r="BG293" s="32">
        <v>949.7</v>
      </c>
      <c r="BH293" s="33"/>
      <c r="BI293" s="30">
        <v>17.399999999999999</v>
      </c>
      <c r="BJ293" s="34">
        <v>3.5895999999999999</v>
      </c>
      <c r="BK293" s="35">
        <v>0.15076999999999999</v>
      </c>
      <c r="BL293" s="33"/>
      <c r="BM293" s="37">
        <v>824</v>
      </c>
      <c r="BN293" s="38">
        <v>0.82440000000000002</v>
      </c>
      <c r="BO293" s="39">
        <v>40.14</v>
      </c>
      <c r="BP293" s="520"/>
      <c r="BQ293" s="40">
        <v>824</v>
      </c>
      <c r="BR293" s="43">
        <v>822.9</v>
      </c>
      <c r="BS293" s="41">
        <v>1.2152000000000001</v>
      </c>
    </row>
    <row r="294" spans="28:71">
      <c r="AB294" s="514"/>
      <c r="AC294" s="514"/>
      <c r="AD294" s="514"/>
      <c r="AE294" s="514"/>
      <c r="AF294" s="514"/>
      <c r="AG294" s="514"/>
      <c r="AH294" s="514"/>
      <c r="AI294" s="514"/>
      <c r="AJ294" s="514"/>
      <c r="AK294" s="514"/>
      <c r="AL294" s="514"/>
      <c r="AM294" s="514"/>
      <c r="AN294" s="514"/>
      <c r="AO294" s="514"/>
      <c r="AP294" s="514"/>
      <c r="AQ294" s="514"/>
      <c r="AR294" s="514"/>
      <c r="AS294" s="514"/>
      <c r="AT294" s="514"/>
      <c r="AU294" s="514"/>
      <c r="AV294" s="514"/>
      <c r="AW294" s="514"/>
      <c r="AX294" s="514"/>
      <c r="AY294" s="514"/>
      <c r="AZ294" s="514"/>
      <c r="BA294" s="514"/>
      <c r="BB294" s="514"/>
      <c r="BC294" s="520"/>
      <c r="BD294" s="2482"/>
      <c r="BE294" s="30">
        <v>17.5</v>
      </c>
      <c r="BF294" s="31">
        <v>0.94969999999999999</v>
      </c>
      <c r="BG294" s="32">
        <v>949.1</v>
      </c>
      <c r="BH294" s="33"/>
      <c r="BI294" s="30">
        <v>17.5</v>
      </c>
      <c r="BJ294" s="34">
        <v>3.5872000000000002</v>
      </c>
      <c r="BK294" s="35">
        <v>0.15065999999999999</v>
      </c>
      <c r="BL294" s="33"/>
      <c r="BM294" s="37">
        <v>825</v>
      </c>
      <c r="BN294" s="38">
        <v>0.82540000000000002</v>
      </c>
      <c r="BO294" s="39">
        <v>39.93</v>
      </c>
      <c r="BP294" s="520"/>
      <c r="BQ294" s="40">
        <v>825</v>
      </c>
      <c r="BR294" s="43">
        <v>823.9</v>
      </c>
      <c r="BS294" s="41">
        <v>1.2137</v>
      </c>
    </row>
    <row r="295" spans="28:71">
      <c r="AB295" s="514"/>
      <c r="AC295" s="514"/>
      <c r="AD295" s="514"/>
      <c r="AE295" s="514"/>
      <c r="AF295" s="514"/>
      <c r="AG295" s="514"/>
      <c r="AH295" s="514"/>
      <c r="AI295" s="514"/>
      <c r="AJ295" s="514"/>
      <c r="AK295" s="514"/>
      <c r="AL295" s="514"/>
      <c r="AM295" s="514"/>
      <c r="AN295" s="514"/>
      <c r="AO295" s="514"/>
      <c r="AP295" s="514"/>
      <c r="AQ295" s="514"/>
      <c r="AR295" s="514"/>
      <c r="AS295" s="514"/>
      <c r="AT295" s="514"/>
      <c r="AU295" s="514"/>
      <c r="AV295" s="514"/>
      <c r="AW295" s="514"/>
      <c r="AX295" s="514"/>
      <c r="AY295" s="514"/>
      <c r="AZ295" s="514"/>
      <c r="BA295" s="514"/>
      <c r="BB295" s="514"/>
      <c r="BC295" s="520"/>
      <c r="BD295" s="2482"/>
      <c r="BE295" s="30">
        <v>17.600000000000001</v>
      </c>
      <c r="BF295" s="31">
        <v>0.94899999999999995</v>
      </c>
      <c r="BG295" s="32">
        <v>948.5</v>
      </c>
      <c r="BH295" s="33"/>
      <c r="BI295" s="30">
        <v>17.600000000000001</v>
      </c>
      <c r="BJ295" s="34">
        <v>3.5848</v>
      </c>
      <c r="BK295" s="35">
        <v>0.15056</v>
      </c>
      <c r="BL295" s="33"/>
      <c r="BM295" s="37">
        <v>826</v>
      </c>
      <c r="BN295" s="38">
        <v>0.82640000000000002</v>
      </c>
      <c r="BO295" s="39">
        <v>39.72</v>
      </c>
      <c r="BP295" s="520"/>
      <c r="BQ295" s="40">
        <v>826</v>
      </c>
      <c r="BR295" s="43">
        <v>824.9</v>
      </c>
      <c r="BS295" s="41">
        <v>1.2122999999999999</v>
      </c>
    </row>
    <row r="296" spans="28:71">
      <c r="AB296" s="514"/>
      <c r="AC296" s="514"/>
      <c r="AD296" s="514"/>
      <c r="AE296" s="514"/>
      <c r="AF296" s="514"/>
      <c r="AG296" s="514"/>
      <c r="AH296" s="514"/>
      <c r="AI296" s="514"/>
      <c r="AJ296" s="514"/>
      <c r="AK296" s="514"/>
      <c r="AL296" s="514"/>
      <c r="AM296" s="514"/>
      <c r="AN296" s="514"/>
      <c r="AO296" s="514"/>
      <c r="AP296" s="514"/>
      <c r="AQ296" s="514"/>
      <c r="AR296" s="514"/>
      <c r="AS296" s="514"/>
      <c r="AT296" s="514"/>
      <c r="AU296" s="514"/>
      <c r="AV296" s="514"/>
      <c r="AW296" s="514"/>
      <c r="AX296" s="514"/>
      <c r="AY296" s="514"/>
      <c r="AZ296" s="514"/>
      <c r="BA296" s="514"/>
      <c r="BB296" s="514"/>
      <c r="BC296" s="520"/>
      <c r="BD296" s="2482"/>
      <c r="BE296" s="30">
        <v>17.7</v>
      </c>
      <c r="BF296" s="31">
        <v>0.94840000000000002</v>
      </c>
      <c r="BG296" s="32">
        <v>947.8</v>
      </c>
      <c r="BH296" s="33"/>
      <c r="BI296" s="30">
        <v>17.7</v>
      </c>
      <c r="BJ296" s="34">
        <v>3.5823999999999998</v>
      </c>
      <c r="BK296" s="35">
        <v>0.15046000000000001</v>
      </c>
      <c r="BL296" s="33"/>
      <c r="BM296" s="37">
        <v>827</v>
      </c>
      <c r="BN296" s="38">
        <v>0.82740000000000002</v>
      </c>
      <c r="BO296" s="39">
        <v>39.51</v>
      </c>
      <c r="BP296" s="520"/>
      <c r="BQ296" s="40">
        <v>827</v>
      </c>
      <c r="BR296" s="43">
        <v>825.9</v>
      </c>
      <c r="BS296" s="41">
        <v>1.2108000000000001</v>
      </c>
    </row>
    <row r="297" spans="28:71">
      <c r="AB297" s="514"/>
      <c r="AC297" s="514"/>
      <c r="AD297" s="514"/>
      <c r="AE297" s="514"/>
      <c r="AF297" s="514"/>
      <c r="AG297" s="514"/>
      <c r="AH297" s="514"/>
      <c r="AI297" s="514"/>
      <c r="AJ297" s="514"/>
      <c r="AK297" s="514"/>
      <c r="AL297" s="514"/>
      <c r="AM297" s="514"/>
      <c r="AN297" s="514"/>
      <c r="AO297" s="514"/>
      <c r="AP297" s="514"/>
      <c r="AQ297" s="514"/>
      <c r="AR297" s="514"/>
      <c r="AS297" s="514"/>
      <c r="AT297" s="514"/>
      <c r="AU297" s="514"/>
      <c r="AV297" s="514"/>
      <c r="AW297" s="514"/>
      <c r="AX297" s="514"/>
      <c r="AY297" s="514"/>
      <c r="AZ297" s="514"/>
      <c r="BA297" s="514"/>
      <c r="BB297" s="514"/>
      <c r="BC297" s="520"/>
      <c r="BD297" s="2482"/>
      <c r="BE297" s="30">
        <v>17.8</v>
      </c>
      <c r="BF297" s="31">
        <v>0.94779999999999998</v>
      </c>
      <c r="BG297" s="32">
        <v>947.2</v>
      </c>
      <c r="BH297" s="33"/>
      <c r="BI297" s="30">
        <v>17.8</v>
      </c>
      <c r="BJ297" s="34">
        <v>3.58</v>
      </c>
      <c r="BK297" s="35">
        <v>0.15035999999999999</v>
      </c>
      <c r="BL297" s="33"/>
      <c r="BM297" s="37">
        <v>828</v>
      </c>
      <c r="BN297" s="38">
        <v>0.82840000000000003</v>
      </c>
      <c r="BO297" s="39">
        <v>39.31</v>
      </c>
      <c r="BP297" s="520"/>
      <c r="BQ297" s="40">
        <v>828</v>
      </c>
      <c r="BR297" s="43">
        <v>826.9</v>
      </c>
      <c r="BS297" s="41">
        <v>1.2093</v>
      </c>
    </row>
    <row r="298" spans="28:71">
      <c r="AB298" s="514"/>
      <c r="AC298" s="514"/>
      <c r="AD298" s="514"/>
      <c r="AE298" s="514"/>
      <c r="AF298" s="514"/>
      <c r="AG298" s="514"/>
      <c r="AH298" s="514"/>
      <c r="AI298" s="514"/>
      <c r="AJ298" s="514"/>
      <c r="AK298" s="514"/>
      <c r="AL298" s="514"/>
      <c r="AM298" s="514"/>
      <c r="AN298" s="514"/>
      <c r="AO298" s="514"/>
      <c r="AP298" s="514"/>
      <c r="AQ298" s="514"/>
      <c r="AR298" s="514"/>
      <c r="AS298" s="514"/>
      <c r="AT298" s="514"/>
      <c r="AU298" s="514"/>
      <c r="AV298" s="514"/>
      <c r="AW298" s="514"/>
      <c r="AX298" s="514"/>
      <c r="AY298" s="514"/>
      <c r="AZ298" s="514"/>
      <c r="BA298" s="514"/>
      <c r="BB298" s="514"/>
      <c r="BC298" s="520"/>
      <c r="BD298" s="2482"/>
      <c r="BE298" s="30">
        <v>17.899999999999999</v>
      </c>
      <c r="BF298" s="31">
        <v>0.94710000000000005</v>
      </c>
      <c r="BG298" s="32">
        <v>946.6</v>
      </c>
      <c r="BH298" s="33"/>
      <c r="BI298" s="30">
        <v>17.899999999999999</v>
      </c>
      <c r="BJ298" s="34">
        <v>3.5775999999999999</v>
      </c>
      <c r="BK298" s="35">
        <v>0.15026</v>
      </c>
      <c r="BL298" s="33"/>
      <c r="BM298" s="37">
        <v>829</v>
      </c>
      <c r="BN298" s="38">
        <v>0.82940000000000003</v>
      </c>
      <c r="BO298" s="39">
        <v>39.1</v>
      </c>
      <c r="BP298" s="520"/>
      <c r="BQ298" s="40">
        <v>829</v>
      </c>
      <c r="BR298" s="43">
        <v>827.9</v>
      </c>
      <c r="BS298" s="41">
        <v>1.2079</v>
      </c>
    </row>
    <row r="299" spans="28:71">
      <c r="AB299" s="514"/>
      <c r="AC299" s="514"/>
      <c r="AD299" s="514"/>
      <c r="AE299" s="514"/>
      <c r="AF299" s="514"/>
      <c r="AG299" s="514"/>
      <c r="AH299" s="514"/>
      <c r="AI299" s="514"/>
      <c r="AJ299" s="514"/>
      <c r="AK299" s="514"/>
      <c r="AL299" s="514"/>
      <c r="AM299" s="514"/>
      <c r="AN299" s="514"/>
      <c r="AO299" s="514"/>
      <c r="AP299" s="514"/>
      <c r="AQ299" s="514"/>
      <c r="AR299" s="514"/>
      <c r="AS299" s="514"/>
      <c r="AT299" s="514"/>
      <c r="AU299" s="514"/>
      <c r="AV299" s="514"/>
      <c r="AW299" s="514"/>
      <c r="AX299" s="514"/>
      <c r="AY299" s="514"/>
      <c r="AZ299" s="514"/>
      <c r="BA299" s="514"/>
      <c r="BB299" s="514"/>
      <c r="BC299" s="520"/>
      <c r="BD299" s="2482"/>
      <c r="BE299" s="30">
        <v>18</v>
      </c>
      <c r="BF299" s="31">
        <v>0.94650000000000001</v>
      </c>
      <c r="BG299" s="32">
        <v>945.9</v>
      </c>
      <c r="BH299" s="33"/>
      <c r="BI299" s="30">
        <v>18</v>
      </c>
      <c r="BJ299" s="34">
        <v>3.5752000000000002</v>
      </c>
      <c r="BK299" s="35">
        <v>0.15015999999999999</v>
      </c>
      <c r="BL299" s="33"/>
      <c r="BM299" s="37">
        <v>830</v>
      </c>
      <c r="BN299" s="38">
        <v>0.83040000000000003</v>
      </c>
      <c r="BO299" s="39">
        <v>38.9</v>
      </c>
      <c r="BP299" s="520"/>
      <c r="BQ299" s="40">
        <v>830</v>
      </c>
      <c r="BR299" s="43">
        <v>828.9</v>
      </c>
      <c r="BS299" s="41">
        <v>1.2063999999999999</v>
      </c>
    </row>
    <row r="300" spans="28:71">
      <c r="AB300" s="514"/>
      <c r="AC300" s="514"/>
      <c r="AD300" s="514"/>
      <c r="AE300" s="514"/>
      <c r="AF300" s="514"/>
      <c r="AG300" s="514"/>
      <c r="AH300" s="514"/>
      <c r="AI300" s="514"/>
      <c r="AJ300" s="514"/>
      <c r="AK300" s="514"/>
      <c r="AL300" s="514"/>
      <c r="AM300" s="514"/>
      <c r="AN300" s="514"/>
      <c r="AO300" s="514"/>
      <c r="AP300" s="514"/>
      <c r="AQ300" s="514"/>
      <c r="AR300" s="514"/>
      <c r="AS300" s="514"/>
      <c r="AT300" s="514"/>
      <c r="AU300" s="514"/>
      <c r="AV300" s="514"/>
      <c r="AW300" s="514"/>
      <c r="AX300" s="514"/>
      <c r="AY300" s="514"/>
      <c r="AZ300" s="514"/>
      <c r="BA300" s="514"/>
      <c r="BB300" s="514"/>
      <c r="BC300" s="520"/>
      <c r="BD300" s="2482"/>
      <c r="BE300" s="30">
        <v>18.100000000000001</v>
      </c>
      <c r="BF300" s="31">
        <v>0.94589999999999996</v>
      </c>
      <c r="BG300" s="32">
        <v>945.3</v>
      </c>
      <c r="BH300" s="33"/>
      <c r="BI300" s="30">
        <v>18.100000000000001</v>
      </c>
      <c r="BJ300" s="34">
        <v>3.5728</v>
      </c>
      <c r="BK300" s="35">
        <v>0.15006</v>
      </c>
      <c r="BL300" s="33"/>
      <c r="BM300" s="37">
        <v>831</v>
      </c>
      <c r="BN300" s="38">
        <v>0.83140000000000003</v>
      </c>
      <c r="BO300" s="39">
        <v>38.69</v>
      </c>
      <c r="BP300" s="520"/>
      <c r="BQ300" s="40">
        <v>831</v>
      </c>
      <c r="BR300" s="43">
        <v>829.9</v>
      </c>
      <c r="BS300" s="41">
        <v>1.2050000000000001</v>
      </c>
    </row>
    <row r="301" spans="28:71">
      <c r="AB301" s="514"/>
      <c r="AC301" s="514"/>
      <c r="AD301" s="514"/>
      <c r="AE301" s="514"/>
      <c r="AF301" s="514"/>
      <c r="AG301" s="514"/>
      <c r="AH301" s="514"/>
      <c r="AI301" s="514"/>
      <c r="AJ301" s="514"/>
      <c r="AK301" s="514"/>
      <c r="AL301" s="514"/>
      <c r="AM301" s="514"/>
      <c r="AN301" s="514"/>
      <c r="AO301" s="514"/>
      <c r="AP301" s="514"/>
      <c r="AQ301" s="514"/>
      <c r="AR301" s="514"/>
      <c r="AS301" s="514"/>
      <c r="AT301" s="514"/>
      <c r="AU301" s="514"/>
      <c r="AV301" s="514"/>
      <c r="AW301" s="514"/>
      <c r="AX301" s="514"/>
      <c r="AY301" s="514"/>
      <c r="AZ301" s="514"/>
      <c r="BA301" s="514"/>
      <c r="BB301" s="514"/>
      <c r="BC301" s="520"/>
      <c r="BD301" s="2482"/>
      <c r="BE301" s="30">
        <v>18.2</v>
      </c>
      <c r="BF301" s="31">
        <v>0.94520000000000004</v>
      </c>
      <c r="BG301" s="32">
        <v>944.7</v>
      </c>
      <c r="BH301" s="33"/>
      <c r="BI301" s="30">
        <v>18.2</v>
      </c>
      <c r="BJ301" s="34">
        <v>3.5703999999999998</v>
      </c>
      <c r="BK301" s="35">
        <v>0.14996000000000001</v>
      </c>
      <c r="BL301" s="33"/>
      <c r="BM301" s="37">
        <v>832</v>
      </c>
      <c r="BN301" s="38">
        <v>0.83240000000000003</v>
      </c>
      <c r="BO301" s="39">
        <v>38.49</v>
      </c>
      <c r="BP301" s="520"/>
      <c r="BQ301" s="40">
        <v>832</v>
      </c>
      <c r="BR301" s="43">
        <v>830.9</v>
      </c>
      <c r="BS301" s="41">
        <v>1.2035</v>
      </c>
    </row>
    <row r="302" spans="28:71">
      <c r="AB302" s="514"/>
      <c r="AC302" s="514"/>
      <c r="AD302" s="514"/>
      <c r="AE302" s="514"/>
      <c r="AF302" s="514"/>
      <c r="AG302" s="514"/>
      <c r="AH302" s="514"/>
      <c r="AI302" s="514"/>
      <c r="AJ302" s="514"/>
      <c r="AK302" s="514"/>
      <c r="AL302" s="514"/>
      <c r="AM302" s="514"/>
      <c r="AN302" s="514"/>
      <c r="AO302" s="514"/>
      <c r="AP302" s="514"/>
      <c r="AQ302" s="514"/>
      <c r="AR302" s="514"/>
      <c r="AS302" s="514"/>
      <c r="AT302" s="514"/>
      <c r="AU302" s="514"/>
      <c r="AV302" s="514"/>
      <c r="AW302" s="514"/>
      <c r="AX302" s="514"/>
      <c r="AY302" s="514"/>
      <c r="AZ302" s="514"/>
      <c r="BA302" s="514"/>
      <c r="BB302" s="514"/>
      <c r="BC302" s="520"/>
      <c r="BD302" s="2482"/>
      <c r="BE302" s="30">
        <v>18.3</v>
      </c>
      <c r="BF302" s="31">
        <v>0.9446</v>
      </c>
      <c r="BG302" s="32">
        <v>944</v>
      </c>
      <c r="BH302" s="33"/>
      <c r="BI302" s="30">
        <v>18.3</v>
      </c>
      <c r="BJ302" s="34">
        <v>3.5680999999999998</v>
      </c>
      <c r="BK302" s="35">
        <v>0.14985999999999999</v>
      </c>
      <c r="BL302" s="33"/>
      <c r="BM302" s="37">
        <v>833</v>
      </c>
      <c r="BN302" s="38">
        <v>0.83340000000000003</v>
      </c>
      <c r="BO302" s="39">
        <v>38.28</v>
      </c>
      <c r="BP302" s="520"/>
      <c r="BQ302" s="40">
        <v>833</v>
      </c>
      <c r="BR302" s="43">
        <v>831.9</v>
      </c>
      <c r="BS302" s="41">
        <v>1.2020999999999999</v>
      </c>
    </row>
    <row r="303" spans="28:71">
      <c r="AB303" s="514"/>
      <c r="AC303" s="514"/>
      <c r="AD303" s="514"/>
      <c r="AE303" s="514"/>
      <c r="AF303" s="514"/>
      <c r="AG303" s="514"/>
      <c r="AH303" s="514"/>
      <c r="AI303" s="514"/>
      <c r="AJ303" s="514"/>
      <c r="AK303" s="514"/>
      <c r="AL303" s="514"/>
      <c r="AM303" s="514"/>
      <c r="AN303" s="514"/>
      <c r="AO303" s="514"/>
      <c r="AP303" s="514"/>
      <c r="AQ303" s="514"/>
      <c r="AR303" s="514"/>
      <c r="AS303" s="514"/>
      <c r="AT303" s="514"/>
      <c r="AU303" s="514"/>
      <c r="AV303" s="514"/>
      <c r="AW303" s="514"/>
      <c r="AX303" s="514"/>
      <c r="AY303" s="514"/>
      <c r="AZ303" s="514"/>
      <c r="BA303" s="514"/>
      <c r="BB303" s="514"/>
      <c r="BC303" s="520"/>
      <c r="BD303" s="2482"/>
      <c r="BE303" s="30">
        <v>18.399999999999999</v>
      </c>
      <c r="BF303" s="31">
        <v>0.94399999999999995</v>
      </c>
      <c r="BG303" s="32">
        <v>943.4</v>
      </c>
      <c r="BH303" s="33"/>
      <c r="BI303" s="30">
        <v>18.399999999999999</v>
      </c>
      <c r="BJ303" s="34">
        <v>3.5657000000000001</v>
      </c>
      <c r="BK303" s="35">
        <v>0.14976</v>
      </c>
      <c r="BL303" s="33"/>
      <c r="BM303" s="37">
        <v>834</v>
      </c>
      <c r="BN303" s="38">
        <v>0.83440000000000003</v>
      </c>
      <c r="BO303" s="39">
        <v>38.08</v>
      </c>
      <c r="BP303" s="520"/>
      <c r="BQ303" s="40">
        <v>834</v>
      </c>
      <c r="BR303" s="43">
        <v>832.9</v>
      </c>
      <c r="BS303" s="41">
        <v>1.2005999999999999</v>
      </c>
    </row>
    <row r="304" spans="28:71">
      <c r="AB304" s="514"/>
      <c r="AC304" s="514"/>
      <c r="AD304" s="514"/>
      <c r="AE304" s="514"/>
      <c r="AF304" s="514"/>
      <c r="AG304" s="514"/>
      <c r="AH304" s="514"/>
      <c r="AI304" s="514"/>
      <c r="AJ304" s="514"/>
      <c r="AK304" s="514"/>
      <c r="AL304" s="514"/>
      <c r="AM304" s="514"/>
      <c r="AN304" s="514"/>
      <c r="AO304" s="514"/>
      <c r="AP304" s="514"/>
      <c r="AQ304" s="514"/>
      <c r="AR304" s="514"/>
      <c r="AS304" s="514"/>
      <c r="AT304" s="514"/>
      <c r="AU304" s="514"/>
      <c r="AV304" s="514"/>
      <c r="AW304" s="514"/>
      <c r="AX304" s="514"/>
      <c r="AY304" s="514"/>
      <c r="AZ304" s="514"/>
      <c r="BA304" s="514"/>
      <c r="BB304" s="514"/>
      <c r="BC304" s="520"/>
      <c r="BD304" s="2482"/>
      <c r="BE304" s="30">
        <v>18.5</v>
      </c>
      <c r="BF304" s="31">
        <v>0.94330000000000003</v>
      </c>
      <c r="BG304" s="32">
        <v>942.8</v>
      </c>
      <c r="BH304" s="33"/>
      <c r="BI304" s="30">
        <v>18.5</v>
      </c>
      <c r="BJ304" s="34">
        <v>3.5632999999999999</v>
      </c>
      <c r="BK304" s="35">
        <v>0.14965999999999999</v>
      </c>
      <c r="BL304" s="33"/>
      <c r="BM304" s="37">
        <v>835</v>
      </c>
      <c r="BN304" s="38">
        <v>0.83540000000000003</v>
      </c>
      <c r="BO304" s="39">
        <v>37.869999999999997</v>
      </c>
      <c r="BP304" s="520"/>
      <c r="BQ304" s="40">
        <v>835</v>
      </c>
      <c r="BR304" s="43">
        <v>833.9</v>
      </c>
      <c r="BS304" s="41">
        <v>1.1992</v>
      </c>
    </row>
    <row r="305" spans="28:71">
      <c r="AB305" s="514"/>
      <c r="AC305" s="514"/>
      <c r="AD305" s="514"/>
      <c r="AE305" s="514"/>
      <c r="AF305" s="514"/>
      <c r="AG305" s="514"/>
      <c r="AH305" s="514"/>
      <c r="AI305" s="514"/>
      <c r="AJ305" s="514"/>
      <c r="AK305" s="514"/>
      <c r="AL305" s="514"/>
      <c r="AM305" s="514"/>
      <c r="AN305" s="514"/>
      <c r="AO305" s="514"/>
      <c r="AP305" s="514"/>
      <c r="AQ305" s="514"/>
      <c r="AR305" s="514"/>
      <c r="AS305" s="514"/>
      <c r="AT305" s="514"/>
      <c r="AU305" s="514"/>
      <c r="AV305" s="514"/>
      <c r="AW305" s="514"/>
      <c r="AX305" s="514"/>
      <c r="AY305" s="514"/>
      <c r="AZ305" s="514"/>
      <c r="BA305" s="514"/>
      <c r="BB305" s="514"/>
      <c r="BC305" s="520"/>
      <c r="BD305" s="2482"/>
      <c r="BE305" s="30">
        <v>18.600000000000001</v>
      </c>
      <c r="BF305" s="31">
        <v>0.94269999999999998</v>
      </c>
      <c r="BG305" s="32">
        <v>942.2</v>
      </c>
      <c r="BH305" s="33"/>
      <c r="BI305" s="30">
        <v>18.600000000000001</v>
      </c>
      <c r="BJ305" s="34">
        <v>3.5609000000000002</v>
      </c>
      <c r="BK305" s="35">
        <v>0.14956</v>
      </c>
      <c r="BL305" s="33"/>
      <c r="BM305" s="37">
        <v>836</v>
      </c>
      <c r="BN305" s="38">
        <v>0.83640000000000003</v>
      </c>
      <c r="BO305" s="39">
        <v>37.67</v>
      </c>
      <c r="BP305" s="520"/>
      <c r="BQ305" s="40">
        <v>836</v>
      </c>
      <c r="BR305" s="43">
        <v>834.9</v>
      </c>
      <c r="BS305" s="41">
        <v>1.1977</v>
      </c>
    </row>
    <row r="306" spans="28:71">
      <c r="AB306" s="514"/>
      <c r="AC306" s="514"/>
      <c r="AD306" s="514"/>
      <c r="AE306" s="514"/>
      <c r="AF306" s="514"/>
      <c r="AG306" s="514"/>
      <c r="AH306" s="514"/>
      <c r="AI306" s="514"/>
      <c r="AJ306" s="514"/>
      <c r="AK306" s="514"/>
      <c r="AL306" s="514"/>
      <c r="AM306" s="514"/>
      <c r="AN306" s="514"/>
      <c r="AO306" s="514"/>
      <c r="AP306" s="514"/>
      <c r="AQ306" s="514"/>
      <c r="AR306" s="514"/>
      <c r="AS306" s="514"/>
      <c r="AT306" s="514"/>
      <c r="AU306" s="514"/>
      <c r="AV306" s="514"/>
      <c r="AW306" s="514"/>
      <c r="AX306" s="514"/>
      <c r="AY306" s="514"/>
      <c r="AZ306" s="514"/>
      <c r="BA306" s="514"/>
      <c r="BB306" s="514"/>
      <c r="BC306" s="520"/>
      <c r="BD306" s="2482"/>
      <c r="BE306" s="30">
        <v>18.7</v>
      </c>
      <c r="BF306" s="31">
        <v>0.94210000000000005</v>
      </c>
      <c r="BG306" s="32">
        <v>941.5</v>
      </c>
      <c r="BH306" s="33"/>
      <c r="BI306" s="30">
        <v>18.7</v>
      </c>
      <c r="BJ306" s="34">
        <v>3.5585</v>
      </c>
      <c r="BK306" s="35">
        <v>0.14946000000000001</v>
      </c>
      <c r="BL306" s="33"/>
      <c r="BM306" s="37">
        <v>837</v>
      </c>
      <c r="BN306" s="38">
        <v>0.83740000000000003</v>
      </c>
      <c r="BO306" s="39">
        <v>37.47</v>
      </c>
      <c r="BP306" s="520"/>
      <c r="BQ306" s="40">
        <v>837</v>
      </c>
      <c r="BR306" s="43">
        <v>835.9</v>
      </c>
      <c r="BS306" s="41">
        <v>1.1962999999999999</v>
      </c>
    </row>
    <row r="307" spans="28:71">
      <c r="AB307" s="514"/>
      <c r="AC307" s="514"/>
      <c r="AD307" s="514"/>
      <c r="AE307" s="514"/>
      <c r="AF307" s="514"/>
      <c r="AG307" s="514"/>
      <c r="AH307" s="514"/>
      <c r="AI307" s="514"/>
      <c r="AJ307" s="514"/>
      <c r="AK307" s="514"/>
      <c r="AL307" s="514"/>
      <c r="AM307" s="514"/>
      <c r="AN307" s="514"/>
      <c r="AO307" s="514"/>
      <c r="AP307" s="514"/>
      <c r="AQ307" s="514"/>
      <c r="AR307" s="514"/>
      <c r="AS307" s="514"/>
      <c r="AT307" s="514"/>
      <c r="AU307" s="514"/>
      <c r="AV307" s="514"/>
      <c r="AW307" s="514"/>
      <c r="AX307" s="514"/>
      <c r="AY307" s="514"/>
      <c r="AZ307" s="514"/>
      <c r="BA307" s="514"/>
      <c r="BB307" s="514"/>
      <c r="BC307" s="520"/>
      <c r="BD307" s="2482"/>
      <c r="BE307" s="30">
        <v>18.8</v>
      </c>
      <c r="BF307" s="31">
        <v>0.9415</v>
      </c>
      <c r="BG307" s="32">
        <v>940.9</v>
      </c>
      <c r="BH307" s="33"/>
      <c r="BI307" s="30">
        <v>18.8</v>
      </c>
      <c r="BJ307" s="34">
        <v>3.5562</v>
      </c>
      <c r="BK307" s="35">
        <v>0.14935999999999999</v>
      </c>
      <c r="BL307" s="33"/>
      <c r="BM307" s="37">
        <v>838</v>
      </c>
      <c r="BN307" s="38">
        <v>0.83840000000000003</v>
      </c>
      <c r="BO307" s="39">
        <v>37.270000000000003</v>
      </c>
      <c r="BP307" s="520"/>
      <c r="BQ307" s="40">
        <v>838</v>
      </c>
      <c r="BR307" s="43">
        <v>836.9</v>
      </c>
      <c r="BS307" s="41">
        <v>1.1949000000000001</v>
      </c>
    </row>
    <row r="308" spans="28:71">
      <c r="AB308" s="514"/>
      <c r="AC308" s="514"/>
      <c r="AD308" s="514"/>
      <c r="AE308" s="514"/>
      <c r="AF308" s="514"/>
      <c r="AG308" s="514"/>
      <c r="AH308" s="514"/>
      <c r="AI308" s="514"/>
      <c r="AJ308" s="514"/>
      <c r="AK308" s="514"/>
      <c r="AL308" s="514"/>
      <c r="AM308" s="514"/>
      <c r="AN308" s="514"/>
      <c r="AO308" s="514"/>
      <c r="AP308" s="514"/>
      <c r="AQ308" s="514"/>
      <c r="AR308" s="514"/>
      <c r="AS308" s="514"/>
      <c r="AT308" s="514"/>
      <c r="AU308" s="514"/>
      <c r="AV308" s="514"/>
      <c r="AW308" s="514"/>
      <c r="AX308" s="514"/>
      <c r="AY308" s="514"/>
      <c r="AZ308" s="514"/>
      <c r="BA308" s="514"/>
      <c r="BB308" s="514"/>
      <c r="BC308" s="520"/>
      <c r="BD308" s="2482"/>
      <c r="BE308" s="30">
        <v>18.899999999999999</v>
      </c>
      <c r="BF308" s="31">
        <v>0.94079999999999997</v>
      </c>
      <c r="BG308" s="32">
        <v>940.3</v>
      </c>
      <c r="BH308" s="33"/>
      <c r="BI308" s="30">
        <v>18.899999999999999</v>
      </c>
      <c r="BJ308" s="34">
        <v>3.5537999999999998</v>
      </c>
      <c r="BK308" s="35">
        <v>0.14926</v>
      </c>
      <c r="BL308" s="33"/>
      <c r="BM308" s="37">
        <v>839</v>
      </c>
      <c r="BN308" s="38">
        <v>0.83940000000000003</v>
      </c>
      <c r="BO308" s="39">
        <v>37.07</v>
      </c>
      <c r="BP308" s="520"/>
      <c r="BQ308" s="40">
        <v>839</v>
      </c>
      <c r="BR308" s="43">
        <v>837.9</v>
      </c>
      <c r="BS308" s="41">
        <v>1.1935</v>
      </c>
    </row>
    <row r="309" spans="28:71">
      <c r="AB309" s="514"/>
      <c r="AC309" s="514"/>
      <c r="AD309" s="514"/>
      <c r="AE309" s="514"/>
      <c r="AF309" s="514"/>
      <c r="AG309" s="514"/>
      <c r="AH309" s="514"/>
      <c r="AI309" s="514"/>
      <c r="AJ309" s="514"/>
      <c r="AK309" s="514"/>
      <c r="AL309" s="514"/>
      <c r="AM309" s="514"/>
      <c r="AN309" s="514"/>
      <c r="AO309" s="514"/>
      <c r="AP309" s="514"/>
      <c r="AQ309" s="514"/>
      <c r="AR309" s="514"/>
      <c r="AS309" s="514"/>
      <c r="AT309" s="514"/>
      <c r="AU309" s="514"/>
      <c r="AV309" s="514"/>
      <c r="AW309" s="514"/>
      <c r="AX309" s="514"/>
      <c r="AY309" s="514"/>
      <c r="AZ309" s="514"/>
      <c r="BA309" s="514"/>
      <c r="BB309" s="514"/>
      <c r="BC309" s="520"/>
      <c r="BD309" s="2482"/>
      <c r="BE309" s="30">
        <v>19</v>
      </c>
      <c r="BF309" s="31">
        <v>0.94020000000000004</v>
      </c>
      <c r="BG309" s="32">
        <v>939.7</v>
      </c>
      <c r="BH309" s="33"/>
      <c r="BI309" s="30">
        <v>19</v>
      </c>
      <c r="BJ309" s="34">
        <v>3.5514000000000001</v>
      </c>
      <c r="BK309" s="35">
        <v>0.14915999999999999</v>
      </c>
      <c r="BL309" s="33"/>
      <c r="BM309" s="37">
        <v>840</v>
      </c>
      <c r="BN309" s="38">
        <v>0.84040000000000004</v>
      </c>
      <c r="BO309" s="39">
        <v>36.86</v>
      </c>
      <c r="BP309" s="520"/>
      <c r="BQ309" s="40">
        <v>840</v>
      </c>
      <c r="BR309" s="43">
        <v>838.9</v>
      </c>
      <c r="BS309" s="41">
        <v>1.1919999999999999</v>
      </c>
    </row>
    <row r="310" spans="28:71">
      <c r="AB310" s="514"/>
      <c r="AC310" s="514"/>
      <c r="AD310" s="514"/>
      <c r="AE310" s="514"/>
      <c r="AF310" s="514"/>
      <c r="AG310" s="514"/>
      <c r="AH310" s="514"/>
      <c r="AI310" s="514"/>
      <c r="AJ310" s="514"/>
      <c r="AK310" s="514"/>
      <c r="AL310" s="514"/>
      <c r="AM310" s="514"/>
      <c r="AN310" s="514"/>
      <c r="AO310" s="514"/>
      <c r="AP310" s="514"/>
      <c r="AQ310" s="514"/>
      <c r="AR310" s="514"/>
      <c r="AS310" s="514"/>
      <c r="AT310" s="514"/>
      <c r="AU310" s="514"/>
      <c r="AV310" s="514"/>
      <c r="AW310" s="514"/>
      <c r="AX310" s="514"/>
      <c r="AY310" s="514"/>
      <c r="AZ310" s="514"/>
      <c r="BA310" s="514"/>
      <c r="BB310" s="514"/>
      <c r="BC310" s="520"/>
      <c r="BD310" s="2482"/>
      <c r="BE310" s="30">
        <v>19.100000000000001</v>
      </c>
      <c r="BF310" s="31">
        <v>0.93959999999999999</v>
      </c>
      <c r="BG310" s="32">
        <v>939</v>
      </c>
      <c r="BH310" s="33"/>
      <c r="BI310" s="30">
        <v>19.100000000000001</v>
      </c>
      <c r="BJ310" s="34">
        <v>3.5491000000000001</v>
      </c>
      <c r="BK310" s="35">
        <v>0.14906</v>
      </c>
      <c r="BL310" s="33"/>
      <c r="BM310" s="37">
        <v>841</v>
      </c>
      <c r="BN310" s="38">
        <v>0.84140000000000004</v>
      </c>
      <c r="BO310" s="39">
        <v>36.659999999999997</v>
      </c>
      <c r="BP310" s="520"/>
      <c r="BQ310" s="40">
        <v>841</v>
      </c>
      <c r="BR310" s="43">
        <v>839.9</v>
      </c>
      <c r="BS310" s="41">
        <v>1.1906000000000001</v>
      </c>
    </row>
    <row r="311" spans="28:71">
      <c r="AB311" s="514"/>
      <c r="AC311" s="514"/>
      <c r="AD311" s="514"/>
      <c r="AE311" s="514"/>
      <c r="AF311" s="514"/>
      <c r="AG311" s="514"/>
      <c r="AH311" s="514"/>
      <c r="AI311" s="514"/>
      <c r="AJ311" s="514"/>
      <c r="AK311" s="514"/>
      <c r="AL311" s="514"/>
      <c r="AM311" s="514"/>
      <c r="AN311" s="514"/>
      <c r="AO311" s="514"/>
      <c r="AP311" s="514"/>
      <c r="AQ311" s="514"/>
      <c r="AR311" s="514"/>
      <c r="AS311" s="514"/>
      <c r="AT311" s="514"/>
      <c r="AU311" s="514"/>
      <c r="AV311" s="514"/>
      <c r="AW311" s="514"/>
      <c r="AX311" s="514"/>
      <c r="AY311" s="514"/>
      <c r="AZ311" s="514"/>
      <c r="BA311" s="514"/>
      <c r="BB311" s="514"/>
      <c r="BC311" s="520"/>
      <c r="BD311" s="2482"/>
      <c r="BE311" s="30">
        <v>19.2</v>
      </c>
      <c r="BF311" s="31">
        <v>0.93899999999999995</v>
      </c>
      <c r="BG311" s="32">
        <v>938.4</v>
      </c>
      <c r="BH311" s="33"/>
      <c r="BI311" s="30">
        <v>19.2</v>
      </c>
      <c r="BJ311" s="34">
        <v>3.5467</v>
      </c>
      <c r="BK311" s="35">
        <v>0.14896000000000001</v>
      </c>
      <c r="BL311" s="33"/>
      <c r="BM311" s="37">
        <v>842</v>
      </c>
      <c r="BN311" s="38">
        <v>0.84240000000000004</v>
      </c>
      <c r="BO311" s="39">
        <v>36.46</v>
      </c>
      <c r="BP311" s="520"/>
      <c r="BQ311" s="40">
        <v>842</v>
      </c>
      <c r="BR311" s="43">
        <v>840.9</v>
      </c>
      <c r="BS311" s="41">
        <v>1.1892</v>
      </c>
    </row>
    <row r="312" spans="28:71">
      <c r="AB312" s="514"/>
      <c r="AC312" s="514"/>
      <c r="AD312" s="514"/>
      <c r="AE312" s="514"/>
      <c r="AF312" s="514"/>
      <c r="AG312" s="514"/>
      <c r="AH312" s="514"/>
      <c r="AI312" s="514"/>
      <c r="AJ312" s="514"/>
      <c r="AK312" s="514"/>
      <c r="AL312" s="514"/>
      <c r="AM312" s="514"/>
      <c r="AN312" s="514"/>
      <c r="AO312" s="514"/>
      <c r="AP312" s="514"/>
      <c r="AQ312" s="514"/>
      <c r="AR312" s="514"/>
      <c r="AS312" s="514"/>
      <c r="AT312" s="514"/>
      <c r="AU312" s="514"/>
      <c r="AV312" s="514"/>
      <c r="AW312" s="514"/>
      <c r="AX312" s="514"/>
      <c r="AY312" s="514"/>
      <c r="AZ312" s="514"/>
      <c r="BA312" s="514"/>
      <c r="BB312" s="514"/>
      <c r="BC312" s="520"/>
      <c r="BD312" s="2482"/>
      <c r="BE312" s="30">
        <v>19.3</v>
      </c>
      <c r="BF312" s="31">
        <v>0.93830000000000002</v>
      </c>
      <c r="BG312" s="32">
        <v>937.8</v>
      </c>
      <c r="BH312" s="33"/>
      <c r="BI312" s="30">
        <v>19.3</v>
      </c>
      <c r="BJ312" s="34">
        <v>3.5444</v>
      </c>
      <c r="BK312" s="35">
        <v>0.14885999999999999</v>
      </c>
      <c r="BL312" s="33"/>
      <c r="BM312" s="37">
        <v>843</v>
      </c>
      <c r="BN312" s="38">
        <v>0.84340000000000004</v>
      </c>
      <c r="BO312" s="39">
        <v>36.270000000000003</v>
      </c>
      <c r="BP312" s="520"/>
      <c r="BQ312" s="40">
        <v>843</v>
      </c>
      <c r="BR312" s="43">
        <v>841.9</v>
      </c>
      <c r="BS312" s="41">
        <v>1.1878</v>
      </c>
    </row>
    <row r="313" spans="28:71">
      <c r="AB313" s="514"/>
      <c r="AC313" s="514"/>
      <c r="AD313" s="514"/>
      <c r="AE313" s="514"/>
      <c r="AF313" s="514"/>
      <c r="AG313" s="514"/>
      <c r="AH313" s="514"/>
      <c r="AI313" s="514"/>
      <c r="AJ313" s="514"/>
      <c r="AK313" s="514"/>
      <c r="AL313" s="514"/>
      <c r="AM313" s="514"/>
      <c r="AN313" s="514"/>
      <c r="AO313" s="514"/>
      <c r="AP313" s="514"/>
      <c r="AQ313" s="514"/>
      <c r="AR313" s="514"/>
      <c r="AS313" s="514"/>
      <c r="AT313" s="514"/>
      <c r="AU313" s="514"/>
      <c r="AV313" s="514"/>
      <c r="AW313" s="514"/>
      <c r="AX313" s="514"/>
      <c r="AY313" s="514"/>
      <c r="AZ313" s="514"/>
      <c r="BA313" s="514"/>
      <c r="BB313" s="514"/>
      <c r="BC313" s="520"/>
      <c r="BD313" s="2482"/>
      <c r="BE313" s="30">
        <v>19.399999999999999</v>
      </c>
      <c r="BF313" s="31">
        <v>0.93769999999999998</v>
      </c>
      <c r="BG313" s="32">
        <v>937.2</v>
      </c>
      <c r="BH313" s="33"/>
      <c r="BI313" s="30">
        <v>19.399999999999999</v>
      </c>
      <c r="BJ313" s="34">
        <v>3.5419999999999998</v>
      </c>
      <c r="BK313" s="35">
        <v>0.14876</v>
      </c>
      <c r="BL313" s="33"/>
      <c r="BM313" s="37">
        <v>844</v>
      </c>
      <c r="BN313" s="38">
        <v>0.84440000000000004</v>
      </c>
      <c r="BO313" s="39">
        <v>36.07</v>
      </c>
      <c r="BP313" s="520"/>
      <c r="BQ313" s="40">
        <v>844</v>
      </c>
      <c r="BR313" s="43">
        <v>842.9</v>
      </c>
      <c r="BS313" s="41">
        <v>1.1863999999999999</v>
      </c>
    </row>
    <row r="314" spans="28:71">
      <c r="AB314" s="514"/>
      <c r="AC314" s="514"/>
      <c r="AD314" s="514"/>
      <c r="AE314" s="514"/>
      <c r="AF314" s="514"/>
      <c r="AG314" s="514"/>
      <c r="AH314" s="514"/>
      <c r="AI314" s="514"/>
      <c r="AJ314" s="514"/>
      <c r="AK314" s="514"/>
      <c r="AL314" s="514"/>
      <c r="AM314" s="514"/>
      <c r="AN314" s="514"/>
      <c r="AO314" s="514"/>
      <c r="AP314" s="514"/>
      <c r="AQ314" s="514"/>
      <c r="AR314" s="514"/>
      <c r="AS314" s="514"/>
      <c r="AT314" s="514"/>
      <c r="AU314" s="514"/>
      <c r="AV314" s="514"/>
      <c r="AW314" s="514"/>
      <c r="AX314" s="514"/>
      <c r="AY314" s="514"/>
      <c r="AZ314" s="514"/>
      <c r="BA314" s="514"/>
      <c r="BB314" s="514"/>
      <c r="BC314" s="520"/>
      <c r="BD314" s="2482"/>
      <c r="BE314" s="30">
        <v>19.5</v>
      </c>
      <c r="BF314" s="31">
        <v>0.93710000000000004</v>
      </c>
      <c r="BG314" s="32">
        <v>936.5</v>
      </c>
      <c r="BH314" s="33"/>
      <c r="BI314" s="30">
        <v>19.5</v>
      </c>
      <c r="BJ314" s="34">
        <v>3.5396999999999998</v>
      </c>
      <c r="BK314" s="35">
        <v>0.14867</v>
      </c>
      <c r="BL314" s="33"/>
      <c r="BM314" s="37">
        <v>845</v>
      </c>
      <c r="BN314" s="38">
        <v>0.84540000000000004</v>
      </c>
      <c r="BO314" s="39">
        <v>35.869999999999997</v>
      </c>
      <c r="BP314" s="520"/>
      <c r="BQ314" s="40">
        <v>845</v>
      </c>
      <c r="BR314" s="43">
        <v>843.9</v>
      </c>
      <c r="BS314" s="41">
        <v>1.1850000000000001</v>
      </c>
    </row>
    <row r="315" spans="28:71">
      <c r="AB315" s="514"/>
      <c r="AC315" s="514"/>
      <c r="AD315" s="514"/>
      <c r="AE315" s="514"/>
      <c r="AF315" s="514"/>
      <c r="AG315" s="514"/>
      <c r="AH315" s="514"/>
      <c r="AI315" s="514"/>
      <c r="AJ315" s="514"/>
      <c r="AK315" s="514"/>
      <c r="AL315" s="514"/>
      <c r="AM315" s="514"/>
      <c r="AN315" s="514"/>
      <c r="AO315" s="514"/>
      <c r="AP315" s="514"/>
      <c r="AQ315" s="514"/>
      <c r="AR315" s="514"/>
      <c r="AS315" s="514"/>
      <c r="AT315" s="514"/>
      <c r="AU315" s="514"/>
      <c r="AV315" s="514"/>
      <c r="AW315" s="514"/>
      <c r="AX315" s="514"/>
      <c r="AY315" s="514"/>
      <c r="AZ315" s="514"/>
      <c r="BA315" s="514"/>
      <c r="BB315" s="514"/>
      <c r="BC315" s="520"/>
      <c r="BD315" s="2482"/>
      <c r="BE315" s="30">
        <v>19.600000000000001</v>
      </c>
      <c r="BF315" s="31">
        <v>0.9365</v>
      </c>
      <c r="BG315" s="32">
        <v>935.9</v>
      </c>
      <c r="BH315" s="33"/>
      <c r="BI315" s="30">
        <v>19.600000000000001</v>
      </c>
      <c r="BJ315" s="34">
        <v>3.5373000000000001</v>
      </c>
      <c r="BK315" s="35">
        <v>0.14857000000000001</v>
      </c>
      <c r="BL315" s="33"/>
      <c r="BM315" s="37">
        <v>846</v>
      </c>
      <c r="BN315" s="38">
        <v>0.84640000000000004</v>
      </c>
      <c r="BO315" s="39">
        <v>35.67</v>
      </c>
      <c r="BP315" s="520"/>
      <c r="BQ315" s="40">
        <v>846</v>
      </c>
      <c r="BR315" s="43">
        <v>844.9</v>
      </c>
      <c r="BS315" s="41">
        <v>1.1836</v>
      </c>
    </row>
    <row r="316" spans="28:71">
      <c r="AB316" s="514"/>
      <c r="AC316" s="514"/>
      <c r="AD316" s="514"/>
      <c r="AE316" s="514"/>
      <c r="AF316" s="514"/>
      <c r="AG316" s="514"/>
      <c r="AH316" s="514"/>
      <c r="AI316" s="514"/>
      <c r="AJ316" s="514"/>
      <c r="AK316" s="514"/>
      <c r="AL316" s="514"/>
      <c r="AM316" s="514"/>
      <c r="AN316" s="514"/>
      <c r="AO316" s="514"/>
      <c r="AP316" s="514"/>
      <c r="AQ316" s="514"/>
      <c r="AR316" s="514"/>
      <c r="AS316" s="514"/>
      <c r="AT316" s="514"/>
      <c r="AU316" s="514"/>
      <c r="AV316" s="514"/>
      <c r="AW316" s="514"/>
      <c r="AX316" s="514"/>
      <c r="AY316" s="514"/>
      <c r="AZ316" s="514"/>
      <c r="BA316" s="514"/>
      <c r="BB316" s="514"/>
      <c r="BC316" s="520"/>
      <c r="BD316" s="2482"/>
      <c r="BE316" s="30">
        <v>19.7</v>
      </c>
      <c r="BF316" s="31">
        <v>0.93579999999999997</v>
      </c>
      <c r="BG316" s="32">
        <v>935.3</v>
      </c>
      <c r="BH316" s="33"/>
      <c r="BI316" s="30">
        <v>19.7</v>
      </c>
      <c r="BJ316" s="34">
        <v>3.5350000000000001</v>
      </c>
      <c r="BK316" s="35">
        <v>0.14846999999999999</v>
      </c>
      <c r="BL316" s="33"/>
      <c r="BM316" s="37">
        <v>847</v>
      </c>
      <c r="BN316" s="38">
        <v>0.84740000000000004</v>
      </c>
      <c r="BO316" s="39">
        <v>35.47</v>
      </c>
      <c r="BP316" s="520"/>
      <c r="BQ316" s="40">
        <v>847</v>
      </c>
      <c r="BR316" s="43">
        <v>845.9</v>
      </c>
      <c r="BS316" s="41">
        <v>1.1821999999999999</v>
      </c>
    </row>
    <row r="317" spans="28:71">
      <c r="AB317" s="514"/>
      <c r="AC317" s="514"/>
      <c r="AD317" s="514"/>
      <c r="AE317" s="514"/>
      <c r="AF317" s="514"/>
      <c r="AG317" s="514"/>
      <c r="AH317" s="514"/>
      <c r="AI317" s="514"/>
      <c r="AJ317" s="514"/>
      <c r="AK317" s="514"/>
      <c r="AL317" s="514"/>
      <c r="AM317" s="514"/>
      <c r="AN317" s="514"/>
      <c r="AO317" s="514"/>
      <c r="AP317" s="514"/>
      <c r="AQ317" s="514"/>
      <c r="AR317" s="514"/>
      <c r="AS317" s="514"/>
      <c r="AT317" s="514"/>
      <c r="AU317" s="514"/>
      <c r="AV317" s="514"/>
      <c r="AW317" s="514"/>
      <c r="AX317" s="514"/>
      <c r="AY317" s="514"/>
      <c r="AZ317" s="514"/>
      <c r="BA317" s="514"/>
      <c r="BB317" s="514"/>
      <c r="BC317" s="520"/>
      <c r="BD317" s="2482"/>
      <c r="BE317" s="30">
        <v>19.8</v>
      </c>
      <c r="BF317" s="31">
        <v>0.93520000000000003</v>
      </c>
      <c r="BG317" s="32">
        <v>934.7</v>
      </c>
      <c r="BH317" s="33"/>
      <c r="BI317" s="30">
        <v>19.8</v>
      </c>
      <c r="BJ317" s="34">
        <v>3.5326</v>
      </c>
      <c r="BK317" s="35">
        <v>0.14837</v>
      </c>
      <c r="BL317" s="33"/>
      <c r="BM317" s="37">
        <v>848</v>
      </c>
      <c r="BN317" s="38">
        <v>0.84840000000000004</v>
      </c>
      <c r="BO317" s="39">
        <v>35.28</v>
      </c>
      <c r="BP317" s="520"/>
      <c r="BQ317" s="40">
        <v>848</v>
      </c>
      <c r="BR317" s="43">
        <v>846.9</v>
      </c>
      <c r="BS317" s="41">
        <v>1.1808000000000001</v>
      </c>
    </row>
    <row r="318" spans="28:71">
      <c r="AB318" s="514"/>
      <c r="AC318" s="514"/>
      <c r="AD318" s="514"/>
      <c r="AE318" s="514"/>
      <c r="AF318" s="514"/>
      <c r="AG318" s="514"/>
      <c r="AH318" s="514"/>
      <c r="AI318" s="514"/>
      <c r="AJ318" s="514"/>
      <c r="AK318" s="514"/>
      <c r="AL318" s="514"/>
      <c r="AM318" s="514"/>
      <c r="AN318" s="514"/>
      <c r="AO318" s="514"/>
      <c r="AP318" s="514"/>
      <c r="AQ318" s="514"/>
      <c r="AR318" s="514"/>
      <c r="AS318" s="514"/>
      <c r="AT318" s="514"/>
      <c r="AU318" s="514"/>
      <c r="AV318" s="514"/>
      <c r="AW318" s="514"/>
      <c r="AX318" s="514"/>
      <c r="AY318" s="514"/>
      <c r="AZ318" s="514"/>
      <c r="BA318" s="514"/>
      <c r="BB318" s="514"/>
      <c r="BC318" s="520"/>
      <c r="BD318" s="2482"/>
      <c r="BE318" s="30">
        <v>19.899999999999999</v>
      </c>
      <c r="BF318" s="31">
        <v>0.93459999999999999</v>
      </c>
      <c r="BG318" s="32">
        <v>934.1</v>
      </c>
      <c r="BH318" s="33"/>
      <c r="BI318" s="30">
        <v>19.899999999999999</v>
      </c>
      <c r="BJ318" s="34">
        <v>3.5303</v>
      </c>
      <c r="BK318" s="35">
        <v>0.14827000000000001</v>
      </c>
      <c r="BL318" s="33"/>
      <c r="BM318" s="37">
        <v>849</v>
      </c>
      <c r="BN318" s="38">
        <v>0.84940000000000004</v>
      </c>
      <c r="BO318" s="39">
        <v>35.08</v>
      </c>
      <c r="BP318" s="520"/>
      <c r="BQ318" s="40">
        <v>849</v>
      </c>
      <c r="BR318" s="43">
        <v>847.9</v>
      </c>
      <c r="BS318" s="41">
        <v>1.1794</v>
      </c>
    </row>
    <row r="319" spans="28:71">
      <c r="AB319" s="514"/>
      <c r="AC319" s="514"/>
      <c r="AD319" s="514"/>
      <c r="AE319" s="514"/>
      <c r="AF319" s="514"/>
      <c r="AG319" s="514"/>
      <c r="AH319" s="514"/>
      <c r="AI319" s="514"/>
      <c r="AJ319" s="514"/>
      <c r="AK319" s="514"/>
      <c r="AL319" s="514"/>
      <c r="AM319" s="514"/>
      <c r="AN319" s="514"/>
      <c r="AO319" s="514"/>
      <c r="AP319" s="514"/>
      <c r="AQ319" s="514"/>
      <c r="AR319" s="514"/>
      <c r="AS319" s="514"/>
      <c r="AT319" s="514"/>
      <c r="AU319" s="514"/>
      <c r="AV319" s="514"/>
      <c r="AW319" s="514"/>
      <c r="AX319" s="514"/>
      <c r="AY319" s="514"/>
      <c r="AZ319" s="514"/>
      <c r="BA319" s="514"/>
      <c r="BB319" s="514"/>
      <c r="BC319" s="520"/>
      <c r="BD319" s="2482"/>
      <c r="BE319" s="30">
        <v>20</v>
      </c>
      <c r="BF319" s="31">
        <v>0.93400000000000005</v>
      </c>
      <c r="BG319" s="32">
        <v>933.5</v>
      </c>
      <c r="BH319" s="33"/>
      <c r="BI319" s="30">
        <v>20</v>
      </c>
      <c r="BJ319" s="34">
        <v>3.528</v>
      </c>
      <c r="BK319" s="35">
        <v>0.14817</v>
      </c>
      <c r="BL319" s="33"/>
      <c r="BM319" s="37">
        <v>850</v>
      </c>
      <c r="BN319" s="38">
        <v>0.85040000000000004</v>
      </c>
      <c r="BO319" s="39">
        <v>34.880000000000003</v>
      </c>
      <c r="BP319" s="520"/>
      <c r="BQ319" s="40">
        <v>850</v>
      </c>
      <c r="BR319" s="43">
        <v>848.9</v>
      </c>
      <c r="BS319" s="41">
        <v>1.1779999999999999</v>
      </c>
    </row>
    <row r="320" spans="28:71">
      <c r="AB320" s="514"/>
      <c r="AC320" s="514"/>
      <c r="AD320" s="514"/>
      <c r="AE320" s="514"/>
      <c r="AF320" s="514"/>
      <c r="AG320" s="514"/>
      <c r="AH320" s="514"/>
      <c r="AI320" s="514"/>
      <c r="AJ320" s="514"/>
      <c r="AK320" s="514"/>
      <c r="AL320" s="514"/>
      <c r="AM320" s="514"/>
      <c r="AN320" s="514"/>
      <c r="AO320" s="514"/>
      <c r="AP320" s="514"/>
      <c r="AQ320" s="514"/>
      <c r="AR320" s="514"/>
      <c r="AS320" s="514"/>
      <c r="AT320" s="514"/>
      <c r="AU320" s="514"/>
      <c r="AV320" s="514"/>
      <c r="AW320" s="514"/>
      <c r="AX320" s="514"/>
      <c r="AY320" s="514"/>
      <c r="AZ320" s="514"/>
      <c r="BA320" s="514"/>
      <c r="BB320" s="514"/>
      <c r="BC320" s="520"/>
      <c r="BD320" s="2482"/>
      <c r="BE320" s="30">
        <v>20.100000000000001</v>
      </c>
      <c r="BF320" s="31">
        <v>0.93340000000000001</v>
      </c>
      <c r="BG320" s="32">
        <v>932.8</v>
      </c>
      <c r="BH320" s="33"/>
      <c r="BI320" s="30">
        <v>20.100000000000001</v>
      </c>
      <c r="BJ320" s="34">
        <v>3.5255999999999998</v>
      </c>
      <c r="BK320" s="35">
        <v>0.14807999999999999</v>
      </c>
      <c r="BL320" s="33"/>
      <c r="BM320" s="37">
        <v>851</v>
      </c>
      <c r="BN320" s="38">
        <v>0.85140000000000005</v>
      </c>
      <c r="BO320" s="39">
        <v>34.69</v>
      </c>
      <c r="BP320" s="520"/>
      <c r="BQ320" s="40">
        <v>851</v>
      </c>
      <c r="BR320" s="43">
        <v>849.9</v>
      </c>
      <c r="BS320" s="41">
        <v>1.1766000000000001</v>
      </c>
    </row>
    <row r="321" spans="28:71">
      <c r="AB321" s="514"/>
      <c r="AC321" s="514"/>
      <c r="AD321" s="514"/>
      <c r="AE321" s="514"/>
      <c r="AF321" s="514"/>
      <c r="AG321" s="514"/>
      <c r="AH321" s="514"/>
      <c r="AI321" s="514"/>
      <c r="AJ321" s="514"/>
      <c r="AK321" s="514"/>
      <c r="AL321" s="514"/>
      <c r="AM321" s="514"/>
      <c r="AN321" s="514"/>
      <c r="AO321" s="514"/>
      <c r="AP321" s="514"/>
      <c r="AQ321" s="514"/>
      <c r="AR321" s="514"/>
      <c r="AS321" s="514"/>
      <c r="AT321" s="514"/>
      <c r="AU321" s="514"/>
      <c r="AV321" s="514"/>
      <c r="AW321" s="514"/>
      <c r="AX321" s="514"/>
      <c r="AY321" s="514"/>
      <c r="AZ321" s="514"/>
      <c r="BA321" s="514"/>
      <c r="BB321" s="514"/>
      <c r="BC321" s="520"/>
      <c r="BD321" s="2482"/>
      <c r="BE321" s="30">
        <v>20.2</v>
      </c>
      <c r="BF321" s="31">
        <v>0.93279999999999996</v>
      </c>
      <c r="BG321" s="32">
        <v>932.2</v>
      </c>
      <c r="BH321" s="33"/>
      <c r="BI321" s="30">
        <v>20.2</v>
      </c>
      <c r="BJ321" s="34">
        <v>3.5232999999999999</v>
      </c>
      <c r="BK321" s="35">
        <v>0.14798</v>
      </c>
      <c r="BL321" s="33"/>
      <c r="BM321" s="37">
        <v>852</v>
      </c>
      <c r="BN321" s="38">
        <v>0.85250000000000004</v>
      </c>
      <c r="BO321" s="39">
        <v>34.49</v>
      </c>
      <c r="BP321" s="520"/>
      <c r="BQ321" s="40">
        <v>852</v>
      </c>
      <c r="BR321" s="43">
        <v>850.9</v>
      </c>
      <c r="BS321" s="41">
        <v>1.1752</v>
      </c>
    </row>
    <row r="322" spans="28:71">
      <c r="AB322" s="514"/>
      <c r="AC322" s="514"/>
      <c r="AD322" s="514"/>
      <c r="AE322" s="514"/>
      <c r="AF322" s="514"/>
      <c r="AG322" s="514"/>
      <c r="AH322" s="514"/>
      <c r="AI322" s="514"/>
      <c r="AJ322" s="514"/>
      <c r="AK322" s="514"/>
      <c r="AL322" s="514"/>
      <c r="AM322" s="514"/>
      <c r="AN322" s="514"/>
      <c r="AO322" s="514"/>
      <c r="AP322" s="514"/>
      <c r="AQ322" s="514"/>
      <c r="AR322" s="514"/>
      <c r="AS322" s="514"/>
      <c r="AT322" s="514"/>
      <c r="AU322" s="514"/>
      <c r="AV322" s="514"/>
      <c r="AW322" s="514"/>
      <c r="AX322" s="514"/>
      <c r="AY322" s="514"/>
      <c r="AZ322" s="514"/>
      <c r="BA322" s="514"/>
      <c r="BB322" s="514"/>
      <c r="BC322" s="520"/>
      <c r="BD322" s="2482"/>
      <c r="BE322" s="30">
        <v>20.3</v>
      </c>
      <c r="BF322" s="31">
        <v>0.93210000000000004</v>
      </c>
      <c r="BG322" s="32">
        <v>931.6</v>
      </c>
      <c r="BH322" s="33"/>
      <c r="BI322" s="30">
        <v>20.3</v>
      </c>
      <c r="BJ322" s="34">
        <v>3.5209999999999999</v>
      </c>
      <c r="BK322" s="35">
        <v>0.14788000000000001</v>
      </c>
      <c r="BL322" s="33"/>
      <c r="BM322" s="37">
        <v>853</v>
      </c>
      <c r="BN322" s="38">
        <v>0.85350000000000004</v>
      </c>
      <c r="BO322" s="39">
        <v>34.299999999999997</v>
      </c>
      <c r="BP322" s="520"/>
      <c r="BQ322" s="40">
        <v>853</v>
      </c>
      <c r="BR322" s="43">
        <v>851.9</v>
      </c>
      <c r="BS322" s="41">
        <v>1.1738</v>
      </c>
    </row>
    <row r="323" spans="28:71">
      <c r="AB323" s="514"/>
      <c r="AC323" s="514"/>
      <c r="AD323" s="514"/>
      <c r="AE323" s="514"/>
      <c r="AF323" s="514"/>
      <c r="AG323" s="514"/>
      <c r="AH323" s="514"/>
      <c r="AI323" s="514"/>
      <c r="AJ323" s="514"/>
      <c r="AK323" s="514"/>
      <c r="AL323" s="514"/>
      <c r="AM323" s="514"/>
      <c r="AN323" s="514"/>
      <c r="AO323" s="514"/>
      <c r="AP323" s="514"/>
      <c r="AQ323" s="514"/>
      <c r="AR323" s="514"/>
      <c r="AS323" s="514"/>
      <c r="AT323" s="514"/>
      <c r="AU323" s="514"/>
      <c r="AV323" s="514"/>
      <c r="AW323" s="514"/>
      <c r="AX323" s="514"/>
      <c r="AY323" s="514"/>
      <c r="AZ323" s="514"/>
      <c r="BA323" s="514"/>
      <c r="BB323" s="514"/>
      <c r="BC323" s="520"/>
      <c r="BD323" s="2482"/>
      <c r="BE323" s="30">
        <v>20.399999999999999</v>
      </c>
      <c r="BF323" s="31">
        <v>0.93149999999999999</v>
      </c>
      <c r="BG323" s="32">
        <v>931</v>
      </c>
      <c r="BH323" s="33"/>
      <c r="BI323" s="30">
        <v>20.399999999999999</v>
      </c>
      <c r="BJ323" s="34">
        <v>3.5186999999999999</v>
      </c>
      <c r="BK323" s="35">
        <v>0.14777999999999999</v>
      </c>
      <c r="BL323" s="33"/>
      <c r="BM323" s="37">
        <v>854</v>
      </c>
      <c r="BN323" s="38">
        <v>0.85450000000000004</v>
      </c>
      <c r="BO323" s="39">
        <v>34.1</v>
      </c>
      <c r="BP323" s="520"/>
      <c r="BQ323" s="40">
        <v>854</v>
      </c>
      <c r="BR323" s="43">
        <v>852.9</v>
      </c>
      <c r="BS323" s="41">
        <v>1.1725000000000001</v>
      </c>
    </row>
    <row r="324" spans="28:71">
      <c r="AB324" s="514"/>
      <c r="AC324" s="514"/>
      <c r="AD324" s="514"/>
      <c r="AE324" s="514"/>
      <c r="AF324" s="514"/>
      <c r="AG324" s="514"/>
      <c r="AH324" s="514"/>
      <c r="AI324" s="514"/>
      <c r="AJ324" s="514"/>
      <c r="AK324" s="514"/>
      <c r="AL324" s="514"/>
      <c r="AM324" s="514"/>
      <c r="AN324" s="514"/>
      <c r="AO324" s="514"/>
      <c r="AP324" s="514"/>
      <c r="AQ324" s="514"/>
      <c r="AR324" s="514"/>
      <c r="AS324" s="514"/>
      <c r="AT324" s="514"/>
      <c r="AU324" s="514"/>
      <c r="AV324" s="514"/>
      <c r="AW324" s="514"/>
      <c r="AX324" s="514"/>
      <c r="AY324" s="514"/>
      <c r="AZ324" s="514"/>
      <c r="BA324" s="514"/>
      <c r="BB324" s="514"/>
      <c r="BC324" s="520"/>
      <c r="BD324" s="2482"/>
      <c r="BE324" s="30">
        <v>20.5</v>
      </c>
      <c r="BF324" s="31">
        <v>0.93089999999999995</v>
      </c>
      <c r="BG324" s="32">
        <v>930.4</v>
      </c>
      <c r="BH324" s="33"/>
      <c r="BI324" s="30">
        <v>20.5</v>
      </c>
      <c r="BJ324" s="34">
        <v>3.5163000000000002</v>
      </c>
      <c r="BK324" s="35">
        <v>0.14768999999999999</v>
      </c>
      <c r="BL324" s="33"/>
      <c r="BM324" s="37">
        <v>855</v>
      </c>
      <c r="BN324" s="38">
        <v>0.85550000000000004</v>
      </c>
      <c r="BO324" s="39">
        <v>33.909999999999997</v>
      </c>
      <c r="BP324" s="520"/>
      <c r="BQ324" s="40">
        <v>855</v>
      </c>
      <c r="BR324" s="43">
        <v>853.9</v>
      </c>
      <c r="BS324" s="41">
        <v>1.1711</v>
      </c>
    </row>
    <row r="325" spans="28:71">
      <c r="AB325" s="514"/>
      <c r="AC325" s="514"/>
      <c r="AD325" s="514"/>
      <c r="AE325" s="514"/>
      <c r="AF325" s="514"/>
      <c r="AG325" s="514"/>
      <c r="AH325" s="514"/>
      <c r="AI325" s="514"/>
      <c r="AJ325" s="514"/>
      <c r="AK325" s="514"/>
      <c r="AL325" s="514"/>
      <c r="AM325" s="514"/>
      <c r="AN325" s="514"/>
      <c r="AO325" s="514"/>
      <c r="AP325" s="514"/>
      <c r="AQ325" s="514"/>
      <c r="AR325" s="514"/>
      <c r="AS325" s="514"/>
      <c r="AT325" s="514"/>
      <c r="AU325" s="514"/>
      <c r="AV325" s="514"/>
      <c r="AW325" s="514"/>
      <c r="AX325" s="514"/>
      <c r="AY325" s="514"/>
      <c r="AZ325" s="514"/>
      <c r="BA325" s="514"/>
      <c r="BB325" s="514"/>
      <c r="BC325" s="520"/>
      <c r="BD325" s="2482"/>
      <c r="BE325" s="30">
        <v>20.6</v>
      </c>
      <c r="BF325" s="31">
        <v>0.93030000000000002</v>
      </c>
      <c r="BG325" s="32">
        <v>929.8</v>
      </c>
      <c r="BH325" s="33"/>
      <c r="BI325" s="30">
        <v>20.6</v>
      </c>
      <c r="BJ325" s="34">
        <v>3.5139999999999998</v>
      </c>
      <c r="BK325" s="35">
        <v>0.14759</v>
      </c>
      <c r="BL325" s="33"/>
      <c r="BM325" s="37">
        <v>856</v>
      </c>
      <c r="BN325" s="38">
        <v>0.85650000000000004</v>
      </c>
      <c r="BO325" s="39">
        <v>33.72</v>
      </c>
      <c r="BP325" s="520"/>
      <c r="BQ325" s="40">
        <v>856</v>
      </c>
      <c r="BR325" s="43">
        <v>854.9</v>
      </c>
      <c r="BS325" s="41">
        <v>1.1697</v>
      </c>
    </row>
    <row r="326" spans="28:71">
      <c r="AB326" s="514"/>
      <c r="AC326" s="514"/>
      <c r="AD326" s="514"/>
      <c r="AE326" s="514"/>
      <c r="AF326" s="514"/>
      <c r="AG326" s="514"/>
      <c r="AH326" s="514"/>
      <c r="AI326" s="514"/>
      <c r="AJ326" s="514"/>
      <c r="AK326" s="514"/>
      <c r="AL326" s="514"/>
      <c r="AM326" s="514"/>
      <c r="AN326" s="514"/>
      <c r="AO326" s="514"/>
      <c r="AP326" s="514"/>
      <c r="AQ326" s="514"/>
      <c r="AR326" s="514"/>
      <c r="AS326" s="514"/>
      <c r="AT326" s="514"/>
      <c r="AU326" s="514"/>
      <c r="AV326" s="514"/>
      <c r="AW326" s="514"/>
      <c r="AX326" s="514"/>
      <c r="AY326" s="514"/>
      <c r="AZ326" s="514"/>
      <c r="BA326" s="514"/>
      <c r="BB326" s="514"/>
      <c r="BC326" s="520"/>
      <c r="BD326" s="2482"/>
      <c r="BE326" s="30">
        <v>20.7</v>
      </c>
      <c r="BF326" s="31">
        <v>0.92969999999999997</v>
      </c>
      <c r="BG326" s="32">
        <v>929.2</v>
      </c>
      <c r="BH326" s="33"/>
      <c r="BI326" s="30">
        <v>20.7</v>
      </c>
      <c r="BJ326" s="34">
        <v>3.5116999999999998</v>
      </c>
      <c r="BK326" s="35">
        <v>0.14749000000000001</v>
      </c>
      <c r="BL326" s="33"/>
      <c r="BM326" s="37">
        <v>857</v>
      </c>
      <c r="BN326" s="38">
        <v>0.85750000000000004</v>
      </c>
      <c r="BO326" s="39">
        <v>33.520000000000003</v>
      </c>
      <c r="BP326" s="520"/>
      <c r="BQ326" s="40">
        <v>857</v>
      </c>
      <c r="BR326" s="43">
        <v>855.9</v>
      </c>
      <c r="BS326" s="41">
        <v>1.1682999999999999</v>
      </c>
    </row>
    <row r="327" spans="28:71">
      <c r="AB327" s="514"/>
      <c r="AC327" s="514"/>
      <c r="AD327" s="514"/>
      <c r="AE327" s="514"/>
      <c r="AF327" s="514"/>
      <c r="AG327" s="514"/>
      <c r="AH327" s="514"/>
      <c r="AI327" s="514"/>
      <c r="AJ327" s="514"/>
      <c r="AK327" s="514"/>
      <c r="AL327" s="514"/>
      <c r="AM327" s="514"/>
      <c r="AN327" s="514"/>
      <c r="AO327" s="514"/>
      <c r="AP327" s="514"/>
      <c r="AQ327" s="514"/>
      <c r="AR327" s="514"/>
      <c r="AS327" s="514"/>
      <c r="AT327" s="514"/>
      <c r="AU327" s="514"/>
      <c r="AV327" s="514"/>
      <c r="AW327" s="514"/>
      <c r="AX327" s="514"/>
      <c r="AY327" s="514"/>
      <c r="AZ327" s="514"/>
      <c r="BA327" s="514"/>
      <c r="BB327" s="514"/>
      <c r="BC327" s="520"/>
      <c r="BD327" s="2482"/>
      <c r="BE327" s="30">
        <v>20.8</v>
      </c>
      <c r="BF327" s="31">
        <v>0.92910000000000004</v>
      </c>
      <c r="BG327" s="32">
        <v>928.6</v>
      </c>
      <c r="BH327" s="33"/>
      <c r="BI327" s="30">
        <v>20.8</v>
      </c>
      <c r="BJ327" s="34">
        <v>3.5093999999999999</v>
      </c>
      <c r="BK327" s="35">
        <v>0.1474</v>
      </c>
      <c r="BL327" s="33"/>
      <c r="BM327" s="37">
        <v>858</v>
      </c>
      <c r="BN327" s="38">
        <v>0.85850000000000004</v>
      </c>
      <c r="BO327" s="39">
        <v>33.33</v>
      </c>
      <c r="BP327" s="520"/>
      <c r="BQ327" s="40">
        <v>858</v>
      </c>
      <c r="BR327" s="43">
        <v>856.9</v>
      </c>
      <c r="BS327" s="41">
        <v>1.167</v>
      </c>
    </row>
    <row r="328" spans="28:71">
      <c r="AB328" s="514"/>
      <c r="AC328" s="514"/>
      <c r="AD328" s="514"/>
      <c r="AE328" s="514"/>
      <c r="AF328" s="514"/>
      <c r="AG328" s="514"/>
      <c r="AH328" s="514"/>
      <c r="AI328" s="514"/>
      <c r="AJ328" s="514"/>
      <c r="AK328" s="514"/>
      <c r="AL328" s="514"/>
      <c r="AM328" s="514"/>
      <c r="AN328" s="514"/>
      <c r="AO328" s="514"/>
      <c r="AP328" s="514"/>
      <c r="AQ328" s="514"/>
      <c r="AR328" s="514"/>
      <c r="AS328" s="514"/>
      <c r="AT328" s="514"/>
      <c r="AU328" s="514"/>
      <c r="AV328" s="514"/>
      <c r="AW328" s="514"/>
      <c r="AX328" s="514"/>
      <c r="AY328" s="514"/>
      <c r="AZ328" s="514"/>
      <c r="BA328" s="514"/>
      <c r="BB328" s="514"/>
      <c r="BC328" s="520"/>
      <c r="BD328" s="2482"/>
      <c r="BE328" s="30">
        <v>20.9</v>
      </c>
      <c r="BF328" s="31">
        <v>0.92849999999999999</v>
      </c>
      <c r="BG328" s="32">
        <v>927.9</v>
      </c>
      <c r="BH328" s="33"/>
      <c r="BI328" s="30">
        <v>20.9</v>
      </c>
      <c r="BJ328" s="34">
        <v>3.5070999999999999</v>
      </c>
      <c r="BK328" s="35">
        <v>0.14729999999999999</v>
      </c>
      <c r="BL328" s="33"/>
      <c r="BM328" s="37">
        <v>859</v>
      </c>
      <c r="BN328" s="38">
        <v>0.85950000000000004</v>
      </c>
      <c r="BO328" s="39">
        <v>33.14</v>
      </c>
      <c r="BP328" s="520"/>
      <c r="BQ328" s="40">
        <v>859</v>
      </c>
      <c r="BR328" s="43">
        <v>857.9</v>
      </c>
      <c r="BS328" s="41">
        <v>1.1656</v>
      </c>
    </row>
    <row r="329" spans="28:71">
      <c r="AB329" s="514"/>
      <c r="AC329" s="514"/>
      <c r="AD329" s="514"/>
      <c r="AE329" s="514"/>
      <c r="AF329" s="514"/>
      <c r="AG329" s="514"/>
      <c r="AH329" s="514"/>
      <c r="AI329" s="514"/>
      <c r="AJ329" s="514"/>
      <c r="AK329" s="514"/>
      <c r="AL329" s="514"/>
      <c r="AM329" s="514"/>
      <c r="AN329" s="514"/>
      <c r="AO329" s="514"/>
      <c r="AP329" s="514"/>
      <c r="AQ329" s="514"/>
      <c r="AR329" s="514"/>
      <c r="AS329" s="514"/>
      <c r="AT329" s="514"/>
      <c r="AU329" s="514"/>
      <c r="AV329" s="514"/>
      <c r="AW329" s="514"/>
      <c r="AX329" s="514"/>
      <c r="AY329" s="514"/>
      <c r="AZ329" s="514"/>
      <c r="BA329" s="514"/>
      <c r="BB329" s="514"/>
      <c r="BC329" s="520"/>
      <c r="BD329" s="2482"/>
      <c r="BE329" s="30">
        <v>21</v>
      </c>
      <c r="BF329" s="31">
        <v>0.92789999999999995</v>
      </c>
      <c r="BG329" s="32">
        <v>927.3</v>
      </c>
      <c r="BH329" s="33"/>
      <c r="BI329" s="30">
        <v>21</v>
      </c>
      <c r="BJ329" s="34">
        <v>3.5047999999999999</v>
      </c>
      <c r="BK329" s="35">
        <v>0.1472</v>
      </c>
      <c r="BL329" s="33"/>
      <c r="BM329" s="37">
        <v>860</v>
      </c>
      <c r="BN329" s="38">
        <v>0.86050000000000004</v>
      </c>
      <c r="BO329" s="39">
        <v>32.950000000000003</v>
      </c>
      <c r="BP329" s="520"/>
      <c r="BQ329" s="40">
        <v>860</v>
      </c>
      <c r="BR329" s="43">
        <v>858.9</v>
      </c>
      <c r="BS329" s="41">
        <v>1.1642999999999999</v>
      </c>
    </row>
    <row r="330" spans="28:71">
      <c r="AB330" s="514"/>
      <c r="AC330" s="514"/>
      <c r="AD330" s="514"/>
      <c r="AE330" s="514"/>
      <c r="AF330" s="514"/>
      <c r="AG330" s="514"/>
      <c r="AH330" s="514"/>
      <c r="AI330" s="514"/>
      <c r="AJ330" s="514"/>
      <c r="AK330" s="514"/>
      <c r="AL330" s="514"/>
      <c r="AM330" s="514"/>
      <c r="AN330" s="514"/>
      <c r="AO330" s="514"/>
      <c r="AP330" s="514"/>
      <c r="AQ330" s="514"/>
      <c r="AR330" s="514"/>
      <c r="AS330" s="514"/>
      <c r="AT330" s="514"/>
      <c r="AU330" s="514"/>
      <c r="AV330" s="514"/>
      <c r="AW330" s="514"/>
      <c r="AX330" s="514"/>
      <c r="AY330" s="514"/>
      <c r="AZ330" s="514"/>
      <c r="BA330" s="514"/>
      <c r="BB330" s="514"/>
      <c r="BC330" s="520"/>
      <c r="BD330" s="2482"/>
      <c r="BE330" s="30">
        <v>21.1</v>
      </c>
      <c r="BF330" s="31">
        <v>0.92730000000000001</v>
      </c>
      <c r="BG330" s="32">
        <v>926.7</v>
      </c>
      <c r="BH330" s="33"/>
      <c r="BI330" s="30">
        <v>21.1</v>
      </c>
      <c r="BJ330" s="34">
        <v>3.5024999999999999</v>
      </c>
      <c r="BK330" s="35">
        <v>0.14710000000000001</v>
      </c>
      <c r="BL330" s="33"/>
      <c r="BM330" s="37">
        <v>861</v>
      </c>
      <c r="BN330" s="38">
        <v>0.86150000000000004</v>
      </c>
      <c r="BO330" s="39">
        <v>32.76</v>
      </c>
      <c r="BP330" s="520"/>
      <c r="BQ330" s="40">
        <v>861</v>
      </c>
      <c r="BR330" s="43">
        <v>859.9</v>
      </c>
      <c r="BS330" s="41">
        <v>1.1629</v>
      </c>
    </row>
    <row r="331" spans="28:71">
      <c r="AB331" s="514"/>
      <c r="AC331" s="514"/>
      <c r="AD331" s="514"/>
      <c r="AE331" s="514"/>
      <c r="AF331" s="514"/>
      <c r="AG331" s="514"/>
      <c r="AH331" s="514"/>
      <c r="AI331" s="514"/>
      <c r="AJ331" s="514"/>
      <c r="AK331" s="514"/>
      <c r="AL331" s="514"/>
      <c r="AM331" s="514"/>
      <c r="AN331" s="514"/>
      <c r="AO331" s="514"/>
      <c r="AP331" s="514"/>
      <c r="AQ331" s="514"/>
      <c r="AR331" s="514"/>
      <c r="AS331" s="514"/>
      <c r="AT331" s="514"/>
      <c r="AU331" s="514"/>
      <c r="AV331" s="514"/>
      <c r="AW331" s="514"/>
      <c r="AX331" s="514"/>
      <c r="AY331" s="514"/>
      <c r="AZ331" s="514"/>
      <c r="BA331" s="514"/>
      <c r="BB331" s="514"/>
      <c r="BC331" s="520"/>
      <c r="BD331" s="2482"/>
      <c r="BE331" s="30">
        <v>21.2</v>
      </c>
      <c r="BF331" s="31">
        <v>0.92669999999999997</v>
      </c>
      <c r="BG331" s="32">
        <v>926.1</v>
      </c>
      <c r="BH331" s="33"/>
      <c r="BI331" s="30">
        <v>21.2</v>
      </c>
      <c r="BJ331" s="34">
        <v>3.5002</v>
      </c>
      <c r="BK331" s="35">
        <v>0.14701</v>
      </c>
      <c r="BL331" s="33"/>
      <c r="BM331" s="37">
        <v>862</v>
      </c>
      <c r="BN331" s="38">
        <v>0.86250000000000004</v>
      </c>
      <c r="BO331" s="39">
        <v>32.57</v>
      </c>
      <c r="BP331" s="520"/>
      <c r="BQ331" s="40">
        <v>862</v>
      </c>
      <c r="BR331" s="43">
        <v>860.9</v>
      </c>
      <c r="BS331" s="41">
        <v>1.1616</v>
      </c>
    </row>
    <row r="332" spans="28:71">
      <c r="AB332" s="514"/>
      <c r="AC332" s="514"/>
      <c r="AD332" s="514"/>
      <c r="AE332" s="514"/>
      <c r="AF332" s="514"/>
      <c r="AG332" s="514"/>
      <c r="AH332" s="514"/>
      <c r="AI332" s="514"/>
      <c r="AJ332" s="514"/>
      <c r="AK332" s="514"/>
      <c r="AL332" s="514"/>
      <c r="AM332" s="514"/>
      <c r="AN332" s="514"/>
      <c r="AO332" s="514"/>
      <c r="AP332" s="514"/>
      <c r="AQ332" s="514"/>
      <c r="AR332" s="514"/>
      <c r="AS332" s="514"/>
      <c r="AT332" s="514"/>
      <c r="AU332" s="514"/>
      <c r="AV332" s="514"/>
      <c r="AW332" s="514"/>
      <c r="AX332" s="514"/>
      <c r="AY332" s="514"/>
      <c r="AZ332" s="514"/>
      <c r="BA332" s="514"/>
      <c r="BB332" s="514"/>
      <c r="BC332" s="520"/>
      <c r="BD332" s="2482"/>
      <c r="BE332" s="30">
        <v>21.3</v>
      </c>
      <c r="BF332" s="31">
        <v>0.92600000000000005</v>
      </c>
      <c r="BG332" s="32">
        <v>925.5</v>
      </c>
      <c r="BH332" s="33"/>
      <c r="BI332" s="30">
        <v>21.3</v>
      </c>
      <c r="BJ332" s="34">
        <v>3.4979</v>
      </c>
      <c r="BK332" s="35">
        <v>0.14691000000000001</v>
      </c>
      <c r="BL332" s="33"/>
      <c r="BM332" s="37">
        <v>863</v>
      </c>
      <c r="BN332" s="38">
        <v>0.86350000000000005</v>
      </c>
      <c r="BO332" s="39">
        <v>32.380000000000003</v>
      </c>
      <c r="BP332" s="520"/>
      <c r="BQ332" s="40">
        <v>863</v>
      </c>
      <c r="BR332" s="43">
        <v>861.9</v>
      </c>
      <c r="BS332" s="41">
        <v>1.1601999999999999</v>
      </c>
    </row>
    <row r="333" spans="28:71">
      <c r="AB333" s="514"/>
      <c r="AC333" s="514"/>
      <c r="AD333" s="514"/>
      <c r="AE333" s="514"/>
      <c r="AF333" s="514"/>
      <c r="AG333" s="514"/>
      <c r="AH333" s="514"/>
      <c r="AI333" s="514"/>
      <c r="AJ333" s="514"/>
      <c r="AK333" s="514"/>
      <c r="AL333" s="514"/>
      <c r="AM333" s="514"/>
      <c r="AN333" s="514"/>
      <c r="AO333" s="514"/>
      <c r="AP333" s="514"/>
      <c r="AQ333" s="514"/>
      <c r="AR333" s="514"/>
      <c r="AS333" s="514"/>
      <c r="AT333" s="514"/>
      <c r="AU333" s="514"/>
      <c r="AV333" s="514"/>
      <c r="AW333" s="514"/>
      <c r="AX333" s="514"/>
      <c r="AY333" s="514"/>
      <c r="AZ333" s="514"/>
      <c r="BA333" s="514"/>
      <c r="BB333" s="514"/>
      <c r="BC333" s="520"/>
      <c r="BD333" s="2482"/>
      <c r="BE333" s="30">
        <v>21.4</v>
      </c>
      <c r="BF333" s="31">
        <v>0.9254</v>
      </c>
      <c r="BG333" s="32">
        <v>924.9</v>
      </c>
      <c r="BH333" s="33"/>
      <c r="BI333" s="30">
        <v>21.4</v>
      </c>
      <c r="BJ333" s="34">
        <v>3.4956</v>
      </c>
      <c r="BK333" s="35">
        <v>0.14682000000000001</v>
      </c>
      <c r="BL333" s="33"/>
      <c r="BM333" s="37">
        <v>864</v>
      </c>
      <c r="BN333" s="38">
        <v>0.86450000000000005</v>
      </c>
      <c r="BO333" s="39">
        <v>32.19</v>
      </c>
      <c r="BP333" s="520"/>
      <c r="BQ333" s="40">
        <v>864</v>
      </c>
      <c r="BR333" s="43">
        <v>862.9</v>
      </c>
      <c r="BS333" s="41">
        <v>1.1589</v>
      </c>
    </row>
    <row r="334" spans="28:71">
      <c r="AB334" s="514"/>
      <c r="AC334" s="514"/>
      <c r="AD334" s="514"/>
      <c r="AE334" s="514"/>
      <c r="AF334" s="514"/>
      <c r="AG334" s="514"/>
      <c r="AH334" s="514"/>
      <c r="AI334" s="514"/>
      <c r="AJ334" s="514"/>
      <c r="AK334" s="514"/>
      <c r="AL334" s="514"/>
      <c r="AM334" s="514"/>
      <c r="AN334" s="514"/>
      <c r="AO334" s="514"/>
      <c r="AP334" s="514"/>
      <c r="AQ334" s="514"/>
      <c r="AR334" s="514"/>
      <c r="AS334" s="514"/>
      <c r="AT334" s="514"/>
      <c r="AU334" s="514"/>
      <c r="AV334" s="514"/>
      <c r="AW334" s="514"/>
      <c r="AX334" s="514"/>
      <c r="AY334" s="514"/>
      <c r="AZ334" s="514"/>
      <c r="BA334" s="514"/>
      <c r="BB334" s="514"/>
      <c r="BC334" s="520"/>
      <c r="BD334" s="2482"/>
      <c r="BE334" s="30">
        <v>21.5</v>
      </c>
      <c r="BF334" s="31">
        <v>0.92479999999999996</v>
      </c>
      <c r="BG334" s="32">
        <v>924.3</v>
      </c>
      <c r="BH334" s="33"/>
      <c r="BI334" s="30">
        <v>21.5</v>
      </c>
      <c r="BJ334" s="34">
        <v>3.4933000000000001</v>
      </c>
      <c r="BK334" s="35">
        <v>0.14671999999999999</v>
      </c>
      <c r="BL334" s="33"/>
      <c r="BM334" s="37">
        <v>865</v>
      </c>
      <c r="BN334" s="38">
        <v>0.86550000000000005</v>
      </c>
      <c r="BO334" s="39">
        <v>32</v>
      </c>
      <c r="BP334" s="520"/>
      <c r="BQ334" s="40">
        <v>865</v>
      </c>
      <c r="BR334" s="43">
        <v>863.9</v>
      </c>
      <c r="BS334" s="41">
        <v>1.1575</v>
      </c>
    </row>
    <row r="335" spans="28:71">
      <c r="AB335" s="514"/>
      <c r="AC335" s="514"/>
      <c r="AD335" s="514"/>
      <c r="AE335" s="514"/>
      <c r="AF335" s="514"/>
      <c r="AG335" s="514"/>
      <c r="AH335" s="514"/>
      <c r="AI335" s="514"/>
      <c r="AJ335" s="514"/>
      <c r="AK335" s="514"/>
      <c r="AL335" s="514"/>
      <c r="AM335" s="514"/>
      <c r="AN335" s="514"/>
      <c r="AO335" s="514"/>
      <c r="AP335" s="514"/>
      <c r="AQ335" s="514"/>
      <c r="AR335" s="514"/>
      <c r="AS335" s="514"/>
      <c r="AT335" s="514"/>
      <c r="AU335" s="514"/>
      <c r="AV335" s="514"/>
      <c r="AW335" s="514"/>
      <c r="AX335" s="514"/>
      <c r="AY335" s="514"/>
      <c r="AZ335" s="514"/>
      <c r="BA335" s="514"/>
      <c r="BB335" s="514"/>
      <c r="BC335" s="520"/>
      <c r="BD335" s="2482"/>
      <c r="BE335" s="30">
        <v>21.6</v>
      </c>
      <c r="BF335" s="31">
        <v>0.92420000000000002</v>
      </c>
      <c r="BG335" s="32">
        <v>923.7</v>
      </c>
      <c r="BH335" s="33"/>
      <c r="BI335" s="30">
        <v>21.6</v>
      </c>
      <c r="BJ335" s="34">
        <v>3.4910000000000001</v>
      </c>
      <c r="BK335" s="35">
        <v>0.14662</v>
      </c>
      <c r="BL335" s="33"/>
      <c r="BM335" s="37">
        <v>866</v>
      </c>
      <c r="BN335" s="38">
        <v>0.86650000000000005</v>
      </c>
      <c r="BO335" s="39">
        <v>31.81</v>
      </c>
      <c r="BP335" s="520"/>
      <c r="BQ335" s="40">
        <v>866</v>
      </c>
      <c r="BR335" s="43">
        <v>864.9</v>
      </c>
      <c r="BS335" s="41">
        <v>1.1561999999999999</v>
      </c>
    </row>
    <row r="336" spans="28:71">
      <c r="AB336" s="514"/>
      <c r="AC336" s="514"/>
      <c r="AD336" s="514"/>
      <c r="AE336" s="514"/>
      <c r="AF336" s="514"/>
      <c r="AG336" s="514"/>
      <c r="AH336" s="514"/>
      <c r="AI336" s="514"/>
      <c r="AJ336" s="514"/>
      <c r="AK336" s="514"/>
      <c r="AL336" s="514"/>
      <c r="AM336" s="514"/>
      <c r="AN336" s="514"/>
      <c r="AO336" s="514"/>
      <c r="AP336" s="514"/>
      <c r="AQ336" s="514"/>
      <c r="AR336" s="514"/>
      <c r="AS336" s="514"/>
      <c r="AT336" s="514"/>
      <c r="AU336" s="514"/>
      <c r="AV336" s="514"/>
      <c r="AW336" s="514"/>
      <c r="AX336" s="514"/>
      <c r="AY336" s="514"/>
      <c r="AZ336" s="514"/>
      <c r="BA336" s="514"/>
      <c r="BB336" s="514"/>
      <c r="BC336" s="520"/>
      <c r="BD336" s="2482"/>
      <c r="BE336" s="30">
        <v>21.7</v>
      </c>
      <c r="BF336" s="31">
        <v>0.92359999999999998</v>
      </c>
      <c r="BG336" s="32">
        <v>923.1</v>
      </c>
      <c r="BH336" s="33"/>
      <c r="BI336" s="30">
        <v>21.7</v>
      </c>
      <c r="BJ336" s="34">
        <v>3.4887999999999999</v>
      </c>
      <c r="BK336" s="35">
        <v>0.14652999999999999</v>
      </c>
      <c r="BL336" s="33"/>
      <c r="BM336" s="37">
        <v>867</v>
      </c>
      <c r="BN336" s="38">
        <v>0.86750000000000005</v>
      </c>
      <c r="BO336" s="39">
        <v>31.62</v>
      </c>
      <c r="BP336" s="520"/>
      <c r="BQ336" s="40">
        <v>867</v>
      </c>
      <c r="BR336" s="43">
        <v>865.9</v>
      </c>
      <c r="BS336" s="41">
        <v>1.1549</v>
      </c>
    </row>
    <row r="337" spans="28:71">
      <c r="AB337" s="514"/>
      <c r="AC337" s="514"/>
      <c r="AD337" s="514"/>
      <c r="AE337" s="514"/>
      <c r="AF337" s="514"/>
      <c r="AG337" s="514"/>
      <c r="AH337" s="514"/>
      <c r="AI337" s="514"/>
      <c r="AJ337" s="514"/>
      <c r="AK337" s="514"/>
      <c r="AL337" s="514"/>
      <c r="AM337" s="514"/>
      <c r="AN337" s="514"/>
      <c r="AO337" s="514"/>
      <c r="AP337" s="514"/>
      <c r="AQ337" s="514"/>
      <c r="AR337" s="514"/>
      <c r="AS337" s="514"/>
      <c r="AT337" s="514"/>
      <c r="AU337" s="514"/>
      <c r="AV337" s="514"/>
      <c r="AW337" s="514"/>
      <c r="AX337" s="514"/>
      <c r="AY337" s="514"/>
      <c r="AZ337" s="514"/>
      <c r="BA337" s="514"/>
      <c r="BB337" s="514"/>
      <c r="BC337" s="520"/>
      <c r="BD337" s="2482"/>
      <c r="BE337" s="30">
        <v>21.8</v>
      </c>
      <c r="BF337" s="31">
        <v>0.92300000000000004</v>
      </c>
      <c r="BG337" s="32">
        <v>922.5</v>
      </c>
      <c r="BH337" s="33"/>
      <c r="BI337" s="30">
        <v>21.8</v>
      </c>
      <c r="BJ337" s="34">
        <v>3.4864999999999999</v>
      </c>
      <c r="BK337" s="35">
        <v>0.14643</v>
      </c>
      <c r="BL337" s="33"/>
      <c r="BM337" s="37">
        <v>868</v>
      </c>
      <c r="BN337" s="38">
        <v>0.86850000000000005</v>
      </c>
      <c r="BO337" s="39">
        <v>31.43</v>
      </c>
      <c r="BP337" s="520"/>
      <c r="BQ337" s="40">
        <v>868</v>
      </c>
      <c r="BR337" s="43">
        <v>866.9</v>
      </c>
      <c r="BS337" s="41">
        <v>1.1535</v>
      </c>
    </row>
    <row r="338" spans="28:71">
      <c r="AB338" s="514"/>
      <c r="AC338" s="514"/>
      <c r="AD338" s="514"/>
      <c r="AE338" s="514"/>
      <c r="AF338" s="514"/>
      <c r="AG338" s="514"/>
      <c r="AH338" s="514"/>
      <c r="AI338" s="514"/>
      <c r="AJ338" s="514"/>
      <c r="AK338" s="514"/>
      <c r="AL338" s="514"/>
      <c r="AM338" s="514"/>
      <c r="AN338" s="514"/>
      <c r="AO338" s="514"/>
      <c r="AP338" s="514"/>
      <c r="AQ338" s="514"/>
      <c r="AR338" s="514"/>
      <c r="AS338" s="514"/>
      <c r="AT338" s="514"/>
      <c r="AU338" s="514"/>
      <c r="AV338" s="514"/>
      <c r="AW338" s="514"/>
      <c r="AX338" s="514"/>
      <c r="AY338" s="514"/>
      <c r="AZ338" s="514"/>
      <c r="BA338" s="514"/>
      <c r="BB338" s="514"/>
      <c r="BC338" s="520"/>
      <c r="BD338" s="2482"/>
      <c r="BE338" s="30">
        <v>21.9</v>
      </c>
      <c r="BF338" s="31">
        <v>0.9224</v>
      </c>
      <c r="BG338" s="32">
        <v>921.9</v>
      </c>
      <c r="BH338" s="33"/>
      <c r="BI338" s="30">
        <v>21.9</v>
      </c>
      <c r="BJ338" s="34">
        <v>3.4842</v>
      </c>
      <c r="BK338" s="35">
        <v>0.14634</v>
      </c>
      <c r="BL338" s="33"/>
      <c r="BM338" s="37">
        <v>869</v>
      </c>
      <c r="BN338" s="38">
        <v>0.86950000000000005</v>
      </c>
      <c r="BO338" s="39">
        <v>31.24</v>
      </c>
      <c r="BP338" s="520"/>
      <c r="BQ338" s="40">
        <v>869</v>
      </c>
      <c r="BR338" s="43">
        <v>867.9</v>
      </c>
      <c r="BS338" s="41">
        <v>1.1521999999999999</v>
      </c>
    </row>
    <row r="339" spans="28:71">
      <c r="AB339" s="514"/>
      <c r="AC339" s="514"/>
      <c r="AD339" s="514"/>
      <c r="AE339" s="514"/>
      <c r="AF339" s="514"/>
      <c r="AG339" s="514"/>
      <c r="AH339" s="514"/>
      <c r="AI339" s="514"/>
      <c r="AJ339" s="514"/>
      <c r="AK339" s="514"/>
      <c r="AL339" s="514"/>
      <c r="AM339" s="514"/>
      <c r="AN339" s="514"/>
      <c r="AO339" s="514"/>
      <c r="AP339" s="514"/>
      <c r="AQ339" s="514"/>
      <c r="AR339" s="514"/>
      <c r="AS339" s="514"/>
      <c r="AT339" s="514"/>
      <c r="AU339" s="514"/>
      <c r="AV339" s="514"/>
      <c r="AW339" s="514"/>
      <c r="AX339" s="514"/>
      <c r="AY339" s="514"/>
      <c r="AZ339" s="514"/>
      <c r="BA339" s="514"/>
      <c r="BB339" s="514"/>
      <c r="BC339" s="520"/>
      <c r="BD339" s="2482"/>
      <c r="BE339" s="30">
        <v>22</v>
      </c>
      <c r="BF339" s="31">
        <v>0.92179999999999995</v>
      </c>
      <c r="BG339" s="32">
        <v>921.3</v>
      </c>
      <c r="BH339" s="33"/>
      <c r="BI339" s="30">
        <v>22</v>
      </c>
      <c r="BJ339" s="34">
        <v>3.4819</v>
      </c>
      <c r="BK339" s="35">
        <v>0.14624000000000001</v>
      </c>
      <c r="BL339" s="33"/>
      <c r="BM339" s="37">
        <v>870</v>
      </c>
      <c r="BN339" s="38">
        <v>0.87050000000000005</v>
      </c>
      <c r="BO339" s="39">
        <v>31.06</v>
      </c>
      <c r="BP339" s="520"/>
      <c r="BQ339" s="40">
        <v>870</v>
      </c>
      <c r="BR339" s="43">
        <v>868.9</v>
      </c>
      <c r="BS339" s="41">
        <v>1.1509</v>
      </c>
    </row>
    <row r="340" spans="28:71">
      <c r="AB340" s="514"/>
      <c r="AC340" s="514"/>
      <c r="AD340" s="514"/>
      <c r="AE340" s="514"/>
      <c r="AF340" s="514"/>
      <c r="AG340" s="514"/>
      <c r="AH340" s="514"/>
      <c r="AI340" s="514"/>
      <c r="AJ340" s="514"/>
      <c r="AK340" s="514"/>
      <c r="AL340" s="514"/>
      <c r="AM340" s="514"/>
      <c r="AN340" s="514"/>
      <c r="AO340" s="514"/>
      <c r="AP340" s="514"/>
      <c r="AQ340" s="514"/>
      <c r="AR340" s="514"/>
      <c r="AS340" s="514"/>
      <c r="AT340" s="514"/>
      <c r="AU340" s="514"/>
      <c r="AV340" s="514"/>
      <c r="AW340" s="514"/>
      <c r="AX340" s="514"/>
      <c r="AY340" s="514"/>
      <c r="AZ340" s="514"/>
      <c r="BA340" s="514"/>
      <c r="BB340" s="514"/>
      <c r="BC340" s="520"/>
      <c r="BD340" s="2482"/>
      <c r="BE340" s="30">
        <v>22.1</v>
      </c>
      <c r="BF340" s="31">
        <v>0.92120000000000002</v>
      </c>
      <c r="BG340" s="32">
        <v>920.7</v>
      </c>
      <c r="BH340" s="33"/>
      <c r="BI340" s="30">
        <v>22.1</v>
      </c>
      <c r="BJ340" s="34">
        <v>3.4796999999999998</v>
      </c>
      <c r="BK340" s="35">
        <v>0.14615</v>
      </c>
      <c r="BL340" s="33"/>
      <c r="BM340" s="37">
        <v>871</v>
      </c>
      <c r="BN340" s="38">
        <v>0.87150000000000005</v>
      </c>
      <c r="BO340" s="39">
        <v>30.87</v>
      </c>
      <c r="BP340" s="520"/>
      <c r="BQ340" s="40">
        <v>871</v>
      </c>
      <c r="BR340" s="43">
        <v>869.9</v>
      </c>
      <c r="BS340" s="41">
        <v>1.1495</v>
      </c>
    </row>
    <row r="341" spans="28:71">
      <c r="AB341" s="514"/>
      <c r="AC341" s="514"/>
      <c r="AD341" s="514"/>
      <c r="AE341" s="514"/>
      <c r="AF341" s="514"/>
      <c r="AG341" s="514"/>
      <c r="AH341" s="514"/>
      <c r="AI341" s="514"/>
      <c r="AJ341" s="514"/>
      <c r="AK341" s="514"/>
      <c r="AL341" s="514"/>
      <c r="AM341" s="514"/>
      <c r="AN341" s="514"/>
      <c r="AO341" s="514"/>
      <c r="AP341" s="514"/>
      <c r="AQ341" s="514"/>
      <c r="AR341" s="514"/>
      <c r="AS341" s="514"/>
      <c r="AT341" s="514"/>
      <c r="AU341" s="514"/>
      <c r="AV341" s="514"/>
      <c r="AW341" s="514"/>
      <c r="AX341" s="514"/>
      <c r="AY341" s="514"/>
      <c r="AZ341" s="514"/>
      <c r="BA341" s="514"/>
      <c r="BB341" s="514"/>
      <c r="BC341" s="520"/>
      <c r="BD341" s="2482"/>
      <c r="BE341" s="30">
        <v>22.2</v>
      </c>
      <c r="BF341" s="31">
        <v>0.92059999999999997</v>
      </c>
      <c r="BG341" s="32">
        <v>920.1</v>
      </c>
      <c r="BH341" s="33"/>
      <c r="BI341" s="30">
        <v>22.2</v>
      </c>
      <c r="BJ341" s="34">
        <v>3.4773999999999998</v>
      </c>
      <c r="BK341" s="35">
        <v>0.14605000000000001</v>
      </c>
      <c r="BL341" s="33"/>
      <c r="BM341" s="37">
        <v>872</v>
      </c>
      <c r="BN341" s="38">
        <v>0.87250000000000005</v>
      </c>
      <c r="BO341" s="39">
        <v>30.68</v>
      </c>
      <c r="BP341" s="520"/>
      <c r="BQ341" s="40">
        <v>872</v>
      </c>
      <c r="BR341" s="43">
        <v>870.9</v>
      </c>
      <c r="BS341" s="41">
        <v>1.1482000000000001</v>
      </c>
    </row>
    <row r="342" spans="28:71">
      <c r="AB342" s="514"/>
      <c r="AC342" s="514"/>
      <c r="AD342" s="514"/>
      <c r="AE342" s="514"/>
      <c r="AF342" s="514"/>
      <c r="AG342" s="514"/>
      <c r="AH342" s="514"/>
      <c r="AI342" s="514"/>
      <c r="AJ342" s="514"/>
      <c r="AK342" s="514"/>
      <c r="AL342" s="514"/>
      <c r="AM342" s="514"/>
      <c r="AN342" s="514"/>
      <c r="AO342" s="514"/>
      <c r="AP342" s="514"/>
      <c r="AQ342" s="514"/>
      <c r="AR342" s="514"/>
      <c r="AS342" s="514"/>
      <c r="AT342" s="514"/>
      <c r="AU342" s="514"/>
      <c r="AV342" s="514"/>
      <c r="AW342" s="514"/>
      <c r="AX342" s="514"/>
      <c r="AY342" s="514"/>
      <c r="AZ342" s="514"/>
      <c r="BA342" s="514"/>
      <c r="BB342" s="514"/>
      <c r="BC342" s="520"/>
      <c r="BD342" s="2482"/>
      <c r="BE342" s="30">
        <v>22.3</v>
      </c>
      <c r="BF342" s="31">
        <v>0.92</v>
      </c>
      <c r="BG342" s="32">
        <v>919.5</v>
      </c>
      <c r="BH342" s="33"/>
      <c r="BI342" s="30">
        <v>22.3</v>
      </c>
      <c r="BJ342" s="34">
        <v>3.4750999999999999</v>
      </c>
      <c r="BK342" s="35">
        <v>0.14596000000000001</v>
      </c>
      <c r="BL342" s="33"/>
      <c r="BM342" s="37">
        <v>873</v>
      </c>
      <c r="BN342" s="38">
        <v>0.87350000000000005</v>
      </c>
      <c r="BO342" s="39">
        <v>30.5</v>
      </c>
      <c r="BP342" s="520"/>
      <c r="BQ342" s="40">
        <v>873</v>
      </c>
      <c r="BR342" s="43">
        <v>871.9</v>
      </c>
      <c r="BS342" s="41">
        <v>1.1469</v>
      </c>
    </row>
    <row r="343" spans="28:71">
      <c r="AB343" s="514"/>
      <c r="AC343" s="514"/>
      <c r="AD343" s="514"/>
      <c r="AE343" s="514"/>
      <c r="AF343" s="514"/>
      <c r="AG343" s="514"/>
      <c r="AH343" s="514"/>
      <c r="AI343" s="514"/>
      <c r="AJ343" s="514"/>
      <c r="AK343" s="514"/>
      <c r="AL343" s="514"/>
      <c r="AM343" s="514"/>
      <c r="AN343" s="514"/>
      <c r="AO343" s="514"/>
      <c r="AP343" s="514"/>
      <c r="AQ343" s="514"/>
      <c r="AR343" s="514"/>
      <c r="AS343" s="514"/>
      <c r="AT343" s="514"/>
      <c r="AU343" s="514"/>
      <c r="AV343" s="514"/>
      <c r="AW343" s="514"/>
      <c r="AX343" s="514"/>
      <c r="AY343" s="514"/>
      <c r="AZ343" s="514"/>
      <c r="BA343" s="514"/>
      <c r="BB343" s="514"/>
      <c r="BC343" s="520"/>
      <c r="BD343" s="2482"/>
      <c r="BE343" s="30">
        <v>22.4</v>
      </c>
      <c r="BF343" s="31">
        <v>0.9194</v>
      </c>
      <c r="BG343" s="32">
        <v>918.9</v>
      </c>
      <c r="BH343" s="33"/>
      <c r="BI343" s="30">
        <v>22.4</v>
      </c>
      <c r="BJ343" s="34">
        <v>3.4729000000000001</v>
      </c>
      <c r="BK343" s="35">
        <v>0.14585999999999999</v>
      </c>
      <c r="BL343" s="33"/>
      <c r="BM343" s="37">
        <v>874</v>
      </c>
      <c r="BN343" s="38">
        <v>0.87450000000000006</v>
      </c>
      <c r="BO343" s="39">
        <v>30.31</v>
      </c>
      <c r="BP343" s="520"/>
      <c r="BQ343" s="40">
        <v>874</v>
      </c>
      <c r="BR343" s="43">
        <v>872.9</v>
      </c>
      <c r="BS343" s="41">
        <v>1.1456</v>
      </c>
    </row>
    <row r="344" spans="28:71">
      <c r="AB344" s="514"/>
      <c r="AC344" s="514"/>
      <c r="AD344" s="514"/>
      <c r="AE344" s="514"/>
      <c r="AF344" s="514"/>
      <c r="AG344" s="514"/>
      <c r="AH344" s="514"/>
      <c r="AI344" s="514"/>
      <c r="AJ344" s="514"/>
      <c r="AK344" s="514"/>
      <c r="AL344" s="514"/>
      <c r="AM344" s="514"/>
      <c r="AN344" s="514"/>
      <c r="AO344" s="514"/>
      <c r="AP344" s="514"/>
      <c r="AQ344" s="514"/>
      <c r="AR344" s="514"/>
      <c r="AS344" s="514"/>
      <c r="AT344" s="514"/>
      <c r="AU344" s="514"/>
      <c r="AV344" s="514"/>
      <c r="AW344" s="514"/>
      <c r="AX344" s="514"/>
      <c r="AY344" s="514"/>
      <c r="AZ344" s="514"/>
      <c r="BA344" s="514"/>
      <c r="BB344" s="514"/>
      <c r="BC344" s="520"/>
      <c r="BD344" s="2482"/>
      <c r="BE344" s="30">
        <v>22.5</v>
      </c>
      <c r="BF344" s="31">
        <v>0.91879999999999995</v>
      </c>
      <c r="BG344" s="32">
        <v>918.3</v>
      </c>
      <c r="BH344" s="33"/>
      <c r="BI344" s="30">
        <v>22.5</v>
      </c>
      <c r="BJ344" s="34">
        <v>3.4706000000000001</v>
      </c>
      <c r="BK344" s="35">
        <v>0.14577000000000001</v>
      </c>
      <c r="BL344" s="33"/>
      <c r="BM344" s="37">
        <v>875</v>
      </c>
      <c r="BN344" s="38">
        <v>0.87549999999999994</v>
      </c>
      <c r="BO344" s="39">
        <v>30.13</v>
      </c>
      <c r="BP344" s="520"/>
      <c r="BQ344" s="40">
        <v>875</v>
      </c>
      <c r="BR344" s="43">
        <v>873.9</v>
      </c>
      <c r="BS344" s="41">
        <v>1.1443000000000001</v>
      </c>
    </row>
    <row r="345" spans="28:71">
      <c r="AB345" s="514"/>
      <c r="AC345" s="514"/>
      <c r="AD345" s="514"/>
      <c r="AE345" s="514"/>
      <c r="AF345" s="514"/>
      <c r="AG345" s="514"/>
      <c r="AH345" s="514"/>
      <c r="AI345" s="514"/>
      <c r="AJ345" s="514"/>
      <c r="AK345" s="514"/>
      <c r="AL345" s="514"/>
      <c r="AM345" s="514"/>
      <c r="AN345" s="514"/>
      <c r="AO345" s="514"/>
      <c r="AP345" s="514"/>
      <c r="AQ345" s="514"/>
      <c r="AR345" s="514"/>
      <c r="AS345" s="514"/>
      <c r="AT345" s="514"/>
      <c r="AU345" s="514"/>
      <c r="AV345" s="514"/>
      <c r="AW345" s="514"/>
      <c r="AX345" s="514"/>
      <c r="AY345" s="514"/>
      <c r="AZ345" s="514"/>
      <c r="BA345" s="514"/>
      <c r="BB345" s="514"/>
      <c r="BC345" s="520"/>
      <c r="BD345" s="2482"/>
      <c r="BE345" s="30">
        <v>22.6</v>
      </c>
      <c r="BF345" s="31">
        <v>0.91820000000000002</v>
      </c>
      <c r="BG345" s="32">
        <v>917.7</v>
      </c>
      <c r="BH345" s="33"/>
      <c r="BI345" s="30">
        <v>22.6</v>
      </c>
      <c r="BJ345" s="34">
        <v>3.4683999999999999</v>
      </c>
      <c r="BK345" s="35">
        <v>0.14566999999999999</v>
      </c>
      <c r="BL345" s="33"/>
      <c r="BM345" s="37">
        <v>876</v>
      </c>
      <c r="BN345" s="38">
        <v>0.87649999999999995</v>
      </c>
      <c r="BO345" s="39">
        <v>29.94</v>
      </c>
      <c r="BP345" s="520"/>
      <c r="BQ345" s="40">
        <v>876</v>
      </c>
      <c r="BR345" s="43">
        <v>874.9</v>
      </c>
      <c r="BS345" s="41">
        <v>1.143</v>
      </c>
    </row>
    <row r="346" spans="28:71">
      <c r="AB346" s="514"/>
      <c r="AC346" s="514"/>
      <c r="AD346" s="514"/>
      <c r="AE346" s="514"/>
      <c r="AF346" s="514"/>
      <c r="AG346" s="514"/>
      <c r="AH346" s="514"/>
      <c r="AI346" s="514"/>
      <c r="AJ346" s="514"/>
      <c r="AK346" s="514"/>
      <c r="AL346" s="514"/>
      <c r="AM346" s="514"/>
      <c r="AN346" s="514"/>
      <c r="AO346" s="514"/>
      <c r="AP346" s="514"/>
      <c r="AQ346" s="514"/>
      <c r="AR346" s="514"/>
      <c r="AS346" s="514"/>
      <c r="AT346" s="514"/>
      <c r="AU346" s="514"/>
      <c r="AV346" s="514"/>
      <c r="AW346" s="514"/>
      <c r="AX346" s="514"/>
      <c r="AY346" s="514"/>
      <c r="AZ346" s="514"/>
      <c r="BA346" s="514"/>
      <c r="BB346" s="514"/>
      <c r="BC346" s="520"/>
      <c r="BD346" s="2482"/>
      <c r="BE346" s="30">
        <v>22.7</v>
      </c>
      <c r="BF346" s="31">
        <v>0.91759999999999997</v>
      </c>
      <c r="BG346" s="32">
        <v>917.1</v>
      </c>
      <c r="BH346" s="33"/>
      <c r="BI346" s="30">
        <v>22.7</v>
      </c>
      <c r="BJ346" s="34">
        <v>3.4661</v>
      </c>
      <c r="BK346" s="35">
        <v>0.14557999999999999</v>
      </c>
      <c r="BL346" s="33"/>
      <c r="BM346" s="37">
        <v>877</v>
      </c>
      <c r="BN346" s="38">
        <v>0.87749999999999995</v>
      </c>
      <c r="BO346" s="39">
        <v>29.76</v>
      </c>
      <c r="BP346" s="520"/>
      <c r="BQ346" s="40">
        <v>877</v>
      </c>
      <c r="BR346" s="43">
        <v>875.9</v>
      </c>
      <c r="BS346" s="41">
        <v>1.1416999999999999</v>
      </c>
    </row>
    <row r="347" spans="28:71">
      <c r="AB347" s="514"/>
      <c r="AC347" s="514"/>
      <c r="AD347" s="514"/>
      <c r="AE347" s="514"/>
      <c r="AF347" s="514"/>
      <c r="AG347" s="514"/>
      <c r="AH347" s="514"/>
      <c r="AI347" s="514"/>
      <c r="AJ347" s="514"/>
      <c r="AK347" s="514"/>
      <c r="AL347" s="514"/>
      <c r="AM347" s="514"/>
      <c r="AN347" s="514"/>
      <c r="AO347" s="514"/>
      <c r="AP347" s="514"/>
      <c r="AQ347" s="514"/>
      <c r="AR347" s="514"/>
      <c r="AS347" s="514"/>
      <c r="AT347" s="514"/>
      <c r="AU347" s="514"/>
      <c r="AV347" s="514"/>
      <c r="AW347" s="514"/>
      <c r="AX347" s="514"/>
      <c r="AY347" s="514"/>
      <c r="AZ347" s="514"/>
      <c r="BA347" s="514"/>
      <c r="BB347" s="514"/>
      <c r="BC347" s="520"/>
      <c r="BD347" s="2482"/>
      <c r="BE347" s="30">
        <v>22.8</v>
      </c>
      <c r="BF347" s="31">
        <v>0.91700000000000004</v>
      </c>
      <c r="BG347" s="32">
        <v>916.5</v>
      </c>
      <c r="BH347" s="33"/>
      <c r="BI347" s="30">
        <v>22.8</v>
      </c>
      <c r="BJ347" s="34">
        <v>3.4639000000000002</v>
      </c>
      <c r="BK347" s="35">
        <v>0.14548</v>
      </c>
      <c r="BL347" s="33"/>
      <c r="BM347" s="37">
        <v>878</v>
      </c>
      <c r="BN347" s="38">
        <v>0.87849999999999995</v>
      </c>
      <c r="BO347" s="39">
        <v>29.57</v>
      </c>
      <c r="BP347" s="520"/>
      <c r="BQ347" s="40">
        <v>878</v>
      </c>
      <c r="BR347" s="43">
        <v>876.9</v>
      </c>
      <c r="BS347" s="41">
        <v>1.1404000000000001</v>
      </c>
    </row>
    <row r="348" spans="28:71">
      <c r="AB348" s="514"/>
      <c r="AC348" s="514"/>
      <c r="AD348" s="514"/>
      <c r="AE348" s="514"/>
      <c r="AF348" s="514"/>
      <c r="AG348" s="514"/>
      <c r="AH348" s="514"/>
      <c r="AI348" s="514"/>
      <c r="AJ348" s="514"/>
      <c r="AK348" s="514"/>
      <c r="AL348" s="514"/>
      <c r="AM348" s="514"/>
      <c r="AN348" s="514"/>
      <c r="AO348" s="514"/>
      <c r="AP348" s="514"/>
      <c r="AQ348" s="514"/>
      <c r="AR348" s="514"/>
      <c r="AS348" s="514"/>
      <c r="AT348" s="514"/>
      <c r="AU348" s="514"/>
      <c r="AV348" s="514"/>
      <c r="AW348" s="514"/>
      <c r="AX348" s="514"/>
      <c r="AY348" s="514"/>
      <c r="AZ348" s="514"/>
      <c r="BA348" s="514"/>
      <c r="BB348" s="514"/>
      <c r="BC348" s="520"/>
      <c r="BD348" s="2482"/>
      <c r="BE348" s="30">
        <v>22.9</v>
      </c>
      <c r="BF348" s="31">
        <v>0.91649999999999998</v>
      </c>
      <c r="BG348" s="32">
        <v>915.9</v>
      </c>
      <c r="BH348" s="33"/>
      <c r="BI348" s="30">
        <v>22.9</v>
      </c>
      <c r="BJ348" s="34">
        <v>3.4615999999999998</v>
      </c>
      <c r="BK348" s="35">
        <v>0.14538999999999999</v>
      </c>
      <c r="BL348" s="33"/>
      <c r="BM348" s="37">
        <v>879</v>
      </c>
      <c r="BN348" s="38">
        <v>0.87949999999999995</v>
      </c>
      <c r="BO348" s="39">
        <v>29.39</v>
      </c>
      <c r="BP348" s="520"/>
      <c r="BQ348" s="40">
        <v>879</v>
      </c>
      <c r="BR348" s="43">
        <v>877.9</v>
      </c>
      <c r="BS348" s="41">
        <v>1.1391</v>
      </c>
    </row>
    <row r="349" spans="28:71">
      <c r="AB349" s="514"/>
      <c r="AC349" s="514"/>
      <c r="AD349" s="514"/>
      <c r="AE349" s="514"/>
      <c r="AF349" s="514"/>
      <c r="AG349" s="514"/>
      <c r="AH349" s="514"/>
      <c r="AI349" s="514"/>
      <c r="AJ349" s="514"/>
      <c r="AK349" s="514"/>
      <c r="AL349" s="514"/>
      <c r="AM349" s="514"/>
      <c r="AN349" s="514"/>
      <c r="AO349" s="514"/>
      <c r="AP349" s="514"/>
      <c r="AQ349" s="514"/>
      <c r="AR349" s="514"/>
      <c r="AS349" s="514"/>
      <c r="AT349" s="514"/>
      <c r="AU349" s="514"/>
      <c r="AV349" s="514"/>
      <c r="AW349" s="514"/>
      <c r="AX349" s="514"/>
      <c r="AY349" s="514"/>
      <c r="AZ349" s="514"/>
      <c r="BA349" s="514"/>
      <c r="BB349" s="514"/>
      <c r="BC349" s="520"/>
      <c r="BD349" s="2482"/>
      <c r="BE349" s="30">
        <v>23</v>
      </c>
      <c r="BF349" s="31">
        <v>0.91590000000000005</v>
      </c>
      <c r="BG349" s="32">
        <v>915.3</v>
      </c>
      <c r="BH349" s="33"/>
      <c r="BI349" s="30">
        <v>23</v>
      </c>
      <c r="BJ349" s="34">
        <v>3.4594</v>
      </c>
      <c r="BK349" s="35">
        <v>0.14529</v>
      </c>
      <c r="BL349" s="33"/>
      <c r="BM349" s="37">
        <v>880</v>
      </c>
      <c r="BN349" s="38">
        <v>0.88049999999999995</v>
      </c>
      <c r="BO349" s="39">
        <v>29.21</v>
      </c>
      <c r="BP349" s="520"/>
      <c r="BQ349" s="40">
        <v>880</v>
      </c>
      <c r="BR349" s="43">
        <v>878.9</v>
      </c>
      <c r="BS349" s="41">
        <v>1.1377999999999999</v>
      </c>
    </row>
    <row r="350" spans="28:71">
      <c r="AB350" s="514"/>
      <c r="AC350" s="514"/>
      <c r="AD350" s="514"/>
      <c r="AE350" s="514"/>
      <c r="AF350" s="514"/>
      <c r="AG350" s="514"/>
      <c r="AH350" s="514"/>
      <c r="AI350" s="514"/>
      <c r="AJ350" s="514"/>
      <c r="AK350" s="514"/>
      <c r="AL350" s="514"/>
      <c r="AM350" s="514"/>
      <c r="AN350" s="514"/>
      <c r="AO350" s="514"/>
      <c r="AP350" s="514"/>
      <c r="AQ350" s="514"/>
      <c r="AR350" s="514"/>
      <c r="AS350" s="514"/>
      <c r="AT350" s="514"/>
      <c r="AU350" s="514"/>
      <c r="AV350" s="514"/>
      <c r="AW350" s="514"/>
      <c r="AX350" s="514"/>
      <c r="AY350" s="514"/>
      <c r="AZ350" s="514"/>
      <c r="BA350" s="514"/>
      <c r="BB350" s="514"/>
      <c r="BC350" s="520"/>
      <c r="BD350" s="2482"/>
      <c r="BE350" s="30">
        <v>23.1</v>
      </c>
      <c r="BF350" s="31">
        <v>0.9153</v>
      </c>
      <c r="BG350" s="32">
        <v>914.7</v>
      </c>
      <c r="BH350" s="33"/>
      <c r="BI350" s="30">
        <v>23.1</v>
      </c>
      <c r="BJ350" s="34">
        <v>3.4571000000000001</v>
      </c>
      <c r="BK350" s="35">
        <v>0.1452</v>
      </c>
      <c r="BL350" s="33"/>
      <c r="BM350" s="37">
        <v>881</v>
      </c>
      <c r="BN350" s="38">
        <v>0.88149999999999995</v>
      </c>
      <c r="BO350" s="39">
        <v>29.02</v>
      </c>
      <c r="BP350" s="520"/>
      <c r="BQ350" s="40">
        <v>881</v>
      </c>
      <c r="BR350" s="43">
        <v>879.9</v>
      </c>
      <c r="BS350" s="41">
        <v>1.1365000000000001</v>
      </c>
    </row>
    <row r="351" spans="28:71">
      <c r="AB351" s="514"/>
      <c r="AC351" s="514"/>
      <c r="AD351" s="514"/>
      <c r="AE351" s="514"/>
      <c r="AF351" s="514"/>
      <c r="AG351" s="514"/>
      <c r="AH351" s="514"/>
      <c r="AI351" s="514"/>
      <c r="AJ351" s="514"/>
      <c r="AK351" s="514"/>
      <c r="AL351" s="514"/>
      <c r="AM351" s="514"/>
      <c r="AN351" s="514"/>
      <c r="AO351" s="514"/>
      <c r="AP351" s="514"/>
      <c r="AQ351" s="514"/>
      <c r="AR351" s="514"/>
      <c r="AS351" s="514"/>
      <c r="AT351" s="514"/>
      <c r="AU351" s="514"/>
      <c r="AV351" s="514"/>
      <c r="AW351" s="514"/>
      <c r="AX351" s="514"/>
      <c r="AY351" s="514"/>
      <c r="AZ351" s="514"/>
      <c r="BA351" s="514"/>
      <c r="BB351" s="514"/>
      <c r="BC351" s="520"/>
      <c r="BD351" s="2482"/>
      <c r="BE351" s="30">
        <v>23.2</v>
      </c>
      <c r="BF351" s="31">
        <v>0.91469999999999996</v>
      </c>
      <c r="BG351" s="32">
        <v>914.2</v>
      </c>
      <c r="BH351" s="33"/>
      <c r="BI351" s="30">
        <v>23.2</v>
      </c>
      <c r="BJ351" s="34">
        <v>3.4548999999999999</v>
      </c>
      <c r="BK351" s="35">
        <v>0.14510999999999999</v>
      </c>
      <c r="BL351" s="33"/>
      <c r="BM351" s="37">
        <v>882</v>
      </c>
      <c r="BN351" s="38">
        <v>0.88249999999999995</v>
      </c>
      <c r="BO351" s="39">
        <v>28.84</v>
      </c>
      <c r="BP351" s="520"/>
      <c r="BQ351" s="40">
        <v>882</v>
      </c>
      <c r="BR351" s="43">
        <v>880.9</v>
      </c>
      <c r="BS351" s="41">
        <v>1.1352</v>
      </c>
    </row>
    <row r="352" spans="28:71">
      <c r="AB352" s="514"/>
      <c r="AC352" s="514"/>
      <c r="AD352" s="514"/>
      <c r="AE352" s="514"/>
      <c r="AF352" s="514"/>
      <c r="AG352" s="514"/>
      <c r="AH352" s="514"/>
      <c r="AI352" s="514"/>
      <c r="AJ352" s="514"/>
      <c r="AK352" s="514"/>
      <c r="AL352" s="514"/>
      <c r="AM352" s="514"/>
      <c r="AN352" s="514"/>
      <c r="AO352" s="514"/>
      <c r="AP352" s="514"/>
      <c r="AQ352" s="514"/>
      <c r="AR352" s="514"/>
      <c r="AS352" s="514"/>
      <c r="AT352" s="514"/>
      <c r="AU352" s="514"/>
      <c r="AV352" s="514"/>
      <c r="AW352" s="514"/>
      <c r="AX352" s="514"/>
      <c r="AY352" s="514"/>
      <c r="AZ352" s="514"/>
      <c r="BA352" s="514"/>
      <c r="BB352" s="514"/>
      <c r="BC352" s="520"/>
      <c r="BD352" s="2482"/>
      <c r="BE352" s="30">
        <v>23.3</v>
      </c>
      <c r="BF352" s="31">
        <v>0.91410000000000002</v>
      </c>
      <c r="BG352" s="32">
        <v>913.6</v>
      </c>
      <c r="BH352" s="33"/>
      <c r="BI352" s="30">
        <v>23.3</v>
      </c>
      <c r="BJ352" s="34">
        <v>3.4527000000000001</v>
      </c>
      <c r="BK352" s="35">
        <v>0.14501</v>
      </c>
      <c r="BL352" s="33"/>
      <c r="BM352" s="37">
        <v>883</v>
      </c>
      <c r="BN352" s="38">
        <v>0.88349999999999995</v>
      </c>
      <c r="BO352" s="39">
        <v>28.66</v>
      </c>
      <c r="BP352" s="520"/>
      <c r="BQ352" s="40">
        <v>883</v>
      </c>
      <c r="BR352" s="43">
        <v>881.9</v>
      </c>
      <c r="BS352" s="41">
        <v>1.1338999999999999</v>
      </c>
    </row>
    <row r="353" spans="28:71">
      <c r="AB353" s="514"/>
      <c r="AC353" s="514"/>
      <c r="AD353" s="514"/>
      <c r="AE353" s="514"/>
      <c r="AF353" s="514"/>
      <c r="AG353" s="514"/>
      <c r="AH353" s="514"/>
      <c r="AI353" s="514"/>
      <c r="AJ353" s="514"/>
      <c r="AK353" s="514"/>
      <c r="AL353" s="514"/>
      <c r="AM353" s="514"/>
      <c r="AN353" s="514"/>
      <c r="AO353" s="514"/>
      <c r="AP353" s="514"/>
      <c r="AQ353" s="514"/>
      <c r="AR353" s="514"/>
      <c r="AS353" s="514"/>
      <c r="AT353" s="514"/>
      <c r="AU353" s="514"/>
      <c r="AV353" s="514"/>
      <c r="AW353" s="514"/>
      <c r="AX353" s="514"/>
      <c r="AY353" s="514"/>
      <c r="AZ353" s="514"/>
      <c r="BA353" s="514"/>
      <c r="BB353" s="514"/>
      <c r="BC353" s="520"/>
      <c r="BD353" s="2482"/>
      <c r="BE353" s="30">
        <v>23.4</v>
      </c>
      <c r="BF353" s="31">
        <v>0.91349999999999998</v>
      </c>
      <c r="BG353" s="32">
        <v>913</v>
      </c>
      <c r="BH353" s="33"/>
      <c r="BI353" s="30">
        <v>23.4</v>
      </c>
      <c r="BJ353" s="34">
        <v>3.4504000000000001</v>
      </c>
      <c r="BK353" s="35">
        <v>0.14491999999999999</v>
      </c>
      <c r="BL353" s="33"/>
      <c r="BM353" s="37">
        <v>884</v>
      </c>
      <c r="BN353" s="38">
        <v>0.88449999999999995</v>
      </c>
      <c r="BO353" s="39">
        <v>28.48</v>
      </c>
      <c r="BP353" s="520"/>
      <c r="BQ353" s="40">
        <v>884</v>
      </c>
      <c r="BR353" s="43">
        <v>882.9</v>
      </c>
      <c r="BS353" s="41">
        <v>1.1326000000000001</v>
      </c>
    </row>
    <row r="354" spans="28:71">
      <c r="AB354" s="514"/>
      <c r="AC354" s="514"/>
      <c r="AD354" s="514"/>
      <c r="AE354" s="514"/>
      <c r="AF354" s="514"/>
      <c r="AG354" s="514"/>
      <c r="AH354" s="514"/>
      <c r="AI354" s="514"/>
      <c r="AJ354" s="514"/>
      <c r="AK354" s="514"/>
      <c r="AL354" s="514"/>
      <c r="AM354" s="514"/>
      <c r="AN354" s="514"/>
      <c r="AO354" s="514"/>
      <c r="AP354" s="514"/>
      <c r="AQ354" s="514"/>
      <c r="AR354" s="514"/>
      <c r="AS354" s="514"/>
      <c r="AT354" s="514"/>
      <c r="AU354" s="514"/>
      <c r="AV354" s="514"/>
      <c r="AW354" s="514"/>
      <c r="AX354" s="514"/>
      <c r="AY354" s="514"/>
      <c r="AZ354" s="514"/>
      <c r="BA354" s="514"/>
      <c r="BB354" s="514"/>
      <c r="BC354" s="520"/>
      <c r="BD354" s="2482"/>
      <c r="BE354" s="30">
        <v>23.5</v>
      </c>
      <c r="BF354" s="31">
        <v>0.91290000000000004</v>
      </c>
      <c r="BG354" s="32">
        <v>912.4</v>
      </c>
      <c r="BH354" s="33"/>
      <c r="BI354" s="30">
        <v>23.5</v>
      </c>
      <c r="BJ354" s="34">
        <v>3.4481999999999999</v>
      </c>
      <c r="BK354" s="35">
        <v>0.14482</v>
      </c>
      <c r="BL354" s="33"/>
      <c r="BM354" s="37">
        <v>885</v>
      </c>
      <c r="BN354" s="38">
        <v>0.88549999999999995</v>
      </c>
      <c r="BO354" s="39">
        <v>28.3</v>
      </c>
      <c r="BP354" s="520"/>
      <c r="BQ354" s="40">
        <v>885</v>
      </c>
      <c r="BR354" s="43">
        <v>883.9</v>
      </c>
      <c r="BS354" s="41">
        <v>1.1313</v>
      </c>
    </row>
    <row r="355" spans="28:71">
      <c r="AB355" s="514"/>
      <c r="AC355" s="514"/>
      <c r="AD355" s="514"/>
      <c r="AE355" s="514"/>
      <c r="AF355" s="514"/>
      <c r="AG355" s="514"/>
      <c r="AH355" s="514"/>
      <c r="AI355" s="514"/>
      <c r="AJ355" s="514"/>
      <c r="AK355" s="514"/>
      <c r="AL355" s="514"/>
      <c r="AM355" s="514"/>
      <c r="AN355" s="514"/>
      <c r="AO355" s="514"/>
      <c r="AP355" s="514"/>
      <c r="AQ355" s="514"/>
      <c r="AR355" s="514"/>
      <c r="AS355" s="514"/>
      <c r="AT355" s="514"/>
      <c r="AU355" s="514"/>
      <c r="AV355" s="514"/>
      <c r="AW355" s="514"/>
      <c r="AX355" s="514"/>
      <c r="AY355" s="514"/>
      <c r="AZ355" s="514"/>
      <c r="BA355" s="514"/>
      <c r="BB355" s="514"/>
      <c r="BC355" s="520"/>
      <c r="BD355" s="2482"/>
      <c r="BE355" s="30">
        <v>23.6</v>
      </c>
      <c r="BF355" s="31">
        <v>0.9123</v>
      </c>
      <c r="BG355" s="32">
        <v>911.8</v>
      </c>
      <c r="BH355" s="33"/>
      <c r="BI355" s="30">
        <v>23.6</v>
      </c>
      <c r="BJ355" s="34">
        <v>3.4460000000000002</v>
      </c>
      <c r="BK355" s="35">
        <v>0.14473</v>
      </c>
      <c r="BL355" s="33"/>
      <c r="BM355" s="37">
        <v>886</v>
      </c>
      <c r="BN355" s="38">
        <v>0.88649999999999995</v>
      </c>
      <c r="BO355" s="39">
        <v>28.12</v>
      </c>
      <c r="BP355" s="520"/>
      <c r="BQ355" s="40">
        <v>886</v>
      </c>
      <c r="BR355" s="43">
        <v>884.9</v>
      </c>
      <c r="BS355" s="41">
        <v>1.1301000000000001</v>
      </c>
    </row>
    <row r="356" spans="28:71">
      <c r="AB356" s="514"/>
      <c r="AC356" s="514"/>
      <c r="AD356" s="514"/>
      <c r="AE356" s="514"/>
      <c r="AF356" s="514"/>
      <c r="AG356" s="514"/>
      <c r="AH356" s="514"/>
      <c r="AI356" s="514"/>
      <c r="AJ356" s="514"/>
      <c r="AK356" s="514"/>
      <c r="AL356" s="514"/>
      <c r="AM356" s="514"/>
      <c r="AN356" s="514"/>
      <c r="AO356" s="514"/>
      <c r="AP356" s="514"/>
      <c r="AQ356" s="514"/>
      <c r="AR356" s="514"/>
      <c r="AS356" s="514"/>
      <c r="AT356" s="514"/>
      <c r="AU356" s="514"/>
      <c r="AV356" s="514"/>
      <c r="AW356" s="514"/>
      <c r="AX356" s="514"/>
      <c r="AY356" s="514"/>
      <c r="AZ356" s="514"/>
      <c r="BA356" s="514"/>
      <c r="BB356" s="514"/>
      <c r="BC356" s="520"/>
      <c r="BD356" s="2482"/>
      <c r="BE356" s="30">
        <v>23.7</v>
      </c>
      <c r="BF356" s="31">
        <v>0.91169999999999995</v>
      </c>
      <c r="BG356" s="32">
        <v>911.2</v>
      </c>
      <c r="BH356" s="33"/>
      <c r="BI356" s="30">
        <v>23.7</v>
      </c>
      <c r="BJ356" s="34">
        <v>3.4437000000000002</v>
      </c>
      <c r="BK356" s="35">
        <v>0.14463999999999999</v>
      </c>
      <c r="BL356" s="33"/>
      <c r="BM356" s="37">
        <v>887</v>
      </c>
      <c r="BN356" s="38">
        <v>0.88749999999999996</v>
      </c>
      <c r="BO356" s="39">
        <v>27.94</v>
      </c>
      <c r="BP356" s="520"/>
      <c r="BQ356" s="40">
        <v>887</v>
      </c>
      <c r="BR356" s="43">
        <v>885.9</v>
      </c>
      <c r="BS356" s="41">
        <v>1.1288</v>
      </c>
    </row>
    <row r="357" spans="28:71">
      <c r="AB357" s="514"/>
      <c r="AC357" s="514"/>
      <c r="AD357" s="514"/>
      <c r="AE357" s="514"/>
      <c r="AF357" s="514"/>
      <c r="AG357" s="514"/>
      <c r="AH357" s="514"/>
      <c r="AI357" s="514"/>
      <c r="AJ357" s="514"/>
      <c r="AK357" s="514"/>
      <c r="AL357" s="514"/>
      <c r="AM357" s="514"/>
      <c r="AN357" s="514"/>
      <c r="AO357" s="514"/>
      <c r="AP357" s="514"/>
      <c r="AQ357" s="514"/>
      <c r="AR357" s="514"/>
      <c r="AS357" s="514"/>
      <c r="AT357" s="514"/>
      <c r="AU357" s="514"/>
      <c r="AV357" s="514"/>
      <c r="AW357" s="514"/>
      <c r="AX357" s="514"/>
      <c r="AY357" s="514"/>
      <c r="AZ357" s="514"/>
      <c r="BA357" s="514"/>
      <c r="BB357" s="514"/>
      <c r="BC357" s="520"/>
      <c r="BD357" s="2482"/>
      <c r="BE357" s="30">
        <v>23.8</v>
      </c>
      <c r="BF357" s="31">
        <v>0.91110000000000002</v>
      </c>
      <c r="BG357" s="32">
        <v>910.6</v>
      </c>
      <c r="BH357" s="33"/>
      <c r="BI357" s="30">
        <v>23.8</v>
      </c>
      <c r="BJ357" s="34">
        <v>3.4415</v>
      </c>
      <c r="BK357" s="35">
        <v>0.14454</v>
      </c>
      <c r="BL357" s="33"/>
      <c r="BM357" s="37">
        <v>888</v>
      </c>
      <c r="BN357" s="38">
        <v>0.88849999999999996</v>
      </c>
      <c r="BO357" s="39">
        <v>27.76</v>
      </c>
      <c r="BP357" s="520"/>
      <c r="BQ357" s="40">
        <v>888</v>
      </c>
      <c r="BR357" s="43">
        <v>886.9</v>
      </c>
      <c r="BS357" s="41">
        <v>1.1274999999999999</v>
      </c>
    </row>
    <row r="358" spans="28:71">
      <c r="AB358" s="514"/>
      <c r="AC358" s="514"/>
      <c r="AD358" s="514"/>
      <c r="AE358" s="514"/>
      <c r="AF358" s="514"/>
      <c r="AG358" s="514"/>
      <c r="AH358" s="514"/>
      <c r="AI358" s="514"/>
      <c r="AJ358" s="514"/>
      <c r="AK358" s="514"/>
      <c r="AL358" s="514"/>
      <c r="AM358" s="514"/>
      <c r="AN358" s="514"/>
      <c r="AO358" s="514"/>
      <c r="AP358" s="514"/>
      <c r="AQ358" s="514"/>
      <c r="AR358" s="514"/>
      <c r="AS358" s="514"/>
      <c r="AT358" s="514"/>
      <c r="AU358" s="514"/>
      <c r="AV358" s="514"/>
      <c r="AW358" s="514"/>
      <c r="AX358" s="514"/>
      <c r="AY358" s="514"/>
      <c r="AZ358" s="514"/>
      <c r="BA358" s="514"/>
      <c r="BB358" s="514"/>
      <c r="BC358" s="520"/>
      <c r="BD358" s="2482"/>
      <c r="BE358" s="30">
        <v>23.9</v>
      </c>
      <c r="BF358" s="31">
        <v>0.91059999999999997</v>
      </c>
      <c r="BG358" s="32">
        <v>910</v>
      </c>
      <c r="BH358" s="33"/>
      <c r="BI358" s="30">
        <v>23.9</v>
      </c>
      <c r="BJ358" s="34">
        <v>3.4392999999999998</v>
      </c>
      <c r="BK358" s="35">
        <v>0.14445</v>
      </c>
      <c r="BL358" s="33"/>
      <c r="BM358" s="37">
        <v>889</v>
      </c>
      <c r="BN358" s="38">
        <v>0.88949999999999996</v>
      </c>
      <c r="BO358" s="39">
        <v>27.58</v>
      </c>
      <c r="BP358" s="520"/>
      <c r="BQ358" s="40">
        <v>889</v>
      </c>
      <c r="BR358" s="43">
        <v>887.9</v>
      </c>
      <c r="BS358" s="41">
        <v>1.1262000000000001</v>
      </c>
    </row>
    <row r="359" spans="28:71">
      <c r="AB359" s="514"/>
      <c r="AC359" s="514"/>
      <c r="AD359" s="514"/>
      <c r="AE359" s="514"/>
      <c r="AF359" s="514"/>
      <c r="AG359" s="514"/>
      <c r="AH359" s="514"/>
      <c r="AI359" s="514"/>
      <c r="AJ359" s="514"/>
      <c r="AK359" s="514"/>
      <c r="AL359" s="514"/>
      <c r="AM359" s="514"/>
      <c r="AN359" s="514"/>
      <c r="AO359" s="514"/>
      <c r="AP359" s="514"/>
      <c r="AQ359" s="514"/>
      <c r="AR359" s="514"/>
      <c r="AS359" s="514"/>
      <c r="AT359" s="514"/>
      <c r="AU359" s="514"/>
      <c r="AV359" s="514"/>
      <c r="AW359" s="514"/>
      <c r="AX359" s="514"/>
      <c r="AY359" s="514"/>
      <c r="AZ359" s="514"/>
      <c r="BA359" s="514"/>
      <c r="BB359" s="514"/>
      <c r="BC359" s="520"/>
      <c r="BD359" s="2482"/>
      <c r="BE359" s="30">
        <v>24</v>
      </c>
      <c r="BF359" s="31">
        <v>0.91</v>
      </c>
      <c r="BG359" s="32">
        <v>909.5</v>
      </c>
      <c r="BH359" s="33"/>
      <c r="BI359" s="30">
        <v>24</v>
      </c>
      <c r="BJ359" s="34">
        <v>3.4371</v>
      </c>
      <c r="BK359" s="35">
        <v>0.14435999999999999</v>
      </c>
      <c r="BL359" s="33"/>
      <c r="BM359" s="37">
        <v>890</v>
      </c>
      <c r="BN359" s="38">
        <v>0.89049999999999996</v>
      </c>
      <c r="BO359" s="39">
        <v>27.4</v>
      </c>
      <c r="BP359" s="520"/>
      <c r="BQ359" s="40">
        <v>890</v>
      </c>
      <c r="BR359" s="43">
        <v>888.9</v>
      </c>
      <c r="BS359" s="41">
        <v>1.125</v>
      </c>
    </row>
    <row r="360" spans="28:71">
      <c r="AB360" s="514"/>
      <c r="AC360" s="514"/>
      <c r="AD360" s="514"/>
      <c r="AE360" s="514"/>
      <c r="AF360" s="514"/>
      <c r="AG360" s="514"/>
      <c r="AH360" s="514"/>
      <c r="AI360" s="514"/>
      <c r="AJ360" s="514"/>
      <c r="AK360" s="514"/>
      <c r="AL360" s="514"/>
      <c r="AM360" s="514"/>
      <c r="AN360" s="514"/>
      <c r="AO360" s="514"/>
      <c r="AP360" s="514"/>
      <c r="AQ360" s="514"/>
      <c r="AR360" s="514"/>
      <c r="AS360" s="514"/>
      <c r="AT360" s="514"/>
      <c r="AU360" s="514"/>
      <c r="AV360" s="514"/>
      <c r="AW360" s="514"/>
      <c r="AX360" s="514"/>
      <c r="AY360" s="514"/>
      <c r="AZ360" s="514"/>
      <c r="BA360" s="514"/>
      <c r="BB360" s="514"/>
      <c r="BC360" s="520"/>
      <c r="BD360" s="2482"/>
      <c r="BE360" s="30">
        <v>24.1</v>
      </c>
      <c r="BF360" s="31">
        <v>0.90939999999999999</v>
      </c>
      <c r="BG360" s="32">
        <v>908.9</v>
      </c>
      <c r="BH360" s="33"/>
      <c r="BI360" s="30">
        <v>24.1</v>
      </c>
      <c r="BJ360" s="34">
        <v>3.4348999999999998</v>
      </c>
      <c r="BK360" s="35">
        <v>0.14426</v>
      </c>
      <c r="BL360" s="33"/>
      <c r="BM360" s="37">
        <v>891</v>
      </c>
      <c r="BN360" s="38">
        <v>0.89149999999999996</v>
      </c>
      <c r="BO360" s="39">
        <v>27.22</v>
      </c>
      <c r="BP360" s="520"/>
      <c r="BQ360" s="40">
        <v>891</v>
      </c>
      <c r="BR360" s="43">
        <v>889.9</v>
      </c>
      <c r="BS360" s="41">
        <v>1.1236999999999999</v>
      </c>
    </row>
    <row r="361" spans="28:71">
      <c r="AB361" s="514"/>
      <c r="AC361" s="514"/>
      <c r="AD361" s="514"/>
      <c r="AE361" s="514"/>
      <c r="AF361" s="514"/>
      <c r="AG361" s="514"/>
      <c r="AH361" s="514"/>
      <c r="AI361" s="514"/>
      <c r="AJ361" s="514"/>
      <c r="AK361" s="514"/>
      <c r="AL361" s="514"/>
      <c r="AM361" s="514"/>
      <c r="AN361" s="514"/>
      <c r="AO361" s="514"/>
      <c r="AP361" s="514"/>
      <c r="AQ361" s="514"/>
      <c r="AR361" s="514"/>
      <c r="AS361" s="514"/>
      <c r="AT361" s="514"/>
      <c r="AU361" s="514"/>
      <c r="AV361" s="514"/>
      <c r="AW361" s="514"/>
      <c r="AX361" s="514"/>
      <c r="AY361" s="514"/>
      <c r="AZ361" s="514"/>
      <c r="BA361" s="514"/>
      <c r="BB361" s="514"/>
      <c r="BC361" s="520"/>
      <c r="BD361" s="2482"/>
      <c r="BE361" s="30">
        <v>24.2</v>
      </c>
      <c r="BF361" s="31">
        <v>0.90880000000000005</v>
      </c>
      <c r="BG361" s="32">
        <v>908.3</v>
      </c>
      <c r="BH361" s="33"/>
      <c r="BI361" s="30">
        <v>24.2</v>
      </c>
      <c r="BJ361" s="34">
        <v>3.4327000000000001</v>
      </c>
      <c r="BK361" s="35">
        <v>0.14416999999999999</v>
      </c>
      <c r="BL361" s="33"/>
      <c r="BM361" s="37">
        <v>892</v>
      </c>
      <c r="BN361" s="38">
        <v>0.89249999999999996</v>
      </c>
      <c r="BO361" s="39">
        <v>27.04</v>
      </c>
      <c r="BP361" s="520"/>
      <c r="BQ361" s="40">
        <v>892</v>
      </c>
      <c r="BR361" s="43">
        <v>890.9</v>
      </c>
      <c r="BS361" s="41">
        <v>1.1224000000000001</v>
      </c>
    </row>
    <row r="362" spans="28:71">
      <c r="AB362" s="514"/>
      <c r="AC362" s="514"/>
      <c r="AD362" s="514"/>
      <c r="AE362" s="514"/>
      <c r="AF362" s="514"/>
      <c r="AG362" s="514"/>
      <c r="AH362" s="514"/>
      <c r="AI362" s="514"/>
      <c r="AJ362" s="514"/>
      <c r="AK362" s="514"/>
      <c r="AL362" s="514"/>
      <c r="AM362" s="514"/>
      <c r="AN362" s="514"/>
      <c r="AO362" s="514"/>
      <c r="AP362" s="514"/>
      <c r="AQ362" s="514"/>
      <c r="AR362" s="514"/>
      <c r="AS362" s="514"/>
      <c r="AT362" s="514"/>
      <c r="AU362" s="514"/>
      <c r="AV362" s="514"/>
      <c r="AW362" s="514"/>
      <c r="AX362" s="514"/>
      <c r="AY362" s="514"/>
      <c r="AZ362" s="514"/>
      <c r="BA362" s="514"/>
      <c r="BB362" s="514"/>
      <c r="BC362" s="520"/>
      <c r="BD362" s="2482"/>
      <c r="BE362" s="30">
        <v>24.3</v>
      </c>
      <c r="BF362" s="31">
        <v>0.90820000000000001</v>
      </c>
      <c r="BG362" s="32">
        <v>907.7</v>
      </c>
      <c r="BH362" s="33"/>
      <c r="BI362" s="30">
        <v>24.3</v>
      </c>
      <c r="BJ362" s="34">
        <v>3.4304999999999999</v>
      </c>
      <c r="BK362" s="35">
        <v>0.14408000000000001</v>
      </c>
      <c r="BL362" s="33"/>
      <c r="BM362" s="37">
        <v>893</v>
      </c>
      <c r="BN362" s="38">
        <v>0.89349999999999996</v>
      </c>
      <c r="BO362" s="39">
        <v>26.87</v>
      </c>
      <c r="BP362" s="520"/>
      <c r="BQ362" s="40">
        <v>893</v>
      </c>
      <c r="BR362" s="43">
        <v>891.9</v>
      </c>
      <c r="BS362" s="41">
        <v>1.1212</v>
      </c>
    </row>
    <row r="363" spans="28:71">
      <c r="AB363" s="514"/>
      <c r="AC363" s="514"/>
      <c r="AD363" s="514"/>
      <c r="AE363" s="514"/>
      <c r="AF363" s="514"/>
      <c r="AG363" s="514"/>
      <c r="AH363" s="514"/>
      <c r="AI363" s="514"/>
      <c r="AJ363" s="514"/>
      <c r="AK363" s="514"/>
      <c r="AL363" s="514"/>
      <c r="AM363" s="514"/>
      <c r="AN363" s="514"/>
      <c r="AO363" s="514"/>
      <c r="AP363" s="514"/>
      <c r="AQ363" s="514"/>
      <c r="AR363" s="514"/>
      <c r="AS363" s="514"/>
      <c r="AT363" s="514"/>
      <c r="AU363" s="514"/>
      <c r="AV363" s="514"/>
      <c r="AW363" s="514"/>
      <c r="AX363" s="514"/>
      <c r="AY363" s="514"/>
      <c r="AZ363" s="514"/>
      <c r="BA363" s="514"/>
      <c r="BB363" s="514"/>
      <c r="BC363" s="520"/>
      <c r="BD363" s="2482"/>
      <c r="BE363" s="30">
        <v>24.4</v>
      </c>
      <c r="BF363" s="31">
        <v>0.90759999999999996</v>
      </c>
      <c r="BG363" s="32">
        <v>907.1</v>
      </c>
      <c r="BH363" s="33"/>
      <c r="BI363" s="30">
        <v>24.4</v>
      </c>
      <c r="BJ363" s="34">
        <v>3.4283000000000001</v>
      </c>
      <c r="BK363" s="35">
        <v>0.14399000000000001</v>
      </c>
      <c r="BL363" s="33"/>
      <c r="BM363" s="37">
        <v>894</v>
      </c>
      <c r="BN363" s="38">
        <v>0.89449999999999996</v>
      </c>
      <c r="BO363" s="39">
        <v>26.69</v>
      </c>
      <c r="BP363" s="520"/>
      <c r="BQ363" s="40">
        <v>894</v>
      </c>
      <c r="BR363" s="43">
        <v>892.9</v>
      </c>
      <c r="BS363" s="41">
        <v>1.1198999999999999</v>
      </c>
    </row>
    <row r="364" spans="28:71">
      <c r="AB364" s="514"/>
      <c r="AC364" s="514"/>
      <c r="AD364" s="514"/>
      <c r="AE364" s="514"/>
      <c r="AF364" s="514"/>
      <c r="AG364" s="514"/>
      <c r="AH364" s="514"/>
      <c r="AI364" s="514"/>
      <c r="AJ364" s="514"/>
      <c r="AK364" s="514"/>
      <c r="AL364" s="514"/>
      <c r="AM364" s="514"/>
      <c r="AN364" s="514"/>
      <c r="AO364" s="514"/>
      <c r="AP364" s="514"/>
      <c r="AQ364" s="514"/>
      <c r="AR364" s="514"/>
      <c r="AS364" s="514"/>
      <c r="AT364" s="514"/>
      <c r="AU364" s="514"/>
      <c r="AV364" s="514"/>
      <c r="AW364" s="514"/>
      <c r="AX364" s="514"/>
      <c r="AY364" s="514"/>
      <c r="AZ364" s="514"/>
      <c r="BA364" s="514"/>
      <c r="BB364" s="514"/>
      <c r="BC364" s="520"/>
      <c r="BD364" s="2482"/>
      <c r="BE364" s="30">
        <v>24.5</v>
      </c>
      <c r="BF364" s="31">
        <v>0.90710000000000002</v>
      </c>
      <c r="BG364" s="32">
        <v>906.5</v>
      </c>
      <c r="BH364" s="33"/>
      <c r="BI364" s="30">
        <v>24.5</v>
      </c>
      <c r="BJ364" s="34">
        <v>3.4260999999999999</v>
      </c>
      <c r="BK364" s="35">
        <v>0.14388999999999999</v>
      </c>
      <c r="BL364" s="33"/>
      <c r="BM364" s="37">
        <v>895</v>
      </c>
      <c r="BN364" s="38">
        <v>0.89549999999999996</v>
      </c>
      <c r="BO364" s="39">
        <v>26.51</v>
      </c>
      <c r="BP364" s="520"/>
      <c r="BQ364" s="40">
        <v>895</v>
      </c>
      <c r="BR364" s="43">
        <v>893.9</v>
      </c>
      <c r="BS364" s="41">
        <v>1.1187</v>
      </c>
    </row>
    <row r="365" spans="28:71">
      <c r="AB365" s="514"/>
      <c r="AC365" s="514"/>
      <c r="AD365" s="514"/>
      <c r="AE365" s="514"/>
      <c r="AF365" s="514"/>
      <c r="AG365" s="514"/>
      <c r="AH365" s="514"/>
      <c r="AI365" s="514"/>
      <c r="AJ365" s="514"/>
      <c r="AK365" s="514"/>
      <c r="AL365" s="514"/>
      <c r="AM365" s="514"/>
      <c r="AN365" s="514"/>
      <c r="AO365" s="514"/>
      <c r="AP365" s="514"/>
      <c r="AQ365" s="514"/>
      <c r="AR365" s="514"/>
      <c r="AS365" s="514"/>
      <c r="AT365" s="514"/>
      <c r="AU365" s="514"/>
      <c r="AV365" s="514"/>
      <c r="AW365" s="514"/>
      <c r="AX365" s="514"/>
      <c r="AY365" s="514"/>
      <c r="AZ365" s="514"/>
      <c r="BA365" s="514"/>
      <c r="BB365" s="514"/>
      <c r="BC365" s="520"/>
      <c r="BD365" s="2482"/>
      <c r="BE365" s="30">
        <v>24.6</v>
      </c>
      <c r="BF365" s="31">
        <v>0.90649999999999997</v>
      </c>
      <c r="BG365" s="32">
        <v>906</v>
      </c>
      <c r="BH365" s="33"/>
      <c r="BI365" s="30">
        <v>24.6</v>
      </c>
      <c r="BJ365" s="34">
        <v>3.4239000000000002</v>
      </c>
      <c r="BK365" s="35">
        <v>0.14380000000000001</v>
      </c>
      <c r="BL365" s="33"/>
      <c r="BM365" s="37">
        <v>896</v>
      </c>
      <c r="BN365" s="38">
        <v>0.89649999999999996</v>
      </c>
      <c r="BO365" s="39">
        <v>26.34</v>
      </c>
      <c r="BP365" s="520"/>
      <c r="BQ365" s="40">
        <v>896</v>
      </c>
      <c r="BR365" s="43">
        <v>894.9</v>
      </c>
      <c r="BS365" s="41">
        <v>1.1173999999999999</v>
      </c>
    </row>
    <row r="366" spans="28:71">
      <c r="AB366" s="514"/>
      <c r="AC366" s="514"/>
      <c r="AD366" s="514"/>
      <c r="AE366" s="514"/>
      <c r="AF366" s="514"/>
      <c r="AG366" s="514"/>
      <c r="AH366" s="514"/>
      <c r="AI366" s="514"/>
      <c r="AJ366" s="514"/>
      <c r="AK366" s="514"/>
      <c r="AL366" s="514"/>
      <c r="AM366" s="514"/>
      <c r="AN366" s="514"/>
      <c r="AO366" s="514"/>
      <c r="AP366" s="514"/>
      <c r="AQ366" s="514"/>
      <c r="AR366" s="514"/>
      <c r="AS366" s="514"/>
      <c r="AT366" s="514"/>
      <c r="AU366" s="514"/>
      <c r="AV366" s="514"/>
      <c r="AW366" s="514"/>
      <c r="AX366" s="514"/>
      <c r="AY366" s="514"/>
      <c r="AZ366" s="514"/>
      <c r="BA366" s="514"/>
      <c r="BB366" s="514"/>
      <c r="BC366" s="520"/>
      <c r="BD366" s="2482"/>
      <c r="BE366" s="30">
        <v>24.7</v>
      </c>
      <c r="BF366" s="31">
        <v>0.90590000000000004</v>
      </c>
      <c r="BG366" s="32">
        <v>905.4</v>
      </c>
      <c r="BH366" s="33"/>
      <c r="BI366" s="30">
        <v>24.7</v>
      </c>
      <c r="BJ366" s="34">
        <v>3.4217</v>
      </c>
      <c r="BK366" s="35">
        <v>0.14371</v>
      </c>
      <c r="BL366" s="33"/>
      <c r="BM366" s="37">
        <v>897</v>
      </c>
      <c r="BN366" s="38">
        <v>0.89749999999999996</v>
      </c>
      <c r="BO366" s="39">
        <v>26.16</v>
      </c>
      <c r="BP366" s="520"/>
      <c r="BQ366" s="40">
        <v>897</v>
      </c>
      <c r="BR366" s="43">
        <v>895.9</v>
      </c>
      <c r="BS366" s="41">
        <v>1.1162000000000001</v>
      </c>
    </row>
    <row r="367" spans="28:71">
      <c r="AB367" s="514"/>
      <c r="AC367" s="514"/>
      <c r="AD367" s="514"/>
      <c r="AE367" s="514"/>
      <c r="AF367" s="514"/>
      <c r="AG367" s="514"/>
      <c r="AH367" s="514"/>
      <c r="AI367" s="514"/>
      <c r="AJ367" s="514"/>
      <c r="AK367" s="514"/>
      <c r="AL367" s="514"/>
      <c r="AM367" s="514"/>
      <c r="AN367" s="514"/>
      <c r="AO367" s="514"/>
      <c r="AP367" s="514"/>
      <c r="AQ367" s="514"/>
      <c r="AR367" s="514"/>
      <c r="AS367" s="514"/>
      <c r="AT367" s="514"/>
      <c r="AU367" s="514"/>
      <c r="AV367" s="514"/>
      <c r="AW367" s="514"/>
      <c r="AX367" s="514"/>
      <c r="AY367" s="514"/>
      <c r="AZ367" s="514"/>
      <c r="BA367" s="514"/>
      <c r="BB367" s="514"/>
      <c r="BC367" s="520"/>
      <c r="BD367" s="2482"/>
      <c r="BE367" s="30">
        <v>24.8</v>
      </c>
      <c r="BF367" s="31">
        <v>0.90529999999999999</v>
      </c>
      <c r="BG367" s="32">
        <v>904.8</v>
      </c>
      <c r="BH367" s="33"/>
      <c r="BI367" s="30">
        <v>24.8</v>
      </c>
      <c r="BJ367" s="34">
        <v>3.4195000000000002</v>
      </c>
      <c r="BK367" s="35">
        <v>0.14362</v>
      </c>
      <c r="BL367" s="33"/>
      <c r="BM367" s="37">
        <v>898</v>
      </c>
      <c r="BN367" s="38">
        <v>0.89849999999999997</v>
      </c>
      <c r="BO367" s="39">
        <v>25.98</v>
      </c>
      <c r="BP367" s="520"/>
      <c r="BQ367" s="40">
        <v>898</v>
      </c>
      <c r="BR367" s="43">
        <v>896.9</v>
      </c>
      <c r="BS367" s="41">
        <v>1.1149</v>
      </c>
    </row>
    <row r="368" spans="28:71">
      <c r="AB368" s="514"/>
      <c r="AC368" s="514"/>
      <c r="AD368" s="514"/>
      <c r="AE368" s="514"/>
      <c r="AF368" s="514"/>
      <c r="AG368" s="514"/>
      <c r="AH368" s="514"/>
      <c r="AI368" s="514"/>
      <c r="AJ368" s="514"/>
      <c r="AK368" s="514"/>
      <c r="AL368" s="514"/>
      <c r="AM368" s="514"/>
      <c r="AN368" s="514"/>
      <c r="AO368" s="514"/>
      <c r="AP368" s="514"/>
      <c r="AQ368" s="514"/>
      <c r="AR368" s="514"/>
      <c r="AS368" s="514"/>
      <c r="AT368" s="514"/>
      <c r="AU368" s="514"/>
      <c r="AV368" s="514"/>
      <c r="AW368" s="514"/>
      <c r="AX368" s="514"/>
      <c r="AY368" s="514"/>
      <c r="AZ368" s="514"/>
      <c r="BA368" s="514"/>
      <c r="BB368" s="514"/>
      <c r="BC368" s="520"/>
      <c r="BD368" s="2482"/>
      <c r="BE368" s="30">
        <v>24.9</v>
      </c>
      <c r="BF368" s="31">
        <v>0.90469999999999995</v>
      </c>
      <c r="BG368" s="32">
        <v>904.2</v>
      </c>
      <c r="BH368" s="33"/>
      <c r="BI368" s="30">
        <v>24.9</v>
      </c>
      <c r="BJ368" s="34">
        <v>3.4173</v>
      </c>
      <c r="BK368" s="35">
        <v>0.14352999999999999</v>
      </c>
      <c r="BL368" s="33"/>
      <c r="BM368" s="37">
        <v>899</v>
      </c>
      <c r="BN368" s="38">
        <v>0.89949999999999997</v>
      </c>
      <c r="BO368" s="39">
        <v>25.81</v>
      </c>
      <c r="BP368" s="520"/>
      <c r="BQ368" s="40">
        <v>899</v>
      </c>
      <c r="BR368" s="43">
        <v>897.9</v>
      </c>
      <c r="BS368" s="41">
        <v>1.1136999999999999</v>
      </c>
    </row>
    <row r="369" spans="28:71">
      <c r="AB369" s="514"/>
      <c r="AC369" s="514"/>
      <c r="AD369" s="514"/>
      <c r="AE369" s="514"/>
      <c r="AF369" s="514"/>
      <c r="AG369" s="514"/>
      <c r="AH369" s="514"/>
      <c r="AI369" s="514"/>
      <c r="AJ369" s="514"/>
      <c r="AK369" s="514"/>
      <c r="AL369" s="514"/>
      <c r="AM369" s="514"/>
      <c r="AN369" s="514"/>
      <c r="AO369" s="514"/>
      <c r="AP369" s="514"/>
      <c r="AQ369" s="514"/>
      <c r="AR369" s="514"/>
      <c r="AS369" s="514"/>
      <c r="AT369" s="514"/>
      <c r="AU369" s="514"/>
      <c r="AV369" s="514"/>
      <c r="AW369" s="514"/>
      <c r="AX369" s="514"/>
      <c r="AY369" s="514"/>
      <c r="AZ369" s="514"/>
      <c r="BA369" s="514"/>
      <c r="BB369" s="514"/>
      <c r="BC369" s="520"/>
      <c r="BD369" s="2482"/>
      <c r="BE369" s="30">
        <v>25</v>
      </c>
      <c r="BF369" s="31">
        <v>0.9042</v>
      </c>
      <c r="BG369" s="32">
        <v>903.6</v>
      </c>
      <c r="BH369" s="33"/>
      <c r="BI369" s="30">
        <v>25</v>
      </c>
      <c r="BJ369" s="34">
        <v>3.4150999999999998</v>
      </c>
      <c r="BK369" s="35">
        <v>0.14343</v>
      </c>
      <c r="BL369" s="33"/>
      <c r="BM369" s="37">
        <v>900</v>
      </c>
      <c r="BN369" s="38">
        <v>0.90049999999999997</v>
      </c>
      <c r="BO369" s="39">
        <v>25.63</v>
      </c>
      <c r="BP369" s="520"/>
      <c r="BQ369" s="40">
        <v>900</v>
      </c>
      <c r="BR369" s="43">
        <v>898.9</v>
      </c>
      <c r="BS369" s="41">
        <v>1.1125</v>
      </c>
    </row>
    <row r="370" spans="28:71">
      <c r="AB370" s="514"/>
      <c r="AC370" s="514"/>
      <c r="AD370" s="514"/>
      <c r="AE370" s="514"/>
      <c r="AF370" s="514"/>
      <c r="AG370" s="514"/>
      <c r="AH370" s="514"/>
      <c r="AI370" s="514"/>
      <c r="AJ370" s="514"/>
      <c r="AK370" s="514"/>
      <c r="AL370" s="514"/>
      <c r="AM370" s="514"/>
      <c r="AN370" s="514"/>
      <c r="AO370" s="514"/>
      <c r="AP370" s="514"/>
      <c r="AQ370" s="514"/>
      <c r="AR370" s="514"/>
      <c r="AS370" s="514"/>
      <c r="AT370" s="514"/>
      <c r="AU370" s="514"/>
      <c r="AV370" s="514"/>
      <c r="AW370" s="514"/>
      <c r="AX370" s="514"/>
      <c r="AY370" s="514"/>
      <c r="AZ370" s="514"/>
      <c r="BA370" s="514"/>
      <c r="BB370" s="514"/>
      <c r="BC370" s="520"/>
      <c r="BD370" s="2482"/>
      <c r="BE370" s="30">
        <v>25.1</v>
      </c>
      <c r="BF370" s="31">
        <v>0.90359999999999996</v>
      </c>
      <c r="BG370" s="32">
        <v>903.1</v>
      </c>
      <c r="BH370" s="33"/>
      <c r="BI370" s="30">
        <v>25.1</v>
      </c>
      <c r="BJ370" s="34">
        <v>3.4129</v>
      </c>
      <c r="BK370" s="35">
        <v>0.14334</v>
      </c>
      <c r="BL370" s="33"/>
      <c r="BM370" s="37">
        <v>901</v>
      </c>
      <c r="BN370" s="38">
        <v>0.90149999999999997</v>
      </c>
      <c r="BO370" s="39">
        <v>25.46</v>
      </c>
      <c r="BP370" s="520"/>
      <c r="BQ370" s="40">
        <v>901</v>
      </c>
      <c r="BR370" s="43">
        <v>899.9</v>
      </c>
      <c r="BS370" s="41">
        <v>1.1112</v>
      </c>
    </row>
    <row r="371" spans="28:71">
      <c r="AB371" s="514"/>
      <c r="AC371" s="514"/>
      <c r="AD371" s="514"/>
      <c r="AE371" s="514"/>
      <c r="AF371" s="514"/>
      <c r="AG371" s="514"/>
      <c r="AH371" s="514"/>
      <c r="AI371" s="514"/>
      <c r="AJ371" s="514"/>
      <c r="AK371" s="514"/>
      <c r="AL371" s="514"/>
      <c r="AM371" s="514"/>
      <c r="AN371" s="514"/>
      <c r="AO371" s="514"/>
      <c r="AP371" s="514"/>
      <c r="AQ371" s="514"/>
      <c r="AR371" s="514"/>
      <c r="AS371" s="514"/>
      <c r="AT371" s="514"/>
      <c r="AU371" s="514"/>
      <c r="AV371" s="514"/>
      <c r="AW371" s="514"/>
      <c r="AX371" s="514"/>
      <c r="AY371" s="514"/>
      <c r="AZ371" s="514"/>
      <c r="BA371" s="514"/>
      <c r="BB371" s="514"/>
      <c r="BC371" s="520"/>
      <c r="BD371" s="2482"/>
      <c r="BE371" s="30">
        <v>25.2</v>
      </c>
      <c r="BF371" s="31">
        <v>0.90300000000000002</v>
      </c>
      <c r="BG371" s="32">
        <v>902.5</v>
      </c>
      <c r="BH371" s="33"/>
      <c r="BI371" s="30">
        <v>25.2</v>
      </c>
      <c r="BJ371" s="34">
        <v>3.4106999999999998</v>
      </c>
      <c r="BK371" s="35">
        <v>0.14324999999999999</v>
      </c>
      <c r="BL371" s="33"/>
      <c r="BM371" s="37">
        <v>902</v>
      </c>
      <c r="BN371" s="38">
        <v>0.90249999999999997</v>
      </c>
      <c r="BO371" s="39">
        <v>25.29</v>
      </c>
      <c r="BP371" s="520"/>
      <c r="BQ371" s="40">
        <v>902</v>
      </c>
      <c r="BR371" s="43">
        <v>900.9</v>
      </c>
      <c r="BS371" s="41">
        <v>1.1100000000000001</v>
      </c>
    </row>
    <row r="372" spans="28:71">
      <c r="AB372" s="514"/>
      <c r="AC372" s="514"/>
      <c r="AD372" s="514"/>
      <c r="AE372" s="514"/>
      <c r="AF372" s="514"/>
      <c r="AG372" s="514"/>
      <c r="AH372" s="514"/>
      <c r="AI372" s="514"/>
      <c r="AJ372" s="514"/>
      <c r="AK372" s="514"/>
      <c r="AL372" s="514"/>
      <c r="AM372" s="514"/>
      <c r="AN372" s="514"/>
      <c r="AO372" s="514"/>
      <c r="AP372" s="514"/>
      <c r="AQ372" s="514"/>
      <c r="AR372" s="514"/>
      <c r="AS372" s="514"/>
      <c r="AT372" s="514"/>
      <c r="AU372" s="514"/>
      <c r="AV372" s="514"/>
      <c r="AW372" s="514"/>
      <c r="AX372" s="514"/>
      <c r="AY372" s="514"/>
      <c r="AZ372" s="514"/>
      <c r="BA372" s="514"/>
      <c r="BB372" s="514"/>
      <c r="BC372" s="520"/>
      <c r="BD372" s="2482"/>
      <c r="BE372" s="30">
        <v>25.3</v>
      </c>
      <c r="BF372" s="31">
        <v>0.90239999999999998</v>
      </c>
      <c r="BG372" s="32">
        <v>901.9</v>
      </c>
      <c r="BH372" s="33"/>
      <c r="BI372" s="30">
        <v>25.3</v>
      </c>
      <c r="BJ372" s="34">
        <v>3.4085999999999999</v>
      </c>
      <c r="BK372" s="35">
        <v>0.14316000000000001</v>
      </c>
      <c r="BL372" s="33"/>
      <c r="BM372" s="37">
        <v>903</v>
      </c>
      <c r="BN372" s="38">
        <v>0.90349999999999997</v>
      </c>
      <c r="BO372" s="39">
        <v>25.11</v>
      </c>
      <c r="BP372" s="520"/>
      <c r="BQ372" s="40">
        <v>903</v>
      </c>
      <c r="BR372" s="43">
        <v>901.9</v>
      </c>
      <c r="BS372" s="41">
        <v>1.1088</v>
      </c>
    </row>
    <row r="373" spans="28:71">
      <c r="AB373" s="514"/>
      <c r="AC373" s="514"/>
      <c r="AD373" s="514"/>
      <c r="AE373" s="514"/>
      <c r="AF373" s="514"/>
      <c r="AG373" s="514"/>
      <c r="AH373" s="514"/>
      <c r="AI373" s="514"/>
      <c r="AJ373" s="514"/>
      <c r="AK373" s="514"/>
      <c r="AL373" s="514"/>
      <c r="AM373" s="514"/>
      <c r="AN373" s="514"/>
      <c r="AO373" s="514"/>
      <c r="AP373" s="514"/>
      <c r="AQ373" s="514"/>
      <c r="AR373" s="514"/>
      <c r="AS373" s="514"/>
      <c r="AT373" s="514"/>
      <c r="AU373" s="514"/>
      <c r="AV373" s="514"/>
      <c r="AW373" s="514"/>
      <c r="AX373" s="514"/>
      <c r="AY373" s="514"/>
      <c r="AZ373" s="514"/>
      <c r="BA373" s="514"/>
      <c r="BB373" s="514"/>
      <c r="BC373" s="520"/>
      <c r="BD373" s="2482"/>
      <c r="BE373" s="30">
        <v>25.4</v>
      </c>
      <c r="BF373" s="31">
        <v>0.90180000000000005</v>
      </c>
      <c r="BG373" s="32">
        <v>901.3</v>
      </c>
      <c r="BH373" s="33"/>
      <c r="BI373" s="30">
        <v>25.4</v>
      </c>
      <c r="BJ373" s="34">
        <v>3.4064000000000001</v>
      </c>
      <c r="BK373" s="35">
        <v>0.14307</v>
      </c>
      <c r="BL373" s="33"/>
      <c r="BM373" s="37">
        <v>904</v>
      </c>
      <c r="BN373" s="38">
        <v>0.90449999999999997</v>
      </c>
      <c r="BO373" s="39">
        <v>24.94</v>
      </c>
      <c r="BP373" s="520"/>
      <c r="BQ373" s="40">
        <v>904</v>
      </c>
      <c r="BR373" s="43">
        <v>902.9</v>
      </c>
      <c r="BS373" s="41">
        <v>1.1074999999999999</v>
      </c>
    </row>
    <row r="374" spans="28:71">
      <c r="AB374" s="514"/>
      <c r="AC374" s="514"/>
      <c r="AD374" s="514"/>
      <c r="AE374" s="514"/>
      <c r="AF374" s="514"/>
      <c r="AG374" s="514"/>
      <c r="AH374" s="514"/>
      <c r="AI374" s="514"/>
      <c r="AJ374" s="514"/>
      <c r="AK374" s="514"/>
      <c r="AL374" s="514"/>
      <c r="AM374" s="514"/>
      <c r="AN374" s="514"/>
      <c r="AO374" s="514"/>
      <c r="AP374" s="514"/>
      <c r="AQ374" s="514"/>
      <c r="AR374" s="514"/>
      <c r="AS374" s="514"/>
      <c r="AT374" s="514"/>
      <c r="AU374" s="514"/>
      <c r="AV374" s="514"/>
      <c r="AW374" s="514"/>
      <c r="AX374" s="514"/>
      <c r="AY374" s="514"/>
      <c r="AZ374" s="514"/>
      <c r="BA374" s="514"/>
      <c r="BB374" s="514"/>
      <c r="BC374" s="520"/>
      <c r="BD374" s="2482"/>
      <c r="BE374" s="30">
        <v>25.5</v>
      </c>
      <c r="BF374" s="31">
        <v>0.90129999999999999</v>
      </c>
      <c r="BG374" s="32">
        <v>900.8</v>
      </c>
      <c r="BH374" s="33"/>
      <c r="BI374" s="30">
        <v>25.5</v>
      </c>
      <c r="BJ374" s="34">
        <v>3.4041999999999999</v>
      </c>
      <c r="BK374" s="35">
        <v>0.14298</v>
      </c>
      <c r="BL374" s="33"/>
      <c r="BM374" s="37">
        <v>905</v>
      </c>
      <c r="BN374" s="38">
        <v>0.90549999999999997</v>
      </c>
      <c r="BO374" s="39">
        <v>24.77</v>
      </c>
      <c r="BP374" s="520"/>
      <c r="BQ374" s="40">
        <v>905</v>
      </c>
      <c r="BR374" s="43">
        <v>903.9</v>
      </c>
      <c r="BS374" s="41">
        <v>1.1063000000000001</v>
      </c>
    </row>
    <row r="375" spans="28:71">
      <c r="AB375" s="514"/>
      <c r="AC375" s="514"/>
      <c r="AD375" s="514"/>
      <c r="AE375" s="514"/>
      <c r="AF375" s="514"/>
      <c r="AG375" s="514"/>
      <c r="AH375" s="514"/>
      <c r="AI375" s="514"/>
      <c r="AJ375" s="514"/>
      <c r="AK375" s="514"/>
      <c r="AL375" s="514"/>
      <c r="AM375" s="514"/>
      <c r="AN375" s="514"/>
      <c r="AO375" s="514"/>
      <c r="AP375" s="514"/>
      <c r="AQ375" s="514"/>
      <c r="AR375" s="514"/>
      <c r="AS375" s="514"/>
      <c r="AT375" s="514"/>
      <c r="AU375" s="514"/>
      <c r="AV375" s="514"/>
      <c r="AW375" s="514"/>
      <c r="AX375" s="514"/>
      <c r="AY375" s="514"/>
      <c r="AZ375" s="514"/>
      <c r="BA375" s="514"/>
      <c r="BB375" s="514"/>
      <c r="BC375" s="520"/>
      <c r="BD375" s="2482"/>
      <c r="BE375" s="30">
        <v>25.6</v>
      </c>
      <c r="BF375" s="31">
        <v>0.90069999999999995</v>
      </c>
      <c r="BG375" s="32">
        <v>900.2</v>
      </c>
      <c r="BH375" s="33"/>
      <c r="BI375" s="30">
        <v>25.6</v>
      </c>
      <c r="BJ375" s="34">
        <v>3.4020000000000001</v>
      </c>
      <c r="BK375" s="35">
        <v>0.14288999999999999</v>
      </c>
      <c r="BL375" s="33"/>
      <c r="BM375" s="37">
        <v>906</v>
      </c>
      <c r="BN375" s="38">
        <v>0.90649999999999997</v>
      </c>
      <c r="BO375" s="39">
        <v>24.59</v>
      </c>
      <c r="BP375" s="520"/>
      <c r="BQ375" s="40">
        <v>906</v>
      </c>
      <c r="BR375" s="43">
        <v>904.9</v>
      </c>
      <c r="BS375" s="41">
        <v>1.1051</v>
      </c>
    </row>
    <row r="376" spans="28:71">
      <c r="AB376" s="514"/>
      <c r="AC376" s="514"/>
      <c r="AD376" s="514"/>
      <c r="AE376" s="514"/>
      <c r="AF376" s="514"/>
      <c r="AG376" s="514"/>
      <c r="AH376" s="514"/>
      <c r="AI376" s="514"/>
      <c r="AJ376" s="514"/>
      <c r="AK376" s="514"/>
      <c r="AL376" s="514"/>
      <c r="AM376" s="514"/>
      <c r="AN376" s="514"/>
      <c r="AO376" s="514"/>
      <c r="AP376" s="514"/>
      <c r="AQ376" s="514"/>
      <c r="AR376" s="514"/>
      <c r="AS376" s="514"/>
      <c r="AT376" s="514"/>
      <c r="AU376" s="514"/>
      <c r="AV376" s="514"/>
      <c r="AW376" s="514"/>
      <c r="AX376" s="514"/>
      <c r="AY376" s="514"/>
      <c r="AZ376" s="514"/>
      <c r="BA376" s="514"/>
      <c r="BB376" s="514"/>
      <c r="BC376" s="520"/>
      <c r="BD376" s="2482"/>
      <c r="BE376" s="30">
        <v>25.7</v>
      </c>
      <c r="BF376" s="31">
        <v>0.90010000000000001</v>
      </c>
      <c r="BG376" s="32">
        <v>899.6</v>
      </c>
      <c r="BH376" s="33"/>
      <c r="BI376" s="30">
        <v>25.7</v>
      </c>
      <c r="BJ376" s="34">
        <v>3.3999000000000001</v>
      </c>
      <c r="BK376" s="35">
        <v>0.14279</v>
      </c>
      <c r="BL376" s="33"/>
      <c r="BM376" s="37">
        <v>907</v>
      </c>
      <c r="BN376" s="38">
        <v>0.90749999999999997</v>
      </c>
      <c r="BO376" s="39">
        <v>24.42</v>
      </c>
      <c r="BP376" s="520"/>
      <c r="BQ376" s="40">
        <v>907</v>
      </c>
      <c r="BR376" s="43">
        <v>905.9</v>
      </c>
      <c r="BS376" s="41">
        <v>1.1039000000000001</v>
      </c>
    </row>
    <row r="377" spans="28:71">
      <c r="AB377" s="514"/>
      <c r="AC377" s="514"/>
      <c r="AD377" s="514"/>
      <c r="AE377" s="514"/>
      <c r="AF377" s="514"/>
      <c r="AG377" s="514"/>
      <c r="AH377" s="514"/>
      <c r="AI377" s="514"/>
      <c r="AJ377" s="514"/>
      <c r="AK377" s="514"/>
      <c r="AL377" s="514"/>
      <c r="AM377" s="514"/>
      <c r="AN377" s="514"/>
      <c r="AO377" s="514"/>
      <c r="AP377" s="514"/>
      <c r="AQ377" s="514"/>
      <c r="AR377" s="514"/>
      <c r="AS377" s="514"/>
      <c r="AT377" s="514"/>
      <c r="AU377" s="514"/>
      <c r="AV377" s="514"/>
      <c r="AW377" s="514"/>
      <c r="AX377" s="514"/>
      <c r="AY377" s="514"/>
      <c r="AZ377" s="514"/>
      <c r="BA377" s="514"/>
      <c r="BB377" s="514"/>
      <c r="BC377" s="520"/>
      <c r="BD377" s="2482"/>
      <c r="BE377" s="30">
        <v>25.8</v>
      </c>
      <c r="BF377" s="31">
        <v>0.89959999999999996</v>
      </c>
      <c r="BG377" s="32">
        <v>899.1</v>
      </c>
      <c r="BH377" s="33"/>
      <c r="BI377" s="30">
        <v>25.8</v>
      </c>
      <c r="BJ377" s="34">
        <v>3.3976999999999999</v>
      </c>
      <c r="BK377" s="35">
        <v>0.14269999999999999</v>
      </c>
      <c r="BL377" s="33"/>
      <c r="BM377" s="37">
        <v>908</v>
      </c>
      <c r="BN377" s="38">
        <v>0.90849999999999997</v>
      </c>
      <c r="BO377" s="39">
        <v>24.25</v>
      </c>
      <c r="BP377" s="520"/>
      <c r="BQ377" s="40">
        <v>908</v>
      </c>
      <c r="BR377" s="43">
        <v>906.9</v>
      </c>
      <c r="BS377" s="41">
        <v>1.1026</v>
      </c>
    </row>
    <row r="378" spans="28:71">
      <c r="AB378" s="514"/>
      <c r="AC378" s="514"/>
      <c r="AD378" s="514"/>
      <c r="AE378" s="514"/>
      <c r="AF378" s="514"/>
      <c r="AG378" s="514"/>
      <c r="AH378" s="514"/>
      <c r="AI378" s="514"/>
      <c r="AJ378" s="514"/>
      <c r="AK378" s="514"/>
      <c r="AL378" s="514"/>
      <c r="AM378" s="514"/>
      <c r="AN378" s="514"/>
      <c r="AO378" s="514"/>
      <c r="AP378" s="514"/>
      <c r="AQ378" s="514"/>
      <c r="AR378" s="514"/>
      <c r="AS378" s="514"/>
      <c r="AT378" s="514"/>
      <c r="AU378" s="514"/>
      <c r="AV378" s="514"/>
      <c r="AW378" s="514"/>
      <c r="AX378" s="514"/>
      <c r="AY378" s="514"/>
      <c r="AZ378" s="514"/>
      <c r="BA378" s="514"/>
      <c r="BB378" s="514"/>
      <c r="BC378" s="520"/>
      <c r="BD378" s="2482"/>
      <c r="BE378" s="30">
        <v>25.9</v>
      </c>
      <c r="BF378" s="31">
        <v>0.89900000000000002</v>
      </c>
      <c r="BG378" s="32">
        <v>898.5</v>
      </c>
      <c r="BH378" s="33"/>
      <c r="BI378" s="30">
        <v>25.9</v>
      </c>
      <c r="BJ378" s="34">
        <v>3.3955000000000002</v>
      </c>
      <c r="BK378" s="35">
        <v>0.14260999999999999</v>
      </c>
      <c r="BL378" s="33"/>
      <c r="BM378" s="37">
        <v>909</v>
      </c>
      <c r="BN378" s="38">
        <v>0.90949999999999998</v>
      </c>
      <c r="BO378" s="39">
        <v>24.08</v>
      </c>
      <c r="BP378" s="520"/>
      <c r="BQ378" s="40">
        <v>909</v>
      </c>
      <c r="BR378" s="43">
        <v>907.9</v>
      </c>
      <c r="BS378" s="41">
        <v>1.1013999999999999</v>
      </c>
    </row>
    <row r="379" spans="28:71">
      <c r="AB379" s="514"/>
      <c r="AC379" s="514"/>
      <c r="AD379" s="514"/>
      <c r="AE379" s="514"/>
      <c r="AF379" s="514"/>
      <c r="AG379" s="514"/>
      <c r="AH379" s="514"/>
      <c r="AI379" s="514"/>
      <c r="AJ379" s="514"/>
      <c r="AK379" s="514"/>
      <c r="AL379" s="514"/>
      <c r="AM379" s="514"/>
      <c r="AN379" s="514"/>
      <c r="AO379" s="514"/>
      <c r="AP379" s="514"/>
      <c r="AQ379" s="514"/>
      <c r="AR379" s="514"/>
      <c r="AS379" s="514"/>
      <c r="AT379" s="514"/>
      <c r="AU379" s="514"/>
      <c r="AV379" s="514"/>
      <c r="AW379" s="514"/>
      <c r="AX379" s="514"/>
      <c r="AY379" s="514"/>
      <c r="AZ379" s="514"/>
      <c r="BA379" s="514"/>
      <c r="BB379" s="514"/>
      <c r="BC379" s="520"/>
      <c r="BD379" s="2482"/>
      <c r="BE379" s="30">
        <v>26</v>
      </c>
      <c r="BF379" s="31">
        <v>0.89839999999999998</v>
      </c>
      <c r="BG379" s="32">
        <v>897.9</v>
      </c>
      <c r="BH379" s="33"/>
      <c r="BI379" s="30">
        <v>26</v>
      </c>
      <c r="BJ379" s="34">
        <v>3.3934000000000002</v>
      </c>
      <c r="BK379" s="35">
        <v>0.14252000000000001</v>
      </c>
      <c r="BL379" s="33"/>
      <c r="BM379" s="37">
        <v>910</v>
      </c>
      <c r="BN379" s="38">
        <v>0.91049999999999998</v>
      </c>
      <c r="BO379" s="39">
        <v>23.91</v>
      </c>
      <c r="BP379" s="520"/>
      <c r="BQ379" s="40">
        <v>910</v>
      </c>
      <c r="BR379" s="43">
        <v>908.9</v>
      </c>
      <c r="BS379" s="41">
        <v>1.1002000000000001</v>
      </c>
    </row>
    <row r="380" spans="28:71">
      <c r="AB380" s="514"/>
      <c r="AC380" s="514"/>
      <c r="AD380" s="514"/>
      <c r="AE380" s="514"/>
      <c r="AF380" s="514"/>
      <c r="AG380" s="514"/>
      <c r="AH380" s="514"/>
      <c r="AI380" s="514"/>
      <c r="AJ380" s="514"/>
      <c r="AK380" s="514"/>
      <c r="AL380" s="514"/>
      <c r="AM380" s="514"/>
      <c r="AN380" s="514"/>
      <c r="AO380" s="514"/>
      <c r="AP380" s="514"/>
      <c r="AQ380" s="514"/>
      <c r="AR380" s="514"/>
      <c r="AS380" s="514"/>
      <c r="AT380" s="514"/>
      <c r="AU380" s="514"/>
      <c r="AV380" s="514"/>
      <c r="AW380" s="514"/>
      <c r="AX380" s="514"/>
      <c r="AY380" s="514"/>
      <c r="AZ380" s="514"/>
      <c r="BA380" s="514"/>
      <c r="BB380" s="514"/>
      <c r="BC380" s="520"/>
      <c r="BD380" s="2482"/>
      <c r="BE380" s="30">
        <v>26.1</v>
      </c>
      <c r="BF380" s="31">
        <v>0.89780000000000004</v>
      </c>
      <c r="BG380" s="32">
        <v>897.3</v>
      </c>
      <c r="BH380" s="33"/>
      <c r="BI380" s="30">
        <v>26.1</v>
      </c>
      <c r="BJ380" s="34">
        <v>3.3912</v>
      </c>
      <c r="BK380" s="35">
        <v>0.14243</v>
      </c>
      <c r="BL380" s="33"/>
      <c r="BM380" s="37">
        <v>911</v>
      </c>
      <c r="BN380" s="38">
        <v>0.91149999999999998</v>
      </c>
      <c r="BO380" s="39">
        <v>23.74</v>
      </c>
      <c r="BP380" s="520"/>
      <c r="BQ380" s="40">
        <v>911</v>
      </c>
      <c r="BR380" s="43">
        <v>909.9</v>
      </c>
      <c r="BS380" s="41">
        <v>1.099</v>
      </c>
    </row>
    <row r="381" spans="28:71">
      <c r="AB381" s="514"/>
      <c r="AC381" s="514"/>
      <c r="AD381" s="514"/>
      <c r="AE381" s="514"/>
      <c r="AF381" s="514"/>
      <c r="AG381" s="514"/>
      <c r="AH381" s="514"/>
      <c r="AI381" s="514"/>
      <c r="AJ381" s="514"/>
      <c r="AK381" s="514"/>
      <c r="AL381" s="514"/>
      <c r="AM381" s="514"/>
      <c r="AN381" s="514"/>
      <c r="AO381" s="514"/>
      <c r="AP381" s="514"/>
      <c r="AQ381" s="514"/>
      <c r="AR381" s="514"/>
      <c r="AS381" s="514"/>
      <c r="AT381" s="514"/>
      <c r="AU381" s="514"/>
      <c r="AV381" s="514"/>
      <c r="AW381" s="514"/>
      <c r="AX381" s="514"/>
      <c r="AY381" s="514"/>
      <c r="AZ381" s="514"/>
      <c r="BA381" s="514"/>
      <c r="BB381" s="514"/>
      <c r="BC381" s="520"/>
      <c r="BD381" s="2482"/>
      <c r="BE381" s="30">
        <v>26.2</v>
      </c>
      <c r="BF381" s="31">
        <v>0.89729999999999999</v>
      </c>
      <c r="BG381" s="32">
        <v>896.8</v>
      </c>
      <c r="BH381" s="33"/>
      <c r="BI381" s="30">
        <v>26.2</v>
      </c>
      <c r="BJ381" s="34">
        <v>3.3891</v>
      </c>
      <c r="BK381" s="35">
        <v>0.14233999999999999</v>
      </c>
      <c r="BL381" s="33"/>
      <c r="BM381" s="37">
        <v>912</v>
      </c>
      <c r="BN381" s="38">
        <v>0.91249999999999998</v>
      </c>
      <c r="BO381" s="39">
        <v>23.57</v>
      </c>
      <c r="BP381" s="520"/>
      <c r="BQ381" s="40">
        <v>912</v>
      </c>
      <c r="BR381" s="43">
        <v>910.9</v>
      </c>
      <c r="BS381" s="41">
        <v>1.0978000000000001</v>
      </c>
    </row>
    <row r="382" spans="28:71">
      <c r="AB382" s="514"/>
      <c r="AC382" s="514"/>
      <c r="AD382" s="514"/>
      <c r="AE382" s="514"/>
      <c r="AF382" s="514"/>
      <c r="AG382" s="514"/>
      <c r="AH382" s="514"/>
      <c r="AI382" s="514"/>
      <c r="AJ382" s="514"/>
      <c r="AK382" s="514"/>
      <c r="AL382" s="514"/>
      <c r="AM382" s="514"/>
      <c r="AN382" s="514"/>
      <c r="AO382" s="514"/>
      <c r="AP382" s="514"/>
      <c r="AQ382" s="514"/>
      <c r="AR382" s="514"/>
      <c r="AS382" s="514"/>
      <c r="AT382" s="514"/>
      <c r="AU382" s="514"/>
      <c r="AV382" s="514"/>
      <c r="AW382" s="514"/>
      <c r="AX382" s="514"/>
      <c r="AY382" s="514"/>
      <c r="AZ382" s="514"/>
      <c r="BA382" s="514"/>
      <c r="BB382" s="514"/>
      <c r="BC382" s="520"/>
      <c r="BD382" s="2482"/>
      <c r="BE382" s="30">
        <v>26.3</v>
      </c>
      <c r="BF382" s="31">
        <v>0.89670000000000005</v>
      </c>
      <c r="BG382" s="32">
        <v>896.2</v>
      </c>
      <c r="BH382" s="33"/>
      <c r="BI382" s="30">
        <v>26.3</v>
      </c>
      <c r="BJ382" s="34">
        <v>3.3868999999999998</v>
      </c>
      <c r="BK382" s="35">
        <v>0.14224999999999999</v>
      </c>
      <c r="BL382" s="33"/>
      <c r="BM382" s="37">
        <v>913</v>
      </c>
      <c r="BN382" s="38">
        <v>0.91349999999999998</v>
      </c>
      <c r="BO382" s="39">
        <v>23.4</v>
      </c>
      <c r="BP382" s="520"/>
      <c r="BQ382" s="40">
        <v>913</v>
      </c>
      <c r="BR382" s="43">
        <v>911.9</v>
      </c>
      <c r="BS382" s="41">
        <v>1.0966</v>
      </c>
    </row>
    <row r="383" spans="28:71">
      <c r="AB383" s="514"/>
      <c r="AC383" s="514"/>
      <c r="AD383" s="514"/>
      <c r="AE383" s="514"/>
      <c r="AF383" s="514"/>
      <c r="AG383" s="514"/>
      <c r="AH383" s="514"/>
      <c r="AI383" s="514"/>
      <c r="AJ383" s="514"/>
      <c r="AK383" s="514"/>
      <c r="AL383" s="514"/>
      <c r="AM383" s="514"/>
      <c r="AN383" s="514"/>
      <c r="AO383" s="514"/>
      <c r="AP383" s="514"/>
      <c r="AQ383" s="514"/>
      <c r="AR383" s="514"/>
      <c r="AS383" s="514"/>
      <c r="AT383" s="514"/>
      <c r="AU383" s="514"/>
      <c r="AV383" s="514"/>
      <c r="AW383" s="514"/>
      <c r="AX383" s="514"/>
      <c r="AY383" s="514"/>
      <c r="AZ383" s="514"/>
      <c r="BA383" s="514"/>
      <c r="BB383" s="514"/>
      <c r="BC383" s="520"/>
      <c r="BD383" s="2482"/>
      <c r="BE383" s="30">
        <v>26.4</v>
      </c>
      <c r="BF383" s="31">
        <v>0.89610000000000001</v>
      </c>
      <c r="BG383" s="32">
        <v>895.6</v>
      </c>
      <c r="BH383" s="33"/>
      <c r="BI383" s="30">
        <v>26.4</v>
      </c>
      <c r="BJ383" s="34">
        <v>3.3847999999999998</v>
      </c>
      <c r="BK383" s="35">
        <v>0.14216000000000001</v>
      </c>
      <c r="BL383" s="33"/>
      <c r="BM383" s="37">
        <v>914</v>
      </c>
      <c r="BN383" s="38">
        <v>0.91449999999999998</v>
      </c>
      <c r="BO383" s="39">
        <v>23.23</v>
      </c>
      <c r="BP383" s="520"/>
      <c r="BQ383" s="40">
        <v>914</v>
      </c>
      <c r="BR383" s="43">
        <v>912.9</v>
      </c>
      <c r="BS383" s="41">
        <v>1.0953999999999999</v>
      </c>
    </row>
    <row r="384" spans="28:71">
      <c r="AB384" s="514"/>
      <c r="AC384" s="514"/>
      <c r="AD384" s="514"/>
      <c r="AE384" s="514"/>
      <c r="AF384" s="514"/>
      <c r="AG384" s="514"/>
      <c r="AH384" s="514"/>
      <c r="AI384" s="514"/>
      <c r="AJ384" s="514"/>
      <c r="AK384" s="514"/>
      <c r="AL384" s="514"/>
      <c r="AM384" s="514"/>
      <c r="AN384" s="514"/>
      <c r="AO384" s="514"/>
      <c r="AP384" s="514"/>
      <c r="AQ384" s="514"/>
      <c r="AR384" s="514"/>
      <c r="AS384" s="514"/>
      <c r="AT384" s="514"/>
      <c r="AU384" s="514"/>
      <c r="AV384" s="514"/>
      <c r="AW384" s="514"/>
      <c r="AX384" s="514"/>
      <c r="AY384" s="514"/>
      <c r="AZ384" s="514"/>
      <c r="BA384" s="514"/>
      <c r="BB384" s="514"/>
      <c r="BC384" s="520"/>
      <c r="BD384" s="2482"/>
      <c r="BE384" s="30">
        <v>26.5</v>
      </c>
      <c r="BF384" s="31">
        <v>0.89559999999999995</v>
      </c>
      <c r="BG384" s="32">
        <v>895.1</v>
      </c>
      <c r="BH384" s="33"/>
      <c r="BI384" s="30">
        <v>26.5</v>
      </c>
      <c r="BJ384" s="34">
        <v>3.3826000000000001</v>
      </c>
      <c r="BK384" s="35">
        <v>0.14207</v>
      </c>
      <c r="BL384" s="33"/>
      <c r="BM384" s="37">
        <v>915</v>
      </c>
      <c r="BN384" s="38">
        <v>0.91549999999999998</v>
      </c>
      <c r="BO384" s="39">
        <v>23.06</v>
      </c>
      <c r="BP384" s="520"/>
      <c r="BQ384" s="40">
        <v>915</v>
      </c>
      <c r="BR384" s="43">
        <v>913.9</v>
      </c>
      <c r="BS384" s="41">
        <v>1.0942000000000001</v>
      </c>
    </row>
    <row r="385" spans="28:71">
      <c r="AB385" s="514"/>
      <c r="AC385" s="514"/>
      <c r="AD385" s="514"/>
      <c r="AE385" s="514"/>
      <c r="AF385" s="514"/>
      <c r="AG385" s="514"/>
      <c r="AH385" s="514"/>
      <c r="AI385" s="514"/>
      <c r="AJ385" s="514"/>
      <c r="AK385" s="514"/>
      <c r="AL385" s="514"/>
      <c r="AM385" s="514"/>
      <c r="AN385" s="514"/>
      <c r="AO385" s="514"/>
      <c r="AP385" s="514"/>
      <c r="AQ385" s="514"/>
      <c r="AR385" s="514"/>
      <c r="AS385" s="514"/>
      <c r="AT385" s="514"/>
      <c r="AU385" s="514"/>
      <c r="AV385" s="514"/>
      <c r="AW385" s="514"/>
      <c r="AX385" s="514"/>
      <c r="AY385" s="514"/>
      <c r="AZ385" s="514"/>
      <c r="BA385" s="514"/>
      <c r="BB385" s="514"/>
      <c r="BC385" s="520"/>
      <c r="BD385" s="2482"/>
      <c r="BE385" s="30">
        <v>26.6</v>
      </c>
      <c r="BF385" s="31">
        <v>0.89500000000000002</v>
      </c>
      <c r="BG385" s="32">
        <v>894.5</v>
      </c>
      <c r="BH385" s="33"/>
      <c r="BI385" s="30">
        <v>26.6</v>
      </c>
      <c r="BJ385" s="34">
        <v>3.3805000000000001</v>
      </c>
      <c r="BK385" s="35">
        <v>0.14198</v>
      </c>
      <c r="BL385" s="33"/>
      <c r="BM385" s="37">
        <v>916</v>
      </c>
      <c r="BN385" s="38">
        <v>0.91649999999999998</v>
      </c>
      <c r="BO385" s="39">
        <v>22.89</v>
      </c>
      <c r="BP385" s="520"/>
      <c r="BQ385" s="40">
        <v>916</v>
      </c>
      <c r="BR385" s="43">
        <v>914.9</v>
      </c>
      <c r="BS385" s="41">
        <v>1.093</v>
      </c>
    </row>
    <row r="386" spans="28:71">
      <c r="AB386" s="514"/>
      <c r="AC386" s="514"/>
      <c r="AD386" s="514"/>
      <c r="AE386" s="514"/>
      <c r="AF386" s="514"/>
      <c r="AG386" s="514"/>
      <c r="AH386" s="514"/>
      <c r="AI386" s="514"/>
      <c r="AJ386" s="514"/>
      <c r="AK386" s="514"/>
      <c r="AL386" s="514"/>
      <c r="AM386" s="514"/>
      <c r="AN386" s="514"/>
      <c r="AO386" s="514"/>
      <c r="AP386" s="514"/>
      <c r="AQ386" s="514"/>
      <c r="AR386" s="514"/>
      <c r="AS386" s="514"/>
      <c r="AT386" s="514"/>
      <c r="AU386" s="514"/>
      <c r="AV386" s="514"/>
      <c r="AW386" s="514"/>
      <c r="AX386" s="514"/>
      <c r="AY386" s="514"/>
      <c r="AZ386" s="514"/>
      <c r="BA386" s="514"/>
      <c r="BB386" s="514"/>
      <c r="BC386" s="520"/>
      <c r="BD386" s="2482"/>
      <c r="BE386" s="30">
        <v>26.7</v>
      </c>
      <c r="BF386" s="31">
        <v>0.89439999999999997</v>
      </c>
      <c r="BG386" s="32">
        <v>893.9</v>
      </c>
      <c r="BH386" s="33"/>
      <c r="BI386" s="30">
        <v>26.7</v>
      </c>
      <c r="BJ386" s="34">
        <v>3.3784000000000001</v>
      </c>
      <c r="BK386" s="35">
        <v>0.14188999999999999</v>
      </c>
      <c r="BL386" s="33"/>
      <c r="BM386" s="37">
        <v>917</v>
      </c>
      <c r="BN386" s="38">
        <v>0.91749999999999998</v>
      </c>
      <c r="BO386" s="39">
        <v>22.72</v>
      </c>
      <c r="BP386" s="520"/>
      <c r="BQ386" s="40">
        <v>917</v>
      </c>
      <c r="BR386" s="43">
        <v>915.9</v>
      </c>
      <c r="BS386" s="41">
        <v>1.0918000000000001</v>
      </c>
    </row>
    <row r="387" spans="28:71">
      <c r="AB387" s="514"/>
      <c r="AC387" s="514"/>
      <c r="AD387" s="514"/>
      <c r="AE387" s="514"/>
      <c r="AF387" s="514"/>
      <c r="AG387" s="514"/>
      <c r="AH387" s="514"/>
      <c r="AI387" s="514"/>
      <c r="AJ387" s="514"/>
      <c r="AK387" s="514"/>
      <c r="AL387" s="514"/>
      <c r="AM387" s="514"/>
      <c r="AN387" s="514"/>
      <c r="AO387" s="514"/>
      <c r="AP387" s="514"/>
      <c r="AQ387" s="514"/>
      <c r="AR387" s="514"/>
      <c r="AS387" s="514"/>
      <c r="AT387" s="514"/>
      <c r="AU387" s="514"/>
      <c r="AV387" s="514"/>
      <c r="AW387" s="514"/>
      <c r="AX387" s="514"/>
      <c r="AY387" s="514"/>
      <c r="AZ387" s="514"/>
      <c r="BA387" s="514"/>
      <c r="BB387" s="514"/>
      <c r="BC387" s="520"/>
      <c r="BD387" s="2482"/>
      <c r="BE387" s="30">
        <v>26.8</v>
      </c>
      <c r="BF387" s="31">
        <v>0.89390000000000003</v>
      </c>
      <c r="BG387" s="32">
        <v>893.4</v>
      </c>
      <c r="BH387" s="33"/>
      <c r="BI387" s="30">
        <v>26.8</v>
      </c>
      <c r="BJ387" s="34">
        <v>3.3761999999999999</v>
      </c>
      <c r="BK387" s="35">
        <v>0.14180000000000001</v>
      </c>
      <c r="BL387" s="33"/>
      <c r="BM387" s="37">
        <v>918</v>
      </c>
      <c r="BN387" s="38">
        <v>0.91849999999999998</v>
      </c>
      <c r="BO387" s="39">
        <v>22.55</v>
      </c>
      <c r="BP387" s="520"/>
      <c r="BQ387" s="40">
        <v>918</v>
      </c>
      <c r="BR387" s="43">
        <v>916.9</v>
      </c>
      <c r="BS387" s="41">
        <v>1.0906</v>
      </c>
    </row>
    <row r="388" spans="28:71">
      <c r="AB388" s="514"/>
      <c r="AC388" s="514"/>
      <c r="AD388" s="514"/>
      <c r="AE388" s="514"/>
      <c r="AF388" s="514"/>
      <c r="AG388" s="514"/>
      <c r="AH388" s="514"/>
      <c r="AI388" s="514"/>
      <c r="AJ388" s="514"/>
      <c r="AK388" s="514"/>
      <c r="AL388" s="514"/>
      <c r="AM388" s="514"/>
      <c r="AN388" s="514"/>
      <c r="AO388" s="514"/>
      <c r="AP388" s="514"/>
      <c r="AQ388" s="514"/>
      <c r="AR388" s="514"/>
      <c r="AS388" s="514"/>
      <c r="AT388" s="514"/>
      <c r="AU388" s="514"/>
      <c r="AV388" s="514"/>
      <c r="AW388" s="514"/>
      <c r="AX388" s="514"/>
      <c r="AY388" s="514"/>
      <c r="AZ388" s="514"/>
      <c r="BA388" s="514"/>
      <c r="BB388" s="514"/>
      <c r="BC388" s="520"/>
      <c r="BD388" s="2482"/>
      <c r="BE388" s="30">
        <v>26.9</v>
      </c>
      <c r="BF388" s="31">
        <v>0.89329999999999998</v>
      </c>
      <c r="BG388" s="32">
        <v>892.8</v>
      </c>
      <c r="BH388" s="33"/>
      <c r="BI388" s="30">
        <v>26.9</v>
      </c>
      <c r="BJ388" s="34">
        <v>3.3740999999999999</v>
      </c>
      <c r="BK388" s="35">
        <v>0.14171</v>
      </c>
      <c r="BL388" s="33"/>
      <c r="BM388" s="37">
        <v>919</v>
      </c>
      <c r="BN388" s="38">
        <v>0.91949999999999998</v>
      </c>
      <c r="BO388" s="39">
        <v>22.38</v>
      </c>
      <c r="BP388" s="520"/>
      <c r="BQ388" s="40">
        <v>919</v>
      </c>
      <c r="BR388" s="43">
        <v>917.9</v>
      </c>
      <c r="BS388" s="41">
        <v>1.0893999999999999</v>
      </c>
    </row>
    <row r="389" spans="28:71">
      <c r="AB389" s="514"/>
      <c r="AC389" s="514"/>
      <c r="AD389" s="514"/>
      <c r="AE389" s="514"/>
      <c r="AF389" s="514"/>
      <c r="AG389" s="514"/>
      <c r="AH389" s="514"/>
      <c r="AI389" s="514"/>
      <c r="AJ389" s="514"/>
      <c r="AK389" s="514"/>
      <c r="AL389" s="514"/>
      <c r="AM389" s="514"/>
      <c r="AN389" s="514"/>
      <c r="AO389" s="514"/>
      <c r="AP389" s="514"/>
      <c r="AQ389" s="514"/>
      <c r="AR389" s="514"/>
      <c r="AS389" s="514"/>
      <c r="AT389" s="514"/>
      <c r="AU389" s="514"/>
      <c r="AV389" s="514"/>
      <c r="AW389" s="514"/>
      <c r="AX389" s="514"/>
      <c r="AY389" s="514"/>
      <c r="AZ389" s="514"/>
      <c r="BA389" s="514"/>
      <c r="BB389" s="514"/>
      <c r="BC389" s="520"/>
      <c r="BD389" s="2482"/>
      <c r="BE389" s="30">
        <v>27</v>
      </c>
      <c r="BF389" s="31">
        <v>0.89270000000000005</v>
      </c>
      <c r="BG389" s="32">
        <v>892.2</v>
      </c>
      <c r="BH389" s="33"/>
      <c r="BI389" s="30">
        <v>27</v>
      </c>
      <c r="BJ389" s="34">
        <v>3.3719000000000001</v>
      </c>
      <c r="BK389" s="35">
        <v>0.14162</v>
      </c>
      <c r="BL389" s="33"/>
      <c r="BM389" s="37">
        <v>920</v>
      </c>
      <c r="BN389" s="38">
        <v>0.92049999999999998</v>
      </c>
      <c r="BO389" s="39">
        <v>22.22</v>
      </c>
      <c r="BP389" s="520"/>
      <c r="BQ389" s="40">
        <v>920</v>
      </c>
      <c r="BR389" s="43">
        <v>918.9</v>
      </c>
      <c r="BS389" s="41">
        <v>1.0882000000000001</v>
      </c>
    </row>
    <row r="390" spans="28:71">
      <c r="AB390" s="514"/>
      <c r="AC390" s="514"/>
      <c r="AD390" s="514"/>
      <c r="AE390" s="514"/>
      <c r="AF390" s="514"/>
      <c r="AG390" s="514"/>
      <c r="AH390" s="514"/>
      <c r="AI390" s="514"/>
      <c r="AJ390" s="514"/>
      <c r="AK390" s="514"/>
      <c r="AL390" s="514"/>
      <c r="AM390" s="514"/>
      <c r="AN390" s="514"/>
      <c r="AO390" s="514"/>
      <c r="AP390" s="514"/>
      <c r="AQ390" s="514"/>
      <c r="AR390" s="514"/>
      <c r="AS390" s="514"/>
      <c r="AT390" s="514"/>
      <c r="AU390" s="514"/>
      <c r="AV390" s="514"/>
      <c r="AW390" s="514"/>
      <c r="AX390" s="514"/>
      <c r="AY390" s="514"/>
      <c r="AZ390" s="514"/>
      <c r="BA390" s="514"/>
      <c r="BB390" s="514"/>
      <c r="BC390" s="520"/>
      <c r="BD390" s="2482"/>
      <c r="BE390" s="30">
        <v>27.1</v>
      </c>
      <c r="BF390" s="31">
        <v>0.89219999999999999</v>
      </c>
      <c r="BG390" s="32">
        <v>891.7</v>
      </c>
      <c r="BH390" s="33"/>
      <c r="BI390" s="30">
        <v>27.1</v>
      </c>
      <c r="BJ390" s="34">
        <v>3.3698000000000001</v>
      </c>
      <c r="BK390" s="35">
        <v>0.14152999999999999</v>
      </c>
      <c r="BL390" s="33"/>
      <c r="BM390" s="37">
        <v>921</v>
      </c>
      <c r="BN390" s="38">
        <v>0.92149999999999999</v>
      </c>
      <c r="BO390" s="39">
        <v>22.05</v>
      </c>
      <c r="BP390" s="520"/>
      <c r="BQ390" s="40">
        <v>921</v>
      </c>
      <c r="BR390" s="43">
        <v>919.9</v>
      </c>
      <c r="BS390" s="41">
        <v>1.0871</v>
      </c>
    </row>
    <row r="391" spans="28:71">
      <c r="AB391" s="514"/>
      <c r="AC391" s="514"/>
      <c r="AD391" s="514"/>
      <c r="AE391" s="514"/>
      <c r="AF391" s="514"/>
      <c r="AG391" s="514"/>
      <c r="AH391" s="514"/>
      <c r="AI391" s="514"/>
      <c r="AJ391" s="514"/>
      <c r="AK391" s="514"/>
      <c r="AL391" s="514"/>
      <c r="AM391" s="514"/>
      <c r="AN391" s="514"/>
      <c r="AO391" s="514"/>
      <c r="AP391" s="514"/>
      <c r="AQ391" s="514"/>
      <c r="AR391" s="514"/>
      <c r="AS391" s="514"/>
      <c r="AT391" s="514"/>
      <c r="AU391" s="514"/>
      <c r="AV391" s="514"/>
      <c r="AW391" s="514"/>
      <c r="AX391" s="514"/>
      <c r="AY391" s="514"/>
      <c r="AZ391" s="514"/>
      <c r="BA391" s="514"/>
      <c r="BB391" s="514"/>
      <c r="BC391" s="520"/>
      <c r="BD391" s="2482"/>
      <c r="BE391" s="30">
        <v>27.2</v>
      </c>
      <c r="BF391" s="31">
        <v>0.89159999999999995</v>
      </c>
      <c r="BG391" s="32">
        <v>891.1</v>
      </c>
      <c r="BH391" s="33"/>
      <c r="BI391" s="30">
        <v>27.2</v>
      </c>
      <c r="BJ391" s="34">
        <v>3.3677000000000001</v>
      </c>
      <c r="BK391" s="35">
        <v>0.14144000000000001</v>
      </c>
      <c r="BL391" s="33"/>
      <c r="BM391" s="37">
        <v>922</v>
      </c>
      <c r="BN391" s="38">
        <v>0.92249999999999999</v>
      </c>
      <c r="BO391" s="39">
        <v>21.88</v>
      </c>
      <c r="BP391" s="520"/>
      <c r="BQ391" s="40">
        <v>922</v>
      </c>
      <c r="BR391" s="43">
        <v>920.9</v>
      </c>
      <c r="BS391" s="41">
        <v>1.0859000000000001</v>
      </c>
    </row>
    <row r="392" spans="28:71">
      <c r="AB392" s="514"/>
      <c r="AC392" s="514"/>
      <c r="AD392" s="514"/>
      <c r="AE392" s="514"/>
      <c r="AF392" s="514"/>
      <c r="AG392" s="514"/>
      <c r="AH392" s="514"/>
      <c r="AI392" s="514"/>
      <c r="AJ392" s="514"/>
      <c r="AK392" s="514"/>
      <c r="AL392" s="514"/>
      <c r="AM392" s="514"/>
      <c r="AN392" s="514"/>
      <c r="AO392" s="514"/>
      <c r="AP392" s="514"/>
      <c r="AQ392" s="514"/>
      <c r="AR392" s="514"/>
      <c r="AS392" s="514"/>
      <c r="AT392" s="514"/>
      <c r="AU392" s="514"/>
      <c r="AV392" s="514"/>
      <c r="AW392" s="514"/>
      <c r="AX392" s="514"/>
      <c r="AY392" s="514"/>
      <c r="AZ392" s="514"/>
      <c r="BA392" s="514"/>
      <c r="BB392" s="514"/>
      <c r="BC392" s="520"/>
      <c r="BD392" s="2482"/>
      <c r="BE392" s="30">
        <v>27.3</v>
      </c>
      <c r="BF392" s="31">
        <v>0.8911</v>
      </c>
      <c r="BG392" s="32">
        <v>890.6</v>
      </c>
      <c r="BH392" s="33"/>
      <c r="BI392" s="30">
        <v>27.3</v>
      </c>
      <c r="BJ392" s="34">
        <v>3.3656000000000001</v>
      </c>
      <c r="BK392" s="35">
        <v>0.14135</v>
      </c>
      <c r="BL392" s="33"/>
      <c r="BM392" s="37">
        <v>923</v>
      </c>
      <c r="BN392" s="38">
        <v>0.92349999999999999</v>
      </c>
      <c r="BO392" s="39">
        <v>21.72</v>
      </c>
      <c r="BP392" s="520"/>
      <c r="BQ392" s="40">
        <v>923</v>
      </c>
      <c r="BR392" s="43">
        <v>921.9</v>
      </c>
      <c r="BS392" s="41">
        <v>1.0847</v>
      </c>
    </row>
    <row r="393" spans="28:71">
      <c r="AB393" s="514"/>
      <c r="AC393" s="514"/>
      <c r="AD393" s="514"/>
      <c r="AE393" s="514"/>
      <c r="AF393" s="514"/>
      <c r="AG393" s="514"/>
      <c r="AH393" s="514"/>
      <c r="AI393" s="514"/>
      <c r="AJ393" s="514"/>
      <c r="AK393" s="514"/>
      <c r="AL393" s="514"/>
      <c r="AM393" s="514"/>
      <c r="AN393" s="514"/>
      <c r="AO393" s="514"/>
      <c r="AP393" s="514"/>
      <c r="AQ393" s="514"/>
      <c r="AR393" s="514"/>
      <c r="AS393" s="514"/>
      <c r="AT393" s="514"/>
      <c r="AU393" s="514"/>
      <c r="AV393" s="514"/>
      <c r="AW393" s="514"/>
      <c r="AX393" s="514"/>
      <c r="AY393" s="514"/>
      <c r="AZ393" s="514"/>
      <c r="BA393" s="514"/>
      <c r="BB393" s="514"/>
      <c r="BC393" s="520"/>
      <c r="BD393" s="2482"/>
      <c r="BE393" s="30">
        <v>27.4</v>
      </c>
      <c r="BF393" s="31">
        <v>0.89049999999999996</v>
      </c>
      <c r="BG393" s="32">
        <v>890</v>
      </c>
      <c r="BH393" s="33"/>
      <c r="BI393" s="30">
        <v>27.4</v>
      </c>
      <c r="BJ393" s="34">
        <v>3.3633999999999999</v>
      </c>
      <c r="BK393" s="35">
        <v>0.14126</v>
      </c>
      <c r="BL393" s="33"/>
      <c r="BM393" s="37">
        <v>924</v>
      </c>
      <c r="BN393" s="38">
        <v>0.92449999999999999</v>
      </c>
      <c r="BO393" s="39">
        <v>21.55</v>
      </c>
      <c r="BP393" s="520"/>
      <c r="BQ393" s="40">
        <v>924</v>
      </c>
      <c r="BR393" s="43">
        <v>922.9</v>
      </c>
      <c r="BS393" s="41">
        <v>1.0834999999999999</v>
      </c>
    </row>
    <row r="394" spans="28:71">
      <c r="AB394" s="514"/>
      <c r="AC394" s="514"/>
      <c r="AD394" s="514"/>
      <c r="AE394" s="514"/>
      <c r="AF394" s="514"/>
      <c r="AG394" s="514"/>
      <c r="AH394" s="514"/>
      <c r="AI394" s="514"/>
      <c r="AJ394" s="514"/>
      <c r="AK394" s="514"/>
      <c r="AL394" s="514"/>
      <c r="AM394" s="514"/>
      <c r="AN394" s="514"/>
      <c r="AO394" s="514"/>
      <c r="AP394" s="514"/>
      <c r="AQ394" s="514"/>
      <c r="AR394" s="514"/>
      <c r="AS394" s="514"/>
      <c r="AT394" s="514"/>
      <c r="AU394" s="514"/>
      <c r="AV394" s="514"/>
      <c r="AW394" s="514"/>
      <c r="AX394" s="514"/>
      <c r="AY394" s="514"/>
      <c r="AZ394" s="514"/>
      <c r="BA394" s="514"/>
      <c r="BB394" s="514"/>
      <c r="BC394" s="520"/>
      <c r="BD394" s="2482"/>
      <c r="BE394" s="30">
        <v>27.5</v>
      </c>
      <c r="BF394" s="31">
        <v>0.88990000000000002</v>
      </c>
      <c r="BG394" s="32">
        <v>889.4</v>
      </c>
      <c r="BH394" s="33"/>
      <c r="BI394" s="30">
        <v>27.5</v>
      </c>
      <c r="BJ394" s="34">
        <v>3.3613</v>
      </c>
      <c r="BK394" s="35">
        <v>0.14118</v>
      </c>
      <c r="BL394" s="33"/>
      <c r="BM394" s="37">
        <v>925</v>
      </c>
      <c r="BN394" s="38">
        <v>0.92549999999999999</v>
      </c>
      <c r="BO394" s="39">
        <v>21.39</v>
      </c>
      <c r="BP394" s="520"/>
      <c r="BQ394" s="40">
        <v>925</v>
      </c>
      <c r="BR394" s="43">
        <v>923.9</v>
      </c>
      <c r="BS394" s="41">
        <v>1.0823</v>
      </c>
    </row>
    <row r="395" spans="28:71">
      <c r="AB395" s="514"/>
      <c r="AC395" s="514"/>
      <c r="AD395" s="514"/>
      <c r="AE395" s="514"/>
      <c r="AF395" s="514"/>
      <c r="AG395" s="514"/>
      <c r="AH395" s="514"/>
      <c r="AI395" s="514"/>
      <c r="AJ395" s="514"/>
      <c r="AK395" s="514"/>
      <c r="AL395" s="514"/>
      <c r="AM395" s="514"/>
      <c r="AN395" s="514"/>
      <c r="AO395" s="514"/>
      <c r="AP395" s="514"/>
      <c r="AQ395" s="514"/>
      <c r="AR395" s="514"/>
      <c r="AS395" s="514"/>
      <c r="AT395" s="514"/>
      <c r="AU395" s="514"/>
      <c r="AV395" s="514"/>
      <c r="AW395" s="514"/>
      <c r="AX395" s="514"/>
      <c r="AY395" s="514"/>
      <c r="AZ395" s="514"/>
      <c r="BA395" s="514"/>
      <c r="BB395" s="514"/>
      <c r="BC395" s="520"/>
      <c r="BD395" s="2482"/>
      <c r="BE395" s="30">
        <v>27.6</v>
      </c>
      <c r="BF395" s="31">
        <v>0.88939999999999997</v>
      </c>
      <c r="BG395" s="32">
        <v>888.9</v>
      </c>
      <c r="BH395" s="33"/>
      <c r="BI395" s="30">
        <v>27.6</v>
      </c>
      <c r="BJ395" s="34">
        <v>3.3592</v>
      </c>
      <c r="BK395" s="35">
        <v>0.14108999999999999</v>
      </c>
      <c r="BL395" s="33"/>
      <c r="BM395" s="37">
        <v>926</v>
      </c>
      <c r="BN395" s="38">
        <v>0.92649999999999999</v>
      </c>
      <c r="BO395" s="39">
        <v>21.22</v>
      </c>
      <c r="BP395" s="520"/>
      <c r="BQ395" s="40">
        <v>926</v>
      </c>
      <c r="BR395" s="43">
        <v>924.9</v>
      </c>
      <c r="BS395" s="41">
        <v>1.0811999999999999</v>
      </c>
    </row>
    <row r="396" spans="28:71">
      <c r="AB396" s="514"/>
      <c r="AC396" s="514"/>
      <c r="AD396" s="514"/>
      <c r="AE396" s="514"/>
      <c r="AF396" s="514"/>
      <c r="AG396" s="514"/>
      <c r="AH396" s="514"/>
      <c r="AI396" s="514"/>
      <c r="AJ396" s="514"/>
      <c r="AK396" s="514"/>
      <c r="AL396" s="514"/>
      <c r="AM396" s="514"/>
      <c r="AN396" s="514"/>
      <c r="AO396" s="514"/>
      <c r="AP396" s="514"/>
      <c r="AQ396" s="514"/>
      <c r="AR396" s="514"/>
      <c r="AS396" s="514"/>
      <c r="AT396" s="514"/>
      <c r="AU396" s="514"/>
      <c r="AV396" s="514"/>
      <c r="AW396" s="514"/>
      <c r="AX396" s="514"/>
      <c r="AY396" s="514"/>
      <c r="AZ396" s="514"/>
      <c r="BA396" s="514"/>
      <c r="BB396" s="514"/>
      <c r="BC396" s="520"/>
      <c r="BD396" s="2482"/>
      <c r="BE396" s="30">
        <v>27.7</v>
      </c>
      <c r="BF396" s="31">
        <v>0.88880000000000003</v>
      </c>
      <c r="BG396" s="32">
        <v>888.3</v>
      </c>
      <c r="BH396" s="33"/>
      <c r="BI396" s="30">
        <v>27.7</v>
      </c>
      <c r="BJ396" s="34">
        <v>3.3571</v>
      </c>
      <c r="BK396" s="35">
        <v>0.14099999999999999</v>
      </c>
      <c r="BL396" s="33"/>
      <c r="BM396" s="37">
        <v>927</v>
      </c>
      <c r="BN396" s="38">
        <v>0.92749999999999999</v>
      </c>
      <c r="BO396" s="39">
        <v>21.06</v>
      </c>
      <c r="BP396" s="520"/>
      <c r="BQ396" s="40">
        <v>927</v>
      </c>
      <c r="BR396" s="43">
        <v>925.9</v>
      </c>
      <c r="BS396" s="41">
        <v>1.08</v>
      </c>
    </row>
    <row r="397" spans="28:71">
      <c r="AB397" s="514"/>
      <c r="AC397" s="514"/>
      <c r="AD397" s="514"/>
      <c r="AE397" s="514"/>
      <c r="AF397" s="514"/>
      <c r="AG397" s="514"/>
      <c r="AH397" s="514"/>
      <c r="AI397" s="514"/>
      <c r="AJ397" s="514"/>
      <c r="AK397" s="514"/>
      <c r="AL397" s="514"/>
      <c r="AM397" s="514"/>
      <c r="AN397" s="514"/>
      <c r="AO397" s="514"/>
      <c r="AP397" s="514"/>
      <c r="AQ397" s="514"/>
      <c r="AR397" s="514"/>
      <c r="AS397" s="514"/>
      <c r="AT397" s="514"/>
      <c r="AU397" s="514"/>
      <c r="AV397" s="514"/>
      <c r="AW397" s="514"/>
      <c r="AX397" s="514"/>
      <c r="AY397" s="514"/>
      <c r="AZ397" s="514"/>
      <c r="BA397" s="514"/>
      <c r="BB397" s="514"/>
      <c r="BC397" s="520"/>
      <c r="BD397" s="2482"/>
      <c r="BE397" s="30">
        <v>27.8</v>
      </c>
      <c r="BF397" s="31">
        <v>0.88829999999999998</v>
      </c>
      <c r="BG397" s="32">
        <v>887.8</v>
      </c>
      <c r="BH397" s="33"/>
      <c r="BI397" s="30">
        <v>27.8</v>
      </c>
      <c r="BJ397" s="34">
        <v>3.355</v>
      </c>
      <c r="BK397" s="35">
        <v>0.14091000000000001</v>
      </c>
      <c r="BL397" s="33"/>
      <c r="BM397" s="37">
        <v>928</v>
      </c>
      <c r="BN397" s="38">
        <v>0.92849999999999999</v>
      </c>
      <c r="BO397" s="39">
        <v>20.89</v>
      </c>
      <c r="BP397" s="520"/>
      <c r="BQ397" s="40">
        <v>928</v>
      </c>
      <c r="BR397" s="43">
        <v>926.9</v>
      </c>
      <c r="BS397" s="41">
        <v>1.0788</v>
      </c>
    </row>
    <row r="398" spans="28:71">
      <c r="AB398" s="514"/>
      <c r="AC398" s="514"/>
      <c r="AD398" s="514"/>
      <c r="AE398" s="514"/>
      <c r="AF398" s="514"/>
      <c r="AG398" s="514"/>
      <c r="AH398" s="514"/>
      <c r="AI398" s="514"/>
      <c r="AJ398" s="514"/>
      <c r="AK398" s="514"/>
      <c r="AL398" s="514"/>
      <c r="AM398" s="514"/>
      <c r="AN398" s="514"/>
      <c r="AO398" s="514"/>
      <c r="AP398" s="514"/>
      <c r="AQ398" s="514"/>
      <c r="AR398" s="514"/>
      <c r="AS398" s="514"/>
      <c r="AT398" s="514"/>
      <c r="AU398" s="514"/>
      <c r="AV398" s="514"/>
      <c r="AW398" s="514"/>
      <c r="AX398" s="514"/>
      <c r="AY398" s="514"/>
      <c r="AZ398" s="514"/>
      <c r="BA398" s="514"/>
      <c r="BB398" s="514"/>
      <c r="BC398" s="520"/>
      <c r="BD398" s="2482"/>
      <c r="BE398" s="30">
        <v>27.9</v>
      </c>
      <c r="BF398" s="31">
        <v>0.88770000000000004</v>
      </c>
      <c r="BG398" s="32">
        <v>887.2</v>
      </c>
      <c r="BH398" s="33"/>
      <c r="BI398" s="30">
        <v>27.9</v>
      </c>
      <c r="BJ398" s="34">
        <v>3.3529</v>
      </c>
      <c r="BK398" s="35">
        <v>0.14082</v>
      </c>
      <c r="BL398" s="33"/>
      <c r="BM398" s="37">
        <v>929</v>
      </c>
      <c r="BN398" s="38">
        <v>0.92949999999999999</v>
      </c>
      <c r="BO398" s="39">
        <v>20.73</v>
      </c>
      <c r="BP398" s="520"/>
      <c r="BQ398" s="40">
        <v>929</v>
      </c>
      <c r="BR398" s="43">
        <v>927.9</v>
      </c>
      <c r="BS398" s="41">
        <v>1.0777000000000001</v>
      </c>
    </row>
    <row r="399" spans="28:71">
      <c r="AB399" s="514"/>
      <c r="AC399" s="514"/>
      <c r="AD399" s="514"/>
      <c r="AE399" s="514"/>
      <c r="AF399" s="514"/>
      <c r="AG399" s="514"/>
      <c r="AH399" s="514"/>
      <c r="AI399" s="514"/>
      <c r="AJ399" s="514"/>
      <c r="AK399" s="514"/>
      <c r="AL399" s="514"/>
      <c r="AM399" s="514"/>
      <c r="AN399" s="514"/>
      <c r="AO399" s="514"/>
      <c r="AP399" s="514"/>
      <c r="AQ399" s="514"/>
      <c r="AR399" s="514"/>
      <c r="AS399" s="514"/>
      <c r="AT399" s="514"/>
      <c r="AU399" s="514"/>
      <c r="AV399" s="514"/>
      <c r="AW399" s="514"/>
      <c r="AX399" s="514"/>
      <c r="AY399" s="514"/>
      <c r="AZ399" s="514"/>
      <c r="BA399" s="514"/>
      <c r="BB399" s="514"/>
      <c r="BC399" s="520"/>
      <c r="BD399" s="2482"/>
      <c r="BE399" s="30">
        <v>28</v>
      </c>
      <c r="BF399" s="31">
        <v>0.8871</v>
      </c>
      <c r="BG399" s="32">
        <v>886.7</v>
      </c>
      <c r="BH399" s="33"/>
      <c r="BI399" s="30">
        <v>28</v>
      </c>
      <c r="BJ399" s="34">
        <v>3.3508</v>
      </c>
      <c r="BK399" s="35">
        <v>0.14072999999999999</v>
      </c>
      <c r="BL399" s="33"/>
      <c r="BM399" s="37">
        <v>930</v>
      </c>
      <c r="BN399" s="38">
        <v>0.93049999999999999</v>
      </c>
      <c r="BO399" s="39">
        <v>20.56</v>
      </c>
      <c r="BP399" s="520"/>
      <c r="BQ399" s="40">
        <v>930</v>
      </c>
      <c r="BR399" s="43">
        <v>928.9</v>
      </c>
      <c r="BS399" s="41">
        <v>1.0765</v>
      </c>
    </row>
    <row r="400" spans="28:71">
      <c r="AB400" s="514"/>
      <c r="AC400" s="514"/>
      <c r="AD400" s="514"/>
      <c r="AE400" s="514"/>
      <c r="AF400" s="514"/>
      <c r="AG400" s="514"/>
      <c r="AH400" s="514"/>
      <c r="AI400" s="514"/>
      <c r="AJ400" s="514"/>
      <c r="AK400" s="514"/>
      <c r="AL400" s="514"/>
      <c r="AM400" s="514"/>
      <c r="AN400" s="514"/>
      <c r="AO400" s="514"/>
      <c r="AP400" s="514"/>
      <c r="AQ400" s="514"/>
      <c r="AR400" s="514"/>
      <c r="AS400" s="514"/>
      <c r="AT400" s="514"/>
      <c r="AU400" s="514"/>
      <c r="AV400" s="514"/>
      <c r="AW400" s="514"/>
      <c r="AX400" s="514"/>
      <c r="AY400" s="514"/>
      <c r="AZ400" s="514"/>
      <c r="BA400" s="514"/>
      <c r="BB400" s="514"/>
      <c r="BC400" s="520"/>
      <c r="BD400" s="2482"/>
      <c r="BE400" s="30">
        <v>28.1</v>
      </c>
      <c r="BF400" s="31">
        <v>0.88660000000000005</v>
      </c>
      <c r="BG400" s="32">
        <v>886.1</v>
      </c>
      <c r="BH400" s="33"/>
      <c r="BI400" s="30">
        <v>28.1</v>
      </c>
      <c r="BJ400" s="34">
        <v>3.3487</v>
      </c>
      <c r="BK400" s="35">
        <v>0.14063999999999999</v>
      </c>
      <c r="BL400" s="33"/>
      <c r="BM400" s="37">
        <v>931</v>
      </c>
      <c r="BN400" s="38">
        <v>0.93149999999999999</v>
      </c>
      <c r="BO400" s="39">
        <v>20.399999999999999</v>
      </c>
      <c r="BP400" s="520"/>
      <c r="BQ400" s="40">
        <v>931</v>
      </c>
      <c r="BR400" s="43">
        <v>929.9</v>
      </c>
      <c r="BS400" s="41">
        <v>1.0753999999999999</v>
      </c>
    </row>
    <row r="401" spans="28:71">
      <c r="AB401" s="514"/>
      <c r="AC401" s="514"/>
      <c r="AD401" s="514"/>
      <c r="AE401" s="514"/>
      <c r="AF401" s="514"/>
      <c r="AG401" s="514"/>
      <c r="AH401" s="514"/>
      <c r="AI401" s="514"/>
      <c r="AJ401" s="514"/>
      <c r="AK401" s="514"/>
      <c r="AL401" s="514"/>
      <c r="AM401" s="514"/>
      <c r="AN401" s="514"/>
      <c r="AO401" s="514"/>
      <c r="AP401" s="514"/>
      <c r="AQ401" s="514"/>
      <c r="AR401" s="514"/>
      <c r="AS401" s="514"/>
      <c r="AT401" s="514"/>
      <c r="AU401" s="514"/>
      <c r="AV401" s="514"/>
      <c r="AW401" s="514"/>
      <c r="AX401" s="514"/>
      <c r="AY401" s="514"/>
      <c r="AZ401" s="514"/>
      <c r="BA401" s="514"/>
      <c r="BB401" s="514"/>
      <c r="BC401" s="520"/>
      <c r="BD401" s="2482"/>
      <c r="BE401" s="30">
        <v>28.2</v>
      </c>
      <c r="BF401" s="31">
        <v>0.88600000000000001</v>
      </c>
      <c r="BG401" s="32">
        <v>885.5</v>
      </c>
      <c r="BH401" s="33"/>
      <c r="BI401" s="30">
        <v>28.2</v>
      </c>
      <c r="BJ401" s="34">
        <v>3.3466</v>
      </c>
      <c r="BK401" s="35">
        <v>0.14055999999999999</v>
      </c>
      <c r="BL401" s="33"/>
      <c r="BM401" s="37">
        <v>932</v>
      </c>
      <c r="BN401" s="38">
        <v>0.9325</v>
      </c>
      <c r="BO401" s="39">
        <v>20.239999999999998</v>
      </c>
      <c r="BP401" s="520"/>
      <c r="BQ401" s="40">
        <v>932</v>
      </c>
      <c r="BR401" s="43">
        <v>930.9</v>
      </c>
      <c r="BS401" s="41">
        <v>1.0742</v>
      </c>
    </row>
    <row r="402" spans="28:71">
      <c r="AB402" s="514"/>
      <c r="AC402" s="514"/>
      <c r="AD402" s="514"/>
      <c r="AE402" s="514"/>
      <c r="AF402" s="514"/>
      <c r="AG402" s="514"/>
      <c r="AH402" s="514"/>
      <c r="AI402" s="514"/>
      <c r="AJ402" s="514"/>
      <c r="AK402" s="514"/>
      <c r="AL402" s="514"/>
      <c r="AM402" s="514"/>
      <c r="AN402" s="514"/>
      <c r="AO402" s="514"/>
      <c r="AP402" s="514"/>
      <c r="AQ402" s="514"/>
      <c r="AR402" s="514"/>
      <c r="AS402" s="514"/>
      <c r="AT402" s="514"/>
      <c r="AU402" s="514"/>
      <c r="AV402" s="514"/>
      <c r="AW402" s="514"/>
      <c r="AX402" s="514"/>
      <c r="AY402" s="514"/>
      <c r="AZ402" s="514"/>
      <c r="BA402" s="514"/>
      <c r="BB402" s="514"/>
      <c r="BC402" s="520"/>
      <c r="BD402" s="2482"/>
      <c r="BE402" s="30">
        <v>28.3</v>
      </c>
      <c r="BF402" s="31">
        <v>0.88549999999999995</v>
      </c>
      <c r="BG402" s="32">
        <v>885</v>
      </c>
      <c r="BH402" s="33"/>
      <c r="BI402" s="30">
        <v>28.3</v>
      </c>
      <c r="BJ402" s="34">
        <v>3.3445</v>
      </c>
      <c r="BK402" s="35">
        <v>0.14047000000000001</v>
      </c>
      <c r="BL402" s="33"/>
      <c r="BM402" s="37">
        <v>933</v>
      </c>
      <c r="BN402" s="38">
        <v>0.9335</v>
      </c>
      <c r="BO402" s="39">
        <v>20.07</v>
      </c>
      <c r="BP402" s="520"/>
      <c r="BQ402" s="40">
        <v>933</v>
      </c>
      <c r="BR402" s="43">
        <v>931.9</v>
      </c>
      <c r="BS402" s="41">
        <v>1.0730999999999999</v>
      </c>
    </row>
    <row r="403" spans="28:71">
      <c r="AB403" s="514"/>
      <c r="AC403" s="514"/>
      <c r="AD403" s="514"/>
      <c r="AE403" s="514"/>
      <c r="AF403" s="514"/>
      <c r="AG403" s="514"/>
      <c r="AH403" s="514"/>
      <c r="AI403" s="514"/>
      <c r="AJ403" s="514"/>
      <c r="AK403" s="514"/>
      <c r="AL403" s="514"/>
      <c r="AM403" s="514"/>
      <c r="AN403" s="514"/>
      <c r="AO403" s="514"/>
      <c r="AP403" s="514"/>
      <c r="AQ403" s="514"/>
      <c r="AR403" s="514"/>
      <c r="AS403" s="514"/>
      <c r="AT403" s="514"/>
      <c r="AU403" s="514"/>
      <c r="AV403" s="514"/>
      <c r="AW403" s="514"/>
      <c r="AX403" s="514"/>
      <c r="AY403" s="514"/>
      <c r="AZ403" s="514"/>
      <c r="BA403" s="514"/>
      <c r="BB403" s="514"/>
      <c r="BC403" s="520"/>
      <c r="BD403" s="2482"/>
      <c r="BE403" s="30">
        <v>28.4</v>
      </c>
      <c r="BF403" s="31">
        <v>0.88490000000000002</v>
      </c>
      <c r="BG403" s="32">
        <v>884.4</v>
      </c>
      <c r="BH403" s="33"/>
      <c r="BI403" s="30">
        <v>28.4</v>
      </c>
      <c r="BJ403" s="34">
        <v>3.3424</v>
      </c>
      <c r="BK403" s="35">
        <v>0.14038</v>
      </c>
      <c r="BL403" s="33"/>
      <c r="BM403" s="37">
        <v>934</v>
      </c>
      <c r="BN403" s="38">
        <v>0.9345</v>
      </c>
      <c r="BO403" s="39">
        <v>19.91</v>
      </c>
      <c r="BP403" s="520"/>
      <c r="BQ403" s="40">
        <v>934</v>
      </c>
      <c r="BR403" s="43">
        <v>932.9</v>
      </c>
      <c r="BS403" s="41">
        <v>1.0719000000000001</v>
      </c>
    </row>
    <row r="404" spans="28:71">
      <c r="AB404" s="514"/>
      <c r="AC404" s="514"/>
      <c r="AD404" s="514"/>
      <c r="AE404" s="514"/>
      <c r="AF404" s="514"/>
      <c r="AG404" s="514"/>
      <c r="AH404" s="514"/>
      <c r="AI404" s="514"/>
      <c r="AJ404" s="514"/>
      <c r="AK404" s="514"/>
      <c r="AL404" s="514"/>
      <c r="AM404" s="514"/>
      <c r="AN404" s="514"/>
      <c r="AO404" s="514"/>
      <c r="AP404" s="514"/>
      <c r="AQ404" s="514"/>
      <c r="AR404" s="514"/>
      <c r="AS404" s="514"/>
      <c r="AT404" s="514"/>
      <c r="AU404" s="514"/>
      <c r="AV404" s="514"/>
      <c r="AW404" s="514"/>
      <c r="AX404" s="514"/>
      <c r="AY404" s="514"/>
      <c r="AZ404" s="514"/>
      <c r="BA404" s="514"/>
      <c r="BB404" s="514"/>
      <c r="BC404" s="520"/>
      <c r="BD404" s="2482"/>
      <c r="BE404" s="30">
        <v>28.5</v>
      </c>
      <c r="BF404" s="31">
        <v>0.88439999999999996</v>
      </c>
      <c r="BG404" s="32">
        <v>883.9</v>
      </c>
      <c r="BH404" s="33"/>
      <c r="BI404" s="30">
        <v>28.5</v>
      </c>
      <c r="BJ404" s="34">
        <v>3.3403</v>
      </c>
      <c r="BK404" s="35">
        <v>0.14029</v>
      </c>
      <c r="BL404" s="33"/>
      <c r="BM404" s="37">
        <v>935</v>
      </c>
      <c r="BN404" s="38">
        <v>0.9355</v>
      </c>
      <c r="BO404" s="39">
        <v>19.75</v>
      </c>
      <c r="BP404" s="520"/>
      <c r="BQ404" s="40">
        <v>935</v>
      </c>
      <c r="BR404" s="43">
        <v>933.9</v>
      </c>
      <c r="BS404" s="41">
        <v>1.0708</v>
      </c>
    </row>
    <row r="405" spans="28:71">
      <c r="AB405" s="514"/>
      <c r="AC405" s="514"/>
      <c r="AD405" s="514"/>
      <c r="AE405" s="514"/>
      <c r="AF405" s="514"/>
      <c r="AG405" s="514"/>
      <c r="AH405" s="514"/>
      <c r="AI405" s="514"/>
      <c r="AJ405" s="514"/>
      <c r="AK405" s="514"/>
      <c r="AL405" s="514"/>
      <c r="AM405" s="514"/>
      <c r="AN405" s="514"/>
      <c r="AO405" s="514"/>
      <c r="AP405" s="514"/>
      <c r="AQ405" s="514"/>
      <c r="AR405" s="514"/>
      <c r="AS405" s="514"/>
      <c r="AT405" s="514"/>
      <c r="AU405" s="514"/>
      <c r="AV405" s="514"/>
      <c r="AW405" s="514"/>
      <c r="AX405" s="514"/>
      <c r="AY405" s="514"/>
      <c r="AZ405" s="514"/>
      <c r="BA405" s="514"/>
      <c r="BB405" s="514"/>
      <c r="BC405" s="520"/>
      <c r="BD405" s="2482"/>
      <c r="BE405" s="30">
        <v>28.6</v>
      </c>
      <c r="BF405" s="31">
        <v>0.88380000000000003</v>
      </c>
      <c r="BG405" s="32">
        <v>883.3</v>
      </c>
      <c r="BH405" s="33"/>
      <c r="BI405" s="30">
        <v>28.6</v>
      </c>
      <c r="BJ405" s="34">
        <v>3.3382000000000001</v>
      </c>
      <c r="BK405" s="35">
        <v>0.14019999999999999</v>
      </c>
      <c r="BL405" s="33"/>
      <c r="BM405" s="37">
        <v>936</v>
      </c>
      <c r="BN405" s="38">
        <v>0.9365</v>
      </c>
      <c r="BO405" s="39">
        <v>19.59</v>
      </c>
      <c r="BP405" s="520"/>
      <c r="BQ405" s="40">
        <v>936</v>
      </c>
      <c r="BR405" s="43">
        <v>934.9</v>
      </c>
      <c r="BS405" s="41">
        <v>1.0696000000000001</v>
      </c>
    </row>
    <row r="406" spans="28:71">
      <c r="AB406" s="514"/>
      <c r="AC406" s="514"/>
      <c r="AD406" s="514"/>
      <c r="AE406" s="514"/>
      <c r="AF406" s="514"/>
      <c r="AG406" s="514"/>
      <c r="AH406" s="514"/>
      <c r="AI406" s="514"/>
      <c r="AJ406" s="514"/>
      <c r="AK406" s="514"/>
      <c r="AL406" s="514"/>
      <c r="AM406" s="514"/>
      <c r="AN406" s="514"/>
      <c r="AO406" s="514"/>
      <c r="AP406" s="514"/>
      <c r="AQ406" s="514"/>
      <c r="AR406" s="514"/>
      <c r="AS406" s="514"/>
      <c r="AT406" s="514"/>
      <c r="AU406" s="514"/>
      <c r="AV406" s="514"/>
      <c r="AW406" s="514"/>
      <c r="AX406" s="514"/>
      <c r="AY406" s="514"/>
      <c r="AZ406" s="514"/>
      <c r="BA406" s="514"/>
      <c r="BB406" s="514"/>
      <c r="BC406" s="520"/>
      <c r="BD406" s="2482"/>
      <c r="BE406" s="30">
        <v>28.7</v>
      </c>
      <c r="BF406" s="31">
        <v>0.88329999999999997</v>
      </c>
      <c r="BG406" s="32">
        <v>882.8</v>
      </c>
      <c r="BH406" s="33"/>
      <c r="BI406" s="30">
        <v>28.7</v>
      </c>
      <c r="BJ406" s="34">
        <v>3.3361000000000001</v>
      </c>
      <c r="BK406" s="35">
        <v>0.14011999999999999</v>
      </c>
      <c r="BL406" s="33"/>
      <c r="BM406" s="37">
        <v>937</v>
      </c>
      <c r="BN406" s="38">
        <v>0.9375</v>
      </c>
      <c r="BO406" s="39">
        <v>19.43</v>
      </c>
      <c r="BP406" s="520"/>
      <c r="BQ406" s="40">
        <v>937</v>
      </c>
      <c r="BR406" s="43">
        <v>935.9</v>
      </c>
      <c r="BS406" s="41">
        <v>1.0685</v>
      </c>
    </row>
    <row r="407" spans="28:71">
      <c r="AB407" s="514"/>
      <c r="AC407" s="514"/>
      <c r="AD407" s="514"/>
      <c r="AE407" s="514"/>
      <c r="AF407" s="514"/>
      <c r="AG407" s="514"/>
      <c r="AH407" s="514"/>
      <c r="AI407" s="514"/>
      <c r="AJ407" s="514"/>
      <c r="AK407" s="514"/>
      <c r="AL407" s="514"/>
      <c r="AM407" s="514"/>
      <c r="AN407" s="514"/>
      <c r="AO407" s="514"/>
      <c r="AP407" s="514"/>
      <c r="AQ407" s="514"/>
      <c r="AR407" s="514"/>
      <c r="AS407" s="514"/>
      <c r="AT407" s="514"/>
      <c r="AU407" s="514"/>
      <c r="AV407" s="514"/>
      <c r="AW407" s="514"/>
      <c r="AX407" s="514"/>
      <c r="AY407" s="514"/>
      <c r="AZ407" s="514"/>
      <c r="BA407" s="514"/>
      <c r="BB407" s="514"/>
      <c r="BC407" s="520"/>
      <c r="BD407" s="2482"/>
      <c r="BE407" s="30">
        <v>28.8</v>
      </c>
      <c r="BF407" s="31">
        <v>0.88270000000000004</v>
      </c>
      <c r="BG407" s="32">
        <v>882.2</v>
      </c>
      <c r="BH407" s="33"/>
      <c r="BI407" s="30">
        <v>28.8</v>
      </c>
      <c r="BJ407" s="34">
        <v>3.3340000000000001</v>
      </c>
      <c r="BK407" s="35">
        <v>0.14002999999999999</v>
      </c>
      <c r="BL407" s="33"/>
      <c r="BM407" s="37">
        <v>938</v>
      </c>
      <c r="BN407" s="38">
        <v>0.9385</v>
      </c>
      <c r="BO407" s="39">
        <v>19.27</v>
      </c>
      <c r="BP407" s="520"/>
      <c r="BQ407" s="40">
        <v>938</v>
      </c>
      <c r="BR407" s="43">
        <v>936.9</v>
      </c>
      <c r="BS407" s="41">
        <v>1.0672999999999999</v>
      </c>
    </row>
    <row r="408" spans="28:71">
      <c r="AB408" s="514"/>
      <c r="AC408" s="514"/>
      <c r="AD408" s="514"/>
      <c r="AE408" s="514"/>
      <c r="AF408" s="514"/>
      <c r="AG408" s="514"/>
      <c r="AH408" s="514"/>
      <c r="AI408" s="514"/>
      <c r="AJ408" s="514"/>
      <c r="AK408" s="514"/>
      <c r="AL408" s="514"/>
      <c r="AM408" s="514"/>
      <c r="AN408" s="514"/>
      <c r="AO408" s="514"/>
      <c r="AP408" s="514"/>
      <c r="AQ408" s="514"/>
      <c r="AR408" s="514"/>
      <c r="AS408" s="514"/>
      <c r="AT408" s="514"/>
      <c r="AU408" s="514"/>
      <c r="AV408" s="514"/>
      <c r="AW408" s="514"/>
      <c r="AX408" s="514"/>
      <c r="AY408" s="514"/>
      <c r="AZ408" s="514"/>
      <c r="BA408" s="514"/>
      <c r="BB408" s="514"/>
      <c r="BC408" s="520"/>
      <c r="BD408" s="2482"/>
      <c r="BE408" s="30">
        <v>28.9</v>
      </c>
      <c r="BF408" s="31">
        <v>0.88219999999999998</v>
      </c>
      <c r="BG408" s="32">
        <v>881.7</v>
      </c>
      <c r="BH408" s="33"/>
      <c r="BI408" s="30">
        <v>28.9</v>
      </c>
      <c r="BJ408" s="34">
        <v>3.3319999999999999</v>
      </c>
      <c r="BK408" s="35">
        <v>0.13994000000000001</v>
      </c>
      <c r="BL408" s="33"/>
      <c r="BM408" s="37">
        <v>939</v>
      </c>
      <c r="BN408" s="38">
        <v>0.9395</v>
      </c>
      <c r="BO408" s="39">
        <v>19.100000000000001</v>
      </c>
      <c r="BP408" s="520"/>
      <c r="BQ408" s="40">
        <v>939</v>
      </c>
      <c r="BR408" s="43">
        <v>937.9</v>
      </c>
      <c r="BS408" s="41">
        <v>1.0662</v>
      </c>
    </row>
    <row r="409" spans="28:71">
      <c r="AB409" s="514"/>
      <c r="AC409" s="514"/>
      <c r="AD409" s="514"/>
      <c r="AE409" s="514"/>
      <c r="AF409" s="514"/>
      <c r="AG409" s="514"/>
      <c r="AH409" s="514"/>
      <c r="AI409" s="514"/>
      <c r="AJ409" s="514"/>
      <c r="AK409" s="514"/>
      <c r="AL409" s="514"/>
      <c r="AM409" s="514"/>
      <c r="AN409" s="514"/>
      <c r="AO409" s="514"/>
      <c r="AP409" s="514"/>
      <c r="AQ409" s="514"/>
      <c r="AR409" s="514"/>
      <c r="AS409" s="514"/>
      <c r="AT409" s="514"/>
      <c r="AU409" s="514"/>
      <c r="AV409" s="514"/>
      <c r="AW409" s="514"/>
      <c r="AX409" s="514"/>
      <c r="AY409" s="514"/>
      <c r="AZ409" s="514"/>
      <c r="BA409" s="514"/>
      <c r="BB409" s="514"/>
      <c r="BC409" s="520"/>
      <c r="BD409" s="2482"/>
      <c r="BE409" s="30">
        <v>29</v>
      </c>
      <c r="BF409" s="31">
        <v>0.88160000000000005</v>
      </c>
      <c r="BG409" s="32">
        <v>881.1</v>
      </c>
      <c r="BH409" s="33"/>
      <c r="BI409" s="30">
        <v>29</v>
      </c>
      <c r="BJ409" s="34">
        <v>3.3298999999999999</v>
      </c>
      <c r="BK409" s="35">
        <v>0.13985</v>
      </c>
      <c r="BL409" s="33"/>
      <c r="BM409" s="37">
        <v>940</v>
      </c>
      <c r="BN409" s="38">
        <v>0.9405</v>
      </c>
      <c r="BO409" s="39">
        <v>18.940000000000001</v>
      </c>
      <c r="BP409" s="520"/>
      <c r="BQ409" s="40">
        <v>940</v>
      </c>
      <c r="BR409" s="43">
        <v>938.9</v>
      </c>
      <c r="BS409" s="41">
        <v>1.0650999999999999</v>
      </c>
    </row>
    <row r="410" spans="28:71">
      <c r="AB410" s="514"/>
      <c r="AC410" s="514"/>
      <c r="AD410" s="514"/>
      <c r="AE410" s="514"/>
      <c r="AF410" s="514"/>
      <c r="AG410" s="514"/>
      <c r="AH410" s="514"/>
      <c r="AI410" s="514"/>
      <c r="AJ410" s="514"/>
      <c r="AK410" s="514"/>
      <c r="AL410" s="514"/>
      <c r="AM410" s="514"/>
      <c r="AN410" s="514"/>
      <c r="AO410" s="514"/>
      <c r="AP410" s="514"/>
      <c r="AQ410" s="514"/>
      <c r="AR410" s="514"/>
      <c r="AS410" s="514"/>
      <c r="AT410" s="514"/>
      <c r="AU410" s="514"/>
      <c r="AV410" s="514"/>
      <c r="AW410" s="514"/>
      <c r="AX410" s="514"/>
      <c r="AY410" s="514"/>
      <c r="AZ410" s="514"/>
      <c r="BA410" s="514"/>
      <c r="BB410" s="514"/>
      <c r="BC410" s="520"/>
      <c r="BD410" s="2482"/>
      <c r="BE410" s="30">
        <v>29.1</v>
      </c>
      <c r="BF410" s="31">
        <v>0.88109999999999999</v>
      </c>
      <c r="BG410" s="32">
        <v>880.6</v>
      </c>
      <c r="BH410" s="33"/>
      <c r="BI410" s="30">
        <v>29.1</v>
      </c>
      <c r="BJ410" s="34">
        <v>3.3277999999999999</v>
      </c>
      <c r="BK410" s="35">
        <v>0.13977000000000001</v>
      </c>
      <c r="BL410" s="33"/>
      <c r="BM410" s="37">
        <v>941</v>
      </c>
      <c r="BN410" s="38">
        <v>0.9415</v>
      </c>
      <c r="BO410" s="39">
        <v>18.78</v>
      </c>
      <c r="BP410" s="520"/>
      <c r="BQ410" s="40">
        <v>941</v>
      </c>
      <c r="BR410" s="43">
        <v>939.9</v>
      </c>
      <c r="BS410" s="41">
        <v>1.0639000000000001</v>
      </c>
    </row>
    <row r="411" spans="28:71">
      <c r="AB411" s="514"/>
      <c r="AC411" s="514"/>
      <c r="AD411" s="514"/>
      <c r="AE411" s="514"/>
      <c r="AF411" s="514"/>
      <c r="AG411" s="514"/>
      <c r="AH411" s="514"/>
      <c r="AI411" s="514"/>
      <c r="AJ411" s="514"/>
      <c r="AK411" s="514"/>
      <c r="AL411" s="514"/>
      <c r="AM411" s="514"/>
      <c r="AN411" s="514"/>
      <c r="AO411" s="514"/>
      <c r="AP411" s="514"/>
      <c r="AQ411" s="514"/>
      <c r="AR411" s="514"/>
      <c r="AS411" s="514"/>
      <c r="AT411" s="514"/>
      <c r="AU411" s="514"/>
      <c r="AV411" s="514"/>
      <c r="AW411" s="514"/>
      <c r="AX411" s="514"/>
      <c r="AY411" s="514"/>
      <c r="AZ411" s="514"/>
      <c r="BA411" s="514"/>
      <c r="BB411" s="514"/>
      <c r="BC411" s="520"/>
      <c r="BD411" s="2482"/>
      <c r="BE411" s="30">
        <v>29.2</v>
      </c>
      <c r="BF411" s="31">
        <v>0.88049999999999995</v>
      </c>
      <c r="BG411" s="32">
        <v>880</v>
      </c>
      <c r="BH411" s="33"/>
      <c r="BI411" s="30">
        <v>29.2</v>
      </c>
      <c r="BJ411" s="34">
        <v>3.3256999999999999</v>
      </c>
      <c r="BK411" s="35">
        <v>0.13968</v>
      </c>
      <c r="BL411" s="33"/>
      <c r="BM411" s="37">
        <v>942</v>
      </c>
      <c r="BN411" s="38">
        <v>0.94259999999999999</v>
      </c>
      <c r="BO411" s="39">
        <v>18.62</v>
      </c>
      <c r="BP411" s="520"/>
      <c r="BQ411" s="40">
        <v>942</v>
      </c>
      <c r="BR411" s="43">
        <v>940.9</v>
      </c>
      <c r="BS411" s="41">
        <v>1.0628</v>
      </c>
    </row>
    <row r="412" spans="28:71">
      <c r="AB412" s="514"/>
      <c r="AC412" s="514"/>
      <c r="AD412" s="514"/>
      <c r="AE412" s="514"/>
      <c r="AF412" s="514"/>
      <c r="AG412" s="514"/>
      <c r="AH412" s="514"/>
      <c r="AI412" s="514"/>
      <c r="AJ412" s="514"/>
      <c r="AK412" s="514"/>
      <c r="AL412" s="514"/>
      <c r="AM412" s="514"/>
      <c r="AN412" s="514"/>
      <c r="AO412" s="514"/>
      <c r="AP412" s="514"/>
      <c r="AQ412" s="514"/>
      <c r="AR412" s="514"/>
      <c r="AS412" s="514"/>
      <c r="AT412" s="514"/>
      <c r="AU412" s="514"/>
      <c r="AV412" s="514"/>
      <c r="AW412" s="514"/>
      <c r="AX412" s="514"/>
      <c r="AY412" s="514"/>
      <c r="AZ412" s="514"/>
      <c r="BA412" s="514"/>
      <c r="BB412" s="514"/>
      <c r="BC412" s="520"/>
      <c r="BD412" s="2482"/>
      <c r="BE412" s="30">
        <v>29.3</v>
      </c>
      <c r="BF412" s="31">
        <v>0.88</v>
      </c>
      <c r="BG412" s="32">
        <v>879.5</v>
      </c>
      <c r="BH412" s="33"/>
      <c r="BI412" s="30">
        <v>29.3</v>
      </c>
      <c r="BJ412" s="34">
        <v>3.3237000000000001</v>
      </c>
      <c r="BK412" s="35">
        <v>0.13958999999999999</v>
      </c>
      <c r="BL412" s="33"/>
      <c r="BM412" s="37">
        <v>943</v>
      </c>
      <c r="BN412" s="38">
        <v>0.94359999999999999</v>
      </c>
      <c r="BO412" s="39">
        <v>18.47</v>
      </c>
      <c r="BP412" s="520"/>
      <c r="BQ412" s="40">
        <v>943</v>
      </c>
      <c r="BR412" s="43">
        <v>941.9</v>
      </c>
      <c r="BS412" s="41">
        <v>1.0617000000000001</v>
      </c>
    </row>
    <row r="413" spans="28:71">
      <c r="AB413" s="514"/>
      <c r="AC413" s="514"/>
      <c r="AD413" s="514"/>
      <c r="AE413" s="514"/>
      <c r="AF413" s="514"/>
      <c r="AG413" s="514"/>
      <c r="AH413" s="514"/>
      <c r="AI413" s="514"/>
      <c r="AJ413" s="514"/>
      <c r="AK413" s="514"/>
      <c r="AL413" s="514"/>
      <c r="AM413" s="514"/>
      <c r="AN413" s="514"/>
      <c r="AO413" s="514"/>
      <c r="AP413" s="514"/>
      <c r="AQ413" s="514"/>
      <c r="AR413" s="514"/>
      <c r="AS413" s="514"/>
      <c r="AT413" s="514"/>
      <c r="AU413" s="514"/>
      <c r="AV413" s="514"/>
      <c r="AW413" s="514"/>
      <c r="AX413" s="514"/>
      <c r="AY413" s="514"/>
      <c r="AZ413" s="514"/>
      <c r="BA413" s="514"/>
      <c r="BB413" s="514"/>
      <c r="BC413" s="520"/>
      <c r="BD413" s="2482"/>
      <c r="BE413" s="30">
        <v>29.4</v>
      </c>
      <c r="BF413" s="31">
        <v>0.87939999999999996</v>
      </c>
      <c r="BG413" s="32">
        <v>878.9</v>
      </c>
      <c r="BH413" s="33"/>
      <c r="BI413" s="30">
        <v>29.4</v>
      </c>
      <c r="BJ413" s="34">
        <v>3.3216000000000001</v>
      </c>
      <c r="BK413" s="35">
        <v>0.13951</v>
      </c>
      <c r="BL413" s="33"/>
      <c r="BM413" s="37">
        <v>944</v>
      </c>
      <c r="BN413" s="38">
        <v>0.9446</v>
      </c>
      <c r="BO413" s="39">
        <v>18.309999999999999</v>
      </c>
      <c r="BP413" s="520"/>
      <c r="BQ413" s="40">
        <v>944</v>
      </c>
      <c r="BR413" s="43">
        <v>942.9</v>
      </c>
      <c r="BS413" s="41">
        <v>1.0605</v>
      </c>
    </row>
    <row r="414" spans="28:71">
      <c r="AB414" s="514"/>
      <c r="AC414" s="514"/>
      <c r="AD414" s="514"/>
      <c r="AE414" s="514"/>
      <c r="AF414" s="514"/>
      <c r="AG414" s="514"/>
      <c r="AH414" s="514"/>
      <c r="AI414" s="514"/>
      <c r="AJ414" s="514"/>
      <c r="AK414" s="514"/>
      <c r="AL414" s="514"/>
      <c r="AM414" s="514"/>
      <c r="AN414" s="514"/>
      <c r="AO414" s="514"/>
      <c r="AP414" s="514"/>
      <c r="AQ414" s="514"/>
      <c r="AR414" s="514"/>
      <c r="AS414" s="514"/>
      <c r="AT414" s="514"/>
      <c r="AU414" s="514"/>
      <c r="AV414" s="514"/>
      <c r="AW414" s="514"/>
      <c r="AX414" s="514"/>
      <c r="AY414" s="514"/>
      <c r="AZ414" s="514"/>
      <c r="BA414" s="514"/>
      <c r="BB414" s="514"/>
      <c r="BC414" s="520"/>
      <c r="BD414" s="2482"/>
      <c r="BE414" s="30">
        <v>29.5</v>
      </c>
      <c r="BF414" s="31">
        <v>0.87890000000000001</v>
      </c>
      <c r="BG414" s="32">
        <v>878.4</v>
      </c>
      <c r="BH414" s="33"/>
      <c r="BI414" s="30">
        <v>29.5</v>
      </c>
      <c r="BJ414" s="34">
        <v>3.3195000000000001</v>
      </c>
      <c r="BK414" s="35">
        <v>0.13941999999999999</v>
      </c>
      <c r="BL414" s="33"/>
      <c r="BM414" s="37">
        <v>945</v>
      </c>
      <c r="BN414" s="38">
        <v>0.9456</v>
      </c>
      <c r="BO414" s="39">
        <v>18.149999999999999</v>
      </c>
      <c r="BP414" s="520"/>
      <c r="BQ414" s="40">
        <v>945</v>
      </c>
      <c r="BR414" s="43">
        <v>943.9</v>
      </c>
      <c r="BS414" s="41">
        <v>1.0593999999999999</v>
      </c>
    </row>
    <row r="415" spans="28:71">
      <c r="AB415" s="514"/>
      <c r="AC415" s="514"/>
      <c r="AD415" s="514"/>
      <c r="AE415" s="514"/>
      <c r="AF415" s="514"/>
      <c r="AG415" s="514"/>
      <c r="AH415" s="514"/>
      <c r="AI415" s="514"/>
      <c r="AJ415" s="514"/>
      <c r="AK415" s="514"/>
      <c r="AL415" s="514"/>
      <c r="AM415" s="514"/>
      <c r="AN415" s="514"/>
      <c r="AO415" s="514"/>
      <c r="AP415" s="514"/>
      <c r="AQ415" s="514"/>
      <c r="AR415" s="514"/>
      <c r="AS415" s="514"/>
      <c r="AT415" s="514"/>
      <c r="AU415" s="514"/>
      <c r="AV415" s="514"/>
      <c r="AW415" s="514"/>
      <c r="AX415" s="514"/>
      <c r="AY415" s="514"/>
      <c r="AZ415" s="514"/>
      <c r="BA415" s="514"/>
      <c r="BB415" s="514"/>
      <c r="BC415" s="520"/>
      <c r="BD415" s="2482"/>
      <c r="BE415" s="30">
        <v>29.6</v>
      </c>
      <c r="BF415" s="31">
        <v>0.87829999999999997</v>
      </c>
      <c r="BG415" s="32">
        <v>877.9</v>
      </c>
      <c r="BH415" s="33"/>
      <c r="BI415" s="30">
        <v>29.6</v>
      </c>
      <c r="BJ415" s="34">
        <v>3.3174999999999999</v>
      </c>
      <c r="BK415" s="35">
        <v>0.13933000000000001</v>
      </c>
      <c r="BL415" s="33"/>
      <c r="BM415" s="37">
        <v>946</v>
      </c>
      <c r="BN415" s="38">
        <v>0.9466</v>
      </c>
      <c r="BO415" s="39">
        <v>17.989999999999998</v>
      </c>
      <c r="BP415" s="520"/>
      <c r="BQ415" s="40">
        <v>946</v>
      </c>
      <c r="BR415" s="43">
        <v>944.9</v>
      </c>
      <c r="BS415" s="41">
        <v>1.0583</v>
      </c>
    </row>
    <row r="416" spans="28:71">
      <c r="AB416" s="514"/>
      <c r="AC416" s="514"/>
      <c r="AD416" s="514"/>
      <c r="AE416" s="514"/>
      <c r="AF416" s="514"/>
      <c r="AG416" s="514"/>
      <c r="AH416" s="514"/>
      <c r="AI416" s="514"/>
      <c r="AJ416" s="514"/>
      <c r="AK416" s="514"/>
      <c r="AL416" s="514"/>
      <c r="AM416" s="514"/>
      <c r="AN416" s="514"/>
      <c r="AO416" s="514"/>
      <c r="AP416" s="514"/>
      <c r="AQ416" s="514"/>
      <c r="AR416" s="514"/>
      <c r="AS416" s="514"/>
      <c r="AT416" s="514"/>
      <c r="AU416" s="514"/>
      <c r="AV416" s="514"/>
      <c r="AW416" s="514"/>
      <c r="AX416" s="514"/>
      <c r="AY416" s="514"/>
      <c r="AZ416" s="514"/>
      <c r="BA416" s="514"/>
      <c r="BB416" s="514"/>
      <c r="BC416" s="520"/>
      <c r="BD416" s="2482"/>
      <c r="BE416" s="30">
        <v>29.7</v>
      </c>
      <c r="BF416" s="31">
        <v>0.87780000000000002</v>
      </c>
      <c r="BG416" s="32">
        <v>877.3</v>
      </c>
      <c r="BH416" s="33"/>
      <c r="BI416" s="30">
        <v>29.7</v>
      </c>
      <c r="BJ416" s="34">
        <v>3.3153999999999999</v>
      </c>
      <c r="BK416" s="35">
        <v>0.13925000000000001</v>
      </c>
      <c r="BL416" s="33"/>
      <c r="BM416" s="37">
        <v>947</v>
      </c>
      <c r="BN416" s="38">
        <v>0.9476</v>
      </c>
      <c r="BO416" s="39">
        <v>17.829999999999998</v>
      </c>
      <c r="BP416" s="520"/>
      <c r="BQ416" s="40">
        <v>947</v>
      </c>
      <c r="BR416" s="43">
        <v>945.9</v>
      </c>
      <c r="BS416" s="41">
        <v>1.0571999999999999</v>
      </c>
    </row>
    <row r="417" spans="28:71">
      <c r="AB417" s="514"/>
      <c r="AC417" s="514"/>
      <c r="AD417" s="514"/>
      <c r="AE417" s="514"/>
      <c r="AF417" s="514"/>
      <c r="AG417" s="514"/>
      <c r="AH417" s="514"/>
      <c r="AI417" s="514"/>
      <c r="AJ417" s="514"/>
      <c r="AK417" s="514"/>
      <c r="AL417" s="514"/>
      <c r="AM417" s="514"/>
      <c r="AN417" s="514"/>
      <c r="AO417" s="514"/>
      <c r="AP417" s="514"/>
      <c r="AQ417" s="514"/>
      <c r="AR417" s="514"/>
      <c r="AS417" s="514"/>
      <c r="AT417" s="514"/>
      <c r="AU417" s="514"/>
      <c r="AV417" s="514"/>
      <c r="AW417" s="514"/>
      <c r="AX417" s="514"/>
      <c r="AY417" s="514"/>
      <c r="AZ417" s="514"/>
      <c r="BA417" s="514"/>
      <c r="BB417" s="514"/>
      <c r="BC417" s="520"/>
      <c r="BD417" s="2482"/>
      <c r="BE417" s="30">
        <v>29.8</v>
      </c>
      <c r="BF417" s="31">
        <v>0.87719999999999998</v>
      </c>
      <c r="BG417" s="32">
        <v>876.8</v>
      </c>
      <c r="BH417" s="33"/>
      <c r="BI417" s="30">
        <v>29.8</v>
      </c>
      <c r="BJ417" s="34">
        <v>3.3132999999999999</v>
      </c>
      <c r="BK417" s="35">
        <v>0.13916000000000001</v>
      </c>
      <c r="BL417" s="33"/>
      <c r="BM417" s="37">
        <v>948</v>
      </c>
      <c r="BN417" s="38">
        <v>0.9486</v>
      </c>
      <c r="BO417" s="39">
        <v>17.670000000000002</v>
      </c>
      <c r="BP417" s="520"/>
      <c r="BQ417" s="40">
        <v>948</v>
      </c>
      <c r="BR417" s="43">
        <v>946.9</v>
      </c>
      <c r="BS417" s="41">
        <v>1.0561</v>
      </c>
    </row>
    <row r="418" spans="28:71">
      <c r="AB418" s="514"/>
      <c r="AC418" s="514"/>
      <c r="AD418" s="514"/>
      <c r="AE418" s="514"/>
      <c r="AF418" s="514"/>
      <c r="AG418" s="514"/>
      <c r="AH418" s="514"/>
      <c r="AI418" s="514"/>
      <c r="AJ418" s="514"/>
      <c r="AK418" s="514"/>
      <c r="AL418" s="514"/>
      <c r="AM418" s="514"/>
      <c r="AN418" s="514"/>
      <c r="AO418" s="514"/>
      <c r="AP418" s="514"/>
      <c r="AQ418" s="514"/>
      <c r="AR418" s="514"/>
      <c r="AS418" s="514"/>
      <c r="AT418" s="514"/>
      <c r="AU418" s="514"/>
      <c r="AV418" s="514"/>
      <c r="AW418" s="514"/>
      <c r="AX418" s="514"/>
      <c r="AY418" s="514"/>
      <c r="AZ418" s="514"/>
      <c r="BA418" s="514"/>
      <c r="BB418" s="514"/>
      <c r="BC418" s="520"/>
      <c r="BD418" s="2482"/>
      <c r="BE418" s="30">
        <v>29.9</v>
      </c>
      <c r="BF418" s="31">
        <v>0.87670000000000003</v>
      </c>
      <c r="BG418" s="32">
        <v>876.2</v>
      </c>
      <c r="BH418" s="33"/>
      <c r="BI418" s="30">
        <v>29.9</v>
      </c>
      <c r="BJ418" s="34">
        <v>3.3113000000000001</v>
      </c>
      <c r="BK418" s="35">
        <v>0.13907</v>
      </c>
      <c r="BL418" s="33"/>
      <c r="BM418" s="37">
        <v>949</v>
      </c>
      <c r="BN418" s="38">
        <v>0.9496</v>
      </c>
      <c r="BO418" s="39">
        <v>17.52</v>
      </c>
      <c r="BP418" s="520"/>
      <c r="BQ418" s="40">
        <v>949</v>
      </c>
      <c r="BR418" s="43">
        <v>947.9</v>
      </c>
      <c r="BS418" s="41">
        <v>1.0548999999999999</v>
      </c>
    </row>
    <row r="419" spans="28:71">
      <c r="AB419" s="514"/>
      <c r="AC419" s="514"/>
      <c r="AD419" s="514"/>
      <c r="AE419" s="514"/>
      <c r="AF419" s="514"/>
      <c r="AG419" s="514"/>
      <c r="AH419" s="514"/>
      <c r="AI419" s="514"/>
      <c r="AJ419" s="514"/>
      <c r="AK419" s="514"/>
      <c r="AL419" s="514"/>
      <c r="AM419" s="514"/>
      <c r="AN419" s="514"/>
      <c r="AO419" s="514"/>
      <c r="AP419" s="514"/>
      <c r="AQ419" s="514"/>
      <c r="AR419" s="514"/>
      <c r="AS419" s="514"/>
      <c r="AT419" s="514"/>
      <c r="AU419" s="514"/>
      <c r="AV419" s="514"/>
      <c r="AW419" s="514"/>
      <c r="AX419" s="514"/>
      <c r="AY419" s="514"/>
      <c r="AZ419" s="514"/>
      <c r="BA419" s="514"/>
      <c r="BB419" s="514"/>
      <c r="BC419" s="520"/>
      <c r="BD419" s="2482"/>
      <c r="BE419" s="30">
        <v>30</v>
      </c>
      <c r="BF419" s="31">
        <v>0.87619999999999998</v>
      </c>
      <c r="BG419" s="32">
        <v>875.7</v>
      </c>
      <c r="BH419" s="33"/>
      <c r="BI419" s="30">
        <v>30</v>
      </c>
      <c r="BJ419" s="34">
        <v>3.3092000000000001</v>
      </c>
      <c r="BK419" s="35">
        <v>0.13899</v>
      </c>
      <c r="BL419" s="33"/>
      <c r="BM419" s="37">
        <v>950</v>
      </c>
      <c r="BN419" s="38">
        <v>0.9506</v>
      </c>
      <c r="BO419" s="39">
        <v>17.36</v>
      </c>
      <c r="BP419" s="520"/>
      <c r="BQ419" s="40">
        <v>950</v>
      </c>
      <c r="BR419" s="43">
        <v>948.9</v>
      </c>
      <c r="BS419" s="41">
        <v>1.0538000000000001</v>
      </c>
    </row>
    <row r="420" spans="28:71">
      <c r="AB420" s="514"/>
      <c r="AC420" s="514"/>
      <c r="AD420" s="514"/>
      <c r="AE420" s="514"/>
      <c r="AF420" s="514"/>
      <c r="AG420" s="514"/>
      <c r="AH420" s="514"/>
      <c r="AI420" s="514"/>
      <c r="AJ420" s="514"/>
      <c r="AK420" s="514"/>
      <c r="AL420" s="514"/>
      <c r="AM420" s="514"/>
      <c r="AN420" s="514"/>
      <c r="AO420" s="514"/>
      <c r="AP420" s="514"/>
      <c r="AQ420" s="514"/>
      <c r="AR420" s="514"/>
      <c r="AS420" s="514"/>
      <c r="AT420" s="514"/>
      <c r="AU420" s="514"/>
      <c r="AV420" s="514"/>
      <c r="AW420" s="514"/>
      <c r="AX420" s="514"/>
      <c r="AY420" s="514"/>
      <c r="AZ420" s="514"/>
      <c r="BA420" s="514"/>
      <c r="BB420" s="514"/>
      <c r="BC420" s="520"/>
      <c r="BD420" s="2482"/>
      <c r="BE420" s="30">
        <v>30.1</v>
      </c>
      <c r="BF420" s="31">
        <v>0.87560000000000004</v>
      </c>
      <c r="BG420" s="32">
        <v>875.1</v>
      </c>
      <c r="BH420" s="33"/>
      <c r="BI420" s="30">
        <v>30.1</v>
      </c>
      <c r="BJ420" s="34">
        <v>3.3071999999999999</v>
      </c>
      <c r="BK420" s="35">
        <v>0.1389</v>
      </c>
      <c r="BL420" s="33"/>
      <c r="BM420" s="37">
        <v>951</v>
      </c>
      <c r="BN420" s="38">
        <v>0.9516</v>
      </c>
      <c r="BO420" s="39">
        <v>17.2</v>
      </c>
      <c r="BP420" s="520"/>
      <c r="BQ420" s="40">
        <v>951</v>
      </c>
      <c r="BR420" s="43">
        <v>949.9</v>
      </c>
      <c r="BS420" s="41">
        <v>1.0527</v>
      </c>
    </row>
    <row r="421" spans="28:71">
      <c r="AB421" s="514"/>
      <c r="AC421" s="514"/>
      <c r="AD421" s="514"/>
      <c r="AE421" s="514"/>
      <c r="AF421" s="514"/>
      <c r="AG421" s="514"/>
      <c r="AH421" s="514"/>
      <c r="AI421" s="514"/>
      <c r="AJ421" s="514"/>
      <c r="AK421" s="514"/>
      <c r="AL421" s="514"/>
      <c r="AM421" s="514"/>
      <c r="AN421" s="514"/>
      <c r="AO421" s="514"/>
      <c r="AP421" s="514"/>
      <c r="AQ421" s="514"/>
      <c r="AR421" s="514"/>
      <c r="AS421" s="514"/>
      <c r="AT421" s="514"/>
      <c r="AU421" s="514"/>
      <c r="AV421" s="514"/>
      <c r="AW421" s="514"/>
      <c r="AX421" s="514"/>
      <c r="AY421" s="514"/>
      <c r="AZ421" s="514"/>
      <c r="BA421" s="514"/>
      <c r="BB421" s="514"/>
      <c r="BC421" s="520"/>
      <c r="BD421" s="2482"/>
      <c r="BE421" s="30">
        <v>30.2</v>
      </c>
      <c r="BF421" s="31">
        <v>0.87509999999999999</v>
      </c>
      <c r="BG421" s="32">
        <v>874.6</v>
      </c>
      <c r="BH421" s="33"/>
      <c r="BI421" s="30">
        <v>30.2</v>
      </c>
      <c r="BJ421" s="34">
        <v>3.3050999999999999</v>
      </c>
      <c r="BK421" s="35">
        <v>0.13882</v>
      </c>
      <c r="BL421" s="33"/>
      <c r="BM421" s="37">
        <v>952</v>
      </c>
      <c r="BN421" s="38">
        <v>0.9526</v>
      </c>
      <c r="BO421" s="39">
        <v>17.05</v>
      </c>
      <c r="BP421" s="520"/>
      <c r="BQ421" s="40">
        <v>952</v>
      </c>
      <c r="BR421" s="43">
        <v>950.9</v>
      </c>
      <c r="BS421" s="41">
        <v>1.0516000000000001</v>
      </c>
    </row>
    <row r="422" spans="28:71">
      <c r="AB422" s="514"/>
      <c r="AC422" s="514"/>
      <c r="AD422" s="514"/>
      <c r="AE422" s="514"/>
      <c r="AF422" s="514"/>
      <c r="AG422" s="514"/>
      <c r="AH422" s="514"/>
      <c r="AI422" s="514"/>
      <c r="AJ422" s="514"/>
      <c r="AK422" s="514"/>
      <c r="AL422" s="514"/>
      <c r="AM422" s="514"/>
      <c r="AN422" s="514"/>
      <c r="AO422" s="514"/>
      <c r="AP422" s="514"/>
      <c r="AQ422" s="514"/>
      <c r="AR422" s="514"/>
      <c r="AS422" s="514"/>
      <c r="AT422" s="514"/>
      <c r="AU422" s="514"/>
      <c r="AV422" s="514"/>
      <c r="AW422" s="514"/>
      <c r="AX422" s="514"/>
      <c r="AY422" s="514"/>
      <c r="AZ422" s="514"/>
      <c r="BA422" s="514"/>
      <c r="BB422" s="514"/>
      <c r="BC422" s="520"/>
      <c r="BD422" s="2482"/>
      <c r="BE422" s="30">
        <v>30.3</v>
      </c>
      <c r="BF422" s="31">
        <v>0.87450000000000006</v>
      </c>
      <c r="BG422" s="32">
        <v>874.1</v>
      </c>
      <c r="BH422" s="33"/>
      <c r="BI422" s="30">
        <v>30.3</v>
      </c>
      <c r="BJ422" s="34">
        <v>3.3031000000000001</v>
      </c>
      <c r="BK422" s="35">
        <v>0.13872999999999999</v>
      </c>
      <c r="BL422" s="33"/>
      <c r="BM422" s="37">
        <v>953</v>
      </c>
      <c r="BN422" s="38">
        <v>0.9536</v>
      </c>
      <c r="BO422" s="39">
        <v>16.89</v>
      </c>
      <c r="BP422" s="520"/>
      <c r="BQ422" s="40">
        <v>953</v>
      </c>
      <c r="BR422" s="43">
        <v>951.9</v>
      </c>
      <c r="BS422" s="41">
        <v>1.0505</v>
      </c>
    </row>
    <row r="423" spans="28:71">
      <c r="AB423" s="514"/>
      <c r="AC423" s="514"/>
      <c r="AD423" s="514"/>
      <c r="AE423" s="514"/>
      <c r="AF423" s="514"/>
      <c r="AG423" s="514"/>
      <c r="AH423" s="514"/>
      <c r="AI423" s="514"/>
      <c r="AJ423" s="514"/>
      <c r="AK423" s="514"/>
      <c r="AL423" s="514"/>
      <c r="AM423" s="514"/>
      <c r="AN423" s="514"/>
      <c r="AO423" s="514"/>
      <c r="AP423" s="514"/>
      <c r="AQ423" s="514"/>
      <c r="AR423" s="514"/>
      <c r="AS423" s="514"/>
      <c r="AT423" s="514"/>
      <c r="AU423" s="514"/>
      <c r="AV423" s="514"/>
      <c r="AW423" s="514"/>
      <c r="AX423" s="514"/>
      <c r="AY423" s="514"/>
      <c r="AZ423" s="514"/>
      <c r="BA423" s="514"/>
      <c r="BB423" s="514"/>
      <c r="BC423" s="520"/>
      <c r="BD423" s="2482"/>
      <c r="BE423" s="30">
        <v>30.4</v>
      </c>
      <c r="BF423" s="31">
        <v>0.874</v>
      </c>
      <c r="BG423" s="32">
        <v>873.5</v>
      </c>
      <c r="BH423" s="33"/>
      <c r="BI423" s="30">
        <v>30.4</v>
      </c>
      <c r="BJ423" s="34">
        <v>3.3010000000000002</v>
      </c>
      <c r="BK423" s="35">
        <v>0.13864000000000001</v>
      </c>
      <c r="BL423" s="33"/>
      <c r="BM423" s="37">
        <v>954</v>
      </c>
      <c r="BN423" s="38">
        <v>0.9546</v>
      </c>
      <c r="BO423" s="39">
        <v>16.739999999999998</v>
      </c>
      <c r="BP423" s="520"/>
      <c r="BQ423" s="40">
        <v>954</v>
      </c>
      <c r="BR423" s="43">
        <v>952.9</v>
      </c>
      <c r="BS423" s="41">
        <v>1.0494000000000001</v>
      </c>
    </row>
    <row r="424" spans="28:71">
      <c r="AB424" s="514"/>
      <c r="AC424" s="514"/>
      <c r="AD424" s="514"/>
      <c r="AE424" s="514"/>
      <c r="AF424" s="514"/>
      <c r="AG424" s="514"/>
      <c r="AH424" s="514"/>
      <c r="AI424" s="514"/>
      <c r="AJ424" s="514"/>
      <c r="AK424" s="514"/>
      <c r="AL424" s="514"/>
      <c r="AM424" s="514"/>
      <c r="AN424" s="514"/>
      <c r="AO424" s="514"/>
      <c r="AP424" s="514"/>
      <c r="AQ424" s="514"/>
      <c r="AR424" s="514"/>
      <c r="AS424" s="514"/>
      <c r="AT424" s="514"/>
      <c r="AU424" s="514"/>
      <c r="AV424" s="514"/>
      <c r="AW424" s="514"/>
      <c r="AX424" s="514"/>
      <c r="AY424" s="514"/>
      <c r="AZ424" s="514"/>
      <c r="BA424" s="514"/>
      <c r="BB424" s="514"/>
      <c r="BC424" s="520"/>
      <c r="BD424" s="2482"/>
      <c r="BE424" s="30">
        <v>30.5</v>
      </c>
      <c r="BF424" s="31">
        <v>0.87350000000000005</v>
      </c>
      <c r="BG424" s="32">
        <v>873</v>
      </c>
      <c r="BH424" s="33"/>
      <c r="BI424" s="30">
        <v>30.5</v>
      </c>
      <c r="BJ424" s="34">
        <v>3.2989999999999999</v>
      </c>
      <c r="BK424" s="35">
        <v>0.13855999999999999</v>
      </c>
      <c r="BL424" s="33"/>
      <c r="BM424" s="37">
        <v>955</v>
      </c>
      <c r="BN424" s="38">
        <v>0.9556</v>
      </c>
      <c r="BO424" s="39">
        <v>16.579999999999998</v>
      </c>
      <c r="BP424" s="520"/>
      <c r="BQ424" s="40">
        <v>955</v>
      </c>
      <c r="BR424" s="43">
        <v>953.9</v>
      </c>
      <c r="BS424" s="41">
        <v>1.0483</v>
      </c>
    </row>
    <row r="425" spans="28:71">
      <c r="AB425" s="514"/>
      <c r="AC425" s="514"/>
      <c r="AD425" s="514"/>
      <c r="AE425" s="514"/>
      <c r="AF425" s="514"/>
      <c r="AG425" s="514"/>
      <c r="AH425" s="514"/>
      <c r="AI425" s="514"/>
      <c r="AJ425" s="514"/>
      <c r="AK425" s="514"/>
      <c r="AL425" s="514"/>
      <c r="AM425" s="514"/>
      <c r="AN425" s="514"/>
      <c r="AO425" s="514"/>
      <c r="AP425" s="514"/>
      <c r="AQ425" s="514"/>
      <c r="AR425" s="514"/>
      <c r="AS425" s="514"/>
      <c r="AT425" s="514"/>
      <c r="AU425" s="514"/>
      <c r="AV425" s="514"/>
      <c r="AW425" s="514"/>
      <c r="AX425" s="514"/>
      <c r="AY425" s="514"/>
      <c r="AZ425" s="514"/>
      <c r="BA425" s="514"/>
      <c r="BB425" s="514"/>
      <c r="BC425" s="520"/>
      <c r="BD425" s="2482"/>
      <c r="BE425" s="30">
        <v>30.6</v>
      </c>
      <c r="BF425" s="31">
        <v>0.87290000000000001</v>
      </c>
      <c r="BG425" s="32">
        <v>872.4</v>
      </c>
      <c r="BH425" s="33"/>
      <c r="BI425" s="30">
        <v>30.6</v>
      </c>
      <c r="BJ425" s="34">
        <v>3.2970000000000002</v>
      </c>
      <c r="BK425" s="35">
        <v>0.13847000000000001</v>
      </c>
      <c r="BL425" s="33"/>
      <c r="BM425" s="37">
        <v>956</v>
      </c>
      <c r="BN425" s="38">
        <v>0.95660000000000001</v>
      </c>
      <c r="BO425" s="39">
        <v>16.420000000000002</v>
      </c>
      <c r="BP425" s="520"/>
      <c r="BQ425" s="40">
        <v>956</v>
      </c>
      <c r="BR425" s="43">
        <v>954.9</v>
      </c>
      <c r="BS425" s="41">
        <v>1.0471999999999999</v>
      </c>
    </row>
    <row r="426" spans="28:71">
      <c r="AB426" s="514"/>
      <c r="AC426" s="514"/>
      <c r="AD426" s="514"/>
      <c r="AE426" s="514"/>
      <c r="AF426" s="514"/>
      <c r="AG426" s="514"/>
      <c r="AH426" s="514"/>
      <c r="AI426" s="514"/>
      <c r="AJ426" s="514"/>
      <c r="AK426" s="514"/>
      <c r="AL426" s="514"/>
      <c r="AM426" s="514"/>
      <c r="AN426" s="514"/>
      <c r="AO426" s="514"/>
      <c r="AP426" s="514"/>
      <c r="AQ426" s="514"/>
      <c r="AR426" s="514"/>
      <c r="AS426" s="514"/>
      <c r="AT426" s="514"/>
      <c r="AU426" s="514"/>
      <c r="AV426" s="514"/>
      <c r="AW426" s="514"/>
      <c r="AX426" s="514"/>
      <c r="AY426" s="514"/>
      <c r="AZ426" s="514"/>
      <c r="BA426" s="514"/>
      <c r="BB426" s="514"/>
      <c r="BC426" s="520"/>
      <c r="BD426" s="2482"/>
      <c r="BE426" s="30">
        <v>30.7</v>
      </c>
      <c r="BF426" s="31">
        <v>0.87239999999999995</v>
      </c>
      <c r="BG426" s="32">
        <v>871.9</v>
      </c>
      <c r="BH426" s="33"/>
      <c r="BI426" s="30">
        <v>30.7</v>
      </c>
      <c r="BJ426" s="34">
        <v>3.2949000000000002</v>
      </c>
      <c r="BK426" s="35">
        <v>0.13839000000000001</v>
      </c>
      <c r="BL426" s="33"/>
      <c r="BM426" s="37">
        <v>957</v>
      </c>
      <c r="BN426" s="38">
        <v>0.95760000000000001</v>
      </c>
      <c r="BO426" s="39">
        <v>16.27</v>
      </c>
      <c r="BP426" s="520"/>
      <c r="BQ426" s="40">
        <v>957</v>
      </c>
      <c r="BR426" s="43">
        <v>955.9</v>
      </c>
      <c r="BS426" s="41">
        <v>1.0461</v>
      </c>
    </row>
    <row r="427" spans="28:71">
      <c r="AB427" s="514"/>
      <c r="AC427" s="514"/>
      <c r="AD427" s="514"/>
      <c r="AE427" s="514"/>
      <c r="AF427" s="514"/>
      <c r="AG427" s="514"/>
      <c r="AH427" s="514"/>
      <c r="AI427" s="514"/>
      <c r="AJ427" s="514"/>
      <c r="AK427" s="514"/>
      <c r="AL427" s="514"/>
      <c r="AM427" s="514"/>
      <c r="AN427" s="514"/>
      <c r="AO427" s="514"/>
      <c r="AP427" s="514"/>
      <c r="AQ427" s="514"/>
      <c r="AR427" s="514"/>
      <c r="AS427" s="514"/>
      <c r="AT427" s="514"/>
      <c r="AU427" s="514"/>
      <c r="AV427" s="514"/>
      <c r="AW427" s="514"/>
      <c r="AX427" s="514"/>
      <c r="AY427" s="514"/>
      <c r="AZ427" s="514"/>
      <c r="BA427" s="514"/>
      <c r="BB427" s="514"/>
      <c r="BC427" s="520"/>
      <c r="BD427" s="2482"/>
      <c r="BE427" s="30">
        <v>30.8</v>
      </c>
      <c r="BF427" s="31">
        <v>0.87180000000000002</v>
      </c>
      <c r="BG427" s="32">
        <v>871.4</v>
      </c>
      <c r="BH427" s="33"/>
      <c r="BI427" s="30">
        <v>30.8</v>
      </c>
      <c r="BJ427" s="34">
        <v>3.2928999999999999</v>
      </c>
      <c r="BK427" s="35">
        <v>0.13830000000000001</v>
      </c>
      <c r="BL427" s="33"/>
      <c r="BM427" s="37">
        <v>958</v>
      </c>
      <c r="BN427" s="38">
        <v>0.95860000000000001</v>
      </c>
      <c r="BO427" s="39">
        <v>16.12</v>
      </c>
      <c r="BP427" s="520"/>
      <c r="BQ427" s="40">
        <v>958</v>
      </c>
      <c r="BR427" s="43">
        <v>956.9</v>
      </c>
      <c r="BS427" s="41">
        <v>1.0449999999999999</v>
      </c>
    </row>
    <row r="428" spans="28:71">
      <c r="AB428" s="514"/>
      <c r="AC428" s="514"/>
      <c r="AD428" s="514"/>
      <c r="AE428" s="514"/>
      <c r="AF428" s="514"/>
      <c r="AG428" s="514"/>
      <c r="AH428" s="514"/>
      <c r="AI428" s="514"/>
      <c r="AJ428" s="514"/>
      <c r="AK428" s="514"/>
      <c r="AL428" s="514"/>
      <c r="AM428" s="514"/>
      <c r="AN428" s="514"/>
      <c r="AO428" s="514"/>
      <c r="AP428" s="514"/>
      <c r="AQ428" s="514"/>
      <c r="AR428" s="514"/>
      <c r="AS428" s="514"/>
      <c r="AT428" s="514"/>
      <c r="AU428" s="514"/>
      <c r="AV428" s="514"/>
      <c r="AW428" s="514"/>
      <c r="AX428" s="514"/>
      <c r="AY428" s="514"/>
      <c r="AZ428" s="514"/>
      <c r="BA428" s="514"/>
      <c r="BB428" s="514"/>
      <c r="BC428" s="520"/>
      <c r="BD428" s="2482"/>
      <c r="BE428" s="30">
        <v>30.9</v>
      </c>
      <c r="BF428" s="31">
        <v>0.87129999999999996</v>
      </c>
      <c r="BG428" s="32">
        <v>870.8</v>
      </c>
      <c r="BH428" s="33"/>
      <c r="BI428" s="30">
        <v>30.9</v>
      </c>
      <c r="BJ428" s="34">
        <v>3.2909000000000002</v>
      </c>
      <c r="BK428" s="35">
        <v>0.13822000000000001</v>
      </c>
      <c r="BL428" s="33"/>
      <c r="BM428" s="37">
        <v>959</v>
      </c>
      <c r="BN428" s="38">
        <v>0.95960000000000001</v>
      </c>
      <c r="BO428" s="39">
        <v>15.96</v>
      </c>
      <c r="BP428" s="520"/>
      <c r="BQ428" s="40">
        <v>959</v>
      </c>
      <c r="BR428" s="43">
        <v>957.9</v>
      </c>
      <c r="BS428" s="41">
        <v>1.0439000000000001</v>
      </c>
    </row>
    <row r="429" spans="28:71">
      <c r="AB429" s="514"/>
      <c r="AC429" s="514"/>
      <c r="AD429" s="514"/>
      <c r="AE429" s="514"/>
      <c r="AF429" s="514"/>
      <c r="AG429" s="514"/>
      <c r="AH429" s="514"/>
      <c r="AI429" s="514"/>
      <c r="AJ429" s="514"/>
      <c r="AK429" s="514"/>
      <c r="AL429" s="514"/>
      <c r="AM429" s="514"/>
      <c r="AN429" s="514"/>
      <c r="AO429" s="514"/>
      <c r="AP429" s="514"/>
      <c r="AQ429" s="514"/>
      <c r="AR429" s="514"/>
      <c r="AS429" s="514"/>
      <c r="AT429" s="514"/>
      <c r="AU429" s="514"/>
      <c r="AV429" s="514"/>
      <c r="AW429" s="514"/>
      <c r="AX429" s="514"/>
      <c r="AY429" s="514"/>
      <c r="AZ429" s="514"/>
      <c r="BA429" s="514"/>
      <c r="BB429" s="514"/>
      <c r="BC429" s="520"/>
      <c r="BD429" s="2482"/>
      <c r="BE429" s="30">
        <v>31</v>
      </c>
      <c r="BF429" s="31">
        <v>0.87080000000000002</v>
      </c>
      <c r="BG429" s="32">
        <v>870.3</v>
      </c>
      <c r="BH429" s="33"/>
      <c r="BI429" s="30">
        <v>31</v>
      </c>
      <c r="BJ429" s="34">
        <v>3.2888000000000002</v>
      </c>
      <c r="BK429" s="35">
        <v>0.13813</v>
      </c>
      <c r="BL429" s="33"/>
      <c r="BM429" s="37">
        <v>960</v>
      </c>
      <c r="BN429" s="38">
        <v>0.96060000000000001</v>
      </c>
      <c r="BO429" s="39">
        <v>15.81</v>
      </c>
      <c r="BP429" s="520"/>
      <c r="BQ429" s="40">
        <v>960</v>
      </c>
      <c r="BR429" s="43">
        <v>958.9</v>
      </c>
      <c r="BS429" s="41">
        <v>1.0427999999999999</v>
      </c>
    </row>
    <row r="430" spans="28:71">
      <c r="AB430" s="514"/>
      <c r="AC430" s="514"/>
      <c r="AD430" s="514"/>
      <c r="AE430" s="514"/>
      <c r="AF430" s="514"/>
      <c r="AG430" s="514"/>
      <c r="AH430" s="514"/>
      <c r="AI430" s="514"/>
      <c r="AJ430" s="514"/>
      <c r="AK430" s="514"/>
      <c r="AL430" s="514"/>
      <c r="AM430" s="514"/>
      <c r="AN430" s="514"/>
      <c r="AO430" s="514"/>
      <c r="AP430" s="514"/>
      <c r="AQ430" s="514"/>
      <c r="AR430" s="514"/>
      <c r="AS430" s="514"/>
      <c r="AT430" s="514"/>
      <c r="AU430" s="514"/>
      <c r="AV430" s="514"/>
      <c r="AW430" s="514"/>
      <c r="AX430" s="514"/>
      <c r="AY430" s="514"/>
      <c r="AZ430" s="514"/>
      <c r="BA430" s="514"/>
      <c r="BB430" s="514"/>
      <c r="BC430" s="520"/>
      <c r="BD430" s="2482"/>
      <c r="BE430" s="30">
        <v>31.1</v>
      </c>
      <c r="BF430" s="31">
        <v>0.87019999999999997</v>
      </c>
      <c r="BG430" s="32">
        <v>869.8</v>
      </c>
      <c r="BH430" s="33"/>
      <c r="BI430" s="30">
        <v>31.1</v>
      </c>
      <c r="BJ430" s="34">
        <v>3.2867999999999999</v>
      </c>
      <c r="BK430" s="35">
        <v>0.13805000000000001</v>
      </c>
      <c r="BL430" s="33"/>
      <c r="BM430" s="37">
        <v>961</v>
      </c>
      <c r="BN430" s="38">
        <v>0.96160000000000001</v>
      </c>
      <c r="BO430" s="39">
        <v>15.65</v>
      </c>
      <c r="BP430" s="520"/>
      <c r="BQ430" s="40">
        <v>961</v>
      </c>
      <c r="BR430" s="43">
        <v>959.9</v>
      </c>
      <c r="BS430" s="41">
        <v>1.0417000000000001</v>
      </c>
    </row>
    <row r="431" spans="28:71">
      <c r="AB431" s="514"/>
      <c r="AC431" s="514"/>
      <c r="AD431" s="514"/>
      <c r="AE431" s="514"/>
      <c r="AF431" s="514"/>
      <c r="AG431" s="514"/>
      <c r="AH431" s="514"/>
      <c r="AI431" s="514"/>
      <c r="AJ431" s="514"/>
      <c r="AK431" s="514"/>
      <c r="AL431" s="514"/>
      <c r="AM431" s="514"/>
      <c r="AN431" s="514"/>
      <c r="AO431" s="514"/>
      <c r="AP431" s="514"/>
      <c r="AQ431" s="514"/>
      <c r="AR431" s="514"/>
      <c r="AS431" s="514"/>
      <c r="AT431" s="514"/>
      <c r="AU431" s="514"/>
      <c r="AV431" s="514"/>
      <c r="AW431" s="514"/>
      <c r="AX431" s="514"/>
      <c r="AY431" s="514"/>
      <c r="AZ431" s="514"/>
      <c r="BA431" s="514"/>
      <c r="BB431" s="514"/>
      <c r="BC431" s="520"/>
      <c r="BD431" s="2482"/>
      <c r="BE431" s="30">
        <v>31.2</v>
      </c>
      <c r="BF431" s="31">
        <v>0.86970000000000003</v>
      </c>
      <c r="BG431" s="32">
        <v>869.2</v>
      </c>
      <c r="BH431" s="33"/>
      <c r="BI431" s="30">
        <v>31.2</v>
      </c>
      <c r="BJ431" s="34">
        <v>3.2848000000000002</v>
      </c>
      <c r="BK431" s="35">
        <v>0.13796</v>
      </c>
      <c r="BL431" s="33"/>
      <c r="BM431" s="37">
        <v>962</v>
      </c>
      <c r="BN431" s="38">
        <v>0.96260000000000001</v>
      </c>
      <c r="BO431" s="39">
        <v>15.5</v>
      </c>
      <c r="BP431" s="520"/>
      <c r="BQ431" s="40">
        <v>962</v>
      </c>
      <c r="BR431" s="43">
        <v>960.9</v>
      </c>
      <c r="BS431" s="41">
        <v>1.0407</v>
      </c>
    </row>
    <row r="432" spans="28:71">
      <c r="AB432" s="514"/>
      <c r="AC432" s="514"/>
      <c r="AD432" s="514"/>
      <c r="AE432" s="514"/>
      <c r="AF432" s="514"/>
      <c r="AG432" s="514"/>
      <c r="AH432" s="514"/>
      <c r="AI432" s="514"/>
      <c r="AJ432" s="514"/>
      <c r="AK432" s="514"/>
      <c r="AL432" s="514"/>
      <c r="AM432" s="514"/>
      <c r="AN432" s="514"/>
      <c r="AO432" s="514"/>
      <c r="AP432" s="514"/>
      <c r="AQ432" s="514"/>
      <c r="AR432" s="514"/>
      <c r="AS432" s="514"/>
      <c r="AT432" s="514"/>
      <c r="AU432" s="514"/>
      <c r="AV432" s="514"/>
      <c r="AW432" s="514"/>
      <c r="AX432" s="514"/>
      <c r="AY432" s="514"/>
      <c r="AZ432" s="514"/>
      <c r="BA432" s="514"/>
      <c r="BB432" s="514"/>
      <c r="BC432" s="520"/>
      <c r="BD432" s="2482"/>
      <c r="BE432" s="30">
        <v>31.3</v>
      </c>
      <c r="BF432" s="31">
        <v>0.86919999999999997</v>
      </c>
      <c r="BG432" s="32">
        <v>868.7</v>
      </c>
      <c r="BH432" s="33"/>
      <c r="BI432" s="30">
        <v>31.3</v>
      </c>
      <c r="BJ432" s="34">
        <v>3.2827999999999999</v>
      </c>
      <c r="BK432" s="35">
        <v>0.13788</v>
      </c>
      <c r="BL432" s="33"/>
      <c r="BM432" s="37">
        <v>963</v>
      </c>
      <c r="BN432" s="38">
        <v>0.96360000000000001</v>
      </c>
      <c r="BO432" s="39">
        <v>15.35</v>
      </c>
      <c r="BP432" s="520"/>
      <c r="BQ432" s="40">
        <v>963</v>
      </c>
      <c r="BR432" s="43">
        <v>961.9</v>
      </c>
      <c r="BS432" s="41">
        <v>1.0396000000000001</v>
      </c>
    </row>
    <row r="433" spans="28:71">
      <c r="AB433" s="514"/>
      <c r="AC433" s="514"/>
      <c r="AD433" s="514"/>
      <c r="AE433" s="514"/>
      <c r="AF433" s="514"/>
      <c r="AG433" s="514"/>
      <c r="AH433" s="514"/>
      <c r="AI433" s="514"/>
      <c r="AJ433" s="514"/>
      <c r="AK433" s="514"/>
      <c r="AL433" s="514"/>
      <c r="AM433" s="514"/>
      <c r="AN433" s="514"/>
      <c r="AO433" s="514"/>
      <c r="AP433" s="514"/>
      <c r="AQ433" s="514"/>
      <c r="AR433" s="514"/>
      <c r="AS433" s="514"/>
      <c r="AT433" s="514"/>
      <c r="AU433" s="514"/>
      <c r="AV433" s="514"/>
      <c r="AW433" s="514"/>
      <c r="AX433" s="514"/>
      <c r="AY433" s="514"/>
      <c r="AZ433" s="514"/>
      <c r="BA433" s="514"/>
      <c r="BB433" s="514"/>
      <c r="BC433" s="520"/>
      <c r="BD433" s="2482"/>
      <c r="BE433" s="30">
        <v>31.4</v>
      </c>
      <c r="BF433" s="31">
        <v>0.86860000000000004</v>
      </c>
      <c r="BG433" s="32">
        <v>868.2</v>
      </c>
      <c r="BH433" s="33"/>
      <c r="BI433" s="30">
        <v>31.4</v>
      </c>
      <c r="BJ433" s="34">
        <v>3.2806999999999999</v>
      </c>
      <c r="BK433" s="35">
        <v>0.13779</v>
      </c>
      <c r="BL433" s="33"/>
      <c r="BM433" s="37">
        <v>964</v>
      </c>
      <c r="BN433" s="38">
        <v>0.96460000000000001</v>
      </c>
      <c r="BO433" s="39">
        <v>15.2</v>
      </c>
      <c r="BP433" s="520"/>
      <c r="BQ433" s="40">
        <v>964</v>
      </c>
      <c r="BR433" s="43">
        <v>962.9</v>
      </c>
      <c r="BS433" s="41">
        <v>1.0385</v>
      </c>
    </row>
    <row r="434" spans="28:71">
      <c r="AB434" s="514"/>
      <c r="AC434" s="514"/>
      <c r="AD434" s="514"/>
      <c r="AE434" s="514"/>
      <c r="AF434" s="514"/>
      <c r="AG434" s="514"/>
      <c r="AH434" s="514"/>
      <c r="AI434" s="514"/>
      <c r="AJ434" s="514"/>
      <c r="AK434" s="514"/>
      <c r="AL434" s="514"/>
      <c r="AM434" s="514"/>
      <c r="AN434" s="514"/>
      <c r="AO434" s="514"/>
      <c r="AP434" s="514"/>
      <c r="AQ434" s="514"/>
      <c r="AR434" s="514"/>
      <c r="AS434" s="514"/>
      <c r="AT434" s="514"/>
      <c r="AU434" s="514"/>
      <c r="AV434" s="514"/>
      <c r="AW434" s="514"/>
      <c r="AX434" s="514"/>
      <c r="AY434" s="514"/>
      <c r="AZ434" s="514"/>
      <c r="BA434" s="514"/>
      <c r="BB434" s="514"/>
      <c r="BC434" s="520"/>
      <c r="BD434" s="2482"/>
      <c r="BE434" s="30">
        <v>31.5</v>
      </c>
      <c r="BF434" s="31">
        <v>0.86809999999999998</v>
      </c>
      <c r="BG434" s="32">
        <v>867.6</v>
      </c>
      <c r="BH434" s="33"/>
      <c r="BI434" s="30">
        <v>31.5</v>
      </c>
      <c r="BJ434" s="34">
        <v>3.2787000000000002</v>
      </c>
      <c r="BK434" s="35">
        <v>0.13771</v>
      </c>
      <c r="BL434" s="33"/>
      <c r="BM434" s="37">
        <v>965</v>
      </c>
      <c r="BN434" s="38">
        <v>0.96560000000000001</v>
      </c>
      <c r="BO434" s="39">
        <v>15.04</v>
      </c>
      <c r="BP434" s="520"/>
      <c r="BQ434" s="40">
        <v>965</v>
      </c>
      <c r="BR434" s="43">
        <v>963.9</v>
      </c>
      <c r="BS434" s="41">
        <v>1.0374000000000001</v>
      </c>
    </row>
    <row r="435" spans="28:71">
      <c r="AB435" s="514"/>
      <c r="AC435" s="514"/>
      <c r="AD435" s="514"/>
      <c r="AE435" s="514"/>
      <c r="AF435" s="514"/>
      <c r="AG435" s="514"/>
      <c r="AH435" s="514"/>
      <c r="AI435" s="514"/>
      <c r="AJ435" s="514"/>
      <c r="AK435" s="514"/>
      <c r="AL435" s="514"/>
      <c r="AM435" s="514"/>
      <c r="AN435" s="514"/>
      <c r="AO435" s="514"/>
      <c r="AP435" s="514"/>
      <c r="AQ435" s="514"/>
      <c r="AR435" s="514"/>
      <c r="AS435" s="514"/>
      <c r="AT435" s="514"/>
      <c r="AU435" s="514"/>
      <c r="AV435" s="514"/>
      <c r="AW435" s="514"/>
      <c r="AX435" s="514"/>
      <c r="AY435" s="514"/>
      <c r="AZ435" s="514"/>
      <c r="BA435" s="514"/>
      <c r="BB435" s="514"/>
      <c r="BC435" s="520"/>
      <c r="BD435" s="2482"/>
      <c r="BE435" s="30">
        <v>31.6</v>
      </c>
      <c r="BF435" s="31">
        <v>0.86760000000000004</v>
      </c>
      <c r="BG435" s="32">
        <v>867.1</v>
      </c>
      <c r="BH435" s="33"/>
      <c r="BI435" s="30">
        <v>31.6</v>
      </c>
      <c r="BJ435" s="34">
        <v>3.2766999999999999</v>
      </c>
      <c r="BK435" s="35">
        <v>0.13761999999999999</v>
      </c>
      <c r="BL435" s="33"/>
      <c r="BM435" s="37">
        <v>966</v>
      </c>
      <c r="BN435" s="38">
        <v>0.96660000000000001</v>
      </c>
      <c r="BO435" s="39">
        <v>14.89</v>
      </c>
      <c r="BP435" s="520"/>
      <c r="BQ435" s="40">
        <v>966</v>
      </c>
      <c r="BR435" s="43">
        <v>964.9</v>
      </c>
      <c r="BS435" s="41">
        <v>1.0363</v>
      </c>
    </row>
    <row r="436" spans="28:71">
      <c r="AB436" s="514"/>
      <c r="AC436" s="514"/>
      <c r="AD436" s="514"/>
      <c r="AE436" s="514"/>
      <c r="AF436" s="514"/>
      <c r="AG436" s="514"/>
      <c r="AH436" s="514"/>
      <c r="AI436" s="514"/>
      <c r="AJ436" s="514"/>
      <c r="AK436" s="514"/>
      <c r="AL436" s="514"/>
      <c r="AM436" s="514"/>
      <c r="AN436" s="514"/>
      <c r="AO436" s="514"/>
      <c r="AP436" s="514"/>
      <c r="AQ436" s="514"/>
      <c r="AR436" s="514"/>
      <c r="AS436" s="514"/>
      <c r="AT436" s="514"/>
      <c r="AU436" s="514"/>
      <c r="AV436" s="514"/>
      <c r="AW436" s="514"/>
      <c r="AX436" s="514"/>
      <c r="AY436" s="514"/>
      <c r="AZ436" s="514"/>
      <c r="BA436" s="514"/>
      <c r="BB436" s="514"/>
      <c r="BC436" s="520"/>
      <c r="BD436" s="2482"/>
      <c r="BE436" s="30">
        <v>31.7</v>
      </c>
      <c r="BF436" s="31">
        <v>0.86699999999999999</v>
      </c>
      <c r="BG436" s="32">
        <v>866.6</v>
      </c>
      <c r="BH436" s="33"/>
      <c r="BI436" s="30">
        <v>31.7</v>
      </c>
      <c r="BJ436" s="34">
        <v>3.2747000000000002</v>
      </c>
      <c r="BK436" s="35">
        <v>0.13754</v>
      </c>
      <c r="BL436" s="33"/>
      <c r="BM436" s="37">
        <v>967</v>
      </c>
      <c r="BN436" s="38">
        <v>0.96760000000000002</v>
      </c>
      <c r="BO436" s="39">
        <v>14.74</v>
      </c>
      <c r="BP436" s="520"/>
      <c r="BQ436" s="40">
        <v>967</v>
      </c>
      <c r="BR436" s="43">
        <v>965.9</v>
      </c>
      <c r="BS436" s="41">
        <v>1.0353000000000001</v>
      </c>
    </row>
    <row r="437" spans="28:71">
      <c r="AB437" s="514"/>
      <c r="AC437" s="514"/>
      <c r="AD437" s="514"/>
      <c r="AE437" s="514"/>
      <c r="AF437" s="514"/>
      <c r="AG437" s="514"/>
      <c r="AH437" s="514"/>
      <c r="AI437" s="514"/>
      <c r="AJ437" s="514"/>
      <c r="AK437" s="514"/>
      <c r="AL437" s="514"/>
      <c r="AM437" s="514"/>
      <c r="AN437" s="514"/>
      <c r="AO437" s="514"/>
      <c r="AP437" s="514"/>
      <c r="AQ437" s="514"/>
      <c r="AR437" s="514"/>
      <c r="AS437" s="514"/>
      <c r="AT437" s="514"/>
      <c r="AU437" s="514"/>
      <c r="AV437" s="514"/>
      <c r="AW437" s="514"/>
      <c r="AX437" s="514"/>
      <c r="AY437" s="514"/>
      <c r="AZ437" s="514"/>
      <c r="BA437" s="514"/>
      <c r="BB437" s="514"/>
      <c r="BC437" s="520"/>
      <c r="BD437" s="2482"/>
      <c r="BE437" s="30">
        <v>31.8</v>
      </c>
      <c r="BF437" s="31">
        <v>0.86650000000000005</v>
      </c>
      <c r="BG437" s="32">
        <v>866</v>
      </c>
      <c r="BH437" s="33"/>
      <c r="BI437" s="30">
        <v>31.8</v>
      </c>
      <c r="BJ437" s="34">
        <v>3.2726999999999999</v>
      </c>
      <c r="BK437" s="35">
        <v>0.13744999999999999</v>
      </c>
      <c r="BL437" s="33"/>
      <c r="BM437" s="37">
        <v>968</v>
      </c>
      <c r="BN437" s="38">
        <v>0.96860000000000002</v>
      </c>
      <c r="BO437" s="39">
        <v>14.59</v>
      </c>
      <c r="BP437" s="520"/>
      <c r="BQ437" s="40">
        <v>968</v>
      </c>
      <c r="BR437" s="43">
        <v>966.9</v>
      </c>
      <c r="BS437" s="41">
        <v>1.0342</v>
      </c>
    </row>
    <row r="438" spans="28:71">
      <c r="AB438" s="514"/>
      <c r="AC438" s="514"/>
      <c r="AD438" s="514"/>
      <c r="AE438" s="514"/>
      <c r="AF438" s="514"/>
      <c r="AG438" s="514"/>
      <c r="AH438" s="514"/>
      <c r="AI438" s="514"/>
      <c r="AJ438" s="514"/>
      <c r="AK438" s="514"/>
      <c r="AL438" s="514"/>
      <c r="AM438" s="514"/>
      <c r="AN438" s="514"/>
      <c r="AO438" s="514"/>
      <c r="AP438" s="514"/>
      <c r="AQ438" s="514"/>
      <c r="AR438" s="514"/>
      <c r="AS438" s="514"/>
      <c r="AT438" s="514"/>
      <c r="AU438" s="514"/>
      <c r="AV438" s="514"/>
      <c r="AW438" s="514"/>
      <c r="AX438" s="514"/>
      <c r="AY438" s="514"/>
      <c r="AZ438" s="514"/>
      <c r="BA438" s="514"/>
      <c r="BB438" s="514"/>
      <c r="BC438" s="520"/>
      <c r="BD438" s="2482"/>
      <c r="BE438" s="30">
        <v>31.9</v>
      </c>
      <c r="BF438" s="31">
        <v>0.86599999999999999</v>
      </c>
      <c r="BG438" s="32">
        <v>865.5</v>
      </c>
      <c r="BH438" s="33"/>
      <c r="BI438" s="30">
        <v>31.9</v>
      </c>
      <c r="BJ438" s="34">
        <v>3.2707000000000002</v>
      </c>
      <c r="BK438" s="35">
        <v>0.13736999999999999</v>
      </c>
      <c r="BL438" s="33"/>
      <c r="BM438" s="37">
        <v>969</v>
      </c>
      <c r="BN438" s="38">
        <v>0.96960000000000002</v>
      </c>
      <c r="BO438" s="39">
        <v>14.44</v>
      </c>
      <c r="BP438" s="520"/>
      <c r="BQ438" s="40">
        <v>969</v>
      </c>
      <c r="BR438" s="43">
        <v>967.9</v>
      </c>
      <c r="BS438" s="41">
        <v>1.0330999999999999</v>
      </c>
    </row>
    <row r="439" spans="28:71">
      <c r="AB439" s="514"/>
      <c r="AC439" s="514"/>
      <c r="AD439" s="514"/>
      <c r="AE439" s="514"/>
      <c r="AF439" s="514"/>
      <c r="AG439" s="514"/>
      <c r="AH439" s="514"/>
      <c r="AI439" s="514"/>
      <c r="AJ439" s="514"/>
      <c r="AK439" s="514"/>
      <c r="AL439" s="514"/>
      <c r="AM439" s="514"/>
      <c r="AN439" s="514"/>
      <c r="AO439" s="514"/>
      <c r="AP439" s="514"/>
      <c r="AQ439" s="514"/>
      <c r="AR439" s="514"/>
      <c r="AS439" s="514"/>
      <c r="AT439" s="514"/>
      <c r="AU439" s="514"/>
      <c r="AV439" s="514"/>
      <c r="AW439" s="514"/>
      <c r="AX439" s="514"/>
      <c r="AY439" s="514"/>
      <c r="AZ439" s="514"/>
      <c r="BA439" s="514"/>
      <c r="BB439" s="514"/>
      <c r="BC439" s="520"/>
      <c r="BD439" s="2482"/>
      <c r="BE439" s="30">
        <v>32</v>
      </c>
      <c r="BF439" s="31">
        <v>0.86539999999999995</v>
      </c>
      <c r="BG439" s="32">
        <v>865</v>
      </c>
      <c r="BH439" s="33"/>
      <c r="BI439" s="30">
        <v>32</v>
      </c>
      <c r="BJ439" s="34">
        <v>3.2686999999999999</v>
      </c>
      <c r="BK439" s="35">
        <v>0.13728000000000001</v>
      </c>
      <c r="BL439" s="33"/>
      <c r="BM439" s="37">
        <v>970</v>
      </c>
      <c r="BN439" s="38">
        <v>0.97060000000000002</v>
      </c>
      <c r="BO439" s="39">
        <v>14.29</v>
      </c>
      <c r="BP439" s="520"/>
      <c r="BQ439" s="40">
        <v>970</v>
      </c>
      <c r="BR439" s="43">
        <v>968.9</v>
      </c>
      <c r="BS439" s="41">
        <v>1.0321</v>
      </c>
    </row>
    <row r="440" spans="28:71">
      <c r="AB440" s="514"/>
      <c r="AC440" s="514"/>
      <c r="AD440" s="514"/>
      <c r="AE440" s="514"/>
      <c r="AF440" s="514"/>
      <c r="AG440" s="514"/>
      <c r="AH440" s="514"/>
      <c r="AI440" s="514"/>
      <c r="AJ440" s="514"/>
      <c r="AK440" s="514"/>
      <c r="AL440" s="514"/>
      <c r="AM440" s="514"/>
      <c r="AN440" s="514"/>
      <c r="AO440" s="514"/>
      <c r="AP440" s="514"/>
      <c r="AQ440" s="514"/>
      <c r="AR440" s="514"/>
      <c r="AS440" s="514"/>
      <c r="AT440" s="514"/>
      <c r="AU440" s="514"/>
      <c r="AV440" s="514"/>
      <c r="AW440" s="514"/>
      <c r="AX440" s="514"/>
      <c r="AY440" s="514"/>
      <c r="AZ440" s="514"/>
      <c r="BA440" s="514"/>
      <c r="BB440" s="514"/>
      <c r="BC440" s="520"/>
      <c r="BD440" s="2482"/>
      <c r="BE440" s="30">
        <v>32.1</v>
      </c>
      <c r="BF440" s="31">
        <v>0.8649</v>
      </c>
      <c r="BG440" s="32">
        <v>864.5</v>
      </c>
      <c r="BH440" s="33"/>
      <c r="BI440" s="30">
        <v>32.1</v>
      </c>
      <c r="BJ440" s="34">
        <v>3.2667000000000002</v>
      </c>
      <c r="BK440" s="35">
        <v>0.13719999999999999</v>
      </c>
      <c r="BL440" s="33"/>
      <c r="BM440" s="37">
        <v>971</v>
      </c>
      <c r="BN440" s="38">
        <v>0.97160000000000002</v>
      </c>
      <c r="BO440" s="39">
        <v>14.14</v>
      </c>
      <c r="BP440" s="520"/>
      <c r="BQ440" s="40">
        <v>971</v>
      </c>
      <c r="BR440" s="43">
        <v>969.9</v>
      </c>
      <c r="BS440" s="41">
        <v>1.0309999999999999</v>
      </c>
    </row>
    <row r="441" spans="28:71">
      <c r="AB441" s="514"/>
      <c r="AC441" s="514"/>
      <c r="AD441" s="514"/>
      <c r="AE441" s="514"/>
      <c r="AF441" s="514"/>
      <c r="AG441" s="514"/>
      <c r="AH441" s="514"/>
      <c r="AI441" s="514"/>
      <c r="AJ441" s="514"/>
      <c r="AK441" s="514"/>
      <c r="AL441" s="514"/>
      <c r="AM441" s="514"/>
      <c r="AN441" s="514"/>
      <c r="AO441" s="514"/>
      <c r="AP441" s="514"/>
      <c r="AQ441" s="514"/>
      <c r="AR441" s="514"/>
      <c r="AS441" s="514"/>
      <c r="AT441" s="514"/>
      <c r="AU441" s="514"/>
      <c r="AV441" s="514"/>
      <c r="AW441" s="514"/>
      <c r="AX441" s="514"/>
      <c r="AY441" s="514"/>
      <c r="AZ441" s="514"/>
      <c r="BA441" s="514"/>
      <c r="BB441" s="514"/>
      <c r="BC441" s="520"/>
      <c r="BD441" s="2482"/>
      <c r="BE441" s="30">
        <v>32.200000000000003</v>
      </c>
      <c r="BF441" s="31">
        <v>0.86439999999999995</v>
      </c>
      <c r="BG441" s="32">
        <v>863.9</v>
      </c>
      <c r="BH441" s="33"/>
      <c r="BI441" s="30">
        <v>32.200000000000003</v>
      </c>
      <c r="BJ441" s="34">
        <v>3.2646999999999999</v>
      </c>
      <c r="BK441" s="35">
        <v>0.13711999999999999</v>
      </c>
      <c r="BL441" s="33"/>
      <c r="BM441" s="37">
        <v>972</v>
      </c>
      <c r="BN441" s="38">
        <v>0.97260000000000002</v>
      </c>
      <c r="BO441" s="39">
        <v>13.99</v>
      </c>
      <c r="BP441" s="520"/>
      <c r="BQ441" s="40">
        <v>972</v>
      </c>
      <c r="BR441" s="43">
        <v>970.9</v>
      </c>
      <c r="BS441" s="41">
        <v>1.0299</v>
      </c>
    </row>
    <row r="442" spans="28:71">
      <c r="AB442" s="514"/>
      <c r="AC442" s="514"/>
      <c r="AD442" s="514"/>
      <c r="AE442" s="514"/>
      <c r="AF442" s="514"/>
      <c r="AG442" s="514"/>
      <c r="AH442" s="514"/>
      <c r="AI442" s="514"/>
      <c r="AJ442" s="514"/>
      <c r="AK442" s="514"/>
      <c r="AL442" s="514"/>
      <c r="AM442" s="514"/>
      <c r="AN442" s="514"/>
      <c r="AO442" s="514"/>
      <c r="AP442" s="514"/>
      <c r="AQ442" s="514"/>
      <c r="AR442" s="514"/>
      <c r="AS442" s="514"/>
      <c r="AT442" s="514"/>
      <c r="AU442" s="514"/>
      <c r="AV442" s="514"/>
      <c r="AW442" s="514"/>
      <c r="AX442" s="514"/>
      <c r="AY442" s="514"/>
      <c r="AZ442" s="514"/>
      <c r="BA442" s="514"/>
      <c r="BB442" s="514"/>
      <c r="BC442" s="520"/>
      <c r="BD442" s="2482"/>
      <c r="BE442" s="30">
        <v>32.299999999999997</v>
      </c>
      <c r="BF442" s="31">
        <v>0.8639</v>
      </c>
      <c r="BG442" s="32">
        <v>863.4</v>
      </c>
      <c r="BH442" s="33"/>
      <c r="BI442" s="30">
        <v>32.299999999999997</v>
      </c>
      <c r="BJ442" s="34">
        <v>3.2627000000000002</v>
      </c>
      <c r="BK442" s="35">
        <v>0.13703000000000001</v>
      </c>
      <c r="BL442" s="33"/>
      <c r="BM442" s="37">
        <v>973</v>
      </c>
      <c r="BN442" s="38">
        <v>0.97360000000000002</v>
      </c>
      <c r="BO442" s="39">
        <v>13.84</v>
      </c>
      <c r="BP442" s="520"/>
      <c r="BQ442" s="40">
        <v>973</v>
      </c>
      <c r="BR442" s="43">
        <v>971.9</v>
      </c>
      <c r="BS442" s="41">
        <v>1.0288999999999999</v>
      </c>
    </row>
    <row r="443" spans="28:71">
      <c r="AB443" s="514"/>
      <c r="AC443" s="514"/>
      <c r="AD443" s="514"/>
      <c r="AE443" s="514"/>
      <c r="AF443" s="514"/>
      <c r="AG443" s="514"/>
      <c r="AH443" s="514"/>
      <c r="AI443" s="514"/>
      <c r="AJ443" s="514"/>
      <c r="AK443" s="514"/>
      <c r="AL443" s="514"/>
      <c r="AM443" s="514"/>
      <c r="AN443" s="514"/>
      <c r="AO443" s="514"/>
      <c r="AP443" s="514"/>
      <c r="AQ443" s="514"/>
      <c r="AR443" s="514"/>
      <c r="AS443" s="514"/>
      <c r="AT443" s="514"/>
      <c r="AU443" s="514"/>
      <c r="AV443" s="514"/>
      <c r="AW443" s="514"/>
      <c r="AX443" s="514"/>
      <c r="AY443" s="514"/>
      <c r="AZ443" s="514"/>
      <c r="BA443" s="514"/>
      <c r="BB443" s="514"/>
      <c r="BC443" s="520"/>
      <c r="BD443" s="2482"/>
      <c r="BE443" s="30">
        <v>32.4</v>
      </c>
      <c r="BF443" s="31">
        <v>0.86329999999999996</v>
      </c>
      <c r="BG443" s="32">
        <v>862.9</v>
      </c>
      <c r="BH443" s="33"/>
      <c r="BI443" s="30">
        <v>32.4</v>
      </c>
      <c r="BJ443" s="34">
        <v>3.2606999999999999</v>
      </c>
      <c r="BK443" s="35">
        <v>0.13694999999999999</v>
      </c>
      <c r="BL443" s="33"/>
      <c r="BM443" s="37">
        <v>974</v>
      </c>
      <c r="BN443" s="38">
        <v>0.97460000000000002</v>
      </c>
      <c r="BO443" s="39">
        <v>13.69</v>
      </c>
      <c r="BP443" s="520"/>
      <c r="BQ443" s="40">
        <v>974</v>
      </c>
      <c r="BR443" s="43">
        <v>972.9</v>
      </c>
      <c r="BS443" s="41">
        <v>1.0278</v>
      </c>
    </row>
    <row r="444" spans="28:71">
      <c r="AB444" s="514"/>
      <c r="AC444" s="514"/>
      <c r="AD444" s="514"/>
      <c r="AE444" s="514"/>
      <c r="AF444" s="514"/>
      <c r="AG444" s="514"/>
      <c r="AH444" s="514"/>
      <c r="AI444" s="514"/>
      <c r="AJ444" s="514"/>
      <c r="AK444" s="514"/>
      <c r="AL444" s="514"/>
      <c r="AM444" s="514"/>
      <c r="AN444" s="514"/>
      <c r="AO444" s="514"/>
      <c r="AP444" s="514"/>
      <c r="AQ444" s="514"/>
      <c r="AR444" s="514"/>
      <c r="AS444" s="514"/>
      <c r="AT444" s="514"/>
      <c r="AU444" s="514"/>
      <c r="AV444" s="514"/>
      <c r="AW444" s="514"/>
      <c r="AX444" s="514"/>
      <c r="AY444" s="514"/>
      <c r="AZ444" s="514"/>
      <c r="BA444" s="514"/>
      <c r="BB444" s="514"/>
      <c r="BC444" s="520"/>
      <c r="BD444" s="2482"/>
      <c r="BE444" s="30">
        <v>32.5</v>
      </c>
      <c r="BF444" s="31">
        <v>0.86280000000000001</v>
      </c>
      <c r="BG444" s="32">
        <v>862.3</v>
      </c>
      <c r="BH444" s="33"/>
      <c r="BI444" s="30">
        <v>32.5</v>
      </c>
      <c r="BJ444" s="34">
        <v>3.2587000000000002</v>
      </c>
      <c r="BK444" s="35">
        <v>0.13686999999999999</v>
      </c>
      <c r="BL444" s="33"/>
      <c r="BM444" s="37">
        <v>975</v>
      </c>
      <c r="BN444" s="38">
        <v>0.97560000000000002</v>
      </c>
      <c r="BO444" s="39">
        <v>13.54</v>
      </c>
      <c r="BP444" s="520"/>
      <c r="BQ444" s="40">
        <v>975</v>
      </c>
      <c r="BR444" s="43">
        <v>973.9</v>
      </c>
      <c r="BS444" s="41">
        <v>1.0267999999999999</v>
      </c>
    </row>
    <row r="445" spans="28:71">
      <c r="AB445" s="514"/>
      <c r="AC445" s="514"/>
      <c r="AD445" s="514"/>
      <c r="AE445" s="514"/>
      <c r="AF445" s="514"/>
      <c r="AG445" s="514"/>
      <c r="AH445" s="514"/>
      <c r="AI445" s="514"/>
      <c r="AJ445" s="514"/>
      <c r="AK445" s="514"/>
      <c r="AL445" s="514"/>
      <c r="AM445" s="514"/>
      <c r="AN445" s="514"/>
      <c r="AO445" s="514"/>
      <c r="AP445" s="514"/>
      <c r="AQ445" s="514"/>
      <c r="AR445" s="514"/>
      <c r="AS445" s="514"/>
      <c r="AT445" s="514"/>
      <c r="AU445" s="514"/>
      <c r="AV445" s="514"/>
      <c r="AW445" s="514"/>
      <c r="AX445" s="514"/>
      <c r="AY445" s="514"/>
      <c r="AZ445" s="514"/>
      <c r="BA445" s="514"/>
      <c r="BB445" s="514"/>
      <c r="BC445" s="520"/>
      <c r="BD445" s="2482"/>
      <c r="BE445" s="30">
        <v>32.6</v>
      </c>
      <c r="BF445" s="31">
        <v>0.86229999999999996</v>
      </c>
      <c r="BG445" s="32">
        <v>861.8</v>
      </c>
      <c r="BH445" s="33"/>
      <c r="BI445" s="30">
        <v>32.6</v>
      </c>
      <c r="BJ445" s="34">
        <v>3.2566999999999999</v>
      </c>
      <c r="BK445" s="35">
        <v>0.13678000000000001</v>
      </c>
      <c r="BL445" s="33"/>
      <c r="BM445" s="37">
        <v>976</v>
      </c>
      <c r="BN445" s="38">
        <v>0.97660000000000002</v>
      </c>
      <c r="BO445" s="39">
        <v>13.39</v>
      </c>
      <c r="BP445" s="520"/>
      <c r="BQ445" s="40">
        <v>976</v>
      </c>
      <c r="BR445" s="43">
        <v>974.9</v>
      </c>
      <c r="BS445" s="41">
        <v>1.0257000000000001</v>
      </c>
    </row>
    <row r="446" spans="28:71">
      <c r="AB446" s="514"/>
      <c r="AC446" s="514"/>
      <c r="AD446" s="514"/>
      <c r="AE446" s="514"/>
      <c r="AF446" s="514"/>
      <c r="AG446" s="514"/>
      <c r="AH446" s="514"/>
      <c r="AI446" s="514"/>
      <c r="AJ446" s="514"/>
      <c r="AK446" s="514"/>
      <c r="AL446" s="514"/>
      <c r="AM446" s="514"/>
      <c r="AN446" s="514"/>
      <c r="AO446" s="514"/>
      <c r="AP446" s="514"/>
      <c r="AQ446" s="514"/>
      <c r="AR446" s="514"/>
      <c r="AS446" s="514"/>
      <c r="AT446" s="514"/>
      <c r="AU446" s="514"/>
      <c r="AV446" s="514"/>
      <c r="AW446" s="514"/>
      <c r="AX446" s="514"/>
      <c r="AY446" s="514"/>
      <c r="AZ446" s="514"/>
      <c r="BA446" s="514"/>
      <c r="BB446" s="514"/>
      <c r="BC446" s="520"/>
      <c r="BD446" s="2482"/>
      <c r="BE446" s="30">
        <v>32.700000000000003</v>
      </c>
      <c r="BF446" s="31">
        <v>0.86180000000000001</v>
      </c>
      <c r="BG446" s="32">
        <v>861.3</v>
      </c>
      <c r="BH446" s="33"/>
      <c r="BI446" s="30">
        <v>32.700000000000003</v>
      </c>
      <c r="BJ446" s="34">
        <v>3.2547000000000001</v>
      </c>
      <c r="BK446" s="35">
        <v>0.13669999999999999</v>
      </c>
      <c r="BL446" s="33"/>
      <c r="BM446" s="37">
        <v>977</v>
      </c>
      <c r="BN446" s="38">
        <v>0.97760000000000002</v>
      </c>
      <c r="BO446" s="39">
        <v>13.24</v>
      </c>
      <c r="BP446" s="520"/>
      <c r="BQ446" s="40">
        <v>977</v>
      </c>
      <c r="BR446" s="43">
        <v>975.9</v>
      </c>
      <c r="BS446" s="41">
        <v>1.0246999999999999</v>
      </c>
    </row>
    <row r="447" spans="28:71">
      <c r="AB447" s="514"/>
      <c r="AC447" s="514"/>
      <c r="AD447" s="514"/>
      <c r="AE447" s="514"/>
      <c r="AF447" s="514"/>
      <c r="AG447" s="514"/>
      <c r="AH447" s="514"/>
      <c r="AI447" s="514"/>
      <c r="AJ447" s="514"/>
      <c r="AK447" s="514"/>
      <c r="AL447" s="514"/>
      <c r="AM447" s="514"/>
      <c r="AN447" s="514"/>
      <c r="AO447" s="514"/>
      <c r="AP447" s="514"/>
      <c r="AQ447" s="514"/>
      <c r="AR447" s="514"/>
      <c r="AS447" s="514"/>
      <c r="AT447" s="514"/>
      <c r="AU447" s="514"/>
      <c r="AV447" s="514"/>
      <c r="AW447" s="514"/>
      <c r="AX447" s="514"/>
      <c r="AY447" s="514"/>
      <c r="AZ447" s="514"/>
      <c r="BA447" s="514"/>
      <c r="BB447" s="514"/>
      <c r="BC447" s="520"/>
      <c r="BD447" s="2482"/>
      <c r="BE447" s="30">
        <v>32.799999999999997</v>
      </c>
      <c r="BF447" s="31">
        <v>0.86119999999999997</v>
      </c>
      <c r="BG447" s="32">
        <v>860.8</v>
      </c>
      <c r="BH447" s="33"/>
      <c r="BI447" s="30">
        <v>32.799999999999997</v>
      </c>
      <c r="BJ447" s="34">
        <v>3.2528000000000001</v>
      </c>
      <c r="BK447" s="35">
        <v>0.13661999999999999</v>
      </c>
      <c r="BL447" s="33"/>
      <c r="BM447" s="37">
        <v>978</v>
      </c>
      <c r="BN447" s="38">
        <v>0.97860000000000003</v>
      </c>
      <c r="BO447" s="39">
        <v>13.1</v>
      </c>
      <c r="BP447" s="520"/>
      <c r="BQ447" s="40">
        <v>978</v>
      </c>
      <c r="BR447" s="43">
        <v>976.9</v>
      </c>
      <c r="BS447" s="41">
        <v>1.0236000000000001</v>
      </c>
    </row>
    <row r="448" spans="28:71">
      <c r="AB448" s="514"/>
      <c r="AC448" s="514"/>
      <c r="AD448" s="514"/>
      <c r="AE448" s="514"/>
      <c r="AF448" s="514"/>
      <c r="AG448" s="514"/>
      <c r="AH448" s="514"/>
      <c r="AI448" s="514"/>
      <c r="AJ448" s="514"/>
      <c r="AK448" s="514"/>
      <c r="AL448" s="514"/>
      <c r="AM448" s="514"/>
      <c r="AN448" s="514"/>
      <c r="AO448" s="514"/>
      <c r="AP448" s="514"/>
      <c r="AQ448" s="514"/>
      <c r="AR448" s="514"/>
      <c r="AS448" s="514"/>
      <c r="AT448" s="514"/>
      <c r="AU448" s="514"/>
      <c r="AV448" s="514"/>
      <c r="AW448" s="514"/>
      <c r="AX448" s="514"/>
      <c r="AY448" s="514"/>
      <c r="AZ448" s="514"/>
      <c r="BA448" s="514"/>
      <c r="BB448" s="514"/>
      <c r="BC448" s="520"/>
      <c r="BD448" s="2482"/>
      <c r="BE448" s="30">
        <v>32.9</v>
      </c>
      <c r="BF448" s="31">
        <v>0.86070000000000002</v>
      </c>
      <c r="BG448" s="32">
        <v>860.2</v>
      </c>
      <c r="BH448" s="33"/>
      <c r="BI448" s="30">
        <v>32.9</v>
      </c>
      <c r="BJ448" s="34">
        <v>3.2507999999999999</v>
      </c>
      <c r="BK448" s="35">
        <v>0.13653000000000001</v>
      </c>
      <c r="BL448" s="33"/>
      <c r="BM448" s="37">
        <v>979</v>
      </c>
      <c r="BN448" s="38">
        <v>0.97960000000000003</v>
      </c>
      <c r="BO448" s="39">
        <v>12.95</v>
      </c>
      <c r="BP448" s="520"/>
      <c r="BQ448" s="40">
        <v>979</v>
      </c>
      <c r="BR448" s="43">
        <v>977.9</v>
      </c>
      <c r="BS448" s="41">
        <v>1.0226</v>
      </c>
    </row>
    <row r="449" spans="28:71">
      <c r="AB449" s="514"/>
      <c r="AC449" s="514"/>
      <c r="AD449" s="514"/>
      <c r="AE449" s="514"/>
      <c r="AF449" s="514"/>
      <c r="AG449" s="514"/>
      <c r="AH449" s="514"/>
      <c r="AI449" s="514"/>
      <c r="AJ449" s="514"/>
      <c r="AK449" s="514"/>
      <c r="AL449" s="514"/>
      <c r="AM449" s="514"/>
      <c r="AN449" s="514"/>
      <c r="AO449" s="514"/>
      <c r="AP449" s="514"/>
      <c r="AQ449" s="514"/>
      <c r="AR449" s="514"/>
      <c r="AS449" s="514"/>
      <c r="AT449" s="514"/>
      <c r="AU449" s="514"/>
      <c r="AV449" s="514"/>
      <c r="AW449" s="514"/>
      <c r="AX449" s="514"/>
      <c r="AY449" s="514"/>
      <c r="AZ449" s="514"/>
      <c r="BA449" s="514"/>
      <c r="BB449" s="514"/>
      <c r="BC449" s="520"/>
      <c r="BD449" s="2482"/>
      <c r="BE449" s="30">
        <v>33</v>
      </c>
      <c r="BF449" s="31">
        <v>0.86019999999999996</v>
      </c>
      <c r="BG449" s="32">
        <v>859.7</v>
      </c>
      <c r="BH449" s="33"/>
      <c r="BI449" s="30">
        <v>33</v>
      </c>
      <c r="BJ449" s="34">
        <v>3.2488000000000001</v>
      </c>
      <c r="BK449" s="35">
        <v>0.13644999999999999</v>
      </c>
      <c r="BL449" s="33"/>
      <c r="BM449" s="37">
        <v>980</v>
      </c>
      <c r="BN449" s="38">
        <v>0.98060000000000003</v>
      </c>
      <c r="BO449" s="39">
        <v>12.8</v>
      </c>
      <c r="BP449" s="520"/>
      <c r="BQ449" s="40">
        <v>980</v>
      </c>
      <c r="BR449" s="43">
        <v>978.9</v>
      </c>
      <c r="BS449" s="41">
        <v>1.0215000000000001</v>
      </c>
    </row>
    <row r="450" spans="28:71">
      <c r="AB450" s="514"/>
      <c r="AC450" s="514"/>
      <c r="AD450" s="514"/>
      <c r="AE450" s="514"/>
      <c r="AF450" s="514"/>
      <c r="AG450" s="514"/>
      <c r="AH450" s="514"/>
      <c r="AI450" s="514"/>
      <c r="AJ450" s="514"/>
      <c r="AK450" s="514"/>
      <c r="AL450" s="514"/>
      <c r="AM450" s="514"/>
      <c r="AN450" s="514"/>
      <c r="AO450" s="514"/>
      <c r="AP450" s="514"/>
      <c r="AQ450" s="514"/>
      <c r="AR450" s="514"/>
      <c r="AS450" s="514"/>
      <c r="AT450" s="514"/>
      <c r="AU450" s="514"/>
      <c r="AV450" s="514"/>
      <c r="AW450" s="514"/>
      <c r="AX450" s="514"/>
      <c r="AY450" s="514"/>
      <c r="AZ450" s="514"/>
      <c r="BA450" s="514"/>
      <c r="BB450" s="514"/>
      <c r="BC450" s="520"/>
      <c r="BD450" s="2482"/>
      <c r="BE450" s="30">
        <v>33.1</v>
      </c>
      <c r="BF450" s="31">
        <v>0.85970000000000002</v>
      </c>
      <c r="BG450" s="32">
        <v>859.2</v>
      </c>
      <c r="BH450" s="33"/>
      <c r="BI450" s="30">
        <v>33.1</v>
      </c>
      <c r="BJ450" s="34">
        <v>3.2467999999999999</v>
      </c>
      <c r="BK450" s="35">
        <v>0.13636999999999999</v>
      </c>
      <c r="BL450" s="33"/>
      <c r="BM450" s="37">
        <v>981</v>
      </c>
      <c r="BN450" s="38">
        <v>0.98160000000000003</v>
      </c>
      <c r="BO450" s="39">
        <v>12.65</v>
      </c>
      <c r="BP450" s="520"/>
      <c r="BQ450" s="40">
        <v>981</v>
      </c>
      <c r="BR450" s="43">
        <v>979.9</v>
      </c>
      <c r="BS450" s="41">
        <v>1.0205</v>
      </c>
    </row>
    <row r="451" spans="28:71">
      <c r="AB451" s="514"/>
      <c r="AC451" s="514"/>
      <c r="AD451" s="514"/>
      <c r="AE451" s="514"/>
      <c r="AF451" s="514"/>
      <c r="AG451" s="514"/>
      <c r="AH451" s="514"/>
      <c r="AI451" s="514"/>
      <c r="AJ451" s="514"/>
      <c r="AK451" s="514"/>
      <c r="AL451" s="514"/>
      <c r="AM451" s="514"/>
      <c r="AN451" s="514"/>
      <c r="AO451" s="514"/>
      <c r="AP451" s="514"/>
      <c r="AQ451" s="514"/>
      <c r="AR451" s="514"/>
      <c r="AS451" s="514"/>
      <c r="AT451" s="514"/>
      <c r="AU451" s="514"/>
      <c r="AV451" s="514"/>
      <c r="AW451" s="514"/>
      <c r="AX451" s="514"/>
      <c r="AY451" s="514"/>
      <c r="AZ451" s="514"/>
      <c r="BA451" s="514"/>
      <c r="BB451" s="514"/>
      <c r="BC451" s="520"/>
      <c r="BD451" s="2482"/>
      <c r="BE451" s="30">
        <v>33.200000000000003</v>
      </c>
      <c r="BF451" s="31">
        <v>0.85909999999999997</v>
      </c>
      <c r="BG451" s="32">
        <v>858.7</v>
      </c>
      <c r="BH451" s="33"/>
      <c r="BI451" s="30">
        <v>33.200000000000003</v>
      </c>
      <c r="BJ451" s="34">
        <v>3.2448000000000001</v>
      </c>
      <c r="BK451" s="35">
        <v>0.13628000000000001</v>
      </c>
      <c r="BL451" s="33"/>
      <c r="BM451" s="37">
        <v>982</v>
      </c>
      <c r="BN451" s="38">
        <v>0.98260000000000003</v>
      </c>
      <c r="BO451" s="39">
        <v>12.51</v>
      </c>
      <c r="BP451" s="520"/>
      <c r="BQ451" s="40">
        <v>982</v>
      </c>
      <c r="BR451" s="43">
        <v>980.9</v>
      </c>
      <c r="BS451" s="41">
        <v>1.0194000000000001</v>
      </c>
    </row>
    <row r="452" spans="28:71">
      <c r="AB452" s="514"/>
      <c r="AC452" s="514"/>
      <c r="AD452" s="514"/>
      <c r="AE452" s="514"/>
      <c r="AF452" s="514"/>
      <c r="AG452" s="514"/>
      <c r="AH452" s="514"/>
      <c r="AI452" s="514"/>
      <c r="AJ452" s="514"/>
      <c r="AK452" s="514"/>
      <c r="AL452" s="514"/>
      <c r="AM452" s="514"/>
      <c r="AN452" s="514"/>
      <c r="AO452" s="514"/>
      <c r="AP452" s="514"/>
      <c r="AQ452" s="514"/>
      <c r="AR452" s="514"/>
      <c r="AS452" s="514"/>
      <c r="AT452" s="514"/>
      <c r="AU452" s="514"/>
      <c r="AV452" s="514"/>
      <c r="AW452" s="514"/>
      <c r="AX452" s="514"/>
      <c r="AY452" s="514"/>
      <c r="AZ452" s="514"/>
      <c r="BA452" s="514"/>
      <c r="BB452" s="514"/>
      <c r="BC452" s="520"/>
      <c r="BD452" s="2482"/>
      <c r="BE452" s="30">
        <v>33.299999999999997</v>
      </c>
      <c r="BF452" s="31">
        <v>0.85860000000000003</v>
      </c>
      <c r="BG452" s="32">
        <v>858.2</v>
      </c>
      <c r="BH452" s="33"/>
      <c r="BI452" s="30">
        <v>33.299999999999997</v>
      </c>
      <c r="BJ452" s="34">
        <v>3.2429000000000001</v>
      </c>
      <c r="BK452" s="35">
        <v>0.13619999999999999</v>
      </c>
      <c r="BL452" s="33"/>
      <c r="BM452" s="37">
        <v>983</v>
      </c>
      <c r="BN452" s="38">
        <v>0.98360000000000003</v>
      </c>
      <c r="BO452" s="39">
        <v>12.36</v>
      </c>
      <c r="BP452" s="520"/>
      <c r="BQ452" s="40">
        <v>983</v>
      </c>
      <c r="BR452" s="43">
        <v>981.9</v>
      </c>
      <c r="BS452" s="41">
        <v>1.0184</v>
      </c>
    </row>
    <row r="453" spans="28:71">
      <c r="AB453" s="514"/>
      <c r="AC453" s="514"/>
      <c r="AD453" s="514"/>
      <c r="AE453" s="514"/>
      <c r="AF453" s="514"/>
      <c r="AG453" s="514"/>
      <c r="AH453" s="514"/>
      <c r="AI453" s="514"/>
      <c r="AJ453" s="514"/>
      <c r="AK453" s="514"/>
      <c r="AL453" s="514"/>
      <c r="AM453" s="514"/>
      <c r="AN453" s="514"/>
      <c r="AO453" s="514"/>
      <c r="AP453" s="514"/>
      <c r="AQ453" s="514"/>
      <c r="AR453" s="514"/>
      <c r="AS453" s="514"/>
      <c r="AT453" s="514"/>
      <c r="AU453" s="514"/>
      <c r="AV453" s="514"/>
      <c r="AW453" s="514"/>
      <c r="AX453" s="514"/>
      <c r="AY453" s="514"/>
      <c r="AZ453" s="514"/>
      <c r="BA453" s="514"/>
      <c r="BB453" s="514"/>
      <c r="BC453" s="520"/>
      <c r="BD453" s="2482"/>
      <c r="BE453" s="30">
        <v>33.4</v>
      </c>
      <c r="BF453" s="31">
        <v>0.85809999999999997</v>
      </c>
      <c r="BG453" s="32">
        <v>857.6</v>
      </c>
      <c r="BH453" s="33"/>
      <c r="BI453" s="30">
        <v>33.4</v>
      </c>
      <c r="BJ453" s="34">
        <v>3.2408999999999999</v>
      </c>
      <c r="BK453" s="35">
        <v>0.13611999999999999</v>
      </c>
      <c r="BL453" s="33"/>
      <c r="BM453" s="37">
        <v>984</v>
      </c>
      <c r="BN453" s="38">
        <v>0.98460000000000003</v>
      </c>
      <c r="BO453" s="39">
        <v>12.21</v>
      </c>
      <c r="BP453" s="520"/>
      <c r="BQ453" s="40">
        <v>984</v>
      </c>
      <c r="BR453" s="43">
        <v>982.9</v>
      </c>
      <c r="BS453" s="41">
        <v>1.0174000000000001</v>
      </c>
    </row>
    <row r="454" spans="28:71">
      <c r="AB454" s="514"/>
      <c r="AC454" s="514"/>
      <c r="AD454" s="514"/>
      <c r="AE454" s="514"/>
      <c r="AF454" s="514"/>
      <c r="AG454" s="514"/>
      <c r="AH454" s="514"/>
      <c r="AI454" s="514"/>
      <c r="AJ454" s="514"/>
      <c r="AK454" s="514"/>
      <c r="AL454" s="514"/>
      <c r="AM454" s="514"/>
      <c r="AN454" s="514"/>
      <c r="AO454" s="514"/>
      <c r="AP454" s="514"/>
      <c r="AQ454" s="514"/>
      <c r="AR454" s="514"/>
      <c r="AS454" s="514"/>
      <c r="AT454" s="514"/>
      <c r="AU454" s="514"/>
      <c r="AV454" s="514"/>
      <c r="AW454" s="514"/>
      <c r="AX454" s="514"/>
      <c r="AY454" s="514"/>
      <c r="AZ454" s="514"/>
      <c r="BA454" s="514"/>
      <c r="BB454" s="514"/>
      <c r="BC454" s="520"/>
      <c r="BD454" s="2482"/>
      <c r="BE454" s="30">
        <v>33.5</v>
      </c>
      <c r="BF454" s="31">
        <v>0.85760000000000003</v>
      </c>
      <c r="BG454" s="32">
        <v>857.1</v>
      </c>
      <c r="BH454" s="33"/>
      <c r="BI454" s="30">
        <v>33.5</v>
      </c>
      <c r="BJ454" s="34">
        <v>3.2389000000000001</v>
      </c>
      <c r="BK454" s="35">
        <v>0.13603999999999999</v>
      </c>
      <c r="BL454" s="33"/>
      <c r="BM454" s="37">
        <v>985</v>
      </c>
      <c r="BN454" s="38">
        <v>0.98560000000000003</v>
      </c>
      <c r="BO454" s="39">
        <v>12.07</v>
      </c>
      <c r="BP454" s="520"/>
      <c r="BQ454" s="40">
        <v>985</v>
      </c>
      <c r="BR454" s="43">
        <v>983.9</v>
      </c>
      <c r="BS454" s="41">
        <v>1.0163</v>
      </c>
    </row>
    <row r="455" spans="28:71">
      <c r="AB455" s="514"/>
      <c r="AC455" s="514"/>
      <c r="AD455" s="514"/>
      <c r="AE455" s="514"/>
      <c r="AF455" s="514"/>
      <c r="AG455" s="514"/>
      <c r="AH455" s="514"/>
      <c r="AI455" s="514"/>
      <c r="AJ455" s="514"/>
      <c r="AK455" s="514"/>
      <c r="AL455" s="514"/>
      <c r="AM455" s="514"/>
      <c r="AN455" s="514"/>
      <c r="AO455" s="514"/>
      <c r="AP455" s="514"/>
      <c r="AQ455" s="514"/>
      <c r="AR455" s="514"/>
      <c r="AS455" s="514"/>
      <c r="AT455" s="514"/>
      <c r="AU455" s="514"/>
      <c r="AV455" s="514"/>
      <c r="AW455" s="514"/>
      <c r="AX455" s="514"/>
      <c r="AY455" s="514"/>
      <c r="AZ455" s="514"/>
      <c r="BA455" s="514"/>
      <c r="BB455" s="514"/>
      <c r="BC455" s="520"/>
      <c r="BD455" s="2482"/>
      <c r="BE455" s="30">
        <v>33.6</v>
      </c>
      <c r="BF455" s="31">
        <v>0.85709999999999997</v>
      </c>
      <c r="BG455" s="32">
        <v>856.6</v>
      </c>
      <c r="BH455" s="33"/>
      <c r="BI455" s="30">
        <v>33.6</v>
      </c>
      <c r="BJ455" s="34">
        <v>3.2370000000000001</v>
      </c>
      <c r="BK455" s="35">
        <v>0.13594999999999999</v>
      </c>
      <c r="BL455" s="33"/>
      <c r="BM455" s="37">
        <v>986</v>
      </c>
      <c r="BN455" s="38">
        <v>0.98660000000000003</v>
      </c>
      <c r="BO455" s="39">
        <v>11.92</v>
      </c>
      <c r="BP455" s="520"/>
      <c r="BQ455" s="40">
        <v>986</v>
      </c>
      <c r="BR455" s="43">
        <v>984.9</v>
      </c>
      <c r="BS455" s="41">
        <v>1.0153000000000001</v>
      </c>
    </row>
    <row r="456" spans="28:71">
      <c r="AB456" s="514"/>
      <c r="AC456" s="514"/>
      <c r="AD456" s="514"/>
      <c r="AE456" s="514"/>
      <c r="AF456" s="514"/>
      <c r="AG456" s="514"/>
      <c r="AH456" s="514"/>
      <c r="AI456" s="514"/>
      <c r="AJ456" s="514"/>
      <c r="AK456" s="514"/>
      <c r="AL456" s="514"/>
      <c r="AM456" s="514"/>
      <c r="AN456" s="514"/>
      <c r="AO456" s="514"/>
      <c r="AP456" s="514"/>
      <c r="AQ456" s="514"/>
      <c r="AR456" s="514"/>
      <c r="AS456" s="514"/>
      <c r="AT456" s="514"/>
      <c r="AU456" s="514"/>
      <c r="AV456" s="514"/>
      <c r="AW456" s="514"/>
      <c r="AX456" s="514"/>
      <c r="AY456" s="514"/>
      <c r="AZ456" s="514"/>
      <c r="BA456" s="514"/>
      <c r="BB456" s="514"/>
      <c r="BC456" s="520"/>
      <c r="BD456" s="2482"/>
      <c r="BE456" s="30">
        <v>33.700000000000003</v>
      </c>
      <c r="BF456" s="31">
        <v>0.85650000000000004</v>
      </c>
      <c r="BG456" s="32">
        <v>856.1</v>
      </c>
      <c r="BH456" s="33"/>
      <c r="BI456" s="30">
        <v>33.700000000000003</v>
      </c>
      <c r="BJ456" s="34">
        <v>3.2349999999999999</v>
      </c>
      <c r="BK456" s="35">
        <v>0.13586999999999999</v>
      </c>
      <c r="BL456" s="33"/>
      <c r="BM456" s="37">
        <v>987</v>
      </c>
      <c r="BN456" s="38">
        <v>0.98760000000000003</v>
      </c>
      <c r="BO456" s="39">
        <v>11.78</v>
      </c>
      <c r="BP456" s="520"/>
      <c r="BQ456" s="40">
        <v>987</v>
      </c>
      <c r="BR456" s="43">
        <v>985.9</v>
      </c>
      <c r="BS456" s="41">
        <v>1.0143</v>
      </c>
    </row>
    <row r="457" spans="28:71">
      <c r="AB457" s="514"/>
      <c r="AC457" s="514"/>
      <c r="AD457" s="514"/>
      <c r="AE457" s="514"/>
      <c r="AF457" s="514"/>
      <c r="AG457" s="514"/>
      <c r="AH457" s="514"/>
      <c r="AI457" s="514"/>
      <c r="AJ457" s="514"/>
      <c r="AK457" s="514"/>
      <c r="AL457" s="514"/>
      <c r="AM457" s="514"/>
      <c r="AN457" s="514"/>
      <c r="AO457" s="514"/>
      <c r="AP457" s="514"/>
      <c r="AQ457" s="514"/>
      <c r="AR457" s="514"/>
      <c r="AS457" s="514"/>
      <c r="AT457" s="514"/>
      <c r="AU457" s="514"/>
      <c r="AV457" s="514"/>
      <c r="AW457" s="514"/>
      <c r="AX457" s="514"/>
      <c r="AY457" s="514"/>
      <c r="AZ457" s="514"/>
      <c r="BA457" s="514"/>
      <c r="BB457" s="514"/>
      <c r="BC457" s="520"/>
      <c r="BD457" s="2482"/>
      <c r="BE457" s="30">
        <v>33.799999999999997</v>
      </c>
      <c r="BF457" s="31">
        <v>0.85599999999999998</v>
      </c>
      <c r="BG457" s="32">
        <v>855.6</v>
      </c>
      <c r="BH457" s="33"/>
      <c r="BI457" s="30">
        <v>33.799999999999997</v>
      </c>
      <c r="BJ457" s="34">
        <v>3.2330000000000001</v>
      </c>
      <c r="BK457" s="35">
        <v>0.13578999999999999</v>
      </c>
      <c r="BL457" s="33"/>
      <c r="BM457" s="37">
        <v>988</v>
      </c>
      <c r="BN457" s="38">
        <v>0.98860000000000003</v>
      </c>
      <c r="BO457" s="39">
        <v>11.63</v>
      </c>
      <c r="BP457" s="520"/>
      <c r="BQ457" s="40">
        <v>988</v>
      </c>
      <c r="BR457" s="43">
        <v>986.9</v>
      </c>
      <c r="BS457" s="41">
        <v>1.0132000000000001</v>
      </c>
    </row>
    <row r="458" spans="28:71">
      <c r="AB458" s="514"/>
      <c r="AC458" s="514"/>
      <c r="AD458" s="514"/>
      <c r="AE458" s="514"/>
      <c r="AF458" s="514"/>
      <c r="AG458" s="514"/>
      <c r="AH458" s="514"/>
      <c r="AI458" s="514"/>
      <c r="AJ458" s="514"/>
      <c r="AK458" s="514"/>
      <c r="AL458" s="514"/>
      <c r="AM458" s="514"/>
      <c r="AN458" s="514"/>
      <c r="AO458" s="514"/>
      <c r="AP458" s="514"/>
      <c r="AQ458" s="514"/>
      <c r="AR458" s="514"/>
      <c r="AS458" s="514"/>
      <c r="AT458" s="514"/>
      <c r="AU458" s="514"/>
      <c r="AV458" s="514"/>
      <c r="AW458" s="514"/>
      <c r="AX458" s="514"/>
      <c r="AY458" s="514"/>
      <c r="AZ458" s="514"/>
      <c r="BA458" s="514"/>
      <c r="BB458" s="514"/>
      <c r="BC458" s="520"/>
      <c r="BD458" s="2482"/>
      <c r="BE458" s="30">
        <v>33.9</v>
      </c>
      <c r="BF458" s="31">
        <v>0.85550000000000004</v>
      </c>
      <c r="BG458" s="32">
        <v>855</v>
      </c>
      <c r="BH458" s="33"/>
      <c r="BI458" s="30">
        <v>33.9</v>
      </c>
      <c r="BJ458" s="34">
        <v>3.2311000000000001</v>
      </c>
      <c r="BK458" s="35">
        <v>0.13571</v>
      </c>
      <c r="BL458" s="33"/>
      <c r="BM458" s="37">
        <v>989</v>
      </c>
      <c r="BN458" s="38">
        <v>0.98960000000000004</v>
      </c>
      <c r="BO458" s="39">
        <v>11.49</v>
      </c>
      <c r="BP458" s="520"/>
      <c r="BQ458" s="40">
        <v>989</v>
      </c>
      <c r="BR458" s="43">
        <v>987.9</v>
      </c>
      <c r="BS458" s="41">
        <v>1.0122</v>
      </c>
    </row>
    <row r="459" spans="28:71">
      <c r="AB459" s="514"/>
      <c r="AC459" s="514"/>
      <c r="AD459" s="514"/>
      <c r="AE459" s="514"/>
      <c r="AF459" s="514"/>
      <c r="AG459" s="514"/>
      <c r="AH459" s="514"/>
      <c r="AI459" s="514"/>
      <c r="AJ459" s="514"/>
      <c r="AK459" s="514"/>
      <c r="AL459" s="514"/>
      <c r="AM459" s="514"/>
      <c r="AN459" s="514"/>
      <c r="AO459" s="514"/>
      <c r="AP459" s="514"/>
      <c r="AQ459" s="514"/>
      <c r="AR459" s="514"/>
      <c r="AS459" s="514"/>
      <c r="AT459" s="514"/>
      <c r="AU459" s="514"/>
      <c r="AV459" s="514"/>
      <c r="AW459" s="514"/>
      <c r="AX459" s="514"/>
      <c r="AY459" s="514"/>
      <c r="AZ459" s="514"/>
      <c r="BA459" s="514"/>
      <c r="BB459" s="514"/>
      <c r="BC459" s="520"/>
      <c r="BD459" s="2482"/>
      <c r="BE459" s="30">
        <v>34</v>
      </c>
      <c r="BF459" s="31">
        <v>0.85499999999999998</v>
      </c>
      <c r="BG459" s="32">
        <v>854.5</v>
      </c>
      <c r="BH459" s="33"/>
      <c r="BI459" s="30">
        <v>34</v>
      </c>
      <c r="BJ459" s="34">
        <v>3.2290999999999999</v>
      </c>
      <c r="BK459" s="35">
        <v>0.13561999999999999</v>
      </c>
      <c r="BL459" s="33"/>
      <c r="BM459" s="37">
        <v>990</v>
      </c>
      <c r="BN459" s="38">
        <v>0.99060000000000004</v>
      </c>
      <c r="BO459" s="39">
        <v>11.34</v>
      </c>
      <c r="BP459" s="520"/>
      <c r="BQ459" s="40">
        <v>990</v>
      </c>
      <c r="BR459" s="43">
        <v>988.9</v>
      </c>
      <c r="BS459" s="41">
        <v>1.0112000000000001</v>
      </c>
    </row>
    <row r="460" spans="28:71">
      <c r="AB460" s="514"/>
      <c r="AC460" s="514"/>
      <c r="AD460" s="514"/>
      <c r="AE460" s="514"/>
      <c r="AF460" s="514"/>
      <c r="AG460" s="514"/>
      <c r="AH460" s="514"/>
      <c r="AI460" s="514"/>
      <c r="AJ460" s="514"/>
      <c r="AK460" s="514"/>
      <c r="AL460" s="514"/>
      <c r="AM460" s="514"/>
      <c r="AN460" s="514"/>
      <c r="AO460" s="514"/>
      <c r="AP460" s="514"/>
      <c r="AQ460" s="514"/>
      <c r="AR460" s="514"/>
      <c r="AS460" s="514"/>
      <c r="AT460" s="514"/>
      <c r="AU460" s="514"/>
      <c r="AV460" s="514"/>
      <c r="AW460" s="514"/>
      <c r="AX460" s="514"/>
      <c r="AY460" s="514"/>
      <c r="AZ460" s="514"/>
      <c r="BA460" s="514"/>
      <c r="BB460" s="514"/>
      <c r="BC460" s="520"/>
      <c r="BD460" s="2482"/>
      <c r="BE460" s="30">
        <v>34.1</v>
      </c>
      <c r="BF460" s="31">
        <v>0.85450000000000004</v>
      </c>
      <c r="BG460" s="32">
        <v>854</v>
      </c>
      <c r="BH460" s="33"/>
      <c r="BI460" s="30">
        <v>34.1</v>
      </c>
      <c r="BJ460" s="34">
        <v>3.2271999999999998</v>
      </c>
      <c r="BK460" s="35">
        <v>0.13553999999999999</v>
      </c>
      <c r="BL460" s="33"/>
      <c r="BM460" s="37">
        <v>991</v>
      </c>
      <c r="BN460" s="38">
        <v>0.99160000000000004</v>
      </c>
      <c r="BO460" s="39">
        <v>11.2</v>
      </c>
      <c r="BP460" s="520"/>
      <c r="BQ460" s="40">
        <v>991</v>
      </c>
      <c r="BR460" s="43">
        <v>989.9</v>
      </c>
      <c r="BS460" s="41">
        <v>1.0102</v>
      </c>
    </row>
    <row r="461" spans="28:71">
      <c r="AB461" s="514"/>
      <c r="AC461" s="514"/>
      <c r="AD461" s="514"/>
      <c r="AE461" s="514"/>
      <c r="AF461" s="514"/>
      <c r="AG461" s="514"/>
      <c r="AH461" s="514"/>
      <c r="AI461" s="514"/>
      <c r="AJ461" s="514"/>
      <c r="AK461" s="514"/>
      <c r="AL461" s="514"/>
      <c r="AM461" s="514"/>
      <c r="AN461" s="514"/>
      <c r="AO461" s="514"/>
      <c r="AP461" s="514"/>
      <c r="AQ461" s="514"/>
      <c r="AR461" s="514"/>
      <c r="AS461" s="514"/>
      <c r="AT461" s="514"/>
      <c r="AU461" s="514"/>
      <c r="AV461" s="514"/>
      <c r="AW461" s="514"/>
      <c r="AX461" s="514"/>
      <c r="AY461" s="514"/>
      <c r="AZ461" s="514"/>
      <c r="BA461" s="514"/>
      <c r="BB461" s="514"/>
      <c r="BC461" s="520"/>
      <c r="BD461" s="2482"/>
      <c r="BE461" s="30">
        <v>34.200000000000003</v>
      </c>
      <c r="BF461" s="31">
        <v>0.85399999999999998</v>
      </c>
      <c r="BG461" s="32">
        <v>853.5</v>
      </c>
      <c r="BH461" s="33"/>
      <c r="BI461" s="30">
        <v>34.200000000000003</v>
      </c>
      <c r="BJ461" s="34">
        <v>3.2252000000000001</v>
      </c>
      <c r="BK461" s="35">
        <v>0.13546</v>
      </c>
      <c r="BL461" s="33"/>
      <c r="BM461" s="37">
        <v>992</v>
      </c>
      <c r="BN461" s="38">
        <v>0.99260000000000004</v>
      </c>
      <c r="BO461" s="39">
        <v>11.05</v>
      </c>
      <c r="BP461" s="520"/>
      <c r="BQ461" s="40">
        <v>992</v>
      </c>
      <c r="BR461" s="43">
        <v>990.9</v>
      </c>
      <c r="BS461" s="41">
        <v>1.0092000000000001</v>
      </c>
    </row>
    <row r="462" spans="28:71">
      <c r="AB462" s="514"/>
      <c r="AC462" s="514"/>
      <c r="AD462" s="514"/>
      <c r="AE462" s="514"/>
      <c r="AF462" s="514"/>
      <c r="AG462" s="514"/>
      <c r="AH462" s="514"/>
      <c r="AI462" s="514"/>
      <c r="AJ462" s="514"/>
      <c r="AK462" s="514"/>
      <c r="AL462" s="514"/>
      <c r="AM462" s="514"/>
      <c r="AN462" s="514"/>
      <c r="AO462" s="514"/>
      <c r="AP462" s="514"/>
      <c r="AQ462" s="514"/>
      <c r="AR462" s="514"/>
      <c r="AS462" s="514"/>
      <c r="AT462" s="514"/>
      <c r="AU462" s="514"/>
      <c r="AV462" s="514"/>
      <c r="AW462" s="514"/>
      <c r="AX462" s="514"/>
      <c r="AY462" s="514"/>
      <c r="AZ462" s="514"/>
      <c r="BA462" s="514"/>
      <c r="BB462" s="514"/>
      <c r="BC462" s="520"/>
      <c r="BD462" s="2482"/>
      <c r="BE462" s="30">
        <v>34.299999999999997</v>
      </c>
      <c r="BF462" s="31">
        <v>0.85340000000000005</v>
      </c>
      <c r="BG462" s="32">
        <v>853</v>
      </c>
      <c r="BH462" s="33"/>
      <c r="BI462" s="30">
        <v>34.299999999999997</v>
      </c>
      <c r="BJ462" s="34">
        <v>3.2233000000000001</v>
      </c>
      <c r="BK462" s="35">
        <v>0.13538</v>
      </c>
      <c r="BL462" s="33"/>
      <c r="BM462" s="37">
        <v>993</v>
      </c>
      <c r="BN462" s="38">
        <v>0.99360000000000004</v>
      </c>
      <c r="BO462" s="39">
        <v>10.91</v>
      </c>
      <c r="BP462" s="520"/>
      <c r="BQ462" s="40">
        <v>993</v>
      </c>
      <c r="BR462" s="43">
        <v>991.9</v>
      </c>
      <c r="BS462" s="41">
        <v>1.0081</v>
      </c>
    </row>
    <row r="463" spans="28:71">
      <c r="AB463" s="514"/>
      <c r="AC463" s="514"/>
      <c r="AD463" s="514"/>
      <c r="AE463" s="514"/>
      <c r="AF463" s="514"/>
      <c r="AG463" s="514"/>
      <c r="AH463" s="514"/>
      <c r="AI463" s="514"/>
      <c r="AJ463" s="514"/>
      <c r="AK463" s="514"/>
      <c r="AL463" s="514"/>
      <c r="AM463" s="514"/>
      <c r="AN463" s="514"/>
      <c r="AO463" s="514"/>
      <c r="AP463" s="514"/>
      <c r="AQ463" s="514"/>
      <c r="AR463" s="514"/>
      <c r="AS463" s="514"/>
      <c r="AT463" s="514"/>
      <c r="AU463" s="514"/>
      <c r="AV463" s="514"/>
      <c r="AW463" s="514"/>
      <c r="AX463" s="514"/>
      <c r="AY463" s="514"/>
      <c r="AZ463" s="514"/>
      <c r="BA463" s="514"/>
      <c r="BB463" s="514"/>
      <c r="BC463" s="520"/>
      <c r="BD463" s="2482"/>
      <c r="BE463" s="30">
        <v>34.4</v>
      </c>
      <c r="BF463" s="31">
        <v>0.85289999999999999</v>
      </c>
      <c r="BG463" s="32">
        <v>852.5</v>
      </c>
      <c r="BH463" s="33"/>
      <c r="BI463" s="30">
        <v>34.4</v>
      </c>
      <c r="BJ463" s="34">
        <v>3.2212999999999998</v>
      </c>
      <c r="BK463" s="35">
        <v>0.1353</v>
      </c>
      <c r="BL463" s="33"/>
      <c r="BM463" s="37">
        <v>994</v>
      </c>
      <c r="BN463" s="38">
        <v>0.99460000000000004</v>
      </c>
      <c r="BO463" s="39">
        <v>10.77</v>
      </c>
      <c r="BP463" s="520"/>
      <c r="BQ463" s="40">
        <v>994</v>
      </c>
      <c r="BR463" s="43">
        <v>992.9</v>
      </c>
      <c r="BS463" s="41">
        <v>1.0071000000000001</v>
      </c>
    </row>
    <row r="464" spans="28:71">
      <c r="AB464" s="514"/>
      <c r="AC464" s="514"/>
      <c r="AD464" s="514"/>
      <c r="AE464" s="514"/>
      <c r="AF464" s="514"/>
      <c r="AG464" s="514"/>
      <c r="AH464" s="514"/>
      <c r="AI464" s="514"/>
      <c r="AJ464" s="514"/>
      <c r="AK464" s="514"/>
      <c r="AL464" s="514"/>
      <c r="AM464" s="514"/>
      <c r="AN464" s="514"/>
      <c r="AO464" s="514"/>
      <c r="AP464" s="514"/>
      <c r="AQ464" s="514"/>
      <c r="AR464" s="514"/>
      <c r="AS464" s="514"/>
      <c r="AT464" s="514"/>
      <c r="AU464" s="514"/>
      <c r="AV464" s="514"/>
      <c r="AW464" s="514"/>
      <c r="AX464" s="514"/>
      <c r="AY464" s="514"/>
      <c r="AZ464" s="514"/>
      <c r="BA464" s="514"/>
      <c r="BB464" s="514"/>
      <c r="BC464" s="520"/>
      <c r="BD464" s="2482"/>
      <c r="BE464" s="30">
        <v>34.5</v>
      </c>
      <c r="BF464" s="31">
        <v>0.85240000000000005</v>
      </c>
      <c r="BG464" s="32">
        <v>852</v>
      </c>
      <c r="BH464" s="33"/>
      <c r="BI464" s="30">
        <v>34.5</v>
      </c>
      <c r="BJ464" s="34">
        <v>3.2193999999999998</v>
      </c>
      <c r="BK464" s="35">
        <v>0.13521</v>
      </c>
      <c r="BL464" s="33"/>
      <c r="BM464" s="37">
        <v>995</v>
      </c>
      <c r="BN464" s="38">
        <v>0.99560000000000004</v>
      </c>
      <c r="BO464" s="39">
        <v>10.62</v>
      </c>
      <c r="BP464" s="520"/>
      <c r="BQ464" s="40">
        <v>995</v>
      </c>
      <c r="BR464" s="43">
        <v>993.9</v>
      </c>
      <c r="BS464" s="41">
        <v>1.0061</v>
      </c>
    </row>
    <row r="465" spans="28:71">
      <c r="AB465" s="514"/>
      <c r="AC465" s="514"/>
      <c r="AD465" s="514"/>
      <c r="AE465" s="514"/>
      <c r="AF465" s="514"/>
      <c r="AG465" s="514"/>
      <c r="AH465" s="514"/>
      <c r="AI465" s="514"/>
      <c r="AJ465" s="514"/>
      <c r="AK465" s="514"/>
      <c r="AL465" s="514"/>
      <c r="AM465" s="514"/>
      <c r="AN465" s="514"/>
      <c r="AO465" s="514"/>
      <c r="AP465" s="514"/>
      <c r="AQ465" s="514"/>
      <c r="AR465" s="514"/>
      <c r="AS465" s="514"/>
      <c r="AT465" s="514"/>
      <c r="AU465" s="514"/>
      <c r="AV465" s="514"/>
      <c r="AW465" s="514"/>
      <c r="AX465" s="514"/>
      <c r="AY465" s="514"/>
      <c r="AZ465" s="514"/>
      <c r="BA465" s="514"/>
      <c r="BB465" s="514"/>
      <c r="BC465" s="520"/>
      <c r="BD465" s="2482"/>
      <c r="BE465" s="30">
        <v>34.6</v>
      </c>
      <c r="BF465" s="31">
        <v>0.85189999999999999</v>
      </c>
      <c r="BG465" s="32">
        <v>851.4</v>
      </c>
      <c r="BH465" s="33"/>
      <c r="BI465" s="30">
        <v>34.6</v>
      </c>
      <c r="BJ465" s="34">
        <v>3.2174999999999998</v>
      </c>
      <c r="BK465" s="35">
        <v>0.13513</v>
      </c>
      <c r="BL465" s="33"/>
      <c r="BM465" s="37">
        <v>996</v>
      </c>
      <c r="BN465" s="38">
        <v>0.99660000000000004</v>
      </c>
      <c r="BO465" s="39">
        <v>10.48</v>
      </c>
      <c r="BP465" s="520"/>
      <c r="BQ465" s="40">
        <v>996</v>
      </c>
      <c r="BR465" s="43">
        <v>994.9</v>
      </c>
      <c r="BS465" s="41">
        <v>1.0051000000000001</v>
      </c>
    </row>
    <row r="466" spans="28:71">
      <c r="AB466" s="514"/>
      <c r="AC466" s="514"/>
      <c r="AD466" s="514"/>
      <c r="AE466" s="514"/>
      <c r="AF466" s="514"/>
      <c r="AG466" s="514"/>
      <c r="AH466" s="514"/>
      <c r="AI466" s="514"/>
      <c r="AJ466" s="514"/>
      <c r="AK466" s="514"/>
      <c r="AL466" s="514"/>
      <c r="AM466" s="514"/>
      <c r="AN466" s="514"/>
      <c r="AO466" s="514"/>
      <c r="AP466" s="514"/>
      <c r="AQ466" s="514"/>
      <c r="AR466" s="514"/>
      <c r="AS466" s="514"/>
      <c r="AT466" s="514"/>
      <c r="AU466" s="514"/>
      <c r="AV466" s="514"/>
      <c r="AW466" s="514"/>
      <c r="AX466" s="514"/>
      <c r="AY466" s="514"/>
      <c r="AZ466" s="514"/>
      <c r="BA466" s="514"/>
      <c r="BB466" s="514"/>
      <c r="BC466" s="520"/>
      <c r="BD466" s="2482"/>
      <c r="BE466" s="30">
        <v>34.700000000000003</v>
      </c>
      <c r="BF466" s="31">
        <v>0.85140000000000005</v>
      </c>
      <c r="BG466" s="32">
        <v>850.9</v>
      </c>
      <c r="BH466" s="33"/>
      <c r="BI466" s="30">
        <v>34.700000000000003</v>
      </c>
      <c r="BJ466" s="34">
        <v>3.2155</v>
      </c>
      <c r="BK466" s="35">
        <v>0.13505</v>
      </c>
      <c r="BL466" s="33"/>
      <c r="BM466" s="37">
        <v>997</v>
      </c>
      <c r="BN466" s="38">
        <v>0.99760000000000004</v>
      </c>
      <c r="BO466" s="39">
        <v>10.34</v>
      </c>
      <c r="BP466" s="520"/>
      <c r="BQ466" s="40">
        <v>997</v>
      </c>
      <c r="BR466" s="43">
        <v>995.9</v>
      </c>
      <c r="BS466" s="41">
        <v>1.0041</v>
      </c>
    </row>
    <row r="467" spans="28:71">
      <c r="AB467" s="514"/>
      <c r="AC467" s="514"/>
      <c r="AD467" s="514"/>
      <c r="AE467" s="514"/>
      <c r="AF467" s="514"/>
      <c r="AG467" s="514"/>
      <c r="AH467" s="514"/>
      <c r="AI467" s="514"/>
      <c r="AJ467" s="514"/>
      <c r="AK467" s="514"/>
      <c r="AL467" s="514"/>
      <c r="AM467" s="514"/>
      <c r="AN467" s="514"/>
      <c r="AO467" s="514"/>
      <c r="AP467" s="514"/>
      <c r="AQ467" s="514"/>
      <c r="AR467" s="514"/>
      <c r="AS467" s="514"/>
      <c r="AT467" s="514"/>
      <c r="AU467" s="514"/>
      <c r="AV467" s="514"/>
      <c r="AW467" s="514"/>
      <c r="AX467" s="514"/>
      <c r="AY467" s="514"/>
      <c r="AZ467" s="514"/>
      <c r="BA467" s="514"/>
      <c r="BB467" s="514"/>
      <c r="BC467" s="520"/>
      <c r="BD467" s="2482"/>
      <c r="BE467" s="30">
        <v>34.799999999999997</v>
      </c>
      <c r="BF467" s="31">
        <v>0.85089999999999999</v>
      </c>
      <c r="BG467" s="32">
        <v>850.4</v>
      </c>
      <c r="BH467" s="33"/>
      <c r="BI467" s="30">
        <v>34.799999999999997</v>
      </c>
      <c r="BJ467" s="34">
        <v>3.2136</v>
      </c>
      <c r="BK467" s="35">
        <v>0.13497000000000001</v>
      </c>
      <c r="BL467" s="33"/>
      <c r="BM467" s="37">
        <v>998</v>
      </c>
      <c r="BN467" s="38">
        <v>0.99860000000000004</v>
      </c>
      <c r="BO467" s="39">
        <v>10.199999999999999</v>
      </c>
      <c r="BP467" s="520"/>
      <c r="BQ467" s="40">
        <v>998</v>
      </c>
      <c r="BR467" s="43">
        <v>996.9</v>
      </c>
      <c r="BS467" s="41">
        <v>1.0031000000000001</v>
      </c>
    </row>
    <row r="468" spans="28:71">
      <c r="AB468" s="514"/>
      <c r="AC468" s="514"/>
      <c r="AD468" s="514"/>
      <c r="AE468" s="514"/>
      <c r="AF468" s="514"/>
      <c r="AG468" s="514"/>
      <c r="AH468" s="514"/>
      <c r="AI468" s="514"/>
      <c r="AJ468" s="514"/>
      <c r="AK468" s="514"/>
      <c r="AL468" s="514"/>
      <c r="AM468" s="514"/>
      <c r="AN468" s="514"/>
      <c r="AO468" s="514"/>
      <c r="AP468" s="514"/>
      <c r="AQ468" s="514"/>
      <c r="AR468" s="514"/>
      <c r="AS468" s="514"/>
      <c r="AT468" s="514"/>
      <c r="AU468" s="514"/>
      <c r="AV468" s="514"/>
      <c r="AW468" s="514"/>
      <c r="AX468" s="514"/>
      <c r="AY468" s="514"/>
      <c r="AZ468" s="514"/>
      <c r="BA468" s="514"/>
      <c r="BB468" s="514"/>
      <c r="BC468" s="520"/>
      <c r="BD468" s="2482"/>
      <c r="BE468" s="30">
        <v>34.9</v>
      </c>
      <c r="BF468" s="31">
        <v>0.85040000000000004</v>
      </c>
      <c r="BG468" s="32">
        <v>849.9</v>
      </c>
      <c r="BH468" s="33"/>
      <c r="BI468" s="30">
        <v>34.9</v>
      </c>
      <c r="BJ468" s="34">
        <v>3.2115999999999998</v>
      </c>
      <c r="BK468" s="35">
        <v>0.13489000000000001</v>
      </c>
      <c r="BL468" s="33"/>
      <c r="BM468" s="37">
        <v>999</v>
      </c>
      <c r="BN468" s="38">
        <v>0.99960000000000004</v>
      </c>
      <c r="BO468" s="39">
        <v>10.050000000000001</v>
      </c>
      <c r="BP468" s="520"/>
      <c r="BQ468" s="40">
        <v>999</v>
      </c>
      <c r="BR468" s="43">
        <v>997.9</v>
      </c>
      <c r="BS468" s="41">
        <v>1.0021</v>
      </c>
    </row>
    <row r="469" spans="28:71">
      <c r="AB469" s="514"/>
      <c r="AC469" s="514"/>
      <c r="AD469" s="514"/>
      <c r="AE469" s="514"/>
      <c r="AF469" s="514"/>
      <c r="AG469" s="514"/>
      <c r="AH469" s="514"/>
      <c r="AI469" s="514"/>
      <c r="AJ469" s="514"/>
      <c r="AK469" s="514"/>
      <c r="AL469" s="514"/>
      <c r="AM469" s="514"/>
      <c r="AN469" s="514"/>
      <c r="AO469" s="514"/>
      <c r="AP469" s="514"/>
      <c r="AQ469" s="514"/>
      <c r="AR469" s="514"/>
      <c r="AS469" s="514"/>
      <c r="AT469" s="514"/>
      <c r="AU469" s="514"/>
      <c r="AV469" s="514"/>
      <c r="AW469" s="514"/>
      <c r="AX469" s="514"/>
      <c r="AY469" s="514"/>
      <c r="AZ469" s="514"/>
      <c r="BA469" s="514"/>
      <c r="BB469" s="514"/>
      <c r="BC469" s="520"/>
      <c r="BD469" s="2482"/>
      <c r="BE469" s="30">
        <v>35</v>
      </c>
      <c r="BF469" s="31">
        <v>0.8498</v>
      </c>
      <c r="BG469" s="32">
        <v>849.4</v>
      </c>
      <c r="BH469" s="33"/>
      <c r="BI469" s="30">
        <v>35</v>
      </c>
      <c r="BJ469" s="34">
        <v>3.2097000000000002</v>
      </c>
      <c r="BK469" s="35">
        <v>0.13481000000000001</v>
      </c>
      <c r="BL469" s="33"/>
      <c r="BM469" s="37">
        <v>1000</v>
      </c>
      <c r="BN469" s="38">
        <v>1.0005999999999999</v>
      </c>
      <c r="BO469" s="39">
        <v>9.91</v>
      </c>
      <c r="BP469" s="520"/>
      <c r="BQ469" s="40">
        <v>1000</v>
      </c>
      <c r="BR469" s="43">
        <v>998.9</v>
      </c>
      <c r="BS469" s="41">
        <v>1.0011000000000001</v>
      </c>
    </row>
    <row r="470" spans="28:71">
      <c r="AB470" s="514"/>
      <c r="AC470" s="514"/>
      <c r="AD470" s="514"/>
      <c r="AE470" s="514"/>
      <c r="AF470" s="514"/>
      <c r="AG470" s="514"/>
      <c r="AH470" s="514"/>
      <c r="AI470" s="514"/>
      <c r="AJ470" s="514"/>
      <c r="AK470" s="514"/>
      <c r="AL470" s="514"/>
      <c r="AM470" s="514"/>
      <c r="AN470" s="514"/>
      <c r="AO470" s="514"/>
      <c r="AP470" s="514"/>
      <c r="AQ470" s="514"/>
      <c r="AR470" s="514"/>
      <c r="AS470" s="514"/>
      <c r="AT470" s="514"/>
      <c r="AU470" s="514"/>
      <c r="AV470" s="514"/>
      <c r="AW470" s="514"/>
      <c r="AX470" s="514"/>
      <c r="AY470" s="514"/>
      <c r="AZ470" s="514"/>
      <c r="BA470" s="514"/>
      <c r="BB470" s="514"/>
      <c r="BC470" s="520"/>
      <c r="BD470" s="2482"/>
      <c r="BE470" s="30">
        <v>35.1</v>
      </c>
      <c r="BF470" s="31">
        <v>0.84930000000000005</v>
      </c>
      <c r="BG470" s="32">
        <v>848.9</v>
      </c>
      <c r="BH470" s="33"/>
      <c r="BI470" s="30">
        <v>35.1</v>
      </c>
      <c r="BJ470" s="34">
        <v>3.2078000000000002</v>
      </c>
      <c r="BK470" s="35">
        <v>0.13472999999999999</v>
      </c>
      <c r="BL470" s="33"/>
      <c r="BM470" s="37">
        <v>1001</v>
      </c>
      <c r="BN470" s="38">
        <v>1.0016</v>
      </c>
      <c r="BO470" s="39">
        <v>9.77</v>
      </c>
      <c r="BP470" s="520"/>
      <c r="BQ470" s="40">
        <v>1001</v>
      </c>
      <c r="BR470" s="43">
        <v>999.9</v>
      </c>
      <c r="BS470" s="41">
        <v>1.0001</v>
      </c>
    </row>
    <row r="471" spans="28:71">
      <c r="AB471" s="514"/>
      <c r="AC471" s="514"/>
      <c r="AD471" s="514"/>
      <c r="AE471" s="514"/>
      <c r="AF471" s="514"/>
      <c r="AG471" s="514"/>
      <c r="AH471" s="514"/>
      <c r="AI471" s="514"/>
      <c r="AJ471" s="514"/>
      <c r="AK471" s="514"/>
      <c r="AL471" s="514"/>
      <c r="AM471" s="514"/>
      <c r="AN471" s="514"/>
      <c r="AO471" s="514"/>
      <c r="AP471" s="514"/>
      <c r="AQ471" s="514"/>
      <c r="AR471" s="514"/>
      <c r="AS471" s="514"/>
      <c r="AT471" s="514"/>
      <c r="AU471" s="514"/>
      <c r="AV471" s="514"/>
      <c r="AW471" s="514"/>
      <c r="AX471" s="514"/>
      <c r="AY471" s="514"/>
      <c r="AZ471" s="514"/>
      <c r="BA471" s="514"/>
      <c r="BB471" s="514"/>
      <c r="BC471" s="520"/>
      <c r="BD471" s="2482"/>
      <c r="BE471" s="30">
        <v>35.200000000000003</v>
      </c>
      <c r="BF471" s="31">
        <v>0.8488</v>
      </c>
      <c r="BG471" s="32">
        <v>848.4</v>
      </c>
      <c r="BH471" s="33"/>
      <c r="BI471" s="30">
        <v>35.200000000000003</v>
      </c>
      <c r="BJ471" s="34">
        <v>3.2059000000000002</v>
      </c>
      <c r="BK471" s="35">
        <v>0.13464999999999999</v>
      </c>
      <c r="BL471" s="33"/>
      <c r="BM471" s="37">
        <v>1002</v>
      </c>
      <c r="BN471" s="38">
        <v>1.0025999999999999</v>
      </c>
      <c r="BO471" s="39">
        <v>9.6300000000000008</v>
      </c>
      <c r="BP471" s="520"/>
      <c r="BQ471" s="40">
        <v>1002</v>
      </c>
      <c r="BR471" s="43">
        <v>1000.9</v>
      </c>
      <c r="BS471" s="41">
        <v>0.99909999999999999</v>
      </c>
    </row>
    <row r="472" spans="28:71">
      <c r="AB472" s="514"/>
      <c r="AC472" s="514"/>
      <c r="AD472" s="514"/>
      <c r="AE472" s="514"/>
      <c r="AF472" s="514"/>
      <c r="AG472" s="514"/>
      <c r="AH472" s="514"/>
      <c r="AI472" s="514"/>
      <c r="AJ472" s="514"/>
      <c r="AK472" s="514"/>
      <c r="AL472" s="514"/>
      <c r="AM472" s="514"/>
      <c r="AN472" s="514"/>
      <c r="AO472" s="514"/>
      <c r="AP472" s="514"/>
      <c r="AQ472" s="514"/>
      <c r="AR472" s="514"/>
      <c r="AS472" s="514"/>
      <c r="AT472" s="514"/>
      <c r="AU472" s="514"/>
      <c r="AV472" s="514"/>
      <c r="AW472" s="514"/>
      <c r="AX472" s="514"/>
      <c r="AY472" s="514"/>
      <c r="AZ472" s="514"/>
      <c r="BA472" s="514"/>
      <c r="BB472" s="514"/>
      <c r="BC472" s="520"/>
      <c r="BD472" s="2482"/>
      <c r="BE472" s="30">
        <v>35.299999999999997</v>
      </c>
      <c r="BF472" s="31">
        <v>0.84830000000000005</v>
      </c>
      <c r="BG472" s="32">
        <v>847.9</v>
      </c>
      <c r="BH472" s="33"/>
      <c r="BI472" s="30">
        <v>35.299999999999997</v>
      </c>
      <c r="BJ472" s="34">
        <v>3.2039</v>
      </c>
      <c r="BK472" s="35">
        <v>0.13457</v>
      </c>
      <c r="BL472" s="33"/>
      <c r="BM472" s="37">
        <v>1003</v>
      </c>
      <c r="BN472" s="38">
        <v>1.0036</v>
      </c>
      <c r="BO472" s="39">
        <v>9.49</v>
      </c>
      <c r="BP472" s="520"/>
      <c r="BQ472" s="40">
        <v>1003</v>
      </c>
      <c r="BR472" s="43">
        <v>1001.9</v>
      </c>
      <c r="BS472" s="41">
        <v>0.99809999999999999</v>
      </c>
    </row>
    <row r="473" spans="28:71">
      <c r="AB473" s="514"/>
      <c r="AC473" s="514"/>
      <c r="AD473" s="514"/>
      <c r="AE473" s="514"/>
      <c r="AF473" s="514"/>
      <c r="AG473" s="514"/>
      <c r="AH473" s="514"/>
      <c r="AI473" s="514"/>
      <c r="AJ473" s="514"/>
      <c r="AK473" s="514"/>
      <c r="AL473" s="514"/>
      <c r="AM473" s="514"/>
      <c r="AN473" s="514"/>
      <c r="AO473" s="514"/>
      <c r="AP473" s="514"/>
      <c r="AQ473" s="514"/>
      <c r="AR473" s="514"/>
      <c r="AS473" s="514"/>
      <c r="AT473" s="514"/>
      <c r="AU473" s="514"/>
      <c r="AV473" s="514"/>
      <c r="AW473" s="514"/>
      <c r="AX473" s="514"/>
      <c r="AY473" s="514"/>
      <c r="AZ473" s="514"/>
      <c r="BA473" s="514"/>
      <c r="BB473" s="514"/>
      <c r="BC473" s="520"/>
      <c r="BD473" s="2482"/>
      <c r="BE473" s="30">
        <v>35.4</v>
      </c>
      <c r="BF473" s="31">
        <v>0.8478</v>
      </c>
      <c r="BG473" s="32">
        <v>847.4</v>
      </c>
      <c r="BH473" s="33"/>
      <c r="BI473" s="30">
        <v>35.4</v>
      </c>
      <c r="BJ473" s="34">
        <v>3.202</v>
      </c>
      <c r="BK473" s="35">
        <v>0.13447999999999999</v>
      </c>
      <c r="BL473" s="33"/>
      <c r="BM473" s="37">
        <v>1004</v>
      </c>
      <c r="BN473" s="38">
        <v>1.0045999999999999</v>
      </c>
      <c r="BO473" s="39">
        <v>9.35</v>
      </c>
      <c r="BP473" s="520"/>
      <c r="BQ473" s="40">
        <v>1004</v>
      </c>
      <c r="BR473" s="43">
        <v>1002.9</v>
      </c>
      <c r="BS473" s="41">
        <v>0.99709999999999999</v>
      </c>
    </row>
    <row r="474" spans="28:71">
      <c r="AB474" s="514"/>
      <c r="AC474" s="514"/>
      <c r="AD474" s="514"/>
      <c r="AE474" s="514"/>
      <c r="AF474" s="514"/>
      <c r="AG474" s="514"/>
      <c r="AH474" s="514"/>
      <c r="AI474" s="514"/>
      <c r="AJ474" s="514"/>
      <c r="AK474" s="514"/>
      <c r="AL474" s="514"/>
      <c r="AM474" s="514"/>
      <c r="AN474" s="514"/>
      <c r="AO474" s="514"/>
      <c r="AP474" s="514"/>
      <c r="AQ474" s="514"/>
      <c r="AR474" s="514"/>
      <c r="AS474" s="514"/>
      <c r="AT474" s="514"/>
      <c r="AU474" s="514"/>
      <c r="AV474" s="514"/>
      <c r="AW474" s="514"/>
      <c r="AX474" s="514"/>
      <c r="AY474" s="514"/>
      <c r="AZ474" s="514"/>
      <c r="BA474" s="514"/>
      <c r="BB474" s="514"/>
      <c r="BC474" s="520"/>
      <c r="BD474" s="2482"/>
      <c r="BE474" s="30">
        <v>35.5</v>
      </c>
      <c r="BF474" s="31">
        <v>0.84730000000000005</v>
      </c>
      <c r="BG474" s="32">
        <v>846.9</v>
      </c>
      <c r="BH474" s="33"/>
      <c r="BI474" s="30">
        <v>35.5</v>
      </c>
      <c r="BJ474" s="34">
        <v>3.2000999999999999</v>
      </c>
      <c r="BK474" s="35">
        <v>0.13439999999999999</v>
      </c>
      <c r="BL474" s="33"/>
      <c r="BM474" s="37">
        <v>1005</v>
      </c>
      <c r="BN474" s="38">
        <v>1.0056</v>
      </c>
      <c r="BO474" s="39">
        <v>9.2100000000000009</v>
      </c>
      <c r="BP474" s="520"/>
      <c r="BQ474" s="40">
        <v>1005</v>
      </c>
      <c r="BR474" s="43">
        <v>1003.9</v>
      </c>
      <c r="BS474" s="41">
        <v>0.99609999999999999</v>
      </c>
    </row>
    <row r="475" spans="28:71">
      <c r="AB475" s="514"/>
      <c r="AC475" s="514"/>
      <c r="AD475" s="514"/>
      <c r="AE475" s="514"/>
      <c r="AF475" s="514"/>
      <c r="AG475" s="514"/>
      <c r="AH475" s="514"/>
      <c r="AI475" s="514"/>
      <c r="AJ475" s="514"/>
      <c r="AK475" s="514"/>
      <c r="AL475" s="514"/>
      <c r="AM475" s="514"/>
      <c r="AN475" s="514"/>
      <c r="AO475" s="514"/>
      <c r="AP475" s="514"/>
      <c r="AQ475" s="514"/>
      <c r="AR475" s="514"/>
      <c r="AS475" s="514"/>
      <c r="AT475" s="514"/>
      <c r="AU475" s="514"/>
      <c r="AV475" s="514"/>
      <c r="AW475" s="514"/>
      <c r="AX475" s="514"/>
      <c r="AY475" s="514"/>
      <c r="AZ475" s="514"/>
      <c r="BA475" s="514"/>
      <c r="BB475" s="514"/>
      <c r="BC475" s="520"/>
      <c r="BD475" s="2482"/>
      <c r="BE475" s="30">
        <v>35.6</v>
      </c>
      <c r="BF475" s="31">
        <v>0.8468</v>
      </c>
      <c r="BG475" s="32">
        <v>846.4</v>
      </c>
      <c r="BH475" s="33"/>
      <c r="BI475" s="30">
        <v>35.6</v>
      </c>
      <c r="BJ475" s="34">
        <v>3.1981999999999999</v>
      </c>
      <c r="BK475" s="35">
        <v>0.13431999999999999</v>
      </c>
      <c r="BL475" s="33"/>
      <c r="BM475" s="37">
        <v>1006</v>
      </c>
      <c r="BN475" s="38">
        <v>1.0065999999999999</v>
      </c>
      <c r="BO475" s="39">
        <v>9.07</v>
      </c>
      <c r="BP475" s="520"/>
      <c r="BQ475" s="40">
        <v>1006</v>
      </c>
      <c r="BR475" s="43">
        <v>1004.9</v>
      </c>
      <c r="BS475" s="41">
        <v>0.99509999999999998</v>
      </c>
    </row>
    <row r="476" spans="28:71">
      <c r="AB476" s="514"/>
      <c r="AC476" s="514"/>
      <c r="AD476" s="514"/>
      <c r="AE476" s="514"/>
      <c r="AF476" s="514"/>
      <c r="AG476" s="514"/>
      <c r="AH476" s="514"/>
      <c r="AI476" s="514"/>
      <c r="AJ476" s="514"/>
      <c r="AK476" s="514"/>
      <c r="AL476" s="514"/>
      <c r="AM476" s="514"/>
      <c r="AN476" s="514"/>
      <c r="AO476" s="514"/>
      <c r="AP476" s="514"/>
      <c r="AQ476" s="514"/>
      <c r="AR476" s="514"/>
      <c r="AS476" s="514"/>
      <c r="AT476" s="514"/>
      <c r="AU476" s="514"/>
      <c r="AV476" s="514"/>
      <c r="AW476" s="514"/>
      <c r="AX476" s="514"/>
      <c r="AY476" s="514"/>
      <c r="AZ476" s="514"/>
      <c r="BA476" s="514"/>
      <c r="BB476" s="514"/>
      <c r="BC476" s="520"/>
      <c r="BD476" s="2482"/>
      <c r="BE476" s="30">
        <v>35.700000000000003</v>
      </c>
      <c r="BF476" s="31">
        <v>0.84630000000000005</v>
      </c>
      <c r="BG476" s="32">
        <v>845.8</v>
      </c>
      <c r="BH476" s="33"/>
      <c r="BI476" s="30">
        <v>35.700000000000003</v>
      </c>
      <c r="BJ476" s="34">
        <v>3.1962999999999999</v>
      </c>
      <c r="BK476" s="35">
        <v>0.13424</v>
      </c>
      <c r="BL476" s="33"/>
      <c r="BM476" s="37">
        <v>1007</v>
      </c>
      <c r="BN476" s="38">
        <v>1.0076000000000001</v>
      </c>
      <c r="BO476" s="39">
        <v>8.93</v>
      </c>
      <c r="BP476" s="520"/>
      <c r="BQ476" s="40">
        <v>1007</v>
      </c>
      <c r="BR476" s="43">
        <v>1005.9</v>
      </c>
      <c r="BS476" s="41">
        <v>0.99409999999999998</v>
      </c>
    </row>
    <row r="477" spans="28:71">
      <c r="AB477" s="514"/>
      <c r="AC477" s="514"/>
      <c r="AD477" s="514"/>
      <c r="AE477" s="514"/>
      <c r="AF477" s="514"/>
      <c r="AG477" s="514"/>
      <c r="AH477" s="514"/>
      <c r="AI477" s="514"/>
      <c r="AJ477" s="514"/>
      <c r="AK477" s="514"/>
      <c r="AL477" s="514"/>
      <c r="AM477" s="514"/>
      <c r="AN477" s="514"/>
      <c r="AO477" s="514"/>
      <c r="AP477" s="514"/>
      <c r="AQ477" s="514"/>
      <c r="AR477" s="514"/>
      <c r="AS477" s="514"/>
      <c r="AT477" s="514"/>
      <c r="AU477" s="514"/>
      <c r="AV477" s="514"/>
      <c r="AW477" s="514"/>
      <c r="AX477" s="514"/>
      <c r="AY477" s="514"/>
      <c r="AZ477" s="514"/>
      <c r="BA477" s="514"/>
      <c r="BB477" s="514"/>
      <c r="BC477" s="520"/>
      <c r="BD477" s="2482"/>
      <c r="BE477" s="30">
        <v>35.799999999999997</v>
      </c>
      <c r="BF477" s="31">
        <v>0.8458</v>
      </c>
      <c r="BG477" s="32">
        <v>845.3</v>
      </c>
      <c r="BH477" s="33"/>
      <c r="BI477" s="30">
        <v>35.799999999999997</v>
      </c>
      <c r="BJ477" s="34">
        <v>3.1943000000000001</v>
      </c>
      <c r="BK477" s="35">
        <v>0.13416</v>
      </c>
      <c r="BL477" s="33"/>
      <c r="BM477" s="37">
        <v>1008</v>
      </c>
      <c r="BN477" s="38">
        <v>1.0085999999999999</v>
      </c>
      <c r="BO477" s="39">
        <v>8.7899999999999991</v>
      </c>
      <c r="BP477" s="520"/>
      <c r="BQ477" s="40">
        <v>1008</v>
      </c>
      <c r="BR477" s="43">
        <v>1006.9</v>
      </c>
      <c r="BS477" s="41">
        <v>0.99309999999999998</v>
      </c>
    </row>
    <row r="478" spans="28:71">
      <c r="AB478" s="514"/>
      <c r="AC478" s="514"/>
      <c r="AD478" s="514"/>
      <c r="AE478" s="514"/>
      <c r="AF478" s="514"/>
      <c r="AG478" s="514"/>
      <c r="AH478" s="514"/>
      <c r="AI478" s="514"/>
      <c r="AJ478" s="514"/>
      <c r="AK478" s="514"/>
      <c r="AL478" s="514"/>
      <c r="AM478" s="514"/>
      <c r="AN478" s="514"/>
      <c r="AO478" s="514"/>
      <c r="AP478" s="514"/>
      <c r="AQ478" s="514"/>
      <c r="AR478" s="514"/>
      <c r="AS478" s="514"/>
      <c r="AT478" s="514"/>
      <c r="AU478" s="514"/>
      <c r="AV478" s="514"/>
      <c r="AW478" s="514"/>
      <c r="AX478" s="514"/>
      <c r="AY478" s="514"/>
      <c r="AZ478" s="514"/>
      <c r="BA478" s="514"/>
      <c r="BB478" s="514"/>
      <c r="BC478" s="520"/>
      <c r="BD478" s="2482"/>
      <c r="BE478" s="30">
        <v>35.9</v>
      </c>
      <c r="BF478" s="31">
        <v>0.84530000000000005</v>
      </c>
      <c r="BG478" s="32">
        <v>844.8</v>
      </c>
      <c r="BH478" s="33"/>
      <c r="BI478" s="30">
        <v>35.9</v>
      </c>
      <c r="BJ478" s="34">
        <v>3.1924000000000001</v>
      </c>
      <c r="BK478" s="35">
        <v>0.13408</v>
      </c>
      <c r="BL478" s="33"/>
      <c r="BM478" s="37">
        <v>1009</v>
      </c>
      <c r="BN478" s="38">
        <v>1.0096000000000001</v>
      </c>
      <c r="BO478" s="39">
        <v>8.65</v>
      </c>
      <c r="BP478" s="520"/>
      <c r="BQ478" s="40">
        <v>1009</v>
      </c>
      <c r="BR478" s="43">
        <v>1007.9</v>
      </c>
      <c r="BS478" s="41">
        <v>0.99209999999999998</v>
      </c>
    </row>
    <row r="479" spans="28:71">
      <c r="AB479" s="514"/>
      <c r="AC479" s="514"/>
      <c r="AD479" s="514"/>
      <c r="AE479" s="514"/>
      <c r="AF479" s="514"/>
      <c r="AG479" s="514"/>
      <c r="AH479" s="514"/>
      <c r="AI479" s="514"/>
      <c r="AJ479" s="514"/>
      <c r="AK479" s="514"/>
      <c r="AL479" s="514"/>
      <c r="AM479" s="514"/>
      <c r="AN479" s="514"/>
      <c r="AO479" s="514"/>
      <c r="AP479" s="514"/>
      <c r="AQ479" s="514"/>
      <c r="AR479" s="514"/>
      <c r="AS479" s="514"/>
      <c r="AT479" s="514"/>
      <c r="AU479" s="514"/>
      <c r="AV479" s="514"/>
      <c r="AW479" s="514"/>
      <c r="AX479" s="514"/>
      <c r="AY479" s="514"/>
      <c r="AZ479" s="514"/>
      <c r="BA479" s="514"/>
      <c r="BB479" s="514"/>
      <c r="BC479" s="520"/>
      <c r="BD479" s="2482"/>
      <c r="BE479" s="30">
        <v>36</v>
      </c>
      <c r="BF479" s="31">
        <v>0.8448</v>
      </c>
      <c r="BG479" s="32">
        <v>844.3</v>
      </c>
      <c r="BH479" s="33"/>
      <c r="BI479" s="30">
        <v>36</v>
      </c>
      <c r="BJ479" s="34">
        <v>3.1905000000000001</v>
      </c>
      <c r="BK479" s="35">
        <v>0.13400000000000001</v>
      </c>
      <c r="BL479" s="33"/>
      <c r="BM479" s="37">
        <v>1010</v>
      </c>
      <c r="BN479" s="38">
        <v>1.0105999999999999</v>
      </c>
      <c r="BO479" s="39">
        <v>8.51</v>
      </c>
      <c r="BP479" s="520"/>
      <c r="BQ479" s="40">
        <v>1010</v>
      </c>
      <c r="BR479" s="43">
        <v>1008.9</v>
      </c>
      <c r="BS479" s="41">
        <v>0.99109999999999998</v>
      </c>
    </row>
    <row r="480" spans="28:71">
      <c r="AB480" s="514"/>
      <c r="AC480" s="514"/>
      <c r="AD480" s="514"/>
      <c r="AE480" s="514"/>
      <c r="AF480" s="514"/>
      <c r="AG480" s="514"/>
      <c r="AH480" s="514"/>
      <c r="AI480" s="514"/>
      <c r="AJ480" s="514"/>
      <c r="AK480" s="514"/>
      <c r="AL480" s="514"/>
      <c r="AM480" s="514"/>
      <c r="AN480" s="514"/>
      <c r="AO480" s="514"/>
      <c r="AP480" s="514"/>
      <c r="AQ480" s="514"/>
      <c r="AR480" s="514"/>
      <c r="AS480" s="514"/>
      <c r="AT480" s="514"/>
      <c r="AU480" s="514"/>
      <c r="AV480" s="514"/>
      <c r="AW480" s="514"/>
      <c r="AX480" s="514"/>
      <c r="AY480" s="514"/>
      <c r="AZ480" s="514"/>
      <c r="BA480" s="514"/>
      <c r="BB480" s="514"/>
      <c r="BC480" s="520"/>
      <c r="BD480" s="2482"/>
      <c r="BE480" s="30">
        <v>36.1</v>
      </c>
      <c r="BF480" s="31">
        <v>0.84430000000000005</v>
      </c>
      <c r="BG480" s="32">
        <v>843.8</v>
      </c>
      <c r="BH480" s="33"/>
      <c r="BI480" s="30">
        <v>36.1</v>
      </c>
      <c r="BJ480" s="34">
        <v>3.1886000000000001</v>
      </c>
      <c r="BK480" s="35">
        <v>0.13392000000000001</v>
      </c>
      <c r="BL480" s="33"/>
      <c r="BM480" s="37">
        <v>1011</v>
      </c>
      <c r="BN480" s="38">
        <v>1.0116000000000001</v>
      </c>
      <c r="BO480" s="39">
        <v>8.3699999999999992</v>
      </c>
      <c r="BP480" s="520"/>
      <c r="BQ480" s="40">
        <v>1011</v>
      </c>
      <c r="BR480" s="43">
        <v>1009.9</v>
      </c>
      <c r="BS480" s="41">
        <v>0.99019999999999997</v>
      </c>
    </row>
    <row r="481" spans="28:71">
      <c r="AB481" s="514"/>
      <c r="AC481" s="514"/>
      <c r="AD481" s="514"/>
      <c r="AE481" s="514"/>
      <c r="AF481" s="514"/>
      <c r="AG481" s="514"/>
      <c r="AH481" s="514"/>
      <c r="AI481" s="514"/>
      <c r="AJ481" s="514"/>
      <c r="AK481" s="514"/>
      <c r="AL481" s="514"/>
      <c r="AM481" s="514"/>
      <c r="AN481" s="514"/>
      <c r="AO481" s="514"/>
      <c r="AP481" s="514"/>
      <c r="AQ481" s="514"/>
      <c r="AR481" s="514"/>
      <c r="AS481" s="514"/>
      <c r="AT481" s="514"/>
      <c r="AU481" s="514"/>
      <c r="AV481" s="514"/>
      <c r="AW481" s="514"/>
      <c r="AX481" s="514"/>
      <c r="AY481" s="514"/>
      <c r="AZ481" s="514"/>
      <c r="BA481" s="514"/>
      <c r="BB481" s="514"/>
      <c r="BC481" s="520"/>
      <c r="BD481" s="2482"/>
      <c r="BE481" s="30">
        <v>36.200000000000003</v>
      </c>
      <c r="BF481" s="31">
        <v>0.84379999999999999</v>
      </c>
      <c r="BG481" s="32">
        <v>843.3</v>
      </c>
      <c r="BH481" s="33"/>
      <c r="BI481" s="30">
        <v>36.200000000000003</v>
      </c>
      <c r="BJ481" s="34">
        <v>3.1867000000000001</v>
      </c>
      <c r="BK481" s="35">
        <v>0.13383999999999999</v>
      </c>
      <c r="BL481" s="33"/>
      <c r="BM481" s="37">
        <v>1012</v>
      </c>
      <c r="BN481" s="38">
        <v>1.0125999999999999</v>
      </c>
      <c r="BO481" s="39">
        <v>8.24</v>
      </c>
      <c r="BP481" s="520"/>
      <c r="BQ481" s="40">
        <v>1012</v>
      </c>
      <c r="BR481" s="43">
        <v>1010.9</v>
      </c>
      <c r="BS481" s="41">
        <v>0.98919999999999997</v>
      </c>
    </row>
    <row r="482" spans="28:71">
      <c r="AB482" s="514"/>
      <c r="AC482" s="514"/>
      <c r="AD482" s="514"/>
      <c r="AE482" s="514"/>
      <c r="AF482" s="514"/>
      <c r="AG482" s="514"/>
      <c r="AH482" s="514"/>
      <c r="AI482" s="514"/>
      <c r="AJ482" s="514"/>
      <c r="AK482" s="514"/>
      <c r="AL482" s="514"/>
      <c r="AM482" s="514"/>
      <c r="AN482" s="514"/>
      <c r="AO482" s="514"/>
      <c r="AP482" s="514"/>
      <c r="AQ482" s="514"/>
      <c r="AR482" s="514"/>
      <c r="AS482" s="514"/>
      <c r="AT482" s="514"/>
      <c r="AU482" s="514"/>
      <c r="AV482" s="514"/>
      <c r="AW482" s="514"/>
      <c r="AX482" s="514"/>
      <c r="AY482" s="514"/>
      <c r="AZ482" s="514"/>
      <c r="BA482" s="514"/>
      <c r="BB482" s="514"/>
      <c r="BC482" s="520"/>
      <c r="BD482" s="2482"/>
      <c r="BE482" s="30">
        <v>36.299999999999997</v>
      </c>
      <c r="BF482" s="31">
        <v>0.84330000000000005</v>
      </c>
      <c r="BG482" s="32">
        <v>842.8</v>
      </c>
      <c r="BH482" s="33"/>
      <c r="BI482" s="30">
        <v>36.299999999999997</v>
      </c>
      <c r="BJ482" s="34">
        <v>3.1848000000000001</v>
      </c>
      <c r="BK482" s="35">
        <v>0.13375999999999999</v>
      </c>
      <c r="BL482" s="33"/>
      <c r="BM482" s="37">
        <v>1013</v>
      </c>
      <c r="BN482" s="38">
        <v>1.0136000000000001</v>
      </c>
      <c r="BO482" s="39">
        <v>8.1</v>
      </c>
      <c r="BP482" s="520"/>
      <c r="BQ482" s="40">
        <v>1013</v>
      </c>
      <c r="BR482" s="43">
        <v>1011.9</v>
      </c>
      <c r="BS482" s="41">
        <v>0.98819999999999997</v>
      </c>
    </row>
    <row r="483" spans="28:71">
      <c r="AB483" s="514"/>
      <c r="AC483" s="514"/>
      <c r="AD483" s="514"/>
      <c r="AE483" s="514"/>
      <c r="AF483" s="514"/>
      <c r="AG483" s="514"/>
      <c r="AH483" s="514"/>
      <c r="AI483" s="514"/>
      <c r="AJ483" s="514"/>
      <c r="AK483" s="514"/>
      <c r="AL483" s="514"/>
      <c r="AM483" s="514"/>
      <c r="AN483" s="514"/>
      <c r="AO483" s="514"/>
      <c r="AP483" s="514"/>
      <c r="AQ483" s="514"/>
      <c r="AR483" s="514"/>
      <c r="AS483" s="514"/>
      <c r="AT483" s="514"/>
      <c r="AU483" s="514"/>
      <c r="AV483" s="514"/>
      <c r="AW483" s="514"/>
      <c r="AX483" s="514"/>
      <c r="AY483" s="514"/>
      <c r="AZ483" s="514"/>
      <c r="BA483" s="514"/>
      <c r="BB483" s="514"/>
      <c r="BC483" s="520"/>
      <c r="BD483" s="2482"/>
      <c r="BE483" s="30">
        <v>36.4</v>
      </c>
      <c r="BF483" s="31">
        <v>0.84279999999999999</v>
      </c>
      <c r="BG483" s="32">
        <v>842.3</v>
      </c>
      <c r="BH483" s="33"/>
      <c r="BI483" s="30">
        <v>36.4</v>
      </c>
      <c r="BJ483" s="34">
        <v>3.1829000000000001</v>
      </c>
      <c r="BK483" s="35">
        <v>0.13367999999999999</v>
      </c>
      <c r="BL483" s="33"/>
      <c r="BM483" s="37">
        <v>1014</v>
      </c>
      <c r="BN483" s="38">
        <v>1.0145999999999999</v>
      </c>
      <c r="BO483" s="39">
        <v>7.96</v>
      </c>
      <c r="BP483" s="520"/>
      <c r="BQ483" s="40">
        <v>1014</v>
      </c>
      <c r="BR483" s="43">
        <v>1012.9</v>
      </c>
      <c r="BS483" s="41">
        <v>0.98719999999999997</v>
      </c>
    </row>
    <row r="484" spans="28:71">
      <c r="AB484" s="514"/>
      <c r="AC484" s="514"/>
      <c r="AD484" s="514"/>
      <c r="AE484" s="514"/>
      <c r="AF484" s="514"/>
      <c r="AG484" s="514"/>
      <c r="AH484" s="514"/>
      <c r="AI484" s="514"/>
      <c r="AJ484" s="514"/>
      <c r="AK484" s="514"/>
      <c r="AL484" s="514"/>
      <c r="AM484" s="514"/>
      <c r="AN484" s="514"/>
      <c r="AO484" s="514"/>
      <c r="AP484" s="514"/>
      <c r="AQ484" s="514"/>
      <c r="AR484" s="514"/>
      <c r="AS484" s="514"/>
      <c r="AT484" s="514"/>
      <c r="AU484" s="514"/>
      <c r="AV484" s="514"/>
      <c r="AW484" s="514"/>
      <c r="AX484" s="514"/>
      <c r="AY484" s="514"/>
      <c r="AZ484" s="514"/>
      <c r="BA484" s="514"/>
      <c r="BB484" s="514"/>
      <c r="BC484" s="520"/>
      <c r="BD484" s="2482"/>
      <c r="BE484" s="30">
        <v>36.5</v>
      </c>
      <c r="BF484" s="31">
        <v>0.84230000000000005</v>
      </c>
      <c r="BG484" s="32">
        <v>841.8</v>
      </c>
      <c r="BH484" s="33"/>
      <c r="BI484" s="30">
        <v>36.5</v>
      </c>
      <c r="BJ484" s="34">
        <v>3.181</v>
      </c>
      <c r="BK484" s="35">
        <v>0.1336</v>
      </c>
      <c r="BL484" s="33"/>
      <c r="BM484" s="37">
        <v>1015</v>
      </c>
      <c r="BN484" s="38">
        <v>1.0156000000000001</v>
      </c>
      <c r="BO484" s="39">
        <v>7.82</v>
      </c>
      <c r="BP484" s="520"/>
      <c r="BQ484" s="40">
        <v>1015</v>
      </c>
      <c r="BR484" s="43">
        <v>1013.9</v>
      </c>
      <c r="BS484" s="41">
        <v>0.98629999999999995</v>
      </c>
    </row>
    <row r="485" spans="28:71">
      <c r="AB485" s="514"/>
      <c r="AC485" s="514"/>
      <c r="AD485" s="514"/>
      <c r="AE485" s="514"/>
      <c r="AF485" s="514"/>
      <c r="AG485" s="514"/>
      <c r="AH485" s="514"/>
      <c r="AI485" s="514"/>
      <c r="AJ485" s="514"/>
      <c r="AK485" s="514"/>
      <c r="AL485" s="514"/>
      <c r="AM485" s="514"/>
      <c r="AN485" s="514"/>
      <c r="AO485" s="514"/>
      <c r="AP485" s="514"/>
      <c r="AQ485" s="514"/>
      <c r="AR485" s="514"/>
      <c r="AS485" s="514"/>
      <c r="AT485" s="514"/>
      <c r="AU485" s="514"/>
      <c r="AV485" s="514"/>
      <c r="AW485" s="514"/>
      <c r="AX485" s="514"/>
      <c r="AY485" s="514"/>
      <c r="AZ485" s="514"/>
      <c r="BA485" s="514"/>
      <c r="BB485" s="514"/>
      <c r="BC485" s="520"/>
      <c r="BD485" s="2482"/>
      <c r="BE485" s="30">
        <v>36.6</v>
      </c>
      <c r="BF485" s="31">
        <v>0.84179999999999999</v>
      </c>
      <c r="BG485" s="32">
        <v>841.3</v>
      </c>
      <c r="BH485" s="33"/>
      <c r="BI485" s="30">
        <v>36.6</v>
      </c>
      <c r="BJ485" s="34">
        <v>3.1791</v>
      </c>
      <c r="BK485" s="35">
        <v>0.13352</v>
      </c>
      <c r="BL485" s="33"/>
      <c r="BM485" s="37">
        <v>1016</v>
      </c>
      <c r="BN485" s="38">
        <v>1.0165999999999999</v>
      </c>
      <c r="BO485" s="39">
        <v>7.69</v>
      </c>
      <c r="BP485" s="520"/>
      <c r="BQ485" s="40">
        <v>1016</v>
      </c>
      <c r="BR485" s="43">
        <v>1014.9</v>
      </c>
      <c r="BS485" s="41">
        <v>0.98529999999999995</v>
      </c>
    </row>
    <row r="486" spans="28:71">
      <c r="AB486" s="514"/>
      <c r="AC486" s="514"/>
      <c r="AD486" s="514"/>
      <c r="AE486" s="514"/>
      <c r="AF486" s="514"/>
      <c r="AG486" s="514"/>
      <c r="AH486" s="514"/>
      <c r="AI486" s="514"/>
      <c r="AJ486" s="514"/>
      <c r="AK486" s="514"/>
      <c r="AL486" s="514"/>
      <c r="AM486" s="514"/>
      <c r="AN486" s="514"/>
      <c r="AO486" s="514"/>
      <c r="AP486" s="514"/>
      <c r="AQ486" s="514"/>
      <c r="AR486" s="514"/>
      <c r="AS486" s="514"/>
      <c r="AT486" s="514"/>
      <c r="AU486" s="514"/>
      <c r="AV486" s="514"/>
      <c r="AW486" s="514"/>
      <c r="AX486" s="514"/>
      <c r="AY486" s="514"/>
      <c r="AZ486" s="514"/>
      <c r="BA486" s="514"/>
      <c r="BB486" s="514"/>
      <c r="BC486" s="520"/>
      <c r="BD486" s="2482"/>
      <c r="BE486" s="30">
        <v>36.700000000000003</v>
      </c>
      <c r="BF486" s="31">
        <v>0.84130000000000005</v>
      </c>
      <c r="BG486" s="32">
        <v>840.8</v>
      </c>
      <c r="BH486" s="33"/>
      <c r="BI486" s="30">
        <v>36.700000000000003</v>
      </c>
      <c r="BJ486" s="34">
        <v>3.1772</v>
      </c>
      <c r="BK486" s="35">
        <v>0.13344</v>
      </c>
      <c r="BL486" s="33"/>
      <c r="BM486" s="37">
        <v>1017</v>
      </c>
      <c r="BN486" s="38">
        <v>1.0176000000000001</v>
      </c>
      <c r="BO486" s="39">
        <v>7.55</v>
      </c>
      <c r="BP486" s="520"/>
      <c r="BQ486" s="40">
        <v>1017</v>
      </c>
      <c r="BR486" s="43">
        <v>1015.9</v>
      </c>
      <c r="BS486" s="41">
        <v>0.98429999999999995</v>
      </c>
    </row>
    <row r="487" spans="28:71">
      <c r="AB487" s="514"/>
      <c r="AC487" s="514"/>
      <c r="AD487" s="514"/>
      <c r="AE487" s="514"/>
      <c r="AF487" s="514"/>
      <c r="AG487" s="514"/>
      <c r="AH487" s="514"/>
      <c r="AI487" s="514"/>
      <c r="AJ487" s="514"/>
      <c r="AK487" s="514"/>
      <c r="AL487" s="514"/>
      <c r="AM487" s="514"/>
      <c r="AN487" s="514"/>
      <c r="AO487" s="514"/>
      <c r="AP487" s="514"/>
      <c r="AQ487" s="514"/>
      <c r="AR487" s="514"/>
      <c r="AS487" s="514"/>
      <c r="AT487" s="514"/>
      <c r="AU487" s="514"/>
      <c r="AV487" s="514"/>
      <c r="AW487" s="514"/>
      <c r="AX487" s="514"/>
      <c r="AY487" s="514"/>
      <c r="AZ487" s="514"/>
      <c r="BA487" s="514"/>
      <c r="BB487" s="514"/>
      <c r="BC487" s="520"/>
      <c r="BD487" s="2482"/>
      <c r="BE487" s="30">
        <v>36.799999999999997</v>
      </c>
      <c r="BF487" s="31">
        <v>0.84079999999999999</v>
      </c>
      <c r="BG487" s="32">
        <v>840.3</v>
      </c>
      <c r="BH487" s="33"/>
      <c r="BI487" s="30">
        <v>36.799999999999997</v>
      </c>
      <c r="BJ487" s="34">
        <v>3.1753</v>
      </c>
      <c r="BK487" s="35">
        <v>0.13336000000000001</v>
      </c>
      <c r="BL487" s="33"/>
      <c r="BM487" s="37">
        <v>1018</v>
      </c>
      <c r="BN487" s="38">
        <v>1.0185999999999999</v>
      </c>
      <c r="BO487" s="39">
        <v>7.41</v>
      </c>
      <c r="BP487" s="520"/>
      <c r="BQ487" s="40">
        <v>1018</v>
      </c>
      <c r="BR487" s="43">
        <v>1016.9</v>
      </c>
      <c r="BS487" s="41">
        <v>0.98329999999999995</v>
      </c>
    </row>
    <row r="488" spans="28:71">
      <c r="AB488" s="514"/>
      <c r="AC488" s="514"/>
      <c r="AD488" s="514"/>
      <c r="AE488" s="514"/>
      <c r="AF488" s="514"/>
      <c r="AG488" s="514"/>
      <c r="AH488" s="514"/>
      <c r="AI488" s="514"/>
      <c r="AJ488" s="514"/>
      <c r="AK488" s="514"/>
      <c r="AL488" s="514"/>
      <c r="AM488" s="514"/>
      <c r="AN488" s="514"/>
      <c r="AO488" s="514"/>
      <c r="AP488" s="514"/>
      <c r="AQ488" s="514"/>
      <c r="AR488" s="514"/>
      <c r="AS488" s="514"/>
      <c r="AT488" s="514"/>
      <c r="AU488" s="514"/>
      <c r="AV488" s="514"/>
      <c r="AW488" s="514"/>
      <c r="AX488" s="514"/>
      <c r="AY488" s="514"/>
      <c r="AZ488" s="514"/>
      <c r="BA488" s="514"/>
      <c r="BB488" s="514"/>
      <c r="BC488" s="520"/>
      <c r="BD488" s="2482"/>
      <c r="BE488" s="30">
        <v>36.9</v>
      </c>
      <c r="BF488" s="31">
        <v>0.84030000000000005</v>
      </c>
      <c r="BG488" s="32">
        <v>839.8</v>
      </c>
      <c r="BH488" s="33"/>
      <c r="BI488" s="30">
        <v>36.9</v>
      </c>
      <c r="BJ488" s="34">
        <v>3.1734</v>
      </c>
      <c r="BK488" s="35">
        <v>0.13328000000000001</v>
      </c>
      <c r="BL488" s="33"/>
      <c r="BM488" s="37">
        <v>1019</v>
      </c>
      <c r="BN488" s="38">
        <v>1.0196000000000001</v>
      </c>
      <c r="BO488" s="39">
        <v>7.28</v>
      </c>
      <c r="BP488" s="520"/>
      <c r="BQ488" s="40">
        <v>1019</v>
      </c>
      <c r="BR488" s="43">
        <v>1017.9</v>
      </c>
      <c r="BS488" s="41">
        <v>0.98240000000000005</v>
      </c>
    </row>
    <row r="489" spans="28:71">
      <c r="AB489" s="514"/>
      <c r="AC489" s="514"/>
      <c r="AD489" s="514"/>
      <c r="AE489" s="514"/>
      <c r="AF489" s="514"/>
      <c r="AG489" s="514"/>
      <c r="AH489" s="514"/>
      <c r="AI489" s="514"/>
      <c r="AJ489" s="514"/>
      <c r="AK489" s="514"/>
      <c r="AL489" s="514"/>
      <c r="AM489" s="514"/>
      <c r="AN489" s="514"/>
      <c r="AO489" s="514"/>
      <c r="AP489" s="514"/>
      <c r="AQ489" s="514"/>
      <c r="AR489" s="514"/>
      <c r="AS489" s="514"/>
      <c r="AT489" s="514"/>
      <c r="AU489" s="514"/>
      <c r="AV489" s="514"/>
      <c r="AW489" s="514"/>
      <c r="AX489" s="514"/>
      <c r="AY489" s="514"/>
      <c r="AZ489" s="514"/>
      <c r="BA489" s="514"/>
      <c r="BB489" s="514"/>
      <c r="BC489" s="520"/>
      <c r="BD489" s="2482"/>
      <c r="BE489" s="30">
        <v>37</v>
      </c>
      <c r="BF489" s="31">
        <v>0.83979999999999999</v>
      </c>
      <c r="BG489" s="32">
        <v>839.3</v>
      </c>
      <c r="BH489" s="33"/>
      <c r="BI489" s="30">
        <v>37</v>
      </c>
      <c r="BJ489" s="34">
        <v>3.1716000000000002</v>
      </c>
      <c r="BK489" s="35">
        <v>0.13321</v>
      </c>
      <c r="BL489" s="33"/>
      <c r="BM489" s="37">
        <v>1020</v>
      </c>
      <c r="BN489" s="38">
        <v>1.0206</v>
      </c>
      <c r="BO489" s="39">
        <v>7.14</v>
      </c>
      <c r="BP489" s="520"/>
      <c r="BQ489" s="40">
        <v>1020</v>
      </c>
      <c r="BR489" s="43">
        <v>1018.9</v>
      </c>
      <c r="BS489" s="41">
        <v>0.98140000000000005</v>
      </c>
    </row>
    <row r="490" spans="28:71">
      <c r="AB490" s="514"/>
      <c r="AC490" s="514"/>
      <c r="AD490" s="514"/>
      <c r="AE490" s="514"/>
      <c r="AF490" s="514"/>
      <c r="AG490" s="514"/>
      <c r="AH490" s="514"/>
      <c r="AI490" s="514"/>
      <c r="AJ490" s="514"/>
      <c r="AK490" s="514"/>
      <c r="AL490" s="514"/>
      <c r="AM490" s="514"/>
      <c r="AN490" s="514"/>
      <c r="AO490" s="514"/>
      <c r="AP490" s="514"/>
      <c r="AQ490" s="514"/>
      <c r="AR490" s="514"/>
      <c r="AS490" s="514"/>
      <c r="AT490" s="514"/>
      <c r="AU490" s="514"/>
      <c r="AV490" s="514"/>
      <c r="AW490" s="514"/>
      <c r="AX490" s="514"/>
      <c r="AY490" s="514"/>
      <c r="AZ490" s="514"/>
      <c r="BA490" s="514"/>
      <c r="BB490" s="514"/>
      <c r="BC490" s="520"/>
      <c r="BD490" s="2482"/>
      <c r="BE490" s="30">
        <v>37.1</v>
      </c>
      <c r="BF490" s="31">
        <v>0.83930000000000005</v>
      </c>
      <c r="BG490" s="32">
        <v>838.8</v>
      </c>
      <c r="BH490" s="33"/>
      <c r="BI490" s="30">
        <v>37.1</v>
      </c>
      <c r="BJ490" s="34">
        <v>3.1697000000000002</v>
      </c>
      <c r="BK490" s="35">
        <v>0.13313</v>
      </c>
      <c r="BL490" s="33"/>
      <c r="BM490" s="37">
        <v>1021</v>
      </c>
      <c r="BN490" s="38">
        <v>1.0216000000000001</v>
      </c>
      <c r="BO490" s="39">
        <v>7</v>
      </c>
      <c r="BP490" s="520"/>
      <c r="BQ490" s="40">
        <v>1021</v>
      </c>
      <c r="BR490" s="43">
        <v>1019.9</v>
      </c>
      <c r="BS490" s="41">
        <v>0.98050000000000004</v>
      </c>
    </row>
    <row r="491" spans="28:71">
      <c r="AB491" s="514"/>
      <c r="AC491" s="514"/>
      <c r="AD491" s="514"/>
      <c r="AE491" s="514"/>
      <c r="AF491" s="514"/>
      <c r="AG491" s="514"/>
      <c r="AH491" s="514"/>
      <c r="AI491" s="514"/>
      <c r="AJ491" s="514"/>
      <c r="AK491" s="514"/>
      <c r="AL491" s="514"/>
      <c r="AM491" s="514"/>
      <c r="AN491" s="514"/>
      <c r="AO491" s="514"/>
      <c r="AP491" s="514"/>
      <c r="AQ491" s="514"/>
      <c r="AR491" s="514"/>
      <c r="AS491" s="514"/>
      <c r="AT491" s="514"/>
      <c r="AU491" s="514"/>
      <c r="AV491" s="514"/>
      <c r="AW491" s="514"/>
      <c r="AX491" s="514"/>
      <c r="AY491" s="514"/>
      <c r="AZ491" s="514"/>
      <c r="BA491" s="514"/>
      <c r="BB491" s="514"/>
      <c r="BC491" s="520"/>
      <c r="BD491" s="2482"/>
      <c r="BE491" s="30">
        <v>37.200000000000003</v>
      </c>
      <c r="BF491" s="31">
        <v>0.83879999999999999</v>
      </c>
      <c r="BG491" s="32">
        <v>838.3</v>
      </c>
      <c r="BH491" s="33"/>
      <c r="BI491" s="30">
        <v>37.200000000000003</v>
      </c>
      <c r="BJ491" s="34">
        <v>3.1678000000000002</v>
      </c>
      <c r="BK491" s="35">
        <v>0.13305</v>
      </c>
      <c r="BL491" s="33"/>
      <c r="BM491" s="37">
        <v>1022</v>
      </c>
      <c r="BN491" s="38">
        <v>1.0226</v>
      </c>
      <c r="BO491" s="39">
        <v>6.87</v>
      </c>
      <c r="BP491" s="520"/>
      <c r="BQ491" s="40">
        <v>1022</v>
      </c>
      <c r="BR491" s="43">
        <v>1020.9</v>
      </c>
      <c r="BS491" s="41">
        <v>0.97950000000000004</v>
      </c>
    </row>
    <row r="492" spans="28:71">
      <c r="AB492" s="514"/>
      <c r="AC492" s="514"/>
      <c r="AD492" s="514"/>
      <c r="AE492" s="514"/>
      <c r="AF492" s="514"/>
      <c r="AG492" s="514"/>
      <c r="AH492" s="514"/>
      <c r="AI492" s="514"/>
      <c r="AJ492" s="514"/>
      <c r="AK492" s="514"/>
      <c r="AL492" s="514"/>
      <c r="AM492" s="514"/>
      <c r="AN492" s="514"/>
      <c r="AO492" s="514"/>
      <c r="AP492" s="514"/>
      <c r="AQ492" s="514"/>
      <c r="AR492" s="514"/>
      <c r="AS492" s="514"/>
      <c r="AT492" s="514"/>
      <c r="AU492" s="514"/>
      <c r="AV492" s="514"/>
      <c r="AW492" s="514"/>
      <c r="AX492" s="514"/>
      <c r="AY492" s="514"/>
      <c r="AZ492" s="514"/>
      <c r="BA492" s="514"/>
      <c r="BB492" s="514"/>
      <c r="BC492" s="520"/>
      <c r="BD492" s="2482"/>
      <c r="BE492" s="30">
        <v>37.299999999999997</v>
      </c>
      <c r="BF492" s="31">
        <v>0.83830000000000005</v>
      </c>
      <c r="BG492" s="32">
        <v>837.8</v>
      </c>
      <c r="BH492" s="33"/>
      <c r="BI492" s="30">
        <v>37.299999999999997</v>
      </c>
      <c r="BJ492" s="34">
        <v>3.1659000000000002</v>
      </c>
      <c r="BK492" s="35">
        <v>0.13297</v>
      </c>
      <c r="BL492" s="33"/>
      <c r="BM492" s="37">
        <v>1023</v>
      </c>
      <c r="BN492" s="38">
        <v>1.0236000000000001</v>
      </c>
      <c r="BO492" s="39">
        <v>6.73</v>
      </c>
      <c r="BP492" s="520"/>
      <c r="BQ492" s="40">
        <v>1023</v>
      </c>
      <c r="BR492" s="43">
        <v>1021.9</v>
      </c>
      <c r="BS492" s="41">
        <v>0.97850000000000004</v>
      </c>
    </row>
    <row r="493" spans="28:71">
      <c r="AB493" s="514"/>
      <c r="AC493" s="514"/>
      <c r="AD493" s="514"/>
      <c r="AE493" s="514"/>
      <c r="AF493" s="514"/>
      <c r="AG493" s="514"/>
      <c r="AH493" s="514"/>
      <c r="AI493" s="514"/>
      <c r="AJ493" s="514"/>
      <c r="AK493" s="514"/>
      <c r="AL493" s="514"/>
      <c r="AM493" s="514"/>
      <c r="AN493" s="514"/>
      <c r="AO493" s="514"/>
      <c r="AP493" s="514"/>
      <c r="AQ493" s="514"/>
      <c r="AR493" s="514"/>
      <c r="AS493" s="514"/>
      <c r="AT493" s="514"/>
      <c r="AU493" s="514"/>
      <c r="AV493" s="514"/>
      <c r="AW493" s="514"/>
      <c r="AX493" s="514"/>
      <c r="AY493" s="514"/>
      <c r="AZ493" s="514"/>
      <c r="BA493" s="514"/>
      <c r="BB493" s="514"/>
      <c r="BC493" s="520"/>
      <c r="BD493" s="2482"/>
      <c r="BE493" s="30">
        <v>37.4</v>
      </c>
      <c r="BF493" s="31">
        <v>0.83779999999999999</v>
      </c>
      <c r="BG493" s="32">
        <v>837.3</v>
      </c>
      <c r="BH493" s="33"/>
      <c r="BI493" s="30">
        <v>37.4</v>
      </c>
      <c r="BJ493" s="34">
        <v>3.1640000000000001</v>
      </c>
      <c r="BK493" s="35">
        <v>0.13289000000000001</v>
      </c>
      <c r="BL493" s="33"/>
      <c r="BM493" s="37">
        <v>1024</v>
      </c>
      <c r="BN493" s="38">
        <v>1.0246</v>
      </c>
      <c r="BO493" s="39">
        <v>6.6</v>
      </c>
      <c r="BP493" s="520"/>
      <c r="BQ493" s="40">
        <v>1024</v>
      </c>
      <c r="BR493" s="43">
        <v>1022.9</v>
      </c>
      <c r="BS493" s="41">
        <v>0.97760000000000002</v>
      </c>
    </row>
    <row r="494" spans="28:71">
      <c r="AB494" s="514"/>
      <c r="AC494" s="514"/>
      <c r="AD494" s="514"/>
      <c r="AE494" s="514"/>
      <c r="AF494" s="514"/>
      <c r="AG494" s="514"/>
      <c r="AH494" s="514"/>
      <c r="AI494" s="514"/>
      <c r="AJ494" s="514"/>
      <c r="AK494" s="514"/>
      <c r="AL494" s="514"/>
      <c r="AM494" s="514"/>
      <c r="AN494" s="514"/>
      <c r="AO494" s="514"/>
      <c r="AP494" s="514"/>
      <c r="AQ494" s="514"/>
      <c r="AR494" s="514"/>
      <c r="AS494" s="514"/>
      <c r="AT494" s="514"/>
      <c r="AU494" s="514"/>
      <c r="AV494" s="514"/>
      <c r="AW494" s="514"/>
      <c r="AX494" s="514"/>
      <c r="AY494" s="514"/>
      <c r="AZ494" s="514"/>
      <c r="BA494" s="514"/>
      <c r="BB494" s="514"/>
      <c r="BC494" s="520"/>
      <c r="BD494" s="2482"/>
      <c r="BE494" s="30">
        <v>37.5</v>
      </c>
      <c r="BF494" s="31">
        <v>0.83730000000000004</v>
      </c>
      <c r="BG494" s="32">
        <v>836.8</v>
      </c>
      <c r="BH494" s="33"/>
      <c r="BI494" s="30">
        <v>37.5</v>
      </c>
      <c r="BJ494" s="34">
        <v>3.1621999999999999</v>
      </c>
      <c r="BK494" s="35">
        <v>0.13281000000000001</v>
      </c>
      <c r="BL494" s="33"/>
      <c r="BM494" s="37">
        <v>1025</v>
      </c>
      <c r="BN494" s="38">
        <v>1.0256000000000001</v>
      </c>
      <c r="BO494" s="39">
        <v>6.46</v>
      </c>
      <c r="BP494" s="520"/>
      <c r="BQ494" s="40">
        <v>1025</v>
      </c>
      <c r="BR494" s="43">
        <v>1023.9</v>
      </c>
      <c r="BS494" s="41">
        <v>0.97660000000000002</v>
      </c>
    </row>
    <row r="495" spans="28:71">
      <c r="AB495" s="514"/>
      <c r="AC495" s="514"/>
      <c r="AD495" s="514"/>
      <c r="AE495" s="514"/>
      <c r="AF495" s="514"/>
      <c r="AG495" s="514"/>
      <c r="AH495" s="514"/>
      <c r="AI495" s="514"/>
      <c r="AJ495" s="514"/>
      <c r="AK495" s="514"/>
      <c r="AL495" s="514"/>
      <c r="AM495" s="514"/>
      <c r="AN495" s="514"/>
      <c r="AO495" s="514"/>
      <c r="AP495" s="514"/>
      <c r="AQ495" s="514"/>
      <c r="AR495" s="514"/>
      <c r="AS495" s="514"/>
      <c r="AT495" s="514"/>
      <c r="AU495" s="514"/>
      <c r="AV495" s="514"/>
      <c r="AW495" s="514"/>
      <c r="AX495" s="514"/>
      <c r="AY495" s="514"/>
      <c r="AZ495" s="514"/>
      <c r="BA495" s="514"/>
      <c r="BB495" s="514"/>
      <c r="BC495" s="520"/>
      <c r="BD495" s="2482"/>
      <c r="BE495" s="30">
        <v>37.6</v>
      </c>
      <c r="BF495" s="31">
        <v>0.83679999999999999</v>
      </c>
      <c r="BG495" s="32">
        <v>836.4</v>
      </c>
      <c r="BH495" s="33"/>
      <c r="BI495" s="30">
        <v>37.6</v>
      </c>
      <c r="BJ495" s="34">
        <v>3.1602999999999999</v>
      </c>
      <c r="BK495" s="35">
        <v>0.13272999999999999</v>
      </c>
      <c r="BL495" s="33"/>
      <c r="BM495" s="37">
        <v>1026</v>
      </c>
      <c r="BN495" s="38">
        <v>1.0266</v>
      </c>
      <c r="BO495" s="39">
        <v>6.33</v>
      </c>
      <c r="BP495" s="520"/>
      <c r="BQ495" s="40">
        <v>1026</v>
      </c>
      <c r="BR495" s="43">
        <v>1024.9000000000001</v>
      </c>
      <c r="BS495" s="41">
        <v>0.97570000000000001</v>
      </c>
    </row>
    <row r="496" spans="28:71">
      <c r="AB496" s="514"/>
      <c r="AC496" s="514"/>
      <c r="AD496" s="514"/>
      <c r="AE496" s="514"/>
      <c r="AF496" s="514"/>
      <c r="AG496" s="514"/>
      <c r="AH496" s="514"/>
      <c r="AI496" s="514"/>
      <c r="AJ496" s="514"/>
      <c r="AK496" s="514"/>
      <c r="AL496" s="514"/>
      <c r="AM496" s="514"/>
      <c r="AN496" s="514"/>
      <c r="AO496" s="514"/>
      <c r="AP496" s="514"/>
      <c r="AQ496" s="514"/>
      <c r="AR496" s="514"/>
      <c r="AS496" s="514"/>
      <c r="AT496" s="514"/>
      <c r="AU496" s="514"/>
      <c r="AV496" s="514"/>
      <c r="AW496" s="514"/>
      <c r="AX496" s="514"/>
      <c r="AY496" s="514"/>
      <c r="AZ496" s="514"/>
      <c r="BA496" s="514"/>
      <c r="BB496" s="514"/>
      <c r="BC496" s="520"/>
      <c r="BD496" s="2482"/>
      <c r="BE496" s="30">
        <v>37.700000000000003</v>
      </c>
      <c r="BF496" s="31">
        <v>0.83630000000000004</v>
      </c>
      <c r="BG496" s="32">
        <v>835.9</v>
      </c>
      <c r="BH496" s="33"/>
      <c r="BI496" s="30">
        <v>37.700000000000003</v>
      </c>
      <c r="BJ496" s="34">
        <v>3.1583999999999999</v>
      </c>
      <c r="BK496" s="35">
        <v>0.13264999999999999</v>
      </c>
      <c r="BL496" s="33"/>
      <c r="BM496" s="37">
        <v>1027</v>
      </c>
      <c r="BN496" s="38">
        <v>1.0276000000000001</v>
      </c>
      <c r="BO496" s="39">
        <v>6.19</v>
      </c>
      <c r="BP496" s="520"/>
      <c r="BQ496" s="40">
        <v>1027</v>
      </c>
      <c r="BR496" s="43">
        <v>1025.9000000000001</v>
      </c>
      <c r="BS496" s="41">
        <v>0.97470000000000001</v>
      </c>
    </row>
    <row r="497" spans="28:71">
      <c r="AB497" s="514"/>
      <c r="AC497" s="514"/>
      <c r="AD497" s="514"/>
      <c r="AE497" s="514"/>
      <c r="AF497" s="514"/>
      <c r="AG497" s="514"/>
      <c r="AH497" s="514"/>
      <c r="AI497" s="514"/>
      <c r="AJ497" s="514"/>
      <c r="AK497" s="514"/>
      <c r="AL497" s="514"/>
      <c r="AM497" s="514"/>
      <c r="AN497" s="514"/>
      <c r="AO497" s="514"/>
      <c r="AP497" s="514"/>
      <c r="AQ497" s="514"/>
      <c r="AR497" s="514"/>
      <c r="AS497" s="514"/>
      <c r="AT497" s="514"/>
      <c r="AU497" s="514"/>
      <c r="AV497" s="514"/>
      <c r="AW497" s="514"/>
      <c r="AX497" s="514"/>
      <c r="AY497" s="514"/>
      <c r="AZ497" s="514"/>
      <c r="BA497" s="514"/>
      <c r="BB497" s="514"/>
      <c r="BC497" s="520"/>
      <c r="BD497" s="2482"/>
      <c r="BE497" s="30">
        <v>37.799999999999997</v>
      </c>
      <c r="BF497" s="31">
        <v>0.83579999999999999</v>
      </c>
      <c r="BG497" s="32">
        <v>835.4</v>
      </c>
      <c r="BH497" s="33"/>
      <c r="BI497" s="30">
        <v>37.799999999999997</v>
      </c>
      <c r="BJ497" s="34">
        <v>3.1566000000000001</v>
      </c>
      <c r="BK497" s="35">
        <v>0.13258</v>
      </c>
      <c r="BL497" s="33"/>
      <c r="BM497" s="37">
        <v>1028</v>
      </c>
      <c r="BN497" s="38">
        <v>1.0286</v>
      </c>
      <c r="BO497" s="39">
        <v>6.06</v>
      </c>
      <c r="BP497" s="520"/>
      <c r="BQ497" s="40">
        <v>1028</v>
      </c>
      <c r="BR497" s="43">
        <v>1026.9000000000001</v>
      </c>
      <c r="BS497" s="41">
        <v>0.9738</v>
      </c>
    </row>
    <row r="498" spans="28:71">
      <c r="AB498" s="514"/>
      <c r="AC498" s="514"/>
      <c r="AD498" s="514"/>
      <c r="AE498" s="514"/>
      <c r="AF498" s="514"/>
      <c r="AG498" s="514"/>
      <c r="AH498" s="514"/>
      <c r="AI498" s="514"/>
      <c r="AJ498" s="514"/>
      <c r="AK498" s="514"/>
      <c r="AL498" s="514"/>
      <c r="AM498" s="514"/>
      <c r="AN498" s="514"/>
      <c r="AO498" s="514"/>
      <c r="AP498" s="514"/>
      <c r="AQ498" s="514"/>
      <c r="AR498" s="514"/>
      <c r="AS498" s="514"/>
      <c r="AT498" s="514"/>
      <c r="AU498" s="514"/>
      <c r="AV498" s="514"/>
      <c r="AW498" s="514"/>
      <c r="AX498" s="514"/>
      <c r="AY498" s="514"/>
      <c r="AZ498" s="514"/>
      <c r="BA498" s="514"/>
      <c r="BB498" s="514"/>
      <c r="BC498" s="520"/>
      <c r="BD498" s="2482"/>
      <c r="BE498" s="30">
        <v>37.9</v>
      </c>
      <c r="BF498" s="31">
        <v>0.83530000000000004</v>
      </c>
      <c r="BG498" s="32">
        <v>834.9</v>
      </c>
      <c r="BH498" s="33"/>
      <c r="BI498" s="30">
        <v>37.9</v>
      </c>
      <c r="BJ498" s="34">
        <v>3.1547000000000001</v>
      </c>
      <c r="BK498" s="35">
        <v>0.13250000000000001</v>
      </c>
      <c r="BL498" s="33"/>
      <c r="BM498" s="37">
        <v>1029</v>
      </c>
      <c r="BN498" s="38">
        <v>1.0296000000000001</v>
      </c>
      <c r="BO498" s="39">
        <v>5.93</v>
      </c>
      <c r="BP498" s="520"/>
      <c r="BQ498" s="40">
        <v>1029</v>
      </c>
      <c r="BR498" s="43">
        <v>1027.9000000000001</v>
      </c>
      <c r="BS498" s="41">
        <v>0.9728</v>
      </c>
    </row>
    <row r="499" spans="28:71">
      <c r="AB499" s="514"/>
      <c r="AC499" s="514"/>
      <c r="AD499" s="514"/>
      <c r="AE499" s="514"/>
      <c r="AF499" s="514"/>
      <c r="AG499" s="514"/>
      <c r="AH499" s="514"/>
      <c r="AI499" s="514"/>
      <c r="AJ499" s="514"/>
      <c r="AK499" s="514"/>
      <c r="AL499" s="514"/>
      <c r="AM499" s="514"/>
      <c r="AN499" s="514"/>
      <c r="AO499" s="514"/>
      <c r="AP499" s="514"/>
      <c r="AQ499" s="514"/>
      <c r="AR499" s="514"/>
      <c r="AS499" s="514"/>
      <c r="AT499" s="514"/>
      <c r="AU499" s="514"/>
      <c r="AV499" s="514"/>
      <c r="AW499" s="514"/>
      <c r="AX499" s="514"/>
      <c r="AY499" s="514"/>
      <c r="AZ499" s="514"/>
      <c r="BA499" s="514"/>
      <c r="BB499" s="514"/>
      <c r="BC499" s="520"/>
      <c r="BD499" s="2482"/>
      <c r="BE499" s="30">
        <v>38</v>
      </c>
      <c r="BF499" s="31">
        <v>0.83479999999999999</v>
      </c>
      <c r="BG499" s="32">
        <v>834.4</v>
      </c>
      <c r="BH499" s="33"/>
      <c r="BI499" s="30">
        <v>38</v>
      </c>
      <c r="BJ499" s="34">
        <v>3.1528</v>
      </c>
      <c r="BK499" s="35">
        <v>0.13242000000000001</v>
      </c>
      <c r="BL499" s="33"/>
      <c r="BM499" s="37">
        <v>1030</v>
      </c>
      <c r="BN499" s="38">
        <v>1.0306</v>
      </c>
      <c r="BO499" s="39">
        <v>5.79</v>
      </c>
      <c r="BP499" s="520"/>
      <c r="BQ499" s="40">
        <v>1030</v>
      </c>
      <c r="BR499" s="43">
        <v>1028.9000000000001</v>
      </c>
      <c r="BS499" s="41">
        <v>0.97189999999999999</v>
      </c>
    </row>
    <row r="500" spans="28:71">
      <c r="AB500" s="514"/>
      <c r="AC500" s="514"/>
      <c r="AD500" s="514"/>
      <c r="AE500" s="514"/>
      <c r="AF500" s="514"/>
      <c r="AG500" s="514"/>
      <c r="AH500" s="514"/>
      <c r="AI500" s="514"/>
      <c r="AJ500" s="514"/>
      <c r="AK500" s="514"/>
      <c r="AL500" s="514"/>
      <c r="AM500" s="514"/>
      <c r="AN500" s="514"/>
      <c r="AO500" s="514"/>
      <c r="AP500" s="514"/>
      <c r="AQ500" s="514"/>
      <c r="AR500" s="514"/>
      <c r="AS500" s="514"/>
      <c r="AT500" s="514"/>
      <c r="AU500" s="514"/>
      <c r="AV500" s="514"/>
      <c r="AW500" s="514"/>
      <c r="AX500" s="514"/>
      <c r="AY500" s="514"/>
      <c r="AZ500" s="514"/>
      <c r="BA500" s="514"/>
      <c r="BB500" s="514"/>
      <c r="BC500" s="520"/>
      <c r="BD500" s="2482"/>
      <c r="BE500" s="30">
        <v>38.1</v>
      </c>
      <c r="BF500" s="31">
        <v>0.83430000000000004</v>
      </c>
      <c r="BG500" s="32">
        <v>833.9</v>
      </c>
      <c r="BH500" s="33"/>
      <c r="BI500" s="30">
        <v>38.1</v>
      </c>
      <c r="BJ500" s="34">
        <v>3.1509999999999998</v>
      </c>
      <c r="BK500" s="35">
        <v>0.13234000000000001</v>
      </c>
      <c r="BL500" s="33"/>
      <c r="BM500" s="37">
        <v>1031</v>
      </c>
      <c r="BN500" s="38">
        <v>1.0316000000000001</v>
      </c>
      <c r="BO500" s="39">
        <v>5.66</v>
      </c>
      <c r="BP500" s="520"/>
      <c r="BQ500" s="40">
        <v>1031</v>
      </c>
      <c r="BR500" s="43">
        <v>1029.9000000000001</v>
      </c>
      <c r="BS500" s="41">
        <v>0.97089999999999999</v>
      </c>
    </row>
    <row r="501" spans="28:71">
      <c r="AB501" s="514"/>
      <c r="AC501" s="514"/>
      <c r="AD501" s="514"/>
      <c r="AE501" s="514"/>
      <c r="AF501" s="514"/>
      <c r="AG501" s="514"/>
      <c r="AH501" s="514"/>
      <c r="AI501" s="514"/>
      <c r="AJ501" s="514"/>
      <c r="AK501" s="514"/>
      <c r="AL501" s="514"/>
      <c r="AM501" s="514"/>
      <c r="AN501" s="514"/>
      <c r="AO501" s="514"/>
      <c r="AP501" s="514"/>
      <c r="AQ501" s="514"/>
      <c r="AR501" s="514"/>
      <c r="AS501" s="514"/>
      <c r="AT501" s="514"/>
      <c r="AU501" s="514"/>
      <c r="AV501" s="514"/>
      <c r="AW501" s="514"/>
      <c r="AX501" s="514"/>
      <c r="AY501" s="514"/>
      <c r="AZ501" s="514"/>
      <c r="BA501" s="514"/>
      <c r="BB501" s="514"/>
      <c r="BC501" s="520"/>
      <c r="BD501" s="2482"/>
      <c r="BE501" s="30">
        <v>38.200000000000003</v>
      </c>
      <c r="BF501" s="31">
        <v>0.83379999999999999</v>
      </c>
      <c r="BG501" s="32">
        <v>833.4</v>
      </c>
      <c r="BH501" s="33"/>
      <c r="BI501" s="30">
        <v>38.200000000000003</v>
      </c>
      <c r="BJ501" s="34">
        <v>3.1490999999999998</v>
      </c>
      <c r="BK501" s="35">
        <v>0.13225999999999999</v>
      </c>
      <c r="BL501" s="33"/>
      <c r="BM501" s="37">
        <v>1032</v>
      </c>
      <c r="BN501" s="38">
        <v>1.0326</v>
      </c>
      <c r="BO501" s="39">
        <v>5.53</v>
      </c>
      <c r="BP501" s="520"/>
      <c r="BQ501" s="40">
        <v>1032</v>
      </c>
      <c r="BR501" s="43">
        <v>1030.9000000000001</v>
      </c>
      <c r="BS501" s="41">
        <v>0.97</v>
      </c>
    </row>
    <row r="502" spans="28:71">
      <c r="AB502" s="514"/>
      <c r="AC502" s="514"/>
      <c r="AD502" s="514"/>
      <c r="AE502" s="514"/>
      <c r="AF502" s="514"/>
      <c r="AG502" s="514"/>
      <c r="AH502" s="514"/>
      <c r="AI502" s="514"/>
      <c r="AJ502" s="514"/>
      <c r="AK502" s="514"/>
      <c r="AL502" s="514"/>
      <c r="AM502" s="514"/>
      <c r="AN502" s="514"/>
      <c r="AO502" s="514"/>
      <c r="AP502" s="514"/>
      <c r="AQ502" s="514"/>
      <c r="AR502" s="514"/>
      <c r="AS502" s="514"/>
      <c r="AT502" s="514"/>
      <c r="AU502" s="514"/>
      <c r="AV502" s="514"/>
      <c r="AW502" s="514"/>
      <c r="AX502" s="514"/>
      <c r="AY502" s="514"/>
      <c r="AZ502" s="514"/>
      <c r="BA502" s="514"/>
      <c r="BB502" s="514"/>
      <c r="BC502" s="520"/>
      <c r="BD502" s="2482"/>
      <c r="BE502" s="30">
        <v>38.299999999999997</v>
      </c>
      <c r="BF502" s="31">
        <v>0.83330000000000004</v>
      </c>
      <c r="BG502" s="32">
        <v>832.9</v>
      </c>
      <c r="BH502" s="33"/>
      <c r="BI502" s="30">
        <v>38.299999999999997</v>
      </c>
      <c r="BJ502" s="34">
        <v>3.1472000000000002</v>
      </c>
      <c r="BK502" s="35">
        <v>0.13217999999999999</v>
      </c>
      <c r="BL502" s="33"/>
      <c r="BM502" s="37">
        <v>1033</v>
      </c>
      <c r="BN502" s="38">
        <v>1.0337000000000001</v>
      </c>
      <c r="BO502" s="39">
        <v>5.39</v>
      </c>
      <c r="BP502" s="520"/>
      <c r="BQ502" s="40">
        <v>1033</v>
      </c>
      <c r="BR502" s="43">
        <v>1031.9000000000001</v>
      </c>
      <c r="BS502" s="41">
        <v>0.96909999999999996</v>
      </c>
    </row>
    <row r="503" spans="28:71">
      <c r="AB503" s="514"/>
      <c r="AC503" s="514"/>
      <c r="AD503" s="514"/>
      <c r="AE503" s="514"/>
      <c r="AF503" s="514"/>
      <c r="AG503" s="514"/>
      <c r="AH503" s="514"/>
      <c r="AI503" s="514"/>
      <c r="AJ503" s="514"/>
      <c r="AK503" s="514"/>
      <c r="AL503" s="514"/>
      <c r="AM503" s="514"/>
      <c r="AN503" s="514"/>
      <c r="AO503" s="514"/>
      <c r="AP503" s="514"/>
      <c r="AQ503" s="514"/>
      <c r="AR503" s="514"/>
      <c r="AS503" s="514"/>
      <c r="AT503" s="514"/>
      <c r="AU503" s="514"/>
      <c r="AV503" s="514"/>
      <c r="AW503" s="514"/>
      <c r="AX503" s="514"/>
      <c r="AY503" s="514"/>
      <c r="AZ503" s="514"/>
      <c r="BA503" s="514"/>
      <c r="BB503" s="514"/>
      <c r="BC503" s="520"/>
      <c r="BD503" s="2482"/>
      <c r="BE503" s="30">
        <v>38.4</v>
      </c>
      <c r="BF503" s="31">
        <v>0.83279999999999998</v>
      </c>
      <c r="BG503" s="32">
        <v>832.4</v>
      </c>
      <c r="BH503" s="33"/>
      <c r="BI503" s="30">
        <v>38.4</v>
      </c>
      <c r="BJ503" s="34">
        <v>3.1454</v>
      </c>
      <c r="BK503" s="35">
        <v>0.13211000000000001</v>
      </c>
      <c r="BL503" s="33"/>
      <c r="BM503" s="37">
        <v>1034</v>
      </c>
      <c r="BN503" s="38">
        <v>1.0347</v>
      </c>
      <c r="BO503" s="39">
        <v>5.26</v>
      </c>
      <c r="BP503" s="520"/>
      <c r="BQ503" s="40">
        <v>1034</v>
      </c>
      <c r="BR503" s="43">
        <v>1032.9000000000001</v>
      </c>
      <c r="BS503" s="41">
        <v>0.96809999999999996</v>
      </c>
    </row>
    <row r="504" spans="28:71">
      <c r="AB504" s="514"/>
      <c r="AC504" s="514"/>
      <c r="AD504" s="514"/>
      <c r="AE504" s="514"/>
      <c r="AF504" s="514"/>
      <c r="AG504" s="514"/>
      <c r="AH504" s="514"/>
      <c r="AI504" s="514"/>
      <c r="AJ504" s="514"/>
      <c r="AK504" s="514"/>
      <c r="AL504" s="514"/>
      <c r="AM504" s="514"/>
      <c r="AN504" s="514"/>
      <c r="AO504" s="514"/>
      <c r="AP504" s="514"/>
      <c r="AQ504" s="514"/>
      <c r="AR504" s="514"/>
      <c r="AS504" s="514"/>
      <c r="AT504" s="514"/>
      <c r="AU504" s="514"/>
      <c r="AV504" s="514"/>
      <c r="AW504" s="514"/>
      <c r="AX504" s="514"/>
      <c r="AY504" s="514"/>
      <c r="AZ504" s="514"/>
      <c r="BA504" s="514"/>
      <c r="BB504" s="514"/>
      <c r="BC504" s="520"/>
      <c r="BD504" s="2482"/>
      <c r="BE504" s="30">
        <v>38.5</v>
      </c>
      <c r="BF504" s="31">
        <v>0.83240000000000003</v>
      </c>
      <c r="BG504" s="32">
        <v>831.9</v>
      </c>
      <c r="BH504" s="33"/>
      <c r="BI504" s="30">
        <v>38.5</v>
      </c>
      <c r="BJ504" s="34">
        <v>3.1435</v>
      </c>
      <c r="BK504" s="35">
        <v>0.13203000000000001</v>
      </c>
      <c r="BL504" s="33"/>
      <c r="BM504" s="37">
        <v>1035</v>
      </c>
      <c r="BN504" s="38">
        <v>1.0357000000000001</v>
      </c>
      <c r="BO504" s="39">
        <v>5.13</v>
      </c>
      <c r="BP504" s="520"/>
      <c r="BQ504" s="40">
        <v>1035</v>
      </c>
      <c r="BR504" s="43">
        <v>1033.9000000000001</v>
      </c>
      <c r="BS504" s="41">
        <v>0.96719999999999995</v>
      </c>
    </row>
    <row r="505" spans="28:71">
      <c r="AB505" s="514"/>
      <c r="AC505" s="514"/>
      <c r="AD505" s="514"/>
      <c r="AE505" s="514"/>
      <c r="AF505" s="514"/>
      <c r="AG505" s="514"/>
      <c r="AH505" s="514"/>
      <c r="AI505" s="514"/>
      <c r="AJ505" s="514"/>
      <c r="AK505" s="514"/>
      <c r="AL505" s="514"/>
      <c r="AM505" s="514"/>
      <c r="AN505" s="514"/>
      <c r="AO505" s="514"/>
      <c r="AP505" s="514"/>
      <c r="AQ505" s="514"/>
      <c r="AR505" s="514"/>
      <c r="AS505" s="514"/>
      <c r="AT505" s="514"/>
      <c r="AU505" s="514"/>
      <c r="AV505" s="514"/>
      <c r="AW505" s="514"/>
      <c r="AX505" s="514"/>
      <c r="AY505" s="514"/>
      <c r="AZ505" s="514"/>
      <c r="BA505" s="514"/>
      <c r="BB505" s="514"/>
      <c r="BC505" s="520"/>
      <c r="BD505" s="2482"/>
      <c r="BE505" s="30">
        <v>38.6</v>
      </c>
      <c r="BF505" s="31">
        <v>0.83189999999999997</v>
      </c>
      <c r="BG505" s="32">
        <v>831.4</v>
      </c>
      <c r="BH505" s="33"/>
      <c r="BI505" s="30">
        <v>38.6</v>
      </c>
      <c r="BJ505" s="34">
        <v>3.1417000000000002</v>
      </c>
      <c r="BK505" s="35">
        <v>0.13195000000000001</v>
      </c>
      <c r="BL505" s="33"/>
      <c r="BM505" s="37">
        <v>1036</v>
      </c>
      <c r="BN505" s="38">
        <v>1.0367</v>
      </c>
      <c r="BO505" s="39">
        <v>5</v>
      </c>
      <c r="BP505" s="520"/>
      <c r="BQ505" s="40">
        <v>1036</v>
      </c>
      <c r="BR505" s="43">
        <v>1034.9000000000001</v>
      </c>
      <c r="BS505" s="41">
        <v>0.96619999999999995</v>
      </c>
    </row>
    <row r="506" spans="28:71">
      <c r="AB506" s="514"/>
      <c r="AC506" s="514"/>
      <c r="AD506" s="514"/>
      <c r="AE506" s="514"/>
      <c r="AF506" s="514"/>
      <c r="AG506" s="514"/>
      <c r="AH506" s="514"/>
      <c r="AI506" s="514"/>
      <c r="AJ506" s="514"/>
      <c r="AK506" s="514"/>
      <c r="AL506" s="514"/>
      <c r="AM506" s="514"/>
      <c r="AN506" s="514"/>
      <c r="AO506" s="514"/>
      <c r="AP506" s="514"/>
      <c r="AQ506" s="514"/>
      <c r="AR506" s="514"/>
      <c r="AS506" s="514"/>
      <c r="AT506" s="514"/>
      <c r="AU506" s="514"/>
      <c r="AV506" s="514"/>
      <c r="AW506" s="514"/>
      <c r="AX506" s="514"/>
      <c r="AY506" s="514"/>
      <c r="AZ506" s="514"/>
      <c r="BA506" s="514"/>
      <c r="BB506" s="514"/>
      <c r="BC506" s="520"/>
      <c r="BD506" s="2482"/>
      <c r="BE506" s="30">
        <v>38.700000000000003</v>
      </c>
      <c r="BF506" s="31">
        <v>0.83140000000000003</v>
      </c>
      <c r="BG506" s="32">
        <v>831</v>
      </c>
      <c r="BH506" s="33"/>
      <c r="BI506" s="30">
        <v>38.700000000000003</v>
      </c>
      <c r="BJ506" s="34">
        <v>3.1398000000000001</v>
      </c>
      <c r="BK506" s="35">
        <v>0.13186999999999999</v>
      </c>
      <c r="BL506" s="33"/>
      <c r="BM506" s="37">
        <v>1037</v>
      </c>
      <c r="BN506" s="38">
        <v>1.0377000000000001</v>
      </c>
      <c r="BO506" s="39">
        <v>4.87</v>
      </c>
      <c r="BP506" s="520"/>
      <c r="BQ506" s="40">
        <v>1037</v>
      </c>
      <c r="BR506" s="43">
        <v>1035.9000000000001</v>
      </c>
      <c r="BS506" s="41">
        <v>0.96530000000000005</v>
      </c>
    </row>
    <row r="507" spans="28:71">
      <c r="AB507" s="514"/>
      <c r="AC507" s="514"/>
      <c r="AD507" s="514"/>
      <c r="AE507" s="514"/>
      <c r="AF507" s="514"/>
      <c r="AG507" s="514"/>
      <c r="AH507" s="514"/>
      <c r="AI507" s="514"/>
      <c r="AJ507" s="514"/>
      <c r="AK507" s="514"/>
      <c r="AL507" s="514"/>
      <c r="AM507" s="514"/>
      <c r="AN507" s="514"/>
      <c r="AO507" s="514"/>
      <c r="AP507" s="514"/>
      <c r="AQ507" s="514"/>
      <c r="AR507" s="514"/>
      <c r="AS507" s="514"/>
      <c r="AT507" s="514"/>
      <c r="AU507" s="514"/>
      <c r="AV507" s="514"/>
      <c r="AW507" s="514"/>
      <c r="AX507" s="514"/>
      <c r="AY507" s="514"/>
      <c r="AZ507" s="514"/>
      <c r="BA507" s="514"/>
      <c r="BB507" s="514"/>
      <c r="BC507" s="520"/>
      <c r="BD507" s="2482"/>
      <c r="BE507" s="30">
        <v>38.799999999999997</v>
      </c>
      <c r="BF507" s="31">
        <v>0.83089999999999997</v>
      </c>
      <c r="BG507" s="32">
        <v>830.5</v>
      </c>
      <c r="BH507" s="33"/>
      <c r="BI507" s="30">
        <v>38.799999999999997</v>
      </c>
      <c r="BJ507" s="34">
        <v>3.1379999999999999</v>
      </c>
      <c r="BK507" s="35">
        <v>0.1318</v>
      </c>
      <c r="BL507" s="33"/>
      <c r="BM507" s="37">
        <v>1038</v>
      </c>
      <c r="BN507" s="38">
        <v>1.0387</v>
      </c>
      <c r="BO507" s="39">
        <v>4.7300000000000004</v>
      </c>
      <c r="BP507" s="520"/>
      <c r="BQ507" s="40">
        <v>1038</v>
      </c>
      <c r="BR507" s="43">
        <v>1036.9000000000001</v>
      </c>
      <c r="BS507" s="41">
        <v>0.96440000000000003</v>
      </c>
    </row>
    <row r="508" spans="28:71">
      <c r="AB508" s="514"/>
      <c r="AC508" s="514"/>
      <c r="AD508" s="514"/>
      <c r="AE508" s="514"/>
      <c r="AF508" s="514"/>
      <c r="AG508" s="514"/>
      <c r="AH508" s="514"/>
      <c r="AI508" s="514"/>
      <c r="AJ508" s="514"/>
      <c r="AK508" s="514"/>
      <c r="AL508" s="514"/>
      <c r="AM508" s="514"/>
      <c r="AN508" s="514"/>
      <c r="AO508" s="514"/>
      <c r="AP508" s="514"/>
      <c r="AQ508" s="514"/>
      <c r="AR508" s="514"/>
      <c r="AS508" s="514"/>
      <c r="AT508" s="514"/>
      <c r="AU508" s="514"/>
      <c r="AV508" s="514"/>
      <c r="AW508" s="514"/>
      <c r="AX508" s="514"/>
      <c r="AY508" s="514"/>
      <c r="AZ508" s="514"/>
      <c r="BA508" s="514"/>
      <c r="BB508" s="514"/>
      <c r="BC508" s="520"/>
      <c r="BD508" s="2482"/>
      <c r="BE508" s="30">
        <v>38.9</v>
      </c>
      <c r="BF508" s="31">
        <v>0.83040000000000003</v>
      </c>
      <c r="BG508" s="32">
        <v>830</v>
      </c>
      <c r="BH508" s="33"/>
      <c r="BI508" s="30">
        <v>38.9</v>
      </c>
      <c r="BJ508" s="34">
        <v>3.1360999999999999</v>
      </c>
      <c r="BK508" s="35">
        <v>0.13172</v>
      </c>
      <c r="BL508" s="33"/>
      <c r="BM508" s="37">
        <v>1039</v>
      </c>
      <c r="BN508" s="38">
        <v>1.0397000000000001</v>
      </c>
      <c r="BO508" s="39">
        <v>4.5999999999999996</v>
      </c>
      <c r="BP508" s="520"/>
      <c r="BQ508" s="40">
        <v>1039</v>
      </c>
      <c r="BR508" s="43">
        <v>1037.9000000000001</v>
      </c>
      <c r="BS508" s="41">
        <v>0.96350000000000002</v>
      </c>
    </row>
    <row r="509" spans="28:71">
      <c r="AB509" s="514"/>
      <c r="AC509" s="514"/>
      <c r="AD509" s="514"/>
      <c r="AE509" s="514"/>
      <c r="AF509" s="514"/>
      <c r="AG509" s="514"/>
      <c r="AH509" s="514"/>
      <c r="AI509" s="514"/>
      <c r="AJ509" s="514"/>
      <c r="AK509" s="514"/>
      <c r="AL509" s="514"/>
      <c r="AM509" s="514"/>
      <c r="AN509" s="514"/>
      <c r="AO509" s="514"/>
      <c r="AP509" s="514"/>
      <c r="AQ509" s="514"/>
      <c r="AR509" s="514"/>
      <c r="AS509" s="514"/>
      <c r="AT509" s="514"/>
      <c r="AU509" s="514"/>
      <c r="AV509" s="514"/>
      <c r="AW509" s="514"/>
      <c r="AX509" s="514"/>
      <c r="AY509" s="514"/>
      <c r="AZ509" s="514"/>
      <c r="BA509" s="514"/>
      <c r="BB509" s="514"/>
      <c r="BC509" s="520"/>
      <c r="BD509" s="2482"/>
      <c r="BE509" s="30">
        <v>39</v>
      </c>
      <c r="BF509" s="31">
        <v>0.82989999999999997</v>
      </c>
      <c r="BG509" s="32">
        <v>829.5</v>
      </c>
      <c r="BH509" s="33"/>
      <c r="BI509" s="30">
        <v>39</v>
      </c>
      <c r="BJ509" s="34">
        <v>3.1343000000000001</v>
      </c>
      <c r="BK509" s="35">
        <v>0.13164000000000001</v>
      </c>
      <c r="BL509" s="33"/>
      <c r="BM509" s="37">
        <v>1040</v>
      </c>
      <c r="BN509" s="38">
        <v>1.0407</v>
      </c>
      <c r="BO509" s="39">
        <v>4.47</v>
      </c>
      <c r="BP509" s="520"/>
      <c r="BQ509" s="40">
        <v>1040</v>
      </c>
      <c r="BR509" s="43">
        <v>1038.9000000000001</v>
      </c>
      <c r="BS509" s="41">
        <v>0.96250000000000002</v>
      </c>
    </row>
    <row r="510" spans="28:71">
      <c r="AB510" s="514"/>
      <c r="AC510" s="514"/>
      <c r="AD510" s="514"/>
      <c r="AE510" s="514"/>
      <c r="AF510" s="514"/>
      <c r="AG510" s="514"/>
      <c r="AH510" s="514"/>
      <c r="AI510" s="514"/>
      <c r="AJ510" s="514"/>
      <c r="AK510" s="514"/>
      <c r="AL510" s="514"/>
      <c r="AM510" s="514"/>
      <c r="AN510" s="514"/>
      <c r="AO510" s="514"/>
      <c r="AP510" s="514"/>
      <c r="AQ510" s="514"/>
      <c r="AR510" s="514"/>
      <c r="AS510" s="514"/>
      <c r="AT510" s="514"/>
      <c r="AU510" s="514"/>
      <c r="AV510" s="514"/>
      <c r="AW510" s="514"/>
      <c r="AX510" s="514"/>
      <c r="AY510" s="514"/>
      <c r="AZ510" s="514"/>
      <c r="BA510" s="514"/>
      <c r="BB510" s="514"/>
      <c r="BC510" s="520"/>
      <c r="BD510" s="2482"/>
      <c r="BE510" s="30">
        <v>39.1</v>
      </c>
      <c r="BF510" s="31">
        <v>0.82940000000000003</v>
      </c>
      <c r="BG510" s="32">
        <v>829</v>
      </c>
      <c r="BH510" s="33"/>
      <c r="BI510" s="30">
        <v>39.1</v>
      </c>
      <c r="BJ510" s="34">
        <v>3.1324999999999998</v>
      </c>
      <c r="BK510" s="35">
        <v>0.13156000000000001</v>
      </c>
      <c r="BL510" s="33"/>
      <c r="BM510" s="37">
        <v>1041</v>
      </c>
      <c r="BN510" s="38">
        <v>1.0417000000000001</v>
      </c>
      <c r="BO510" s="39">
        <v>4.34</v>
      </c>
      <c r="BP510" s="520"/>
      <c r="BQ510" s="40">
        <v>1041</v>
      </c>
      <c r="BR510" s="43">
        <v>1039.9000000000001</v>
      </c>
      <c r="BS510" s="41">
        <v>0.96160000000000001</v>
      </c>
    </row>
    <row r="511" spans="28:71">
      <c r="AB511" s="514"/>
      <c r="AC511" s="514"/>
      <c r="AD511" s="514"/>
      <c r="AE511" s="514"/>
      <c r="AF511" s="514"/>
      <c r="AG511" s="514"/>
      <c r="AH511" s="514"/>
      <c r="AI511" s="514"/>
      <c r="AJ511" s="514"/>
      <c r="AK511" s="514"/>
      <c r="AL511" s="514"/>
      <c r="AM511" s="514"/>
      <c r="AN511" s="514"/>
      <c r="AO511" s="514"/>
      <c r="AP511" s="514"/>
      <c r="AQ511" s="514"/>
      <c r="AR511" s="514"/>
      <c r="AS511" s="514"/>
      <c r="AT511" s="514"/>
      <c r="AU511" s="514"/>
      <c r="AV511" s="514"/>
      <c r="AW511" s="514"/>
      <c r="AX511" s="514"/>
      <c r="AY511" s="514"/>
      <c r="AZ511" s="514"/>
      <c r="BA511" s="514"/>
      <c r="BB511" s="514"/>
      <c r="BC511" s="520"/>
      <c r="BD511" s="2482"/>
      <c r="BE511" s="30">
        <v>39.200000000000003</v>
      </c>
      <c r="BF511" s="31">
        <v>0.82889999999999997</v>
      </c>
      <c r="BG511" s="32">
        <v>828.5</v>
      </c>
      <c r="BH511" s="33"/>
      <c r="BI511" s="30">
        <v>39.200000000000003</v>
      </c>
      <c r="BJ511" s="34">
        <v>3.1305999999999998</v>
      </c>
      <c r="BK511" s="35">
        <v>0.13149</v>
      </c>
      <c r="BL511" s="33"/>
      <c r="BM511" s="37">
        <v>1042</v>
      </c>
      <c r="BN511" s="38">
        <v>1.0427</v>
      </c>
      <c r="BO511" s="39">
        <v>4.21</v>
      </c>
      <c r="BP511" s="520"/>
      <c r="BQ511" s="40">
        <v>1042</v>
      </c>
      <c r="BR511" s="43">
        <v>1040.9000000000001</v>
      </c>
      <c r="BS511" s="41">
        <v>0.9607</v>
      </c>
    </row>
    <row r="512" spans="28:71">
      <c r="AB512" s="514"/>
      <c r="AC512" s="514"/>
      <c r="AD512" s="514"/>
      <c r="AE512" s="514"/>
      <c r="AF512" s="514"/>
      <c r="AG512" s="514"/>
      <c r="AH512" s="514"/>
      <c r="AI512" s="514"/>
      <c r="AJ512" s="514"/>
      <c r="AK512" s="514"/>
      <c r="AL512" s="514"/>
      <c r="AM512" s="514"/>
      <c r="AN512" s="514"/>
      <c r="AO512" s="514"/>
      <c r="AP512" s="514"/>
      <c r="AQ512" s="514"/>
      <c r="AR512" s="514"/>
      <c r="AS512" s="514"/>
      <c r="AT512" s="514"/>
      <c r="AU512" s="514"/>
      <c r="AV512" s="514"/>
      <c r="AW512" s="514"/>
      <c r="AX512" s="514"/>
      <c r="AY512" s="514"/>
      <c r="AZ512" s="514"/>
      <c r="BA512" s="514"/>
      <c r="BB512" s="514"/>
      <c r="BC512" s="520"/>
      <c r="BD512" s="2482"/>
      <c r="BE512" s="30">
        <v>39.299999999999997</v>
      </c>
      <c r="BF512" s="31">
        <v>0.82850000000000001</v>
      </c>
      <c r="BG512" s="32">
        <v>828</v>
      </c>
      <c r="BH512" s="33"/>
      <c r="BI512" s="30">
        <v>39.299999999999997</v>
      </c>
      <c r="BJ512" s="34">
        <v>3.1288</v>
      </c>
      <c r="BK512" s="35">
        <v>0.13141</v>
      </c>
      <c r="BL512" s="33"/>
      <c r="BM512" s="37">
        <v>1043</v>
      </c>
      <c r="BN512" s="38">
        <v>1.0437000000000001</v>
      </c>
      <c r="BO512" s="39">
        <v>4.08</v>
      </c>
      <c r="BP512" s="520"/>
      <c r="BQ512" s="40">
        <v>1043</v>
      </c>
      <c r="BR512" s="43">
        <v>1041.9000000000001</v>
      </c>
      <c r="BS512" s="41">
        <v>0.95979999999999999</v>
      </c>
    </row>
    <row r="513" spans="28:71">
      <c r="AB513" s="514"/>
      <c r="AC513" s="514"/>
      <c r="AD513" s="514"/>
      <c r="AE513" s="514"/>
      <c r="AF513" s="514"/>
      <c r="AG513" s="514"/>
      <c r="AH513" s="514"/>
      <c r="AI513" s="514"/>
      <c r="AJ513" s="514"/>
      <c r="AK513" s="514"/>
      <c r="AL513" s="514"/>
      <c r="AM513" s="514"/>
      <c r="AN513" s="514"/>
      <c r="AO513" s="514"/>
      <c r="AP513" s="514"/>
      <c r="AQ513" s="514"/>
      <c r="AR513" s="514"/>
      <c r="AS513" s="514"/>
      <c r="AT513" s="514"/>
      <c r="AU513" s="514"/>
      <c r="AV513" s="514"/>
      <c r="AW513" s="514"/>
      <c r="AX513" s="514"/>
      <c r="AY513" s="514"/>
      <c r="AZ513" s="514"/>
      <c r="BA513" s="514"/>
      <c r="BB513" s="514"/>
      <c r="BC513" s="520"/>
      <c r="BD513" s="2482"/>
      <c r="BE513" s="30">
        <v>39.4</v>
      </c>
      <c r="BF513" s="31">
        <v>0.82799999999999996</v>
      </c>
      <c r="BG513" s="32">
        <v>827.6</v>
      </c>
      <c r="BH513" s="33"/>
      <c r="BI513" s="30">
        <v>39.4</v>
      </c>
      <c r="BJ513" s="34">
        <v>3.1269999999999998</v>
      </c>
      <c r="BK513" s="35">
        <v>0.13133</v>
      </c>
      <c r="BL513" s="33"/>
      <c r="BM513" s="37">
        <v>1044</v>
      </c>
      <c r="BN513" s="38">
        <v>1.0447</v>
      </c>
      <c r="BO513" s="39">
        <v>3.95</v>
      </c>
      <c r="BP513" s="520"/>
      <c r="BQ513" s="40">
        <v>1044</v>
      </c>
      <c r="BR513" s="43">
        <v>1042.9000000000001</v>
      </c>
      <c r="BS513" s="41">
        <v>0.95879999999999999</v>
      </c>
    </row>
    <row r="514" spans="28:71">
      <c r="AB514" s="514"/>
      <c r="AC514" s="514"/>
      <c r="AD514" s="514"/>
      <c r="AE514" s="514"/>
      <c r="AF514" s="514"/>
      <c r="AG514" s="514"/>
      <c r="AH514" s="514"/>
      <c r="AI514" s="514"/>
      <c r="AJ514" s="514"/>
      <c r="AK514" s="514"/>
      <c r="AL514" s="514"/>
      <c r="AM514" s="514"/>
      <c r="AN514" s="514"/>
      <c r="AO514" s="514"/>
      <c r="AP514" s="514"/>
      <c r="AQ514" s="514"/>
      <c r="AR514" s="514"/>
      <c r="AS514" s="514"/>
      <c r="AT514" s="514"/>
      <c r="AU514" s="514"/>
      <c r="AV514" s="514"/>
      <c r="AW514" s="514"/>
      <c r="AX514" s="514"/>
      <c r="AY514" s="514"/>
      <c r="AZ514" s="514"/>
      <c r="BA514" s="514"/>
      <c r="BB514" s="514"/>
      <c r="BC514" s="520"/>
      <c r="BD514" s="2482"/>
      <c r="BE514" s="30">
        <v>39.5</v>
      </c>
      <c r="BF514" s="31">
        <v>0.82750000000000001</v>
      </c>
      <c r="BG514" s="32">
        <v>827.13</v>
      </c>
      <c r="BH514" s="33"/>
      <c r="BI514" s="30">
        <v>39.5</v>
      </c>
      <c r="BJ514" s="34">
        <v>3.1251000000000002</v>
      </c>
      <c r="BK514" s="35">
        <v>0.13125999999999999</v>
      </c>
      <c r="BL514" s="33"/>
      <c r="BM514" s="37">
        <v>1045</v>
      </c>
      <c r="BN514" s="38">
        <v>1.0457000000000001</v>
      </c>
      <c r="BO514" s="39">
        <v>3.82</v>
      </c>
      <c r="BP514" s="520"/>
      <c r="BQ514" s="40">
        <v>1045</v>
      </c>
      <c r="BR514" s="43">
        <v>1043.9000000000001</v>
      </c>
      <c r="BS514" s="41">
        <v>0.95789999999999997</v>
      </c>
    </row>
    <row r="515" spans="28:71">
      <c r="AB515" s="514"/>
      <c r="AC515" s="514"/>
      <c r="AD515" s="514"/>
      <c r="AE515" s="514"/>
      <c r="AF515" s="514"/>
      <c r="AG515" s="514"/>
      <c r="AH515" s="514"/>
      <c r="AI515" s="514"/>
      <c r="AJ515" s="514"/>
      <c r="AK515" s="514"/>
      <c r="AL515" s="514"/>
      <c r="AM515" s="514"/>
      <c r="AN515" s="514"/>
      <c r="AO515" s="514"/>
      <c r="AP515" s="514"/>
      <c r="AQ515" s="514"/>
      <c r="AR515" s="514"/>
      <c r="AS515" s="514"/>
      <c r="AT515" s="514"/>
      <c r="AU515" s="514"/>
      <c r="AV515" s="514"/>
      <c r="AW515" s="514"/>
      <c r="AX515" s="514"/>
      <c r="AY515" s="514"/>
      <c r="AZ515" s="514"/>
      <c r="BA515" s="514"/>
      <c r="BB515" s="514"/>
      <c r="BC515" s="520"/>
      <c r="BD515" s="2482"/>
      <c r="BE515" s="30">
        <v>39.6</v>
      </c>
      <c r="BF515" s="31">
        <v>0.82699999999999996</v>
      </c>
      <c r="BG515" s="32">
        <v>826.6</v>
      </c>
      <c r="BH515" s="33"/>
      <c r="BI515" s="30">
        <v>39.6</v>
      </c>
      <c r="BJ515" s="34">
        <v>3.1233</v>
      </c>
      <c r="BK515" s="35">
        <v>0.13117999999999999</v>
      </c>
      <c r="BL515" s="33"/>
      <c r="BM515" s="37">
        <v>1046</v>
      </c>
      <c r="BN515" s="38">
        <v>1.0467</v>
      </c>
      <c r="BO515" s="39">
        <v>3.69</v>
      </c>
      <c r="BP515" s="520"/>
      <c r="BQ515" s="40">
        <v>1046</v>
      </c>
      <c r="BR515" s="43">
        <v>1044.9000000000001</v>
      </c>
      <c r="BS515" s="41">
        <v>0.95699999999999996</v>
      </c>
    </row>
    <row r="516" spans="28:71">
      <c r="AB516" s="514"/>
      <c r="AC516" s="514"/>
      <c r="AD516" s="514"/>
      <c r="AE516" s="514"/>
      <c r="AF516" s="514"/>
      <c r="AG516" s="514"/>
      <c r="AH516" s="514"/>
      <c r="AI516" s="514"/>
      <c r="AJ516" s="514"/>
      <c r="AK516" s="514"/>
      <c r="AL516" s="514"/>
      <c r="AM516" s="514"/>
      <c r="AN516" s="514"/>
      <c r="AO516" s="514"/>
      <c r="AP516" s="514"/>
      <c r="AQ516" s="514"/>
      <c r="AR516" s="514"/>
      <c r="AS516" s="514"/>
      <c r="AT516" s="514"/>
      <c r="AU516" s="514"/>
      <c r="AV516" s="514"/>
      <c r="AW516" s="514"/>
      <c r="AX516" s="514"/>
      <c r="AY516" s="514"/>
      <c r="AZ516" s="514"/>
      <c r="BA516" s="514"/>
      <c r="BB516" s="514"/>
      <c r="BC516" s="520"/>
      <c r="BD516" s="2482"/>
      <c r="BE516" s="30">
        <v>39.700000000000003</v>
      </c>
      <c r="BF516" s="31">
        <v>0.82650000000000001</v>
      </c>
      <c r="BG516" s="32">
        <v>826.1</v>
      </c>
      <c r="BH516" s="33"/>
      <c r="BI516" s="30">
        <v>39.700000000000003</v>
      </c>
      <c r="BJ516" s="34">
        <v>3.1215000000000002</v>
      </c>
      <c r="BK516" s="35">
        <v>0.13109999999999999</v>
      </c>
      <c r="BL516" s="33"/>
      <c r="BM516" s="37">
        <v>1047</v>
      </c>
      <c r="BN516" s="38">
        <v>1.0477000000000001</v>
      </c>
      <c r="BO516" s="39">
        <v>3.56</v>
      </c>
      <c r="BP516" s="520"/>
      <c r="BQ516" s="40">
        <v>1047</v>
      </c>
      <c r="BR516" s="43">
        <v>1045.9000000000001</v>
      </c>
      <c r="BS516" s="41">
        <v>0.95609999999999995</v>
      </c>
    </row>
    <row r="517" spans="28:71">
      <c r="AB517" s="514"/>
      <c r="AC517" s="514"/>
      <c r="AD517" s="514"/>
      <c r="AE517" s="514"/>
      <c r="AF517" s="514"/>
      <c r="AG517" s="514"/>
      <c r="AH517" s="514"/>
      <c r="AI517" s="514"/>
      <c r="AJ517" s="514"/>
      <c r="AK517" s="514"/>
      <c r="AL517" s="514"/>
      <c r="AM517" s="514"/>
      <c r="AN517" s="514"/>
      <c r="AO517" s="514"/>
      <c r="AP517" s="514"/>
      <c r="AQ517" s="514"/>
      <c r="AR517" s="514"/>
      <c r="AS517" s="514"/>
      <c r="AT517" s="514"/>
      <c r="AU517" s="514"/>
      <c r="AV517" s="514"/>
      <c r="AW517" s="514"/>
      <c r="AX517" s="514"/>
      <c r="AY517" s="514"/>
      <c r="AZ517" s="514"/>
      <c r="BA517" s="514"/>
      <c r="BB517" s="514"/>
      <c r="BC517" s="520"/>
      <c r="BD517" s="2482"/>
      <c r="BE517" s="30">
        <v>39.799999999999997</v>
      </c>
      <c r="BF517" s="31">
        <v>0.82599999999999996</v>
      </c>
      <c r="BG517" s="32">
        <v>825.6</v>
      </c>
      <c r="BH517" s="33"/>
      <c r="BI517" s="30">
        <v>39.799999999999997</v>
      </c>
      <c r="BJ517" s="34">
        <v>3.1196000000000002</v>
      </c>
      <c r="BK517" s="35">
        <v>0.13103000000000001</v>
      </c>
      <c r="BL517" s="33"/>
      <c r="BM517" s="37">
        <v>1048</v>
      </c>
      <c r="BN517" s="38">
        <v>1.0487</v>
      </c>
      <c r="BO517" s="39">
        <v>3.43</v>
      </c>
      <c r="BP517" s="520"/>
      <c r="BQ517" s="40">
        <v>1048</v>
      </c>
      <c r="BR517" s="43">
        <v>1046.9000000000001</v>
      </c>
      <c r="BS517" s="41">
        <v>0.95520000000000005</v>
      </c>
    </row>
    <row r="518" spans="28:71">
      <c r="AB518" s="514"/>
      <c r="AC518" s="514"/>
      <c r="AD518" s="514"/>
      <c r="AE518" s="514"/>
      <c r="AF518" s="514"/>
      <c r="AG518" s="514"/>
      <c r="AH518" s="514"/>
      <c r="AI518" s="514"/>
      <c r="AJ518" s="514"/>
      <c r="AK518" s="514"/>
      <c r="AL518" s="514"/>
      <c r="AM518" s="514"/>
      <c r="AN518" s="514"/>
      <c r="AO518" s="514"/>
      <c r="AP518" s="514"/>
      <c r="AQ518" s="514"/>
      <c r="AR518" s="514"/>
      <c r="AS518" s="514"/>
      <c r="AT518" s="514"/>
      <c r="AU518" s="514"/>
      <c r="AV518" s="514"/>
      <c r="AW518" s="514"/>
      <c r="AX518" s="514"/>
      <c r="AY518" s="514"/>
      <c r="AZ518" s="514"/>
      <c r="BA518" s="514"/>
      <c r="BB518" s="514"/>
      <c r="BC518" s="520"/>
      <c r="BD518" s="2482"/>
      <c r="BE518" s="30">
        <v>39.9</v>
      </c>
      <c r="BF518" s="31">
        <v>0.8256</v>
      </c>
      <c r="BG518" s="32">
        <v>825.1</v>
      </c>
      <c r="BH518" s="33"/>
      <c r="BI518" s="30">
        <v>39.9</v>
      </c>
      <c r="BJ518" s="34">
        <v>3.1177999999999999</v>
      </c>
      <c r="BK518" s="35">
        <v>0.13095000000000001</v>
      </c>
      <c r="BL518" s="33"/>
      <c r="BM518" s="37">
        <v>1049</v>
      </c>
      <c r="BN518" s="38">
        <v>1.0497000000000001</v>
      </c>
      <c r="BO518" s="39">
        <v>3.3</v>
      </c>
      <c r="BP518" s="520"/>
      <c r="BQ518" s="40">
        <v>1049</v>
      </c>
      <c r="BR518" s="43">
        <v>1047.9000000000001</v>
      </c>
      <c r="BS518" s="41">
        <v>0.95430000000000004</v>
      </c>
    </row>
    <row r="519" spans="28:71">
      <c r="AB519" s="514"/>
      <c r="AC519" s="514"/>
      <c r="AD519" s="514"/>
      <c r="AE519" s="514"/>
      <c r="AF519" s="514"/>
      <c r="AG519" s="514"/>
      <c r="AH519" s="514"/>
      <c r="AI519" s="514"/>
      <c r="AJ519" s="514"/>
      <c r="AK519" s="514"/>
      <c r="AL519" s="514"/>
      <c r="AM519" s="514"/>
      <c r="AN519" s="514"/>
      <c r="AO519" s="514"/>
      <c r="AP519" s="514"/>
      <c r="AQ519" s="514"/>
      <c r="AR519" s="514"/>
      <c r="AS519" s="514"/>
      <c r="AT519" s="514"/>
      <c r="AU519" s="514"/>
      <c r="AV519" s="514"/>
      <c r="AW519" s="514"/>
      <c r="AX519" s="514"/>
      <c r="AY519" s="514"/>
      <c r="AZ519" s="514"/>
      <c r="BA519" s="514"/>
      <c r="BB519" s="514"/>
      <c r="BC519" s="520"/>
      <c r="BD519" s="2482"/>
      <c r="BE519" s="30">
        <v>40</v>
      </c>
      <c r="BF519" s="31">
        <v>0.82509999999999994</v>
      </c>
      <c r="BG519" s="32">
        <v>824.7</v>
      </c>
      <c r="BH519" s="33"/>
      <c r="BI519" s="30">
        <v>40</v>
      </c>
      <c r="BJ519" s="34">
        <v>3.1160000000000001</v>
      </c>
      <c r="BK519" s="35">
        <v>0.13086999999999999</v>
      </c>
      <c r="BL519" s="33"/>
      <c r="BM519" s="37">
        <v>1050</v>
      </c>
      <c r="BN519" s="38">
        <v>1.0507</v>
      </c>
      <c r="BO519" s="39">
        <v>3.18</v>
      </c>
      <c r="BP519" s="520"/>
      <c r="BQ519" s="40">
        <v>1050</v>
      </c>
      <c r="BR519" s="43">
        <v>1048.9000000000001</v>
      </c>
      <c r="BS519" s="41">
        <v>0.95330000000000004</v>
      </c>
    </row>
    <row r="520" spans="28:71">
      <c r="AB520" s="514"/>
      <c r="AC520" s="514"/>
      <c r="AD520" s="514"/>
      <c r="AE520" s="514"/>
      <c r="AF520" s="514"/>
      <c r="AG520" s="514"/>
      <c r="AH520" s="514"/>
      <c r="AI520" s="514"/>
      <c r="AJ520" s="514"/>
      <c r="AK520" s="514"/>
      <c r="AL520" s="514"/>
      <c r="AM520" s="514"/>
      <c r="AN520" s="514"/>
      <c r="AO520" s="514"/>
      <c r="AP520" s="514"/>
      <c r="AQ520" s="514"/>
      <c r="AR520" s="514"/>
      <c r="AS520" s="514"/>
      <c r="AT520" s="514"/>
      <c r="AU520" s="514"/>
      <c r="AV520" s="514"/>
      <c r="AW520" s="514"/>
      <c r="AX520" s="514"/>
      <c r="AY520" s="514"/>
      <c r="AZ520" s="514"/>
      <c r="BA520" s="514"/>
      <c r="BB520" s="514"/>
      <c r="BC520" s="520"/>
      <c r="BD520" s="2482"/>
      <c r="BE520" s="30">
        <v>40.1</v>
      </c>
      <c r="BF520" s="31">
        <v>0.8246</v>
      </c>
      <c r="BG520" s="32">
        <v>824.2</v>
      </c>
      <c r="BH520" s="33"/>
      <c r="BI520" s="30">
        <v>40.1</v>
      </c>
      <c r="BJ520" s="34">
        <v>3.1141999999999999</v>
      </c>
      <c r="BK520" s="35">
        <v>0.1308</v>
      </c>
      <c r="BL520" s="33"/>
      <c r="BM520" s="37">
        <v>1051</v>
      </c>
      <c r="BN520" s="38">
        <v>1.0517000000000001</v>
      </c>
      <c r="BO520" s="39">
        <v>3.05</v>
      </c>
      <c r="BP520" s="520"/>
      <c r="BQ520" s="40">
        <v>1051</v>
      </c>
      <c r="BR520" s="43">
        <v>1049.9000000000001</v>
      </c>
      <c r="BS520" s="41">
        <v>0.95240000000000002</v>
      </c>
    </row>
    <row r="521" spans="28:71">
      <c r="AB521" s="514"/>
      <c r="AC521" s="514"/>
      <c r="AD521" s="514"/>
      <c r="AE521" s="514"/>
      <c r="AF521" s="514"/>
      <c r="AG521" s="514"/>
      <c r="AH521" s="514"/>
      <c r="AI521" s="514"/>
      <c r="AJ521" s="514"/>
      <c r="AK521" s="514"/>
      <c r="AL521" s="514"/>
      <c r="AM521" s="514"/>
      <c r="AN521" s="514"/>
      <c r="AO521" s="514"/>
      <c r="AP521" s="514"/>
      <c r="AQ521" s="514"/>
      <c r="AR521" s="514"/>
      <c r="AS521" s="514"/>
      <c r="AT521" s="514"/>
      <c r="AU521" s="514"/>
      <c r="AV521" s="514"/>
      <c r="AW521" s="514"/>
      <c r="AX521" s="514"/>
      <c r="AY521" s="514"/>
      <c r="AZ521" s="514"/>
      <c r="BA521" s="514"/>
      <c r="BB521" s="514"/>
      <c r="BC521" s="520"/>
      <c r="BD521" s="2482"/>
      <c r="BE521" s="30">
        <v>40.200000000000003</v>
      </c>
      <c r="BF521" s="31">
        <v>0.82410000000000005</v>
      </c>
      <c r="BG521" s="32">
        <v>823.7</v>
      </c>
      <c r="BH521" s="33"/>
      <c r="BI521" s="30">
        <v>40.200000000000003</v>
      </c>
      <c r="BJ521" s="34">
        <v>3.1124000000000001</v>
      </c>
      <c r="BK521" s="35">
        <v>0.13072</v>
      </c>
      <c r="BL521" s="33"/>
      <c r="BM521" s="37">
        <v>1052</v>
      </c>
      <c r="BN521" s="38">
        <v>1.0527</v>
      </c>
      <c r="BO521" s="39">
        <v>2.92</v>
      </c>
      <c r="BP521" s="520"/>
      <c r="BQ521" s="40">
        <v>1052</v>
      </c>
      <c r="BR521" s="43">
        <v>1050.9000000000001</v>
      </c>
      <c r="BS521" s="41">
        <v>0.95150000000000001</v>
      </c>
    </row>
    <row r="522" spans="28:71">
      <c r="AB522" s="514"/>
      <c r="AC522" s="514"/>
      <c r="AD522" s="514"/>
      <c r="AE522" s="514"/>
      <c r="AF522" s="514"/>
      <c r="AG522" s="514"/>
      <c r="AH522" s="514"/>
      <c r="AI522" s="514"/>
      <c r="AJ522" s="514"/>
      <c r="AK522" s="514"/>
      <c r="AL522" s="514"/>
      <c r="AM522" s="514"/>
      <c r="AN522" s="514"/>
      <c r="AO522" s="514"/>
      <c r="AP522" s="514"/>
      <c r="AQ522" s="514"/>
      <c r="AR522" s="514"/>
      <c r="AS522" s="514"/>
      <c r="AT522" s="514"/>
      <c r="AU522" s="514"/>
      <c r="AV522" s="514"/>
      <c r="AW522" s="514"/>
      <c r="AX522" s="514"/>
      <c r="AY522" s="514"/>
      <c r="AZ522" s="514"/>
      <c r="BA522" s="514"/>
      <c r="BB522" s="514"/>
      <c r="BC522" s="520"/>
      <c r="BD522" s="2482"/>
      <c r="BE522" s="30">
        <v>40.299999999999997</v>
      </c>
      <c r="BF522" s="31">
        <v>0.8236</v>
      </c>
      <c r="BG522" s="32">
        <v>823.2</v>
      </c>
      <c r="BH522" s="33"/>
      <c r="BI522" s="30">
        <v>40.299999999999997</v>
      </c>
      <c r="BJ522" s="34">
        <v>3.1105999999999998</v>
      </c>
      <c r="BK522" s="35">
        <v>0.13064000000000001</v>
      </c>
      <c r="BL522" s="33"/>
      <c r="BM522" s="37">
        <v>1053</v>
      </c>
      <c r="BN522" s="38">
        <v>1.0537000000000001</v>
      </c>
      <c r="BO522" s="39">
        <v>2.79</v>
      </c>
      <c r="BP522" s="520"/>
      <c r="BQ522" s="40">
        <v>1053</v>
      </c>
      <c r="BR522" s="43">
        <v>1051.9000000000001</v>
      </c>
      <c r="BS522" s="41">
        <v>0.9506</v>
      </c>
    </row>
    <row r="523" spans="28:71">
      <c r="AB523" s="514"/>
      <c r="AC523" s="514"/>
      <c r="AD523" s="514"/>
      <c r="AE523" s="514"/>
      <c r="AF523" s="514"/>
      <c r="AG523" s="514"/>
      <c r="AH523" s="514"/>
      <c r="AI523" s="514"/>
      <c r="AJ523" s="514"/>
      <c r="AK523" s="514"/>
      <c r="AL523" s="514"/>
      <c r="AM523" s="514"/>
      <c r="AN523" s="514"/>
      <c r="AO523" s="514"/>
      <c r="AP523" s="514"/>
      <c r="AQ523" s="514"/>
      <c r="AR523" s="514"/>
      <c r="AS523" s="514"/>
      <c r="AT523" s="514"/>
      <c r="AU523" s="514"/>
      <c r="AV523" s="514"/>
      <c r="AW523" s="514"/>
      <c r="AX523" s="514"/>
      <c r="AY523" s="514"/>
      <c r="AZ523" s="514"/>
      <c r="BA523" s="514"/>
      <c r="BB523" s="514"/>
      <c r="BC523" s="520"/>
      <c r="BD523" s="2482"/>
      <c r="BE523" s="30">
        <v>40.4</v>
      </c>
      <c r="BF523" s="31">
        <v>0.82320000000000004</v>
      </c>
      <c r="BG523" s="32">
        <v>822.7</v>
      </c>
      <c r="BH523" s="33"/>
      <c r="BI523" s="30">
        <v>40.4</v>
      </c>
      <c r="BJ523" s="34">
        <v>3.1086999999999998</v>
      </c>
      <c r="BK523" s="35">
        <v>0.13056999999999999</v>
      </c>
      <c r="BL523" s="33"/>
      <c r="BM523" s="37">
        <v>1054</v>
      </c>
      <c r="BN523" s="38">
        <v>1.0547</v>
      </c>
      <c r="BO523" s="39">
        <v>2.66</v>
      </c>
      <c r="BP523" s="520"/>
      <c r="BQ523" s="40">
        <v>1054</v>
      </c>
      <c r="BR523" s="43">
        <v>1052.9000000000001</v>
      </c>
      <c r="BS523" s="41">
        <v>0.94969999999999999</v>
      </c>
    </row>
    <row r="524" spans="28:71">
      <c r="AB524" s="514"/>
      <c r="AC524" s="514"/>
      <c r="AD524" s="514"/>
      <c r="AE524" s="514"/>
      <c r="AF524" s="514"/>
      <c r="AG524" s="514"/>
      <c r="AH524" s="514"/>
      <c r="AI524" s="514"/>
      <c r="AJ524" s="514"/>
      <c r="AK524" s="514"/>
      <c r="AL524" s="514"/>
      <c r="AM524" s="514"/>
      <c r="AN524" s="514"/>
      <c r="AO524" s="514"/>
      <c r="AP524" s="514"/>
      <c r="AQ524" s="514"/>
      <c r="AR524" s="514"/>
      <c r="AS524" s="514"/>
      <c r="AT524" s="514"/>
      <c r="AU524" s="514"/>
      <c r="AV524" s="514"/>
      <c r="AW524" s="514"/>
      <c r="AX524" s="514"/>
      <c r="AY524" s="514"/>
      <c r="AZ524" s="514"/>
      <c r="BA524" s="514"/>
      <c r="BB524" s="514"/>
      <c r="BC524" s="520"/>
      <c r="BD524" s="2482"/>
      <c r="BE524" s="30">
        <v>40.5</v>
      </c>
      <c r="BF524" s="31">
        <v>0.82269999999999999</v>
      </c>
      <c r="BG524" s="32">
        <v>822.3</v>
      </c>
      <c r="BH524" s="33"/>
      <c r="BI524" s="30">
        <v>40.5</v>
      </c>
      <c r="BJ524" s="34">
        <v>3.1069</v>
      </c>
      <c r="BK524" s="35">
        <v>0.13048999999999999</v>
      </c>
      <c r="BL524" s="33"/>
      <c r="BM524" s="37">
        <v>1055</v>
      </c>
      <c r="BN524" s="38">
        <v>1.0557000000000001</v>
      </c>
      <c r="BO524" s="39">
        <v>2.54</v>
      </c>
      <c r="BP524" s="520"/>
      <c r="BQ524" s="40">
        <v>1055</v>
      </c>
      <c r="BR524" s="43">
        <v>1053.9000000000001</v>
      </c>
      <c r="BS524" s="41">
        <v>0.94879999999999998</v>
      </c>
    </row>
    <row r="525" spans="28:71">
      <c r="AB525" s="514"/>
      <c r="AC525" s="514"/>
      <c r="AD525" s="514"/>
      <c r="AE525" s="514"/>
      <c r="AF525" s="514"/>
      <c r="AG525" s="514"/>
      <c r="AH525" s="514"/>
      <c r="AI525" s="514"/>
      <c r="AJ525" s="514"/>
      <c r="AK525" s="514"/>
      <c r="AL525" s="514"/>
      <c r="AM525" s="514"/>
      <c r="AN525" s="514"/>
      <c r="AO525" s="514"/>
      <c r="AP525" s="514"/>
      <c r="AQ525" s="514"/>
      <c r="AR525" s="514"/>
      <c r="AS525" s="514"/>
      <c r="AT525" s="514"/>
      <c r="AU525" s="514"/>
      <c r="AV525" s="514"/>
      <c r="AW525" s="514"/>
      <c r="AX525" s="514"/>
      <c r="AY525" s="514"/>
      <c r="AZ525" s="514"/>
      <c r="BA525" s="514"/>
      <c r="BB525" s="514"/>
      <c r="BC525" s="520"/>
      <c r="BD525" s="2482"/>
      <c r="BE525" s="30">
        <v>40.6</v>
      </c>
      <c r="BF525" s="31">
        <v>0.82220000000000004</v>
      </c>
      <c r="BG525" s="32">
        <v>821.8</v>
      </c>
      <c r="BH525" s="33"/>
      <c r="BI525" s="30">
        <v>40.6</v>
      </c>
      <c r="BJ525" s="34">
        <v>3.1051000000000002</v>
      </c>
      <c r="BK525" s="35">
        <v>0.13042000000000001</v>
      </c>
      <c r="BL525" s="33"/>
      <c r="BM525" s="37">
        <v>1056</v>
      </c>
      <c r="BN525" s="38">
        <v>1.0567</v>
      </c>
      <c r="BO525" s="39">
        <v>2.41</v>
      </c>
      <c r="BP525" s="520"/>
      <c r="BQ525" s="40">
        <v>1056</v>
      </c>
      <c r="BR525" s="43">
        <v>1054.9000000000001</v>
      </c>
      <c r="BS525" s="41">
        <v>0.94789999999999996</v>
      </c>
    </row>
    <row r="526" spans="28:71">
      <c r="AB526" s="514"/>
      <c r="AC526" s="514"/>
      <c r="AD526" s="514"/>
      <c r="AE526" s="514"/>
      <c r="AF526" s="514"/>
      <c r="AG526" s="514"/>
      <c r="AH526" s="514"/>
      <c r="AI526" s="514"/>
      <c r="AJ526" s="514"/>
      <c r="AK526" s="514"/>
      <c r="AL526" s="514"/>
      <c r="AM526" s="514"/>
      <c r="AN526" s="514"/>
      <c r="AO526" s="514"/>
      <c r="AP526" s="514"/>
      <c r="AQ526" s="514"/>
      <c r="AR526" s="514"/>
      <c r="AS526" s="514"/>
      <c r="AT526" s="514"/>
      <c r="AU526" s="514"/>
      <c r="AV526" s="514"/>
      <c r="AW526" s="514"/>
      <c r="AX526" s="514"/>
      <c r="AY526" s="514"/>
      <c r="AZ526" s="514"/>
      <c r="BA526" s="514"/>
      <c r="BB526" s="514"/>
      <c r="BC526" s="520"/>
      <c r="BD526" s="2482"/>
      <c r="BE526" s="30">
        <v>40.700000000000003</v>
      </c>
      <c r="BF526" s="31">
        <v>0.82169999999999999</v>
      </c>
      <c r="BG526" s="32">
        <v>821.3</v>
      </c>
      <c r="BH526" s="33"/>
      <c r="BI526" s="30">
        <v>40.700000000000003</v>
      </c>
      <c r="BJ526" s="34">
        <v>3.1032999999999999</v>
      </c>
      <c r="BK526" s="35">
        <v>0.13034000000000001</v>
      </c>
      <c r="BL526" s="33"/>
      <c r="BM526" s="37">
        <v>1057</v>
      </c>
      <c r="BN526" s="38">
        <v>1.0577000000000001</v>
      </c>
      <c r="BO526" s="39">
        <v>2.2799999999999998</v>
      </c>
      <c r="BP526" s="520"/>
      <c r="BQ526" s="40">
        <v>1057</v>
      </c>
      <c r="BR526" s="43">
        <v>1055.9000000000001</v>
      </c>
      <c r="BS526" s="41">
        <v>0.94699999999999995</v>
      </c>
    </row>
    <row r="527" spans="28:71">
      <c r="AB527" s="514"/>
      <c r="AC527" s="514"/>
      <c r="AD527" s="514"/>
      <c r="AE527" s="514"/>
      <c r="AF527" s="514"/>
      <c r="AG527" s="514"/>
      <c r="AH527" s="514"/>
      <c r="AI527" s="514"/>
      <c r="AJ527" s="514"/>
      <c r="AK527" s="514"/>
      <c r="AL527" s="514"/>
      <c r="AM527" s="514"/>
      <c r="AN527" s="514"/>
      <c r="AO527" s="514"/>
      <c r="AP527" s="514"/>
      <c r="AQ527" s="514"/>
      <c r="AR527" s="514"/>
      <c r="AS527" s="514"/>
      <c r="AT527" s="514"/>
      <c r="AU527" s="514"/>
      <c r="AV527" s="514"/>
      <c r="AW527" s="514"/>
      <c r="AX527" s="514"/>
      <c r="AY527" s="514"/>
      <c r="AZ527" s="514"/>
      <c r="BA527" s="514"/>
      <c r="BB527" s="514"/>
      <c r="BC527" s="520"/>
      <c r="BD527" s="2482"/>
      <c r="BE527" s="30">
        <v>40.799999999999997</v>
      </c>
      <c r="BF527" s="31">
        <v>0.82120000000000004</v>
      </c>
      <c r="BG527" s="32">
        <v>820.8</v>
      </c>
      <c r="BH527" s="33"/>
      <c r="BI527" s="30">
        <v>40.799999999999997</v>
      </c>
      <c r="BJ527" s="34">
        <v>3.1015000000000001</v>
      </c>
      <c r="BK527" s="35">
        <v>0.13025999999999999</v>
      </c>
      <c r="BL527" s="33"/>
      <c r="BM527" s="37">
        <v>1058</v>
      </c>
      <c r="BN527" s="38">
        <v>1.0587</v>
      </c>
      <c r="BO527" s="39">
        <v>2.16</v>
      </c>
      <c r="BP527" s="520"/>
      <c r="BQ527" s="40">
        <v>1058</v>
      </c>
      <c r="BR527" s="43">
        <v>1056.9000000000001</v>
      </c>
      <c r="BS527" s="41">
        <v>0.94610000000000005</v>
      </c>
    </row>
    <row r="528" spans="28:71">
      <c r="AB528" s="514"/>
      <c r="AC528" s="514"/>
      <c r="AD528" s="514"/>
      <c r="AE528" s="514"/>
      <c r="AF528" s="514"/>
      <c r="AG528" s="514"/>
      <c r="AH528" s="514"/>
      <c r="AI528" s="514"/>
      <c r="AJ528" s="514"/>
      <c r="AK528" s="514"/>
      <c r="AL528" s="514"/>
      <c r="AM528" s="514"/>
      <c r="AN528" s="514"/>
      <c r="AO528" s="514"/>
      <c r="AP528" s="514"/>
      <c r="AQ528" s="514"/>
      <c r="AR528" s="514"/>
      <c r="AS528" s="514"/>
      <c r="AT528" s="514"/>
      <c r="AU528" s="514"/>
      <c r="AV528" s="514"/>
      <c r="AW528" s="514"/>
      <c r="AX528" s="514"/>
      <c r="AY528" s="514"/>
      <c r="AZ528" s="514"/>
      <c r="BA528" s="514"/>
      <c r="BB528" s="514"/>
      <c r="BC528" s="520"/>
      <c r="BD528" s="2482"/>
      <c r="BE528" s="30">
        <v>40.9</v>
      </c>
      <c r="BF528" s="31">
        <v>0.82079999999999997</v>
      </c>
      <c r="BG528" s="32">
        <v>820.4</v>
      </c>
      <c r="BH528" s="33"/>
      <c r="BI528" s="30">
        <v>40.9</v>
      </c>
      <c r="BJ528" s="34">
        <v>3.0996999999999999</v>
      </c>
      <c r="BK528" s="35">
        <v>0.13019</v>
      </c>
      <c r="BL528" s="33"/>
      <c r="BM528" s="37">
        <v>1059</v>
      </c>
      <c r="BN528" s="38">
        <v>1.0597000000000001</v>
      </c>
      <c r="BO528" s="39">
        <v>2.0299999999999998</v>
      </c>
      <c r="BP528" s="520"/>
      <c r="BQ528" s="40">
        <v>1059</v>
      </c>
      <c r="BR528" s="43">
        <v>1057.9000000000001</v>
      </c>
      <c r="BS528" s="41">
        <v>0.94520000000000004</v>
      </c>
    </row>
    <row r="529" spans="28:71">
      <c r="AB529" s="514"/>
      <c r="AC529" s="514"/>
      <c r="AD529" s="514"/>
      <c r="AE529" s="514"/>
      <c r="AF529" s="514"/>
      <c r="AG529" s="514"/>
      <c r="AH529" s="514"/>
      <c r="AI529" s="514"/>
      <c r="AJ529" s="514"/>
      <c r="AK529" s="514"/>
      <c r="AL529" s="514"/>
      <c r="AM529" s="514"/>
      <c r="AN529" s="514"/>
      <c r="AO529" s="514"/>
      <c r="AP529" s="514"/>
      <c r="AQ529" s="514"/>
      <c r="AR529" s="514"/>
      <c r="AS529" s="514"/>
      <c r="AT529" s="514"/>
      <c r="AU529" s="514"/>
      <c r="AV529" s="514"/>
      <c r="AW529" s="514"/>
      <c r="AX529" s="514"/>
      <c r="AY529" s="514"/>
      <c r="AZ529" s="514"/>
      <c r="BA529" s="514"/>
      <c r="BB529" s="514"/>
      <c r="BC529" s="520"/>
      <c r="BD529" s="2482"/>
      <c r="BE529" s="30">
        <v>41</v>
      </c>
      <c r="BF529" s="31">
        <v>0.82030000000000003</v>
      </c>
      <c r="BG529" s="32">
        <v>819.9</v>
      </c>
      <c r="BH529" s="33"/>
      <c r="BI529" s="30">
        <v>41</v>
      </c>
      <c r="BJ529" s="34">
        <v>3.0979000000000001</v>
      </c>
      <c r="BK529" s="35">
        <v>0.13011</v>
      </c>
      <c r="BL529" s="33"/>
      <c r="BM529" s="37">
        <v>1060</v>
      </c>
      <c r="BN529" s="38">
        <v>1.0607</v>
      </c>
      <c r="BO529" s="39">
        <v>1.91</v>
      </c>
      <c r="BP529" s="520"/>
      <c r="BQ529" s="40">
        <v>1060</v>
      </c>
      <c r="BR529" s="43">
        <v>1058.9000000000001</v>
      </c>
      <c r="BS529" s="41">
        <v>0.94430000000000003</v>
      </c>
    </row>
    <row r="530" spans="28:71">
      <c r="AB530" s="514"/>
      <c r="AC530" s="514"/>
      <c r="AD530" s="514"/>
      <c r="AE530" s="514"/>
      <c r="AF530" s="514"/>
      <c r="AG530" s="514"/>
      <c r="AH530" s="514"/>
      <c r="AI530" s="514"/>
      <c r="AJ530" s="514"/>
      <c r="AK530" s="514"/>
      <c r="AL530" s="514"/>
      <c r="AM530" s="514"/>
      <c r="AN530" s="514"/>
      <c r="AO530" s="514"/>
      <c r="AP530" s="514"/>
      <c r="AQ530" s="514"/>
      <c r="AR530" s="514"/>
      <c r="AS530" s="514"/>
      <c r="AT530" s="514"/>
      <c r="AU530" s="514"/>
      <c r="AV530" s="514"/>
      <c r="AW530" s="514"/>
      <c r="AX530" s="514"/>
      <c r="AY530" s="514"/>
      <c r="AZ530" s="514"/>
      <c r="BA530" s="514"/>
      <c r="BB530" s="514"/>
      <c r="BC530" s="520"/>
      <c r="BD530" s="2482"/>
      <c r="BE530" s="30">
        <v>41.1</v>
      </c>
      <c r="BF530" s="31">
        <v>0.81979999999999997</v>
      </c>
      <c r="BG530" s="32">
        <v>819.4</v>
      </c>
      <c r="BH530" s="33"/>
      <c r="BI530" s="30">
        <v>41.1</v>
      </c>
      <c r="BJ530" s="34">
        <v>3.0960999999999999</v>
      </c>
      <c r="BK530" s="35">
        <v>0.13003999999999999</v>
      </c>
      <c r="BL530" s="33"/>
      <c r="BM530" s="37">
        <v>1061</v>
      </c>
      <c r="BN530" s="38">
        <v>1.0617000000000001</v>
      </c>
      <c r="BO530" s="39">
        <v>1.78</v>
      </c>
      <c r="BP530" s="520"/>
      <c r="BQ530" s="40">
        <v>1061</v>
      </c>
      <c r="BR530" s="43">
        <v>1059.9000000000001</v>
      </c>
      <c r="BS530" s="41">
        <v>0.94340000000000002</v>
      </c>
    </row>
    <row r="531" spans="28:71">
      <c r="AB531" s="514"/>
      <c r="AC531" s="514"/>
      <c r="AD531" s="514"/>
      <c r="AE531" s="514"/>
      <c r="AF531" s="514"/>
      <c r="AG531" s="514"/>
      <c r="AH531" s="514"/>
      <c r="AI531" s="514"/>
      <c r="AJ531" s="514"/>
      <c r="AK531" s="514"/>
      <c r="AL531" s="514"/>
      <c r="AM531" s="514"/>
      <c r="AN531" s="514"/>
      <c r="AO531" s="514"/>
      <c r="AP531" s="514"/>
      <c r="AQ531" s="514"/>
      <c r="AR531" s="514"/>
      <c r="AS531" s="514"/>
      <c r="AT531" s="514"/>
      <c r="AU531" s="514"/>
      <c r="AV531" s="514"/>
      <c r="AW531" s="514"/>
      <c r="AX531" s="514"/>
      <c r="AY531" s="514"/>
      <c r="AZ531" s="514"/>
      <c r="BA531" s="514"/>
      <c r="BB531" s="514"/>
      <c r="BC531" s="520"/>
      <c r="BD531" s="2482"/>
      <c r="BE531" s="30">
        <v>41.2</v>
      </c>
      <c r="BF531" s="31">
        <v>0.81930000000000003</v>
      </c>
      <c r="BG531" s="32">
        <v>818.9</v>
      </c>
      <c r="BH531" s="33"/>
      <c r="BI531" s="30">
        <v>41.2</v>
      </c>
      <c r="BJ531" s="34">
        <v>3.0943000000000001</v>
      </c>
      <c r="BK531" s="35">
        <v>0.12995999999999999</v>
      </c>
      <c r="BL531" s="33"/>
      <c r="BM531" s="37">
        <v>1062</v>
      </c>
      <c r="BN531" s="38">
        <v>1.0627</v>
      </c>
      <c r="BO531" s="39">
        <v>1.65</v>
      </c>
      <c r="BP531" s="520"/>
      <c r="BQ531" s="40">
        <v>1062</v>
      </c>
      <c r="BR531" s="43">
        <v>1060.9000000000001</v>
      </c>
      <c r="BS531" s="41">
        <v>0.94259999999999999</v>
      </c>
    </row>
    <row r="532" spans="28:71">
      <c r="AB532" s="514"/>
      <c r="AC532" s="514"/>
      <c r="AD532" s="514"/>
      <c r="AE532" s="514"/>
      <c r="AF532" s="514"/>
      <c r="AG532" s="514"/>
      <c r="AH532" s="514"/>
      <c r="AI532" s="514"/>
      <c r="AJ532" s="514"/>
      <c r="AK532" s="514"/>
      <c r="AL532" s="514"/>
      <c r="AM532" s="514"/>
      <c r="AN532" s="514"/>
      <c r="AO532" s="514"/>
      <c r="AP532" s="514"/>
      <c r="AQ532" s="514"/>
      <c r="AR532" s="514"/>
      <c r="AS532" s="514"/>
      <c r="AT532" s="514"/>
      <c r="AU532" s="514"/>
      <c r="AV532" s="514"/>
      <c r="AW532" s="514"/>
      <c r="AX532" s="514"/>
      <c r="AY532" s="514"/>
      <c r="AZ532" s="514"/>
      <c r="BA532" s="514"/>
      <c r="BB532" s="514"/>
      <c r="BC532" s="520"/>
      <c r="BD532" s="2482"/>
      <c r="BE532" s="30">
        <v>41.3</v>
      </c>
      <c r="BF532" s="31">
        <v>0.81889999999999996</v>
      </c>
      <c r="BG532" s="32">
        <v>818.5</v>
      </c>
      <c r="BH532" s="33"/>
      <c r="BI532" s="30">
        <v>41.3</v>
      </c>
      <c r="BJ532" s="34">
        <v>3.0924999999999998</v>
      </c>
      <c r="BK532" s="35">
        <v>0.12989000000000001</v>
      </c>
      <c r="BL532" s="33"/>
      <c r="BM532" s="37">
        <v>1063</v>
      </c>
      <c r="BN532" s="38">
        <v>1.0637000000000001</v>
      </c>
      <c r="BO532" s="39">
        <v>1.53</v>
      </c>
      <c r="BP532" s="520"/>
      <c r="BQ532" s="40">
        <v>1063</v>
      </c>
      <c r="BR532" s="43">
        <v>1061.9000000000001</v>
      </c>
      <c r="BS532" s="41">
        <v>0.94169999999999998</v>
      </c>
    </row>
    <row r="533" spans="28:71">
      <c r="AB533" s="514"/>
      <c r="AC533" s="514"/>
      <c r="AD533" s="514"/>
      <c r="AE533" s="514"/>
      <c r="AF533" s="514"/>
      <c r="AG533" s="514"/>
      <c r="AH533" s="514"/>
      <c r="AI533" s="514"/>
      <c r="AJ533" s="514"/>
      <c r="AK533" s="514"/>
      <c r="AL533" s="514"/>
      <c r="AM533" s="514"/>
      <c r="AN533" s="514"/>
      <c r="AO533" s="514"/>
      <c r="AP533" s="514"/>
      <c r="AQ533" s="514"/>
      <c r="AR533" s="514"/>
      <c r="AS533" s="514"/>
      <c r="AT533" s="514"/>
      <c r="AU533" s="514"/>
      <c r="AV533" s="514"/>
      <c r="AW533" s="514"/>
      <c r="AX533" s="514"/>
      <c r="AY533" s="514"/>
      <c r="AZ533" s="514"/>
      <c r="BA533" s="514"/>
      <c r="BB533" s="514"/>
      <c r="BC533" s="520"/>
      <c r="BD533" s="2482"/>
      <c r="BE533" s="30">
        <v>41.4</v>
      </c>
      <c r="BF533" s="31">
        <v>0.81840000000000002</v>
      </c>
      <c r="BG533" s="32">
        <v>818</v>
      </c>
      <c r="BH533" s="33"/>
      <c r="BI533" s="30">
        <v>41.4</v>
      </c>
      <c r="BJ533" s="34">
        <v>3.0907</v>
      </c>
      <c r="BK533" s="35">
        <v>0.12981000000000001</v>
      </c>
      <c r="BL533" s="33"/>
      <c r="BM533" s="37">
        <v>1064</v>
      </c>
      <c r="BN533" s="38">
        <v>1.0647</v>
      </c>
      <c r="BO533" s="39">
        <v>1.4</v>
      </c>
      <c r="BP533" s="520"/>
      <c r="BQ533" s="40">
        <v>1064</v>
      </c>
      <c r="BR533" s="43">
        <v>1062.9000000000001</v>
      </c>
      <c r="BS533" s="41">
        <v>0.94079999999999997</v>
      </c>
    </row>
    <row r="534" spans="28:71">
      <c r="AB534" s="514"/>
      <c r="AC534" s="514"/>
      <c r="AD534" s="514"/>
      <c r="AE534" s="514"/>
      <c r="AF534" s="514"/>
      <c r="AG534" s="514"/>
      <c r="AH534" s="514"/>
      <c r="AI534" s="514"/>
      <c r="AJ534" s="514"/>
      <c r="AK534" s="514"/>
      <c r="AL534" s="514"/>
      <c r="AM534" s="514"/>
      <c r="AN534" s="514"/>
      <c r="AO534" s="514"/>
      <c r="AP534" s="514"/>
      <c r="AQ534" s="514"/>
      <c r="AR534" s="514"/>
      <c r="AS534" s="514"/>
      <c r="AT534" s="514"/>
      <c r="AU534" s="514"/>
      <c r="AV534" s="514"/>
      <c r="AW534" s="514"/>
      <c r="AX534" s="514"/>
      <c r="AY534" s="514"/>
      <c r="AZ534" s="514"/>
      <c r="BA534" s="514"/>
      <c r="BB534" s="514"/>
      <c r="BC534" s="520"/>
      <c r="BD534" s="2482"/>
      <c r="BE534" s="30">
        <v>41.5</v>
      </c>
      <c r="BF534" s="31">
        <v>0.81789999999999996</v>
      </c>
      <c r="BG534" s="32">
        <v>817.5</v>
      </c>
      <c r="BH534" s="33"/>
      <c r="BI534" s="30">
        <v>41.5</v>
      </c>
      <c r="BJ534" s="34">
        <v>3.0889000000000002</v>
      </c>
      <c r="BK534" s="35">
        <v>0.12973999999999999</v>
      </c>
      <c r="BL534" s="33"/>
      <c r="BM534" s="37">
        <v>1065</v>
      </c>
      <c r="BN534" s="38">
        <v>1.0657000000000001</v>
      </c>
      <c r="BO534" s="39">
        <v>1.28</v>
      </c>
      <c r="BP534" s="520"/>
      <c r="BQ534" s="40">
        <v>1065</v>
      </c>
      <c r="BR534" s="43">
        <v>1063.9000000000001</v>
      </c>
      <c r="BS534" s="41">
        <v>0.93989999999999996</v>
      </c>
    </row>
    <row r="535" spans="28:71">
      <c r="AB535" s="514"/>
      <c r="AC535" s="514"/>
      <c r="AD535" s="514"/>
      <c r="AE535" s="514"/>
      <c r="AF535" s="514"/>
      <c r="AG535" s="514"/>
      <c r="AH535" s="514"/>
      <c r="AI535" s="514"/>
      <c r="AJ535" s="514"/>
      <c r="AK535" s="514"/>
      <c r="AL535" s="514"/>
      <c r="AM535" s="514"/>
      <c r="AN535" s="514"/>
      <c r="AO535" s="514"/>
      <c r="AP535" s="514"/>
      <c r="AQ535" s="514"/>
      <c r="AR535" s="514"/>
      <c r="AS535" s="514"/>
      <c r="AT535" s="514"/>
      <c r="AU535" s="514"/>
      <c r="AV535" s="514"/>
      <c r="AW535" s="514"/>
      <c r="AX535" s="514"/>
      <c r="AY535" s="514"/>
      <c r="AZ535" s="514"/>
      <c r="BA535" s="514"/>
      <c r="BB535" s="514"/>
      <c r="BC535" s="520"/>
      <c r="BD535" s="2482"/>
      <c r="BE535" s="30">
        <v>41.6</v>
      </c>
      <c r="BF535" s="31">
        <v>0.81740000000000002</v>
      </c>
      <c r="BG535" s="32">
        <v>817</v>
      </c>
      <c r="BH535" s="33"/>
      <c r="BI535" s="30">
        <v>41.6</v>
      </c>
      <c r="BJ535" s="34">
        <v>3.0872000000000002</v>
      </c>
      <c r="BK535" s="35">
        <v>0.12966</v>
      </c>
      <c r="BL535" s="33"/>
      <c r="BM535" s="37">
        <v>1066</v>
      </c>
      <c r="BN535" s="38">
        <v>1.0667</v>
      </c>
      <c r="BO535" s="39">
        <v>1.1499999999999999</v>
      </c>
      <c r="BP535" s="520"/>
      <c r="BQ535" s="40">
        <v>1066</v>
      </c>
      <c r="BR535" s="43">
        <v>1064.9000000000001</v>
      </c>
      <c r="BS535" s="41">
        <v>0.93899999999999995</v>
      </c>
    </row>
    <row r="536" spans="28:71">
      <c r="AB536" s="514"/>
      <c r="AC536" s="514"/>
      <c r="AD536" s="514"/>
      <c r="AE536" s="514"/>
      <c r="AF536" s="514"/>
      <c r="AG536" s="514"/>
      <c r="AH536" s="514"/>
      <c r="AI536" s="514"/>
      <c r="AJ536" s="514"/>
      <c r="AK536" s="514"/>
      <c r="AL536" s="514"/>
      <c r="AM536" s="514"/>
      <c r="AN536" s="514"/>
      <c r="AO536" s="514"/>
      <c r="AP536" s="514"/>
      <c r="AQ536" s="514"/>
      <c r="AR536" s="514"/>
      <c r="AS536" s="514"/>
      <c r="AT536" s="514"/>
      <c r="AU536" s="514"/>
      <c r="AV536" s="514"/>
      <c r="AW536" s="514"/>
      <c r="AX536" s="514"/>
      <c r="AY536" s="514"/>
      <c r="AZ536" s="514"/>
      <c r="BA536" s="514"/>
      <c r="BB536" s="514"/>
      <c r="BC536" s="520"/>
      <c r="BD536" s="2482"/>
      <c r="BE536" s="30">
        <v>41.7</v>
      </c>
      <c r="BF536" s="31">
        <v>0.81699999999999995</v>
      </c>
      <c r="BG536" s="32">
        <v>816.6</v>
      </c>
      <c r="BH536" s="33"/>
      <c r="BI536" s="30">
        <v>41.7</v>
      </c>
      <c r="BJ536" s="34">
        <v>3.0853999999999999</v>
      </c>
      <c r="BK536" s="35">
        <v>0.12959000000000001</v>
      </c>
      <c r="BL536" s="33"/>
      <c r="BM536" s="37">
        <v>1067</v>
      </c>
      <c r="BN536" s="38">
        <v>1.0677000000000001</v>
      </c>
      <c r="BO536" s="39">
        <v>1.03</v>
      </c>
      <c r="BP536" s="520"/>
      <c r="BQ536" s="40">
        <v>1067</v>
      </c>
      <c r="BR536" s="43">
        <v>1065.9000000000001</v>
      </c>
      <c r="BS536" s="41">
        <v>0.93810000000000004</v>
      </c>
    </row>
    <row r="537" spans="28:71">
      <c r="AB537" s="514"/>
      <c r="AC537" s="514"/>
      <c r="AD537" s="514"/>
      <c r="AE537" s="514"/>
      <c r="AF537" s="514"/>
      <c r="AG537" s="514"/>
      <c r="AH537" s="514"/>
      <c r="AI537" s="514"/>
      <c r="AJ537" s="514"/>
      <c r="AK537" s="514"/>
      <c r="AL537" s="514"/>
      <c r="AM537" s="514"/>
      <c r="AN537" s="514"/>
      <c r="AO537" s="514"/>
      <c r="AP537" s="514"/>
      <c r="AQ537" s="514"/>
      <c r="AR537" s="514"/>
      <c r="AS537" s="514"/>
      <c r="AT537" s="514"/>
      <c r="AU537" s="514"/>
      <c r="AV537" s="514"/>
      <c r="AW537" s="514"/>
      <c r="AX537" s="514"/>
      <c r="AY537" s="514"/>
      <c r="AZ537" s="514"/>
      <c r="BA537" s="514"/>
      <c r="BB537" s="514"/>
      <c r="BC537" s="520"/>
      <c r="BD537" s="2482"/>
      <c r="BE537" s="30">
        <v>41.8</v>
      </c>
      <c r="BF537" s="31">
        <v>0.8165</v>
      </c>
      <c r="BG537" s="32">
        <v>816.1</v>
      </c>
      <c r="BH537" s="33"/>
      <c r="BI537" s="30">
        <v>41.8</v>
      </c>
      <c r="BJ537" s="34">
        <v>3.0836000000000001</v>
      </c>
      <c r="BK537" s="35">
        <v>0.12950999999999999</v>
      </c>
      <c r="BL537" s="33"/>
      <c r="BM537" s="37">
        <v>1068</v>
      </c>
      <c r="BN537" s="38">
        <v>1.0687</v>
      </c>
      <c r="BO537" s="39">
        <v>0.91</v>
      </c>
      <c r="BP537" s="520"/>
      <c r="BQ537" s="40">
        <v>1068</v>
      </c>
      <c r="BR537" s="43">
        <v>1066.9000000000001</v>
      </c>
      <c r="BS537" s="41">
        <v>0.93730000000000002</v>
      </c>
    </row>
    <row r="538" spans="28:71">
      <c r="AB538" s="514"/>
      <c r="AC538" s="514"/>
      <c r="AD538" s="514"/>
      <c r="AE538" s="514"/>
      <c r="AF538" s="514"/>
      <c r="AG538" s="514"/>
      <c r="AH538" s="514"/>
      <c r="AI538" s="514"/>
      <c r="AJ538" s="514"/>
      <c r="AK538" s="514"/>
      <c r="AL538" s="514"/>
      <c r="AM538" s="514"/>
      <c r="AN538" s="514"/>
      <c r="AO538" s="514"/>
      <c r="AP538" s="514"/>
      <c r="AQ538" s="514"/>
      <c r="AR538" s="514"/>
      <c r="AS538" s="514"/>
      <c r="AT538" s="514"/>
      <c r="AU538" s="514"/>
      <c r="AV538" s="514"/>
      <c r="AW538" s="514"/>
      <c r="AX538" s="514"/>
      <c r="AY538" s="514"/>
      <c r="AZ538" s="514"/>
      <c r="BA538" s="514"/>
      <c r="BB538" s="514"/>
      <c r="BC538" s="520"/>
      <c r="BD538" s="2482"/>
      <c r="BE538" s="30">
        <v>41.9</v>
      </c>
      <c r="BF538" s="31">
        <v>0.81599999999999995</v>
      </c>
      <c r="BG538" s="32">
        <v>815.6</v>
      </c>
      <c r="BH538" s="33"/>
      <c r="BI538" s="30">
        <v>41.9</v>
      </c>
      <c r="BJ538" s="34">
        <v>3.0817999999999999</v>
      </c>
      <c r="BK538" s="35">
        <v>0.12944</v>
      </c>
      <c r="BL538" s="33"/>
      <c r="BM538" s="37">
        <v>1069</v>
      </c>
      <c r="BN538" s="38">
        <v>1.0697000000000001</v>
      </c>
      <c r="BO538" s="39">
        <v>0.78</v>
      </c>
      <c r="BP538" s="520"/>
      <c r="BQ538" s="40">
        <v>1069</v>
      </c>
      <c r="BR538" s="43">
        <v>1067.9000000000001</v>
      </c>
      <c r="BS538" s="41">
        <v>0.93640000000000001</v>
      </c>
    </row>
    <row r="539" spans="28:71">
      <c r="AB539" s="514"/>
      <c r="AC539" s="514"/>
      <c r="AD539" s="514"/>
      <c r="AE539" s="514"/>
      <c r="AF539" s="514"/>
      <c r="AG539" s="514"/>
      <c r="AH539" s="514"/>
      <c r="AI539" s="514"/>
      <c r="AJ539" s="514"/>
      <c r="AK539" s="514"/>
      <c r="AL539" s="514"/>
      <c r="AM539" s="514"/>
      <c r="AN539" s="514"/>
      <c r="AO539" s="514"/>
      <c r="AP539" s="514"/>
      <c r="AQ539" s="514"/>
      <c r="AR539" s="514"/>
      <c r="AS539" s="514"/>
      <c r="AT539" s="514"/>
      <c r="AU539" s="514"/>
      <c r="AV539" s="514"/>
      <c r="AW539" s="514"/>
      <c r="AX539" s="514"/>
      <c r="AY539" s="514"/>
      <c r="AZ539" s="514"/>
      <c r="BA539" s="514"/>
      <c r="BB539" s="514"/>
      <c r="BC539" s="520"/>
      <c r="BD539" s="2482"/>
      <c r="BE539" s="30">
        <v>42</v>
      </c>
      <c r="BF539" s="31">
        <v>0.81559999999999999</v>
      </c>
      <c r="BG539" s="32">
        <v>815.2</v>
      </c>
      <c r="BH539" s="33"/>
      <c r="BI539" s="30">
        <v>42</v>
      </c>
      <c r="BJ539" s="34">
        <v>3.08</v>
      </c>
      <c r="BK539" s="35">
        <v>0.12936</v>
      </c>
      <c r="BL539" s="33"/>
      <c r="BM539" s="37">
        <v>1070</v>
      </c>
      <c r="BN539" s="38">
        <v>1.0707</v>
      </c>
      <c r="BO539" s="39">
        <v>0.66</v>
      </c>
      <c r="BP539" s="520"/>
      <c r="BQ539" s="40">
        <v>1070</v>
      </c>
      <c r="BR539" s="43">
        <v>1068.9000000000001</v>
      </c>
      <c r="BS539" s="41">
        <v>0.9355</v>
      </c>
    </row>
    <row r="540" spans="28:71">
      <c r="AB540" s="514"/>
      <c r="AC540" s="514"/>
      <c r="AD540" s="514"/>
      <c r="AE540" s="514"/>
      <c r="AF540" s="514"/>
      <c r="AG540" s="514"/>
      <c r="AH540" s="514"/>
      <c r="AI540" s="514"/>
      <c r="AJ540" s="514"/>
      <c r="AK540" s="514"/>
      <c r="AL540" s="514"/>
      <c r="AM540" s="514"/>
      <c r="AN540" s="514"/>
      <c r="AO540" s="514"/>
      <c r="AP540" s="514"/>
      <c r="AQ540" s="514"/>
      <c r="AR540" s="514"/>
      <c r="AS540" s="514"/>
      <c r="AT540" s="514"/>
      <c r="AU540" s="514"/>
      <c r="AV540" s="514"/>
      <c r="AW540" s="514"/>
      <c r="AX540" s="514"/>
      <c r="AY540" s="514"/>
      <c r="AZ540" s="514"/>
      <c r="BA540" s="514"/>
      <c r="BB540" s="514"/>
      <c r="BC540" s="520"/>
      <c r="BD540" s="2482"/>
      <c r="BE540" s="30">
        <v>42.1</v>
      </c>
      <c r="BF540" s="31">
        <v>0.81510000000000005</v>
      </c>
      <c r="BG540" s="32">
        <v>814.7</v>
      </c>
      <c r="BH540" s="33"/>
      <c r="BI540" s="30">
        <v>42.1</v>
      </c>
      <c r="BJ540" s="34">
        <v>3.0783</v>
      </c>
      <c r="BK540" s="35">
        <v>0.12928999999999999</v>
      </c>
      <c r="BL540" s="33"/>
      <c r="BM540" s="37">
        <v>1071</v>
      </c>
      <c r="BN540" s="38">
        <v>1.0717000000000001</v>
      </c>
      <c r="BO540" s="39">
        <v>0.53</v>
      </c>
      <c r="BP540" s="520"/>
      <c r="BQ540" s="40">
        <v>1071</v>
      </c>
      <c r="BR540" s="43">
        <v>1069.9000000000001</v>
      </c>
      <c r="BS540" s="41">
        <v>0.93459999999999999</v>
      </c>
    </row>
    <row r="541" spans="28:71">
      <c r="AB541" s="514"/>
      <c r="AC541" s="514"/>
      <c r="AD541" s="514"/>
      <c r="AE541" s="514"/>
      <c r="AF541" s="514"/>
      <c r="AG541" s="514"/>
      <c r="AH541" s="514"/>
      <c r="AI541" s="514"/>
      <c r="AJ541" s="514"/>
      <c r="AK541" s="514"/>
      <c r="AL541" s="514"/>
      <c r="AM541" s="514"/>
      <c r="AN541" s="514"/>
      <c r="AO541" s="514"/>
      <c r="AP541" s="514"/>
      <c r="AQ541" s="514"/>
      <c r="AR541" s="514"/>
      <c r="AS541" s="514"/>
      <c r="AT541" s="514"/>
      <c r="AU541" s="514"/>
      <c r="AV541" s="514"/>
      <c r="AW541" s="514"/>
      <c r="AX541" s="514"/>
      <c r="AY541" s="514"/>
      <c r="AZ541" s="514"/>
      <c r="BA541" s="514"/>
      <c r="BB541" s="514"/>
      <c r="BC541" s="520"/>
      <c r="BD541" s="2482"/>
      <c r="BE541" s="30">
        <v>42.2</v>
      </c>
      <c r="BF541" s="31">
        <v>0.81459999999999999</v>
      </c>
      <c r="BG541" s="32">
        <v>814.2</v>
      </c>
      <c r="BH541" s="33"/>
      <c r="BI541" s="30">
        <v>42.2</v>
      </c>
      <c r="BJ541" s="34">
        <v>3.0764999999999998</v>
      </c>
      <c r="BK541" s="35">
        <v>0.12920999999999999</v>
      </c>
      <c r="BL541" s="33"/>
      <c r="BM541" s="37">
        <v>1072</v>
      </c>
      <c r="BN541" s="38">
        <v>1.0727</v>
      </c>
      <c r="BO541" s="39">
        <v>0.41</v>
      </c>
      <c r="BP541" s="520"/>
      <c r="BQ541" s="40">
        <v>1072</v>
      </c>
      <c r="BR541" s="43">
        <v>1070.9000000000001</v>
      </c>
      <c r="BS541" s="41">
        <v>0.93379999999999996</v>
      </c>
    </row>
    <row r="542" spans="28:71">
      <c r="AB542" s="514"/>
      <c r="AC542" s="514"/>
      <c r="AD542" s="514"/>
      <c r="AE542" s="514"/>
      <c r="AF542" s="514"/>
      <c r="AG542" s="514"/>
      <c r="AH542" s="514"/>
      <c r="AI542" s="514"/>
      <c r="AJ542" s="514"/>
      <c r="AK542" s="514"/>
      <c r="AL542" s="514"/>
      <c r="AM542" s="514"/>
      <c r="AN542" s="514"/>
      <c r="AO542" s="514"/>
      <c r="AP542" s="514"/>
      <c r="AQ542" s="514"/>
      <c r="AR542" s="514"/>
      <c r="AS542" s="514"/>
      <c r="AT542" s="514"/>
      <c r="AU542" s="514"/>
      <c r="AV542" s="514"/>
      <c r="AW542" s="514"/>
      <c r="AX542" s="514"/>
      <c r="AY542" s="514"/>
      <c r="AZ542" s="514"/>
      <c r="BA542" s="514"/>
      <c r="BB542" s="514"/>
      <c r="BC542" s="520"/>
      <c r="BD542" s="2482"/>
      <c r="BE542" s="30">
        <v>42.3</v>
      </c>
      <c r="BF542" s="31">
        <v>0.81420000000000003</v>
      </c>
      <c r="BG542" s="32">
        <v>813.8</v>
      </c>
      <c r="BH542" s="33"/>
      <c r="BI542" s="30">
        <v>42.3</v>
      </c>
      <c r="BJ542" s="34">
        <v>3.0747</v>
      </c>
      <c r="BK542" s="35">
        <v>0.12914</v>
      </c>
      <c r="BL542" s="33"/>
      <c r="BM542" s="37">
        <v>1073</v>
      </c>
      <c r="BN542" s="38">
        <v>1.0737000000000001</v>
      </c>
      <c r="BO542" s="39">
        <v>0.28999999999999998</v>
      </c>
      <c r="BP542" s="520"/>
      <c r="BQ542" s="40">
        <v>1073</v>
      </c>
      <c r="BR542" s="43">
        <v>1071.9000000000001</v>
      </c>
      <c r="BS542" s="41">
        <v>0.93289999999999995</v>
      </c>
    </row>
    <row r="543" spans="28:71">
      <c r="AB543" s="514"/>
      <c r="AC543" s="514"/>
      <c r="AD543" s="514"/>
      <c r="AE543" s="514"/>
      <c r="AF543" s="514"/>
      <c r="AG543" s="514"/>
      <c r="AH543" s="514"/>
      <c r="AI543" s="514"/>
      <c r="AJ543" s="514"/>
      <c r="AK543" s="514"/>
      <c r="AL543" s="514"/>
      <c r="AM543" s="514"/>
      <c r="AN543" s="514"/>
      <c r="AO543" s="514"/>
      <c r="AP543" s="514"/>
      <c r="AQ543" s="514"/>
      <c r="AR543" s="514"/>
      <c r="AS543" s="514"/>
      <c r="AT543" s="514"/>
      <c r="AU543" s="514"/>
      <c r="AV543" s="514"/>
      <c r="AW543" s="514"/>
      <c r="AX543" s="514"/>
      <c r="AY543" s="514"/>
      <c r="AZ543" s="514"/>
      <c r="BA543" s="514"/>
      <c r="BB543" s="514"/>
      <c r="BC543" s="520"/>
      <c r="BD543" s="2482"/>
      <c r="BE543" s="30">
        <v>42.4</v>
      </c>
      <c r="BF543" s="31">
        <v>0.81369999999999998</v>
      </c>
      <c r="BG543" s="32">
        <v>813.3</v>
      </c>
      <c r="BH543" s="33"/>
      <c r="BI543" s="30">
        <v>42.4</v>
      </c>
      <c r="BJ543" s="34">
        <v>3.0729000000000002</v>
      </c>
      <c r="BK543" s="35">
        <v>0.12906000000000001</v>
      </c>
      <c r="BL543" s="33"/>
      <c r="BM543" s="37">
        <v>1074</v>
      </c>
      <c r="BN543" s="38">
        <v>1.0747</v>
      </c>
      <c r="BO543" s="39">
        <v>0.17</v>
      </c>
      <c r="BP543" s="520"/>
      <c r="BQ543" s="40">
        <v>1074</v>
      </c>
      <c r="BR543" s="43">
        <v>1072.9000000000001</v>
      </c>
      <c r="BS543" s="41">
        <v>0.93200000000000005</v>
      </c>
    </row>
    <row r="544" spans="28:71">
      <c r="AB544" s="514"/>
      <c r="AC544" s="514"/>
      <c r="AD544" s="514"/>
      <c r="AE544" s="514"/>
      <c r="AF544" s="514"/>
      <c r="AG544" s="514"/>
      <c r="AH544" s="514"/>
      <c r="AI544" s="514"/>
      <c r="AJ544" s="514"/>
      <c r="AK544" s="514"/>
      <c r="AL544" s="514"/>
      <c r="AM544" s="514"/>
      <c r="AN544" s="514"/>
      <c r="AO544" s="514"/>
      <c r="AP544" s="514"/>
      <c r="AQ544" s="514"/>
      <c r="AR544" s="514"/>
      <c r="AS544" s="514"/>
      <c r="AT544" s="514"/>
      <c r="AU544" s="514"/>
      <c r="AV544" s="514"/>
      <c r="AW544" s="514"/>
      <c r="AX544" s="514"/>
      <c r="AY544" s="514"/>
      <c r="AZ544" s="514"/>
      <c r="BA544" s="514"/>
      <c r="BB544" s="514"/>
      <c r="BC544" s="520"/>
      <c r="BD544" s="2482"/>
      <c r="BE544" s="30">
        <v>42.5</v>
      </c>
      <c r="BF544" s="31">
        <v>0.81320000000000003</v>
      </c>
      <c r="BG544" s="32">
        <v>812.8</v>
      </c>
      <c r="BH544" s="33"/>
      <c r="BI544" s="30">
        <v>42.5</v>
      </c>
      <c r="BJ544" s="34">
        <v>3.0712000000000002</v>
      </c>
      <c r="BK544" s="35">
        <v>0.12898999999999999</v>
      </c>
      <c r="BL544" s="33"/>
      <c r="BM544" s="1726">
        <v>1075</v>
      </c>
      <c r="BN544" s="47">
        <v>1.0757000000000001</v>
      </c>
      <c r="BO544" s="48">
        <v>0.04</v>
      </c>
      <c r="BP544" s="520"/>
      <c r="BQ544" s="49">
        <v>1075</v>
      </c>
      <c r="BR544" s="50">
        <v>1073.9000000000001</v>
      </c>
      <c r="BS544" s="51">
        <v>0.93110000000000004</v>
      </c>
    </row>
    <row r="545" spans="28:71">
      <c r="AB545" s="514"/>
      <c r="AC545" s="514"/>
      <c r="AD545" s="514"/>
      <c r="AE545" s="514"/>
      <c r="AF545" s="514"/>
      <c r="AG545" s="514"/>
      <c r="AH545" s="514"/>
      <c r="AI545" s="514"/>
      <c r="AJ545" s="514"/>
      <c r="AK545" s="514"/>
      <c r="AL545" s="514"/>
      <c r="AM545" s="514"/>
      <c r="AN545" s="514"/>
      <c r="AO545" s="514"/>
      <c r="AP545" s="514"/>
      <c r="AQ545" s="514"/>
      <c r="AR545" s="514"/>
      <c r="AS545" s="514"/>
      <c r="AT545" s="514"/>
      <c r="AU545" s="514"/>
      <c r="AV545" s="514"/>
      <c r="AW545" s="514"/>
      <c r="AX545" s="514"/>
      <c r="AY545" s="514"/>
      <c r="AZ545" s="514"/>
      <c r="BA545" s="514"/>
      <c r="BB545" s="514"/>
      <c r="BC545" s="520"/>
      <c r="BD545" s="2482"/>
      <c r="BE545" s="30">
        <v>42.6</v>
      </c>
      <c r="BF545" s="31">
        <v>0.81279999999999997</v>
      </c>
      <c r="BG545" s="32">
        <v>812.4</v>
      </c>
      <c r="BH545" s="33"/>
      <c r="BI545" s="30">
        <v>42.6</v>
      </c>
      <c r="BJ545" s="34">
        <v>3.0693999999999999</v>
      </c>
      <c r="BK545" s="35">
        <v>0.12891</v>
      </c>
      <c r="BL545" s="33"/>
      <c r="BM545" s="33"/>
      <c r="BN545" s="33"/>
      <c r="BO545" s="33"/>
      <c r="BP545" s="520"/>
      <c r="BQ545" s="33"/>
      <c r="BR545" s="33"/>
      <c r="BS545" s="33"/>
    </row>
    <row r="546" spans="28:71">
      <c r="AB546" s="514"/>
      <c r="AC546" s="514"/>
      <c r="AD546" s="514"/>
      <c r="AE546" s="514"/>
      <c r="AF546" s="514"/>
      <c r="AG546" s="514"/>
      <c r="AH546" s="514"/>
      <c r="AI546" s="514"/>
      <c r="AJ546" s="514"/>
      <c r="AK546" s="514"/>
      <c r="AL546" s="514"/>
      <c r="AM546" s="514"/>
      <c r="AN546" s="514"/>
      <c r="AO546" s="514"/>
      <c r="AP546" s="514"/>
      <c r="AQ546" s="514"/>
      <c r="AR546" s="514"/>
      <c r="AS546" s="514"/>
      <c r="AT546" s="514"/>
      <c r="AU546" s="514"/>
      <c r="AV546" s="514"/>
      <c r="AW546" s="514"/>
      <c r="AX546" s="514"/>
      <c r="AY546" s="514"/>
      <c r="AZ546" s="514"/>
      <c r="BA546" s="514"/>
      <c r="BB546" s="514"/>
      <c r="BC546" s="520"/>
      <c r="BD546" s="2482"/>
      <c r="BE546" s="30">
        <v>42.7</v>
      </c>
      <c r="BF546" s="31">
        <v>0.81230000000000002</v>
      </c>
      <c r="BG546" s="32">
        <v>811.9</v>
      </c>
      <c r="BH546" s="33"/>
      <c r="BI546" s="30">
        <v>42.7</v>
      </c>
      <c r="BJ546" s="34">
        <v>3.0676000000000001</v>
      </c>
      <c r="BK546" s="35">
        <v>0.12884000000000001</v>
      </c>
      <c r="BL546" s="33"/>
      <c r="BM546" s="33"/>
      <c r="BN546" s="33"/>
      <c r="BO546" s="33"/>
      <c r="BP546" s="520"/>
    </row>
    <row r="547" spans="28:71">
      <c r="AB547" s="514"/>
      <c r="AC547" s="514"/>
      <c r="AD547" s="514"/>
      <c r="AE547" s="514"/>
      <c r="AF547" s="514"/>
      <c r="AG547" s="514"/>
      <c r="AH547" s="514"/>
      <c r="AI547" s="514"/>
      <c r="AJ547" s="514"/>
      <c r="AK547" s="514"/>
      <c r="AL547" s="514"/>
      <c r="AM547" s="514"/>
      <c r="AN547" s="514"/>
      <c r="AO547" s="514"/>
      <c r="AP547" s="514"/>
      <c r="AQ547" s="514"/>
      <c r="AR547" s="514"/>
      <c r="AS547" s="514"/>
      <c r="AT547" s="514"/>
      <c r="AU547" s="514"/>
      <c r="AV547" s="514"/>
      <c r="AW547" s="514"/>
      <c r="AX547" s="514"/>
      <c r="AY547" s="514"/>
      <c r="AZ547" s="514"/>
      <c r="BA547" s="514"/>
      <c r="BB547" s="514"/>
      <c r="BC547" s="520"/>
      <c r="BD547" s="2482"/>
      <c r="BE547" s="30">
        <v>42.8</v>
      </c>
      <c r="BF547" s="31">
        <v>0.81179999999999997</v>
      </c>
      <c r="BG547" s="32">
        <v>811.4</v>
      </c>
      <c r="BH547" s="33"/>
      <c r="BI547" s="30">
        <v>42.8</v>
      </c>
      <c r="BJ547" s="34">
        <v>3.0659000000000001</v>
      </c>
      <c r="BK547" s="35">
        <v>0.12877</v>
      </c>
      <c r="BL547" s="33"/>
      <c r="BM547" s="33"/>
      <c r="BN547" s="33"/>
      <c r="BO547" s="33"/>
      <c r="BP547" s="520"/>
    </row>
    <row r="548" spans="28:71">
      <c r="AB548" s="514"/>
      <c r="AC548" s="514"/>
      <c r="AD548" s="514"/>
      <c r="AE548" s="514"/>
      <c r="AF548" s="514"/>
      <c r="AG548" s="514"/>
      <c r="AH548" s="514"/>
      <c r="AI548" s="514"/>
      <c r="AJ548" s="514"/>
      <c r="AK548" s="514"/>
      <c r="AL548" s="514"/>
      <c r="AM548" s="514"/>
      <c r="AN548" s="514"/>
      <c r="AO548" s="514"/>
      <c r="AP548" s="514"/>
      <c r="AQ548" s="514"/>
      <c r="AR548" s="514"/>
      <c r="AS548" s="514"/>
      <c r="AT548" s="514"/>
      <c r="AU548" s="514"/>
      <c r="AV548" s="514"/>
      <c r="AW548" s="514"/>
      <c r="AX548" s="514"/>
      <c r="AY548" s="514"/>
      <c r="AZ548" s="514"/>
      <c r="BA548" s="514"/>
      <c r="BB548" s="514"/>
      <c r="BC548" s="520"/>
      <c r="BD548" s="2482"/>
      <c r="BE548" s="30">
        <v>42.9</v>
      </c>
      <c r="BF548" s="31">
        <v>0.81140000000000001</v>
      </c>
      <c r="BG548" s="32">
        <v>811</v>
      </c>
      <c r="BH548" s="33"/>
      <c r="BI548" s="30">
        <v>42.9</v>
      </c>
      <c r="BJ548" s="34">
        <v>3.0640999999999998</v>
      </c>
      <c r="BK548" s="35">
        <v>0.12869</v>
      </c>
      <c r="BL548" s="33"/>
      <c r="BM548" s="33"/>
      <c r="BN548" s="33"/>
      <c r="BO548" s="33"/>
      <c r="BP548" s="520"/>
    </row>
    <row r="549" spans="28:71">
      <c r="AB549" s="514"/>
      <c r="AC549" s="514"/>
      <c r="AD549" s="514"/>
      <c r="AE549" s="514"/>
      <c r="AF549" s="514"/>
      <c r="AG549" s="514"/>
      <c r="AH549" s="514"/>
      <c r="AI549" s="514"/>
      <c r="AJ549" s="514"/>
      <c r="AK549" s="514"/>
      <c r="AL549" s="514"/>
      <c r="AM549" s="514"/>
      <c r="AN549" s="514"/>
      <c r="AO549" s="514"/>
      <c r="AP549" s="514"/>
      <c r="AQ549" s="514"/>
      <c r="AR549" s="514"/>
      <c r="AS549" s="514"/>
      <c r="AT549" s="514"/>
      <c r="AU549" s="514"/>
      <c r="AV549" s="514"/>
      <c r="AW549" s="514"/>
      <c r="AX549" s="514"/>
      <c r="AY549" s="514"/>
      <c r="AZ549" s="514"/>
      <c r="BA549" s="514"/>
      <c r="BB549" s="514"/>
      <c r="BC549" s="520"/>
      <c r="BD549" s="2482"/>
      <c r="BE549" s="30">
        <v>43</v>
      </c>
      <c r="BF549" s="31">
        <v>0.81089999999999995</v>
      </c>
      <c r="BG549" s="32">
        <v>810.5</v>
      </c>
      <c r="BH549" s="33"/>
      <c r="BI549" s="30">
        <v>43</v>
      </c>
      <c r="BJ549" s="34">
        <v>3.0623999999999998</v>
      </c>
      <c r="BK549" s="35">
        <v>0.12862000000000001</v>
      </c>
      <c r="BL549" s="33"/>
      <c r="BM549" s="33"/>
      <c r="BN549" s="33"/>
      <c r="BO549" s="33"/>
      <c r="BP549" s="520"/>
    </row>
    <row r="550" spans="28:71">
      <c r="AB550" s="514"/>
      <c r="AC550" s="514"/>
      <c r="AD550" s="514"/>
      <c r="AE550" s="514"/>
      <c r="AF550" s="514"/>
      <c r="AG550" s="514"/>
      <c r="AH550" s="514"/>
      <c r="AI550" s="514"/>
      <c r="AJ550" s="514"/>
      <c r="AK550" s="514"/>
      <c r="AL550" s="514"/>
      <c r="AM550" s="514"/>
      <c r="AN550" s="514"/>
      <c r="AO550" s="514"/>
      <c r="AP550" s="514"/>
      <c r="AQ550" s="514"/>
      <c r="AR550" s="514"/>
      <c r="AS550" s="514"/>
      <c r="AT550" s="514"/>
      <c r="AU550" s="514"/>
      <c r="AV550" s="514"/>
      <c r="AW550" s="514"/>
      <c r="AX550" s="514"/>
      <c r="AY550" s="514"/>
      <c r="AZ550" s="514"/>
      <c r="BA550" s="514"/>
      <c r="BB550" s="514"/>
      <c r="BC550" s="520"/>
      <c r="BD550" s="2482"/>
      <c r="BE550" s="30">
        <v>43.1</v>
      </c>
      <c r="BF550" s="31">
        <v>0.81040000000000001</v>
      </c>
      <c r="BG550" s="32">
        <v>810</v>
      </c>
      <c r="BH550" s="33"/>
      <c r="BI550" s="30">
        <v>43.1</v>
      </c>
      <c r="BJ550" s="34">
        <v>3.0606</v>
      </c>
      <c r="BK550" s="35">
        <v>0.12853999999999999</v>
      </c>
      <c r="BL550" s="33"/>
      <c r="BM550" s="33"/>
      <c r="BN550" s="33"/>
      <c r="BO550" s="33"/>
      <c r="BP550" s="520"/>
    </row>
    <row r="551" spans="28:71">
      <c r="AB551" s="514"/>
      <c r="AC551" s="514"/>
      <c r="AD551" s="514"/>
      <c r="AE551" s="514"/>
      <c r="AF551" s="514"/>
      <c r="AG551" s="514"/>
      <c r="AH551" s="514"/>
      <c r="AI551" s="514"/>
      <c r="AJ551" s="514"/>
      <c r="AK551" s="514"/>
      <c r="AL551" s="514"/>
      <c r="AM551" s="514"/>
      <c r="AN551" s="514"/>
      <c r="AO551" s="514"/>
      <c r="AP551" s="514"/>
      <c r="AQ551" s="514"/>
      <c r="AR551" s="514"/>
      <c r="AS551" s="514"/>
      <c r="AT551" s="514"/>
      <c r="AU551" s="514"/>
      <c r="AV551" s="514"/>
      <c r="AW551" s="514"/>
      <c r="AX551" s="514"/>
      <c r="AY551" s="514"/>
      <c r="AZ551" s="514"/>
      <c r="BA551" s="514"/>
      <c r="BB551" s="514"/>
      <c r="BC551" s="520"/>
      <c r="BD551" s="2482"/>
      <c r="BE551" s="30">
        <v>43.2</v>
      </c>
      <c r="BF551" s="31">
        <v>0.81</v>
      </c>
      <c r="BG551" s="32">
        <v>809.6</v>
      </c>
      <c r="BH551" s="33"/>
      <c r="BI551" s="30">
        <v>43.2</v>
      </c>
      <c r="BJ551" s="34">
        <v>3.0588000000000002</v>
      </c>
      <c r="BK551" s="35">
        <v>0.12847</v>
      </c>
      <c r="BL551" s="33"/>
      <c r="BM551" s="33"/>
      <c r="BN551" s="33"/>
      <c r="BO551" s="33"/>
      <c r="BP551" s="520"/>
    </row>
    <row r="552" spans="28:71">
      <c r="AB552" s="514"/>
      <c r="AC552" s="514"/>
      <c r="AD552" s="514"/>
      <c r="AE552" s="514"/>
      <c r="AF552" s="514"/>
      <c r="AG552" s="514"/>
      <c r="AH552" s="514"/>
      <c r="AI552" s="514"/>
      <c r="AJ552" s="514"/>
      <c r="AK552" s="514"/>
      <c r="AL552" s="514"/>
      <c r="AM552" s="514"/>
      <c r="AN552" s="514"/>
      <c r="AO552" s="514"/>
      <c r="AP552" s="514"/>
      <c r="AQ552" s="514"/>
      <c r="AR552" s="514"/>
      <c r="AS552" s="514"/>
      <c r="AT552" s="514"/>
      <c r="AU552" s="514"/>
      <c r="AV552" s="514"/>
      <c r="AW552" s="514"/>
      <c r="AX552" s="514"/>
      <c r="AY552" s="514"/>
      <c r="AZ552" s="514"/>
      <c r="BA552" s="514"/>
      <c r="BB552" s="514"/>
      <c r="BC552" s="520"/>
      <c r="BD552" s="2482"/>
      <c r="BE552" s="30">
        <v>43.3</v>
      </c>
      <c r="BF552" s="31">
        <v>0.8095</v>
      </c>
      <c r="BG552" s="32">
        <v>809.1</v>
      </c>
      <c r="BH552" s="33"/>
      <c r="BI552" s="30">
        <v>43.3</v>
      </c>
      <c r="BJ552" s="34">
        <v>3.0571000000000002</v>
      </c>
      <c r="BK552" s="35">
        <v>0.12839999999999999</v>
      </c>
      <c r="BL552" s="33"/>
      <c r="BM552" s="33"/>
      <c r="BN552" s="33"/>
      <c r="BO552" s="33"/>
      <c r="BP552" s="520"/>
    </row>
    <row r="553" spans="28:71">
      <c r="AB553" s="514"/>
      <c r="AC553" s="514"/>
      <c r="AD553" s="514"/>
      <c r="AE553" s="514"/>
      <c r="AF553" s="514"/>
      <c r="AG553" s="514"/>
      <c r="AH553" s="514"/>
      <c r="AI553" s="514"/>
      <c r="AJ553" s="514"/>
      <c r="AK553" s="514"/>
      <c r="AL553" s="514"/>
      <c r="AM553" s="514"/>
      <c r="AN553" s="514"/>
      <c r="AO553" s="514"/>
      <c r="AP553" s="514"/>
      <c r="AQ553" s="514"/>
      <c r="AR553" s="514"/>
      <c r="AS553" s="514"/>
      <c r="AT553" s="514"/>
      <c r="AU553" s="514"/>
      <c r="AV553" s="514"/>
      <c r="AW553" s="514"/>
      <c r="AX553" s="514"/>
      <c r="AY553" s="514"/>
      <c r="AZ553" s="514"/>
      <c r="BA553" s="514"/>
      <c r="BB553" s="514"/>
      <c r="BC553" s="520"/>
      <c r="BD553" s="2482"/>
      <c r="BE553" s="30">
        <v>43.4</v>
      </c>
      <c r="BF553" s="31">
        <v>0.80900000000000005</v>
      </c>
      <c r="BG553" s="32">
        <v>808.6</v>
      </c>
      <c r="BH553" s="33"/>
      <c r="BI553" s="30">
        <v>43.4</v>
      </c>
      <c r="BJ553" s="34">
        <v>3.0552999999999999</v>
      </c>
      <c r="BK553" s="35">
        <v>0.12831999999999999</v>
      </c>
      <c r="BL553" s="33"/>
      <c r="BM553" s="33"/>
      <c r="BN553" s="33"/>
      <c r="BO553" s="33"/>
      <c r="BP553" s="520"/>
    </row>
    <row r="554" spans="28:71">
      <c r="AB554" s="514"/>
      <c r="AC554" s="514"/>
      <c r="AD554" s="514"/>
      <c r="AE554" s="514"/>
      <c r="AF554" s="514"/>
      <c r="AG554" s="514"/>
      <c r="AH554" s="514"/>
      <c r="AI554" s="514"/>
      <c r="AJ554" s="514"/>
      <c r="AK554" s="514"/>
      <c r="AL554" s="514"/>
      <c r="AM554" s="514"/>
      <c r="AN554" s="514"/>
      <c r="AO554" s="514"/>
      <c r="AP554" s="514"/>
      <c r="AQ554" s="514"/>
      <c r="AR554" s="514"/>
      <c r="AS554" s="514"/>
      <c r="AT554" s="514"/>
      <c r="AU554" s="514"/>
      <c r="AV554" s="514"/>
      <c r="AW554" s="514"/>
      <c r="AX554" s="514"/>
      <c r="AY554" s="514"/>
      <c r="AZ554" s="514"/>
      <c r="BA554" s="514"/>
      <c r="BB554" s="514"/>
      <c r="BC554" s="520"/>
      <c r="BD554" s="2482"/>
      <c r="BE554" s="30">
        <v>43.5</v>
      </c>
      <c r="BF554" s="31">
        <v>0.80859999999999999</v>
      </c>
      <c r="BG554" s="32">
        <v>808.2</v>
      </c>
      <c r="BH554" s="33"/>
      <c r="BI554" s="30">
        <v>43.5</v>
      </c>
      <c r="BJ554" s="34">
        <v>3.0535999999999999</v>
      </c>
      <c r="BK554" s="35">
        <v>0.12825</v>
      </c>
      <c r="BL554" s="33"/>
      <c r="BM554" s="33"/>
      <c r="BN554" s="33"/>
      <c r="BO554" s="33"/>
      <c r="BP554" s="520"/>
    </row>
    <row r="555" spans="28:71">
      <c r="AB555" s="514"/>
      <c r="AC555" s="514"/>
      <c r="AD555" s="514"/>
      <c r="AE555" s="514"/>
      <c r="AF555" s="514"/>
      <c r="AG555" s="514"/>
      <c r="AH555" s="514"/>
      <c r="AI555" s="514"/>
      <c r="AJ555" s="514"/>
      <c r="AK555" s="514"/>
      <c r="AL555" s="514"/>
      <c r="AM555" s="514"/>
      <c r="AN555" s="514"/>
      <c r="AO555" s="514"/>
      <c r="AP555" s="514"/>
      <c r="AQ555" s="514"/>
      <c r="AR555" s="514"/>
      <c r="AS555" s="514"/>
      <c r="AT555" s="514"/>
      <c r="AU555" s="514"/>
      <c r="AV555" s="514"/>
      <c r="AW555" s="514"/>
      <c r="AX555" s="514"/>
      <c r="AY555" s="514"/>
      <c r="AZ555" s="514"/>
      <c r="BA555" s="514"/>
      <c r="BB555" s="514"/>
      <c r="BC555" s="520"/>
      <c r="BD555" s="2482"/>
      <c r="BE555" s="30">
        <v>43.6</v>
      </c>
      <c r="BF555" s="31">
        <v>0.80810000000000004</v>
      </c>
      <c r="BG555" s="32">
        <v>807.7</v>
      </c>
      <c r="BH555" s="33"/>
      <c r="BI555" s="30">
        <v>43.6</v>
      </c>
      <c r="BJ555" s="34">
        <v>3.0518000000000001</v>
      </c>
      <c r="BK555" s="35">
        <v>0.12817999999999999</v>
      </c>
      <c r="BL555" s="33"/>
      <c r="BM555" s="33"/>
      <c r="BN555" s="33"/>
      <c r="BO555" s="33"/>
      <c r="BP555" s="520"/>
    </row>
    <row r="556" spans="28:71">
      <c r="AB556" s="514"/>
      <c r="AC556" s="514"/>
      <c r="AD556" s="514"/>
      <c r="AE556" s="514"/>
      <c r="AF556" s="514"/>
      <c r="AG556" s="514"/>
      <c r="AH556" s="514"/>
      <c r="AI556" s="514"/>
      <c r="AJ556" s="514"/>
      <c r="AK556" s="514"/>
      <c r="AL556" s="514"/>
      <c r="AM556" s="514"/>
      <c r="AN556" s="514"/>
      <c r="AO556" s="514"/>
      <c r="AP556" s="514"/>
      <c r="AQ556" s="514"/>
      <c r="AR556" s="514"/>
      <c r="AS556" s="514"/>
      <c r="AT556" s="514"/>
      <c r="AU556" s="514"/>
      <c r="AV556" s="514"/>
      <c r="AW556" s="514"/>
      <c r="AX556" s="514"/>
      <c r="AY556" s="514"/>
      <c r="AZ556" s="514"/>
      <c r="BA556" s="514"/>
      <c r="BB556" s="514"/>
      <c r="BC556" s="520"/>
      <c r="BD556" s="2482"/>
      <c r="BE556" s="30">
        <v>43.7</v>
      </c>
      <c r="BF556" s="31">
        <v>0.80759999999999998</v>
      </c>
      <c r="BG556" s="32">
        <v>807.3</v>
      </c>
      <c r="BH556" s="33"/>
      <c r="BI556" s="30">
        <v>43.7</v>
      </c>
      <c r="BJ556" s="34">
        <v>3.0501</v>
      </c>
      <c r="BK556" s="35">
        <v>0.12809999999999999</v>
      </c>
      <c r="BL556" s="33"/>
      <c r="BM556" s="33"/>
      <c r="BN556" s="33"/>
      <c r="BO556" s="33"/>
      <c r="BP556" s="520"/>
    </row>
    <row r="557" spans="28:71">
      <c r="AB557" s="514"/>
      <c r="AC557" s="514"/>
      <c r="AD557" s="514"/>
      <c r="AE557" s="514"/>
      <c r="AF557" s="514"/>
      <c r="AG557" s="514"/>
      <c r="AH557" s="514"/>
      <c r="AI557" s="514"/>
      <c r="AJ557" s="514"/>
      <c r="AK557" s="514"/>
      <c r="AL557" s="514"/>
      <c r="AM557" s="514"/>
      <c r="AN557" s="514"/>
      <c r="AO557" s="514"/>
      <c r="AP557" s="514"/>
      <c r="AQ557" s="514"/>
      <c r="AR557" s="514"/>
      <c r="AS557" s="514"/>
      <c r="AT557" s="514"/>
      <c r="AU557" s="514"/>
      <c r="AV557" s="514"/>
      <c r="AW557" s="514"/>
      <c r="AX557" s="514"/>
      <c r="AY557" s="514"/>
      <c r="AZ557" s="514"/>
      <c r="BA557" s="514"/>
      <c r="BB557" s="514"/>
      <c r="BC557" s="520"/>
      <c r="BD557" s="2482"/>
      <c r="BE557" s="30">
        <v>43.8</v>
      </c>
      <c r="BF557" s="31">
        <v>0.80720000000000003</v>
      </c>
      <c r="BG557" s="32">
        <v>806.8</v>
      </c>
      <c r="BH557" s="33"/>
      <c r="BI557" s="30">
        <v>43.8</v>
      </c>
      <c r="BJ557" s="34">
        <v>3.0484</v>
      </c>
      <c r="BK557" s="35">
        <v>0.12803</v>
      </c>
      <c r="BL557" s="33"/>
      <c r="BM557" s="33"/>
      <c r="BN557" s="33"/>
      <c r="BO557" s="33"/>
      <c r="BP557" s="520"/>
    </row>
    <row r="558" spans="28:71">
      <c r="AB558" s="514"/>
      <c r="AC558" s="514"/>
      <c r="AD558" s="514"/>
      <c r="AE558" s="514"/>
      <c r="AF558" s="514"/>
      <c r="AG558" s="514"/>
      <c r="AH558" s="514"/>
      <c r="AI558" s="514"/>
      <c r="AJ558" s="514"/>
      <c r="AK558" s="514"/>
      <c r="AL558" s="514"/>
      <c r="AM558" s="514"/>
      <c r="AN558" s="514"/>
      <c r="AO558" s="514"/>
      <c r="AP558" s="514"/>
      <c r="AQ558" s="514"/>
      <c r="AR558" s="514"/>
      <c r="AS558" s="514"/>
      <c r="AT558" s="514"/>
      <c r="AU558" s="514"/>
      <c r="AV558" s="514"/>
      <c r="AW558" s="514"/>
      <c r="AX558" s="514"/>
      <c r="AY558" s="514"/>
      <c r="AZ558" s="514"/>
      <c r="BA558" s="514"/>
      <c r="BB558" s="514"/>
      <c r="BC558" s="520"/>
      <c r="BD558" s="2482"/>
      <c r="BE558" s="30">
        <v>43.9</v>
      </c>
      <c r="BF558" s="31">
        <v>0.80669999999999997</v>
      </c>
      <c r="BG558" s="32">
        <v>806.3</v>
      </c>
      <c r="BH558" s="33"/>
      <c r="BI558" s="30">
        <v>43.9</v>
      </c>
      <c r="BJ558" s="34">
        <v>3.0466000000000002</v>
      </c>
      <c r="BK558" s="35">
        <v>0.12795999999999999</v>
      </c>
      <c r="BL558" s="33"/>
      <c r="BM558" s="33"/>
      <c r="BN558" s="33"/>
      <c r="BO558" s="33"/>
      <c r="BP558" s="520"/>
    </row>
    <row r="559" spans="28:71">
      <c r="AB559" s="514"/>
      <c r="AC559" s="514"/>
      <c r="AD559" s="514"/>
      <c r="AE559" s="514"/>
      <c r="AF559" s="514"/>
      <c r="AG559" s="514"/>
      <c r="AH559" s="514"/>
      <c r="AI559" s="514"/>
      <c r="AJ559" s="514"/>
      <c r="AK559" s="514"/>
      <c r="AL559" s="514"/>
      <c r="AM559" s="514"/>
      <c r="AN559" s="514"/>
      <c r="AO559" s="514"/>
      <c r="AP559" s="514"/>
      <c r="AQ559" s="514"/>
      <c r="AR559" s="514"/>
      <c r="AS559" s="514"/>
      <c r="AT559" s="514"/>
      <c r="AU559" s="514"/>
      <c r="AV559" s="514"/>
      <c r="AW559" s="514"/>
      <c r="AX559" s="514"/>
      <c r="AY559" s="514"/>
      <c r="AZ559" s="514"/>
      <c r="BA559" s="514"/>
      <c r="BB559" s="514"/>
      <c r="BC559" s="520"/>
      <c r="BD559" s="2482"/>
      <c r="BE559" s="30">
        <v>44</v>
      </c>
      <c r="BF559" s="31">
        <v>0.80630000000000002</v>
      </c>
      <c r="BG559" s="32">
        <v>805.9</v>
      </c>
      <c r="BH559" s="33"/>
      <c r="BI559" s="30">
        <v>44</v>
      </c>
      <c r="BJ559" s="34">
        <v>3.0449000000000002</v>
      </c>
      <c r="BK559" s="35">
        <v>0.12787999999999999</v>
      </c>
      <c r="BL559" s="33"/>
      <c r="BM559" s="33"/>
      <c r="BN559" s="33"/>
      <c r="BO559" s="33"/>
      <c r="BP559" s="520"/>
    </row>
    <row r="560" spans="28:71">
      <c r="AB560" s="514"/>
      <c r="AC560" s="514"/>
      <c r="AD560" s="514"/>
      <c r="AE560" s="514"/>
      <c r="AF560" s="514"/>
      <c r="AG560" s="514"/>
      <c r="AH560" s="514"/>
      <c r="AI560" s="514"/>
      <c r="AJ560" s="514"/>
      <c r="AK560" s="514"/>
      <c r="AL560" s="514"/>
      <c r="AM560" s="514"/>
      <c r="AN560" s="514"/>
      <c r="AO560" s="514"/>
      <c r="AP560" s="514"/>
      <c r="AQ560" s="514"/>
      <c r="AR560" s="514"/>
      <c r="AS560" s="514"/>
      <c r="AT560" s="514"/>
      <c r="AU560" s="514"/>
      <c r="AV560" s="514"/>
      <c r="AW560" s="514"/>
      <c r="AX560" s="514"/>
      <c r="AY560" s="514"/>
      <c r="AZ560" s="514"/>
      <c r="BA560" s="514"/>
      <c r="BB560" s="514"/>
      <c r="BC560" s="520"/>
      <c r="BD560" s="2482"/>
      <c r="BE560" s="30">
        <v>44.1</v>
      </c>
      <c r="BF560" s="31">
        <v>0.80579999999999996</v>
      </c>
      <c r="BG560" s="32">
        <v>805.4</v>
      </c>
      <c r="BH560" s="33"/>
      <c r="BI560" s="30">
        <v>44.1</v>
      </c>
      <c r="BJ560" s="34">
        <v>3.0430999999999999</v>
      </c>
      <c r="BK560" s="35">
        <v>0.12781000000000001</v>
      </c>
      <c r="BL560" s="33"/>
      <c r="BM560" s="33"/>
      <c r="BN560" s="33"/>
      <c r="BO560" s="33"/>
      <c r="BP560" s="520"/>
    </row>
    <row r="561" spans="28:68">
      <c r="AB561" s="514"/>
      <c r="AC561" s="514"/>
      <c r="AD561" s="514"/>
      <c r="AE561" s="514"/>
      <c r="AF561" s="514"/>
      <c r="AG561" s="514"/>
      <c r="AH561" s="514"/>
      <c r="AI561" s="514"/>
      <c r="AJ561" s="514"/>
      <c r="AK561" s="514"/>
      <c r="AL561" s="514"/>
      <c r="AM561" s="514"/>
      <c r="AN561" s="514"/>
      <c r="AO561" s="514"/>
      <c r="AP561" s="514"/>
      <c r="AQ561" s="514"/>
      <c r="AR561" s="514"/>
      <c r="AS561" s="514"/>
      <c r="AT561" s="514"/>
      <c r="AU561" s="514"/>
      <c r="AV561" s="514"/>
      <c r="AW561" s="514"/>
      <c r="AX561" s="514"/>
      <c r="AY561" s="514"/>
      <c r="AZ561" s="514"/>
      <c r="BA561" s="514"/>
      <c r="BB561" s="514"/>
      <c r="BC561" s="520"/>
      <c r="BD561" s="2482"/>
      <c r="BE561" s="30">
        <v>44.2</v>
      </c>
      <c r="BF561" s="31">
        <v>0.8054</v>
      </c>
      <c r="BG561" s="32">
        <v>805</v>
      </c>
      <c r="BH561" s="33"/>
      <c r="BI561" s="30">
        <v>44.2</v>
      </c>
      <c r="BJ561" s="34">
        <v>3.0413999999999999</v>
      </c>
      <c r="BK561" s="35">
        <v>0.12773999999999999</v>
      </c>
      <c r="BL561" s="33"/>
      <c r="BM561" s="33"/>
      <c r="BN561" s="33"/>
      <c r="BO561" s="33"/>
      <c r="BP561" s="520"/>
    </row>
    <row r="562" spans="28:68">
      <c r="AB562" s="514"/>
      <c r="AC562" s="514"/>
      <c r="AD562" s="514"/>
      <c r="AE562" s="514"/>
      <c r="AF562" s="514"/>
      <c r="AG562" s="514"/>
      <c r="AH562" s="514"/>
      <c r="AI562" s="514"/>
      <c r="AJ562" s="514"/>
      <c r="AK562" s="514"/>
      <c r="AL562" s="514"/>
      <c r="AM562" s="514"/>
      <c r="AN562" s="514"/>
      <c r="AO562" s="514"/>
      <c r="AP562" s="514"/>
      <c r="AQ562" s="514"/>
      <c r="AR562" s="514"/>
      <c r="AS562" s="514"/>
      <c r="AT562" s="514"/>
      <c r="AU562" s="514"/>
      <c r="AV562" s="514"/>
      <c r="AW562" s="514"/>
      <c r="AX562" s="514"/>
      <c r="AY562" s="514"/>
      <c r="AZ562" s="514"/>
      <c r="BA562" s="514"/>
      <c r="BB562" s="514"/>
      <c r="BC562" s="520"/>
      <c r="BD562" s="2482"/>
      <c r="BE562" s="30">
        <v>44.3</v>
      </c>
      <c r="BF562" s="31">
        <v>0.80489999999999995</v>
      </c>
      <c r="BG562" s="32">
        <v>804.5</v>
      </c>
      <c r="BH562" s="33"/>
      <c r="BI562" s="30">
        <v>44.3</v>
      </c>
      <c r="BJ562" s="34">
        <v>3.0396999999999998</v>
      </c>
      <c r="BK562" s="35">
        <v>0.12767000000000001</v>
      </c>
      <c r="BL562" s="33"/>
      <c r="BM562" s="33"/>
      <c r="BN562" s="33"/>
      <c r="BO562" s="33"/>
      <c r="BP562" s="520"/>
    </row>
    <row r="563" spans="28:68">
      <c r="AB563" s="514"/>
      <c r="AC563" s="514"/>
      <c r="AD563" s="514"/>
      <c r="AE563" s="514"/>
      <c r="AF563" s="514"/>
      <c r="AG563" s="514"/>
      <c r="AH563" s="514"/>
      <c r="AI563" s="514"/>
      <c r="AJ563" s="514"/>
      <c r="AK563" s="514"/>
      <c r="AL563" s="514"/>
      <c r="AM563" s="514"/>
      <c r="AN563" s="514"/>
      <c r="AO563" s="514"/>
      <c r="AP563" s="514"/>
      <c r="AQ563" s="514"/>
      <c r="AR563" s="514"/>
      <c r="AS563" s="514"/>
      <c r="AT563" s="514"/>
      <c r="AU563" s="514"/>
      <c r="AV563" s="514"/>
      <c r="AW563" s="514"/>
      <c r="AX563" s="514"/>
      <c r="AY563" s="514"/>
      <c r="AZ563" s="514"/>
      <c r="BA563" s="514"/>
      <c r="BB563" s="514"/>
      <c r="BC563" s="520"/>
      <c r="BD563" s="2482"/>
      <c r="BE563" s="30">
        <v>44.4</v>
      </c>
      <c r="BF563" s="31">
        <v>0.8044</v>
      </c>
      <c r="BG563" s="32">
        <v>804.1</v>
      </c>
      <c r="BH563" s="33"/>
      <c r="BI563" s="30">
        <v>44.4</v>
      </c>
      <c r="BJ563" s="34">
        <v>3.0379</v>
      </c>
      <c r="BK563" s="35">
        <v>0.12759000000000001</v>
      </c>
      <c r="BL563" s="33"/>
      <c r="BM563" s="33"/>
      <c r="BN563" s="33"/>
      <c r="BO563" s="33"/>
      <c r="BP563" s="520"/>
    </row>
    <row r="564" spans="28:68">
      <c r="AB564" s="514"/>
      <c r="AC564" s="514"/>
      <c r="AD564" s="514"/>
      <c r="AE564" s="514"/>
      <c r="AF564" s="514"/>
      <c r="AG564" s="514"/>
      <c r="AH564" s="514"/>
      <c r="AI564" s="514"/>
      <c r="AJ564" s="514"/>
      <c r="AK564" s="514"/>
      <c r="AL564" s="514"/>
      <c r="AM564" s="514"/>
      <c r="AN564" s="514"/>
      <c r="AO564" s="514"/>
      <c r="AP564" s="514"/>
      <c r="AQ564" s="514"/>
      <c r="AR564" s="514"/>
      <c r="AS564" s="514"/>
      <c r="AT564" s="514"/>
      <c r="AU564" s="514"/>
      <c r="AV564" s="514"/>
      <c r="AW564" s="514"/>
      <c r="AX564" s="514"/>
      <c r="AY564" s="514"/>
      <c r="AZ564" s="514"/>
      <c r="BA564" s="514"/>
      <c r="BB564" s="514"/>
      <c r="BC564" s="520"/>
      <c r="BD564" s="2482"/>
      <c r="BE564" s="30">
        <v>44.5</v>
      </c>
      <c r="BF564" s="31">
        <v>0.80400000000000005</v>
      </c>
      <c r="BG564" s="32">
        <v>803.6</v>
      </c>
      <c r="BH564" s="33"/>
      <c r="BI564" s="30">
        <v>44.5</v>
      </c>
      <c r="BJ564" s="34">
        <v>3.0362</v>
      </c>
      <c r="BK564" s="35">
        <v>0.12751999999999999</v>
      </c>
      <c r="BL564" s="33"/>
      <c r="BM564" s="33"/>
      <c r="BN564" s="33"/>
      <c r="BO564" s="33"/>
      <c r="BP564" s="520"/>
    </row>
    <row r="565" spans="28:68">
      <c r="AB565" s="514"/>
      <c r="AC565" s="514"/>
      <c r="AD565" s="514"/>
      <c r="AE565" s="514"/>
      <c r="AF565" s="514"/>
      <c r="AG565" s="514"/>
      <c r="AH565" s="514"/>
      <c r="AI565" s="514"/>
      <c r="AJ565" s="514"/>
      <c r="AK565" s="514"/>
      <c r="AL565" s="514"/>
      <c r="AM565" s="514"/>
      <c r="AN565" s="514"/>
      <c r="AO565" s="514"/>
      <c r="AP565" s="514"/>
      <c r="AQ565" s="514"/>
      <c r="AR565" s="514"/>
      <c r="AS565" s="514"/>
      <c r="AT565" s="514"/>
      <c r="AU565" s="514"/>
      <c r="AV565" s="514"/>
      <c r="AW565" s="514"/>
      <c r="AX565" s="514"/>
      <c r="AY565" s="514"/>
      <c r="AZ565" s="514"/>
      <c r="BA565" s="514"/>
      <c r="BB565" s="514"/>
      <c r="BC565" s="520"/>
      <c r="BD565" s="2482"/>
      <c r="BE565" s="30">
        <v>44.6</v>
      </c>
      <c r="BF565" s="31">
        <v>0.80349999999999999</v>
      </c>
      <c r="BG565" s="32">
        <v>803.1</v>
      </c>
      <c r="BH565" s="33"/>
      <c r="BI565" s="30">
        <v>44.6</v>
      </c>
      <c r="BJ565" s="34">
        <v>3.0345</v>
      </c>
      <c r="BK565" s="35">
        <v>0.12745000000000001</v>
      </c>
      <c r="BL565" s="33"/>
      <c r="BM565" s="33"/>
      <c r="BN565" s="33"/>
      <c r="BO565" s="33"/>
      <c r="BP565" s="520"/>
    </row>
    <row r="566" spans="28:68">
      <c r="AB566" s="514"/>
      <c r="AC566" s="514"/>
      <c r="AD566" s="514"/>
      <c r="AE566" s="514"/>
      <c r="AF566" s="514"/>
      <c r="AG566" s="514"/>
      <c r="AH566" s="514"/>
      <c r="AI566" s="514"/>
      <c r="AJ566" s="514"/>
      <c r="AK566" s="514"/>
      <c r="AL566" s="514"/>
      <c r="AM566" s="514"/>
      <c r="AN566" s="514"/>
      <c r="AO566" s="514"/>
      <c r="AP566" s="514"/>
      <c r="AQ566" s="514"/>
      <c r="AR566" s="514"/>
      <c r="AS566" s="514"/>
      <c r="AT566" s="514"/>
      <c r="AU566" s="514"/>
      <c r="AV566" s="514"/>
      <c r="AW566" s="514"/>
      <c r="AX566" s="514"/>
      <c r="AY566" s="514"/>
      <c r="AZ566" s="514"/>
      <c r="BA566" s="514"/>
      <c r="BB566" s="514"/>
      <c r="BC566" s="520"/>
      <c r="BD566" s="2482"/>
      <c r="BE566" s="30">
        <v>44.7</v>
      </c>
      <c r="BF566" s="31">
        <v>0.80310000000000004</v>
      </c>
      <c r="BG566" s="32">
        <v>802.7</v>
      </c>
      <c r="BH566" s="33"/>
      <c r="BI566" s="30">
        <v>44.7</v>
      </c>
      <c r="BJ566" s="34">
        <v>3.0327999999999999</v>
      </c>
      <c r="BK566" s="35">
        <v>0.12737999999999999</v>
      </c>
      <c r="BL566" s="33"/>
      <c r="BM566" s="33"/>
      <c r="BN566" s="33"/>
      <c r="BO566" s="33"/>
      <c r="BP566" s="520"/>
    </row>
    <row r="567" spans="28:68">
      <c r="AB567" s="514"/>
      <c r="AC567" s="514"/>
      <c r="AD567" s="514"/>
      <c r="AE567" s="514"/>
      <c r="AF567" s="514"/>
      <c r="AG567" s="514"/>
      <c r="AH567" s="514"/>
      <c r="AI567" s="514"/>
      <c r="AJ567" s="514"/>
      <c r="AK567" s="514"/>
      <c r="AL567" s="514"/>
      <c r="AM567" s="514"/>
      <c r="AN567" s="514"/>
      <c r="AO567" s="514"/>
      <c r="AP567" s="514"/>
      <c r="AQ567" s="514"/>
      <c r="AR567" s="514"/>
      <c r="AS567" s="514"/>
      <c r="AT567" s="514"/>
      <c r="AU567" s="514"/>
      <c r="AV567" s="514"/>
      <c r="AW567" s="514"/>
      <c r="AX567" s="514"/>
      <c r="AY567" s="514"/>
      <c r="AZ567" s="514"/>
      <c r="BA567" s="514"/>
      <c r="BB567" s="514"/>
      <c r="BC567" s="520"/>
      <c r="BD567" s="2482"/>
      <c r="BE567" s="30">
        <v>44.8</v>
      </c>
      <c r="BF567" s="31">
        <v>0.80259999999999998</v>
      </c>
      <c r="BG567" s="32">
        <v>802.2</v>
      </c>
      <c r="BH567" s="33"/>
      <c r="BI567" s="30">
        <v>44.8</v>
      </c>
      <c r="BJ567" s="34">
        <v>3.0310000000000001</v>
      </c>
      <c r="BK567" s="35">
        <v>0.1273</v>
      </c>
      <c r="BL567" s="33"/>
      <c r="BM567" s="33"/>
      <c r="BN567" s="33"/>
      <c r="BO567" s="33"/>
      <c r="BP567" s="520"/>
    </row>
    <row r="568" spans="28:68">
      <c r="AB568" s="514"/>
      <c r="AC568" s="514"/>
      <c r="AD568" s="514"/>
      <c r="AE568" s="514"/>
      <c r="AF568" s="514"/>
      <c r="AG568" s="514"/>
      <c r="AH568" s="514"/>
      <c r="AI568" s="514"/>
      <c r="AJ568" s="514"/>
      <c r="AK568" s="514"/>
      <c r="AL568" s="514"/>
      <c r="AM568" s="514"/>
      <c r="AN568" s="514"/>
      <c r="AO568" s="514"/>
      <c r="AP568" s="514"/>
      <c r="AQ568" s="514"/>
      <c r="AR568" s="514"/>
      <c r="AS568" s="514"/>
      <c r="AT568" s="514"/>
      <c r="AU568" s="514"/>
      <c r="AV568" s="514"/>
      <c r="AW568" s="514"/>
      <c r="AX568" s="514"/>
      <c r="AY568" s="514"/>
      <c r="AZ568" s="514"/>
      <c r="BA568" s="514"/>
      <c r="BB568" s="514"/>
      <c r="BC568" s="520"/>
      <c r="BD568" s="2482"/>
      <c r="BE568" s="30">
        <v>44.9</v>
      </c>
      <c r="BF568" s="31">
        <v>0.80220000000000002</v>
      </c>
      <c r="BG568" s="32">
        <v>801.8</v>
      </c>
      <c r="BH568" s="33"/>
      <c r="BI568" s="30">
        <v>44.9</v>
      </c>
      <c r="BJ568" s="34">
        <v>3.0293000000000001</v>
      </c>
      <c r="BK568" s="35">
        <v>0.12723000000000001</v>
      </c>
      <c r="BL568" s="33"/>
      <c r="BM568" s="33"/>
      <c r="BN568" s="33"/>
      <c r="BO568" s="33"/>
      <c r="BP568" s="520"/>
    </row>
    <row r="569" spans="28:68">
      <c r="AB569" s="514"/>
      <c r="AC569" s="514"/>
      <c r="AD569" s="514"/>
      <c r="AE569" s="514"/>
      <c r="AF569" s="514"/>
      <c r="AG569" s="514"/>
      <c r="AH569" s="514"/>
      <c r="AI569" s="514"/>
      <c r="AJ569" s="514"/>
      <c r="AK569" s="514"/>
      <c r="AL569" s="514"/>
      <c r="AM569" s="514"/>
      <c r="AN569" s="514"/>
      <c r="AO569" s="514"/>
      <c r="AP569" s="514"/>
      <c r="AQ569" s="514"/>
      <c r="AR569" s="514"/>
      <c r="AS569" s="514"/>
      <c r="AT569" s="514"/>
      <c r="AU569" s="514"/>
      <c r="AV569" s="514"/>
      <c r="AW569" s="514"/>
      <c r="AX569" s="514"/>
      <c r="AY569" s="514"/>
      <c r="AZ569" s="514"/>
      <c r="BA569" s="514"/>
      <c r="BB569" s="514"/>
      <c r="BC569" s="520"/>
      <c r="BD569" s="2482"/>
      <c r="BE569" s="30">
        <v>45</v>
      </c>
      <c r="BF569" s="31">
        <v>0.80169999999999997</v>
      </c>
      <c r="BG569" s="32">
        <v>801.3</v>
      </c>
      <c r="BH569" s="33"/>
      <c r="BI569" s="30">
        <v>45</v>
      </c>
      <c r="BJ569" s="34">
        <v>3.0276000000000001</v>
      </c>
      <c r="BK569" s="35">
        <v>0.12716</v>
      </c>
      <c r="BL569" s="33"/>
      <c r="BM569" s="33"/>
      <c r="BN569" s="33"/>
      <c r="BO569" s="33"/>
      <c r="BP569" s="520"/>
    </row>
    <row r="570" spans="28:68">
      <c r="AB570" s="514"/>
      <c r="AC570" s="514"/>
      <c r="AD570" s="514"/>
      <c r="AE570" s="514"/>
      <c r="AF570" s="514"/>
      <c r="AG570" s="514"/>
      <c r="AH570" s="514"/>
      <c r="AI570" s="514"/>
      <c r="AJ570" s="514"/>
      <c r="AK570" s="514"/>
      <c r="AL570" s="514"/>
      <c r="AM570" s="514"/>
      <c r="AN570" s="514"/>
      <c r="AO570" s="514"/>
      <c r="AP570" s="514"/>
      <c r="AQ570" s="514"/>
      <c r="AR570" s="514"/>
      <c r="AS570" s="514"/>
      <c r="AT570" s="514"/>
      <c r="AU570" s="514"/>
      <c r="AV570" s="514"/>
      <c r="AW570" s="514"/>
      <c r="AX570" s="514"/>
      <c r="AY570" s="514"/>
      <c r="AZ570" s="514"/>
      <c r="BA570" s="514"/>
      <c r="BB570" s="514"/>
      <c r="BC570" s="520"/>
      <c r="BD570" s="2482"/>
      <c r="BE570" s="30">
        <v>45.1</v>
      </c>
      <c r="BF570" s="31">
        <v>0.80120000000000002</v>
      </c>
      <c r="BG570" s="32">
        <v>800.9</v>
      </c>
      <c r="BH570" s="33"/>
      <c r="BI570" s="30">
        <v>45.1</v>
      </c>
      <c r="BJ570" s="34">
        <v>3.0259</v>
      </c>
      <c r="BK570" s="35">
        <v>0.12709000000000001</v>
      </c>
      <c r="BL570" s="33"/>
      <c r="BM570" s="33"/>
      <c r="BN570" s="33"/>
      <c r="BO570" s="33"/>
      <c r="BP570" s="520"/>
    </row>
    <row r="571" spans="28:68">
      <c r="AB571" s="514"/>
      <c r="AC571" s="514"/>
      <c r="AD571" s="514"/>
      <c r="AE571" s="514"/>
      <c r="AF571" s="514"/>
      <c r="AG571" s="514"/>
      <c r="AH571" s="514"/>
      <c r="AI571" s="514"/>
      <c r="AJ571" s="514"/>
      <c r="AK571" s="514"/>
      <c r="AL571" s="514"/>
      <c r="AM571" s="514"/>
      <c r="AN571" s="514"/>
      <c r="AO571" s="514"/>
      <c r="AP571" s="514"/>
      <c r="AQ571" s="514"/>
      <c r="AR571" s="514"/>
      <c r="AS571" s="514"/>
      <c r="AT571" s="514"/>
      <c r="AU571" s="514"/>
      <c r="AV571" s="514"/>
      <c r="AW571" s="514"/>
      <c r="AX571" s="514"/>
      <c r="AY571" s="514"/>
      <c r="AZ571" s="514"/>
      <c r="BA571" s="514"/>
      <c r="BB571" s="514"/>
      <c r="BC571" s="520"/>
      <c r="BD571" s="2482"/>
      <c r="BE571" s="30">
        <v>45.2</v>
      </c>
      <c r="BF571" s="31">
        <v>0.80079999999999996</v>
      </c>
      <c r="BG571" s="32">
        <v>800.4</v>
      </c>
      <c r="BH571" s="33"/>
      <c r="BI571" s="30">
        <v>45.2</v>
      </c>
      <c r="BJ571" s="34">
        <v>3.0242</v>
      </c>
      <c r="BK571" s="35">
        <v>0.12701000000000001</v>
      </c>
      <c r="BL571" s="33"/>
      <c r="BM571" s="33"/>
      <c r="BN571" s="33"/>
      <c r="BO571" s="33"/>
      <c r="BP571" s="520"/>
    </row>
    <row r="572" spans="28:68">
      <c r="AB572" s="514"/>
      <c r="AC572" s="514"/>
      <c r="AD572" s="514"/>
      <c r="AE572" s="514"/>
      <c r="AF572" s="514"/>
      <c r="AG572" s="514"/>
      <c r="AH572" s="514"/>
      <c r="AI572" s="514"/>
      <c r="AJ572" s="514"/>
      <c r="AK572" s="514"/>
      <c r="AL572" s="514"/>
      <c r="AM572" s="514"/>
      <c r="AN572" s="514"/>
      <c r="AO572" s="514"/>
      <c r="AP572" s="514"/>
      <c r="AQ572" s="514"/>
      <c r="AR572" s="514"/>
      <c r="AS572" s="514"/>
      <c r="AT572" s="514"/>
      <c r="AU572" s="514"/>
      <c r="AV572" s="514"/>
      <c r="AW572" s="514"/>
      <c r="AX572" s="514"/>
      <c r="AY572" s="514"/>
      <c r="AZ572" s="514"/>
      <c r="BA572" s="514"/>
      <c r="BB572" s="514"/>
      <c r="BC572" s="520"/>
      <c r="BD572" s="2482"/>
      <c r="BE572" s="30">
        <v>45.3</v>
      </c>
      <c r="BF572" s="31">
        <v>0.80030000000000001</v>
      </c>
      <c r="BG572" s="32">
        <v>800</v>
      </c>
      <c r="BH572" s="33"/>
      <c r="BI572" s="30">
        <v>45.3</v>
      </c>
      <c r="BJ572" s="34">
        <v>3.0225</v>
      </c>
      <c r="BK572" s="35">
        <v>0.12694</v>
      </c>
      <c r="BL572" s="33"/>
      <c r="BM572" s="33"/>
      <c r="BN572" s="33"/>
      <c r="BO572" s="33"/>
      <c r="BP572" s="520"/>
    </row>
    <row r="573" spans="28:68">
      <c r="AB573" s="514"/>
      <c r="AC573" s="514"/>
      <c r="AD573" s="514"/>
      <c r="AE573" s="514"/>
      <c r="AF573" s="514"/>
      <c r="AG573" s="514"/>
      <c r="AH573" s="514"/>
      <c r="AI573" s="514"/>
      <c r="AJ573" s="514"/>
      <c r="AK573" s="514"/>
      <c r="AL573" s="514"/>
      <c r="AM573" s="514"/>
      <c r="AN573" s="514"/>
      <c r="AO573" s="514"/>
      <c r="AP573" s="514"/>
      <c r="AQ573" s="514"/>
      <c r="AR573" s="514"/>
      <c r="AS573" s="514"/>
      <c r="AT573" s="514"/>
      <c r="AU573" s="514"/>
      <c r="AV573" s="514"/>
      <c r="AW573" s="514"/>
      <c r="AX573" s="514"/>
      <c r="AY573" s="514"/>
      <c r="AZ573" s="514"/>
      <c r="BA573" s="514"/>
      <c r="BB573" s="514"/>
      <c r="BC573" s="520"/>
      <c r="BD573" s="2482"/>
      <c r="BE573" s="30">
        <v>45.4</v>
      </c>
      <c r="BF573" s="31">
        <v>0.79990000000000006</v>
      </c>
      <c r="BG573" s="32">
        <v>799.5</v>
      </c>
      <c r="BH573" s="33"/>
      <c r="BI573" s="30">
        <v>45.4</v>
      </c>
      <c r="BJ573" s="34">
        <v>3.0207000000000002</v>
      </c>
      <c r="BK573" s="35">
        <v>0.12687000000000001</v>
      </c>
      <c r="BL573" s="33"/>
      <c r="BM573" s="33"/>
      <c r="BN573" s="33"/>
      <c r="BO573" s="33"/>
      <c r="BP573" s="520"/>
    </row>
    <row r="574" spans="28:68">
      <c r="AB574" s="514"/>
      <c r="AC574" s="514"/>
      <c r="AD574" s="514"/>
      <c r="AE574" s="514"/>
      <c r="AF574" s="514"/>
      <c r="AG574" s="514"/>
      <c r="AH574" s="514"/>
      <c r="AI574" s="514"/>
      <c r="AJ574" s="514"/>
      <c r="AK574" s="514"/>
      <c r="AL574" s="514"/>
      <c r="AM574" s="514"/>
      <c r="AN574" s="514"/>
      <c r="AO574" s="514"/>
      <c r="AP574" s="514"/>
      <c r="AQ574" s="514"/>
      <c r="AR574" s="514"/>
      <c r="AS574" s="514"/>
      <c r="AT574" s="514"/>
      <c r="AU574" s="514"/>
      <c r="AV574" s="514"/>
      <c r="AW574" s="514"/>
      <c r="AX574" s="514"/>
      <c r="AY574" s="514"/>
      <c r="AZ574" s="514"/>
      <c r="BA574" s="514"/>
      <c r="BB574" s="514"/>
      <c r="BC574" s="520"/>
      <c r="BD574" s="2482"/>
      <c r="BE574" s="30">
        <v>45.5</v>
      </c>
      <c r="BF574" s="31">
        <v>0.7994</v>
      </c>
      <c r="BG574" s="32">
        <v>799.1</v>
      </c>
      <c r="BH574" s="33"/>
      <c r="BI574" s="30">
        <v>45.5</v>
      </c>
      <c r="BJ574" s="34">
        <v>3.0190000000000001</v>
      </c>
      <c r="BK574" s="35">
        <v>0.1268</v>
      </c>
      <c r="BL574" s="33"/>
      <c r="BM574" s="33"/>
      <c r="BN574" s="33"/>
      <c r="BO574" s="33"/>
      <c r="BP574" s="520"/>
    </row>
    <row r="575" spans="28:68">
      <c r="AB575" s="514"/>
      <c r="AC575" s="514"/>
      <c r="AD575" s="514"/>
      <c r="AE575" s="514"/>
      <c r="AF575" s="514"/>
      <c r="AG575" s="514"/>
      <c r="AH575" s="514"/>
      <c r="AI575" s="514"/>
      <c r="AJ575" s="514"/>
      <c r="AK575" s="514"/>
      <c r="AL575" s="514"/>
      <c r="AM575" s="514"/>
      <c r="AN575" s="514"/>
      <c r="AO575" s="514"/>
      <c r="AP575" s="514"/>
      <c r="AQ575" s="514"/>
      <c r="AR575" s="514"/>
      <c r="AS575" s="514"/>
      <c r="AT575" s="514"/>
      <c r="AU575" s="514"/>
      <c r="AV575" s="514"/>
      <c r="AW575" s="514"/>
      <c r="AX575" s="514"/>
      <c r="AY575" s="514"/>
      <c r="AZ575" s="514"/>
      <c r="BA575" s="514"/>
      <c r="BB575" s="514"/>
      <c r="BC575" s="520"/>
      <c r="BD575" s="2482"/>
      <c r="BE575" s="30">
        <v>45.6</v>
      </c>
      <c r="BF575" s="31">
        <v>0.79900000000000004</v>
      </c>
      <c r="BG575" s="32">
        <v>798.6</v>
      </c>
      <c r="BH575" s="33"/>
      <c r="BI575" s="30">
        <v>45.6</v>
      </c>
      <c r="BJ575" s="34">
        <v>3.0173000000000001</v>
      </c>
      <c r="BK575" s="35">
        <v>0.12673000000000001</v>
      </c>
      <c r="BL575" s="33"/>
      <c r="BM575" s="33"/>
      <c r="BN575" s="33"/>
      <c r="BO575" s="33"/>
      <c r="BP575" s="520"/>
    </row>
    <row r="576" spans="28:68">
      <c r="AB576" s="514"/>
      <c r="AC576" s="514"/>
      <c r="AD576" s="514"/>
      <c r="AE576" s="514"/>
      <c r="AF576" s="514"/>
      <c r="AG576" s="514"/>
      <c r="AH576" s="514"/>
      <c r="AI576" s="514"/>
      <c r="AJ576" s="514"/>
      <c r="AK576" s="514"/>
      <c r="AL576" s="514"/>
      <c r="AM576" s="514"/>
      <c r="AN576" s="514"/>
      <c r="AO576" s="514"/>
      <c r="AP576" s="514"/>
      <c r="AQ576" s="514"/>
      <c r="AR576" s="514"/>
      <c r="AS576" s="514"/>
      <c r="AT576" s="514"/>
      <c r="AU576" s="514"/>
      <c r="AV576" s="514"/>
      <c r="AW576" s="514"/>
      <c r="AX576" s="514"/>
      <c r="AY576" s="514"/>
      <c r="AZ576" s="514"/>
      <c r="BA576" s="514"/>
      <c r="BB576" s="514"/>
      <c r="BC576" s="520"/>
      <c r="BD576" s="2482"/>
      <c r="BE576" s="30">
        <v>45.7</v>
      </c>
      <c r="BF576" s="31">
        <v>0.79849999999999999</v>
      </c>
      <c r="BG576" s="32">
        <v>798.2</v>
      </c>
      <c r="BH576" s="33"/>
      <c r="BI576" s="30">
        <v>45.7</v>
      </c>
      <c r="BJ576" s="34">
        <v>3.0156000000000001</v>
      </c>
      <c r="BK576" s="35">
        <v>0.12665999999999999</v>
      </c>
      <c r="BL576" s="33"/>
      <c r="BM576" s="33"/>
      <c r="BN576" s="33"/>
      <c r="BO576" s="33"/>
      <c r="BP576" s="520"/>
    </row>
    <row r="577" spans="28:68">
      <c r="AB577" s="514"/>
      <c r="AC577" s="514"/>
      <c r="AD577" s="514"/>
      <c r="AE577" s="514"/>
      <c r="AF577" s="514"/>
      <c r="AG577" s="514"/>
      <c r="AH577" s="514"/>
      <c r="AI577" s="514"/>
      <c r="AJ577" s="514"/>
      <c r="AK577" s="514"/>
      <c r="AL577" s="514"/>
      <c r="AM577" s="514"/>
      <c r="AN577" s="514"/>
      <c r="AO577" s="514"/>
      <c r="AP577" s="514"/>
      <c r="AQ577" s="514"/>
      <c r="AR577" s="514"/>
      <c r="AS577" s="514"/>
      <c r="AT577" s="514"/>
      <c r="AU577" s="514"/>
      <c r="AV577" s="514"/>
      <c r="AW577" s="514"/>
      <c r="AX577" s="514"/>
      <c r="AY577" s="514"/>
      <c r="AZ577" s="514"/>
      <c r="BA577" s="514"/>
      <c r="BB577" s="514"/>
      <c r="BC577" s="520"/>
      <c r="BD577" s="2482"/>
      <c r="BE577" s="30">
        <v>45.8</v>
      </c>
      <c r="BF577" s="31">
        <v>0.79810000000000003</v>
      </c>
      <c r="BG577" s="32">
        <v>797.7</v>
      </c>
      <c r="BH577" s="33"/>
      <c r="BI577" s="30">
        <v>45.8</v>
      </c>
      <c r="BJ577" s="34">
        <v>3.0139</v>
      </c>
      <c r="BK577" s="35">
        <v>0.12658</v>
      </c>
      <c r="BL577" s="33"/>
      <c r="BM577" s="33"/>
      <c r="BN577" s="33"/>
      <c r="BO577" s="33"/>
      <c r="BP577" s="520"/>
    </row>
    <row r="578" spans="28:68">
      <c r="AB578" s="514"/>
      <c r="AC578" s="514"/>
      <c r="AD578" s="514"/>
      <c r="AE578" s="514"/>
      <c r="AF578" s="514"/>
      <c r="AG578" s="514"/>
      <c r="AH578" s="514"/>
      <c r="AI578" s="514"/>
      <c r="AJ578" s="514"/>
      <c r="AK578" s="514"/>
      <c r="AL578" s="514"/>
      <c r="AM578" s="514"/>
      <c r="AN578" s="514"/>
      <c r="AO578" s="514"/>
      <c r="AP578" s="514"/>
      <c r="AQ578" s="514"/>
      <c r="AR578" s="514"/>
      <c r="AS578" s="514"/>
      <c r="AT578" s="514"/>
      <c r="AU578" s="514"/>
      <c r="AV578" s="514"/>
      <c r="AW578" s="514"/>
      <c r="AX578" s="514"/>
      <c r="AY578" s="514"/>
      <c r="AZ578" s="514"/>
      <c r="BA578" s="514"/>
      <c r="BB578" s="514"/>
      <c r="BC578" s="520"/>
      <c r="BD578" s="2482"/>
      <c r="BE578" s="30">
        <v>45.9</v>
      </c>
      <c r="BF578" s="31">
        <v>0.79759999999999998</v>
      </c>
      <c r="BG578" s="32">
        <v>797.3</v>
      </c>
      <c r="BH578" s="33"/>
      <c r="BI578" s="30">
        <v>45.9</v>
      </c>
      <c r="BJ578" s="34">
        <v>3.0122</v>
      </c>
      <c r="BK578" s="35">
        <v>0.12651000000000001</v>
      </c>
      <c r="BL578" s="33"/>
      <c r="BM578" s="33"/>
      <c r="BN578" s="33"/>
      <c r="BO578" s="33"/>
      <c r="BP578" s="520"/>
    </row>
    <row r="579" spans="28:68">
      <c r="AB579" s="514"/>
      <c r="AC579" s="514"/>
      <c r="AD579" s="514"/>
      <c r="AE579" s="514"/>
      <c r="AF579" s="514"/>
      <c r="AG579" s="514"/>
      <c r="AH579" s="514"/>
      <c r="AI579" s="514"/>
      <c r="AJ579" s="514"/>
      <c r="AK579" s="514"/>
      <c r="AL579" s="514"/>
      <c r="AM579" s="514"/>
      <c r="AN579" s="514"/>
      <c r="AO579" s="514"/>
      <c r="AP579" s="514"/>
      <c r="AQ579" s="514"/>
      <c r="AR579" s="514"/>
      <c r="AS579" s="514"/>
      <c r="AT579" s="514"/>
      <c r="AU579" s="514"/>
      <c r="AV579" s="514"/>
      <c r="AW579" s="514"/>
      <c r="AX579" s="514"/>
      <c r="AY579" s="514"/>
      <c r="AZ579" s="514"/>
      <c r="BA579" s="514"/>
      <c r="BB579" s="514"/>
      <c r="BC579" s="520"/>
      <c r="BD579" s="2482"/>
      <c r="BE579" s="30">
        <v>46</v>
      </c>
      <c r="BF579" s="31">
        <v>0.79720000000000002</v>
      </c>
      <c r="BG579" s="32">
        <v>796.8</v>
      </c>
      <c r="BH579" s="33"/>
      <c r="BI579" s="30">
        <v>46</v>
      </c>
      <c r="BJ579" s="34">
        <v>3.0105</v>
      </c>
      <c r="BK579" s="35">
        <v>0.12644</v>
      </c>
      <c r="BL579" s="33"/>
      <c r="BM579" s="33"/>
      <c r="BN579" s="33"/>
      <c r="BO579" s="33"/>
      <c r="BP579" s="520"/>
    </row>
    <row r="580" spans="28:68">
      <c r="AB580" s="514"/>
      <c r="AC580" s="514"/>
      <c r="AD580" s="514"/>
      <c r="AE580" s="514"/>
      <c r="AF580" s="514"/>
      <c r="AG580" s="514"/>
      <c r="AH580" s="514"/>
      <c r="AI580" s="514"/>
      <c r="AJ580" s="514"/>
      <c r="AK580" s="514"/>
      <c r="AL580" s="514"/>
      <c r="AM580" s="514"/>
      <c r="AN580" s="514"/>
      <c r="AO580" s="514"/>
      <c r="AP580" s="514"/>
      <c r="AQ580" s="514"/>
      <c r="AR580" s="514"/>
      <c r="AS580" s="514"/>
      <c r="AT580" s="514"/>
      <c r="AU580" s="514"/>
      <c r="AV580" s="514"/>
      <c r="AW580" s="514"/>
      <c r="AX580" s="514"/>
      <c r="AY580" s="514"/>
      <c r="AZ580" s="514"/>
      <c r="BA580" s="514"/>
      <c r="BB580" s="514"/>
      <c r="BC580" s="520"/>
      <c r="BD580" s="2482"/>
      <c r="BE580" s="30">
        <v>46.1</v>
      </c>
      <c r="BF580" s="31">
        <v>0.79669999999999996</v>
      </c>
      <c r="BG580" s="32">
        <v>796.4</v>
      </c>
      <c r="BH580" s="33"/>
      <c r="BI580" s="30">
        <v>46.1</v>
      </c>
      <c r="BJ580" s="34">
        <v>3.0087999999999999</v>
      </c>
      <c r="BK580" s="35">
        <v>0.12637000000000001</v>
      </c>
      <c r="BL580" s="33"/>
      <c r="BM580" s="33"/>
      <c r="BN580" s="33"/>
      <c r="BO580" s="33"/>
      <c r="BP580" s="520"/>
    </row>
    <row r="581" spans="28:68">
      <c r="AB581" s="514"/>
      <c r="AC581" s="514"/>
      <c r="AD581" s="514"/>
      <c r="AE581" s="514"/>
      <c r="AF581" s="514"/>
      <c r="AG581" s="514"/>
      <c r="AH581" s="514"/>
      <c r="AI581" s="514"/>
      <c r="AJ581" s="514"/>
      <c r="AK581" s="514"/>
      <c r="AL581" s="514"/>
      <c r="AM581" s="514"/>
      <c r="AN581" s="514"/>
      <c r="AO581" s="514"/>
      <c r="AP581" s="514"/>
      <c r="AQ581" s="514"/>
      <c r="AR581" s="514"/>
      <c r="AS581" s="514"/>
      <c r="AT581" s="514"/>
      <c r="AU581" s="514"/>
      <c r="AV581" s="514"/>
      <c r="AW581" s="514"/>
      <c r="AX581" s="514"/>
      <c r="AY581" s="514"/>
      <c r="AZ581" s="514"/>
      <c r="BA581" s="514"/>
      <c r="BB581" s="514"/>
      <c r="BC581" s="520"/>
      <c r="BD581" s="2482"/>
      <c r="BE581" s="30">
        <v>46.2</v>
      </c>
      <c r="BF581" s="31">
        <v>0.79630000000000001</v>
      </c>
      <c r="BG581" s="32">
        <v>795.9</v>
      </c>
      <c r="BH581" s="33"/>
      <c r="BI581" s="30">
        <v>46.2</v>
      </c>
      <c r="BJ581" s="34">
        <v>3.0070999999999999</v>
      </c>
      <c r="BK581" s="35">
        <v>0.1263</v>
      </c>
      <c r="BL581" s="33"/>
      <c r="BM581" s="33"/>
      <c r="BN581" s="33"/>
      <c r="BO581" s="33"/>
      <c r="BP581" s="520"/>
    </row>
    <row r="582" spans="28:68">
      <c r="AB582" s="514"/>
      <c r="AC582" s="514"/>
      <c r="AD582" s="514"/>
      <c r="AE582" s="514"/>
      <c r="AF582" s="514"/>
      <c r="AG582" s="514"/>
      <c r="AH582" s="514"/>
      <c r="AI582" s="514"/>
      <c r="AJ582" s="514"/>
      <c r="AK582" s="514"/>
      <c r="AL582" s="514"/>
      <c r="AM582" s="514"/>
      <c r="AN582" s="514"/>
      <c r="AO582" s="514"/>
      <c r="AP582" s="514"/>
      <c r="AQ582" s="514"/>
      <c r="AR582" s="514"/>
      <c r="AS582" s="514"/>
      <c r="AT582" s="514"/>
      <c r="AU582" s="514"/>
      <c r="AV582" s="514"/>
      <c r="AW582" s="514"/>
      <c r="AX582" s="514"/>
      <c r="AY582" s="514"/>
      <c r="AZ582" s="514"/>
      <c r="BA582" s="514"/>
      <c r="BB582" s="514"/>
      <c r="BC582" s="520"/>
      <c r="BD582" s="2482"/>
      <c r="BE582" s="30">
        <v>46.3</v>
      </c>
      <c r="BF582" s="31">
        <v>0.79579999999999995</v>
      </c>
      <c r="BG582" s="32">
        <v>795.5</v>
      </c>
      <c r="BH582" s="33"/>
      <c r="BI582" s="30">
        <v>46.3</v>
      </c>
      <c r="BJ582" s="34">
        <v>3.0053999999999998</v>
      </c>
      <c r="BK582" s="35">
        <v>0.12623000000000001</v>
      </c>
      <c r="BL582" s="33"/>
      <c r="BM582" s="33"/>
      <c r="BN582" s="33"/>
      <c r="BO582" s="33"/>
      <c r="BP582" s="520"/>
    </row>
    <row r="583" spans="28:68">
      <c r="AB583" s="514"/>
      <c r="AC583" s="514"/>
      <c r="AD583" s="514"/>
      <c r="AE583" s="514"/>
      <c r="AF583" s="514"/>
      <c r="AG583" s="514"/>
      <c r="AH583" s="514"/>
      <c r="AI583" s="514"/>
      <c r="AJ583" s="514"/>
      <c r="AK583" s="514"/>
      <c r="AL583" s="514"/>
      <c r="AM583" s="514"/>
      <c r="AN583" s="514"/>
      <c r="AO583" s="514"/>
      <c r="AP583" s="514"/>
      <c r="AQ583" s="514"/>
      <c r="AR583" s="514"/>
      <c r="AS583" s="514"/>
      <c r="AT583" s="514"/>
      <c r="AU583" s="514"/>
      <c r="AV583" s="514"/>
      <c r="AW583" s="514"/>
      <c r="AX583" s="514"/>
      <c r="AY583" s="514"/>
      <c r="AZ583" s="514"/>
      <c r="BA583" s="514"/>
      <c r="BB583" s="514"/>
      <c r="BC583" s="520"/>
      <c r="BD583" s="2482"/>
      <c r="BE583" s="30">
        <v>46.4</v>
      </c>
      <c r="BF583" s="31">
        <v>0.7954</v>
      </c>
      <c r="BG583" s="32">
        <v>795</v>
      </c>
      <c r="BH583" s="33"/>
      <c r="BI583" s="30">
        <v>46.4</v>
      </c>
      <c r="BJ583" s="34">
        <v>3.0036999999999998</v>
      </c>
      <c r="BK583" s="35">
        <v>0.12615999999999999</v>
      </c>
      <c r="BL583" s="33"/>
      <c r="BM583" s="33"/>
      <c r="BN583" s="33"/>
      <c r="BO583" s="33"/>
      <c r="BP583" s="520"/>
    </row>
    <row r="584" spans="28:68">
      <c r="AB584" s="514"/>
      <c r="AC584" s="514"/>
      <c r="AD584" s="514"/>
      <c r="AE584" s="514"/>
      <c r="AF584" s="514"/>
      <c r="AG584" s="514"/>
      <c r="AH584" s="514"/>
      <c r="AI584" s="514"/>
      <c r="AJ584" s="514"/>
      <c r="AK584" s="514"/>
      <c r="AL584" s="514"/>
      <c r="AM584" s="514"/>
      <c r="AN584" s="514"/>
      <c r="AO584" s="514"/>
      <c r="AP584" s="514"/>
      <c r="AQ584" s="514"/>
      <c r="AR584" s="514"/>
      <c r="AS584" s="514"/>
      <c r="AT584" s="514"/>
      <c r="AU584" s="514"/>
      <c r="AV584" s="514"/>
      <c r="AW584" s="514"/>
      <c r="AX584" s="514"/>
      <c r="AY584" s="514"/>
      <c r="AZ584" s="514"/>
      <c r="BA584" s="514"/>
      <c r="BB584" s="514"/>
      <c r="BC584" s="520"/>
      <c r="BD584" s="2482"/>
      <c r="BE584" s="30">
        <v>46.5</v>
      </c>
      <c r="BF584" s="31">
        <v>0.79490000000000005</v>
      </c>
      <c r="BG584" s="32">
        <v>794.6</v>
      </c>
      <c r="BH584" s="33"/>
      <c r="BI584" s="30">
        <v>46.5</v>
      </c>
      <c r="BJ584" s="34">
        <v>3.0019999999999998</v>
      </c>
      <c r="BK584" s="35">
        <v>0.12609000000000001</v>
      </c>
      <c r="BL584" s="33"/>
      <c r="BM584" s="33"/>
      <c r="BN584" s="33"/>
      <c r="BO584" s="33"/>
      <c r="BP584" s="520"/>
    </row>
    <row r="585" spans="28:68">
      <c r="AB585" s="514"/>
      <c r="AC585" s="514"/>
      <c r="AD585" s="514"/>
      <c r="AE585" s="514"/>
      <c r="AF585" s="514"/>
      <c r="AG585" s="514"/>
      <c r="AH585" s="514"/>
      <c r="AI585" s="514"/>
      <c r="AJ585" s="514"/>
      <c r="AK585" s="514"/>
      <c r="AL585" s="514"/>
      <c r="AM585" s="514"/>
      <c r="AN585" s="514"/>
      <c r="AO585" s="514"/>
      <c r="AP585" s="514"/>
      <c r="AQ585" s="514"/>
      <c r="AR585" s="514"/>
      <c r="AS585" s="514"/>
      <c r="AT585" s="514"/>
      <c r="AU585" s="514"/>
      <c r="AV585" s="514"/>
      <c r="AW585" s="514"/>
      <c r="AX585" s="514"/>
      <c r="AY585" s="514"/>
      <c r="AZ585" s="514"/>
      <c r="BA585" s="514"/>
      <c r="BB585" s="514"/>
      <c r="BC585" s="520"/>
      <c r="BD585" s="2482"/>
      <c r="BE585" s="30">
        <v>46.6</v>
      </c>
      <c r="BF585" s="31">
        <v>0.79449999999999998</v>
      </c>
      <c r="BG585" s="32">
        <v>794.1</v>
      </c>
      <c r="BH585" s="33"/>
      <c r="BI585" s="30">
        <v>46.6</v>
      </c>
      <c r="BJ585" s="34">
        <v>3.0004</v>
      </c>
      <c r="BK585" s="35">
        <v>0.12601000000000001</v>
      </c>
      <c r="BL585" s="33"/>
      <c r="BM585" s="33"/>
      <c r="BN585" s="33"/>
      <c r="BO585" s="33"/>
      <c r="BP585" s="520"/>
    </row>
    <row r="586" spans="28:68">
      <c r="AB586" s="514"/>
      <c r="AC586" s="514"/>
      <c r="AD586" s="514"/>
      <c r="AE586" s="514"/>
      <c r="AF586" s="514"/>
      <c r="AG586" s="514"/>
      <c r="AH586" s="514"/>
      <c r="AI586" s="514"/>
      <c r="AJ586" s="514"/>
      <c r="AK586" s="514"/>
      <c r="AL586" s="514"/>
      <c r="AM586" s="514"/>
      <c r="AN586" s="514"/>
      <c r="AO586" s="514"/>
      <c r="AP586" s="514"/>
      <c r="AQ586" s="514"/>
      <c r="AR586" s="514"/>
      <c r="AS586" s="514"/>
      <c r="AT586" s="514"/>
      <c r="AU586" s="514"/>
      <c r="AV586" s="514"/>
      <c r="AW586" s="514"/>
      <c r="AX586" s="514"/>
      <c r="AY586" s="514"/>
      <c r="AZ586" s="514"/>
      <c r="BA586" s="514"/>
      <c r="BB586" s="514"/>
      <c r="BC586" s="520"/>
      <c r="BD586" s="2482"/>
      <c r="BE586" s="30">
        <v>46.7</v>
      </c>
      <c r="BF586" s="31">
        <v>0.79410000000000003</v>
      </c>
      <c r="BG586" s="32">
        <v>793.7</v>
      </c>
      <c r="BH586" s="33"/>
      <c r="BI586" s="30">
        <v>46.7</v>
      </c>
      <c r="BJ586" s="34">
        <v>2.9986999999999999</v>
      </c>
      <c r="BK586" s="35">
        <v>0.12594</v>
      </c>
      <c r="BL586" s="33"/>
      <c r="BM586" s="33"/>
      <c r="BN586" s="33"/>
      <c r="BO586" s="33"/>
      <c r="BP586" s="520"/>
    </row>
    <row r="587" spans="28:68">
      <c r="AB587" s="514"/>
      <c r="AC587" s="514"/>
      <c r="AD587" s="514"/>
      <c r="AE587" s="514"/>
      <c r="AF587" s="514"/>
      <c r="AG587" s="514"/>
      <c r="AH587" s="514"/>
      <c r="AI587" s="514"/>
      <c r="AJ587" s="514"/>
      <c r="AK587" s="514"/>
      <c r="AL587" s="514"/>
      <c r="AM587" s="514"/>
      <c r="AN587" s="514"/>
      <c r="AO587" s="514"/>
      <c r="AP587" s="514"/>
      <c r="AQ587" s="514"/>
      <c r="AR587" s="514"/>
      <c r="AS587" s="514"/>
      <c r="AT587" s="514"/>
      <c r="AU587" s="514"/>
      <c r="AV587" s="514"/>
      <c r="AW587" s="514"/>
      <c r="AX587" s="514"/>
      <c r="AY587" s="514"/>
      <c r="AZ587" s="514"/>
      <c r="BA587" s="514"/>
      <c r="BB587" s="514"/>
      <c r="BC587" s="520"/>
      <c r="BD587" s="2482"/>
      <c r="BE587" s="30">
        <v>46.8</v>
      </c>
      <c r="BF587" s="31">
        <v>0.79359999999999997</v>
      </c>
      <c r="BG587" s="32">
        <v>793.2</v>
      </c>
      <c r="BH587" s="33"/>
      <c r="BI587" s="30">
        <v>46.8</v>
      </c>
      <c r="BJ587" s="34">
        <v>2.9969999999999999</v>
      </c>
      <c r="BK587" s="35">
        <v>0.12587000000000001</v>
      </c>
      <c r="BL587" s="33"/>
      <c r="BM587" s="33"/>
      <c r="BN587" s="33"/>
      <c r="BO587" s="33"/>
      <c r="BP587" s="520"/>
    </row>
    <row r="588" spans="28:68">
      <c r="AB588" s="514"/>
      <c r="AC588" s="514"/>
      <c r="AD588" s="514"/>
      <c r="AE588" s="514"/>
      <c r="AF588" s="514"/>
      <c r="AG588" s="514"/>
      <c r="AH588" s="514"/>
      <c r="AI588" s="514"/>
      <c r="AJ588" s="514"/>
      <c r="AK588" s="514"/>
      <c r="AL588" s="514"/>
      <c r="AM588" s="514"/>
      <c r="AN588" s="514"/>
      <c r="AO588" s="514"/>
      <c r="AP588" s="514"/>
      <c r="AQ588" s="514"/>
      <c r="AR588" s="514"/>
      <c r="AS588" s="514"/>
      <c r="AT588" s="514"/>
      <c r="AU588" s="514"/>
      <c r="AV588" s="514"/>
      <c r="AW588" s="514"/>
      <c r="AX588" s="514"/>
      <c r="AY588" s="514"/>
      <c r="AZ588" s="514"/>
      <c r="BA588" s="514"/>
      <c r="BB588" s="514"/>
      <c r="BC588" s="520"/>
      <c r="BD588" s="2482"/>
      <c r="BE588" s="30">
        <v>46.9</v>
      </c>
      <c r="BF588" s="31">
        <v>0.79320000000000002</v>
      </c>
      <c r="BG588" s="32">
        <v>792.8</v>
      </c>
      <c r="BH588" s="33"/>
      <c r="BI588" s="30">
        <v>46.9</v>
      </c>
      <c r="BJ588" s="34">
        <v>2.9952999999999999</v>
      </c>
      <c r="BK588" s="35">
        <v>0.1258</v>
      </c>
      <c r="BL588" s="33"/>
      <c r="BM588" s="33"/>
      <c r="BN588" s="33"/>
      <c r="BO588" s="33"/>
      <c r="BP588" s="520"/>
    </row>
    <row r="589" spans="28:68">
      <c r="AB589" s="514"/>
      <c r="AC589" s="514"/>
      <c r="AD589" s="514"/>
      <c r="AE589" s="514"/>
      <c r="AF589" s="514"/>
      <c r="AG589" s="514"/>
      <c r="AH589" s="514"/>
      <c r="AI589" s="514"/>
      <c r="AJ589" s="514"/>
      <c r="AK589" s="514"/>
      <c r="AL589" s="514"/>
      <c r="AM589" s="514"/>
      <c r="AN589" s="514"/>
      <c r="AO589" s="514"/>
      <c r="AP589" s="514"/>
      <c r="AQ589" s="514"/>
      <c r="AR589" s="514"/>
      <c r="AS589" s="514"/>
      <c r="AT589" s="514"/>
      <c r="AU589" s="514"/>
      <c r="AV589" s="514"/>
      <c r="AW589" s="514"/>
      <c r="AX589" s="514"/>
      <c r="AY589" s="514"/>
      <c r="AZ589" s="514"/>
      <c r="BA589" s="514"/>
      <c r="BB589" s="514"/>
      <c r="BC589" s="520"/>
      <c r="BD589" s="2482"/>
      <c r="BE589" s="30">
        <v>47</v>
      </c>
      <c r="BF589" s="31">
        <v>0.79269999999999996</v>
      </c>
      <c r="BG589" s="32">
        <v>792.4</v>
      </c>
      <c r="BH589" s="33"/>
      <c r="BI589" s="30">
        <v>47</v>
      </c>
      <c r="BJ589" s="34">
        <v>2.9935999999999998</v>
      </c>
      <c r="BK589" s="35">
        <v>0.12573000000000001</v>
      </c>
      <c r="BL589" s="33"/>
      <c r="BM589" s="33"/>
      <c r="BN589" s="33"/>
      <c r="BO589" s="33"/>
      <c r="BP589" s="520"/>
    </row>
    <row r="590" spans="28:68">
      <c r="AB590" s="514"/>
      <c r="AC590" s="514"/>
      <c r="AD590" s="514"/>
      <c r="AE590" s="514"/>
      <c r="AF590" s="514"/>
      <c r="AG590" s="514"/>
      <c r="AH590" s="514"/>
      <c r="AI590" s="514"/>
      <c r="AJ590" s="514"/>
      <c r="AK590" s="514"/>
      <c r="AL590" s="514"/>
      <c r="AM590" s="514"/>
      <c r="AN590" s="514"/>
      <c r="AO590" s="514"/>
      <c r="AP590" s="514"/>
      <c r="AQ590" s="514"/>
      <c r="AR590" s="514"/>
      <c r="AS590" s="514"/>
      <c r="AT590" s="514"/>
      <c r="AU590" s="514"/>
      <c r="AV590" s="514"/>
      <c r="AW590" s="514"/>
      <c r="AX590" s="514"/>
      <c r="AY590" s="514"/>
      <c r="AZ590" s="514"/>
      <c r="BA590" s="514"/>
      <c r="BB590" s="514"/>
      <c r="BC590" s="520"/>
      <c r="BD590" s="2482"/>
      <c r="BE590" s="30">
        <v>47.1</v>
      </c>
      <c r="BF590" s="31">
        <v>0.7923</v>
      </c>
      <c r="BG590" s="32">
        <v>791.9</v>
      </c>
      <c r="BH590" s="33"/>
      <c r="BI590" s="30">
        <v>47.1</v>
      </c>
      <c r="BJ590" s="34">
        <v>2.9918999999999998</v>
      </c>
      <c r="BK590" s="35">
        <v>0.12565999999999999</v>
      </c>
      <c r="BL590" s="33"/>
      <c r="BM590" s="33"/>
      <c r="BN590" s="33"/>
      <c r="BO590" s="33"/>
      <c r="BP590" s="520"/>
    </row>
    <row r="591" spans="28:68">
      <c r="AB591" s="514"/>
      <c r="AC591" s="514"/>
      <c r="AD591" s="514"/>
      <c r="AE591" s="514"/>
      <c r="AF591" s="514"/>
      <c r="AG591" s="514"/>
      <c r="AH591" s="514"/>
      <c r="AI591" s="514"/>
      <c r="AJ591" s="514"/>
      <c r="AK591" s="514"/>
      <c r="AL591" s="514"/>
      <c r="AM591" s="514"/>
      <c r="AN591" s="514"/>
      <c r="AO591" s="514"/>
      <c r="AP591" s="514"/>
      <c r="AQ591" s="514"/>
      <c r="AR591" s="514"/>
      <c r="AS591" s="514"/>
      <c r="AT591" s="514"/>
      <c r="AU591" s="514"/>
      <c r="AV591" s="514"/>
      <c r="AW591" s="514"/>
      <c r="AX591" s="514"/>
      <c r="AY591" s="514"/>
      <c r="AZ591" s="514"/>
      <c r="BA591" s="514"/>
      <c r="BB591" s="514"/>
      <c r="BC591" s="520"/>
      <c r="BD591" s="2482"/>
      <c r="BE591" s="30">
        <v>47.2</v>
      </c>
      <c r="BF591" s="31">
        <v>0.79179999999999995</v>
      </c>
      <c r="BG591" s="32">
        <v>791.5</v>
      </c>
      <c r="BH591" s="33"/>
      <c r="BI591" s="30">
        <v>47.2</v>
      </c>
      <c r="BJ591" s="34">
        <v>2.9903</v>
      </c>
      <c r="BK591" s="35">
        <v>0.12559000000000001</v>
      </c>
      <c r="BL591" s="33"/>
      <c r="BM591" s="33"/>
      <c r="BN591" s="33"/>
      <c r="BO591" s="33"/>
      <c r="BP591" s="520"/>
    </row>
    <row r="592" spans="28:68">
      <c r="AB592" s="514"/>
      <c r="AC592" s="514"/>
      <c r="AD592" s="514"/>
      <c r="AE592" s="514"/>
      <c r="AF592" s="514"/>
      <c r="AG592" s="514"/>
      <c r="AH592" s="514"/>
      <c r="AI592" s="514"/>
      <c r="AJ592" s="514"/>
      <c r="AK592" s="514"/>
      <c r="AL592" s="514"/>
      <c r="AM592" s="514"/>
      <c r="AN592" s="514"/>
      <c r="AO592" s="514"/>
      <c r="AP592" s="514"/>
      <c r="AQ592" s="514"/>
      <c r="AR592" s="514"/>
      <c r="AS592" s="514"/>
      <c r="AT592" s="514"/>
      <c r="AU592" s="514"/>
      <c r="AV592" s="514"/>
      <c r="AW592" s="514"/>
      <c r="AX592" s="514"/>
      <c r="AY592" s="514"/>
      <c r="AZ592" s="514"/>
      <c r="BA592" s="514"/>
      <c r="BB592" s="514"/>
      <c r="BC592" s="520"/>
      <c r="BD592" s="2482"/>
      <c r="BE592" s="30">
        <v>47.3</v>
      </c>
      <c r="BF592" s="31">
        <v>0.79139999999999999</v>
      </c>
      <c r="BG592" s="32">
        <v>791</v>
      </c>
      <c r="BH592" s="33"/>
      <c r="BI592" s="30">
        <v>47.3</v>
      </c>
      <c r="BJ592" s="34">
        <v>2.9885999999999999</v>
      </c>
      <c r="BK592" s="35">
        <v>0.12551999999999999</v>
      </c>
      <c r="BL592" s="33"/>
      <c r="BM592" s="33"/>
      <c r="BN592" s="33"/>
      <c r="BO592" s="33"/>
      <c r="BP592" s="520"/>
    </row>
    <row r="593" spans="28:68">
      <c r="AB593" s="514"/>
      <c r="AC593" s="514"/>
      <c r="AD593" s="514"/>
      <c r="AE593" s="514"/>
      <c r="AF593" s="514"/>
      <c r="AG593" s="514"/>
      <c r="AH593" s="514"/>
      <c r="AI593" s="514"/>
      <c r="AJ593" s="514"/>
      <c r="AK593" s="514"/>
      <c r="AL593" s="514"/>
      <c r="AM593" s="514"/>
      <c r="AN593" s="514"/>
      <c r="AO593" s="514"/>
      <c r="AP593" s="514"/>
      <c r="AQ593" s="514"/>
      <c r="AR593" s="514"/>
      <c r="AS593" s="514"/>
      <c r="AT593" s="514"/>
      <c r="AU593" s="514"/>
      <c r="AV593" s="514"/>
      <c r="AW593" s="514"/>
      <c r="AX593" s="514"/>
      <c r="AY593" s="514"/>
      <c r="AZ593" s="514"/>
      <c r="BA593" s="514"/>
      <c r="BB593" s="514"/>
      <c r="BC593" s="520"/>
      <c r="BD593" s="2482"/>
      <c r="BE593" s="30">
        <v>47.4</v>
      </c>
      <c r="BF593" s="31">
        <v>0.79090000000000005</v>
      </c>
      <c r="BG593" s="32">
        <v>790.6</v>
      </c>
      <c r="BH593" s="33"/>
      <c r="BI593" s="30">
        <v>47.4</v>
      </c>
      <c r="BJ593" s="34">
        <v>2.9868999999999999</v>
      </c>
      <c r="BK593" s="35">
        <v>0.12545000000000001</v>
      </c>
      <c r="BL593" s="33"/>
      <c r="BM593" s="33"/>
      <c r="BN593" s="33"/>
      <c r="BO593" s="33"/>
      <c r="BP593" s="520"/>
    </row>
    <row r="594" spans="28:68">
      <c r="AB594" s="514"/>
      <c r="AC594" s="514"/>
      <c r="AD594" s="514"/>
      <c r="AE594" s="514"/>
      <c r="AF594" s="514"/>
      <c r="AG594" s="514"/>
      <c r="AH594" s="514"/>
      <c r="AI594" s="514"/>
      <c r="AJ594" s="514"/>
      <c r="AK594" s="514"/>
      <c r="AL594" s="514"/>
      <c r="AM594" s="514"/>
      <c r="AN594" s="514"/>
      <c r="AO594" s="514"/>
      <c r="AP594" s="514"/>
      <c r="AQ594" s="514"/>
      <c r="AR594" s="514"/>
      <c r="AS594" s="514"/>
      <c r="AT594" s="514"/>
      <c r="AU594" s="514"/>
      <c r="AV594" s="514"/>
      <c r="AW594" s="514"/>
      <c r="AX594" s="514"/>
      <c r="AY594" s="514"/>
      <c r="AZ594" s="514"/>
      <c r="BA594" s="514"/>
      <c r="BB594" s="514"/>
      <c r="BC594" s="520"/>
      <c r="BD594" s="2482"/>
      <c r="BE594" s="30">
        <v>47.5</v>
      </c>
      <c r="BF594" s="31">
        <v>0.79049999999999998</v>
      </c>
      <c r="BG594" s="32">
        <v>790.1</v>
      </c>
      <c r="BH594" s="33"/>
      <c r="BI594" s="30">
        <v>47.5</v>
      </c>
      <c r="BJ594" s="34">
        <v>2.9851999999999999</v>
      </c>
      <c r="BK594" s="35">
        <v>0.12537999999999999</v>
      </c>
      <c r="BL594" s="33"/>
      <c r="BM594" s="33"/>
      <c r="BN594" s="33"/>
      <c r="BO594" s="33"/>
      <c r="BP594" s="520"/>
    </row>
    <row r="595" spans="28:68">
      <c r="AB595" s="514"/>
      <c r="AC595" s="514"/>
      <c r="AD595" s="514"/>
      <c r="AE595" s="514"/>
      <c r="AF595" s="514"/>
      <c r="AG595" s="514"/>
      <c r="AH595" s="514"/>
      <c r="AI595" s="514"/>
      <c r="AJ595" s="514"/>
      <c r="AK595" s="514"/>
      <c r="AL595" s="514"/>
      <c r="AM595" s="514"/>
      <c r="AN595" s="514"/>
      <c r="AO595" s="514"/>
      <c r="AP595" s="514"/>
      <c r="AQ595" s="514"/>
      <c r="AR595" s="514"/>
      <c r="AS595" s="514"/>
      <c r="AT595" s="514"/>
      <c r="AU595" s="514"/>
      <c r="AV595" s="514"/>
      <c r="AW595" s="514"/>
      <c r="AX595" s="514"/>
      <c r="AY595" s="514"/>
      <c r="AZ595" s="514"/>
      <c r="BA595" s="514"/>
      <c r="BB595" s="514"/>
      <c r="BC595" s="520"/>
      <c r="BD595" s="2482"/>
      <c r="BE595" s="30">
        <v>47.6</v>
      </c>
      <c r="BF595" s="31">
        <v>0.79010000000000002</v>
      </c>
      <c r="BG595" s="32">
        <v>789.7</v>
      </c>
      <c r="BH595" s="33"/>
      <c r="BI595" s="30">
        <v>47.6</v>
      </c>
      <c r="BJ595" s="34">
        <v>2.9836</v>
      </c>
      <c r="BK595" s="35">
        <v>0.12531</v>
      </c>
      <c r="BL595" s="33"/>
      <c r="BM595" s="33"/>
      <c r="BN595" s="33"/>
      <c r="BO595" s="33"/>
      <c r="BP595" s="520"/>
    </row>
    <row r="596" spans="28:68">
      <c r="AB596" s="514"/>
      <c r="AC596" s="514"/>
      <c r="AD596" s="514"/>
      <c r="AE596" s="514"/>
      <c r="AF596" s="514"/>
      <c r="AG596" s="514"/>
      <c r="AH596" s="514"/>
      <c r="AI596" s="514"/>
      <c r="AJ596" s="514"/>
      <c r="AK596" s="514"/>
      <c r="AL596" s="514"/>
      <c r="AM596" s="514"/>
      <c r="AN596" s="514"/>
      <c r="AO596" s="514"/>
      <c r="AP596" s="514"/>
      <c r="AQ596" s="514"/>
      <c r="AR596" s="514"/>
      <c r="AS596" s="514"/>
      <c r="AT596" s="514"/>
      <c r="AU596" s="514"/>
      <c r="AV596" s="514"/>
      <c r="AW596" s="514"/>
      <c r="AX596" s="514"/>
      <c r="AY596" s="514"/>
      <c r="AZ596" s="514"/>
      <c r="BA596" s="514"/>
      <c r="BB596" s="514"/>
      <c r="BC596" s="520"/>
      <c r="BD596" s="2482"/>
      <c r="BE596" s="30">
        <v>47.7</v>
      </c>
      <c r="BF596" s="31">
        <v>0.78959999999999997</v>
      </c>
      <c r="BG596" s="32">
        <v>789.3</v>
      </c>
      <c r="BH596" s="33"/>
      <c r="BI596" s="30">
        <v>47.7</v>
      </c>
      <c r="BJ596" s="34">
        <v>2.9819</v>
      </c>
      <c r="BK596" s="35">
        <v>0.12523999999999999</v>
      </c>
      <c r="BL596" s="33"/>
      <c r="BM596" s="33"/>
      <c r="BN596" s="33"/>
      <c r="BO596" s="33"/>
      <c r="BP596" s="520"/>
    </row>
    <row r="597" spans="28:68">
      <c r="AB597" s="514"/>
      <c r="AC597" s="514"/>
      <c r="AD597" s="514"/>
      <c r="AE597" s="514"/>
      <c r="AF597" s="514"/>
      <c r="AG597" s="514"/>
      <c r="AH597" s="514"/>
      <c r="AI597" s="514"/>
      <c r="AJ597" s="514"/>
      <c r="AK597" s="514"/>
      <c r="AL597" s="514"/>
      <c r="AM597" s="514"/>
      <c r="AN597" s="514"/>
      <c r="AO597" s="514"/>
      <c r="AP597" s="514"/>
      <c r="AQ597" s="514"/>
      <c r="AR597" s="514"/>
      <c r="AS597" s="514"/>
      <c r="AT597" s="514"/>
      <c r="AU597" s="514"/>
      <c r="AV597" s="514"/>
      <c r="AW597" s="514"/>
      <c r="AX597" s="514"/>
      <c r="AY597" s="514"/>
      <c r="AZ597" s="514"/>
      <c r="BA597" s="514"/>
      <c r="BB597" s="514"/>
      <c r="BC597" s="520"/>
      <c r="BD597" s="2482"/>
      <c r="BE597" s="30">
        <v>47.8</v>
      </c>
      <c r="BF597" s="31">
        <v>0.78920000000000001</v>
      </c>
      <c r="BG597" s="32">
        <v>788.8</v>
      </c>
      <c r="BH597" s="33"/>
      <c r="BI597" s="30">
        <v>47.8</v>
      </c>
      <c r="BJ597" s="34">
        <v>2.9802</v>
      </c>
      <c r="BK597" s="35">
        <v>0.12517</v>
      </c>
      <c r="BL597" s="33"/>
      <c r="BM597" s="33"/>
      <c r="BN597" s="33"/>
      <c r="BO597" s="33"/>
      <c r="BP597" s="520"/>
    </row>
    <row r="598" spans="28:68">
      <c r="AB598" s="514"/>
      <c r="AC598" s="514"/>
      <c r="AD598" s="514"/>
      <c r="AE598" s="514"/>
      <c r="AF598" s="514"/>
      <c r="AG598" s="514"/>
      <c r="AH598" s="514"/>
      <c r="AI598" s="514"/>
      <c r="AJ598" s="514"/>
      <c r="AK598" s="514"/>
      <c r="AL598" s="514"/>
      <c r="AM598" s="514"/>
      <c r="AN598" s="514"/>
      <c r="AO598" s="514"/>
      <c r="AP598" s="514"/>
      <c r="AQ598" s="514"/>
      <c r="AR598" s="514"/>
      <c r="AS598" s="514"/>
      <c r="AT598" s="514"/>
      <c r="AU598" s="514"/>
      <c r="AV598" s="514"/>
      <c r="AW598" s="514"/>
      <c r="AX598" s="514"/>
      <c r="AY598" s="514"/>
      <c r="AZ598" s="514"/>
      <c r="BA598" s="514"/>
      <c r="BB598" s="514"/>
      <c r="BC598" s="520"/>
      <c r="BD598" s="2482"/>
      <c r="BE598" s="30">
        <v>47.9</v>
      </c>
      <c r="BF598" s="31">
        <v>0.78869999999999996</v>
      </c>
      <c r="BG598" s="32">
        <v>788.4</v>
      </c>
      <c r="BH598" s="33"/>
      <c r="BI598" s="30">
        <v>47.9</v>
      </c>
      <c r="BJ598" s="34">
        <v>2.9786000000000001</v>
      </c>
      <c r="BK598" s="35">
        <v>0.12509999999999999</v>
      </c>
      <c r="BL598" s="33"/>
      <c r="BM598" s="33"/>
      <c r="BN598" s="33"/>
      <c r="BO598" s="33"/>
      <c r="BP598" s="520"/>
    </row>
    <row r="599" spans="28:68">
      <c r="AB599" s="514"/>
      <c r="AC599" s="514"/>
      <c r="AD599" s="514"/>
      <c r="AE599" s="514"/>
      <c r="AF599" s="514"/>
      <c r="AG599" s="514"/>
      <c r="AH599" s="514"/>
      <c r="AI599" s="514"/>
      <c r="AJ599" s="514"/>
      <c r="AK599" s="514"/>
      <c r="AL599" s="514"/>
      <c r="AM599" s="514"/>
      <c r="AN599" s="514"/>
      <c r="AO599" s="514"/>
      <c r="AP599" s="514"/>
      <c r="AQ599" s="514"/>
      <c r="AR599" s="514"/>
      <c r="AS599" s="514"/>
      <c r="AT599" s="514"/>
      <c r="AU599" s="514"/>
      <c r="AV599" s="514"/>
      <c r="AW599" s="514"/>
      <c r="AX599" s="514"/>
      <c r="AY599" s="514"/>
      <c r="AZ599" s="514"/>
      <c r="BA599" s="514"/>
      <c r="BB599" s="514"/>
      <c r="BC599" s="520"/>
      <c r="BD599" s="2482"/>
      <c r="BE599" s="30">
        <v>48</v>
      </c>
      <c r="BF599" s="31">
        <v>0.7883</v>
      </c>
      <c r="BG599" s="32">
        <v>787.9</v>
      </c>
      <c r="BH599" s="33"/>
      <c r="BI599" s="30">
        <v>48</v>
      </c>
      <c r="BJ599" s="34">
        <v>2.9769000000000001</v>
      </c>
      <c r="BK599" s="35">
        <v>0.12503</v>
      </c>
      <c r="BL599" s="33"/>
      <c r="BM599" s="33"/>
      <c r="BN599" s="33"/>
      <c r="BO599" s="33"/>
      <c r="BP599" s="520"/>
    </row>
    <row r="600" spans="28:68">
      <c r="AB600" s="514"/>
      <c r="AC600" s="514"/>
      <c r="AD600" s="514"/>
      <c r="AE600" s="514"/>
      <c r="AF600" s="514"/>
      <c r="AG600" s="514"/>
      <c r="AH600" s="514"/>
      <c r="AI600" s="514"/>
      <c r="AJ600" s="514"/>
      <c r="AK600" s="514"/>
      <c r="AL600" s="514"/>
      <c r="AM600" s="514"/>
      <c r="AN600" s="514"/>
      <c r="AO600" s="514"/>
      <c r="AP600" s="514"/>
      <c r="AQ600" s="514"/>
      <c r="AR600" s="514"/>
      <c r="AS600" s="514"/>
      <c r="AT600" s="514"/>
      <c r="AU600" s="514"/>
      <c r="AV600" s="514"/>
      <c r="AW600" s="514"/>
      <c r="AX600" s="514"/>
      <c r="AY600" s="514"/>
      <c r="AZ600" s="514"/>
      <c r="BA600" s="514"/>
      <c r="BB600" s="514"/>
      <c r="BC600" s="520"/>
      <c r="BD600" s="2482"/>
      <c r="BE600" s="30">
        <v>48.1</v>
      </c>
      <c r="BF600" s="31">
        <v>0.78790000000000004</v>
      </c>
      <c r="BG600" s="32">
        <v>787.5</v>
      </c>
      <c r="BH600" s="33"/>
      <c r="BI600" s="30">
        <v>48.1</v>
      </c>
      <c r="BJ600" s="34">
        <v>2.9752999999999998</v>
      </c>
      <c r="BK600" s="35">
        <v>0.12496</v>
      </c>
      <c r="BL600" s="33"/>
      <c r="BM600" s="33"/>
      <c r="BN600" s="33"/>
      <c r="BO600" s="33"/>
      <c r="BP600" s="520"/>
    </row>
    <row r="601" spans="28:68">
      <c r="AB601" s="514"/>
      <c r="AC601" s="514"/>
      <c r="AD601" s="514"/>
      <c r="AE601" s="514"/>
      <c r="AF601" s="514"/>
      <c r="AG601" s="514"/>
      <c r="AH601" s="514"/>
      <c r="AI601" s="514"/>
      <c r="AJ601" s="514"/>
      <c r="AK601" s="514"/>
      <c r="AL601" s="514"/>
      <c r="AM601" s="514"/>
      <c r="AN601" s="514"/>
      <c r="AO601" s="514"/>
      <c r="AP601" s="514"/>
      <c r="AQ601" s="514"/>
      <c r="AR601" s="514"/>
      <c r="AS601" s="514"/>
      <c r="AT601" s="514"/>
      <c r="AU601" s="514"/>
      <c r="AV601" s="514"/>
      <c r="AW601" s="514"/>
      <c r="AX601" s="514"/>
      <c r="AY601" s="514"/>
      <c r="AZ601" s="514"/>
      <c r="BA601" s="514"/>
      <c r="BB601" s="514"/>
      <c r="BC601" s="520"/>
      <c r="BD601" s="2482"/>
      <c r="BE601" s="30">
        <v>48.2</v>
      </c>
      <c r="BF601" s="31">
        <v>0.78739999999999999</v>
      </c>
      <c r="BG601" s="32">
        <v>787.13</v>
      </c>
      <c r="BH601" s="33"/>
      <c r="BI601" s="30">
        <v>48.2</v>
      </c>
      <c r="BJ601" s="34">
        <v>2.9735999999999998</v>
      </c>
      <c r="BK601" s="35">
        <v>0.12489</v>
      </c>
      <c r="BL601" s="33"/>
      <c r="BM601" s="33"/>
      <c r="BN601" s="33"/>
      <c r="BO601" s="33"/>
      <c r="BP601" s="520"/>
    </row>
    <row r="602" spans="28:68">
      <c r="AB602" s="514"/>
      <c r="AC602" s="514"/>
      <c r="AD602" s="514"/>
      <c r="AE602" s="514"/>
      <c r="AF602" s="514"/>
      <c r="AG602" s="514"/>
      <c r="AH602" s="514"/>
      <c r="AI602" s="514"/>
      <c r="AJ602" s="514"/>
      <c r="AK602" s="514"/>
      <c r="AL602" s="514"/>
      <c r="AM602" s="514"/>
      <c r="AN602" s="514"/>
      <c r="AO602" s="514"/>
      <c r="AP602" s="514"/>
      <c r="AQ602" s="514"/>
      <c r="AR602" s="514"/>
      <c r="AS602" s="514"/>
      <c r="AT602" s="514"/>
      <c r="AU602" s="514"/>
      <c r="AV602" s="514"/>
      <c r="AW602" s="514"/>
      <c r="AX602" s="514"/>
      <c r="AY602" s="514"/>
      <c r="AZ602" s="514"/>
      <c r="BA602" s="514"/>
      <c r="BB602" s="514"/>
      <c r="BC602" s="520"/>
      <c r="BD602" s="2482"/>
      <c r="BE602" s="30">
        <v>48.3</v>
      </c>
      <c r="BF602" s="31">
        <v>0.78700000000000003</v>
      </c>
      <c r="BG602" s="32">
        <v>786.6</v>
      </c>
      <c r="BH602" s="33"/>
      <c r="BI602" s="30">
        <v>48.3</v>
      </c>
      <c r="BJ602" s="34">
        <v>2.9719000000000002</v>
      </c>
      <c r="BK602" s="35">
        <v>0.12482</v>
      </c>
      <c r="BL602" s="33"/>
      <c r="BM602" s="33"/>
      <c r="BN602" s="33"/>
      <c r="BO602" s="33"/>
      <c r="BP602" s="520"/>
    </row>
    <row r="603" spans="28:68">
      <c r="AB603" s="514"/>
      <c r="AC603" s="514"/>
      <c r="AD603" s="514"/>
      <c r="AE603" s="514"/>
      <c r="AF603" s="514"/>
      <c r="AG603" s="514"/>
      <c r="AH603" s="514"/>
      <c r="AI603" s="514"/>
      <c r="AJ603" s="514"/>
      <c r="AK603" s="514"/>
      <c r="AL603" s="514"/>
      <c r="AM603" s="514"/>
      <c r="AN603" s="514"/>
      <c r="AO603" s="514"/>
      <c r="AP603" s="514"/>
      <c r="AQ603" s="514"/>
      <c r="AR603" s="514"/>
      <c r="AS603" s="514"/>
      <c r="AT603" s="514"/>
      <c r="AU603" s="514"/>
      <c r="AV603" s="514"/>
      <c r="AW603" s="514"/>
      <c r="AX603" s="514"/>
      <c r="AY603" s="514"/>
      <c r="AZ603" s="514"/>
      <c r="BA603" s="514"/>
      <c r="BB603" s="514"/>
      <c r="BC603" s="520"/>
      <c r="BD603" s="2482"/>
      <c r="BE603" s="30">
        <v>48.4</v>
      </c>
      <c r="BF603" s="31">
        <v>0.78649999999999998</v>
      </c>
      <c r="BG603" s="32">
        <v>786.2</v>
      </c>
      <c r="BH603" s="33"/>
      <c r="BI603" s="30">
        <v>48.4</v>
      </c>
      <c r="BJ603" s="34">
        <v>2.9702999999999999</v>
      </c>
      <c r="BK603" s="35">
        <v>0.12475</v>
      </c>
      <c r="BL603" s="33"/>
      <c r="BM603" s="33"/>
      <c r="BN603" s="33"/>
      <c r="BO603" s="33"/>
      <c r="BP603" s="520"/>
    </row>
    <row r="604" spans="28:68">
      <c r="AB604" s="514"/>
      <c r="AC604" s="514"/>
      <c r="AD604" s="514"/>
      <c r="AE604" s="514"/>
      <c r="AF604" s="514"/>
      <c r="AG604" s="514"/>
      <c r="AH604" s="514"/>
      <c r="AI604" s="514"/>
      <c r="AJ604" s="514"/>
      <c r="AK604" s="514"/>
      <c r="AL604" s="514"/>
      <c r="AM604" s="514"/>
      <c r="AN604" s="514"/>
      <c r="AO604" s="514"/>
      <c r="AP604" s="514"/>
      <c r="AQ604" s="514"/>
      <c r="AR604" s="514"/>
      <c r="AS604" s="514"/>
      <c r="AT604" s="514"/>
      <c r="AU604" s="514"/>
      <c r="AV604" s="514"/>
      <c r="AW604" s="514"/>
      <c r="AX604" s="514"/>
      <c r="AY604" s="514"/>
      <c r="AZ604" s="514"/>
      <c r="BA604" s="514"/>
      <c r="BB604" s="514"/>
      <c r="BC604" s="520"/>
      <c r="BD604" s="2482"/>
      <c r="BE604" s="30">
        <v>48.5</v>
      </c>
      <c r="BF604" s="31">
        <v>0.78610000000000002</v>
      </c>
      <c r="BG604" s="32">
        <v>785.8</v>
      </c>
      <c r="BH604" s="33"/>
      <c r="BI604" s="30">
        <v>48.5</v>
      </c>
      <c r="BJ604" s="34">
        <v>2.9685999999999999</v>
      </c>
      <c r="BK604" s="35">
        <v>0.12468</v>
      </c>
      <c r="BL604" s="33"/>
      <c r="BM604" s="33"/>
      <c r="BN604" s="33"/>
      <c r="BO604" s="33"/>
      <c r="BP604" s="520"/>
    </row>
    <row r="605" spans="28:68">
      <c r="AB605" s="514"/>
      <c r="AC605" s="514"/>
      <c r="AD605" s="514"/>
      <c r="AE605" s="514"/>
      <c r="AF605" s="514"/>
      <c r="AG605" s="514"/>
      <c r="AH605" s="514"/>
      <c r="AI605" s="514"/>
      <c r="AJ605" s="514"/>
      <c r="AK605" s="514"/>
      <c r="AL605" s="514"/>
      <c r="AM605" s="514"/>
      <c r="AN605" s="514"/>
      <c r="AO605" s="514"/>
      <c r="AP605" s="514"/>
      <c r="AQ605" s="514"/>
      <c r="AR605" s="514"/>
      <c r="AS605" s="514"/>
      <c r="AT605" s="514"/>
      <c r="AU605" s="514"/>
      <c r="AV605" s="514"/>
      <c r="AW605" s="514"/>
      <c r="AX605" s="514"/>
      <c r="AY605" s="514"/>
      <c r="AZ605" s="514"/>
      <c r="BA605" s="514"/>
      <c r="BB605" s="514"/>
      <c r="BC605" s="520"/>
      <c r="BD605" s="2482"/>
      <c r="BE605" s="30">
        <v>48.6</v>
      </c>
      <c r="BF605" s="31">
        <v>0.78569999999999995</v>
      </c>
      <c r="BG605" s="32">
        <v>785.3</v>
      </c>
      <c r="BH605" s="33"/>
      <c r="BI605" s="30">
        <v>48.6</v>
      </c>
      <c r="BJ605" s="34">
        <v>2.9670000000000001</v>
      </c>
      <c r="BK605" s="35">
        <v>0.12461</v>
      </c>
      <c r="BL605" s="33"/>
      <c r="BM605" s="33"/>
      <c r="BN605" s="33"/>
      <c r="BO605" s="33"/>
      <c r="BP605" s="520"/>
    </row>
    <row r="606" spans="28:68">
      <c r="AB606" s="514"/>
      <c r="AC606" s="514"/>
      <c r="AD606" s="514"/>
      <c r="AE606" s="514"/>
      <c r="AF606" s="514"/>
      <c r="AG606" s="514"/>
      <c r="AH606" s="514"/>
      <c r="AI606" s="514"/>
      <c r="AJ606" s="514"/>
      <c r="AK606" s="514"/>
      <c r="AL606" s="514"/>
      <c r="AM606" s="514"/>
      <c r="AN606" s="514"/>
      <c r="AO606" s="514"/>
      <c r="AP606" s="514"/>
      <c r="AQ606" s="514"/>
      <c r="AR606" s="514"/>
      <c r="AS606" s="514"/>
      <c r="AT606" s="514"/>
      <c r="AU606" s="514"/>
      <c r="AV606" s="514"/>
      <c r="AW606" s="514"/>
      <c r="AX606" s="514"/>
      <c r="AY606" s="514"/>
      <c r="AZ606" s="514"/>
      <c r="BA606" s="514"/>
      <c r="BB606" s="514"/>
      <c r="BC606" s="520"/>
      <c r="BD606" s="2482"/>
      <c r="BE606" s="30">
        <v>48.7</v>
      </c>
      <c r="BF606" s="31">
        <v>0.78520000000000001</v>
      </c>
      <c r="BG606" s="32">
        <v>784.9</v>
      </c>
      <c r="BH606" s="33"/>
      <c r="BI606" s="30">
        <v>48.7</v>
      </c>
      <c r="BJ606" s="34">
        <v>2.9653</v>
      </c>
      <c r="BK606" s="35">
        <v>0.12454</v>
      </c>
      <c r="BL606" s="33"/>
      <c r="BM606" s="33"/>
      <c r="BN606" s="33"/>
      <c r="BO606" s="33"/>
      <c r="BP606" s="520"/>
    </row>
    <row r="607" spans="28:68">
      <c r="AB607" s="514"/>
      <c r="AC607" s="514"/>
      <c r="AD607" s="514"/>
      <c r="AE607" s="514"/>
      <c r="AF607" s="514"/>
      <c r="AG607" s="514"/>
      <c r="AH607" s="514"/>
      <c r="AI607" s="514"/>
      <c r="AJ607" s="514"/>
      <c r="AK607" s="514"/>
      <c r="AL607" s="514"/>
      <c r="AM607" s="514"/>
      <c r="AN607" s="514"/>
      <c r="AO607" s="514"/>
      <c r="AP607" s="514"/>
      <c r="AQ607" s="514"/>
      <c r="AR607" s="514"/>
      <c r="AS607" s="514"/>
      <c r="AT607" s="514"/>
      <c r="AU607" s="514"/>
      <c r="AV607" s="514"/>
      <c r="AW607" s="514"/>
      <c r="AX607" s="514"/>
      <c r="AY607" s="514"/>
      <c r="AZ607" s="514"/>
      <c r="BA607" s="514"/>
      <c r="BB607" s="514"/>
      <c r="BC607" s="520"/>
      <c r="BD607" s="2482"/>
      <c r="BE607" s="30">
        <v>48.8</v>
      </c>
      <c r="BF607" s="31">
        <v>0.78480000000000005</v>
      </c>
      <c r="BG607" s="32">
        <v>784.5</v>
      </c>
      <c r="BH607" s="33"/>
      <c r="BI607" s="30">
        <v>48.8</v>
      </c>
      <c r="BJ607" s="34">
        <v>2.9636999999999998</v>
      </c>
      <c r="BK607" s="35">
        <v>0.12447999999999999</v>
      </c>
      <c r="BL607" s="33"/>
      <c r="BM607" s="33"/>
      <c r="BN607" s="33"/>
      <c r="BO607" s="33"/>
      <c r="BP607" s="520"/>
    </row>
    <row r="608" spans="28:68">
      <c r="AB608" s="514"/>
      <c r="AC608" s="514"/>
      <c r="AD608" s="514"/>
      <c r="AE608" s="514"/>
      <c r="AF608" s="514"/>
      <c r="AG608" s="514"/>
      <c r="AH608" s="514"/>
      <c r="AI608" s="514"/>
      <c r="AJ608" s="514"/>
      <c r="AK608" s="514"/>
      <c r="AL608" s="514"/>
      <c r="AM608" s="514"/>
      <c r="AN608" s="514"/>
      <c r="AO608" s="514"/>
      <c r="AP608" s="514"/>
      <c r="AQ608" s="514"/>
      <c r="AR608" s="514"/>
      <c r="AS608" s="514"/>
      <c r="AT608" s="514"/>
      <c r="AU608" s="514"/>
      <c r="AV608" s="514"/>
      <c r="AW608" s="514"/>
      <c r="AX608" s="514"/>
      <c r="AY608" s="514"/>
      <c r="AZ608" s="514"/>
      <c r="BA608" s="514"/>
      <c r="BB608" s="514"/>
      <c r="BC608" s="520"/>
      <c r="BD608" s="2482"/>
      <c r="BE608" s="30">
        <v>48.9</v>
      </c>
      <c r="BF608" s="31">
        <v>0.78439999999999999</v>
      </c>
      <c r="BG608" s="32">
        <v>784</v>
      </c>
      <c r="BH608" s="33"/>
      <c r="BI608" s="30">
        <v>48.9</v>
      </c>
      <c r="BJ608" s="34">
        <v>2.9620000000000002</v>
      </c>
      <c r="BK608" s="35">
        <v>0.12441000000000001</v>
      </c>
      <c r="BL608" s="33"/>
      <c r="BM608" s="33"/>
      <c r="BN608" s="33"/>
      <c r="BO608" s="33"/>
      <c r="BP608" s="520"/>
    </row>
    <row r="609" spans="28:68">
      <c r="AB609" s="514"/>
      <c r="AC609" s="514"/>
      <c r="AD609" s="514"/>
      <c r="AE609" s="514"/>
      <c r="AF609" s="514"/>
      <c r="AG609" s="514"/>
      <c r="AH609" s="514"/>
      <c r="AI609" s="514"/>
      <c r="AJ609" s="514"/>
      <c r="AK609" s="514"/>
      <c r="AL609" s="514"/>
      <c r="AM609" s="514"/>
      <c r="AN609" s="514"/>
      <c r="AO609" s="514"/>
      <c r="AP609" s="514"/>
      <c r="AQ609" s="514"/>
      <c r="AR609" s="514"/>
      <c r="AS609" s="514"/>
      <c r="AT609" s="514"/>
      <c r="AU609" s="514"/>
      <c r="AV609" s="514"/>
      <c r="AW609" s="514"/>
      <c r="AX609" s="514"/>
      <c r="AY609" s="514"/>
      <c r="AZ609" s="514"/>
      <c r="BA609" s="514"/>
      <c r="BB609" s="514"/>
      <c r="BC609" s="520"/>
      <c r="BD609" s="2482"/>
      <c r="BE609" s="30">
        <v>49</v>
      </c>
      <c r="BF609" s="31">
        <v>0.78390000000000004</v>
      </c>
      <c r="BG609" s="32">
        <v>783.6</v>
      </c>
      <c r="BH609" s="33"/>
      <c r="BI609" s="30">
        <v>49</v>
      </c>
      <c r="BJ609" s="34">
        <v>2.9603999999999999</v>
      </c>
      <c r="BK609" s="35">
        <v>0.12434000000000001</v>
      </c>
      <c r="BL609" s="33"/>
      <c r="BM609" s="33"/>
      <c r="BN609" s="33"/>
      <c r="BO609" s="33"/>
      <c r="BP609" s="520"/>
    </row>
    <row r="610" spans="28:68">
      <c r="AB610" s="514"/>
      <c r="AC610" s="514"/>
      <c r="AD610" s="514"/>
      <c r="AE610" s="514"/>
      <c r="AF610" s="514"/>
      <c r="AG610" s="514"/>
      <c r="AH610" s="514"/>
      <c r="AI610" s="514"/>
      <c r="AJ610" s="514"/>
      <c r="AK610" s="514"/>
      <c r="AL610" s="514"/>
      <c r="AM610" s="514"/>
      <c r="AN610" s="514"/>
      <c r="AO610" s="514"/>
      <c r="AP610" s="514"/>
      <c r="AQ610" s="514"/>
      <c r="AR610" s="514"/>
      <c r="AS610" s="514"/>
      <c r="AT610" s="514"/>
      <c r="AU610" s="514"/>
      <c r="AV610" s="514"/>
      <c r="AW610" s="514"/>
      <c r="AX610" s="514"/>
      <c r="AY610" s="514"/>
      <c r="AZ610" s="514"/>
      <c r="BA610" s="514"/>
      <c r="BB610" s="514"/>
      <c r="BC610" s="520"/>
      <c r="BD610" s="2482"/>
      <c r="BE610" s="30">
        <v>49.1</v>
      </c>
      <c r="BF610" s="31">
        <v>0.78349999999999997</v>
      </c>
      <c r="BG610" s="32">
        <v>783.2</v>
      </c>
      <c r="BH610" s="33"/>
      <c r="BI610" s="30">
        <v>49.1</v>
      </c>
      <c r="BJ610" s="34">
        <v>2.9588000000000001</v>
      </c>
      <c r="BK610" s="35">
        <v>0.12427000000000001</v>
      </c>
      <c r="BL610" s="33"/>
      <c r="BM610" s="33"/>
      <c r="BN610" s="33"/>
      <c r="BO610" s="33"/>
      <c r="BP610" s="520"/>
    </row>
    <row r="611" spans="28:68">
      <c r="AB611" s="514"/>
      <c r="AC611" s="514"/>
      <c r="AD611" s="514"/>
      <c r="AE611" s="514"/>
      <c r="AF611" s="514"/>
      <c r="AG611" s="514"/>
      <c r="AH611" s="514"/>
      <c r="AI611" s="514"/>
      <c r="AJ611" s="514"/>
      <c r="AK611" s="514"/>
      <c r="AL611" s="514"/>
      <c r="AM611" s="514"/>
      <c r="AN611" s="514"/>
      <c r="AO611" s="514"/>
      <c r="AP611" s="514"/>
      <c r="AQ611" s="514"/>
      <c r="AR611" s="514"/>
      <c r="AS611" s="514"/>
      <c r="AT611" s="514"/>
      <c r="AU611" s="514"/>
      <c r="AV611" s="514"/>
      <c r="AW611" s="514"/>
      <c r="AX611" s="514"/>
      <c r="AY611" s="514"/>
      <c r="AZ611" s="514"/>
      <c r="BA611" s="514"/>
      <c r="BB611" s="514"/>
      <c r="BC611" s="520"/>
      <c r="BD611" s="2482"/>
      <c r="BE611" s="30">
        <v>49.2</v>
      </c>
      <c r="BF611" s="31">
        <v>0.78310000000000002</v>
      </c>
      <c r="BG611" s="32">
        <v>782.7</v>
      </c>
      <c r="BH611" s="33"/>
      <c r="BI611" s="30">
        <v>49.2</v>
      </c>
      <c r="BJ611" s="34">
        <v>2.9571000000000001</v>
      </c>
      <c r="BK611" s="35">
        <v>0.1242</v>
      </c>
      <c r="BL611" s="33"/>
      <c r="BM611" s="33"/>
      <c r="BN611" s="33"/>
      <c r="BO611" s="33"/>
      <c r="BP611" s="520"/>
    </row>
    <row r="612" spans="28:68">
      <c r="AB612" s="514"/>
      <c r="AC612" s="514"/>
      <c r="AD612" s="514"/>
      <c r="AE612" s="514"/>
      <c r="AF612" s="514"/>
      <c r="AG612" s="514"/>
      <c r="AH612" s="514"/>
      <c r="AI612" s="514"/>
      <c r="AJ612" s="514"/>
      <c r="AK612" s="514"/>
      <c r="AL612" s="514"/>
      <c r="AM612" s="514"/>
      <c r="AN612" s="514"/>
      <c r="AO612" s="514"/>
      <c r="AP612" s="514"/>
      <c r="AQ612" s="514"/>
      <c r="AR612" s="514"/>
      <c r="AS612" s="514"/>
      <c r="AT612" s="514"/>
      <c r="AU612" s="514"/>
      <c r="AV612" s="514"/>
      <c r="AW612" s="514"/>
      <c r="AX612" s="514"/>
      <c r="AY612" s="514"/>
      <c r="AZ612" s="514"/>
      <c r="BA612" s="514"/>
      <c r="BB612" s="514"/>
      <c r="BC612" s="520"/>
      <c r="BD612" s="2482"/>
      <c r="BE612" s="30">
        <v>49.3</v>
      </c>
      <c r="BF612" s="31">
        <v>0.78259999999999996</v>
      </c>
      <c r="BG612" s="32">
        <v>782.3</v>
      </c>
      <c r="BH612" s="33"/>
      <c r="BI612" s="30">
        <v>49.3</v>
      </c>
      <c r="BJ612" s="34">
        <v>2.9554999999999998</v>
      </c>
      <c r="BK612" s="35">
        <v>0.12413</v>
      </c>
      <c r="BL612" s="33"/>
      <c r="BM612" s="33"/>
      <c r="BN612" s="33"/>
      <c r="BO612" s="33"/>
      <c r="BP612" s="520"/>
    </row>
    <row r="613" spans="28:68">
      <c r="AB613" s="514"/>
      <c r="AC613" s="514"/>
      <c r="AD613" s="514"/>
      <c r="AE613" s="514"/>
      <c r="AF613" s="514"/>
      <c r="AG613" s="514"/>
      <c r="AH613" s="514"/>
      <c r="AI613" s="514"/>
      <c r="AJ613" s="514"/>
      <c r="AK613" s="514"/>
      <c r="AL613" s="514"/>
      <c r="AM613" s="514"/>
      <c r="AN613" s="514"/>
      <c r="AO613" s="514"/>
      <c r="AP613" s="514"/>
      <c r="AQ613" s="514"/>
      <c r="AR613" s="514"/>
      <c r="AS613" s="514"/>
      <c r="AT613" s="514"/>
      <c r="AU613" s="514"/>
      <c r="AV613" s="514"/>
      <c r="AW613" s="514"/>
      <c r="AX613" s="514"/>
      <c r="AY613" s="514"/>
      <c r="AZ613" s="514"/>
      <c r="BA613" s="514"/>
      <c r="BB613" s="514"/>
      <c r="BC613" s="520"/>
      <c r="BD613" s="2482"/>
      <c r="BE613" s="30">
        <v>49.4</v>
      </c>
      <c r="BF613" s="31">
        <v>0.78220000000000001</v>
      </c>
      <c r="BG613" s="32">
        <v>781.9</v>
      </c>
      <c r="BH613" s="33"/>
      <c r="BI613" s="30">
        <v>49.4</v>
      </c>
      <c r="BJ613" s="34">
        <v>2.9538000000000002</v>
      </c>
      <c r="BK613" s="35">
        <v>0.12406</v>
      </c>
      <c r="BL613" s="33"/>
      <c r="BM613" s="33"/>
      <c r="BN613" s="33"/>
      <c r="BO613" s="33"/>
      <c r="BP613" s="520"/>
    </row>
    <row r="614" spans="28:68">
      <c r="AB614" s="514"/>
      <c r="AC614" s="514"/>
      <c r="AD614" s="514"/>
      <c r="AE614" s="514"/>
      <c r="AF614" s="514"/>
      <c r="AG614" s="514"/>
      <c r="AH614" s="514"/>
      <c r="AI614" s="514"/>
      <c r="AJ614" s="514"/>
      <c r="AK614" s="514"/>
      <c r="AL614" s="514"/>
      <c r="AM614" s="514"/>
      <c r="AN614" s="514"/>
      <c r="AO614" s="514"/>
      <c r="AP614" s="514"/>
      <c r="AQ614" s="514"/>
      <c r="AR614" s="514"/>
      <c r="AS614" s="514"/>
      <c r="AT614" s="514"/>
      <c r="AU614" s="514"/>
      <c r="AV614" s="514"/>
      <c r="AW614" s="514"/>
      <c r="AX614" s="514"/>
      <c r="AY614" s="514"/>
      <c r="AZ614" s="514"/>
      <c r="BA614" s="514"/>
      <c r="BB614" s="514"/>
      <c r="BC614" s="520"/>
      <c r="BD614" s="2482"/>
      <c r="BE614" s="30">
        <v>49.5</v>
      </c>
      <c r="BF614" s="31">
        <v>0.78180000000000005</v>
      </c>
      <c r="BG614" s="32">
        <v>781.4</v>
      </c>
      <c r="BH614" s="33"/>
      <c r="BI614" s="30">
        <v>49.5</v>
      </c>
      <c r="BJ614" s="34">
        <v>2.9521999999999999</v>
      </c>
      <c r="BK614" s="35">
        <v>0.12399</v>
      </c>
      <c r="BL614" s="33"/>
      <c r="BM614" s="33"/>
      <c r="BN614" s="33"/>
      <c r="BO614" s="33"/>
      <c r="BP614" s="520"/>
    </row>
    <row r="615" spans="28:68">
      <c r="AB615" s="514"/>
      <c r="AC615" s="514"/>
      <c r="AD615" s="514"/>
      <c r="AE615" s="514"/>
      <c r="AF615" s="514"/>
      <c r="AG615" s="514"/>
      <c r="AH615" s="514"/>
      <c r="AI615" s="514"/>
      <c r="AJ615" s="514"/>
      <c r="AK615" s="514"/>
      <c r="AL615" s="514"/>
      <c r="AM615" s="514"/>
      <c r="AN615" s="514"/>
      <c r="AO615" s="514"/>
      <c r="AP615" s="514"/>
      <c r="AQ615" s="514"/>
      <c r="AR615" s="514"/>
      <c r="AS615" s="514"/>
      <c r="AT615" s="514"/>
      <c r="AU615" s="514"/>
      <c r="AV615" s="514"/>
      <c r="AW615" s="514"/>
      <c r="AX615" s="514"/>
      <c r="AY615" s="514"/>
      <c r="AZ615" s="514"/>
      <c r="BA615" s="514"/>
      <c r="BB615" s="514"/>
      <c r="BC615" s="520"/>
      <c r="BD615" s="2482"/>
      <c r="BE615" s="30">
        <v>49.6</v>
      </c>
      <c r="BF615" s="31">
        <v>0.78129999999999999</v>
      </c>
      <c r="BG615" s="32">
        <v>781</v>
      </c>
      <c r="BH615" s="33"/>
      <c r="BI615" s="30">
        <v>49.6</v>
      </c>
      <c r="BJ615" s="34">
        <v>2.9506000000000001</v>
      </c>
      <c r="BK615" s="35">
        <v>0.12392</v>
      </c>
      <c r="BL615" s="33"/>
      <c r="BM615" s="33"/>
      <c r="BN615" s="33"/>
      <c r="BO615" s="33"/>
      <c r="BP615" s="520"/>
    </row>
    <row r="616" spans="28:68">
      <c r="AB616" s="514"/>
      <c r="AC616" s="514"/>
      <c r="AD616" s="514"/>
      <c r="AE616" s="514"/>
      <c r="AF616" s="514"/>
      <c r="AG616" s="514"/>
      <c r="AH616" s="514"/>
      <c r="AI616" s="514"/>
      <c r="AJ616" s="514"/>
      <c r="AK616" s="514"/>
      <c r="AL616" s="514"/>
      <c r="AM616" s="514"/>
      <c r="AN616" s="514"/>
      <c r="AO616" s="514"/>
      <c r="AP616" s="514"/>
      <c r="AQ616" s="514"/>
      <c r="AR616" s="514"/>
      <c r="AS616" s="514"/>
      <c r="AT616" s="514"/>
      <c r="AU616" s="514"/>
      <c r="AV616" s="514"/>
      <c r="AW616" s="514"/>
      <c r="AX616" s="514"/>
      <c r="AY616" s="514"/>
      <c r="AZ616" s="514"/>
      <c r="BA616" s="514"/>
      <c r="BB616" s="514"/>
      <c r="BC616" s="520"/>
      <c r="BD616" s="2482"/>
      <c r="BE616" s="30">
        <v>49.7</v>
      </c>
      <c r="BF616" s="31">
        <v>0.78090000000000004</v>
      </c>
      <c r="BG616" s="32">
        <v>780.6</v>
      </c>
      <c r="BH616" s="33"/>
      <c r="BI616" s="30">
        <v>49.7</v>
      </c>
      <c r="BJ616" s="34">
        <v>2.9489000000000001</v>
      </c>
      <c r="BK616" s="35">
        <v>0.12386</v>
      </c>
      <c r="BL616" s="33"/>
      <c r="BM616" s="33"/>
      <c r="BN616" s="33"/>
      <c r="BO616" s="33"/>
      <c r="BP616" s="520"/>
    </row>
    <row r="617" spans="28:68">
      <c r="AB617" s="514"/>
      <c r="AC617" s="514"/>
      <c r="AD617" s="514"/>
      <c r="AE617" s="514"/>
      <c r="AF617" s="514"/>
      <c r="AG617" s="514"/>
      <c r="AH617" s="514"/>
      <c r="AI617" s="514"/>
      <c r="AJ617" s="514"/>
      <c r="AK617" s="514"/>
      <c r="AL617" s="514"/>
      <c r="AM617" s="514"/>
      <c r="AN617" s="514"/>
      <c r="AO617" s="514"/>
      <c r="AP617" s="514"/>
      <c r="AQ617" s="514"/>
      <c r="AR617" s="514"/>
      <c r="AS617" s="514"/>
      <c r="AT617" s="514"/>
      <c r="AU617" s="514"/>
      <c r="AV617" s="514"/>
      <c r="AW617" s="514"/>
      <c r="AX617" s="514"/>
      <c r="AY617" s="514"/>
      <c r="AZ617" s="514"/>
      <c r="BA617" s="514"/>
      <c r="BB617" s="514"/>
      <c r="BC617" s="520"/>
      <c r="BD617" s="2482"/>
      <c r="BE617" s="30">
        <v>49.8</v>
      </c>
      <c r="BF617" s="31">
        <v>0.78049999999999997</v>
      </c>
      <c r="BG617" s="32">
        <v>780.2</v>
      </c>
      <c r="BH617" s="33"/>
      <c r="BI617" s="30">
        <v>49.8</v>
      </c>
      <c r="BJ617" s="34">
        <v>2.9472999999999998</v>
      </c>
      <c r="BK617" s="35">
        <v>0.12379</v>
      </c>
      <c r="BL617" s="33"/>
      <c r="BM617" s="33"/>
      <c r="BN617" s="33"/>
      <c r="BO617" s="33"/>
      <c r="BP617" s="520"/>
    </row>
    <row r="618" spans="28:68">
      <c r="AB618" s="514"/>
      <c r="AC618" s="514"/>
      <c r="AD618" s="514"/>
      <c r="AE618" s="514"/>
      <c r="AF618" s="514"/>
      <c r="AG618" s="514"/>
      <c r="AH618" s="514"/>
      <c r="AI618" s="514"/>
      <c r="AJ618" s="514"/>
      <c r="AK618" s="514"/>
      <c r="AL618" s="514"/>
      <c r="AM618" s="514"/>
      <c r="AN618" s="514"/>
      <c r="AO618" s="514"/>
      <c r="AP618" s="514"/>
      <c r="AQ618" s="514"/>
      <c r="AR618" s="514"/>
      <c r="AS618" s="514"/>
      <c r="AT618" s="514"/>
      <c r="AU618" s="514"/>
      <c r="AV618" s="514"/>
      <c r="AW618" s="514"/>
      <c r="AX618" s="514"/>
      <c r="AY618" s="514"/>
      <c r="AZ618" s="514"/>
      <c r="BA618" s="514"/>
      <c r="BB618" s="514"/>
      <c r="BC618" s="520"/>
      <c r="BD618" s="2482"/>
      <c r="BE618" s="30">
        <v>49.9</v>
      </c>
      <c r="BF618" s="31">
        <v>0.78</v>
      </c>
      <c r="BG618" s="32">
        <v>779.7</v>
      </c>
      <c r="BH618" s="33"/>
      <c r="BI618" s="30">
        <v>49.9</v>
      </c>
      <c r="BJ618" s="34">
        <v>2.9457</v>
      </c>
      <c r="BK618" s="35">
        <v>0.12372</v>
      </c>
      <c r="BL618" s="33"/>
      <c r="BM618" s="33"/>
      <c r="BN618" s="33"/>
      <c r="BO618" s="33"/>
      <c r="BP618" s="520"/>
    </row>
    <row r="619" spans="28:68">
      <c r="AB619" s="514"/>
      <c r="AC619" s="514"/>
      <c r="AD619" s="514"/>
      <c r="AE619" s="514"/>
      <c r="AF619" s="514"/>
      <c r="AG619" s="514"/>
      <c r="AH619" s="514"/>
      <c r="AI619" s="514"/>
      <c r="AJ619" s="514"/>
      <c r="AK619" s="514"/>
      <c r="AL619" s="514"/>
      <c r="AM619" s="514"/>
      <c r="AN619" s="514"/>
      <c r="AO619" s="514"/>
      <c r="AP619" s="514"/>
      <c r="AQ619" s="514"/>
      <c r="AR619" s="514"/>
      <c r="AS619" s="514"/>
      <c r="AT619" s="514"/>
      <c r="AU619" s="514"/>
      <c r="AV619" s="514"/>
      <c r="AW619" s="514"/>
      <c r="AX619" s="514"/>
      <c r="AY619" s="514"/>
      <c r="AZ619" s="514"/>
      <c r="BA619" s="514"/>
      <c r="BB619" s="514"/>
      <c r="BC619" s="520"/>
      <c r="BD619" s="2482"/>
      <c r="BE619" s="30">
        <v>50</v>
      </c>
      <c r="BF619" s="31">
        <v>0.77959999999999996</v>
      </c>
      <c r="BG619" s="32">
        <v>779.3</v>
      </c>
      <c r="BH619" s="33"/>
      <c r="BI619" s="30">
        <v>50</v>
      </c>
      <c r="BJ619" s="34">
        <v>2.9441000000000002</v>
      </c>
      <c r="BK619" s="35">
        <v>0.12365</v>
      </c>
      <c r="BL619" s="33"/>
      <c r="BM619" s="33"/>
      <c r="BN619" s="33"/>
      <c r="BO619" s="33"/>
      <c r="BP619" s="520"/>
    </row>
    <row r="620" spans="28:68">
      <c r="AB620" s="514"/>
      <c r="AC620" s="514"/>
      <c r="AD620" s="514"/>
      <c r="AE620" s="514"/>
      <c r="AF620" s="514"/>
      <c r="AG620" s="514"/>
      <c r="AH620" s="514"/>
      <c r="AI620" s="514"/>
      <c r="AJ620" s="514"/>
      <c r="AK620" s="514"/>
      <c r="AL620" s="514"/>
      <c r="AM620" s="514"/>
      <c r="AN620" s="514"/>
      <c r="AO620" s="514"/>
      <c r="AP620" s="514"/>
      <c r="AQ620" s="514"/>
      <c r="AR620" s="514"/>
      <c r="AS620" s="514"/>
      <c r="AT620" s="514"/>
      <c r="AU620" s="514"/>
      <c r="AV620" s="514"/>
      <c r="AW620" s="514"/>
      <c r="AX620" s="514"/>
      <c r="AY620" s="514"/>
      <c r="AZ620" s="514"/>
      <c r="BA620" s="514"/>
      <c r="BB620" s="514"/>
      <c r="BC620" s="520"/>
      <c r="BD620" s="2482"/>
      <c r="BE620" s="30">
        <v>50.1</v>
      </c>
      <c r="BF620" s="31">
        <v>0.7792</v>
      </c>
      <c r="BG620" s="32">
        <v>778.9</v>
      </c>
      <c r="BH620" s="33"/>
      <c r="BI620" s="30">
        <v>50.1</v>
      </c>
      <c r="BJ620" s="34">
        <v>2.9424000000000001</v>
      </c>
      <c r="BK620" s="35">
        <v>0.12358</v>
      </c>
      <c r="BL620" s="33"/>
      <c r="BM620" s="33"/>
      <c r="BN620" s="33"/>
      <c r="BO620" s="33"/>
      <c r="BP620" s="520"/>
    </row>
    <row r="621" spans="28:68">
      <c r="AB621" s="514"/>
      <c r="AC621" s="514"/>
      <c r="AD621" s="514"/>
      <c r="AE621" s="514"/>
      <c r="AF621" s="514"/>
      <c r="AG621" s="514"/>
      <c r="AH621" s="514"/>
      <c r="AI621" s="514"/>
      <c r="AJ621" s="514"/>
      <c r="AK621" s="514"/>
      <c r="AL621" s="514"/>
      <c r="AM621" s="514"/>
      <c r="AN621" s="514"/>
      <c r="AO621" s="514"/>
      <c r="AP621" s="514"/>
      <c r="AQ621" s="514"/>
      <c r="AR621" s="514"/>
      <c r="AS621" s="514"/>
      <c r="AT621" s="514"/>
      <c r="AU621" s="514"/>
      <c r="AV621" s="514"/>
      <c r="AW621" s="514"/>
      <c r="AX621" s="514"/>
      <c r="AY621" s="514"/>
      <c r="AZ621" s="514"/>
      <c r="BA621" s="514"/>
      <c r="BB621" s="514"/>
      <c r="BC621" s="520"/>
      <c r="BD621" s="2482"/>
      <c r="BE621" s="30">
        <v>50.2</v>
      </c>
      <c r="BF621" s="31">
        <v>0.77880000000000005</v>
      </c>
      <c r="BG621" s="32">
        <v>778.4</v>
      </c>
      <c r="BH621" s="33"/>
      <c r="BI621" s="30">
        <v>50.2</v>
      </c>
      <c r="BJ621" s="34">
        <v>2.9407999999999999</v>
      </c>
      <c r="BK621" s="35">
        <v>0.12350999999999999</v>
      </c>
      <c r="BL621" s="33"/>
      <c r="BM621" s="33"/>
      <c r="BN621" s="33"/>
      <c r="BO621" s="33"/>
      <c r="BP621" s="520"/>
    </row>
    <row r="622" spans="28:68">
      <c r="AB622" s="514"/>
      <c r="AC622" s="514"/>
      <c r="AD622" s="514"/>
      <c r="AE622" s="514"/>
      <c r="AF622" s="514"/>
      <c r="AG622" s="514"/>
      <c r="AH622" s="514"/>
      <c r="AI622" s="514"/>
      <c r="AJ622" s="514"/>
      <c r="AK622" s="514"/>
      <c r="AL622" s="514"/>
      <c r="AM622" s="514"/>
      <c r="AN622" s="514"/>
      <c r="AO622" s="514"/>
      <c r="AP622" s="514"/>
      <c r="AQ622" s="514"/>
      <c r="AR622" s="514"/>
      <c r="AS622" s="514"/>
      <c r="AT622" s="514"/>
      <c r="AU622" s="514"/>
      <c r="AV622" s="514"/>
      <c r="AW622" s="514"/>
      <c r="AX622" s="514"/>
      <c r="AY622" s="514"/>
      <c r="AZ622" s="514"/>
      <c r="BA622" s="514"/>
      <c r="BB622" s="514"/>
      <c r="BC622" s="520"/>
      <c r="BD622" s="2482"/>
      <c r="BE622" s="30">
        <v>50.3</v>
      </c>
      <c r="BF622" s="31">
        <v>0.77829999999999999</v>
      </c>
      <c r="BG622" s="32">
        <v>778</v>
      </c>
      <c r="BH622" s="33"/>
      <c r="BI622" s="30">
        <v>50.3</v>
      </c>
      <c r="BJ622" s="34">
        <v>2.9392</v>
      </c>
      <c r="BK622" s="35">
        <v>0.12345</v>
      </c>
      <c r="BL622" s="33"/>
      <c r="BM622" s="33"/>
      <c r="BN622" s="33"/>
      <c r="BO622" s="33"/>
      <c r="BP622" s="520"/>
    </row>
    <row r="623" spans="28:68">
      <c r="AB623" s="514"/>
      <c r="AC623" s="514"/>
      <c r="AD623" s="514"/>
      <c r="AE623" s="514"/>
      <c r="AF623" s="514"/>
      <c r="AG623" s="514"/>
      <c r="AH623" s="514"/>
      <c r="AI623" s="514"/>
      <c r="AJ623" s="514"/>
      <c r="AK623" s="514"/>
      <c r="AL623" s="514"/>
      <c r="AM623" s="514"/>
      <c r="AN623" s="514"/>
      <c r="AO623" s="514"/>
      <c r="AP623" s="514"/>
      <c r="AQ623" s="514"/>
      <c r="AR623" s="514"/>
      <c r="AS623" s="514"/>
      <c r="AT623" s="514"/>
      <c r="AU623" s="514"/>
      <c r="AV623" s="514"/>
      <c r="AW623" s="514"/>
      <c r="AX623" s="514"/>
      <c r="AY623" s="514"/>
      <c r="AZ623" s="514"/>
      <c r="BA623" s="514"/>
      <c r="BB623" s="514"/>
      <c r="BC623" s="520"/>
      <c r="BD623" s="2482"/>
      <c r="BE623" s="30">
        <v>50.4</v>
      </c>
      <c r="BF623" s="31">
        <v>0.77790000000000004</v>
      </c>
      <c r="BG623" s="32">
        <v>777.6</v>
      </c>
      <c r="BH623" s="33"/>
      <c r="BI623" s="30">
        <v>50.4</v>
      </c>
      <c r="BJ623" s="34">
        <v>2.9376000000000002</v>
      </c>
      <c r="BK623" s="35">
        <v>0.12338</v>
      </c>
      <c r="BL623" s="33"/>
      <c r="BM623" s="33"/>
      <c r="BN623" s="33"/>
      <c r="BO623" s="33"/>
      <c r="BP623" s="520"/>
    </row>
    <row r="624" spans="28:68">
      <c r="AB624" s="514"/>
      <c r="AC624" s="514"/>
      <c r="AD624" s="514"/>
      <c r="AE624" s="514"/>
      <c r="AF624" s="514"/>
      <c r="AG624" s="514"/>
      <c r="AH624" s="514"/>
      <c r="AI624" s="514"/>
      <c r="AJ624" s="514"/>
      <c r="AK624" s="514"/>
      <c r="AL624" s="514"/>
      <c r="AM624" s="514"/>
      <c r="AN624" s="514"/>
      <c r="AO624" s="514"/>
      <c r="AP624" s="514"/>
      <c r="AQ624" s="514"/>
      <c r="AR624" s="514"/>
      <c r="AS624" s="514"/>
      <c r="AT624" s="514"/>
      <c r="AU624" s="514"/>
      <c r="AV624" s="514"/>
      <c r="AW624" s="514"/>
      <c r="AX624" s="514"/>
      <c r="AY624" s="514"/>
      <c r="AZ624" s="514"/>
      <c r="BA624" s="514"/>
      <c r="BB624" s="514"/>
      <c r="BC624" s="520"/>
      <c r="BD624" s="2482"/>
      <c r="BE624" s="30">
        <v>50.5</v>
      </c>
      <c r="BF624" s="31">
        <v>0.77749999999999997</v>
      </c>
      <c r="BG624" s="32">
        <v>777.2</v>
      </c>
      <c r="BH624" s="33"/>
      <c r="BI624" s="30">
        <v>50.5</v>
      </c>
      <c r="BJ624" s="34">
        <v>2.9359999999999999</v>
      </c>
      <c r="BK624" s="35">
        <v>0.12331</v>
      </c>
      <c r="BL624" s="33"/>
      <c r="BM624" s="33"/>
      <c r="BN624" s="33"/>
      <c r="BO624" s="33"/>
      <c r="BP624" s="520"/>
    </row>
    <row r="625" spans="28:68">
      <c r="AB625" s="514"/>
      <c r="AC625" s="514"/>
      <c r="AD625" s="514"/>
      <c r="AE625" s="514"/>
      <c r="AF625" s="514"/>
      <c r="AG625" s="514"/>
      <c r="AH625" s="514"/>
      <c r="AI625" s="514"/>
      <c r="AJ625" s="514"/>
      <c r="AK625" s="514"/>
      <c r="AL625" s="514"/>
      <c r="AM625" s="514"/>
      <c r="AN625" s="514"/>
      <c r="AO625" s="514"/>
      <c r="AP625" s="514"/>
      <c r="AQ625" s="514"/>
      <c r="AR625" s="514"/>
      <c r="AS625" s="514"/>
      <c r="AT625" s="514"/>
      <c r="AU625" s="514"/>
      <c r="AV625" s="514"/>
      <c r="AW625" s="514"/>
      <c r="AX625" s="514"/>
      <c r="AY625" s="514"/>
      <c r="AZ625" s="514"/>
      <c r="BA625" s="514"/>
      <c r="BB625" s="514"/>
      <c r="BC625" s="520"/>
      <c r="BD625" s="2482"/>
      <c r="BE625" s="30">
        <v>50.6</v>
      </c>
      <c r="BF625" s="31">
        <v>0.77700000000000002</v>
      </c>
      <c r="BG625" s="32">
        <v>776.7</v>
      </c>
      <c r="BH625" s="33"/>
      <c r="BI625" s="30">
        <v>50.6</v>
      </c>
      <c r="BJ625" s="34">
        <v>2.9342999999999999</v>
      </c>
      <c r="BK625" s="35">
        <v>0.12324</v>
      </c>
      <c r="BL625" s="33"/>
      <c r="BM625" s="33"/>
      <c r="BN625" s="33"/>
      <c r="BO625" s="33"/>
      <c r="BP625" s="520"/>
    </row>
    <row r="626" spans="28:68">
      <c r="AB626" s="514"/>
      <c r="AC626" s="514"/>
      <c r="AD626" s="514"/>
      <c r="AE626" s="514"/>
      <c r="AF626" s="514"/>
      <c r="AG626" s="514"/>
      <c r="AH626" s="514"/>
      <c r="AI626" s="514"/>
      <c r="AJ626" s="514"/>
      <c r="AK626" s="514"/>
      <c r="AL626" s="514"/>
      <c r="AM626" s="514"/>
      <c r="AN626" s="514"/>
      <c r="AO626" s="514"/>
      <c r="AP626" s="514"/>
      <c r="AQ626" s="514"/>
      <c r="AR626" s="514"/>
      <c r="AS626" s="514"/>
      <c r="AT626" s="514"/>
      <c r="AU626" s="514"/>
      <c r="AV626" s="514"/>
      <c r="AW626" s="514"/>
      <c r="AX626" s="514"/>
      <c r="AY626" s="514"/>
      <c r="AZ626" s="514"/>
      <c r="BA626" s="514"/>
      <c r="BB626" s="514"/>
      <c r="BC626" s="520"/>
      <c r="BD626" s="2482"/>
      <c r="BE626" s="30">
        <v>50.7</v>
      </c>
      <c r="BF626" s="31">
        <v>0.77659999999999996</v>
      </c>
      <c r="BG626" s="32">
        <v>776.3</v>
      </c>
      <c r="BH626" s="33"/>
      <c r="BI626" s="30">
        <v>50.7</v>
      </c>
      <c r="BJ626" s="34">
        <v>2.9327000000000001</v>
      </c>
      <c r="BK626" s="35">
        <v>0.12317</v>
      </c>
      <c r="BL626" s="33"/>
      <c r="BM626" s="33"/>
      <c r="BN626" s="33"/>
      <c r="BO626" s="33"/>
      <c r="BP626" s="520"/>
    </row>
    <row r="627" spans="28:68">
      <c r="AB627" s="514"/>
      <c r="AC627" s="514"/>
      <c r="AD627" s="514"/>
      <c r="AE627" s="514"/>
      <c r="AF627" s="514"/>
      <c r="AG627" s="514"/>
      <c r="AH627" s="514"/>
      <c r="AI627" s="514"/>
      <c r="AJ627" s="514"/>
      <c r="AK627" s="514"/>
      <c r="AL627" s="514"/>
      <c r="AM627" s="514"/>
      <c r="AN627" s="514"/>
      <c r="AO627" s="514"/>
      <c r="AP627" s="514"/>
      <c r="AQ627" s="514"/>
      <c r="AR627" s="514"/>
      <c r="AS627" s="514"/>
      <c r="AT627" s="514"/>
      <c r="AU627" s="514"/>
      <c r="AV627" s="514"/>
      <c r="AW627" s="514"/>
      <c r="AX627" s="514"/>
      <c r="AY627" s="514"/>
      <c r="AZ627" s="514"/>
      <c r="BA627" s="514"/>
      <c r="BB627" s="514"/>
      <c r="BC627" s="520"/>
      <c r="BD627" s="2482"/>
      <c r="BE627" s="30">
        <v>50.8</v>
      </c>
      <c r="BF627" s="31">
        <v>0.7762</v>
      </c>
      <c r="BG627" s="32">
        <v>775.9</v>
      </c>
      <c r="BH627" s="33"/>
      <c r="BI627" s="30">
        <v>50.8</v>
      </c>
      <c r="BJ627" s="34">
        <v>2.9310999999999998</v>
      </c>
      <c r="BK627" s="35">
        <v>0.12311</v>
      </c>
      <c r="BL627" s="33"/>
      <c r="BM627" s="33"/>
      <c r="BN627" s="33"/>
      <c r="BO627" s="33"/>
      <c r="BP627" s="520"/>
    </row>
    <row r="628" spans="28:68">
      <c r="AB628" s="514"/>
      <c r="AC628" s="514"/>
      <c r="AD628" s="514"/>
      <c r="AE628" s="514"/>
      <c r="AF628" s="514"/>
      <c r="AG628" s="514"/>
      <c r="AH628" s="514"/>
      <c r="AI628" s="514"/>
      <c r="AJ628" s="514"/>
      <c r="AK628" s="514"/>
      <c r="AL628" s="514"/>
      <c r="AM628" s="514"/>
      <c r="AN628" s="514"/>
      <c r="AO628" s="514"/>
      <c r="AP628" s="514"/>
      <c r="AQ628" s="514"/>
      <c r="AR628" s="514"/>
      <c r="AS628" s="514"/>
      <c r="AT628" s="514"/>
      <c r="AU628" s="514"/>
      <c r="AV628" s="514"/>
      <c r="AW628" s="514"/>
      <c r="AX628" s="514"/>
      <c r="AY628" s="514"/>
      <c r="AZ628" s="514"/>
      <c r="BA628" s="514"/>
      <c r="BB628" s="514"/>
      <c r="BC628" s="520"/>
      <c r="BD628" s="2482"/>
      <c r="BE628" s="30">
        <v>50.9</v>
      </c>
      <c r="BF628" s="31">
        <v>0.77580000000000005</v>
      </c>
      <c r="BG628" s="32">
        <v>775.5</v>
      </c>
      <c r="BH628" s="33"/>
      <c r="BI628" s="30">
        <v>50.9</v>
      </c>
      <c r="BJ628" s="34">
        <v>2.9295</v>
      </c>
      <c r="BK628" s="35">
        <v>0.12304</v>
      </c>
      <c r="BL628" s="33"/>
      <c r="BM628" s="33"/>
      <c r="BN628" s="33"/>
      <c r="BO628" s="33"/>
      <c r="BP628" s="520"/>
    </row>
    <row r="629" spans="28:68">
      <c r="AB629" s="514"/>
      <c r="AC629" s="514"/>
      <c r="AD629" s="514"/>
      <c r="AE629" s="514"/>
      <c r="AF629" s="514"/>
      <c r="AG629" s="514"/>
      <c r="AH629" s="514"/>
      <c r="AI629" s="514"/>
      <c r="AJ629" s="514"/>
      <c r="AK629" s="514"/>
      <c r="AL629" s="514"/>
      <c r="AM629" s="514"/>
      <c r="AN629" s="514"/>
      <c r="AO629" s="514"/>
      <c r="AP629" s="514"/>
      <c r="AQ629" s="514"/>
      <c r="AR629" s="514"/>
      <c r="AS629" s="514"/>
      <c r="AT629" s="514"/>
      <c r="AU629" s="514"/>
      <c r="AV629" s="514"/>
      <c r="AW629" s="514"/>
      <c r="AX629" s="514"/>
      <c r="AY629" s="514"/>
      <c r="AZ629" s="514"/>
      <c r="BA629" s="514"/>
      <c r="BB629" s="514"/>
      <c r="BC629" s="520"/>
      <c r="BD629" s="2482"/>
      <c r="BE629" s="30">
        <v>51</v>
      </c>
      <c r="BF629" s="31">
        <v>0.77529999999999999</v>
      </c>
      <c r="BG629" s="32">
        <v>775.1</v>
      </c>
      <c r="BH629" s="33"/>
      <c r="BI629" s="30">
        <v>51</v>
      </c>
      <c r="BJ629" s="34">
        <v>2.9279000000000002</v>
      </c>
      <c r="BK629" s="35">
        <v>0.12297</v>
      </c>
      <c r="BL629" s="33"/>
      <c r="BM629" s="33"/>
      <c r="BN629" s="33"/>
      <c r="BO629" s="33"/>
      <c r="BP629" s="520"/>
    </row>
    <row r="630" spans="28:68">
      <c r="AB630" s="514"/>
      <c r="AC630" s="514"/>
      <c r="AD630" s="514"/>
      <c r="AE630" s="514"/>
      <c r="AF630" s="514"/>
      <c r="AG630" s="514"/>
      <c r="AH630" s="514"/>
      <c r="AI630" s="514"/>
      <c r="AJ630" s="514"/>
      <c r="AK630" s="514"/>
      <c r="AL630" s="514"/>
      <c r="AM630" s="514"/>
      <c r="AN630" s="514"/>
      <c r="AO630" s="514"/>
      <c r="AP630" s="514"/>
      <c r="AQ630" s="514"/>
      <c r="AR630" s="514"/>
      <c r="AS630" s="514"/>
      <c r="AT630" s="514"/>
      <c r="AU630" s="514"/>
      <c r="AV630" s="514"/>
      <c r="AW630" s="514"/>
      <c r="AX630" s="514"/>
      <c r="AY630" s="514"/>
      <c r="AZ630" s="514"/>
      <c r="BA630" s="514"/>
      <c r="BB630" s="514"/>
      <c r="BC630" s="520"/>
      <c r="BD630" s="2482"/>
      <c r="BE630" s="30">
        <v>51.1</v>
      </c>
      <c r="BF630" s="31">
        <v>0.77490000000000003</v>
      </c>
      <c r="BG630" s="32">
        <v>774.6</v>
      </c>
      <c r="BH630" s="33"/>
      <c r="BI630" s="30">
        <v>51.1</v>
      </c>
      <c r="BJ630" s="34">
        <v>2.9262999999999999</v>
      </c>
      <c r="BK630" s="35">
        <v>0.1229</v>
      </c>
      <c r="BL630" s="33"/>
      <c r="BM630" s="33"/>
      <c r="BN630" s="33"/>
      <c r="BO630" s="33"/>
      <c r="BP630" s="520"/>
    </row>
    <row r="631" spans="28:68">
      <c r="AB631" s="514"/>
      <c r="AC631" s="514"/>
      <c r="AD631" s="514"/>
      <c r="AE631" s="514"/>
      <c r="AF631" s="514"/>
      <c r="AG631" s="514"/>
      <c r="AH631" s="514"/>
      <c r="AI631" s="514"/>
      <c r="AJ631" s="514"/>
      <c r="AK631" s="514"/>
      <c r="AL631" s="514"/>
      <c r="AM631" s="514"/>
      <c r="AN631" s="514"/>
      <c r="AO631" s="514"/>
      <c r="AP631" s="514"/>
      <c r="AQ631" s="514"/>
      <c r="AR631" s="514"/>
      <c r="AS631" s="514"/>
      <c r="AT631" s="514"/>
      <c r="AU631" s="514"/>
      <c r="AV631" s="514"/>
      <c r="AW631" s="514"/>
      <c r="AX631" s="514"/>
      <c r="AY631" s="514"/>
      <c r="AZ631" s="514"/>
      <c r="BA631" s="514"/>
      <c r="BB631" s="514"/>
      <c r="BC631" s="520"/>
      <c r="BD631" s="2482"/>
      <c r="BE631" s="30">
        <v>51.2</v>
      </c>
      <c r="BF631" s="31">
        <v>0.77449999999999997</v>
      </c>
      <c r="BG631" s="32">
        <v>774.2</v>
      </c>
      <c r="BH631" s="33"/>
      <c r="BI631" s="30">
        <v>51.2</v>
      </c>
      <c r="BJ631" s="34">
        <v>2.9247000000000001</v>
      </c>
      <c r="BK631" s="35">
        <v>0.12284</v>
      </c>
      <c r="BL631" s="33"/>
      <c r="BM631" s="33"/>
      <c r="BN631" s="33"/>
      <c r="BO631" s="33"/>
      <c r="BP631" s="520"/>
    </row>
    <row r="632" spans="28:68">
      <c r="AB632" s="514"/>
      <c r="AC632" s="514"/>
      <c r="AD632" s="514"/>
      <c r="AE632" s="514"/>
      <c r="AF632" s="514"/>
      <c r="AG632" s="514"/>
      <c r="AH632" s="514"/>
      <c r="AI632" s="514"/>
      <c r="AJ632" s="514"/>
      <c r="AK632" s="514"/>
      <c r="AL632" s="514"/>
      <c r="AM632" s="514"/>
      <c r="AN632" s="514"/>
      <c r="AO632" s="514"/>
      <c r="AP632" s="514"/>
      <c r="AQ632" s="514"/>
      <c r="AR632" s="514"/>
      <c r="AS632" s="514"/>
      <c r="AT632" s="514"/>
      <c r="AU632" s="514"/>
      <c r="AV632" s="514"/>
      <c r="AW632" s="514"/>
      <c r="AX632" s="514"/>
      <c r="AY632" s="514"/>
      <c r="AZ632" s="514"/>
      <c r="BA632" s="514"/>
      <c r="BB632" s="514"/>
      <c r="BC632" s="520"/>
      <c r="BD632" s="2482"/>
      <c r="BE632" s="30">
        <v>51.3</v>
      </c>
      <c r="BF632" s="31">
        <v>0.77410000000000001</v>
      </c>
      <c r="BG632" s="32">
        <v>773.8</v>
      </c>
      <c r="BH632" s="33"/>
      <c r="BI632" s="30">
        <v>51.3</v>
      </c>
      <c r="BJ632" s="34">
        <v>2.9230999999999998</v>
      </c>
      <c r="BK632" s="35">
        <v>0.12277</v>
      </c>
      <c r="BL632" s="33"/>
      <c r="BM632" s="33"/>
      <c r="BN632" s="33"/>
      <c r="BO632" s="33"/>
      <c r="BP632" s="520"/>
    </row>
    <row r="633" spans="28:68">
      <c r="AB633" s="514"/>
      <c r="AC633" s="514"/>
      <c r="AD633" s="514"/>
      <c r="AE633" s="514"/>
      <c r="AF633" s="514"/>
      <c r="AG633" s="514"/>
      <c r="AH633" s="514"/>
      <c r="AI633" s="514"/>
      <c r="AJ633" s="514"/>
      <c r="AK633" s="514"/>
      <c r="AL633" s="514"/>
      <c r="AM633" s="514"/>
      <c r="AN633" s="514"/>
      <c r="AO633" s="514"/>
      <c r="AP633" s="514"/>
      <c r="AQ633" s="514"/>
      <c r="AR633" s="514"/>
      <c r="AS633" s="514"/>
      <c r="AT633" s="514"/>
      <c r="AU633" s="514"/>
      <c r="AV633" s="514"/>
      <c r="AW633" s="514"/>
      <c r="AX633" s="514"/>
      <c r="AY633" s="514"/>
      <c r="AZ633" s="514"/>
      <c r="BA633" s="514"/>
      <c r="BB633" s="514"/>
      <c r="BC633" s="520"/>
      <c r="BD633" s="2482"/>
      <c r="BE633" s="30">
        <v>51.4</v>
      </c>
      <c r="BF633" s="31">
        <v>0.77359999999999995</v>
      </c>
      <c r="BG633" s="32">
        <v>773.4</v>
      </c>
      <c r="BH633" s="33"/>
      <c r="BI633" s="30">
        <v>51.4</v>
      </c>
      <c r="BJ633" s="34">
        <v>2.9215</v>
      </c>
      <c r="BK633" s="35">
        <v>0.1227</v>
      </c>
      <c r="BL633" s="33"/>
      <c r="BM633" s="33"/>
      <c r="BN633" s="33"/>
      <c r="BO633" s="33"/>
      <c r="BP633" s="520"/>
    </row>
    <row r="634" spans="28:68">
      <c r="AB634" s="514"/>
      <c r="AC634" s="514"/>
      <c r="AD634" s="514"/>
      <c r="AE634" s="514"/>
      <c r="AF634" s="514"/>
      <c r="AG634" s="514"/>
      <c r="AH634" s="514"/>
      <c r="AI634" s="514"/>
      <c r="AJ634" s="514"/>
      <c r="AK634" s="514"/>
      <c r="AL634" s="514"/>
      <c r="AM634" s="514"/>
      <c r="AN634" s="514"/>
      <c r="AO634" s="514"/>
      <c r="AP634" s="514"/>
      <c r="AQ634" s="514"/>
      <c r="AR634" s="514"/>
      <c r="AS634" s="514"/>
      <c r="AT634" s="514"/>
      <c r="AU634" s="514"/>
      <c r="AV634" s="514"/>
      <c r="AW634" s="514"/>
      <c r="AX634" s="514"/>
      <c r="AY634" s="514"/>
      <c r="AZ634" s="514"/>
      <c r="BA634" s="514"/>
      <c r="BB634" s="514"/>
      <c r="BC634" s="520"/>
      <c r="BD634" s="2482"/>
      <c r="BE634" s="30">
        <v>51.5</v>
      </c>
      <c r="BF634" s="31">
        <v>0.7732</v>
      </c>
      <c r="BG634" s="32">
        <v>772.9</v>
      </c>
      <c r="BH634" s="33"/>
      <c r="BI634" s="30">
        <v>51.5</v>
      </c>
      <c r="BJ634" s="34">
        <v>2.9199000000000002</v>
      </c>
      <c r="BK634" s="35">
        <v>0.12264</v>
      </c>
      <c r="BL634" s="33"/>
      <c r="BM634" s="33"/>
      <c r="BN634" s="33"/>
      <c r="BO634" s="33"/>
      <c r="BP634" s="520"/>
    </row>
    <row r="635" spans="28:68">
      <c r="AB635" s="514"/>
      <c r="AC635" s="514"/>
      <c r="AD635" s="514"/>
      <c r="AE635" s="514"/>
      <c r="AF635" s="514"/>
      <c r="AG635" s="514"/>
      <c r="AH635" s="514"/>
      <c r="AI635" s="514"/>
      <c r="AJ635" s="514"/>
      <c r="AK635" s="514"/>
      <c r="AL635" s="514"/>
      <c r="AM635" s="514"/>
      <c r="AN635" s="514"/>
      <c r="AO635" s="514"/>
      <c r="AP635" s="514"/>
      <c r="AQ635" s="514"/>
      <c r="AR635" s="514"/>
      <c r="AS635" s="514"/>
      <c r="AT635" s="514"/>
      <c r="AU635" s="514"/>
      <c r="AV635" s="514"/>
      <c r="AW635" s="514"/>
      <c r="AX635" s="514"/>
      <c r="AY635" s="514"/>
      <c r="AZ635" s="514"/>
      <c r="BA635" s="514"/>
      <c r="BB635" s="514"/>
      <c r="BC635" s="520"/>
      <c r="BD635" s="2482"/>
      <c r="BE635" s="30">
        <v>51.6</v>
      </c>
      <c r="BF635" s="31">
        <v>0.77280000000000004</v>
      </c>
      <c r="BG635" s="32">
        <v>772.5</v>
      </c>
      <c r="BH635" s="33"/>
      <c r="BI635" s="30">
        <v>51.6</v>
      </c>
      <c r="BJ635" s="34">
        <v>2.9182999999999999</v>
      </c>
      <c r="BK635" s="35">
        <v>0.12257</v>
      </c>
      <c r="BL635" s="33"/>
      <c r="BM635" s="33"/>
      <c r="BN635" s="33"/>
      <c r="BO635" s="33"/>
      <c r="BP635" s="520"/>
    </row>
    <row r="636" spans="28:68">
      <c r="AB636" s="514"/>
      <c r="AC636" s="514"/>
      <c r="AD636" s="514"/>
      <c r="AE636" s="514"/>
      <c r="AF636" s="514"/>
      <c r="AG636" s="514"/>
      <c r="AH636" s="514"/>
      <c r="AI636" s="514"/>
      <c r="AJ636" s="514"/>
      <c r="AK636" s="514"/>
      <c r="AL636" s="514"/>
      <c r="AM636" s="514"/>
      <c r="AN636" s="514"/>
      <c r="AO636" s="514"/>
      <c r="AP636" s="514"/>
      <c r="AQ636" s="514"/>
      <c r="AR636" s="514"/>
      <c r="AS636" s="514"/>
      <c r="AT636" s="514"/>
      <c r="AU636" s="514"/>
      <c r="AV636" s="514"/>
      <c r="AW636" s="514"/>
      <c r="AX636" s="514"/>
      <c r="AY636" s="514"/>
      <c r="AZ636" s="514"/>
      <c r="BA636" s="514"/>
      <c r="BB636" s="514"/>
      <c r="BC636" s="520"/>
      <c r="BD636" s="2482"/>
      <c r="BE636" s="30">
        <v>51.7</v>
      </c>
      <c r="BF636" s="31">
        <v>0.77239999999999998</v>
      </c>
      <c r="BG636" s="32">
        <v>772.1</v>
      </c>
      <c r="BH636" s="33"/>
      <c r="BI636" s="30">
        <v>51.7</v>
      </c>
      <c r="BJ636" s="34">
        <v>2.9167000000000001</v>
      </c>
      <c r="BK636" s="35">
        <v>0.1225</v>
      </c>
      <c r="BL636" s="33"/>
      <c r="BM636" s="33"/>
      <c r="BN636" s="33"/>
      <c r="BO636" s="33"/>
      <c r="BP636" s="520"/>
    </row>
    <row r="637" spans="28:68">
      <c r="AB637" s="514"/>
      <c r="AC637" s="514"/>
      <c r="AD637" s="514"/>
      <c r="AE637" s="514"/>
      <c r="AF637" s="514"/>
      <c r="AG637" s="514"/>
      <c r="AH637" s="514"/>
      <c r="AI637" s="514"/>
      <c r="AJ637" s="514"/>
      <c r="AK637" s="514"/>
      <c r="AL637" s="514"/>
      <c r="AM637" s="514"/>
      <c r="AN637" s="514"/>
      <c r="AO637" s="514"/>
      <c r="AP637" s="514"/>
      <c r="AQ637" s="514"/>
      <c r="AR637" s="514"/>
      <c r="AS637" s="514"/>
      <c r="AT637" s="514"/>
      <c r="AU637" s="514"/>
      <c r="AV637" s="514"/>
      <c r="AW637" s="514"/>
      <c r="AX637" s="514"/>
      <c r="AY637" s="514"/>
      <c r="AZ637" s="514"/>
      <c r="BA637" s="514"/>
      <c r="BB637" s="514"/>
      <c r="BC637" s="520"/>
      <c r="BD637" s="2482"/>
      <c r="BE637" s="30">
        <v>51.8</v>
      </c>
      <c r="BF637" s="31">
        <v>0.77200000000000002</v>
      </c>
      <c r="BG637" s="32">
        <v>771.7</v>
      </c>
      <c r="BH637" s="33"/>
      <c r="BI637" s="30">
        <v>51.8</v>
      </c>
      <c r="BJ637" s="34">
        <v>2.9150999999999998</v>
      </c>
      <c r="BK637" s="35">
        <v>0.12243</v>
      </c>
      <c r="BL637" s="33"/>
      <c r="BM637" s="33"/>
      <c r="BN637" s="33"/>
      <c r="BO637" s="33"/>
      <c r="BP637" s="520"/>
    </row>
    <row r="638" spans="28:68">
      <c r="AB638" s="514"/>
      <c r="AC638" s="514"/>
      <c r="AD638" s="514"/>
      <c r="AE638" s="514"/>
      <c r="AF638" s="514"/>
      <c r="AG638" s="514"/>
      <c r="AH638" s="514"/>
      <c r="AI638" s="514"/>
      <c r="AJ638" s="514"/>
      <c r="AK638" s="514"/>
      <c r="AL638" s="514"/>
      <c r="AM638" s="514"/>
      <c r="AN638" s="514"/>
      <c r="AO638" s="514"/>
      <c r="AP638" s="514"/>
      <c r="AQ638" s="514"/>
      <c r="AR638" s="514"/>
      <c r="AS638" s="514"/>
      <c r="AT638" s="514"/>
      <c r="AU638" s="514"/>
      <c r="AV638" s="514"/>
      <c r="AW638" s="514"/>
      <c r="AX638" s="514"/>
      <c r="AY638" s="514"/>
      <c r="AZ638" s="514"/>
      <c r="BA638" s="514"/>
      <c r="BB638" s="514"/>
      <c r="BC638" s="520"/>
      <c r="BD638" s="2482"/>
      <c r="BE638" s="30">
        <v>51.9</v>
      </c>
      <c r="BF638" s="31">
        <v>0.77149999999999996</v>
      </c>
      <c r="BG638" s="32">
        <v>771.3</v>
      </c>
      <c r="BH638" s="33"/>
      <c r="BI638" s="30">
        <v>51.9</v>
      </c>
      <c r="BJ638" s="34">
        <v>2.9135</v>
      </c>
      <c r="BK638" s="35">
        <v>0.12237000000000001</v>
      </c>
      <c r="BL638" s="33"/>
      <c r="BM638" s="33"/>
      <c r="BN638" s="33"/>
      <c r="BO638" s="33"/>
      <c r="BP638" s="520"/>
    </row>
    <row r="639" spans="28:68">
      <c r="AB639" s="514"/>
      <c r="AC639" s="514"/>
      <c r="AD639" s="514"/>
      <c r="AE639" s="514"/>
      <c r="AF639" s="514"/>
      <c r="AG639" s="514"/>
      <c r="AH639" s="514"/>
      <c r="AI639" s="514"/>
      <c r="AJ639" s="514"/>
      <c r="AK639" s="514"/>
      <c r="AL639" s="514"/>
      <c r="AM639" s="514"/>
      <c r="AN639" s="514"/>
      <c r="AO639" s="514"/>
      <c r="AP639" s="514"/>
      <c r="AQ639" s="514"/>
      <c r="AR639" s="514"/>
      <c r="AS639" s="514"/>
      <c r="AT639" s="514"/>
      <c r="AU639" s="514"/>
      <c r="AV639" s="514"/>
      <c r="AW639" s="514"/>
      <c r="AX639" s="514"/>
      <c r="AY639" s="514"/>
      <c r="AZ639" s="514"/>
      <c r="BA639" s="514"/>
      <c r="BB639" s="514"/>
      <c r="BC639" s="520"/>
      <c r="BD639" s="2482"/>
      <c r="BE639" s="30">
        <v>52</v>
      </c>
      <c r="BF639" s="31">
        <v>0.77110000000000001</v>
      </c>
      <c r="BG639" s="32">
        <v>770.8</v>
      </c>
      <c r="BH639" s="33"/>
      <c r="BI639" s="30">
        <v>52</v>
      </c>
      <c r="BJ639" s="34">
        <v>2.9119000000000002</v>
      </c>
      <c r="BK639" s="35">
        <v>0.12230000000000001</v>
      </c>
      <c r="BL639" s="33"/>
      <c r="BM639" s="33"/>
      <c r="BN639" s="33"/>
      <c r="BO639" s="33"/>
      <c r="BP639" s="520"/>
    </row>
    <row r="640" spans="28:68">
      <c r="AB640" s="514"/>
      <c r="AC640" s="514"/>
      <c r="AD640" s="514"/>
      <c r="AE640" s="514"/>
      <c r="AF640" s="514"/>
      <c r="AG640" s="514"/>
      <c r="AH640" s="514"/>
      <c r="AI640" s="514"/>
      <c r="AJ640" s="514"/>
      <c r="AK640" s="514"/>
      <c r="AL640" s="514"/>
      <c r="AM640" s="514"/>
      <c r="AN640" s="514"/>
      <c r="AO640" s="514"/>
      <c r="AP640" s="514"/>
      <c r="AQ640" s="514"/>
      <c r="AR640" s="514"/>
      <c r="AS640" s="514"/>
      <c r="AT640" s="514"/>
      <c r="AU640" s="514"/>
      <c r="AV640" s="514"/>
      <c r="AW640" s="514"/>
      <c r="AX640" s="514"/>
      <c r="AY640" s="514"/>
      <c r="AZ640" s="514"/>
      <c r="BA640" s="514"/>
      <c r="BB640" s="514"/>
      <c r="BC640" s="520"/>
      <c r="BD640" s="2482"/>
      <c r="BE640" s="30">
        <v>52.1</v>
      </c>
      <c r="BF640" s="31">
        <v>0.77070000000000005</v>
      </c>
      <c r="BG640" s="32">
        <v>770.4</v>
      </c>
      <c r="BH640" s="33"/>
      <c r="BI640" s="30">
        <v>52.1</v>
      </c>
      <c r="BJ640" s="34">
        <v>2.9102999999999999</v>
      </c>
      <c r="BK640" s="35">
        <v>0.12223000000000001</v>
      </c>
      <c r="BL640" s="33"/>
      <c r="BM640" s="33"/>
      <c r="BN640" s="33"/>
      <c r="BO640" s="33"/>
      <c r="BP640" s="520"/>
    </row>
    <row r="641" spans="28:68">
      <c r="AB641" s="514"/>
      <c r="AC641" s="514"/>
      <c r="AD641" s="514"/>
      <c r="AE641" s="514"/>
      <c r="AF641" s="514"/>
      <c r="AG641" s="514"/>
      <c r="AH641" s="514"/>
      <c r="AI641" s="514"/>
      <c r="AJ641" s="514"/>
      <c r="AK641" s="514"/>
      <c r="AL641" s="514"/>
      <c r="AM641" s="514"/>
      <c r="AN641" s="514"/>
      <c r="AO641" s="514"/>
      <c r="AP641" s="514"/>
      <c r="AQ641" s="514"/>
      <c r="AR641" s="514"/>
      <c r="AS641" s="514"/>
      <c r="AT641" s="514"/>
      <c r="AU641" s="514"/>
      <c r="AV641" s="514"/>
      <c r="AW641" s="514"/>
      <c r="AX641" s="514"/>
      <c r="AY641" s="514"/>
      <c r="AZ641" s="514"/>
      <c r="BA641" s="514"/>
      <c r="BB641" s="514"/>
      <c r="BC641" s="520"/>
      <c r="BD641" s="2482"/>
      <c r="BE641" s="30">
        <v>52.2</v>
      </c>
      <c r="BF641" s="31">
        <v>0.77029999999999998</v>
      </c>
      <c r="BG641" s="32">
        <v>770</v>
      </c>
      <c r="BH641" s="33"/>
      <c r="BI641" s="30">
        <v>52.2</v>
      </c>
      <c r="BJ641" s="34">
        <v>2.9087999999999998</v>
      </c>
      <c r="BK641" s="35">
        <v>0.12217</v>
      </c>
      <c r="BL641" s="33"/>
      <c r="BM641" s="33"/>
      <c r="BN641" s="33"/>
      <c r="BO641" s="33"/>
      <c r="BP641" s="520"/>
    </row>
    <row r="642" spans="28:68">
      <c r="AB642" s="514"/>
      <c r="AC642" s="514"/>
      <c r="AD642" s="514"/>
      <c r="AE642" s="514"/>
      <c r="AF642" s="514"/>
      <c r="AG642" s="514"/>
      <c r="AH642" s="514"/>
      <c r="AI642" s="514"/>
      <c r="AJ642" s="514"/>
      <c r="AK642" s="514"/>
      <c r="AL642" s="514"/>
      <c r="AM642" s="514"/>
      <c r="AN642" s="514"/>
      <c r="AO642" s="514"/>
      <c r="AP642" s="514"/>
      <c r="AQ642" s="514"/>
      <c r="AR642" s="514"/>
      <c r="AS642" s="514"/>
      <c r="AT642" s="514"/>
      <c r="AU642" s="514"/>
      <c r="AV642" s="514"/>
      <c r="AW642" s="514"/>
      <c r="AX642" s="514"/>
      <c r="AY642" s="514"/>
      <c r="AZ642" s="514"/>
      <c r="BA642" s="514"/>
      <c r="BB642" s="514"/>
      <c r="BC642" s="520"/>
      <c r="BD642" s="2482"/>
      <c r="BE642" s="30">
        <v>52.3</v>
      </c>
      <c r="BF642" s="31">
        <v>0.76990000000000003</v>
      </c>
      <c r="BG642" s="32">
        <v>769.6</v>
      </c>
      <c r="BH642" s="33"/>
      <c r="BI642" s="30">
        <v>52.3</v>
      </c>
      <c r="BJ642" s="34">
        <v>2.9072</v>
      </c>
      <c r="BK642" s="35">
        <v>0.1221</v>
      </c>
      <c r="BL642" s="33"/>
      <c r="BM642" s="33"/>
      <c r="BN642" s="33"/>
      <c r="BO642" s="33"/>
      <c r="BP642" s="520"/>
    </row>
    <row r="643" spans="28:68">
      <c r="AB643" s="514"/>
      <c r="AC643" s="514"/>
      <c r="AD643" s="514"/>
      <c r="AE643" s="514"/>
      <c r="AF643" s="514"/>
      <c r="AG643" s="514"/>
      <c r="AH643" s="514"/>
      <c r="AI643" s="514"/>
      <c r="AJ643" s="514"/>
      <c r="AK643" s="514"/>
      <c r="AL643" s="514"/>
      <c r="AM643" s="514"/>
      <c r="AN643" s="514"/>
      <c r="AO643" s="514"/>
      <c r="AP643" s="514"/>
      <c r="AQ643" s="514"/>
      <c r="AR643" s="514"/>
      <c r="AS643" s="514"/>
      <c r="AT643" s="514"/>
      <c r="AU643" s="514"/>
      <c r="AV643" s="514"/>
      <c r="AW643" s="514"/>
      <c r="AX643" s="514"/>
      <c r="AY643" s="514"/>
      <c r="AZ643" s="514"/>
      <c r="BA643" s="514"/>
      <c r="BB643" s="514"/>
      <c r="BC643" s="520"/>
      <c r="BD643" s="2482"/>
      <c r="BE643" s="30">
        <v>52.4</v>
      </c>
      <c r="BF643" s="31">
        <v>0.76939999999999997</v>
      </c>
      <c r="BG643" s="32">
        <v>769.2</v>
      </c>
      <c r="BH643" s="33"/>
      <c r="BI643" s="30">
        <v>52.4</v>
      </c>
      <c r="BJ643" s="34">
        <v>2.9056000000000002</v>
      </c>
      <c r="BK643" s="35">
        <v>0.12203</v>
      </c>
      <c r="BL643" s="33"/>
      <c r="BM643" s="33"/>
      <c r="BN643" s="33"/>
      <c r="BO643" s="33"/>
      <c r="BP643" s="520"/>
    </row>
    <row r="644" spans="28:68">
      <c r="AB644" s="514"/>
      <c r="AC644" s="514"/>
      <c r="AD644" s="514"/>
      <c r="AE644" s="514"/>
      <c r="AF644" s="514"/>
      <c r="AG644" s="514"/>
      <c r="AH644" s="514"/>
      <c r="AI644" s="514"/>
      <c r="AJ644" s="514"/>
      <c r="AK644" s="514"/>
      <c r="AL644" s="514"/>
      <c r="AM644" s="514"/>
      <c r="AN644" s="514"/>
      <c r="AO644" s="514"/>
      <c r="AP644" s="514"/>
      <c r="AQ644" s="514"/>
      <c r="AR644" s="514"/>
      <c r="AS644" s="514"/>
      <c r="AT644" s="514"/>
      <c r="AU644" s="514"/>
      <c r="AV644" s="514"/>
      <c r="AW644" s="514"/>
      <c r="AX644" s="514"/>
      <c r="AY644" s="514"/>
      <c r="AZ644" s="514"/>
      <c r="BA644" s="514"/>
      <c r="BB644" s="514"/>
      <c r="BC644" s="520"/>
      <c r="BD644" s="2482"/>
      <c r="BE644" s="30">
        <v>52.5</v>
      </c>
      <c r="BF644" s="31">
        <v>0.76900000000000002</v>
      </c>
      <c r="BG644" s="32">
        <v>768.8</v>
      </c>
      <c r="BH644" s="33"/>
      <c r="BI644" s="30">
        <v>52.5</v>
      </c>
      <c r="BJ644" s="34">
        <v>2.9039999999999999</v>
      </c>
      <c r="BK644" s="35">
        <v>0.12197</v>
      </c>
      <c r="BL644" s="33"/>
      <c r="BM644" s="33"/>
      <c r="BN644" s="33"/>
      <c r="BO644" s="33"/>
      <c r="BP644" s="520"/>
    </row>
    <row r="645" spans="28:68">
      <c r="AB645" s="514"/>
      <c r="AC645" s="514"/>
      <c r="AD645" s="514"/>
      <c r="AE645" s="514"/>
      <c r="AF645" s="514"/>
      <c r="AG645" s="514"/>
      <c r="AH645" s="514"/>
      <c r="AI645" s="514"/>
      <c r="AJ645" s="514"/>
      <c r="AK645" s="514"/>
      <c r="AL645" s="514"/>
      <c r="AM645" s="514"/>
      <c r="AN645" s="514"/>
      <c r="AO645" s="514"/>
      <c r="AP645" s="514"/>
      <c r="AQ645" s="514"/>
      <c r="AR645" s="514"/>
      <c r="AS645" s="514"/>
      <c r="AT645" s="514"/>
      <c r="AU645" s="514"/>
      <c r="AV645" s="514"/>
      <c r="AW645" s="514"/>
      <c r="AX645" s="514"/>
      <c r="AY645" s="514"/>
      <c r="AZ645" s="514"/>
      <c r="BA645" s="514"/>
      <c r="BB645" s="514"/>
      <c r="BC645" s="520"/>
      <c r="BD645" s="2482"/>
      <c r="BE645" s="30">
        <v>52.6</v>
      </c>
      <c r="BF645" s="31">
        <v>0.76859999999999995</v>
      </c>
      <c r="BG645" s="32">
        <v>768.3</v>
      </c>
      <c r="BH645" s="33"/>
      <c r="BI645" s="30">
        <v>52.6</v>
      </c>
      <c r="BJ645" s="34">
        <v>2.9024000000000001</v>
      </c>
      <c r="BK645" s="35">
        <v>0.12189999999999999</v>
      </c>
      <c r="BL645" s="33"/>
      <c r="BM645" s="33"/>
      <c r="BN645" s="33"/>
      <c r="BO645" s="33"/>
      <c r="BP645" s="520"/>
    </row>
    <row r="646" spans="28:68">
      <c r="AB646" s="514"/>
      <c r="AC646" s="514"/>
      <c r="AD646" s="514"/>
      <c r="AE646" s="514"/>
      <c r="AF646" s="514"/>
      <c r="AG646" s="514"/>
      <c r="AH646" s="514"/>
      <c r="AI646" s="514"/>
      <c r="AJ646" s="514"/>
      <c r="AK646" s="514"/>
      <c r="AL646" s="514"/>
      <c r="AM646" s="514"/>
      <c r="AN646" s="514"/>
      <c r="AO646" s="514"/>
      <c r="AP646" s="514"/>
      <c r="AQ646" s="514"/>
      <c r="AR646" s="514"/>
      <c r="AS646" s="514"/>
      <c r="AT646" s="514"/>
      <c r="AU646" s="514"/>
      <c r="AV646" s="514"/>
      <c r="AW646" s="514"/>
      <c r="AX646" s="514"/>
      <c r="AY646" s="514"/>
      <c r="AZ646" s="514"/>
      <c r="BA646" s="514"/>
      <c r="BB646" s="514"/>
      <c r="BC646" s="520"/>
      <c r="BD646" s="2482"/>
      <c r="BE646" s="30">
        <v>52.7</v>
      </c>
      <c r="BF646" s="31">
        <v>0.76819999999999999</v>
      </c>
      <c r="BG646" s="32">
        <v>767.9</v>
      </c>
      <c r="BH646" s="33"/>
      <c r="BI646" s="30">
        <v>52.7</v>
      </c>
      <c r="BJ646" s="34">
        <v>2.9007999999999998</v>
      </c>
      <c r="BK646" s="35">
        <v>0.12184</v>
      </c>
      <c r="BL646" s="33"/>
      <c r="BM646" s="33"/>
      <c r="BN646" s="33"/>
      <c r="BO646" s="33"/>
      <c r="BP646" s="520"/>
    </row>
    <row r="647" spans="28:68">
      <c r="AB647" s="514"/>
      <c r="AC647" s="514"/>
      <c r="AD647" s="514"/>
      <c r="AE647" s="514"/>
      <c r="AF647" s="514"/>
      <c r="AG647" s="514"/>
      <c r="AH647" s="514"/>
      <c r="AI647" s="514"/>
      <c r="AJ647" s="514"/>
      <c r="AK647" s="514"/>
      <c r="AL647" s="514"/>
      <c r="AM647" s="514"/>
      <c r="AN647" s="514"/>
      <c r="AO647" s="514"/>
      <c r="AP647" s="514"/>
      <c r="AQ647" s="514"/>
      <c r="AR647" s="514"/>
      <c r="AS647" s="514"/>
      <c r="AT647" s="514"/>
      <c r="AU647" s="514"/>
      <c r="AV647" s="514"/>
      <c r="AW647" s="514"/>
      <c r="AX647" s="514"/>
      <c r="AY647" s="514"/>
      <c r="AZ647" s="514"/>
      <c r="BA647" s="514"/>
      <c r="BB647" s="514"/>
      <c r="BC647" s="520"/>
      <c r="BD647" s="2482"/>
      <c r="BE647" s="30">
        <v>52.8</v>
      </c>
      <c r="BF647" s="31">
        <v>0.76780000000000004</v>
      </c>
      <c r="BG647" s="32">
        <v>767.5</v>
      </c>
      <c r="BH647" s="33"/>
      <c r="BI647" s="30">
        <v>52.8</v>
      </c>
      <c r="BJ647" s="34">
        <v>2.8993000000000002</v>
      </c>
      <c r="BK647" s="35">
        <v>0.12177</v>
      </c>
      <c r="BL647" s="33"/>
      <c r="BM647" s="33"/>
      <c r="BN647" s="33"/>
      <c r="BO647" s="33"/>
      <c r="BP647" s="520"/>
    </row>
    <row r="648" spans="28:68">
      <c r="AB648" s="514"/>
      <c r="AC648" s="514"/>
      <c r="AD648" s="514"/>
      <c r="AE648" s="514"/>
      <c r="AF648" s="514"/>
      <c r="AG648" s="514"/>
      <c r="AH648" s="514"/>
      <c r="AI648" s="514"/>
      <c r="AJ648" s="514"/>
      <c r="AK648" s="514"/>
      <c r="AL648" s="514"/>
      <c r="AM648" s="514"/>
      <c r="AN648" s="514"/>
      <c r="AO648" s="514"/>
      <c r="AP648" s="514"/>
      <c r="AQ648" s="514"/>
      <c r="AR648" s="514"/>
      <c r="AS648" s="514"/>
      <c r="AT648" s="514"/>
      <c r="AU648" s="514"/>
      <c r="AV648" s="514"/>
      <c r="AW648" s="514"/>
      <c r="AX648" s="514"/>
      <c r="AY648" s="514"/>
      <c r="AZ648" s="514"/>
      <c r="BA648" s="514"/>
      <c r="BB648" s="514"/>
      <c r="BC648" s="520"/>
      <c r="BD648" s="2482"/>
      <c r="BE648" s="30">
        <v>52.9</v>
      </c>
      <c r="BF648" s="31">
        <v>0.76739999999999997</v>
      </c>
      <c r="BG648" s="32">
        <v>767.1</v>
      </c>
      <c r="BH648" s="33"/>
      <c r="BI648" s="30">
        <v>52.9</v>
      </c>
      <c r="BJ648" s="34">
        <v>2.8976999999999999</v>
      </c>
      <c r="BK648" s="35">
        <v>0.1217</v>
      </c>
      <c r="BL648" s="33"/>
      <c r="BM648" s="33"/>
      <c r="BN648" s="33"/>
      <c r="BO648" s="33"/>
      <c r="BP648" s="520"/>
    </row>
    <row r="649" spans="28:68">
      <c r="AB649" s="514"/>
      <c r="AC649" s="514"/>
      <c r="AD649" s="514"/>
      <c r="AE649" s="514"/>
      <c r="AF649" s="514"/>
      <c r="AG649" s="514"/>
      <c r="AH649" s="514"/>
      <c r="AI649" s="514"/>
      <c r="AJ649" s="514"/>
      <c r="AK649" s="514"/>
      <c r="AL649" s="514"/>
      <c r="AM649" s="514"/>
      <c r="AN649" s="514"/>
      <c r="AO649" s="514"/>
      <c r="AP649" s="514"/>
      <c r="AQ649" s="514"/>
      <c r="AR649" s="514"/>
      <c r="AS649" s="514"/>
      <c r="AT649" s="514"/>
      <c r="AU649" s="514"/>
      <c r="AV649" s="514"/>
      <c r="AW649" s="514"/>
      <c r="AX649" s="514"/>
      <c r="AY649" s="514"/>
      <c r="AZ649" s="514"/>
      <c r="BA649" s="514"/>
      <c r="BB649" s="514"/>
      <c r="BC649" s="520"/>
      <c r="BD649" s="2482"/>
      <c r="BE649" s="30">
        <v>53</v>
      </c>
      <c r="BF649" s="31">
        <v>0.76690000000000003</v>
      </c>
      <c r="BG649" s="32">
        <v>766.7</v>
      </c>
      <c r="BH649" s="33"/>
      <c r="BI649" s="30">
        <v>53</v>
      </c>
      <c r="BJ649" s="34">
        <v>2.8961000000000001</v>
      </c>
      <c r="BK649" s="35">
        <v>0.12164</v>
      </c>
      <c r="BL649" s="33"/>
      <c r="BM649" s="33"/>
      <c r="BN649" s="33"/>
      <c r="BO649" s="33"/>
      <c r="BP649" s="520"/>
    </row>
    <row r="650" spans="28:68">
      <c r="AB650" s="514"/>
      <c r="AC650" s="514"/>
      <c r="AD650" s="514"/>
      <c r="AE650" s="514"/>
      <c r="AF650" s="514"/>
      <c r="AG650" s="514"/>
      <c r="AH650" s="514"/>
      <c r="AI650" s="514"/>
      <c r="AJ650" s="514"/>
      <c r="AK650" s="514"/>
      <c r="AL650" s="514"/>
      <c r="AM650" s="514"/>
      <c r="AN650" s="514"/>
      <c r="AO650" s="514"/>
      <c r="AP650" s="514"/>
      <c r="AQ650" s="514"/>
      <c r="AR650" s="514"/>
      <c r="AS650" s="514"/>
      <c r="AT650" s="514"/>
      <c r="AU650" s="514"/>
      <c r="AV650" s="514"/>
      <c r="AW650" s="514"/>
      <c r="AX650" s="514"/>
      <c r="AY650" s="514"/>
      <c r="AZ650" s="514"/>
      <c r="BA650" s="514"/>
      <c r="BB650" s="514"/>
      <c r="BC650" s="520"/>
      <c r="BD650" s="2482"/>
      <c r="BE650" s="30">
        <v>53.1</v>
      </c>
      <c r="BF650" s="31">
        <v>0.76649999999999996</v>
      </c>
      <c r="BG650" s="32">
        <v>766.3</v>
      </c>
      <c r="BH650" s="33"/>
      <c r="BI650" s="30">
        <v>53.1</v>
      </c>
      <c r="BJ650" s="34">
        <v>2.8944999999999999</v>
      </c>
      <c r="BK650" s="35">
        <v>0.12157</v>
      </c>
      <c r="BL650" s="33"/>
      <c r="BM650" s="33"/>
      <c r="BN650" s="33"/>
      <c r="BO650" s="33"/>
      <c r="BP650" s="520"/>
    </row>
    <row r="651" spans="28:68">
      <c r="AB651" s="514"/>
      <c r="AC651" s="514"/>
      <c r="AD651" s="514"/>
      <c r="AE651" s="514"/>
      <c r="AF651" s="514"/>
      <c r="AG651" s="514"/>
      <c r="AH651" s="514"/>
      <c r="AI651" s="514"/>
      <c r="AJ651" s="514"/>
      <c r="AK651" s="514"/>
      <c r="AL651" s="514"/>
      <c r="AM651" s="514"/>
      <c r="AN651" s="514"/>
      <c r="AO651" s="514"/>
      <c r="AP651" s="514"/>
      <c r="AQ651" s="514"/>
      <c r="AR651" s="514"/>
      <c r="AS651" s="514"/>
      <c r="AT651" s="514"/>
      <c r="AU651" s="514"/>
      <c r="AV651" s="514"/>
      <c r="AW651" s="514"/>
      <c r="AX651" s="514"/>
      <c r="AY651" s="514"/>
      <c r="AZ651" s="514"/>
      <c r="BA651" s="514"/>
      <c r="BB651" s="514"/>
      <c r="BC651" s="520"/>
      <c r="BD651" s="2482"/>
      <c r="BE651" s="30">
        <v>53.2</v>
      </c>
      <c r="BF651" s="31">
        <v>0.7661</v>
      </c>
      <c r="BG651" s="32">
        <v>765.8</v>
      </c>
      <c r="BH651" s="33"/>
      <c r="BI651" s="30">
        <v>53.2</v>
      </c>
      <c r="BJ651" s="34">
        <v>2.8929999999999998</v>
      </c>
      <c r="BK651" s="35">
        <v>0.12151000000000001</v>
      </c>
      <c r="BL651" s="33"/>
      <c r="BM651" s="33"/>
      <c r="BN651" s="33"/>
      <c r="BO651" s="33"/>
      <c r="BP651" s="520"/>
    </row>
    <row r="652" spans="28:68">
      <c r="AB652" s="514"/>
      <c r="AC652" s="514"/>
      <c r="AD652" s="514"/>
      <c r="AE652" s="514"/>
      <c r="AF652" s="514"/>
      <c r="AG652" s="514"/>
      <c r="AH652" s="514"/>
      <c r="AI652" s="514"/>
      <c r="AJ652" s="514"/>
      <c r="AK652" s="514"/>
      <c r="AL652" s="514"/>
      <c r="AM652" s="514"/>
      <c r="AN652" s="514"/>
      <c r="AO652" s="514"/>
      <c r="AP652" s="514"/>
      <c r="AQ652" s="514"/>
      <c r="AR652" s="514"/>
      <c r="AS652" s="514"/>
      <c r="AT652" s="514"/>
      <c r="AU652" s="514"/>
      <c r="AV652" s="514"/>
      <c r="AW652" s="514"/>
      <c r="AX652" s="514"/>
      <c r="AY652" s="514"/>
      <c r="AZ652" s="514"/>
      <c r="BA652" s="514"/>
      <c r="BB652" s="514"/>
      <c r="BC652" s="520"/>
      <c r="BD652" s="2482"/>
      <c r="BE652" s="30">
        <v>53.3</v>
      </c>
      <c r="BF652" s="31">
        <v>0.76570000000000005</v>
      </c>
      <c r="BG652" s="32">
        <v>765.4</v>
      </c>
      <c r="BH652" s="33"/>
      <c r="BI652" s="30">
        <v>53.3</v>
      </c>
      <c r="BJ652" s="34">
        <v>2.8914</v>
      </c>
      <c r="BK652" s="35">
        <v>0.12144000000000001</v>
      </c>
      <c r="BL652" s="33"/>
      <c r="BM652" s="33"/>
      <c r="BN652" s="33"/>
      <c r="BO652" s="33"/>
      <c r="BP652" s="520"/>
    </row>
    <row r="653" spans="28:68">
      <c r="AB653" s="514"/>
      <c r="AC653" s="514"/>
      <c r="AD653" s="514"/>
      <c r="AE653" s="514"/>
      <c r="AF653" s="514"/>
      <c r="AG653" s="514"/>
      <c r="AH653" s="514"/>
      <c r="AI653" s="514"/>
      <c r="AJ653" s="514"/>
      <c r="AK653" s="514"/>
      <c r="AL653" s="514"/>
      <c r="AM653" s="514"/>
      <c r="AN653" s="514"/>
      <c r="AO653" s="514"/>
      <c r="AP653" s="514"/>
      <c r="AQ653" s="514"/>
      <c r="AR653" s="514"/>
      <c r="AS653" s="514"/>
      <c r="AT653" s="514"/>
      <c r="AU653" s="514"/>
      <c r="AV653" s="514"/>
      <c r="AW653" s="514"/>
      <c r="AX653" s="514"/>
      <c r="AY653" s="514"/>
      <c r="AZ653" s="514"/>
      <c r="BA653" s="514"/>
      <c r="BB653" s="514"/>
      <c r="BC653" s="520"/>
      <c r="BD653" s="2482"/>
      <c r="BE653" s="30">
        <v>53.4</v>
      </c>
      <c r="BF653" s="31">
        <v>0.76529999999999998</v>
      </c>
      <c r="BG653" s="32">
        <v>765</v>
      </c>
      <c r="BH653" s="33"/>
      <c r="BI653" s="30">
        <v>53.4</v>
      </c>
      <c r="BJ653" s="34">
        <v>2.8898000000000001</v>
      </c>
      <c r="BK653" s="35">
        <v>0.12137000000000001</v>
      </c>
      <c r="BL653" s="33"/>
      <c r="BM653" s="33"/>
      <c r="BN653" s="33"/>
      <c r="BO653" s="33"/>
      <c r="BP653" s="520"/>
    </row>
    <row r="654" spans="28:68">
      <c r="AB654" s="514"/>
      <c r="AC654" s="514"/>
      <c r="AD654" s="514"/>
      <c r="AE654" s="514"/>
      <c r="AF654" s="514"/>
      <c r="AG654" s="514"/>
      <c r="AH654" s="514"/>
      <c r="AI654" s="514"/>
      <c r="AJ654" s="514"/>
      <c r="AK654" s="514"/>
      <c r="AL654" s="514"/>
      <c r="AM654" s="514"/>
      <c r="AN654" s="514"/>
      <c r="AO654" s="514"/>
      <c r="AP654" s="514"/>
      <c r="AQ654" s="514"/>
      <c r="AR654" s="514"/>
      <c r="AS654" s="514"/>
      <c r="AT654" s="514"/>
      <c r="AU654" s="514"/>
      <c r="AV654" s="514"/>
      <c r="AW654" s="514"/>
      <c r="AX654" s="514"/>
      <c r="AY654" s="514"/>
      <c r="AZ654" s="514"/>
      <c r="BA654" s="514"/>
      <c r="BB654" s="514"/>
      <c r="BC654" s="520"/>
      <c r="BD654" s="2482"/>
      <c r="BE654" s="30">
        <v>53.5</v>
      </c>
      <c r="BF654" s="31">
        <v>0.76490000000000002</v>
      </c>
      <c r="BG654" s="32">
        <v>764.6</v>
      </c>
      <c r="BH654" s="33"/>
      <c r="BI654" s="30">
        <v>53.5</v>
      </c>
      <c r="BJ654" s="34">
        <v>2.8883000000000001</v>
      </c>
      <c r="BK654" s="35">
        <v>0.12131</v>
      </c>
      <c r="BL654" s="33"/>
      <c r="BM654" s="33"/>
      <c r="BN654" s="33"/>
      <c r="BO654" s="33"/>
      <c r="BP654" s="520"/>
    </row>
    <row r="655" spans="28:68">
      <c r="AB655" s="514"/>
      <c r="AC655" s="514"/>
      <c r="AD655" s="514"/>
      <c r="AE655" s="514"/>
      <c r="AF655" s="514"/>
      <c r="AG655" s="514"/>
      <c r="AH655" s="514"/>
      <c r="AI655" s="514"/>
      <c r="AJ655" s="514"/>
      <c r="AK655" s="514"/>
      <c r="AL655" s="514"/>
      <c r="AM655" s="514"/>
      <c r="AN655" s="514"/>
      <c r="AO655" s="514"/>
      <c r="AP655" s="514"/>
      <c r="AQ655" s="514"/>
      <c r="AR655" s="514"/>
      <c r="AS655" s="514"/>
      <c r="AT655" s="514"/>
      <c r="AU655" s="514"/>
      <c r="AV655" s="514"/>
      <c r="AW655" s="514"/>
      <c r="AX655" s="514"/>
      <c r="AY655" s="514"/>
      <c r="AZ655" s="514"/>
      <c r="BA655" s="514"/>
      <c r="BB655" s="514"/>
      <c r="BC655" s="520"/>
      <c r="BD655" s="2482"/>
      <c r="BE655" s="30">
        <v>53.6</v>
      </c>
      <c r="BF655" s="31">
        <v>0.76449999999999996</v>
      </c>
      <c r="BG655" s="32">
        <v>764.2</v>
      </c>
      <c r="BH655" s="33"/>
      <c r="BI655" s="30">
        <v>53.6</v>
      </c>
      <c r="BJ655" s="34">
        <v>2.8866999999999998</v>
      </c>
      <c r="BK655" s="35">
        <v>0.12124</v>
      </c>
      <c r="BL655" s="33"/>
      <c r="BM655" s="33"/>
      <c r="BN655" s="33"/>
      <c r="BO655" s="33"/>
      <c r="BP655" s="520"/>
    </row>
    <row r="656" spans="28:68">
      <c r="AB656" s="514"/>
      <c r="AC656" s="514"/>
      <c r="AD656" s="514"/>
      <c r="AE656" s="514"/>
      <c r="AF656" s="514"/>
      <c r="AG656" s="514"/>
      <c r="AH656" s="514"/>
      <c r="AI656" s="514"/>
      <c r="AJ656" s="514"/>
      <c r="AK656" s="514"/>
      <c r="AL656" s="514"/>
      <c r="AM656" s="514"/>
      <c r="AN656" s="514"/>
      <c r="AO656" s="514"/>
      <c r="AP656" s="514"/>
      <c r="AQ656" s="514"/>
      <c r="AR656" s="514"/>
      <c r="AS656" s="514"/>
      <c r="AT656" s="514"/>
      <c r="AU656" s="514"/>
      <c r="AV656" s="514"/>
      <c r="AW656" s="514"/>
      <c r="AX656" s="514"/>
      <c r="AY656" s="514"/>
      <c r="AZ656" s="514"/>
      <c r="BA656" s="514"/>
      <c r="BB656" s="514"/>
      <c r="BC656" s="520"/>
      <c r="BD656" s="2482"/>
      <c r="BE656" s="30">
        <v>53.7</v>
      </c>
      <c r="BF656" s="31">
        <v>0.76400000000000001</v>
      </c>
      <c r="BG656" s="32">
        <v>763.8</v>
      </c>
      <c r="BH656" s="33"/>
      <c r="BI656" s="30">
        <v>53.7</v>
      </c>
      <c r="BJ656" s="34">
        <v>2.8852000000000002</v>
      </c>
      <c r="BK656" s="35">
        <v>0.12118</v>
      </c>
      <c r="BL656" s="33"/>
      <c r="BM656" s="33"/>
      <c r="BN656" s="33"/>
      <c r="BO656" s="33"/>
      <c r="BP656" s="520"/>
    </row>
    <row r="657" spans="28:68">
      <c r="AB657" s="514"/>
      <c r="AC657" s="514"/>
      <c r="AD657" s="514"/>
      <c r="AE657" s="514"/>
      <c r="AF657" s="514"/>
      <c r="AG657" s="514"/>
      <c r="AH657" s="514"/>
      <c r="AI657" s="514"/>
      <c r="AJ657" s="514"/>
      <c r="AK657" s="514"/>
      <c r="AL657" s="514"/>
      <c r="AM657" s="514"/>
      <c r="AN657" s="514"/>
      <c r="AO657" s="514"/>
      <c r="AP657" s="514"/>
      <c r="AQ657" s="514"/>
      <c r="AR657" s="514"/>
      <c r="AS657" s="514"/>
      <c r="AT657" s="514"/>
      <c r="AU657" s="514"/>
      <c r="AV657" s="514"/>
      <c r="AW657" s="514"/>
      <c r="AX657" s="514"/>
      <c r="AY657" s="514"/>
      <c r="AZ657" s="514"/>
      <c r="BA657" s="514"/>
      <c r="BB657" s="514"/>
      <c r="BC657" s="520"/>
      <c r="BD657" s="2482"/>
      <c r="BE657" s="30">
        <v>53.8</v>
      </c>
      <c r="BF657" s="31">
        <v>0.76359999999999995</v>
      </c>
      <c r="BG657" s="32">
        <v>763.4</v>
      </c>
      <c r="BH657" s="33"/>
      <c r="BI657" s="30">
        <v>53.8</v>
      </c>
      <c r="BJ657" s="34">
        <v>2.8835999999999999</v>
      </c>
      <c r="BK657" s="35">
        <v>0.12111</v>
      </c>
      <c r="BL657" s="33"/>
      <c r="BM657" s="33"/>
      <c r="BN657" s="33"/>
      <c r="BO657" s="33"/>
      <c r="BP657" s="520"/>
    </row>
    <row r="658" spans="28:68">
      <c r="AB658" s="514"/>
      <c r="AC658" s="514"/>
      <c r="AD658" s="514"/>
      <c r="AE658" s="514"/>
      <c r="AF658" s="514"/>
      <c r="AG658" s="514"/>
      <c r="AH658" s="514"/>
      <c r="AI658" s="514"/>
      <c r="AJ658" s="514"/>
      <c r="AK658" s="514"/>
      <c r="AL658" s="514"/>
      <c r="AM658" s="514"/>
      <c r="AN658" s="514"/>
      <c r="AO658" s="514"/>
      <c r="AP658" s="514"/>
      <c r="AQ658" s="514"/>
      <c r="AR658" s="514"/>
      <c r="AS658" s="514"/>
      <c r="AT658" s="514"/>
      <c r="AU658" s="514"/>
      <c r="AV658" s="514"/>
      <c r="AW658" s="514"/>
      <c r="AX658" s="514"/>
      <c r="AY658" s="514"/>
      <c r="AZ658" s="514"/>
      <c r="BA658" s="514"/>
      <c r="BB658" s="514"/>
      <c r="BC658" s="520"/>
      <c r="BD658" s="2482"/>
      <c r="BE658" s="30">
        <v>53.9</v>
      </c>
      <c r="BF658" s="31">
        <v>0.76319999999999999</v>
      </c>
      <c r="BG658" s="32">
        <v>763</v>
      </c>
      <c r="BH658" s="33"/>
      <c r="BI658" s="30">
        <v>53.9</v>
      </c>
      <c r="BJ658" s="34">
        <v>2.8820000000000001</v>
      </c>
      <c r="BK658" s="35">
        <v>0.12105</v>
      </c>
      <c r="BL658" s="33"/>
      <c r="BM658" s="33"/>
      <c r="BN658" s="33"/>
      <c r="BO658" s="33"/>
      <c r="BP658" s="520"/>
    </row>
    <row r="659" spans="28:68">
      <c r="AB659" s="514"/>
      <c r="AC659" s="514"/>
      <c r="AD659" s="514"/>
      <c r="AE659" s="514"/>
      <c r="AF659" s="514"/>
      <c r="AG659" s="514"/>
      <c r="AH659" s="514"/>
      <c r="AI659" s="514"/>
      <c r="AJ659" s="514"/>
      <c r="AK659" s="514"/>
      <c r="AL659" s="514"/>
      <c r="AM659" s="514"/>
      <c r="AN659" s="514"/>
      <c r="AO659" s="514"/>
      <c r="AP659" s="514"/>
      <c r="AQ659" s="514"/>
      <c r="AR659" s="514"/>
      <c r="AS659" s="514"/>
      <c r="AT659" s="514"/>
      <c r="AU659" s="514"/>
      <c r="AV659" s="514"/>
      <c r="AW659" s="514"/>
      <c r="AX659" s="514"/>
      <c r="AY659" s="514"/>
      <c r="AZ659" s="514"/>
      <c r="BA659" s="514"/>
      <c r="BB659" s="514"/>
      <c r="BC659" s="520"/>
      <c r="BD659" s="2482"/>
      <c r="BE659" s="30">
        <v>54</v>
      </c>
      <c r="BF659" s="31">
        <v>0.76280000000000003</v>
      </c>
      <c r="BG659" s="32">
        <v>762.5</v>
      </c>
      <c r="BH659" s="33"/>
      <c r="BI659" s="30">
        <v>54</v>
      </c>
      <c r="BJ659" s="34">
        <v>2.8805000000000001</v>
      </c>
      <c r="BK659" s="35">
        <v>0.12098</v>
      </c>
      <c r="BL659" s="33"/>
      <c r="BM659" s="33"/>
      <c r="BN659" s="33"/>
      <c r="BO659" s="33"/>
      <c r="BP659" s="520"/>
    </row>
    <row r="660" spans="28:68">
      <c r="AB660" s="514"/>
      <c r="AC660" s="514"/>
      <c r="AD660" s="514"/>
      <c r="AE660" s="514"/>
      <c r="AF660" s="514"/>
      <c r="AG660" s="514"/>
      <c r="AH660" s="514"/>
      <c r="AI660" s="514"/>
      <c r="AJ660" s="514"/>
      <c r="AK660" s="514"/>
      <c r="AL660" s="514"/>
      <c r="AM660" s="514"/>
      <c r="AN660" s="514"/>
      <c r="AO660" s="514"/>
      <c r="AP660" s="514"/>
      <c r="AQ660" s="514"/>
      <c r="AR660" s="514"/>
      <c r="AS660" s="514"/>
      <c r="AT660" s="514"/>
      <c r="AU660" s="514"/>
      <c r="AV660" s="514"/>
      <c r="AW660" s="514"/>
      <c r="AX660" s="514"/>
      <c r="AY660" s="514"/>
      <c r="AZ660" s="514"/>
      <c r="BA660" s="514"/>
      <c r="BB660" s="514"/>
      <c r="BC660" s="520"/>
      <c r="BD660" s="2482"/>
      <c r="BE660" s="30">
        <v>54.1</v>
      </c>
      <c r="BF660" s="31">
        <v>0.76239999999999997</v>
      </c>
      <c r="BG660" s="32">
        <v>762.1</v>
      </c>
      <c r="BH660" s="33"/>
      <c r="BI660" s="30">
        <v>54.1</v>
      </c>
      <c r="BJ660" s="34">
        <v>2.8788999999999998</v>
      </c>
      <c r="BK660" s="35">
        <v>0.12091</v>
      </c>
      <c r="BL660" s="33"/>
      <c r="BM660" s="33"/>
      <c r="BN660" s="33"/>
      <c r="BO660" s="33"/>
      <c r="BP660" s="520"/>
    </row>
    <row r="661" spans="28:68">
      <c r="AB661" s="514"/>
      <c r="AC661" s="514"/>
      <c r="AD661" s="514"/>
      <c r="AE661" s="514"/>
      <c r="AF661" s="514"/>
      <c r="AG661" s="514"/>
      <c r="AH661" s="514"/>
      <c r="AI661" s="514"/>
      <c r="AJ661" s="514"/>
      <c r="AK661" s="514"/>
      <c r="AL661" s="514"/>
      <c r="AM661" s="514"/>
      <c r="AN661" s="514"/>
      <c r="AO661" s="514"/>
      <c r="AP661" s="514"/>
      <c r="AQ661" s="514"/>
      <c r="AR661" s="514"/>
      <c r="AS661" s="514"/>
      <c r="AT661" s="514"/>
      <c r="AU661" s="514"/>
      <c r="AV661" s="514"/>
      <c r="AW661" s="514"/>
      <c r="AX661" s="514"/>
      <c r="AY661" s="514"/>
      <c r="AZ661" s="514"/>
      <c r="BA661" s="514"/>
      <c r="BB661" s="514"/>
      <c r="BC661" s="520"/>
      <c r="BD661" s="2482"/>
      <c r="BE661" s="30">
        <v>54.2</v>
      </c>
      <c r="BF661" s="31">
        <v>0.76200000000000001</v>
      </c>
      <c r="BG661" s="32">
        <v>761.7</v>
      </c>
      <c r="BH661" s="33"/>
      <c r="BI661" s="30">
        <v>54.2</v>
      </c>
      <c r="BJ661" s="34">
        <v>2.8774000000000002</v>
      </c>
      <c r="BK661" s="35">
        <v>0.12085</v>
      </c>
      <c r="BL661" s="33"/>
      <c r="BM661" s="33"/>
      <c r="BN661" s="33"/>
      <c r="BO661" s="33"/>
      <c r="BP661" s="520"/>
    </row>
    <row r="662" spans="28:68">
      <c r="AB662" s="514"/>
      <c r="AC662" s="514"/>
      <c r="AD662" s="514"/>
      <c r="AE662" s="514"/>
      <c r="AF662" s="514"/>
      <c r="AG662" s="514"/>
      <c r="AH662" s="514"/>
      <c r="AI662" s="514"/>
      <c r="AJ662" s="514"/>
      <c r="AK662" s="514"/>
      <c r="AL662" s="514"/>
      <c r="AM662" s="514"/>
      <c r="AN662" s="514"/>
      <c r="AO662" s="514"/>
      <c r="AP662" s="514"/>
      <c r="AQ662" s="514"/>
      <c r="AR662" s="514"/>
      <c r="AS662" s="514"/>
      <c r="AT662" s="514"/>
      <c r="AU662" s="514"/>
      <c r="AV662" s="514"/>
      <c r="AW662" s="514"/>
      <c r="AX662" s="514"/>
      <c r="AY662" s="514"/>
      <c r="AZ662" s="514"/>
      <c r="BA662" s="514"/>
      <c r="BB662" s="514"/>
      <c r="BC662" s="520"/>
      <c r="BD662" s="2482"/>
      <c r="BE662" s="30">
        <v>54.3</v>
      </c>
      <c r="BF662" s="31">
        <v>0.76160000000000005</v>
      </c>
      <c r="BG662" s="32">
        <v>761.3</v>
      </c>
      <c r="BH662" s="33"/>
      <c r="BI662" s="30">
        <v>54.3</v>
      </c>
      <c r="BJ662" s="34">
        <v>2.8757999999999999</v>
      </c>
      <c r="BK662" s="35">
        <v>0.12078</v>
      </c>
      <c r="BL662" s="33"/>
      <c r="BM662" s="33"/>
      <c r="BN662" s="33"/>
      <c r="BO662" s="33"/>
      <c r="BP662" s="520"/>
    </row>
    <row r="663" spans="28:68">
      <c r="AB663" s="514"/>
      <c r="AC663" s="514"/>
      <c r="AD663" s="514"/>
      <c r="AE663" s="514"/>
      <c r="AF663" s="514"/>
      <c r="AG663" s="514"/>
      <c r="AH663" s="514"/>
      <c r="AI663" s="514"/>
      <c r="AJ663" s="514"/>
      <c r="AK663" s="514"/>
      <c r="AL663" s="514"/>
      <c r="AM663" s="514"/>
      <c r="AN663" s="514"/>
      <c r="AO663" s="514"/>
      <c r="AP663" s="514"/>
      <c r="AQ663" s="514"/>
      <c r="AR663" s="514"/>
      <c r="AS663" s="514"/>
      <c r="AT663" s="514"/>
      <c r="AU663" s="514"/>
      <c r="AV663" s="514"/>
      <c r="AW663" s="514"/>
      <c r="AX663" s="514"/>
      <c r="AY663" s="514"/>
      <c r="AZ663" s="514"/>
      <c r="BA663" s="514"/>
      <c r="BB663" s="514"/>
      <c r="BC663" s="520"/>
      <c r="BD663" s="2482"/>
      <c r="BE663" s="30">
        <v>54.4</v>
      </c>
      <c r="BF663" s="31">
        <v>0.76119999999999999</v>
      </c>
      <c r="BG663" s="32">
        <v>760.9</v>
      </c>
      <c r="BH663" s="33"/>
      <c r="BI663" s="30">
        <v>54.4</v>
      </c>
      <c r="BJ663" s="34">
        <v>2.8742999999999999</v>
      </c>
      <c r="BK663" s="35">
        <v>0.12071999999999999</v>
      </c>
      <c r="BL663" s="33"/>
      <c r="BM663" s="33"/>
      <c r="BN663" s="33"/>
      <c r="BO663" s="33"/>
      <c r="BP663" s="520"/>
    </row>
    <row r="664" spans="28:68">
      <c r="AB664" s="514"/>
      <c r="AC664" s="514"/>
      <c r="AD664" s="514"/>
      <c r="AE664" s="514"/>
      <c r="AF664" s="514"/>
      <c r="AG664" s="514"/>
      <c r="AH664" s="514"/>
      <c r="AI664" s="514"/>
      <c r="AJ664" s="514"/>
      <c r="AK664" s="514"/>
      <c r="AL664" s="514"/>
      <c r="AM664" s="514"/>
      <c r="AN664" s="514"/>
      <c r="AO664" s="514"/>
      <c r="AP664" s="514"/>
      <c r="AQ664" s="514"/>
      <c r="AR664" s="514"/>
      <c r="AS664" s="514"/>
      <c r="AT664" s="514"/>
      <c r="AU664" s="514"/>
      <c r="AV664" s="514"/>
      <c r="AW664" s="514"/>
      <c r="AX664" s="514"/>
      <c r="AY664" s="514"/>
      <c r="AZ664" s="514"/>
      <c r="BA664" s="514"/>
      <c r="BB664" s="514"/>
      <c r="BC664" s="520"/>
      <c r="BD664" s="2482"/>
      <c r="BE664" s="30">
        <v>54.5</v>
      </c>
      <c r="BF664" s="31">
        <v>0.76080000000000003</v>
      </c>
      <c r="BG664" s="32">
        <v>760.5</v>
      </c>
      <c r="BH664" s="33"/>
      <c r="BI664" s="30">
        <v>54.5</v>
      </c>
      <c r="BJ664" s="34">
        <v>2.8727</v>
      </c>
      <c r="BK664" s="35">
        <v>0.12064999999999999</v>
      </c>
      <c r="BL664" s="33"/>
      <c r="BM664" s="33"/>
      <c r="BN664" s="33"/>
      <c r="BO664" s="33"/>
      <c r="BP664" s="520"/>
    </row>
    <row r="665" spans="28:68">
      <c r="AB665" s="514"/>
      <c r="AC665" s="514"/>
      <c r="AD665" s="514"/>
      <c r="AE665" s="514"/>
      <c r="AF665" s="514"/>
      <c r="AG665" s="514"/>
      <c r="AH665" s="514"/>
      <c r="AI665" s="514"/>
      <c r="AJ665" s="514"/>
      <c r="AK665" s="514"/>
      <c r="AL665" s="514"/>
      <c r="AM665" s="514"/>
      <c r="AN665" s="514"/>
      <c r="AO665" s="514"/>
      <c r="AP665" s="514"/>
      <c r="AQ665" s="514"/>
      <c r="AR665" s="514"/>
      <c r="AS665" s="514"/>
      <c r="AT665" s="514"/>
      <c r="AU665" s="514"/>
      <c r="AV665" s="514"/>
      <c r="AW665" s="514"/>
      <c r="AX665" s="514"/>
      <c r="AY665" s="514"/>
      <c r="AZ665" s="514"/>
      <c r="BA665" s="514"/>
      <c r="BB665" s="514"/>
      <c r="BC665" s="520"/>
      <c r="BD665" s="2482"/>
      <c r="BE665" s="30">
        <v>54.6</v>
      </c>
      <c r="BF665" s="31">
        <v>0.76029999999999998</v>
      </c>
      <c r="BG665" s="32">
        <v>760.1</v>
      </c>
      <c r="BH665" s="33"/>
      <c r="BI665" s="30">
        <v>54.6</v>
      </c>
      <c r="BJ665" s="34">
        <v>2.8712</v>
      </c>
      <c r="BK665" s="35">
        <v>0.12059</v>
      </c>
      <c r="BL665" s="33"/>
      <c r="BM665" s="33"/>
      <c r="BN665" s="33"/>
      <c r="BO665" s="33"/>
      <c r="BP665" s="520"/>
    </row>
    <row r="666" spans="28:68">
      <c r="AB666" s="514"/>
      <c r="AC666" s="514"/>
      <c r="AD666" s="514"/>
      <c r="AE666" s="514"/>
      <c r="AF666" s="514"/>
      <c r="AG666" s="514"/>
      <c r="AH666" s="514"/>
      <c r="AI666" s="514"/>
      <c r="AJ666" s="514"/>
      <c r="AK666" s="514"/>
      <c r="AL666" s="514"/>
      <c r="AM666" s="514"/>
      <c r="AN666" s="514"/>
      <c r="AO666" s="514"/>
      <c r="AP666" s="514"/>
      <c r="AQ666" s="514"/>
      <c r="AR666" s="514"/>
      <c r="AS666" s="514"/>
      <c r="AT666" s="514"/>
      <c r="AU666" s="514"/>
      <c r="AV666" s="514"/>
      <c r="AW666" s="514"/>
      <c r="AX666" s="514"/>
      <c r="AY666" s="514"/>
      <c r="AZ666" s="514"/>
      <c r="BA666" s="514"/>
      <c r="BB666" s="514"/>
      <c r="BC666" s="520"/>
      <c r="BD666" s="2482"/>
      <c r="BE666" s="30">
        <v>54.7</v>
      </c>
      <c r="BF666" s="31">
        <v>0.75990000000000002</v>
      </c>
      <c r="BG666" s="32">
        <v>759.7</v>
      </c>
      <c r="BH666" s="33"/>
      <c r="BI666" s="30">
        <v>54.7</v>
      </c>
      <c r="BJ666" s="34">
        <v>2.8696000000000002</v>
      </c>
      <c r="BK666" s="35">
        <v>0.12052</v>
      </c>
      <c r="BL666" s="33"/>
      <c r="BM666" s="33"/>
      <c r="BN666" s="33"/>
      <c r="BO666" s="33"/>
      <c r="BP666" s="520"/>
    </row>
    <row r="667" spans="28:68">
      <c r="AB667" s="514"/>
      <c r="AC667" s="514"/>
      <c r="AD667" s="514"/>
      <c r="AE667" s="514"/>
      <c r="AF667" s="514"/>
      <c r="AG667" s="514"/>
      <c r="AH667" s="514"/>
      <c r="AI667" s="514"/>
      <c r="AJ667" s="514"/>
      <c r="AK667" s="514"/>
      <c r="AL667" s="514"/>
      <c r="AM667" s="514"/>
      <c r="AN667" s="514"/>
      <c r="AO667" s="514"/>
      <c r="AP667" s="514"/>
      <c r="AQ667" s="514"/>
      <c r="AR667" s="514"/>
      <c r="AS667" s="514"/>
      <c r="AT667" s="514"/>
      <c r="AU667" s="514"/>
      <c r="AV667" s="514"/>
      <c r="AW667" s="514"/>
      <c r="AX667" s="514"/>
      <c r="AY667" s="514"/>
      <c r="AZ667" s="514"/>
      <c r="BA667" s="514"/>
      <c r="BB667" s="514"/>
      <c r="BC667" s="520"/>
      <c r="BD667" s="2482"/>
      <c r="BE667" s="30">
        <v>54.8</v>
      </c>
      <c r="BF667" s="31">
        <v>0.75949999999999995</v>
      </c>
      <c r="BG667" s="32">
        <v>759.3</v>
      </c>
      <c r="BH667" s="33"/>
      <c r="BI667" s="30">
        <v>54.8</v>
      </c>
      <c r="BJ667" s="34">
        <v>2.8681000000000001</v>
      </c>
      <c r="BK667" s="35">
        <v>0.12046</v>
      </c>
      <c r="BL667" s="33"/>
      <c r="BM667" s="33"/>
      <c r="BN667" s="33"/>
      <c r="BO667" s="33"/>
      <c r="BP667" s="520"/>
    </row>
    <row r="668" spans="28:68">
      <c r="AB668" s="514"/>
      <c r="AC668" s="514"/>
      <c r="AD668" s="514"/>
      <c r="AE668" s="514"/>
      <c r="AF668" s="514"/>
      <c r="AG668" s="514"/>
      <c r="AH668" s="514"/>
      <c r="AI668" s="514"/>
      <c r="AJ668" s="514"/>
      <c r="AK668" s="514"/>
      <c r="AL668" s="514"/>
      <c r="AM668" s="514"/>
      <c r="AN668" s="514"/>
      <c r="AO668" s="514"/>
      <c r="AP668" s="514"/>
      <c r="AQ668" s="514"/>
      <c r="AR668" s="514"/>
      <c r="AS668" s="514"/>
      <c r="AT668" s="514"/>
      <c r="AU668" s="514"/>
      <c r="AV668" s="514"/>
      <c r="AW668" s="514"/>
      <c r="AX668" s="514"/>
      <c r="AY668" s="514"/>
      <c r="AZ668" s="514"/>
      <c r="BA668" s="514"/>
      <c r="BB668" s="514"/>
      <c r="BC668" s="520"/>
      <c r="BD668" s="2482"/>
      <c r="BE668" s="30">
        <v>54.9</v>
      </c>
      <c r="BF668" s="31">
        <v>0.7591</v>
      </c>
      <c r="BG668" s="32">
        <v>758.9</v>
      </c>
      <c r="BH668" s="33"/>
      <c r="BI668" s="30">
        <v>54.9</v>
      </c>
      <c r="BJ668" s="34">
        <v>2.8666</v>
      </c>
      <c r="BK668" s="35">
        <v>0.12039999999999999</v>
      </c>
      <c r="BL668" s="33"/>
      <c r="BM668" s="33"/>
      <c r="BN668" s="33"/>
      <c r="BO668" s="33"/>
      <c r="BP668" s="520"/>
    </row>
    <row r="669" spans="28:68">
      <c r="AB669" s="514"/>
      <c r="AC669" s="514"/>
      <c r="AD669" s="514"/>
      <c r="AE669" s="514"/>
      <c r="AF669" s="514"/>
      <c r="AG669" s="514"/>
      <c r="AH669" s="514"/>
      <c r="AI669" s="514"/>
      <c r="AJ669" s="514"/>
      <c r="AK669" s="514"/>
      <c r="AL669" s="514"/>
      <c r="AM669" s="514"/>
      <c r="AN669" s="514"/>
      <c r="AO669" s="514"/>
      <c r="AP669" s="514"/>
      <c r="AQ669" s="514"/>
      <c r="AR669" s="514"/>
      <c r="AS669" s="514"/>
      <c r="AT669" s="514"/>
      <c r="AU669" s="514"/>
      <c r="AV669" s="514"/>
      <c r="AW669" s="514"/>
      <c r="AX669" s="514"/>
      <c r="AY669" s="514"/>
      <c r="AZ669" s="514"/>
      <c r="BA669" s="514"/>
      <c r="BB669" s="514"/>
      <c r="BC669" s="520"/>
      <c r="BD669" s="2482"/>
      <c r="BE669" s="30">
        <v>55</v>
      </c>
      <c r="BF669" s="31">
        <v>0.75870000000000004</v>
      </c>
      <c r="BG669" s="32">
        <v>758.5</v>
      </c>
      <c r="BH669" s="33"/>
      <c r="BI669" s="30">
        <v>55</v>
      </c>
      <c r="BJ669" s="34">
        <v>2.8650000000000002</v>
      </c>
      <c r="BK669" s="35">
        <v>0.12033000000000001</v>
      </c>
      <c r="BL669" s="33"/>
      <c r="BM669" s="33"/>
      <c r="BN669" s="33"/>
      <c r="BO669" s="33"/>
      <c r="BP669" s="520"/>
    </row>
    <row r="670" spans="28:68">
      <c r="AB670" s="514"/>
      <c r="AC670" s="514"/>
      <c r="AD670" s="514"/>
      <c r="AE670" s="514"/>
      <c r="AF670" s="514"/>
      <c r="AG670" s="514"/>
      <c r="AH670" s="514"/>
      <c r="AI670" s="514"/>
      <c r="AJ670" s="514"/>
      <c r="AK670" s="514"/>
      <c r="AL670" s="514"/>
      <c r="AM670" s="514"/>
      <c r="AN670" s="514"/>
      <c r="AO670" s="514"/>
      <c r="AP670" s="514"/>
      <c r="AQ670" s="514"/>
      <c r="AR670" s="514"/>
      <c r="AS670" s="514"/>
      <c r="AT670" s="514"/>
      <c r="AU670" s="514"/>
      <c r="AV670" s="514"/>
      <c r="AW670" s="514"/>
      <c r="AX670" s="514"/>
      <c r="AY670" s="514"/>
      <c r="AZ670" s="514"/>
      <c r="BA670" s="514"/>
      <c r="BB670" s="514"/>
      <c r="BC670" s="520"/>
      <c r="BD670" s="2482"/>
      <c r="BE670" s="30">
        <v>55.1</v>
      </c>
      <c r="BF670" s="31">
        <v>0.75829999999999997</v>
      </c>
      <c r="BG670" s="32">
        <v>758.1</v>
      </c>
      <c r="BH670" s="33"/>
      <c r="BI670" s="30">
        <v>55.1</v>
      </c>
      <c r="BJ670" s="34">
        <v>2.8635000000000002</v>
      </c>
      <c r="BK670" s="35">
        <v>0.12027</v>
      </c>
      <c r="BL670" s="33"/>
      <c r="BM670" s="33"/>
      <c r="BN670" s="33"/>
      <c r="BO670" s="33"/>
      <c r="BP670" s="520"/>
    </row>
    <row r="671" spans="28:68">
      <c r="AB671" s="514"/>
      <c r="AC671" s="514"/>
      <c r="AD671" s="514"/>
      <c r="AE671" s="514"/>
      <c r="AF671" s="514"/>
      <c r="AG671" s="514"/>
      <c r="AH671" s="514"/>
      <c r="AI671" s="514"/>
      <c r="AJ671" s="514"/>
      <c r="AK671" s="514"/>
      <c r="AL671" s="514"/>
      <c r="AM671" s="514"/>
      <c r="AN671" s="514"/>
      <c r="AO671" s="514"/>
      <c r="AP671" s="514"/>
      <c r="AQ671" s="514"/>
      <c r="AR671" s="514"/>
      <c r="AS671" s="514"/>
      <c r="AT671" s="514"/>
      <c r="AU671" s="514"/>
      <c r="AV671" s="514"/>
      <c r="AW671" s="514"/>
      <c r="AX671" s="514"/>
      <c r="AY671" s="514"/>
      <c r="AZ671" s="514"/>
      <c r="BA671" s="514"/>
      <c r="BB671" s="514"/>
      <c r="BC671" s="520"/>
      <c r="BD671" s="2482"/>
      <c r="BE671" s="30">
        <v>55.2</v>
      </c>
      <c r="BF671" s="31">
        <v>0.75790000000000002</v>
      </c>
      <c r="BG671" s="32">
        <v>757.6</v>
      </c>
      <c r="BH671" s="33"/>
      <c r="BI671" s="30">
        <v>55.2</v>
      </c>
      <c r="BJ671" s="34">
        <v>2.8618999999999999</v>
      </c>
      <c r="BK671" s="35">
        <v>0.1202</v>
      </c>
      <c r="BL671" s="33"/>
      <c r="BM671" s="33"/>
      <c r="BN671" s="33"/>
      <c r="BO671" s="33"/>
      <c r="BP671" s="520"/>
    </row>
    <row r="672" spans="28:68">
      <c r="AB672" s="514"/>
      <c r="AC672" s="514"/>
      <c r="AD672" s="514"/>
      <c r="AE672" s="514"/>
      <c r="AF672" s="514"/>
      <c r="AG672" s="514"/>
      <c r="AH672" s="514"/>
      <c r="AI672" s="514"/>
      <c r="AJ672" s="514"/>
      <c r="AK672" s="514"/>
      <c r="AL672" s="514"/>
      <c r="AM672" s="514"/>
      <c r="AN672" s="514"/>
      <c r="AO672" s="514"/>
      <c r="AP672" s="514"/>
      <c r="AQ672" s="514"/>
      <c r="AR672" s="514"/>
      <c r="AS672" s="514"/>
      <c r="AT672" s="514"/>
      <c r="AU672" s="514"/>
      <c r="AV672" s="514"/>
      <c r="AW672" s="514"/>
      <c r="AX672" s="514"/>
      <c r="AY672" s="514"/>
      <c r="AZ672" s="514"/>
      <c r="BA672" s="514"/>
      <c r="BB672" s="514"/>
      <c r="BC672" s="520"/>
      <c r="BD672" s="2482"/>
      <c r="BE672" s="30">
        <v>55.3</v>
      </c>
      <c r="BF672" s="31">
        <v>0.75749999999999995</v>
      </c>
      <c r="BG672" s="32">
        <v>757.2</v>
      </c>
      <c r="BH672" s="33"/>
      <c r="BI672" s="30">
        <v>55.3</v>
      </c>
      <c r="BJ672" s="34">
        <v>2.8603999999999998</v>
      </c>
      <c r="BK672" s="35">
        <v>0.12014</v>
      </c>
      <c r="BL672" s="33"/>
      <c r="BM672" s="33"/>
      <c r="BN672" s="33"/>
      <c r="BO672" s="33"/>
      <c r="BP672" s="520"/>
    </row>
    <row r="673" spans="28:68">
      <c r="AB673" s="514"/>
      <c r="AC673" s="514"/>
      <c r="AD673" s="514"/>
      <c r="AE673" s="514"/>
      <c r="AF673" s="514"/>
      <c r="AG673" s="514"/>
      <c r="AH673" s="514"/>
      <c r="AI673" s="514"/>
      <c r="AJ673" s="514"/>
      <c r="AK673" s="514"/>
      <c r="AL673" s="514"/>
      <c r="AM673" s="514"/>
      <c r="AN673" s="514"/>
      <c r="AO673" s="514"/>
      <c r="AP673" s="514"/>
      <c r="AQ673" s="514"/>
      <c r="AR673" s="514"/>
      <c r="AS673" s="514"/>
      <c r="AT673" s="514"/>
      <c r="AU673" s="514"/>
      <c r="AV673" s="514"/>
      <c r="AW673" s="514"/>
      <c r="AX673" s="514"/>
      <c r="AY673" s="514"/>
      <c r="AZ673" s="514"/>
      <c r="BA673" s="514"/>
      <c r="BB673" s="514"/>
      <c r="BC673" s="520"/>
      <c r="BD673" s="2482"/>
      <c r="BE673" s="30">
        <v>55.4</v>
      </c>
      <c r="BF673" s="31">
        <v>0.7571</v>
      </c>
      <c r="BG673" s="32">
        <v>756.8</v>
      </c>
      <c r="BH673" s="33"/>
      <c r="BI673" s="30">
        <v>55.4</v>
      </c>
      <c r="BJ673" s="34">
        <v>2.8589000000000002</v>
      </c>
      <c r="BK673" s="35">
        <v>0.12007</v>
      </c>
      <c r="BL673" s="33"/>
      <c r="BM673" s="33"/>
      <c r="BN673" s="33"/>
      <c r="BO673" s="33"/>
      <c r="BP673" s="520"/>
    </row>
    <row r="674" spans="28:68">
      <c r="AB674" s="514"/>
      <c r="AC674" s="514"/>
      <c r="AD674" s="514"/>
      <c r="AE674" s="514"/>
      <c r="AF674" s="514"/>
      <c r="AG674" s="514"/>
      <c r="AH674" s="514"/>
      <c r="AI674" s="514"/>
      <c r="AJ674" s="514"/>
      <c r="AK674" s="514"/>
      <c r="AL674" s="514"/>
      <c r="AM674" s="514"/>
      <c r="AN674" s="514"/>
      <c r="AO674" s="514"/>
      <c r="AP674" s="514"/>
      <c r="AQ674" s="514"/>
      <c r="AR674" s="514"/>
      <c r="AS674" s="514"/>
      <c r="AT674" s="514"/>
      <c r="AU674" s="514"/>
      <c r="AV674" s="514"/>
      <c r="AW674" s="514"/>
      <c r="AX674" s="514"/>
      <c r="AY674" s="514"/>
      <c r="AZ674" s="514"/>
      <c r="BA674" s="514"/>
      <c r="BB674" s="514"/>
      <c r="BC674" s="520"/>
      <c r="BD674" s="2482"/>
      <c r="BE674" s="30">
        <v>55.5</v>
      </c>
      <c r="BF674" s="31">
        <v>0.75670000000000004</v>
      </c>
      <c r="BG674" s="32">
        <v>756.4</v>
      </c>
      <c r="BH674" s="33"/>
      <c r="BI674" s="30">
        <v>55.5</v>
      </c>
      <c r="BJ674" s="34">
        <v>2.8573</v>
      </c>
      <c r="BK674" s="35">
        <v>0.12001000000000001</v>
      </c>
      <c r="BL674" s="33"/>
      <c r="BM674" s="33"/>
      <c r="BN674" s="33"/>
      <c r="BO674" s="33"/>
      <c r="BP674" s="520"/>
    </row>
    <row r="675" spans="28:68">
      <c r="AB675" s="514"/>
      <c r="AC675" s="514"/>
      <c r="AD675" s="514"/>
      <c r="AE675" s="514"/>
      <c r="AF675" s="514"/>
      <c r="AG675" s="514"/>
      <c r="AH675" s="514"/>
      <c r="AI675" s="514"/>
      <c r="AJ675" s="514"/>
      <c r="AK675" s="514"/>
      <c r="AL675" s="514"/>
      <c r="AM675" s="514"/>
      <c r="AN675" s="514"/>
      <c r="AO675" s="514"/>
      <c r="AP675" s="514"/>
      <c r="AQ675" s="514"/>
      <c r="AR675" s="514"/>
      <c r="AS675" s="514"/>
      <c r="AT675" s="514"/>
      <c r="AU675" s="514"/>
      <c r="AV675" s="514"/>
      <c r="AW675" s="514"/>
      <c r="AX675" s="514"/>
      <c r="AY675" s="514"/>
      <c r="AZ675" s="514"/>
      <c r="BA675" s="514"/>
      <c r="BB675" s="514"/>
      <c r="BC675" s="520"/>
      <c r="BD675" s="2482"/>
      <c r="BE675" s="30">
        <v>55.6</v>
      </c>
      <c r="BF675" s="31">
        <v>0.75629999999999997</v>
      </c>
      <c r="BG675" s="32">
        <v>756</v>
      </c>
      <c r="BH675" s="33"/>
      <c r="BI675" s="30">
        <v>55.6</v>
      </c>
      <c r="BJ675" s="34">
        <v>2.8557999999999999</v>
      </c>
      <c r="BK675" s="35">
        <v>0.11994</v>
      </c>
      <c r="BL675" s="33"/>
      <c r="BM675" s="33"/>
      <c r="BN675" s="33"/>
      <c r="BO675" s="33"/>
      <c r="BP675" s="520"/>
    </row>
    <row r="676" spans="28:68">
      <c r="AB676" s="514"/>
      <c r="AC676" s="514"/>
      <c r="AD676" s="514"/>
      <c r="AE676" s="514"/>
      <c r="AF676" s="514"/>
      <c r="AG676" s="514"/>
      <c r="AH676" s="514"/>
      <c r="AI676" s="514"/>
      <c r="AJ676" s="514"/>
      <c r="AK676" s="514"/>
      <c r="AL676" s="514"/>
      <c r="AM676" s="514"/>
      <c r="AN676" s="514"/>
      <c r="AO676" s="514"/>
      <c r="AP676" s="514"/>
      <c r="AQ676" s="514"/>
      <c r="AR676" s="514"/>
      <c r="AS676" s="514"/>
      <c r="AT676" s="514"/>
      <c r="AU676" s="514"/>
      <c r="AV676" s="514"/>
      <c r="AW676" s="514"/>
      <c r="AX676" s="514"/>
      <c r="AY676" s="514"/>
      <c r="AZ676" s="514"/>
      <c r="BA676" s="514"/>
      <c r="BB676" s="514"/>
      <c r="BC676" s="520"/>
      <c r="BD676" s="2482"/>
      <c r="BE676" s="30">
        <v>55.7</v>
      </c>
      <c r="BF676" s="31">
        <v>0.75590000000000002</v>
      </c>
      <c r="BG676" s="32">
        <v>755.6</v>
      </c>
      <c r="BH676" s="33"/>
      <c r="BI676" s="30">
        <v>55.7</v>
      </c>
      <c r="BJ676" s="34">
        <v>2.8542999999999998</v>
      </c>
      <c r="BK676" s="35">
        <v>0.11988</v>
      </c>
      <c r="BL676" s="33"/>
      <c r="BM676" s="33"/>
      <c r="BN676" s="33"/>
      <c r="BO676" s="33"/>
      <c r="BP676" s="520"/>
    </row>
    <row r="677" spans="28:68">
      <c r="AB677" s="514"/>
      <c r="AC677" s="514"/>
      <c r="AD677" s="514"/>
      <c r="AE677" s="514"/>
      <c r="AF677" s="514"/>
      <c r="AG677" s="514"/>
      <c r="AH677" s="514"/>
      <c r="AI677" s="514"/>
      <c r="AJ677" s="514"/>
      <c r="AK677" s="514"/>
      <c r="AL677" s="514"/>
      <c r="AM677" s="514"/>
      <c r="AN677" s="514"/>
      <c r="AO677" s="514"/>
      <c r="AP677" s="514"/>
      <c r="AQ677" s="514"/>
      <c r="AR677" s="514"/>
      <c r="AS677" s="514"/>
      <c r="AT677" s="514"/>
      <c r="AU677" s="514"/>
      <c r="AV677" s="514"/>
      <c r="AW677" s="514"/>
      <c r="AX677" s="514"/>
      <c r="AY677" s="514"/>
      <c r="AZ677" s="514"/>
      <c r="BA677" s="514"/>
      <c r="BB677" s="514"/>
      <c r="BC677" s="520"/>
      <c r="BD677" s="2482"/>
      <c r="BE677" s="30">
        <v>55.8</v>
      </c>
      <c r="BF677" s="31">
        <v>0.75549999999999995</v>
      </c>
      <c r="BG677" s="32">
        <v>755.2</v>
      </c>
      <c r="BH677" s="33"/>
      <c r="BI677" s="30">
        <v>55.8</v>
      </c>
      <c r="BJ677" s="34">
        <v>2.8527999999999998</v>
      </c>
      <c r="BK677" s="35">
        <v>0.11982</v>
      </c>
      <c r="BL677" s="33"/>
      <c r="BM677" s="33"/>
      <c r="BN677" s="33"/>
      <c r="BO677" s="33"/>
      <c r="BP677" s="520"/>
    </row>
    <row r="678" spans="28:68">
      <c r="AB678" s="514"/>
      <c r="AC678" s="514"/>
      <c r="AD678" s="514"/>
      <c r="AE678" s="514"/>
      <c r="AF678" s="514"/>
      <c r="AG678" s="514"/>
      <c r="AH678" s="514"/>
      <c r="AI678" s="514"/>
      <c r="AJ678" s="514"/>
      <c r="AK678" s="514"/>
      <c r="AL678" s="514"/>
      <c r="AM678" s="514"/>
      <c r="AN678" s="514"/>
      <c r="AO678" s="514"/>
      <c r="AP678" s="514"/>
      <c r="AQ678" s="514"/>
      <c r="AR678" s="514"/>
      <c r="AS678" s="514"/>
      <c r="AT678" s="514"/>
      <c r="AU678" s="514"/>
      <c r="AV678" s="514"/>
      <c r="AW678" s="514"/>
      <c r="AX678" s="514"/>
      <c r="AY678" s="514"/>
      <c r="AZ678" s="514"/>
      <c r="BA678" s="514"/>
      <c r="BB678" s="514"/>
      <c r="BC678" s="520"/>
      <c r="BD678" s="2482"/>
      <c r="BE678" s="30">
        <v>55.9</v>
      </c>
      <c r="BF678" s="31">
        <v>0.75509999999999999</v>
      </c>
      <c r="BG678" s="32">
        <v>754.8</v>
      </c>
      <c r="BH678" s="33"/>
      <c r="BI678" s="30">
        <v>55.9</v>
      </c>
      <c r="BJ678" s="34">
        <v>2.8512</v>
      </c>
      <c r="BK678" s="35">
        <v>0.11975</v>
      </c>
      <c r="BL678" s="33"/>
      <c r="BM678" s="33"/>
      <c r="BN678" s="33"/>
      <c r="BO678" s="33"/>
      <c r="BP678" s="520"/>
    </row>
    <row r="679" spans="28:68">
      <c r="AB679" s="514"/>
      <c r="AC679" s="514"/>
      <c r="AD679" s="514"/>
      <c r="AE679" s="514"/>
      <c r="AF679" s="514"/>
      <c r="AG679" s="514"/>
      <c r="AH679" s="514"/>
      <c r="AI679" s="514"/>
      <c r="AJ679" s="514"/>
      <c r="AK679" s="514"/>
      <c r="AL679" s="514"/>
      <c r="AM679" s="514"/>
      <c r="AN679" s="514"/>
      <c r="AO679" s="514"/>
      <c r="AP679" s="514"/>
      <c r="AQ679" s="514"/>
      <c r="AR679" s="514"/>
      <c r="AS679" s="514"/>
      <c r="AT679" s="514"/>
      <c r="AU679" s="514"/>
      <c r="AV679" s="514"/>
      <c r="AW679" s="514"/>
      <c r="AX679" s="514"/>
      <c r="AY679" s="514"/>
      <c r="AZ679" s="514"/>
      <c r="BA679" s="514"/>
      <c r="BB679" s="514"/>
      <c r="BC679" s="520"/>
      <c r="BD679" s="2482"/>
      <c r="BE679" s="30">
        <v>56</v>
      </c>
      <c r="BF679" s="31">
        <v>0.75470000000000004</v>
      </c>
      <c r="BG679" s="32">
        <v>754.4</v>
      </c>
      <c r="BH679" s="33"/>
      <c r="BI679" s="30">
        <v>56</v>
      </c>
      <c r="BJ679" s="34">
        <v>2.8496999999999999</v>
      </c>
      <c r="BK679" s="35">
        <v>0.11969</v>
      </c>
      <c r="BL679" s="33"/>
      <c r="BM679" s="33"/>
      <c r="BN679" s="33"/>
      <c r="BO679" s="33"/>
      <c r="BP679" s="520"/>
    </row>
    <row r="680" spans="28:68">
      <c r="AB680" s="514"/>
      <c r="AC680" s="514"/>
      <c r="AD680" s="514"/>
      <c r="AE680" s="514"/>
      <c r="AF680" s="514"/>
      <c r="AG680" s="514"/>
      <c r="AH680" s="514"/>
      <c r="AI680" s="514"/>
      <c r="AJ680" s="514"/>
      <c r="AK680" s="514"/>
      <c r="AL680" s="514"/>
      <c r="AM680" s="514"/>
      <c r="AN680" s="514"/>
      <c r="AO680" s="514"/>
      <c r="AP680" s="514"/>
      <c r="AQ680" s="514"/>
      <c r="AR680" s="514"/>
      <c r="AS680" s="514"/>
      <c r="AT680" s="514"/>
      <c r="AU680" s="514"/>
      <c r="AV680" s="514"/>
      <c r="AW680" s="514"/>
      <c r="AX680" s="514"/>
      <c r="AY680" s="514"/>
      <c r="AZ680" s="514"/>
      <c r="BA680" s="514"/>
      <c r="BB680" s="514"/>
      <c r="BC680" s="520"/>
      <c r="BD680" s="2482"/>
      <c r="BE680" s="30">
        <v>56.1</v>
      </c>
      <c r="BF680" s="31">
        <v>0.75429999999999997</v>
      </c>
      <c r="BG680" s="32">
        <v>754</v>
      </c>
      <c r="BH680" s="33"/>
      <c r="BI680" s="30">
        <v>56.1</v>
      </c>
      <c r="BJ680" s="34">
        <v>2.8481999999999998</v>
      </c>
      <c r="BK680" s="35">
        <v>0.11962</v>
      </c>
      <c r="BL680" s="33"/>
      <c r="BM680" s="33"/>
      <c r="BN680" s="33"/>
      <c r="BO680" s="33"/>
      <c r="BP680" s="520"/>
    </row>
    <row r="681" spans="28:68">
      <c r="AB681" s="514"/>
      <c r="AC681" s="514"/>
      <c r="AD681" s="514"/>
      <c r="AE681" s="514"/>
      <c r="AF681" s="514"/>
      <c r="AG681" s="514"/>
      <c r="AH681" s="514"/>
      <c r="AI681" s="514"/>
      <c r="AJ681" s="514"/>
      <c r="AK681" s="514"/>
      <c r="AL681" s="514"/>
      <c r="AM681" s="514"/>
      <c r="AN681" s="514"/>
      <c r="AO681" s="514"/>
      <c r="AP681" s="514"/>
      <c r="AQ681" s="514"/>
      <c r="AR681" s="514"/>
      <c r="AS681" s="514"/>
      <c r="AT681" s="514"/>
      <c r="AU681" s="514"/>
      <c r="AV681" s="514"/>
      <c r="AW681" s="514"/>
      <c r="AX681" s="514"/>
      <c r="AY681" s="514"/>
      <c r="AZ681" s="514"/>
      <c r="BA681" s="514"/>
      <c r="BB681" s="514"/>
      <c r="BC681" s="520"/>
      <c r="BD681" s="2482"/>
      <c r="BE681" s="30">
        <v>56.2</v>
      </c>
      <c r="BF681" s="31">
        <v>0.75390000000000001</v>
      </c>
      <c r="BG681" s="32">
        <v>753.6</v>
      </c>
      <c r="BH681" s="33"/>
      <c r="BI681" s="30">
        <v>56.2</v>
      </c>
      <c r="BJ681" s="34">
        <v>2.8466999999999998</v>
      </c>
      <c r="BK681" s="35">
        <v>0.11956</v>
      </c>
      <c r="BL681" s="33"/>
      <c r="BM681" s="33"/>
      <c r="BN681" s="33"/>
      <c r="BO681" s="33"/>
      <c r="BP681" s="520"/>
    </row>
    <row r="682" spans="28:68">
      <c r="AB682" s="514"/>
      <c r="AC682" s="514"/>
      <c r="AD682" s="514"/>
      <c r="AE682" s="514"/>
      <c r="AF682" s="514"/>
      <c r="AG682" s="514"/>
      <c r="AH682" s="514"/>
      <c r="AI682" s="514"/>
      <c r="AJ682" s="514"/>
      <c r="AK682" s="514"/>
      <c r="AL682" s="514"/>
      <c r="AM682" s="514"/>
      <c r="AN682" s="514"/>
      <c r="AO682" s="514"/>
      <c r="AP682" s="514"/>
      <c r="AQ682" s="514"/>
      <c r="AR682" s="514"/>
      <c r="AS682" s="514"/>
      <c r="AT682" s="514"/>
      <c r="AU682" s="514"/>
      <c r="AV682" s="514"/>
      <c r="AW682" s="514"/>
      <c r="AX682" s="514"/>
      <c r="AY682" s="514"/>
      <c r="AZ682" s="514"/>
      <c r="BA682" s="514"/>
      <c r="BB682" s="514"/>
      <c r="BC682" s="520"/>
      <c r="BD682" s="2482"/>
      <c r="BE682" s="30">
        <v>56.3</v>
      </c>
      <c r="BF682" s="31">
        <v>0.75349999999999995</v>
      </c>
      <c r="BG682" s="32">
        <v>753.2</v>
      </c>
      <c r="BH682" s="33"/>
      <c r="BI682" s="30">
        <v>56.3</v>
      </c>
      <c r="BJ682" s="34">
        <v>2.8451</v>
      </c>
      <c r="BK682" s="35">
        <v>0.1195</v>
      </c>
      <c r="BL682" s="33"/>
      <c r="BM682" s="33"/>
      <c r="BN682" s="33"/>
      <c r="BO682" s="33"/>
      <c r="BP682" s="520"/>
    </row>
    <row r="683" spans="28:68">
      <c r="AB683" s="514"/>
      <c r="AC683" s="514"/>
      <c r="AD683" s="514"/>
      <c r="AE683" s="514"/>
      <c r="AF683" s="514"/>
      <c r="AG683" s="514"/>
      <c r="AH683" s="514"/>
      <c r="AI683" s="514"/>
      <c r="AJ683" s="514"/>
      <c r="AK683" s="514"/>
      <c r="AL683" s="514"/>
      <c r="AM683" s="514"/>
      <c r="AN683" s="514"/>
      <c r="AO683" s="514"/>
      <c r="AP683" s="514"/>
      <c r="AQ683" s="514"/>
      <c r="AR683" s="514"/>
      <c r="AS683" s="514"/>
      <c r="AT683" s="514"/>
      <c r="AU683" s="514"/>
      <c r="AV683" s="514"/>
      <c r="AW683" s="514"/>
      <c r="AX683" s="514"/>
      <c r="AY683" s="514"/>
      <c r="AZ683" s="514"/>
      <c r="BA683" s="514"/>
      <c r="BB683" s="514"/>
      <c r="BC683" s="520"/>
      <c r="BD683" s="2482"/>
      <c r="BE683" s="30">
        <v>56.4</v>
      </c>
      <c r="BF683" s="31">
        <v>0.75309999999999999</v>
      </c>
      <c r="BG683" s="32">
        <v>752.8</v>
      </c>
      <c r="BH683" s="33"/>
      <c r="BI683" s="30">
        <v>56.4</v>
      </c>
      <c r="BJ683" s="34">
        <v>2.8435999999999999</v>
      </c>
      <c r="BK683" s="35">
        <v>0.11942999999999999</v>
      </c>
      <c r="BL683" s="33"/>
      <c r="BM683" s="33"/>
      <c r="BN683" s="33"/>
      <c r="BO683" s="33"/>
      <c r="BP683" s="520"/>
    </row>
    <row r="684" spans="28:68">
      <c r="AB684" s="514"/>
      <c r="AC684" s="514"/>
      <c r="AD684" s="514"/>
      <c r="AE684" s="514"/>
      <c r="AF684" s="514"/>
      <c r="AG684" s="514"/>
      <c r="AH684" s="514"/>
      <c r="AI684" s="514"/>
      <c r="AJ684" s="514"/>
      <c r="AK684" s="514"/>
      <c r="AL684" s="514"/>
      <c r="AM684" s="514"/>
      <c r="AN684" s="514"/>
      <c r="AO684" s="514"/>
      <c r="AP684" s="514"/>
      <c r="AQ684" s="514"/>
      <c r="AR684" s="514"/>
      <c r="AS684" s="514"/>
      <c r="AT684" s="514"/>
      <c r="AU684" s="514"/>
      <c r="AV684" s="514"/>
      <c r="AW684" s="514"/>
      <c r="AX684" s="514"/>
      <c r="AY684" s="514"/>
      <c r="AZ684" s="514"/>
      <c r="BA684" s="514"/>
      <c r="BB684" s="514"/>
      <c r="BC684" s="520"/>
      <c r="BD684" s="2482"/>
      <c r="BE684" s="30">
        <v>56.5</v>
      </c>
      <c r="BF684" s="31">
        <v>0.75270000000000004</v>
      </c>
      <c r="BG684" s="32">
        <v>752.4</v>
      </c>
      <c r="BH684" s="33"/>
      <c r="BI684" s="30">
        <v>56.5</v>
      </c>
      <c r="BJ684" s="34">
        <v>2.8420999999999998</v>
      </c>
      <c r="BK684" s="35">
        <v>0.11937</v>
      </c>
      <c r="BL684" s="33"/>
      <c r="BM684" s="33"/>
      <c r="BN684" s="33"/>
      <c r="BO684" s="33"/>
      <c r="BP684" s="520"/>
    </row>
    <row r="685" spans="28:68">
      <c r="AB685" s="514"/>
      <c r="AC685" s="514"/>
      <c r="AD685" s="514"/>
      <c r="AE685" s="514"/>
      <c r="AF685" s="514"/>
      <c r="AG685" s="514"/>
      <c r="AH685" s="514"/>
      <c r="AI685" s="514"/>
      <c r="AJ685" s="514"/>
      <c r="AK685" s="514"/>
      <c r="AL685" s="514"/>
      <c r="AM685" s="514"/>
      <c r="AN685" s="514"/>
      <c r="AO685" s="514"/>
      <c r="AP685" s="514"/>
      <c r="AQ685" s="514"/>
      <c r="AR685" s="514"/>
      <c r="AS685" s="514"/>
      <c r="AT685" s="514"/>
      <c r="AU685" s="514"/>
      <c r="AV685" s="514"/>
      <c r="AW685" s="514"/>
      <c r="AX685" s="514"/>
      <c r="AY685" s="514"/>
      <c r="AZ685" s="514"/>
      <c r="BA685" s="514"/>
      <c r="BB685" s="514"/>
      <c r="BC685" s="520"/>
      <c r="BD685" s="2482"/>
      <c r="BE685" s="30">
        <v>56.6</v>
      </c>
      <c r="BF685" s="31">
        <v>0.75229999999999997</v>
      </c>
      <c r="BG685" s="32">
        <v>752</v>
      </c>
      <c r="BH685" s="33"/>
      <c r="BI685" s="30">
        <v>56.6</v>
      </c>
      <c r="BJ685" s="34">
        <v>2.8405999999999998</v>
      </c>
      <c r="BK685" s="35">
        <v>0.11931</v>
      </c>
      <c r="BL685" s="33"/>
      <c r="BM685" s="33"/>
      <c r="BN685" s="33"/>
      <c r="BO685" s="33"/>
      <c r="BP685" s="520"/>
    </row>
    <row r="686" spans="28:68">
      <c r="AB686" s="514"/>
      <c r="AC686" s="514"/>
      <c r="AD686" s="514"/>
      <c r="AE686" s="514"/>
      <c r="AF686" s="514"/>
      <c r="AG686" s="514"/>
      <c r="AH686" s="514"/>
      <c r="AI686" s="514"/>
      <c r="AJ686" s="514"/>
      <c r="AK686" s="514"/>
      <c r="AL686" s="514"/>
      <c r="AM686" s="514"/>
      <c r="AN686" s="514"/>
      <c r="AO686" s="514"/>
      <c r="AP686" s="514"/>
      <c r="AQ686" s="514"/>
      <c r="AR686" s="514"/>
      <c r="AS686" s="514"/>
      <c r="AT686" s="514"/>
      <c r="AU686" s="514"/>
      <c r="AV686" s="514"/>
      <c r="AW686" s="514"/>
      <c r="AX686" s="514"/>
      <c r="AY686" s="514"/>
      <c r="AZ686" s="514"/>
      <c r="BA686" s="514"/>
      <c r="BB686" s="514"/>
      <c r="BC686" s="520"/>
      <c r="BD686" s="2482"/>
      <c r="BE686" s="30">
        <v>56.7</v>
      </c>
      <c r="BF686" s="31">
        <v>0.75190000000000001</v>
      </c>
      <c r="BG686" s="32">
        <v>751.6</v>
      </c>
      <c r="BH686" s="33"/>
      <c r="BI686" s="30">
        <v>56.7</v>
      </c>
      <c r="BJ686" s="34">
        <v>2.8391000000000002</v>
      </c>
      <c r="BK686" s="35">
        <v>0.11924</v>
      </c>
      <c r="BL686" s="33"/>
      <c r="BM686" s="33"/>
      <c r="BN686" s="33"/>
      <c r="BO686" s="33"/>
      <c r="BP686" s="520"/>
    </row>
    <row r="687" spans="28:68">
      <c r="AB687" s="514"/>
      <c r="AC687" s="514"/>
      <c r="AD687" s="514"/>
      <c r="AE687" s="514"/>
      <c r="AF687" s="514"/>
      <c r="AG687" s="514"/>
      <c r="AH687" s="514"/>
      <c r="AI687" s="514"/>
      <c r="AJ687" s="514"/>
      <c r="AK687" s="514"/>
      <c r="AL687" s="514"/>
      <c r="AM687" s="514"/>
      <c r="AN687" s="514"/>
      <c r="AO687" s="514"/>
      <c r="AP687" s="514"/>
      <c r="AQ687" s="514"/>
      <c r="AR687" s="514"/>
      <c r="AS687" s="514"/>
      <c r="AT687" s="514"/>
      <c r="AU687" s="514"/>
      <c r="AV687" s="514"/>
      <c r="AW687" s="514"/>
      <c r="AX687" s="514"/>
      <c r="AY687" s="514"/>
      <c r="AZ687" s="514"/>
      <c r="BA687" s="514"/>
      <c r="BB687" s="514"/>
      <c r="BC687" s="520"/>
      <c r="BD687" s="2482"/>
      <c r="BE687" s="30">
        <v>56.8</v>
      </c>
      <c r="BF687" s="31">
        <v>0.75149999999999995</v>
      </c>
      <c r="BG687" s="32">
        <v>751.2</v>
      </c>
      <c r="BH687" s="33"/>
      <c r="BI687" s="30">
        <v>56.8</v>
      </c>
      <c r="BJ687" s="34">
        <v>2.8376000000000001</v>
      </c>
      <c r="BK687" s="35">
        <v>0.11917999999999999</v>
      </c>
      <c r="BL687" s="33"/>
      <c r="BM687" s="33"/>
      <c r="BN687" s="33"/>
      <c r="BO687" s="33"/>
      <c r="BP687" s="520"/>
    </row>
    <row r="688" spans="28:68">
      <c r="AB688" s="514"/>
      <c r="AC688" s="514"/>
      <c r="AD688" s="514"/>
      <c r="AE688" s="514"/>
      <c r="AF688" s="514"/>
      <c r="AG688" s="514"/>
      <c r="AH688" s="514"/>
      <c r="AI688" s="514"/>
      <c r="AJ688" s="514"/>
      <c r="AK688" s="514"/>
      <c r="AL688" s="514"/>
      <c r="AM688" s="514"/>
      <c r="AN688" s="514"/>
      <c r="AO688" s="514"/>
      <c r="AP688" s="514"/>
      <c r="AQ688" s="514"/>
      <c r="AR688" s="514"/>
      <c r="AS688" s="514"/>
      <c r="AT688" s="514"/>
      <c r="AU688" s="514"/>
      <c r="AV688" s="514"/>
      <c r="AW688" s="514"/>
      <c r="AX688" s="514"/>
      <c r="AY688" s="514"/>
      <c r="AZ688" s="514"/>
      <c r="BA688" s="514"/>
      <c r="BB688" s="514"/>
      <c r="BC688" s="520"/>
      <c r="BD688" s="2482"/>
      <c r="BE688" s="30">
        <v>56.9</v>
      </c>
      <c r="BF688" s="31">
        <v>0.75109999999999999</v>
      </c>
      <c r="BG688" s="32">
        <v>750.8</v>
      </c>
      <c r="BH688" s="33"/>
      <c r="BI688" s="30">
        <v>56.9</v>
      </c>
      <c r="BJ688" s="34">
        <v>2.8361000000000001</v>
      </c>
      <c r="BK688" s="35">
        <v>0.11912</v>
      </c>
      <c r="BL688" s="33"/>
      <c r="BM688" s="33"/>
      <c r="BN688" s="33"/>
      <c r="BO688" s="33"/>
      <c r="BP688" s="520"/>
    </row>
    <row r="689" spans="28:68">
      <c r="AB689" s="514"/>
      <c r="AC689" s="514"/>
      <c r="AD689" s="514"/>
      <c r="AE689" s="514"/>
      <c r="AF689" s="514"/>
      <c r="AG689" s="514"/>
      <c r="AH689" s="514"/>
      <c r="AI689" s="514"/>
      <c r="AJ689" s="514"/>
      <c r="AK689" s="514"/>
      <c r="AL689" s="514"/>
      <c r="AM689" s="514"/>
      <c r="AN689" s="514"/>
      <c r="AO689" s="514"/>
      <c r="AP689" s="514"/>
      <c r="AQ689" s="514"/>
      <c r="AR689" s="514"/>
      <c r="AS689" s="514"/>
      <c r="AT689" s="514"/>
      <c r="AU689" s="514"/>
      <c r="AV689" s="514"/>
      <c r="AW689" s="514"/>
      <c r="AX689" s="514"/>
      <c r="AY689" s="514"/>
      <c r="AZ689" s="514"/>
      <c r="BA689" s="514"/>
      <c r="BB689" s="514"/>
      <c r="BC689" s="520"/>
      <c r="BD689" s="2482"/>
      <c r="BE689" s="30">
        <v>57</v>
      </c>
      <c r="BF689" s="31">
        <v>0.75070000000000003</v>
      </c>
      <c r="BG689" s="32">
        <v>750.4</v>
      </c>
      <c r="BH689" s="33"/>
      <c r="BI689" s="30">
        <v>57</v>
      </c>
      <c r="BJ689" s="34">
        <v>2.8346</v>
      </c>
      <c r="BK689" s="35">
        <v>0.11905</v>
      </c>
      <c r="BL689" s="33"/>
      <c r="BM689" s="33"/>
      <c r="BN689" s="33"/>
      <c r="BO689" s="33"/>
      <c r="BP689" s="520"/>
    </row>
    <row r="690" spans="28:68">
      <c r="AB690" s="514"/>
      <c r="AC690" s="514"/>
      <c r="AD690" s="514"/>
      <c r="AE690" s="514"/>
      <c r="AF690" s="514"/>
      <c r="AG690" s="514"/>
      <c r="AH690" s="514"/>
      <c r="AI690" s="514"/>
      <c r="AJ690" s="514"/>
      <c r="AK690" s="514"/>
      <c r="AL690" s="514"/>
      <c r="AM690" s="514"/>
      <c r="AN690" s="514"/>
      <c r="AO690" s="514"/>
      <c r="AP690" s="514"/>
      <c r="AQ690" s="514"/>
      <c r="AR690" s="514"/>
      <c r="AS690" s="514"/>
      <c r="AT690" s="514"/>
      <c r="AU690" s="514"/>
      <c r="AV690" s="514"/>
      <c r="AW690" s="514"/>
      <c r="AX690" s="514"/>
      <c r="AY690" s="514"/>
      <c r="AZ690" s="514"/>
      <c r="BA690" s="514"/>
      <c r="BB690" s="514"/>
      <c r="BC690" s="520"/>
      <c r="BD690" s="2482"/>
      <c r="BE690" s="30">
        <v>57.1</v>
      </c>
      <c r="BF690" s="31">
        <v>0.75029999999999997</v>
      </c>
      <c r="BG690" s="32">
        <v>750</v>
      </c>
      <c r="BH690" s="33"/>
      <c r="BI690" s="30">
        <v>57.1</v>
      </c>
      <c r="BJ690" s="34">
        <v>2.8331</v>
      </c>
      <c r="BK690" s="35">
        <v>0.11899</v>
      </c>
      <c r="BL690" s="33"/>
      <c r="BM690" s="33"/>
      <c r="BN690" s="33"/>
      <c r="BO690" s="33"/>
      <c r="BP690" s="520"/>
    </row>
    <row r="691" spans="28:68">
      <c r="AB691" s="514"/>
      <c r="AC691" s="514"/>
      <c r="AD691" s="514"/>
      <c r="AE691" s="514"/>
      <c r="AF691" s="514"/>
      <c r="AG691" s="514"/>
      <c r="AH691" s="514"/>
      <c r="AI691" s="514"/>
      <c r="AJ691" s="514"/>
      <c r="AK691" s="514"/>
      <c r="AL691" s="514"/>
      <c r="AM691" s="514"/>
      <c r="AN691" s="514"/>
      <c r="AO691" s="514"/>
      <c r="AP691" s="514"/>
      <c r="AQ691" s="514"/>
      <c r="AR691" s="514"/>
      <c r="AS691" s="514"/>
      <c r="AT691" s="514"/>
      <c r="AU691" s="514"/>
      <c r="AV691" s="514"/>
      <c r="AW691" s="514"/>
      <c r="AX691" s="514"/>
      <c r="AY691" s="514"/>
      <c r="AZ691" s="514"/>
      <c r="BA691" s="514"/>
      <c r="BB691" s="514"/>
      <c r="BC691" s="520"/>
      <c r="BD691" s="2482"/>
      <c r="BE691" s="30">
        <v>57.2</v>
      </c>
      <c r="BF691" s="31">
        <v>0.74990000000000001</v>
      </c>
      <c r="BG691" s="32">
        <v>749.6</v>
      </c>
      <c r="BH691" s="33"/>
      <c r="BI691" s="30">
        <v>57.2</v>
      </c>
      <c r="BJ691" s="34">
        <v>2.8315999999999999</v>
      </c>
      <c r="BK691" s="35">
        <v>0.11892999999999999</v>
      </c>
      <c r="BL691" s="33"/>
      <c r="BM691" s="33"/>
      <c r="BN691" s="33"/>
      <c r="BO691" s="33"/>
      <c r="BP691" s="520"/>
    </row>
    <row r="692" spans="28:68">
      <c r="AB692" s="514"/>
      <c r="AC692" s="514"/>
      <c r="AD692" s="514"/>
      <c r="AE692" s="514"/>
      <c r="AF692" s="514"/>
      <c r="AG692" s="514"/>
      <c r="AH692" s="514"/>
      <c r="AI692" s="514"/>
      <c r="AJ692" s="514"/>
      <c r="AK692" s="514"/>
      <c r="AL692" s="514"/>
      <c r="AM692" s="514"/>
      <c r="AN692" s="514"/>
      <c r="AO692" s="514"/>
      <c r="AP692" s="514"/>
      <c r="AQ692" s="514"/>
      <c r="AR692" s="514"/>
      <c r="AS692" s="514"/>
      <c r="AT692" s="514"/>
      <c r="AU692" s="514"/>
      <c r="AV692" s="514"/>
      <c r="AW692" s="514"/>
      <c r="AX692" s="514"/>
      <c r="AY692" s="514"/>
      <c r="AZ692" s="514"/>
      <c r="BA692" s="514"/>
      <c r="BB692" s="514"/>
      <c r="BC692" s="520"/>
      <c r="BD692" s="2482"/>
      <c r="BE692" s="30">
        <v>57.3</v>
      </c>
      <c r="BF692" s="31">
        <v>0.74950000000000006</v>
      </c>
      <c r="BG692" s="32">
        <v>749.2</v>
      </c>
      <c r="BH692" s="33"/>
      <c r="BI692" s="30">
        <v>57.3</v>
      </c>
      <c r="BJ692" s="34">
        <v>2.8300999999999998</v>
      </c>
      <c r="BK692" s="35">
        <v>0.11885999999999999</v>
      </c>
      <c r="BL692" s="33"/>
      <c r="BM692" s="33"/>
      <c r="BN692" s="33"/>
      <c r="BO692" s="33"/>
      <c r="BP692" s="520"/>
    </row>
    <row r="693" spans="28:68">
      <c r="AB693" s="514"/>
      <c r="AC693" s="514"/>
      <c r="AD693" s="514"/>
      <c r="AE693" s="514"/>
      <c r="AF693" s="514"/>
      <c r="AG693" s="514"/>
      <c r="AH693" s="514"/>
      <c r="AI693" s="514"/>
      <c r="AJ693" s="514"/>
      <c r="AK693" s="514"/>
      <c r="AL693" s="514"/>
      <c r="AM693" s="514"/>
      <c r="AN693" s="514"/>
      <c r="AO693" s="514"/>
      <c r="AP693" s="514"/>
      <c r="AQ693" s="514"/>
      <c r="AR693" s="514"/>
      <c r="AS693" s="514"/>
      <c r="AT693" s="514"/>
      <c r="AU693" s="514"/>
      <c r="AV693" s="514"/>
      <c r="AW693" s="514"/>
      <c r="AX693" s="514"/>
      <c r="AY693" s="514"/>
      <c r="AZ693" s="514"/>
      <c r="BA693" s="514"/>
      <c r="BB693" s="514"/>
      <c r="BC693" s="520"/>
      <c r="BD693" s="2482"/>
      <c r="BE693" s="30">
        <v>57.4</v>
      </c>
      <c r="BF693" s="31">
        <v>0.74909999999999999</v>
      </c>
      <c r="BG693" s="32">
        <v>748.8</v>
      </c>
      <c r="BH693" s="33"/>
      <c r="BI693" s="30">
        <v>57.4</v>
      </c>
      <c r="BJ693" s="34">
        <v>2.8285999999999998</v>
      </c>
      <c r="BK693" s="35">
        <v>0.1188</v>
      </c>
      <c r="BL693" s="33"/>
      <c r="BM693" s="33"/>
      <c r="BN693" s="33"/>
      <c r="BO693" s="33"/>
      <c r="BP693" s="520"/>
    </row>
    <row r="694" spans="28:68">
      <c r="AB694" s="514"/>
      <c r="AC694" s="514"/>
      <c r="AD694" s="514"/>
      <c r="AE694" s="514"/>
      <c r="AF694" s="514"/>
      <c r="AG694" s="514"/>
      <c r="AH694" s="514"/>
      <c r="AI694" s="514"/>
      <c r="AJ694" s="514"/>
      <c r="AK694" s="514"/>
      <c r="AL694" s="514"/>
      <c r="AM694" s="514"/>
      <c r="AN694" s="514"/>
      <c r="AO694" s="514"/>
      <c r="AP694" s="514"/>
      <c r="AQ694" s="514"/>
      <c r="AR694" s="514"/>
      <c r="AS694" s="514"/>
      <c r="AT694" s="514"/>
      <c r="AU694" s="514"/>
      <c r="AV694" s="514"/>
      <c r="AW694" s="514"/>
      <c r="AX694" s="514"/>
      <c r="AY694" s="514"/>
      <c r="AZ694" s="514"/>
      <c r="BA694" s="514"/>
      <c r="BB694" s="514"/>
      <c r="BC694" s="520"/>
      <c r="BD694" s="2482"/>
      <c r="BE694" s="30">
        <v>57.5</v>
      </c>
      <c r="BF694" s="31">
        <v>0.74870000000000003</v>
      </c>
      <c r="BG694" s="32">
        <v>748.4</v>
      </c>
      <c r="BH694" s="33"/>
      <c r="BI694" s="30">
        <v>57.5</v>
      </c>
      <c r="BJ694" s="34">
        <v>2.8271000000000002</v>
      </c>
      <c r="BK694" s="35">
        <v>0.11874</v>
      </c>
      <c r="BL694" s="33"/>
      <c r="BM694" s="33"/>
      <c r="BN694" s="33"/>
      <c r="BO694" s="33"/>
      <c r="BP694" s="520"/>
    </row>
    <row r="695" spans="28:68">
      <c r="AB695" s="514"/>
      <c r="AC695" s="514"/>
      <c r="AD695" s="514"/>
      <c r="AE695" s="514"/>
      <c r="AF695" s="514"/>
      <c r="AG695" s="514"/>
      <c r="AH695" s="514"/>
      <c r="AI695" s="514"/>
      <c r="AJ695" s="514"/>
      <c r="AK695" s="514"/>
      <c r="AL695" s="514"/>
      <c r="AM695" s="514"/>
      <c r="AN695" s="514"/>
      <c r="AO695" s="514"/>
      <c r="AP695" s="514"/>
      <c r="AQ695" s="514"/>
      <c r="AR695" s="514"/>
      <c r="AS695" s="514"/>
      <c r="AT695" s="514"/>
      <c r="AU695" s="514"/>
      <c r="AV695" s="514"/>
      <c r="AW695" s="514"/>
      <c r="AX695" s="514"/>
      <c r="AY695" s="514"/>
      <c r="AZ695" s="514"/>
      <c r="BA695" s="514"/>
      <c r="BB695" s="514"/>
      <c r="BC695" s="520"/>
      <c r="BD695" s="2482"/>
      <c r="BE695" s="30">
        <v>57.6</v>
      </c>
      <c r="BF695" s="31">
        <v>0.74829999999999997</v>
      </c>
      <c r="BG695" s="32">
        <v>748</v>
      </c>
      <c r="BH695" s="33"/>
      <c r="BI695" s="30">
        <v>57.6</v>
      </c>
      <c r="BJ695" s="34">
        <v>2.8256000000000001</v>
      </c>
      <c r="BK695" s="35">
        <v>0.11867</v>
      </c>
      <c r="BL695" s="33"/>
      <c r="BM695" s="33"/>
      <c r="BN695" s="33"/>
      <c r="BO695" s="33"/>
      <c r="BP695" s="520"/>
    </row>
    <row r="696" spans="28:68">
      <c r="AB696" s="514"/>
      <c r="AC696" s="514"/>
      <c r="AD696" s="514"/>
      <c r="AE696" s="514"/>
      <c r="AF696" s="514"/>
      <c r="AG696" s="514"/>
      <c r="AH696" s="514"/>
      <c r="AI696" s="514"/>
      <c r="AJ696" s="514"/>
      <c r="AK696" s="514"/>
      <c r="AL696" s="514"/>
      <c r="AM696" s="514"/>
      <c r="AN696" s="514"/>
      <c r="AO696" s="514"/>
      <c r="AP696" s="514"/>
      <c r="AQ696" s="514"/>
      <c r="AR696" s="514"/>
      <c r="AS696" s="514"/>
      <c r="AT696" s="514"/>
      <c r="AU696" s="514"/>
      <c r="AV696" s="514"/>
      <c r="AW696" s="514"/>
      <c r="AX696" s="514"/>
      <c r="AY696" s="514"/>
      <c r="AZ696" s="514"/>
      <c r="BA696" s="514"/>
      <c r="BB696" s="514"/>
      <c r="BC696" s="520"/>
      <c r="BD696" s="2482"/>
      <c r="BE696" s="30">
        <v>57.7</v>
      </c>
      <c r="BF696" s="31">
        <v>0.74790000000000001</v>
      </c>
      <c r="BG696" s="32">
        <v>747.6</v>
      </c>
      <c r="BH696" s="33"/>
      <c r="BI696" s="30">
        <v>57.7</v>
      </c>
      <c r="BJ696" s="34">
        <v>2.8241000000000001</v>
      </c>
      <c r="BK696" s="35">
        <v>0.11860999999999999</v>
      </c>
      <c r="BL696" s="33"/>
      <c r="BM696" s="33"/>
      <c r="BN696" s="33"/>
      <c r="BO696" s="33"/>
      <c r="BP696" s="520"/>
    </row>
    <row r="697" spans="28:68">
      <c r="AB697" s="514"/>
      <c r="AC697" s="514"/>
      <c r="AD697" s="514"/>
      <c r="AE697" s="514"/>
      <c r="AF697" s="514"/>
      <c r="AG697" s="514"/>
      <c r="AH697" s="514"/>
      <c r="AI697" s="514"/>
      <c r="AJ697" s="514"/>
      <c r="AK697" s="514"/>
      <c r="AL697" s="514"/>
      <c r="AM697" s="514"/>
      <c r="AN697" s="514"/>
      <c r="AO697" s="514"/>
      <c r="AP697" s="514"/>
      <c r="AQ697" s="514"/>
      <c r="AR697" s="514"/>
      <c r="AS697" s="514"/>
      <c r="AT697" s="514"/>
      <c r="AU697" s="514"/>
      <c r="AV697" s="514"/>
      <c r="AW697" s="514"/>
      <c r="AX697" s="514"/>
      <c r="AY697" s="514"/>
      <c r="AZ697" s="514"/>
      <c r="BA697" s="514"/>
      <c r="BB697" s="514"/>
      <c r="BC697" s="520"/>
      <c r="BD697" s="2482"/>
      <c r="BE697" s="30">
        <v>57.8</v>
      </c>
      <c r="BF697" s="31">
        <v>0.74750000000000005</v>
      </c>
      <c r="BG697" s="32">
        <v>747.3</v>
      </c>
      <c r="BH697" s="33"/>
      <c r="BI697" s="30">
        <v>57.8</v>
      </c>
      <c r="BJ697" s="34">
        <v>2.8226</v>
      </c>
      <c r="BK697" s="35">
        <v>0.11855</v>
      </c>
      <c r="BL697" s="33"/>
      <c r="BM697" s="33"/>
      <c r="BN697" s="33"/>
      <c r="BO697" s="33"/>
      <c r="BP697" s="520"/>
    </row>
    <row r="698" spans="28:68">
      <c r="AB698" s="514"/>
      <c r="AC698" s="514"/>
      <c r="AD698" s="514"/>
      <c r="AE698" s="514"/>
      <c r="AF698" s="514"/>
      <c r="AG698" s="514"/>
      <c r="AH698" s="514"/>
      <c r="AI698" s="514"/>
      <c r="AJ698" s="514"/>
      <c r="AK698" s="514"/>
      <c r="AL698" s="514"/>
      <c r="AM698" s="514"/>
      <c r="AN698" s="514"/>
      <c r="AO698" s="514"/>
      <c r="AP698" s="514"/>
      <c r="AQ698" s="514"/>
      <c r="AR698" s="514"/>
      <c r="AS698" s="514"/>
      <c r="AT698" s="514"/>
      <c r="AU698" s="514"/>
      <c r="AV698" s="514"/>
      <c r="AW698" s="514"/>
      <c r="AX698" s="514"/>
      <c r="AY698" s="514"/>
      <c r="AZ698" s="514"/>
      <c r="BA698" s="514"/>
      <c r="BB698" s="514"/>
      <c r="BC698" s="520"/>
      <c r="BD698" s="2482"/>
      <c r="BE698" s="30">
        <v>57.9</v>
      </c>
      <c r="BF698" s="31">
        <v>0.74709999999999999</v>
      </c>
      <c r="BG698" s="32">
        <v>746.9</v>
      </c>
      <c r="BH698" s="33"/>
      <c r="BI698" s="30">
        <v>57.9</v>
      </c>
      <c r="BJ698" s="34">
        <v>2.8210999999999999</v>
      </c>
      <c r="BK698" s="35">
        <v>0.11849</v>
      </c>
      <c r="BL698" s="33"/>
      <c r="BM698" s="33"/>
      <c r="BN698" s="33"/>
      <c r="BO698" s="33"/>
      <c r="BP698" s="520"/>
    </row>
    <row r="699" spans="28:68">
      <c r="AB699" s="514"/>
      <c r="AC699" s="514"/>
      <c r="AD699" s="514"/>
      <c r="AE699" s="514"/>
      <c r="AF699" s="514"/>
      <c r="AG699" s="514"/>
      <c r="AH699" s="514"/>
      <c r="AI699" s="514"/>
      <c r="AJ699" s="514"/>
      <c r="AK699" s="514"/>
      <c r="AL699" s="514"/>
      <c r="AM699" s="514"/>
      <c r="AN699" s="514"/>
      <c r="AO699" s="514"/>
      <c r="AP699" s="514"/>
      <c r="AQ699" s="514"/>
      <c r="AR699" s="514"/>
      <c r="AS699" s="514"/>
      <c r="AT699" s="514"/>
      <c r="AU699" s="514"/>
      <c r="AV699" s="514"/>
      <c r="AW699" s="514"/>
      <c r="AX699" s="514"/>
      <c r="AY699" s="514"/>
      <c r="AZ699" s="514"/>
      <c r="BA699" s="514"/>
      <c r="BB699" s="514"/>
      <c r="BC699" s="520"/>
      <c r="BD699" s="2482"/>
      <c r="BE699" s="30">
        <v>58</v>
      </c>
      <c r="BF699" s="31">
        <v>0.74670000000000003</v>
      </c>
      <c r="BG699" s="32">
        <v>746.5</v>
      </c>
      <c r="BH699" s="33"/>
      <c r="BI699" s="30">
        <v>58</v>
      </c>
      <c r="BJ699" s="34">
        <v>2.8195999999999999</v>
      </c>
      <c r="BK699" s="35">
        <v>0.11842</v>
      </c>
      <c r="BL699" s="33"/>
      <c r="BM699" s="33"/>
      <c r="BN699" s="33"/>
      <c r="BO699" s="33"/>
      <c r="BP699" s="520"/>
    </row>
    <row r="700" spans="28:68">
      <c r="AB700" s="514"/>
      <c r="AC700" s="514"/>
      <c r="AD700" s="514"/>
      <c r="AE700" s="514"/>
      <c r="AF700" s="514"/>
      <c r="AG700" s="514"/>
      <c r="AH700" s="514"/>
      <c r="AI700" s="514"/>
      <c r="AJ700" s="514"/>
      <c r="AK700" s="514"/>
      <c r="AL700" s="514"/>
      <c r="AM700" s="514"/>
      <c r="AN700" s="514"/>
      <c r="AO700" s="514"/>
      <c r="AP700" s="514"/>
      <c r="AQ700" s="514"/>
      <c r="AR700" s="514"/>
      <c r="AS700" s="514"/>
      <c r="AT700" s="514"/>
      <c r="AU700" s="514"/>
      <c r="AV700" s="514"/>
      <c r="AW700" s="514"/>
      <c r="AX700" s="514"/>
      <c r="AY700" s="514"/>
      <c r="AZ700" s="514"/>
      <c r="BA700" s="514"/>
      <c r="BB700" s="514"/>
      <c r="BC700" s="520"/>
      <c r="BD700" s="2482"/>
      <c r="BE700" s="30">
        <v>58.1</v>
      </c>
      <c r="BF700" s="31">
        <v>0.74629999999999996</v>
      </c>
      <c r="BG700" s="32">
        <v>746.1</v>
      </c>
      <c r="BH700" s="33"/>
      <c r="BI700" s="30">
        <v>58.1</v>
      </c>
      <c r="BJ700" s="34">
        <v>2.8180999999999998</v>
      </c>
      <c r="BK700" s="35">
        <v>0.11836000000000001</v>
      </c>
      <c r="BL700" s="33"/>
      <c r="BM700" s="33"/>
      <c r="BN700" s="33"/>
      <c r="BO700" s="33"/>
      <c r="BP700" s="520"/>
    </row>
    <row r="701" spans="28:68">
      <c r="AB701" s="514"/>
      <c r="AC701" s="514"/>
      <c r="AD701" s="514"/>
      <c r="AE701" s="514"/>
      <c r="AF701" s="514"/>
      <c r="AG701" s="514"/>
      <c r="AH701" s="514"/>
      <c r="AI701" s="514"/>
      <c r="AJ701" s="514"/>
      <c r="AK701" s="514"/>
      <c r="AL701" s="514"/>
      <c r="AM701" s="514"/>
      <c r="AN701" s="514"/>
      <c r="AO701" s="514"/>
      <c r="AP701" s="514"/>
      <c r="AQ701" s="514"/>
      <c r="AR701" s="514"/>
      <c r="AS701" s="514"/>
      <c r="AT701" s="514"/>
      <c r="AU701" s="514"/>
      <c r="AV701" s="514"/>
      <c r="AW701" s="514"/>
      <c r="AX701" s="514"/>
      <c r="AY701" s="514"/>
      <c r="AZ701" s="514"/>
      <c r="BA701" s="514"/>
      <c r="BB701" s="514"/>
      <c r="BC701" s="520"/>
      <c r="BD701" s="2482"/>
      <c r="BE701" s="30">
        <v>58.2</v>
      </c>
      <c r="BF701" s="31">
        <v>0.74590000000000001</v>
      </c>
      <c r="BG701" s="32">
        <v>745.7</v>
      </c>
      <c r="BH701" s="33"/>
      <c r="BI701" s="30">
        <v>58.2</v>
      </c>
      <c r="BJ701" s="34">
        <v>2.8166000000000002</v>
      </c>
      <c r="BK701" s="35">
        <v>0.1183</v>
      </c>
      <c r="BL701" s="33"/>
      <c r="BM701" s="33"/>
      <c r="BN701" s="33"/>
      <c r="BO701" s="33"/>
      <c r="BP701" s="520"/>
    </row>
    <row r="702" spans="28:68">
      <c r="AB702" s="514"/>
      <c r="AC702" s="514"/>
      <c r="AD702" s="514"/>
      <c r="AE702" s="514"/>
      <c r="AF702" s="514"/>
      <c r="AG702" s="514"/>
      <c r="AH702" s="514"/>
      <c r="AI702" s="514"/>
      <c r="AJ702" s="514"/>
      <c r="AK702" s="514"/>
      <c r="AL702" s="514"/>
      <c r="AM702" s="514"/>
      <c r="AN702" s="514"/>
      <c r="AO702" s="514"/>
      <c r="AP702" s="514"/>
      <c r="AQ702" s="514"/>
      <c r="AR702" s="514"/>
      <c r="AS702" s="514"/>
      <c r="AT702" s="514"/>
      <c r="AU702" s="514"/>
      <c r="AV702" s="514"/>
      <c r="AW702" s="514"/>
      <c r="AX702" s="514"/>
      <c r="AY702" s="514"/>
      <c r="AZ702" s="514"/>
      <c r="BA702" s="514"/>
      <c r="BB702" s="514"/>
      <c r="BC702" s="520"/>
      <c r="BD702" s="2482"/>
      <c r="BE702" s="30">
        <v>58.3</v>
      </c>
      <c r="BF702" s="31">
        <v>0.74550000000000005</v>
      </c>
      <c r="BG702" s="32">
        <v>745.3</v>
      </c>
      <c r="BH702" s="33"/>
      <c r="BI702" s="30">
        <v>58.3</v>
      </c>
      <c r="BJ702" s="34">
        <v>2.8151000000000002</v>
      </c>
      <c r="BK702" s="35">
        <v>0.11824</v>
      </c>
      <c r="BL702" s="33"/>
      <c r="BM702" s="33"/>
      <c r="BN702" s="33"/>
      <c r="BO702" s="33"/>
      <c r="BP702" s="520"/>
    </row>
    <row r="703" spans="28:68">
      <c r="AB703" s="514"/>
      <c r="AC703" s="514"/>
      <c r="AD703" s="514"/>
      <c r="AE703" s="514"/>
      <c r="AF703" s="514"/>
      <c r="AG703" s="514"/>
      <c r="AH703" s="514"/>
      <c r="AI703" s="514"/>
      <c r="AJ703" s="514"/>
      <c r="AK703" s="514"/>
      <c r="AL703" s="514"/>
      <c r="AM703" s="514"/>
      <c r="AN703" s="514"/>
      <c r="AO703" s="514"/>
      <c r="AP703" s="514"/>
      <c r="AQ703" s="514"/>
      <c r="AR703" s="514"/>
      <c r="AS703" s="514"/>
      <c r="AT703" s="514"/>
      <c r="AU703" s="514"/>
      <c r="AV703" s="514"/>
      <c r="AW703" s="514"/>
      <c r="AX703" s="514"/>
      <c r="AY703" s="514"/>
      <c r="AZ703" s="514"/>
      <c r="BA703" s="514"/>
      <c r="BB703" s="514"/>
      <c r="BC703" s="520"/>
      <c r="BD703" s="2482"/>
      <c r="BE703" s="30">
        <v>58.4</v>
      </c>
      <c r="BF703" s="31">
        <v>0.74509999999999998</v>
      </c>
      <c r="BG703" s="32">
        <v>744.9</v>
      </c>
      <c r="BH703" s="33"/>
      <c r="BI703" s="30">
        <v>58.4</v>
      </c>
      <c r="BJ703" s="34">
        <v>2.8136000000000001</v>
      </c>
      <c r="BK703" s="35">
        <v>0.11817</v>
      </c>
      <c r="BL703" s="33"/>
      <c r="BM703" s="33"/>
      <c r="BN703" s="33"/>
      <c r="BO703" s="33"/>
      <c r="BP703" s="520"/>
    </row>
    <row r="704" spans="28:68">
      <c r="AB704" s="514"/>
      <c r="AC704" s="514"/>
      <c r="AD704" s="514"/>
      <c r="AE704" s="514"/>
      <c r="AF704" s="514"/>
      <c r="AG704" s="514"/>
      <c r="AH704" s="514"/>
      <c r="AI704" s="514"/>
      <c r="AJ704" s="514"/>
      <c r="AK704" s="514"/>
      <c r="AL704" s="514"/>
      <c r="AM704" s="514"/>
      <c r="AN704" s="514"/>
      <c r="AO704" s="514"/>
      <c r="AP704" s="514"/>
      <c r="AQ704" s="514"/>
      <c r="AR704" s="514"/>
      <c r="AS704" s="514"/>
      <c r="AT704" s="514"/>
      <c r="AU704" s="514"/>
      <c r="AV704" s="514"/>
      <c r="AW704" s="514"/>
      <c r="AX704" s="514"/>
      <c r="AY704" s="514"/>
      <c r="AZ704" s="514"/>
      <c r="BA704" s="514"/>
      <c r="BB704" s="514"/>
      <c r="BC704" s="520"/>
      <c r="BD704" s="2482"/>
      <c r="BE704" s="30">
        <v>58.5</v>
      </c>
      <c r="BF704" s="31">
        <v>0.74470000000000003</v>
      </c>
      <c r="BG704" s="32">
        <v>744.5</v>
      </c>
      <c r="BH704" s="33"/>
      <c r="BI704" s="30">
        <v>58.5</v>
      </c>
      <c r="BJ704" s="34">
        <v>2.8121999999999998</v>
      </c>
      <c r="BK704" s="35">
        <v>0.11811000000000001</v>
      </c>
      <c r="BL704" s="33"/>
      <c r="BM704" s="33"/>
      <c r="BN704" s="33"/>
      <c r="BO704" s="33"/>
      <c r="BP704" s="520"/>
    </row>
    <row r="705" spans="28:68">
      <c r="AB705" s="514"/>
      <c r="AC705" s="514"/>
      <c r="AD705" s="514"/>
      <c r="AE705" s="514"/>
      <c r="AF705" s="514"/>
      <c r="AG705" s="514"/>
      <c r="AH705" s="514"/>
      <c r="AI705" s="514"/>
      <c r="AJ705" s="514"/>
      <c r="AK705" s="514"/>
      <c r="AL705" s="514"/>
      <c r="AM705" s="514"/>
      <c r="AN705" s="514"/>
      <c r="AO705" s="514"/>
      <c r="AP705" s="514"/>
      <c r="AQ705" s="514"/>
      <c r="AR705" s="514"/>
      <c r="AS705" s="514"/>
      <c r="AT705" s="514"/>
      <c r="AU705" s="514"/>
      <c r="AV705" s="514"/>
      <c r="AW705" s="514"/>
      <c r="AX705" s="514"/>
      <c r="AY705" s="514"/>
      <c r="AZ705" s="514"/>
      <c r="BA705" s="514"/>
      <c r="BB705" s="514"/>
      <c r="BC705" s="520"/>
      <c r="BD705" s="2482"/>
      <c r="BE705" s="30">
        <v>58.6</v>
      </c>
      <c r="BF705" s="31">
        <v>0.74429999999999996</v>
      </c>
      <c r="BG705" s="32">
        <v>744.13</v>
      </c>
      <c r="BH705" s="33"/>
      <c r="BI705" s="30">
        <v>58.6</v>
      </c>
      <c r="BJ705" s="34">
        <v>2.8107000000000002</v>
      </c>
      <c r="BK705" s="35">
        <v>0.11805</v>
      </c>
      <c r="BL705" s="33"/>
      <c r="BM705" s="33"/>
      <c r="BN705" s="33"/>
      <c r="BO705" s="33"/>
      <c r="BP705" s="520"/>
    </row>
    <row r="706" spans="28:68">
      <c r="AB706" s="514"/>
      <c r="AC706" s="514"/>
      <c r="AD706" s="514"/>
      <c r="AE706" s="514"/>
      <c r="AF706" s="514"/>
      <c r="AG706" s="514"/>
      <c r="AH706" s="514"/>
      <c r="AI706" s="514"/>
      <c r="AJ706" s="514"/>
      <c r="AK706" s="514"/>
      <c r="AL706" s="514"/>
      <c r="AM706" s="514"/>
      <c r="AN706" s="514"/>
      <c r="AO706" s="514"/>
      <c r="AP706" s="514"/>
      <c r="AQ706" s="514"/>
      <c r="AR706" s="514"/>
      <c r="AS706" s="514"/>
      <c r="AT706" s="514"/>
      <c r="AU706" s="514"/>
      <c r="AV706" s="514"/>
      <c r="AW706" s="514"/>
      <c r="AX706" s="514"/>
      <c r="AY706" s="514"/>
      <c r="AZ706" s="514"/>
      <c r="BA706" s="514"/>
      <c r="BB706" s="514"/>
      <c r="BC706" s="520"/>
      <c r="BD706" s="2482"/>
      <c r="BE706" s="30">
        <v>58.7</v>
      </c>
      <c r="BF706" s="31">
        <v>0.74399999999999999</v>
      </c>
      <c r="BG706" s="32">
        <v>743.7</v>
      </c>
      <c r="BH706" s="33"/>
      <c r="BI706" s="30">
        <v>58.7</v>
      </c>
      <c r="BJ706" s="34">
        <v>2.8092000000000001</v>
      </c>
      <c r="BK706" s="35">
        <v>0.11799</v>
      </c>
      <c r="BL706" s="33"/>
      <c r="BM706" s="33"/>
      <c r="BN706" s="33"/>
      <c r="BO706" s="33"/>
      <c r="BP706" s="520"/>
    </row>
    <row r="707" spans="28:68">
      <c r="AB707" s="514"/>
      <c r="AC707" s="514"/>
      <c r="AD707" s="514"/>
      <c r="AE707" s="514"/>
      <c r="AF707" s="514"/>
      <c r="AG707" s="514"/>
      <c r="AH707" s="514"/>
      <c r="AI707" s="514"/>
      <c r="AJ707" s="514"/>
      <c r="AK707" s="514"/>
      <c r="AL707" s="514"/>
      <c r="AM707" s="514"/>
      <c r="AN707" s="514"/>
      <c r="AO707" s="514"/>
      <c r="AP707" s="514"/>
      <c r="AQ707" s="514"/>
      <c r="AR707" s="514"/>
      <c r="AS707" s="514"/>
      <c r="AT707" s="514"/>
      <c r="AU707" s="514"/>
      <c r="AV707" s="514"/>
      <c r="AW707" s="514"/>
      <c r="AX707" s="514"/>
      <c r="AY707" s="514"/>
      <c r="AZ707" s="514"/>
      <c r="BA707" s="514"/>
      <c r="BB707" s="514"/>
      <c r="BC707" s="520"/>
      <c r="BD707" s="2482"/>
      <c r="BE707" s="30">
        <v>58.8</v>
      </c>
      <c r="BF707" s="31">
        <v>0.74360000000000004</v>
      </c>
      <c r="BG707" s="32">
        <v>743.3</v>
      </c>
      <c r="BH707" s="33"/>
      <c r="BI707" s="30">
        <v>58.8</v>
      </c>
      <c r="BJ707" s="34">
        <v>2.8077000000000001</v>
      </c>
      <c r="BK707" s="35">
        <v>0.11792</v>
      </c>
      <c r="BL707" s="33"/>
      <c r="BM707" s="33"/>
      <c r="BN707" s="33"/>
      <c r="BO707" s="33"/>
      <c r="BP707" s="520"/>
    </row>
    <row r="708" spans="28:68">
      <c r="AB708" s="514"/>
      <c r="AC708" s="514"/>
      <c r="AD708" s="514"/>
      <c r="AE708" s="514"/>
      <c r="AF708" s="514"/>
      <c r="AG708" s="514"/>
      <c r="AH708" s="514"/>
      <c r="AI708" s="514"/>
      <c r="AJ708" s="514"/>
      <c r="AK708" s="514"/>
      <c r="AL708" s="514"/>
      <c r="AM708" s="514"/>
      <c r="AN708" s="514"/>
      <c r="AO708" s="514"/>
      <c r="AP708" s="514"/>
      <c r="AQ708" s="514"/>
      <c r="AR708" s="514"/>
      <c r="AS708" s="514"/>
      <c r="AT708" s="514"/>
      <c r="AU708" s="514"/>
      <c r="AV708" s="514"/>
      <c r="AW708" s="514"/>
      <c r="AX708" s="514"/>
      <c r="AY708" s="514"/>
      <c r="AZ708" s="514"/>
      <c r="BA708" s="514"/>
      <c r="BB708" s="514"/>
      <c r="BC708" s="520"/>
      <c r="BD708" s="2482"/>
      <c r="BE708" s="30">
        <v>58.9</v>
      </c>
      <c r="BF708" s="31">
        <v>0.74319999999999997</v>
      </c>
      <c r="BG708" s="32">
        <v>742.9</v>
      </c>
      <c r="BH708" s="33"/>
      <c r="BI708" s="30">
        <v>58.9</v>
      </c>
      <c r="BJ708" s="34">
        <v>2.8062</v>
      </c>
      <c r="BK708" s="35">
        <v>0.11786000000000001</v>
      </c>
      <c r="BL708" s="33"/>
      <c r="BM708" s="33"/>
      <c r="BN708" s="33"/>
      <c r="BO708" s="33"/>
      <c r="BP708" s="520"/>
    </row>
    <row r="709" spans="28:68">
      <c r="AB709" s="514"/>
      <c r="AC709" s="514"/>
      <c r="AD709" s="514"/>
      <c r="AE709" s="514"/>
      <c r="AF709" s="514"/>
      <c r="AG709" s="514"/>
      <c r="AH709" s="514"/>
      <c r="AI709" s="514"/>
      <c r="AJ709" s="514"/>
      <c r="AK709" s="514"/>
      <c r="AL709" s="514"/>
      <c r="AM709" s="514"/>
      <c r="AN709" s="514"/>
      <c r="AO709" s="514"/>
      <c r="AP709" s="514"/>
      <c r="AQ709" s="514"/>
      <c r="AR709" s="514"/>
      <c r="AS709" s="514"/>
      <c r="AT709" s="514"/>
      <c r="AU709" s="514"/>
      <c r="AV709" s="514"/>
      <c r="AW709" s="514"/>
      <c r="AX709" s="514"/>
      <c r="AY709" s="514"/>
      <c r="AZ709" s="514"/>
      <c r="BA709" s="514"/>
      <c r="BB709" s="514"/>
      <c r="BC709" s="520"/>
      <c r="BD709" s="2482"/>
      <c r="BE709" s="30">
        <v>59</v>
      </c>
      <c r="BF709" s="31">
        <v>0.74280000000000002</v>
      </c>
      <c r="BG709" s="32">
        <v>742.6</v>
      </c>
      <c r="BH709" s="33"/>
      <c r="BI709" s="30">
        <v>59</v>
      </c>
      <c r="BJ709" s="34">
        <v>2.8048000000000002</v>
      </c>
      <c r="BK709" s="35">
        <v>0.1178</v>
      </c>
      <c r="BL709" s="33"/>
      <c r="BM709" s="33"/>
      <c r="BN709" s="33"/>
      <c r="BO709" s="33"/>
      <c r="BP709" s="520"/>
    </row>
    <row r="710" spans="28:68">
      <c r="AB710" s="514"/>
      <c r="AC710" s="514"/>
      <c r="AD710" s="514"/>
      <c r="AE710" s="514"/>
      <c r="AF710" s="514"/>
      <c r="AG710" s="514"/>
      <c r="AH710" s="514"/>
      <c r="AI710" s="514"/>
      <c r="AJ710" s="514"/>
      <c r="AK710" s="514"/>
      <c r="AL710" s="514"/>
      <c r="AM710" s="514"/>
      <c r="AN710" s="514"/>
      <c r="AO710" s="514"/>
      <c r="AP710" s="514"/>
      <c r="AQ710" s="514"/>
      <c r="AR710" s="514"/>
      <c r="AS710" s="514"/>
      <c r="AT710" s="514"/>
      <c r="AU710" s="514"/>
      <c r="AV710" s="514"/>
      <c r="AW710" s="514"/>
      <c r="AX710" s="514"/>
      <c r="AY710" s="514"/>
      <c r="AZ710" s="514"/>
      <c r="BA710" s="514"/>
      <c r="BB710" s="514"/>
      <c r="BC710" s="520"/>
      <c r="BD710" s="2482"/>
      <c r="BE710" s="30">
        <v>59.1</v>
      </c>
      <c r="BF710" s="31">
        <v>0.74239999999999995</v>
      </c>
      <c r="BG710" s="32">
        <v>742.2</v>
      </c>
      <c r="BH710" s="33"/>
      <c r="BI710" s="30">
        <v>59.1</v>
      </c>
      <c r="BJ710" s="34">
        <v>2.8033000000000001</v>
      </c>
      <c r="BK710" s="35">
        <v>0.11774</v>
      </c>
      <c r="BL710" s="33"/>
      <c r="BM710" s="33"/>
      <c r="BN710" s="33"/>
      <c r="BO710" s="33"/>
      <c r="BP710" s="520"/>
    </row>
    <row r="711" spans="28:68">
      <c r="AB711" s="514"/>
      <c r="AC711" s="514"/>
      <c r="AD711" s="514"/>
      <c r="AE711" s="514"/>
      <c r="AF711" s="514"/>
      <c r="AG711" s="514"/>
      <c r="AH711" s="514"/>
      <c r="AI711" s="514"/>
      <c r="AJ711" s="514"/>
      <c r="AK711" s="514"/>
      <c r="AL711" s="514"/>
      <c r="AM711" s="514"/>
      <c r="AN711" s="514"/>
      <c r="AO711" s="514"/>
      <c r="AP711" s="514"/>
      <c r="AQ711" s="514"/>
      <c r="AR711" s="514"/>
      <c r="AS711" s="514"/>
      <c r="AT711" s="514"/>
      <c r="AU711" s="514"/>
      <c r="AV711" s="514"/>
      <c r="AW711" s="514"/>
      <c r="AX711" s="514"/>
      <c r="AY711" s="514"/>
      <c r="AZ711" s="514"/>
      <c r="BA711" s="514"/>
      <c r="BB711" s="514"/>
      <c r="BC711" s="520"/>
      <c r="BD711" s="2482"/>
      <c r="BE711" s="30">
        <v>59.2</v>
      </c>
      <c r="BF711" s="31">
        <v>0.74199999999999999</v>
      </c>
      <c r="BG711" s="32">
        <v>741.8</v>
      </c>
      <c r="BH711" s="33"/>
      <c r="BI711" s="30">
        <v>59.2</v>
      </c>
      <c r="BJ711" s="34">
        <v>2.8018000000000001</v>
      </c>
      <c r="BK711" s="35">
        <v>0.11768000000000001</v>
      </c>
      <c r="BL711" s="33"/>
      <c r="BM711" s="33"/>
      <c r="BN711" s="33"/>
      <c r="BO711" s="33"/>
      <c r="BP711" s="520"/>
    </row>
    <row r="712" spans="28:68">
      <c r="AB712" s="514"/>
      <c r="AC712" s="514"/>
      <c r="AD712" s="514"/>
      <c r="AE712" s="514"/>
      <c r="AF712" s="514"/>
      <c r="AG712" s="514"/>
      <c r="AH712" s="514"/>
      <c r="AI712" s="514"/>
      <c r="AJ712" s="514"/>
      <c r="AK712" s="514"/>
      <c r="AL712" s="514"/>
      <c r="AM712" s="514"/>
      <c r="AN712" s="514"/>
      <c r="AO712" s="514"/>
      <c r="AP712" s="514"/>
      <c r="AQ712" s="514"/>
      <c r="AR712" s="514"/>
      <c r="AS712" s="514"/>
      <c r="AT712" s="514"/>
      <c r="AU712" s="514"/>
      <c r="AV712" s="514"/>
      <c r="AW712" s="514"/>
      <c r="AX712" s="514"/>
      <c r="AY712" s="514"/>
      <c r="AZ712" s="514"/>
      <c r="BA712" s="514"/>
      <c r="BB712" s="514"/>
      <c r="BC712" s="520"/>
      <c r="BD712" s="2482"/>
      <c r="BE712" s="30">
        <v>59.3</v>
      </c>
      <c r="BF712" s="31">
        <v>0.74160000000000004</v>
      </c>
      <c r="BG712" s="32">
        <v>741.4</v>
      </c>
      <c r="BH712" s="33"/>
      <c r="BI712" s="30">
        <v>59.3</v>
      </c>
      <c r="BJ712" s="34">
        <v>2.8003</v>
      </c>
      <c r="BK712" s="35">
        <v>0.11761000000000001</v>
      </c>
      <c r="BL712" s="33"/>
      <c r="BM712" s="33"/>
      <c r="BN712" s="33"/>
      <c r="BO712" s="33"/>
      <c r="BP712" s="520"/>
    </row>
    <row r="713" spans="28:68">
      <c r="AB713" s="514"/>
      <c r="AC713" s="514"/>
      <c r="AD713" s="514"/>
      <c r="AE713" s="514"/>
      <c r="AF713" s="514"/>
      <c r="AG713" s="514"/>
      <c r="AH713" s="514"/>
      <c r="AI713" s="514"/>
      <c r="AJ713" s="514"/>
      <c r="AK713" s="514"/>
      <c r="AL713" s="514"/>
      <c r="AM713" s="514"/>
      <c r="AN713" s="514"/>
      <c r="AO713" s="514"/>
      <c r="AP713" s="514"/>
      <c r="AQ713" s="514"/>
      <c r="AR713" s="514"/>
      <c r="AS713" s="514"/>
      <c r="AT713" s="514"/>
      <c r="AU713" s="514"/>
      <c r="AV713" s="514"/>
      <c r="AW713" s="514"/>
      <c r="AX713" s="514"/>
      <c r="AY713" s="514"/>
      <c r="AZ713" s="514"/>
      <c r="BA713" s="514"/>
      <c r="BB713" s="514"/>
      <c r="BC713" s="520"/>
      <c r="BD713" s="2482"/>
      <c r="BE713" s="30">
        <v>59.4</v>
      </c>
      <c r="BF713" s="31">
        <v>0.74119999999999997</v>
      </c>
      <c r="BG713" s="32">
        <v>741</v>
      </c>
      <c r="BH713" s="33"/>
      <c r="BI713" s="30">
        <v>59.4</v>
      </c>
      <c r="BJ713" s="34">
        <v>2.7988</v>
      </c>
      <c r="BK713" s="35">
        <v>0.11755</v>
      </c>
      <c r="BL713" s="33"/>
      <c r="BM713" s="33"/>
      <c r="BN713" s="33"/>
      <c r="BO713" s="33"/>
      <c r="BP713" s="520"/>
    </row>
    <row r="714" spans="28:68">
      <c r="AB714" s="514"/>
      <c r="AC714" s="514"/>
      <c r="AD714" s="514"/>
      <c r="AE714" s="514"/>
      <c r="AF714" s="514"/>
      <c r="AG714" s="514"/>
      <c r="AH714" s="514"/>
      <c r="AI714" s="514"/>
      <c r="AJ714" s="514"/>
      <c r="AK714" s="514"/>
      <c r="AL714" s="514"/>
      <c r="AM714" s="514"/>
      <c r="AN714" s="514"/>
      <c r="AO714" s="514"/>
      <c r="AP714" s="514"/>
      <c r="AQ714" s="514"/>
      <c r="AR714" s="514"/>
      <c r="AS714" s="514"/>
      <c r="AT714" s="514"/>
      <c r="AU714" s="514"/>
      <c r="AV714" s="514"/>
      <c r="AW714" s="514"/>
      <c r="AX714" s="514"/>
      <c r="AY714" s="514"/>
      <c r="AZ714" s="514"/>
      <c r="BA714" s="514"/>
      <c r="BB714" s="514"/>
      <c r="BC714" s="520"/>
      <c r="BD714" s="2482"/>
      <c r="BE714" s="30">
        <v>59.5</v>
      </c>
      <c r="BF714" s="31">
        <v>0.74080000000000001</v>
      </c>
      <c r="BG714" s="32">
        <v>740.6</v>
      </c>
      <c r="BH714" s="33"/>
      <c r="BI714" s="30">
        <v>59.5</v>
      </c>
      <c r="BJ714" s="34">
        <v>2.7974000000000001</v>
      </c>
      <c r="BK714" s="35">
        <v>0.11749</v>
      </c>
      <c r="BL714" s="33"/>
      <c r="BM714" s="33"/>
      <c r="BN714" s="33"/>
      <c r="BO714" s="33"/>
      <c r="BP714" s="520"/>
    </row>
    <row r="715" spans="28:68">
      <c r="AB715" s="514"/>
      <c r="AC715" s="514"/>
      <c r="AD715" s="514"/>
      <c r="AE715" s="514"/>
      <c r="AF715" s="514"/>
      <c r="AG715" s="514"/>
      <c r="AH715" s="514"/>
      <c r="AI715" s="514"/>
      <c r="AJ715" s="514"/>
      <c r="AK715" s="514"/>
      <c r="AL715" s="514"/>
      <c r="AM715" s="514"/>
      <c r="AN715" s="514"/>
      <c r="AO715" s="514"/>
      <c r="AP715" s="514"/>
      <c r="AQ715" s="514"/>
      <c r="AR715" s="514"/>
      <c r="AS715" s="514"/>
      <c r="AT715" s="514"/>
      <c r="AU715" s="514"/>
      <c r="AV715" s="514"/>
      <c r="AW715" s="514"/>
      <c r="AX715" s="514"/>
      <c r="AY715" s="514"/>
      <c r="AZ715" s="514"/>
      <c r="BA715" s="514"/>
      <c r="BB715" s="514"/>
      <c r="BC715" s="520"/>
      <c r="BD715" s="2482"/>
      <c r="BE715" s="30">
        <v>59.6</v>
      </c>
      <c r="BF715" s="31">
        <v>0.74050000000000005</v>
      </c>
      <c r="BG715" s="32">
        <v>740.2</v>
      </c>
      <c r="BH715" s="33"/>
      <c r="BI715" s="30">
        <v>59.6</v>
      </c>
      <c r="BJ715" s="34">
        <v>2.7959000000000001</v>
      </c>
      <c r="BK715" s="35">
        <v>0.11743000000000001</v>
      </c>
      <c r="BL715" s="33"/>
      <c r="BM715" s="33"/>
      <c r="BN715" s="33"/>
      <c r="BO715" s="33"/>
      <c r="BP715" s="520"/>
    </row>
    <row r="716" spans="28:68">
      <c r="AB716" s="514"/>
      <c r="AC716" s="514"/>
      <c r="AD716" s="514"/>
      <c r="AE716" s="514"/>
      <c r="AF716" s="514"/>
      <c r="AG716" s="514"/>
      <c r="AH716" s="514"/>
      <c r="AI716" s="514"/>
      <c r="AJ716" s="514"/>
      <c r="AK716" s="514"/>
      <c r="AL716" s="514"/>
      <c r="AM716" s="514"/>
      <c r="AN716" s="514"/>
      <c r="AO716" s="514"/>
      <c r="AP716" s="514"/>
      <c r="AQ716" s="514"/>
      <c r="AR716" s="514"/>
      <c r="AS716" s="514"/>
      <c r="AT716" s="514"/>
      <c r="AU716" s="514"/>
      <c r="AV716" s="514"/>
      <c r="AW716" s="514"/>
      <c r="AX716" s="514"/>
      <c r="AY716" s="514"/>
      <c r="AZ716" s="514"/>
      <c r="BA716" s="514"/>
      <c r="BB716" s="514"/>
      <c r="BC716" s="520"/>
      <c r="BD716" s="2482"/>
      <c r="BE716" s="30">
        <v>59.7</v>
      </c>
      <c r="BF716" s="31">
        <v>0.74009999999999998</v>
      </c>
      <c r="BG716" s="32">
        <v>739.8</v>
      </c>
      <c r="BH716" s="33"/>
      <c r="BI716" s="30">
        <v>59.7</v>
      </c>
      <c r="BJ716" s="34">
        <v>2.7945000000000002</v>
      </c>
      <c r="BK716" s="35">
        <v>0.11737</v>
      </c>
      <c r="BL716" s="33"/>
      <c r="BM716" s="33"/>
      <c r="BN716" s="33"/>
      <c r="BO716" s="33"/>
      <c r="BP716" s="520"/>
    </row>
    <row r="717" spans="28:68">
      <c r="AB717" s="514"/>
      <c r="AC717" s="514"/>
      <c r="AD717" s="514"/>
      <c r="AE717" s="514"/>
      <c r="AF717" s="514"/>
      <c r="AG717" s="514"/>
      <c r="AH717" s="514"/>
      <c r="AI717" s="514"/>
      <c r="AJ717" s="514"/>
      <c r="AK717" s="514"/>
      <c r="AL717" s="514"/>
      <c r="AM717" s="514"/>
      <c r="AN717" s="514"/>
      <c r="AO717" s="514"/>
      <c r="AP717" s="514"/>
      <c r="AQ717" s="514"/>
      <c r="AR717" s="514"/>
      <c r="AS717" s="514"/>
      <c r="AT717" s="514"/>
      <c r="AU717" s="514"/>
      <c r="AV717" s="514"/>
      <c r="AW717" s="514"/>
      <c r="AX717" s="514"/>
      <c r="AY717" s="514"/>
      <c r="AZ717" s="514"/>
      <c r="BA717" s="514"/>
      <c r="BB717" s="514"/>
      <c r="BC717" s="520"/>
      <c r="BD717" s="2482"/>
      <c r="BE717" s="30">
        <v>59.8</v>
      </c>
      <c r="BF717" s="31">
        <v>0.73970000000000002</v>
      </c>
      <c r="BG717" s="32">
        <v>739.4</v>
      </c>
      <c r="BH717" s="33"/>
      <c r="BI717" s="30">
        <v>59.8</v>
      </c>
      <c r="BJ717" s="34">
        <v>2.7930000000000001</v>
      </c>
      <c r="BK717" s="35">
        <v>0.11731</v>
      </c>
      <c r="BL717" s="33"/>
      <c r="BM717" s="33"/>
      <c r="BN717" s="33"/>
      <c r="BO717" s="33"/>
      <c r="BP717" s="520"/>
    </row>
    <row r="718" spans="28:68">
      <c r="AB718" s="514"/>
      <c r="AC718" s="514"/>
      <c r="AD718" s="514"/>
      <c r="AE718" s="514"/>
      <c r="AF718" s="514"/>
      <c r="AG718" s="514"/>
      <c r="AH718" s="514"/>
      <c r="AI718" s="514"/>
      <c r="AJ718" s="514"/>
      <c r="AK718" s="514"/>
      <c r="AL718" s="514"/>
      <c r="AM718" s="514"/>
      <c r="AN718" s="514"/>
      <c r="AO718" s="514"/>
      <c r="AP718" s="514"/>
      <c r="AQ718" s="514"/>
      <c r="AR718" s="514"/>
      <c r="AS718" s="514"/>
      <c r="AT718" s="514"/>
      <c r="AU718" s="514"/>
      <c r="AV718" s="514"/>
      <c r="AW718" s="514"/>
      <c r="AX718" s="514"/>
      <c r="AY718" s="514"/>
      <c r="AZ718" s="514"/>
      <c r="BA718" s="514"/>
      <c r="BB718" s="514"/>
      <c r="BC718" s="520"/>
      <c r="BD718" s="2482"/>
      <c r="BE718" s="30">
        <v>59.9</v>
      </c>
      <c r="BF718" s="31">
        <v>0.73929999999999996</v>
      </c>
      <c r="BG718" s="32">
        <v>739.1</v>
      </c>
      <c r="BH718" s="33"/>
      <c r="BI718" s="30">
        <v>59.9</v>
      </c>
      <c r="BJ718" s="34">
        <v>2.7915000000000001</v>
      </c>
      <c r="BK718" s="35">
        <v>0.11724999999999999</v>
      </c>
      <c r="BL718" s="33"/>
      <c r="BM718" s="33"/>
      <c r="BN718" s="33"/>
      <c r="BO718" s="33"/>
      <c r="BP718" s="520"/>
    </row>
    <row r="719" spans="28:68">
      <c r="AB719" s="514"/>
      <c r="AC719" s="514"/>
      <c r="AD719" s="514"/>
      <c r="AE719" s="514"/>
      <c r="AF719" s="514"/>
      <c r="AG719" s="514"/>
      <c r="AH719" s="514"/>
      <c r="AI719" s="514"/>
      <c r="AJ719" s="514"/>
      <c r="AK719" s="514"/>
      <c r="AL719" s="514"/>
      <c r="AM719" s="514"/>
      <c r="AN719" s="514"/>
      <c r="AO719" s="514"/>
      <c r="AP719" s="514"/>
      <c r="AQ719" s="514"/>
      <c r="AR719" s="514"/>
      <c r="AS719" s="514"/>
      <c r="AT719" s="514"/>
      <c r="AU719" s="514"/>
      <c r="AV719" s="514"/>
      <c r="AW719" s="514"/>
      <c r="AX719" s="514"/>
      <c r="AY719" s="514"/>
      <c r="AZ719" s="514"/>
      <c r="BA719" s="514"/>
      <c r="BB719" s="514"/>
      <c r="BC719" s="520"/>
      <c r="BD719" s="2482"/>
      <c r="BE719" s="30">
        <v>60</v>
      </c>
      <c r="BF719" s="31">
        <v>0.7389</v>
      </c>
      <c r="BG719" s="32">
        <v>738.7</v>
      </c>
      <c r="BH719" s="33"/>
      <c r="BI719" s="30">
        <v>60</v>
      </c>
      <c r="BJ719" s="34">
        <v>2.7900999999999998</v>
      </c>
      <c r="BK719" s="35">
        <v>0.11718000000000001</v>
      </c>
      <c r="BL719" s="33"/>
      <c r="BM719" s="33"/>
      <c r="BN719" s="33"/>
      <c r="BO719" s="33"/>
      <c r="BP719" s="520"/>
    </row>
    <row r="720" spans="28:68">
      <c r="AB720" s="514"/>
      <c r="AC720" s="514"/>
      <c r="AD720" s="514"/>
      <c r="AE720" s="514"/>
      <c r="AF720" s="514"/>
      <c r="AG720" s="514"/>
      <c r="AH720" s="514"/>
      <c r="AI720" s="514"/>
      <c r="AJ720" s="514"/>
      <c r="AK720" s="514"/>
      <c r="AL720" s="514"/>
      <c r="AM720" s="514"/>
      <c r="AN720" s="514"/>
      <c r="AO720" s="514"/>
      <c r="AP720" s="514"/>
      <c r="AQ720" s="514"/>
      <c r="AR720" s="514"/>
      <c r="AS720" s="514"/>
      <c r="AT720" s="514"/>
      <c r="AU720" s="514"/>
      <c r="AV720" s="514"/>
      <c r="AW720" s="514"/>
      <c r="AX720" s="514"/>
      <c r="AY720" s="514"/>
      <c r="AZ720" s="514"/>
      <c r="BA720" s="514"/>
      <c r="BB720" s="514"/>
      <c r="BC720" s="520"/>
      <c r="BD720" s="2482"/>
      <c r="BE720" s="30">
        <v>60.1</v>
      </c>
      <c r="BF720" s="31">
        <v>0.73850000000000005</v>
      </c>
      <c r="BG720" s="32">
        <v>738.3</v>
      </c>
      <c r="BH720" s="33"/>
      <c r="BI720" s="30">
        <v>60.1</v>
      </c>
      <c r="BJ720" s="34">
        <v>2.7886000000000002</v>
      </c>
      <c r="BK720" s="35">
        <v>0.11712</v>
      </c>
      <c r="BL720" s="33"/>
      <c r="BM720" s="33"/>
      <c r="BN720" s="33"/>
      <c r="BO720" s="33"/>
      <c r="BP720" s="520"/>
    </row>
    <row r="721" spans="28:68">
      <c r="AB721" s="514"/>
      <c r="AC721" s="514"/>
      <c r="AD721" s="514"/>
      <c r="AE721" s="514"/>
      <c r="AF721" s="514"/>
      <c r="AG721" s="514"/>
      <c r="AH721" s="514"/>
      <c r="AI721" s="514"/>
      <c r="AJ721" s="514"/>
      <c r="AK721" s="514"/>
      <c r="AL721" s="514"/>
      <c r="AM721" s="514"/>
      <c r="AN721" s="514"/>
      <c r="AO721" s="514"/>
      <c r="AP721" s="514"/>
      <c r="AQ721" s="514"/>
      <c r="AR721" s="514"/>
      <c r="AS721" s="514"/>
      <c r="AT721" s="514"/>
      <c r="AU721" s="514"/>
      <c r="AV721" s="514"/>
      <c r="AW721" s="514"/>
      <c r="AX721" s="514"/>
      <c r="AY721" s="514"/>
      <c r="AZ721" s="514"/>
      <c r="BA721" s="514"/>
      <c r="BB721" s="514"/>
      <c r="BC721" s="520"/>
      <c r="BD721" s="2482"/>
      <c r="BE721" s="30">
        <v>60.2</v>
      </c>
      <c r="BF721" s="31">
        <v>0.73809999999999998</v>
      </c>
      <c r="BG721" s="32">
        <v>737.9</v>
      </c>
      <c r="BH721" s="33"/>
      <c r="BI721" s="30">
        <v>60.2</v>
      </c>
      <c r="BJ721" s="34">
        <v>2.7871999999999999</v>
      </c>
      <c r="BK721" s="35">
        <v>0.11706</v>
      </c>
      <c r="BL721" s="33"/>
      <c r="BM721" s="33"/>
      <c r="BN721" s="33"/>
      <c r="BO721" s="33"/>
      <c r="BP721" s="520"/>
    </row>
    <row r="722" spans="28:68">
      <c r="AB722" s="514"/>
      <c r="AC722" s="514"/>
      <c r="AD722" s="514"/>
      <c r="AE722" s="514"/>
      <c r="AF722" s="514"/>
      <c r="AG722" s="514"/>
      <c r="AH722" s="514"/>
      <c r="AI722" s="514"/>
      <c r="AJ722" s="514"/>
      <c r="AK722" s="514"/>
      <c r="AL722" s="514"/>
      <c r="AM722" s="514"/>
      <c r="AN722" s="514"/>
      <c r="AO722" s="514"/>
      <c r="AP722" s="514"/>
      <c r="AQ722" s="514"/>
      <c r="AR722" s="514"/>
      <c r="AS722" s="514"/>
      <c r="AT722" s="514"/>
      <c r="AU722" s="514"/>
      <c r="AV722" s="514"/>
      <c r="AW722" s="514"/>
      <c r="AX722" s="514"/>
      <c r="AY722" s="514"/>
      <c r="AZ722" s="514"/>
      <c r="BA722" s="514"/>
      <c r="BB722" s="514"/>
      <c r="BC722" s="520"/>
      <c r="BD722" s="2482"/>
      <c r="BE722" s="30">
        <v>60.3</v>
      </c>
      <c r="BF722" s="31">
        <v>0.73770000000000002</v>
      </c>
      <c r="BG722" s="32">
        <v>737.5</v>
      </c>
      <c r="BH722" s="33"/>
      <c r="BI722" s="30">
        <v>60.3</v>
      </c>
      <c r="BJ722" s="34">
        <v>2.7856999999999998</v>
      </c>
      <c r="BK722" s="35">
        <v>0.11700000000000001</v>
      </c>
      <c r="BL722" s="33"/>
      <c r="BM722" s="33"/>
      <c r="BN722" s="33"/>
      <c r="BO722" s="33"/>
      <c r="BP722" s="520"/>
    </row>
    <row r="723" spans="28:68">
      <c r="AB723" s="514"/>
      <c r="AC723" s="514"/>
      <c r="AD723" s="514"/>
      <c r="AE723" s="514"/>
      <c r="AF723" s="514"/>
      <c r="AG723" s="514"/>
      <c r="AH723" s="514"/>
      <c r="AI723" s="514"/>
      <c r="AJ723" s="514"/>
      <c r="AK723" s="514"/>
      <c r="AL723" s="514"/>
      <c r="AM723" s="514"/>
      <c r="AN723" s="514"/>
      <c r="AO723" s="514"/>
      <c r="AP723" s="514"/>
      <c r="AQ723" s="514"/>
      <c r="AR723" s="514"/>
      <c r="AS723" s="514"/>
      <c r="AT723" s="514"/>
      <c r="AU723" s="514"/>
      <c r="AV723" s="514"/>
      <c r="AW723" s="514"/>
      <c r="AX723" s="514"/>
      <c r="AY723" s="514"/>
      <c r="AZ723" s="514"/>
      <c r="BA723" s="514"/>
      <c r="BB723" s="514"/>
      <c r="BC723" s="520"/>
      <c r="BD723" s="2482"/>
      <c r="BE723" s="30">
        <v>60.4</v>
      </c>
      <c r="BF723" s="31">
        <v>0.73740000000000006</v>
      </c>
      <c r="BG723" s="32">
        <v>737.1</v>
      </c>
      <c r="BH723" s="33"/>
      <c r="BI723" s="30">
        <v>60.4</v>
      </c>
      <c r="BJ723" s="34">
        <v>2.7843</v>
      </c>
      <c r="BK723" s="35">
        <v>0.11694</v>
      </c>
      <c r="BL723" s="33"/>
      <c r="BM723" s="33"/>
      <c r="BN723" s="33"/>
      <c r="BO723" s="33"/>
      <c r="BP723" s="520"/>
    </row>
    <row r="724" spans="28:68">
      <c r="AB724" s="514"/>
      <c r="AC724" s="514"/>
      <c r="AD724" s="514"/>
      <c r="AE724" s="514"/>
      <c r="AF724" s="514"/>
      <c r="AG724" s="514"/>
      <c r="AH724" s="514"/>
      <c r="AI724" s="514"/>
      <c r="AJ724" s="514"/>
      <c r="AK724" s="514"/>
      <c r="AL724" s="514"/>
      <c r="AM724" s="514"/>
      <c r="AN724" s="514"/>
      <c r="AO724" s="514"/>
      <c r="AP724" s="514"/>
      <c r="AQ724" s="514"/>
      <c r="AR724" s="514"/>
      <c r="AS724" s="514"/>
      <c r="AT724" s="514"/>
      <c r="AU724" s="514"/>
      <c r="AV724" s="514"/>
      <c r="AW724" s="514"/>
      <c r="AX724" s="514"/>
      <c r="AY724" s="514"/>
      <c r="AZ724" s="514"/>
      <c r="BA724" s="514"/>
      <c r="BB724" s="514"/>
      <c r="BC724" s="520"/>
      <c r="BD724" s="2482"/>
      <c r="BE724" s="30">
        <v>60.5</v>
      </c>
      <c r="BF724" s="31">
        <v>0.73699999999999999</v>
      </c>
      <c r="BG724" s="32">
        <v>736.8</v>
      </c>
      <c r="BH724" s="33"/>
      <c r="BI724" s="30">
        <v>60.5</v>
      </c>
      <c r="BJ724" s="34">
        <v>2.7827999999999999</v>
      </c>
      <c r="BK724" s="35">
        <v>0.11688</v>
      </c>
      <c r="BL724" s="33"/>
      <c r="BM724" s="33"/>
      <c r="BN724" s="33"/>
      <c r="BO724" s="33"/>
      <c r="BP724" s="520"/>
    </row>
    <row r="725" spans="28:68">
      <c r="AB725" s="514"/>
      <c r="AC725" s="514"/>
      <c r="AD725" s="514"/>
      <c r="AE725" s="514"/>
      <c r="AF725" s="514"/>
      <c r="AG725" s="514"/>
      <c r="AH725" s="514"/>
      <c r="AI725" s="514"/>
      <c r="AJ725" s="514"/>
      <c r="AK725" s="514"/>
      <c r="AL725" s="514"/>
      <c r="AM725" s="514"/>
      <c r="AN725" s="514"/>
      <c r="AO725" s="514"/>
      <c r="AP725" s="514"/>
      <c r="AQ725" s="514"/>
      <c r="AR725" s="514"/>
      <c r="AS725" s="514"/>
      <c r="AT725" s="514"/>
      <c r="AU725" s="514"/>
      <c r="AV725" s="514"/>
      <c r="AW725" s="514"/>
      <c r="AX725" s="514"/>
      <c r="AY725" s="514"/>
      <c r="AZ725" s="514"/>
      <c r="BA725" s="514"/>
      <c r="BB725" s="514"/>
      <c r="BC725" s="520"/>
      <c r="BD725" s="2482"/>
      <c r="BE725" s="30">
        <v>60.6</v>
      </c>
      <c r="BF725" s="31">
        <v>0.73660000000000003</v>
      </c>
      <c r="BG725" s="32">
        <v>736.4</v>
      </c>
      <c r="BH725" s="33"/>
      <c r="BI725" s="30">
        <v>60.6</v>
      </c>
      <c r="BJ725" s="34">
        <v>2.7814000000000001</v>
      </c>
      <c r="BK725" s="35">
        <v>0.11681999999999999</v>
      </c>
      <c r="BL725" s="33"/>
      <c r="BM725" s="33"/>
      <c r="BN725" s="33"/>
      <c r="BO725" s="33"/>
      <c r="BP725" s="520"/>
    </row>
    <row r="726" spans="28:68">
      <c r="AB726" s="514"/>
      <c r="AC726" s="514"/>
      <c r="AD726" s="514"/>
      <c r="AE726" s="514"/>
      <c r="AF726" s="514"/>
      <c r="AG726" s="514"/>
      <c r="AH726" s="514"/>
      <c r="AI726" s="514"/>
      <c r="AJ726" s="514"/>
      <c r="AK726" s="514"/>
      <c r="AL726" s="514"/>
      <c r="AM726" s="514"/>
      <c r="AN726" s="514"/>
      <c r="AO726" s="514"/>
      <c r="AP726" s="514"/>
      <c r="AQ726" s="514"/>
      <c r="AR726" s="514"/>
      <c r="AS726" s="514"/>
      <c r="AT726" s="514"/>
      <c r="AU726" s="514"/>
      <c r="AV726" s="514"/>
      <c r="AW726" s="514"/>
      <c r="AX726" s="514"/>
      <c r="AY726" s="514"/>
      <c r="AZ726" s="514"/>
      <c r="BA726" s="514"/>
      <c r="BB726" s="514"/>
      <c r="BC726" s="520"/>
      <c r="BD726" s="2482"/>
      <c r="BE726" s="30">
        <v>60.7</v>
      </c>
      <c r="BF726" s="31">
        <v>0.73619999999999997</v>
      </c>
      <c r="BG726" s="32">
        <v>736</v>
      </c>
      <c r="BH726" s="33"/>
      <c r="BI726" s="30">
        <v>60.7</v>
      </c>
      <c r="BJ726" s="34">
        <v>2.7799</v>
      </c>
      <c r="BK726" s="35">
        <v>0.11676</v>
      </c>
      <c r="BL726" s="33"/>
      <c r="BM726" s="33"/>
      <c r="BN726" s="33"/>
      <c r="BO726" s="33"/>
      <c r="BP726" s="520"/>
    </row>
    <row r="727" spans="28:68">
      <c r="AB727" s="514"/>
      <c r="AC727" s="514"/>
      <c r="AD727" s="514"/>
      <c r="AE727" s="514"/>
      <c r="AF727" s="514"/>
      <c r="AG727" s="514"/>
      <c r="AH727" s="514"/>
      <c r="AI727" s="514"/>
      <c r="AJ727" s="514"/>
      <c r="AK727" s="514"/>
      <c r="AL727" s="514"/>
      <c r="AM727" s="514"/>
      <c r="AN727" s="514"/>
      <c r="AO727" s="514"/>
      <c r="AP727" s="514"/>
      <c r="AQ727" s="514"/>
      <c r="AR727" s="514"/>
      <c r="AS727" s="514"/>
      <c r="AT727" s="514"/>
      <c r="AU727" s="514"/>
      <c r="AV727" s="514"/>
      <c r="AW727" s="514"/>
      <c r="AX727" s="514"/>
      <c r="AY727" s="514"/>
      <c r="AZ727" s="514"/>
      <c r="BA727" s="514"/>
      <c r="BB727" s="514"/>
      <c r="BC727" s="520"/>
      <c r="BD727" s="2482"/>
      <c r="BE727" s="30">
        <v>60.8</v>
      </c>
      <c r="BF727" s="31">
        <v>0.73580000000000001</v>
      </c>
      <c r="BG727" s="32">
        <v>735.6</v>
      </c>
      <c r="BH727" s="33"/>
      <c r="BI727" s="30">
        <v>60.8</v>
      </c>
      <c r="BJ727" s="34">
        <v>2.7785000000000002</v>
      </c>
      <c r="BK727" s="35">
        <v>0.1167</v>
      </c>
      <c r="BL727" s="33"/>
      <c r="BM727" s="33"/>
      <c r="BN727" s="33"/>
      <c r="BO727" s="33"/>
      <c r="BP727" s="520"/>
    </row>
    <row r="728" spans="28:68">
      <c r="AB728" s="514"/>
      <c r="AC728" s="514"/>
      <c r="AD728" s="514"/>
      <c r="AE728" s="514"/>
      <c r="AF728" s="514"/>
      <c r="AG728" s="514"/>
      <c r="AH728" s="514"/>
      <c r="AI728" s="514"/>
      <c r="AJ728" s="514"/>
      <c r="AK728" s="514"/>
      <c r="AL728" s="514"/>
      <c r="AM728" s="514"/>
      <c r="AN728" s="514"/>
      <c r="AO728" s="514"/>
      <c r="AP728" s="514"/>
      <c r="AQ728" s="514"/>
      <c r="AR728" s="514"/>
      <c r="AS728" s="514"/>
      <c r="AT728" s="514"/>
      <c r="AU728" s="514"/>
      <c r="AV728" s="514"/>
      <c r="AW728" s="514"/>
      <c r="AX728" s="514"/>
      <c r="AY728" s="514"/>
      <c r="AZ728" s="514"/>
      <c r="BA728" s="514"/>
      <c r="BB728" s="514"/>
      <c r="BC728" s="520"/>
      <c r="BD728" s="2482"/>
      <c r="BE728" s="30">
        <v>60.9</v>
      </c>
      <c r="BF728" s="31">
        <v>0.73540000000000005</v>
      </c>
      <c r="BG728" s="32">
        <v>735.2</v>
      </c>
      <c r="BH728" s="33"/>
      <c r="BI728" s="30">
        <v>60.9</v>
      </c>
      <c r="BJ728" s="34">
        <v>2.7770000000000001</v>
      </c>
      <c r="BK728" s="35">
        <v>0.11663</v>
      </c>
      <c r="BL728" s="33"/>
      <c r="BM728" s="33"/>
      <c r="BN728" s="33"/>
      <c r="BO728" s="33"/>
      <c r="BP728" s="520"/>
    </row>
    <row r="729" spans="28:68">
      <c r="AB729" s="514"/>
      <c r="AC729" s="514"/>
      <c r="AD729" s="514"/>
      <c r="AE729" s="514"/>
      <c r="AF729" s="514"/>
      <c r="AG729" s="514"/>
      <c r="AH729" s="514"/>
      <c r="AI729" s="514"/>
      <c r="AJ729" s="514"/>
      <c r="AK729" s="514"/>
      <c r="AL729" s="514"/>
      <c r="AM729" s="514"/>
      <c r="AN729" s="514"/>
      <c r="AO729" s="514"/>
      <c r="AP729" s="514"/>
      <c r="AQ729" s="514"/>
      <c r="AR729" s="514"/>
      <c r="AS729" s="514"/>
      <c r="AT729" s="514"/>
      <c r="AU729" s="514"/>
      <c r="AV729" s="514"/>
      <c r="AW729" s="514"/>
      <c r="AX729" s="514"/>
      <c r="AY729" s="514"/>
      <c r="AZ729" s="514"/>
      <c r="BA729" s="514"/>
      <c r="BB729" s="514"/>
      <c r="BC729" s="520"/>
      <c r="BD729" s="2482"/>
      <c r="BE729" s="30">
        <v>61</v>
      </c>
      <c r="BF729" s="31">
        <v>0.73509999999999998</v>
      </c>
      <c r="BG729" s="32">
        <v>734.8</v>
      </c>
      <c r="BH729" s="33"/>
      <c r="BI729" s="30">
        <v>61</v>
      </c>
      <c r="BJ729" s="34">
        <v>2.7755999999999998</v>
      </c>
      <c r="BK729" s="35">
        <v>0.11656999999999999</v>
      </c>
      <c r="BL729" s="33"/>
      <c r="BM729" s="33"/>
      <c r="BN729" s="33"/>
      <c r="BO729" s="33"/>
      <c r="BP729" s="520"/>
    </row>
    <row r="730" spans="28:68">
      <c r="AB730" s="514"/>
      <c r="AC730" s="514"/>
      <c r="AD730" s="514"/>
      <c r="AE730" s="514"/>
      <c r="AF730" s="514"/>
      <c r="AG730" s="514"/>
      <c r="AH730" s="514"/>
      <c r="AI730" s="514"/>
      <c r="AJ730" s="514"/>
      <c r="AK730" s="514"/>
      <c r="AL730" s="514"/>
      <c r="AM730" s="514"/>
      <c r="AN730" s="514"/>
      <c r="AO730" s="514"/>
      <c r="AP730" s="514"/>
      <c r="AQ730" s="514"/>
      <c r="AR730" s="514"/>
      <c r="AS730" s="514"/>
      <c r="AT730" s="514"/>
      <c r="AU730" s="514"/>
      <c r="AV730" s="514"/>
      <c r="AW730" s="514"/>
      <c r="AX730" s="514"/>
      <c r="AY730" s="514"/>
      <c r="AZ730" s="514"/>
      <c r="BA730" s="514"/>
      <c r="BB730" s="514"/>
      <c r="BC730" s="520"/>
      <c r="BD730" s="2482"/>
      <c r="BE730" s="30">
        <v>61.1</v>
      </c>
      <c r="BF730" s="31">
        <v>0.73470000000000002</v>
      </c>
      <c r="BG730" s="32">
        <v>734.5</v>
      </c>
      <c r="BH730" s="33"/>
      <c r="BI730" s="30">
        <v>61.1</v>
      </c>
      <c r="BJ730" s="34">
        <v>2.7740999999999998</v>
      </c>
      <c r="BK730" s="35">
        <v>0.11651</v>
      </c>
      <c r="BL730" s="33"/>
      <c r="BM730" s="33"/>
      <c r="BN730" s="33"/>
      <c r="BO730" s="33"/>
      <c r="BP730" s="520"/>
    </row>
    <row r="731" spans="28:68">
      <c r="AB731" s="514"/>
      <c r="AC731" s="514"/>
      <c r="AD731" s="514"/>
      <c r="AE731" s="514"/>
      <c r="AF731" s="514"/>
      <c r="AG731" s="514"/>
      <c r="AH731" s="514"/>
      <c r="AI731" s="514"/>
      <c r="AJ731" s="514"/>
      <c r="AK731" s="514"/>
      <c r="AL731" s="514"/>
      <c r="AM731" s="514"/>
      <c r="AN731" s="514"/>
      <c r="AO731" s="514"/>
      <c r="AP731" s="514"/>
      <c r="AQ731" s="514"/>
      <c r="AR731" s="514"/>
      <c r="AS731" s="514"/>
      <c r="AT731" s="514"/>
      <c r="AU731" s="514"/>
      <c r="AV731" s="514"/>
      <c r="AW731" s="514"/>
      <c r="AX731" s="514"/>
      <c r="AY731" s="514"/>
      <c r="AZ731" s="514"/>
      <c r="BA731" s="514"/>
      <c r="BB731" s="514"/>
      <c r="BC731" s="520"/>
      <c r="BD731" s="2482"/>
      <c r="BE731" s="30">
        <v>61.2</v>
      </c>
      <c r="BF731" s="31">
        <v>0.73429999999999995</v>
      </c>
      <c r="BG731" s="32">
        <v>734.1</v>
      </c>
      <c r="BH731" s="33"/>
      <c r="BI731" s="30">
        <v>61.2</v>
      </c>
      <c r="BJ731" s="34">
        <v>2.7726999999999999</v>
      </c>
      <c r="BK731" s="35">
        <v>0.11645</v>
      </c>
      <c r="BL731" s="33"/>
      <c r="BM731" s="33"/>
      <c r="BN731" s="33"/>
      <c r="BO731" s="33"/>
      <c r="BP731" s="520"/>
    </row>
    <row r="732" spans="28:68">
      <c r="AB732" s="514"/>
      <c r="AC732" s="514"/>
      <c r="AD732" s="514"/>
      <c r="AE732" s="514"/>
      <c r="AF732" s="514"/>
      <c r="AG732" s="514"/>
      <c r="AH732" s="514"/>
      <c r="AI732" s="514"/>
      <c r="AJ732" s="514"/>
      <c r="AK732" s="514"/>
      <c r="AL732" s="514"/>
      <c r="AM732" s="514"/>
      <c r="AN732" s="514"/>
      <c r="AO732" s="514"/>
      <c r="AP732" s="514"/>
      <c r="AQ732" s="514"/>
      <c r="AR732" s="514"/>
      <c r="AS732" s="514"/>
      <c r="AT732" s="514"/>
      <c r="AU732" s="514"/>
      <c r="AV732" s="514"/>
      <c r="AW732" s="514"/>
      <c r="AX732" s="514"/>
      <c r="AY732" s="514"/>
      <c r="AZ732" s="514"/>
      <c r="BA732" s="514"/>
      <c r="BB732" s="514"/>
      <c r="BC732" s="520"/>
      <c r="BD732" s="2482"/>
      <c r="BE732" s="30">
        <v>61.3</v>
      </c>
      <c r="BF732" s="31">
        <v>0.7339</v>
      </c>
      <c r="BG732" s="32">
        <v>733.7</v>
      </c>
      <c r="BH732" s="33"/>
      <c r="BI732" s="30">
        <v>61.3</v>
      </c>
      <c r="BJ732" s="34">
        <v>2.7711999999999999</v>
      </c>
      <c r="BK732" s="35">
        <v>0.11638999999999999</v>
      </c>
      <c r="BL732" s="33"/>
      <c r="BM732" s="33"/>
      <c r="BN732" s="33"/>
      <c r="BO732" s="33"/>
      <c r="BP732" s="520"/>
    </row>
    <row r="733" spans="28:68">
      <c r="AB733" s="514"/>
      <c r="AC733" s="514"/>
      <c r="AD733" s="514"/>
      <c r="AE733" s="514"/>
      <c r="AF733" s="514"/>
      <c r="AG733" s="514"/>
      <c r="AH733" s="514"/>
      <c r="AI733" s="514"/>
      <c r="AJ733" s="514"/>
      <c r="AK733" s="514"/>
      <c r="AL733" s="514"/>
      <c r="AM733" s="514"/>
      <c r="AN733" s="514"/>
      <c r="AO733" s="514"/>
      <c r="AP733" s="514"/>
      <c r="AQ733" s="514"/>
      <c r="AR733" s="514"/>
      <c r="AS733" s="514"/>
      <c r="AT733" s="514"/>
      <c r="AU733" s="514"/>
      <c r="AV733" s="514"/>
      <c r="AW733" s="514"/>
      <c r="AX733" s="514"/>
      <c r="AY733" s="514"/>
      <c r="AZ733" s="514"/>
      <c r="BA733" s="514"/>
      <c r="BB733" s="514"/>
      <c r="BC733" s="520"/>
      <c r="BD733" s="2482"/>
      <c r="BE733" s="30">
        <v>61.4</v>
      </c>
      <c r="BF733" s="31">
        <v>0.73350000000000004</v>
      </c>
      <c r="BG733" s="32">
        <v>733.3</v>
      </c>
      <c r="BH733" s="33"/>
      <c r="BI733" s="30">
        <v>61.4</v>
      </c>
      <c r="BJ733" s="34">
        <v>2.7698</v>
      </c>
      <c r="BK733" s="35">
        <v>0.11633</v>
      </c>
      <c r="BL733" s="33"/>
      <c r="BM733" s="33"/>
      <c r="BN733" s="33"/>
      <c r="BO733" s="33"/>
      <c r="BP733" s="520"/>
    </row>
    <row r="734" spans="28:68">
      <c r="AB734" s="514"/>
      <c r="AC734" s="514"/>
      <c r="AD734" s="514"/>
      <c r="AE734" s="514"/>
      <c r="AF734" s="514"/>
      <c r="AG734" s="514"/>
      <c r="AH734" s="514"/>
      <c r="AI734" s="514"/>
      <c r="AJ734" s="514"/>
      <c r="AK734" s="514"/>
      <c r="AL734" s="514"/>
      <c r="AM734" s="514"/>
      <c r="AN734" s="514"/>
      <c r="AO734" s="514"/>
      <c r="AP734" s="514"/>
      <c r="AQ734" s="514"/>
      <c r="AR734" s="514"/>
      <c r="AS734" s="514"/>
      <c r="AT734" s="514"/>
      <c r="AU734" s="514"/>
      <c r="AV734" s="514"/>
      <c r="AW734" s="514"/>
      <c r="AX734" s="514"/>
      <c r="AY734" s="514"/>
      <c r="AZ734" s="514"/>
      <c r="BA734" s="514"/>
      <c r="BB734" s="514"/>
      <c r="BC734" s="520"/>
      <c r="BD734" s="2482"/>
      <c r="BE734" s="30">
        <v>61.5</v>
      </c>
      <c r="BF734" s="31">
        <v>0.73319999999999996</v>
      </c>
      <c r="BG734" s="32">
        <v>732.9</v>
      </c>
      <c r="BH734" s="33"/>
      <c r="BI734" s="30">
        <v>61.5</v>
      </c>
      <c r="BJ734" s="34">
        <v>2.7684000000000002</v>
      </c>
      <c r="BK734" s="35">
        <v>0.11627</v>
      </c>
      <c r="BL734" s="33"/>
      <c r="BM734" s="33"/>
      <c r="BN734" s="33"/>
      <c r="BO734" s="33"/>
      <c r="BP734" s="520"/>
    </row>
    <row r="735" spans="28:68">
      <c r="AB735" s="514"/>
      <c r="AC735" s="514"/>
      <c r="AD735" s="514"/>
      <c r="AE735" s="514"/>
      <c r="AF735" s="514"/>
      <c r="AG735" s="514"/>
      <c r="AH735" s="514"/>
      <c r="AI735" s="514"/>
      <c r="AJ735" s="514"/>
      <c r="AK735" s="514"/>
      <c r="AL735" s="514"/>
      <c r="AM735" s="514"/>
      <c r="AN735" s="514"/>
      <c r="AO735" s="514"/>
      <c r="AP735" s="514"/>
      <c r="AQ735" s="514"/>
      <c r="AR735" s="514"/>
      <c r="AS735" s="514"/>
      <c r="AT735" s="514"/>
      <c r="AU735" s="514"/>
      <c r="AV735" s="514"/>
      <c r="AW735" s="514"/>
      <c r="AX735" s="514"/>
      <c r="AY735" s="514"/>
      <c r="AZ735" s="514"/>
      <c r="BA735" s="514"/>
      <c r="BB735" s="514"/>
      <c r="BC735" s="520"/>
      <c r="BD735" s="2482"/>
      <c r="BE735" s="30">
        <v>61.6</v>
      </c>
      <c r="BF735" s="31">
        <v>0.73280000000000001</v>
      </c>
      <c r="BG735" s="32">
        <v>732.6</v>
      </c>
      <c r="BH735" s="33"/>
      <c r="BI735" s="30">
        <v>61.6</v>
      </c>
      <c r="BJ735" s="34">
        <v>2.7669000000000001</v>
      </c>
      <c r="BK735" s="35">
        <v>0.11620999999999999</v>
      </c>
      <c r="BL735" s="33"/>
      <c r="BM735" s="33"/>
      <c r="BN735" s="33"/>
      <c r="BO735" s="33"/>
      <c r="BP735" s="520"/>
    </row>
    <row r="736" spans="28:68">
      <c r="AB736" s="514"/>
      <c r="AC736" s="514"/>
      <c r="AD736" s="514"/>
      <c r="AE736" s="514"/>
      <c r="AF736" s="514"/>
      <c r="AG736" s="514"/>
      <c r="AH736" s="514"/>
      <c r="AI736" s="514"/>
      <c r="AJ736" s="514"/>
      <c r="AK736" s="514"/>
      <c r="AL736" s="514"/>
      <c r="AM736" s="514"/>
      <c r="AN736" s="514"/>
      <c r="AO736" s="514"/>
      <c r="AP736" s="514"/>
      <c r="AQ736" s="514"/>
      <c r="AR736" s="514"/>
      <c r="AS736" s="514"/>
      <c r="AT736" s="514"/>
      <c r="AU736" s="514"/>
      <c r="AV736" s="514"/>
      <c r="AW736" s="514"/>
      <c r="AX736" s="514"/>
      <c r="AY736" s="514"/>
      <c r="AZ736" s="514"/>
      <c r="BA736" s="514"/>
      <c r="BB736" s="514"/>
      <c r="BC736" s="520"/>
      <c r="BD736" s="2482"/>
      <c r="BE736" s="30">
        <v>61.7</v>
      </c>
      <c r="BF736" s="31">
        <v>0.73240000000000005</v>
      </c>
      <c r="BG736" s="32">
        <v>732.2</v>
      </c>
      <c r="BH736" s="33"/>
      <c r="BI736" s="30">
        <v>61.7</v>
      </c>
      <c r="BJ736" s="34">
        <v>2.7654999999999998</v>
      </c>
      <c r="BK736" s="35">
        <v>0.11615</v>
      </c>
      <c r="BL736" s="33"/>
      <c r="BM736" s="33"/>
      <c r="BN736" s="33"/>
      <c r="BO736" s="33"/>
      <c r="BP736" s="520"/>
    </row>
    <row r="737" spans="28:68">
      <c r="AB737" s="514"/>
      <c r="AC737" s="514"/>
      <c r="AD737" s="514"/>
      <c r="AE737" s="514"/>
      <c r="AF737" s="514"/>
      <c r="AG737" s="514"/>
      <c r="AH737" s="514"/>
      <c r="AI737" s="514"/>
      <c r="AJ737" s="514"/>
      <c r="AK737" s="514"/>
      <c r="AL737" s="514"/>
      <c r="AM737" s="514"/>
      <c r="AN737" s="514"/>
      <c r="AO737" s="514"/>
      <c r="AP737" s="514"/>
      <c r="AQ737" s="514"/>
      <c r="AR737" s="514"/>
      <c r="AS737" s="514"/>
      <c r="AT737" s="514"/>
      <c r="AU737" s="514"/>
      <c r="AV737" s="514"/>
      <c r="AW737" s="514"/>
      <c r="AX737" s="514"/>
      <c r="AY737" s="514"/>
      <c r="AZ737" s="514"/>
      <c r="BA737" s="514"/>
      <c r="BB737" s="514"/>
      <c r="BC737" s="520"/>
      <c r="BD737" s="2482"/>
      <c r="BE737" s="30">
        <v>61.8</v>
      </c>
      <c r="BF737" s="31">
        <v>0.73199999999999998</v>
      </c>
      <c r="BG737" s="32">
        <v>731.8</v>
      </c>
      <c r="BH737" s="33"/>
      <c r="BI737" s="30">
        <v>61.8</v>
      </c>
      <c r="BJ737" s="34">
        <v>2.7641</v>
      </c>
      <c r="BK737" s="35">
        <v>0.11609</v>
      </c>
      <c r="BL737" s="33"/>
      <c r="BM737" s="33"/>
      <c r="BN737" s="33"/>
      <c r="BO737" s="33"/>
      <c r="BP737" s="520"/>
    </row>
    <row r="738" spans="28:68">
      <c r="AB738" s="514"/>
      <c r="AC738" s="514"/>
      <c r="AD738" s="514"/>
      <c r="AE738" s="514"/>
      <c r="AF738" s="514"/>
      <c r="AG738" s="514"/>
      <c r="AH738" s="514"/>
      <c r="AI738" s="514"/>
      <c r="AJ738" s="514"/>
      <c r="AK738" s="514"/>
      <c r="AL738" s="514"/>
      <c r="AM738" s="514"/>
      <c r="AN738" s="514"/>
      <c r="AO738" s="514"/>
      <c r="AP738" s="514"/>
      <c r="AQ738" s="514"/>
      <c r="AR738" s="514"/>
      <c r="AS738" s="514"/>
      <c r="AT738" s="514"/>
      <c r="AU738" s="514"/>
      <c r="AV738" s="514"/>
      <c r="AW738" s="514"/>
      <c r="AX738" s="514"/>
      <c r="AY738" s="514"/>
      <c r="AZ738" s="514"/>
      <c r="BA738" s="514"/>
      <c r="BB738" s="514"/>
      <c r="BC738" s="520"/>
      <c r="BD738" s="2482"/>
      <c r="BE738" s="30">
        <v>61.9</v>
      </c>
      <c r="BF738" s="31">
        <v>0.73160000000000003</v>
      </c>
      <c r="BG738" s="32">
        <v>731.4</v>
      </c>
      <c r="BH738" s="33"/>
      <c r="BI738" s="30">
        <v>61.9</v>
      </c>
      <c r="BJ738" s="34">
        <v>2.7625999999999999</v>
      </c>
      <c r="BK738" s="35">
        <v>0.11602999999999999</v>
      </c>
      <c r="BL738" s="33"/>
      <c r="BM738" s="33"/>
      <c r="BN738" s="33"/>
      <c r="BO738" s="33"/>
      <c r="BP738" s="520"/>
    </row>
    <row r="739" spans="28:68">
      <c r="AB739" s="514"/>
      <c r="AC739" s="514"/>
      <c r="AD739" s="514"/>
      <c r="AE739" s="514"/>
      <c r="AF739" s="514"/>
      <c r="AG739" s="514"/>
      <c r="AH739" s="514"/>
      <c r="AI739" s="514"/>
      <c r="AJ739" s="514"/>
      <c r="AK739" s="514"/>
      <c r="AL739" s="514"/>
      <c r="AM739" s="514"/>
      <c r="AN739" s="514"/>
      <c r="AO739" s="514"/>
      <c r="AP739" s="514"/>
      <c r="AQ739" s="514"/>
      <c r="AR739" s="514"/>
      <c r="AS739" s="514"/>
      <c r="AT739" s="514"/>
      <c r="AU739" s="514"/>
      <c r="AV739" s="514"/>
      <c r="AW739" s="514"/>
      <c r="AX739" s="514"/>
      <c r="AY739" s="514"/>
      <c r="AZ739" s="514"/>
      <c r="BA739" s="514"/>
      <c r="BB739" s="514"/>
      <c r="BC739" s="520"/>
      <c r="BD739" s="2482"/>
      <c r="BE739" s="30">
        <v>62</v>
      </c>
      <c r="BF739" s="31">
        <v>0.73129999999999995</v>
      </c>
      <c r="BG739" s="32">
        <v>731.1</v>
      </c>
      <c r="BH739" s="33"/>
      <c r="BI739" s="30">
        <v>62</v>
      </c>
      <c r="BJ739" s="34">
        <v>2.7612000000000001</v>
      </c>
      <c r="BK739" s="35">
        <v>0.11597</v>
      </c>
      <c r="BL739" s="33"/>
      <c r="BM739" s="33"/>
      <c r="BN739" s="33"/>
      <c r="BO739" s="33"/>
      <c r="BP739" s="520"/>
    </row>
    <row r="740" spans="28:68">
      <c r="AB740" s="514"/>
      <c r="AC740" s="514"/>
      <c r="AD740" s="514"/>
      <c r="AE740" s="514"/>
      <c r="AF740" s="514"/>
      <c r="AG740" s="514"/>
      <c r="AH740" s="514"/>
      <c r="AI740" s="514"/>
      <c r="AJ740" s="514"/>
      <c r="AK740" s="514"/>
      <c r="AL740" s="514"/>
      <c r="AM740" s="514"/>
      <c r="AN740" s="514"/>
      <c r="AO740" s="514"/>
      <c r="AP740" s="514"/>
      <c r="AQ740" s="514"/>
      <c r="AR740" s="514"/>
      <c r="AS740" s="514"/>
      <c r="AT740" s="514"/>
      <c r="AU740" s="514"/>
      <c r="AV740" s="514"/>
      <c r="AW740" s="514"/>
      <c r="AX740" s="514"/>
      <c r="AY740" s="514"/>
      <c r="AZ740" s="514"/>
      <c r="BA740" s="514"/>
      <c r="BB740" s="514"/>
      <c r="BC740" s="520"/>
      <c r="BD740" s="2482"/>
      <c r="BE740" s="30">
        <v>62.1</v>
      </c>
      <c r="BF740" s="31">
        <v>0.73089999999999999</v>
      </c>
      <c r="BG740" s="32">
        <v>730.7</v>
      </c>
      <c r="BH740" s="33"/>
      <c r="BI740" s="30">
        <v>62.1</v>
      </c>
      <c r="BJ740" s="34">
        <v>2.7597999999999998</v>
      </c>
      <c r="BK740" s="35">
        <v>0.11591</v>
      </c>
      <c r="BL740" s="33"/>
      <c r="BM740" s="33"/>
      <c r="BN740" s="33"/>
      <c r="BO740" s="33"/>
      <c r="BP740" s="520"/>
    </row>
    <row r="741" spans="28:68">
      <c r="AB741" s="514"/>
      <c r="AC741" s="514"/>
      <c r="AD741" s="514"/>
      <c r="AE741" s="514"/>
      <c r="AF741" s="514"/>
      <c r="AG741" s="514"/>
      <c r="AH741" s="514"/>
      <c r="AI741" s="514"/>
      <c r="AJ741" s="514"/>
      <c r="AK741" s="514"/>
      <c r="AL741" s="514"/>
      <c r="AM741" s="514"/>
      <c r="AN741" s="514"/>
      <c r="AO741" s="514"/>
      <c r="AP741" s="514"/>
      <c r="AQ741" s="514"/>
      <c r="AR741" s="514"/>
      <c r="AS741" s="514"/>
      <c r="AT741" s="514"/>
      <c r="AU741" s="514"/>
      <c r="AV741" s="514"/>
      <c r="AW741" s="514"/>
      <c r="AX741" s="514"/>
      <c r="AY741" s="514"/>
      <c r="AZ741" s="514"/>
      <c r="BA741" s="514"/>
      <c r="BB741" s="514"/>
      <c r="BC741" s="520"/>
      <c r="BD741" s="2482"/>
      <c r="BE741" s="30">
        <v>62.2</v>
      </c>
      <c r="BF741" s="31">
        <v>0.73050000000000004</v>
      </c>
      <c r="BG741" s="32">
        <v>730.3</v>
      </c>
      <c r="BH741" s="33"/>
      <c r="BI741" s="30">
        <v>62.2</v>
      </c>
      <c r="BJ741" s="34">
        <v>2.7583000000000002</v>
      </c>
      <c r="BK741" s="35">
        <v>0.11584999999999999</v>
      </c>
      <c r="BL741" s="33"/>
      <c r="BM741" s="33"/>
      <c r="BN741" s="33"/>
      <c r="BO741" s="33"/>
      <c r="BP741" s="520"/>
    </row>
    <row r="742" spans="28:68">
      <c r="AB742" s="514"/>
      <c r="AC742" s="514"/>
      <c r="AD742" s="514"/>
      <c r="AE742" s="514"/>
      <c r="AF742" s="514"/>
      <c r="AG742" s="514"/>
      <c r="AH742" s="514"/>
      <c r="AI742" s="514"/>
      <c r="AJ742" s="514"/>
      <c r="AK742" s="514"/>
      <c r="AL742" s="514"/>
      <c r="AM742" s="514"/>
      <c r="AN742" s="514"/>
      <c r="AO742" s="514"/>
      <c r="AP742" s="514"/>
      <c r="AQ742" s="514"/>
      <c r="AR742" s="514"/>
      <c r="AS742" s="514"/>
      <c r="AT742" s="514"/>
      <c r="AU742" s="514"/>
      <c r="AV742" s="514"/>
      <c r="AW742" s="514"/>
      <c r="AX742" s="514"/>
      <c r="AY742" s="514"/>
      <c r="AZ742" s="514"/>
      <c r="BA742" s="514"/>
      <c r="BB742" s="514"/>
      <c r="BC742" s="520"/>
      <c r="BD742" s="2482"/>
      <c r="BE742" s="30">
        <v>62.3</v>
      </c>
      <c r="BF742" s="31">
        <v>0.73009999999999997</v>
      </c>
      <c r="BG742" s="32">
        <v>729.9</v>
      </c>
      <c r="BH742" s="33"/>
      <c r="BI742" s="30">
        <v>62.3</v>
      </c>
      <c r="BJ742" s="34">
        <v>2.7568999999999999</v>
      </c>
      <c r="BK742" s="35">
        <v>0.11579</v>
      </c>
      <c r="BL742" s="33"/>
      <c r="BM742" s="33"/>
      <c r="BN742" s="33"/>
      <c r="BO742" s="33"/>
      <c r="BP742" s="520"/>
    </row>
    <row r="743" spans="28:68">
      <c r="AB743" s="514"/>
      <c r="AC743" s="514"/>
      <c r="AD743" s="514"/>
      <c r="AE743" s="514"/>
      <c r="AF743" s="514"/>
      <c r="AG743" s="514"/>
      <c r="AH743" s="514"/>
      <c r="AI743" s="514"/>
      <c r="AJ743" s="514"/>
      <c r="AK743" s="514"/>
      <c r="AL743" s="514"/>
      <c r="AM743" s="514"/>
      <c r="AN743" s="514"/>
      <c r="AO743" s="514"/>
      <c r="AP743" s="514"/>
      <c r="AQ743" s="514"/>
      <c r="AR743" s="514"/>
      <c r="AS743" s="514"/>
      <c r="AT743" s="514"/>
      <c r="AU743" s="514"/>
      <c r="AV743" s="514"/>
      <c r="AW743" s="514"/>
      <c r="AX743" s="514"/>
      <c r="AY743" s="514"/>
      <c r="AZ743" s="514"/>
      <c r="BA743" s="514"/>
      <c r="BB743" s="514"/>
      <c r="BC743" s="520"/>
      <c r="BD743" s="2482"/>
      <c r="BE743" s="30">
        <v>62.4</v>
      </c>
      <c r="BF743" s="31">
        <v>0.7298</v>
      </c>
      <c r="BG743" s="32">
        <v>729.5</v>
      </c>
      <c r="BH743" s="33"/>
      <c r="BI743" s="30">
        <v>62.4</v>
      </c>
      <c r="BJ743" s="34">
        <v>2.7555000000000001</v>
      </c>
      <c r="BK743" s="35">
        <v>0.11573</v>
      </c>
      <c r="BL743" s="33"/>
      <c r="BM743" s="33"/>
      <c r="BN743" s="33"/>
      <c r="BO743" s="33"/>
      <c r="BP743" s="520"/>
    </row>
    <row r="744" spans="28:68">
      <c r="AB744" s="514"/>
      <c r="AC744" s="514"/>
      <c r="AD744" s="514"/>
      <c r="AE744" s="514"/>
      <c r="AF744" s="514"/>
      <c r="AG744" s="514"/>
      <c r="AH744" s="514"/>
      <c r="AI744" s="514"/>
      <c r="AJ744" s="514"/>
      <c r="AK744" s="514"/>
      <c r="AL744" s="514"/>
      <c r="AM744" s="514"/>
      <c r="AN744" s="514"/>
      <c r="AO744" s="514"/>
      <c r="AP744" s="514"/>
      <c r="AQ744" s="514"/>
      <c r="AR744" s="514"/>
      <c r="AS744" s="514"/>
      <c r="AT744" s="514"/>
      <c r="AU744" s="514"/>
      <c r="AV744" s="514"/>
      <c r="AW744" s="514"/>
      <c r="AX744" s="514"/>
      <c r="AY744" s="514"/>
      <c r="AZ744" s="514"/>
      <c r="BA744" s="514"/>
      <c r="BB744" s="514"/>
      <c r="BC744" s="520"/>
      <c r="BD744" s="2482"/>
      <c r="BE744" s="30">
        <v>62.5</v>
      </c>
      <c r="BF744" s="31">
        <v>0.72940000000000005</v>
      </c>
      <c r="BG744" s="32">
        <v>729.2</v>
      </c>
      <c r="BH744" s="33"/>
      <c r="BI744" s="30">
        <v>62.5</v>
      </c>
      <c r="BJ744" s="34">
        <v>2.7541000000000002</v>
      </c>
      <c r="BK744" s="35">
        <v>0.11567</v>
      </c>
      <c r="BL744" s="33"/>
      <c r="BM744" s="33"/>
      <c r="BN744" s="33"/>
      <c r="BO744" s="33"/>
      <c r="BP744" s="520"/>
    </row>
    <row r="745" spans="28:68">
      <c r="AB745" s="514"/>
      <c r="AC745" s="514"/>
      <c r="AD745" s="514"/>
      <c r="AE745" s="514"/>
      <c r="AF745" s="514"/>
      <c r="AG745" s="514"/>
      <c r="AH745" s="514"/>
      <c r="AI745" s="514"/>
      <c r="AJ745" s="514"/>
      <c r="AK745" s="514"/>
      <c r="AL745" s="514"/>
      <c r="AM745" s="514"/>
      <c r="AN745" s="514"/>
      <c r="AO745" s="514"/>
      <c r="AP745" s="514"/>
      <c r="AQ745" s="514"/>
      <c r="AR745" s="514"/>
      <c r="AS745" s="514"/>
      <c r="AT745" s="514"/>
      <c r="AU745" s="514"/>
      <c r="AV745" s="514"/>
      <c r="AW745" s="514"/>
      <c r="AX745" s="514"/>
      <c r="AY745" s="514"/>
      <c r="AZ745" s="514"/>
      <c r="BA745" s="514"/>
      <c r="BB745" s="514"/>
      <c r="BC745" s="520"/>
      <c r="BD745" s="2482"/>
      <c r="BE745" s="30">
        <v>62.6</v>
      </c>
      <c r="BF745" s="31">
        <v>0.72899999999999998</v>
      </c>
      <c r="BG745" s="32">
        <v>728.8</v>
      </c>
      <c r="BH745" s="33"/>
      <c r="BI745" s="30">
        <v>62.6</v>
      </c>
      <c r="BJ745" s="34">
        <v>2.7526999999999999</v>
      </c>
      <c r="BK745" s="35">
        <v>0.11561</v>
      </c>
      <c r="BL745" s="33"/>
      <c r="BM745" s="33"/>
      <c r="BN745" s="33"/>
      <c r="BO745" s="33"/>
      <c r="BP745" s="520"/>
    </row>
    <row r="746" spans="28:68">
      <c r="AB746" s="514"/>
      <c r="AC746" s="514"/>
      <c r="AD746" s="514"/>
      <c r="AE746" s="514"/>
      <c r="AF746" s="514"/>
      <c r="AG746" s="514"/>
      <c r="AH746" s="514"/>
      <c r="AI746" s="514"/>
      <c r="AJ746" s="514"/>
      <c r="AK746" s="514"/>
      <c r="AL746" s="514"/>
      <c r="AM746" s="514"/>
      <c r="AN746" s="514"/>
      <c r="AO746" s="514"/>
      <c r="AP746" s="514"/>
      <c r="AQ746" s="514"/>
      <c r="AR746" s="514"/>
      <c r="AS746" s="514"/>
      <c r="AT746" s="514"/>
      <c r="AU746" s="514"/>
      <c r="AV746" s="514"/>
      <c r="AW746" s="514"/>
      <c r="AX746" s="514"/>
      <c r="AY746" s="514"/>
      <c r="AZ746" s="514"/>
      <c r="BA746" s="514"/>
      <c r="BB746" s="514"/>
      <c r="BC746" s="520"/>
      <c r="BD746" s="2482"/>
      <c r="BE746" s="30">
        <v>62.7</v>
      </c>
      <c r="BF746" s="31">
        <v>0.72860000000000003</v>
      </c>
      <c r="BG746" s="32">
        <v>728.4</v>
      </c>
      <c r="BH746" s="33"/>
      <c r="BI746" s="30">
        <v>62.7</v>
      </c>
      <c r="BJ746" s="34">
        <v>2.7511999999999999</v>
      </c>
      <c r="BK746" s="35">
        <v>0.11555</v>
      </c>
      <c r="BL746" s="33"/>
      <c r="BM746" s="33"/>
      <c r="BN746" s="33"/>
      <c r="BO746" s="33"/>
      <c r="BP746" s="520"/>
    </row>
    <row r="747" spans="28:68">
      <c r="AB747" s="514"/>
      <c r="AC747" s="514"/>
      <c r="AD747" s="514"/>
      <c r="AE747" s="514"/>
      <c r="AF747" s="514"/>
      <c r="AG747" s="514"/>
      <c r="AH747" s="514"/>
      <c r="AI747" s="514"/>
      <c r="AJ747" s="514"/>
      <c r="AK747" s="514"/>
      <c r="AL747" s="514"/>
      <c r="AM747" s="514"/>
      <c r="AN747" s="514"/>
      <c r="AO747" s="514"/>
      <c r="AP747" s="514"/>
      <c r="AQ747" s="514"/>
      <c r="AR747" s="514"/>
      <c r="AS747" s="514"/>
      <c r="AT747" s="514"/>
      <c r="AU747" s="514"/>
      <c r="AV747" s="514"/>
      <c r="AW747" s="514"/>
      <c r="AX747" s="514"/>
      <c r="AY747" s="514"/>
      <c r="AZ747" s="514"/>
      <c r="BA747" s="514"/>
      <c r="BB747" s="514"/>
      <c r="BC747" s="520"/>
      <c r="BD747" s="2482"/>
      <c r="BE747" s="30">
        <v>62.8</v>
      </c>
      <c r="BF747" s="31">
        <v>0.72829999999999995</v>
      </c>
      <c r="BG747" s="32">
        <v>728</v>
      </c>
      <c r="BH747" s="33"/>
      <c r="BI747" s="30">
        <v>62.8</v>
      </c>
      <c r="BJ747" s="34">
        <v>2.7498</v>
      </c>
      <c r="BK747" s="35">
        <v>0.11549</v>
      </c>
      <c r="BL747" s="33"/>
      <c r="BM747" s="33"/>
      <c r="BN747" s="33"/>
      <c r="BO747" s="33"/>
      <c r="BP747" s="520"/>
    </row>
    <row r="748" spans="28:68">
      <c r="AB748" s="514"/>
      <c r="AC748" s="514"/>
      <c r="AD748" s="514"/>
      <c r="AE748" s="514"/>
      <c r="AF748" s="514"/>
      <c r="AG748" s="514"/>
      <c r="AH748" s="514"/>
      <c r="AI748" s="514"/>
      <c r="AJ748" s="514"/>
      <c r="AK748" s="514"/>
      <c r="AL748" s="514"/>
      <c r="AM748" s="514"/>
      <c r="AN748" s="514"/>
      <c r="AO748" s="514"/>
      <c r="AP748" s="514"/>
      <c r="AQ748" s="514"/>
      <c r="AR748" s="514"/>
      <c r="AS748" s="514"/>
      <c r="AT748" s="514"/>
      <c r="AU748" s="514"/>
      <c r="AV748" s="514"/>
      <c r="AW748" s="514"/>
      <c r="AX748" s="514"/>
      <c r="AY748" s="514"/>
      <c r="AZ748" s="514"/>
      <c r="BA748" s="514"/>
      <c r="BB748" s="514"/>
      <c r="BC748" s="520"/>
      <c r="BD748" s="2482"/>
      <c r="BE748" s="30">
        <v>62.9</v>
      </c>
      <c r="BF748" s="31">
        <v>0.72789999999999999</v>
      </c>
      <c r="BG748" s="32">
        <v>727.7</v>
      </c>
      <c r="BH748" s="33"/>
      <c r="BI748" s="30">
        <v>62.9</v>
      </c>
      <c r="BJ748" s="34">
        <v>2.7484000000000002</v>
      </c>
      <c r="BK748" s="35">
        <v>0.11543</v>
      </c>
      <c r="BL748" s="33"/>
      <c r="BM748" s="33"/>
      <c r="BN748" s="33"/>
      <c r="BO748" s="33"/>
      <c r="BP748" s="520"/>
    </row>
    <row r="749" spans="28:68">
      <c r="AB749" s="514"/>
      <c r="AC749" s="514"/>
      <c r="AD749" s="514"/>
      <c r="AE749" s="514"/>
      <c r="AF749" s="514"/>
      <c r="AG749" s="514"/>
      <c r="AH749" s="514"/>
      <c r="AI749" s="514"/>
      <c r="AJ749" s="514"/>
      <c r="AK749" s="514"/>
      <c r="AL749" s="514"/>
      <c r="AM749" s="514"/>
      <c r="AN749" s="514"/>
      <c r="AO749" s="514"/>
      <c r="AP749" s="514"/>
      <c r="AQ749" s="514"/>
      <c r="AR749" s="514"/>
      <c r="AS749" s="514"/>
      <c r="AT749" s="514"/>
      <c r="AU749" s="514"/>
      <c r="AV749" s="514"/>
      <c r="AW749" s="514"/>
      <c r="AX749" s="514"/>
      <c r="AY749" s="514"/>
      <c r="AZ749" s="514"/>
      <c r="BA749" s="514"/>
      <c r="BB749" s="514"/>
      <c r="BC749" s="520"/>
      <c r="BD749" s="2482"/>
      <c r="BE749" s="30">
        <v>63</v>
      </c>
      <c r="BF749" s="31">
        <v>0.72750000000000004</v>
      </c>
      <c r="BG749" s="32">
        <v>727.3</v>
      </c>
      <c r="BH749" s="33"/>
      <c r="BI749" s="30">
        <v>63</v>
      </c>
      <c r="BJ749" s="34">
        <v>2.7469999999999999</v>
      </c>
      <c r="BK749" s="35">
        <v>0.11537</v>
      </c>
      <c r="BL749" s="33"/>
      <c r="BM749" s="33"/>
      <c r="BN749" s="33"/>
      <c r="BO749" s="33"/>
      <c r="BP749" s="520"/>
    </row>
    <row r="750" spans="28:68">
      <c r="AB750" s="514"/>
      <c r="AC750" s="514"/>
      <c r="AD750" s="514"/>
      <c r="AE750" s="514"/>
      <c r="AF750" s="514"/>
      <c r="AG750" s="514"/>
      <c r="AH750" s="514"/>
      <c r="AI750" s="514"/>
      <c r="AJ750" s="514"/>
      <c r="AK750" s="514"/>
      <c r="AL750" s="514"/>
      <c r="AM750" s="514"/>
      <c r="AN750" s="514"/>
      <c r="AO750" s="514"/>
      <c r="AP750" s="514"/>
      <c r="AQ750" s="514"/>
      <c r="AR750" s="514"/>
      <c r="AS750" s="514"/>
      <c r="AT750" s="514"/>
      <c r="AU750" s="514"/>
      <c r="AV750" s="514"/>
      <c r="AW750" s="514"/>
      <c r="AX750" s="514"/>
      <c r="AY750" s="514"/>
      <c r="AZ750" s="514"/>
      <c r="BA750" s="514"/>
      <c r="BB750" s="514"/>
      <c r="BC750" s="520"/>
      <c r="BD750" s="2482"/>
      <c r="BE750" s="30">
        <v>63.1</v>
      </c>
      <c r="BF750" s="31">
        <v>0.72709999999999997</v>
      </c>
      <c r="BG750" s="32">
        <v>726.9</v>
      </c>
      <c r="BH750" s="33"/>
      <c r="BI750" s="30">
        <v>63.1</v>
      </c>
      <c r="BJ750" s="34">
        <v>2.7456</v>
      </c>
      <c r="BK750" s="35">
        <v>0.11531</v>
      </c>
      <c r="BL750" s="33"/>
      <c r="BM750" s="33"/>
      <c r="BN750" s="33"/>
      <c r="BO750" s="33"/>
      <c r="BP750" s="520"/>
    </row>
    <row r="751" spans="28:68">
      <c r="AB751" s="514"/>
      <c r="AC751" s="514"/>
      <c r="AD751" s="514"/>
      <c r="AE751" s="514"/>
      <c r="AF751" s="514"/>
      <c r="AG751" s="514"/>
      <c r="AH751" s="514"/>
      <c r="AI751" s="514"/>
      <c r="AJ751" s="514"/>
      <c r="AK751" s="514"/>
      <c r="AL751" s="514"/>
      <c r="AM751" s="514"/>
      <c r="AN751" s="514"/>
      <c r="AO751" s="514"/>
      <c r="AP751" s="514"/>
      <c r="AQ751" s="514"/>
      <c r="AR751" s="514"/>
      <c r="AS751" s="514"/>
      <c r="AT751" s="514"/>
      <c r="AU751" s="514"/>
      <c r="AV751" s="514"/>
      <c r="AW751" s="514"/>
      <c r="AX751" s="514"/>
      <c r="AY751" s="514"/>
      <c r="AZ751" s="514"/>
      <c r="BA751" s="514"/>
      <c r="BB751" s="514"/>
      <c r="BC751" s="520"/>
      <c r="BD751" s="2482"/>
      <c r="BE751" s="30">
        <v>63.2</v>
      </c>
      <c r="BF751" s="31">
        <v>0.7268</v>
      </c>
      <c r="BG751" s="32">
        <v>726.5</v>
      </c>
      <c r="BH751" s="33"/>
      <c r="BI751" s="30">
        <v>63.2</v>
      </c>
      <c r="BJ751" s="34">
        <v>2.7442000000000002</v>
      </c>
      <c r="BK751" s="35">
        <v>0.11525000000000001</v>
      </c>
      <c r="BL751" s="33"/>
      <c r="BM751" s="33"/>
      <c r="BN751" s="33"/>
      <c r="BO751" s="33"/>
      <c r="BP751" s="520"/>
    </row>
    <row r="752" spans="28:68">
      <c r="AB752" s="514"/>
      <c r="AC752" s="514"/>
      <c r="AD752" s="514"/>
      <c r="AE752" s="514"/>
      <c r="AF752" s="514"/>
      <c r="AG752" s="514"/>
      <c r="AH752" s="514"/>
      <c r="AI752" s="514"/>
      <c r="AJ752" s="514"/>
      <c r="AK752" s="514"/>
      <c r="AL752" s="514"/>
      <c r="AM752" s="514"/>
      <c r="AN752" s="514"/>
      <c r="AO752" s="514"/>
      <c r="AP752" s="514"/>
      <c r="AQ752" s="514"/>
      <c r="AR752" s="514"/>
      <c r="AS752" s="514"/>
      <c r="AT752" s="514"/>
      <c r="AU752" s="514"/>
      <c r="AV752" s="514"/>
      <c r="AW752" s="514"/>
      <c r="AX752" s="514"/>
      <c r="AY752" s="514"/>
      <c r="AZ752" s="514"/>
      <c r="BA752" s="514"/>
      <c r="BB752" s="514"/>
      <c r="BC752" s="520"/>
      <c r="BD752" s="2482"/>
      <c r="BE752" s="30">
        <v>63.3</v>
      </c>
      <c r="BF752" s="31">
        <v>0.72640000000000005</v>
      </c>
      <c r="BG752" s="32">
        <v>726.2</v>
      </c>
      <c r="BH752" s="33"/>
      <c r="BI752" s="30">
        <v>63.3</v>
      </c>
      <c r="BJ752" s="34">
        <v>2.7427000000000001</v>
      </c>
      <c r="BK752" s="35">
        <v>0.1152</v>
      </c>
      <c r="BL752" s="33"/>
      <c r="BM752" s="33"/>
      <c r="BN752" s="33"/>
      <c r="BO752" s="33"/>
      <c r="BP752" s="520"/>
    </row>
    <row r="753" spans="28:68">
      <c r="AB753" s="514"/>
      <c r="AC753" s="514"/>
      <c r="AD753" s="514"/>
      <c r="AE753" s="514"/>
      <c r="AF753" s="514"/>
      <c r="AG753" s="514"/>
      <c r="AH753" s="514"/>
      <c r="AI753" s="514"/>
      <c r="AJ753" s="514"/>
      <c r="AK753" s="514"/>
      <c r="AL753" s="514"/>
      <c r="AM753" s="514"/>
      <c r="AN753" s="514"/>
      <c r="AO753" s="514"/>
      <c r="AP753" s="514"/>
      <c r="AQ753" s="514"/>
      <c r="AR753" s="514"/>
      <c r="AS753" s="514"/>
      <c r="AT753" s="514"/>
      <c r="AU753" s="514"/>
      <c r="AV753" s="514"/>
      <c r="AW753" s="514"/>
      <c r="AX753" s="514"/>
      <c r="AY753" s="514"/>
      <c r="AZ753" s="514"/>
      <c r="BA753" s="514"/>
      <c r="BB753" s="514"/>
      <c r="BC753" s="520"/>
      <c r="BD753" s="2482"/>
      <c r="BE753" s="30">
        <v>63.4</v>
      </c>
      <c r="BF753" s="31">
        <v>0.72599999999999998</v>
      </c>
      <c r="BG753" s="32">
        <v>725.8</v>
      </c>
      <c r="BH753" s="33"/>
      <c r="BI753" s="30">
        <v>63.4</v>
      </c>
      <c r="BJ753" s="34">
        <v>2.7412999999999998</v>
      </c>
      <c r="BK753" s="35">
        <v>0.11514000000000001</v>
      </c>
      <c r="BL753" s="33"/>
      <c r="BM753" s="33"/>
      <c r="BN753" s="33"/>
      <c r="BO753" s="33"/>
      <c r="BP753" s="520"/>
    </row>
    <row r="754" spans="28:68">
      <c r="AB754" s="514"/>
      <c r="AC754" s="514"/>
      <c r="AD754" s="514"/>
      <c r="AE754" s="514"/>
      <c r="AF754" s="514"/>
      <c r="AG754" s="514"/>
      <c r="AH754" s="514"/>
      <c r="AI754" s="514"/>
      <c r="AJ754" s="514"/>
      <c r="AK754" s="514"/>
      <c r="AL754" s="514"/>
      <c r="AM754" s="514"/>
      <c r="AN754" s="514"/>
      <c r="AO754" s="514"/>
      <c r="AP754" s="514"/>
      <c r="AQ754" s="514"/>
      <c r="AR754" s="514"/>
      <c r="AS754" s="514"/>
      <c r="AT754" s="514"/>
      <c r="AU754" s="514"/>
      <c r="AV754" s="514"/>
      <c r="AW754" s="514"/>
      <c r="AX754" s="514"/>
      <c r="AY754" s="514"/>
      <c r="AZ754" s="514"/>
      <c r="BA754" s="514"/>
      <c r="BB754" s="514"/>
      <c r="BC754" s="520"/>
      <c r="BD754" s="2482"/>
      <c r="BE754" s="30">
        <v>63.5</v>
      </c>
      <c r="BF754" s="31">
        <v>0.72560000000000002</v>
      </c>
      <c r="BG754" s="32">
        <v>725.4</v>
      </c>
      <c r="BH754" s="33"/>
      <c r="BI754" s="30">
        <v>63.5</v>
      </c>
      <c r="BJ754" s="34">
        <v>2.7399</v>
      </c>
      <c r="BK754" s="35">
        <v>0.11508</v>
      </c>
      <c r="BL754" s="33"/>
      <c r="BM754" s="33"/>
      <c r="BN754" s="33"/>
      <c r="BO754" s="33"/>
      <c r="BP754" s="520"/>
    </row>
    <row r="755" spans="28:68">
      <c r="AB755" s="514"/>
      <c r="AC755" s="514"/>
      <c r="AD755" s="514"/>
      <c r="AE755" s="514"/>
      <c r="AF755" s="514"/>
      <c r="AG755" s="514"/>
      <c r="AH755" s="514"/>
      <c r="AI755" s="514"/>
      <c r="AJ755" s="514"/>
      <c r="AK755" s="514"/>
      <c r="AL755" s="514"/>
      <c r="AM755" s="514"/>
      <c r="AN755" s="514"/>
      <c r="AO755" s="514"/>
      <c r="AP755" s="514"/>
      <c r="AQ755" s="514"/>
      <c r="AR755" s="514"/>
      <c r="AS755" s="514"/>
      <c r="AT755" s="514"/>
      <c r="AU755" s="514"/>
      <c r="AV755" s="514"/>
      <c r="AW755" s="514"/>
      <c r="AX755" s="514"/>
      <c r="AY755" s="514"/>
      <c r="AZ755" s="514"/>
      <c r="BA755" s="514"/>
      <c r="BB755" s="514"/>
      <c r="BC755" s="520"/>
      <c r="BD755" s="2482"/>
      <c r="BE755" s="30">
        <v>63.6</v>
      </c>
      <c r="BF755" s="31">
        <v>0.72529999999999994</v>
      </c>
      <c r="BG755" s="32">
        <v>725.1</v>
      </c>
      <c r="BH755" s="33"/>
      <c r="BI755" s="30">
        <v>63.6</v>
      </c>
      <c r="BJ755" s="34">
        <v>2.7385000000000002</v>
      </c>
      <c r="BK755" s="35">
        <v>0.11502</v>
      </c>
      <c r="BL755" s="33"/>
      <c r="BM755" s="33"/>
      <c r="BN755" s="33"/>
      <c r="BO755" s="33"/>
      <c r="BP755" s="520"/>
    </row>
    <row r="756" spans="28:68">
      <c r="AB756" s="514"/>
      <c r="AC756" s="514"/>
      <c r="AD756" s="514"/>
      <c r="AE756" s="514"/>
      <c r="AF756" s="514"/>
      <c r="AG756" s="514"/>
      <c r="AH756" s="514"/>
      <c r="AI756" s="514"/>
      <c r="AJ756" s="514"/>
      <c r="AK756" s="514"/>
      <c r="AL756" s="514"/>
      <c r="AM756" s="514"/>
      <c r="AN756" s="514"/>
      <c r="AO756" s="514"/>
      <c r="AP756" s="514"/>
      <c r="AQ756" s="514"/>
      <c r="AR756" s="514"/>
      <c r="AS756" s="514"/>
      <c r="AT756" s="514"/>
      <c r="AU756" s="514"/>
      <c r="AV756" s="514"/>
      <c r="AW756" s="514"/>
      <c r="AX756" s="514"/>
      <c r="AY756" s="514"/>
      <c r="AZ756" s="514"/>
      <c r="BA756" s="514"/>
      <c r="BB756" s="514"/>
      <c r="BC756" s="520"/>
      <c r="BD756" s="2482"/>
      <c r="BE756" s="30">
        <v>63.7</v>
      </c>
      <c r="BF756" s="31">
        <v>0.72489999999999999</v>
      </c>
      <c r="BG756" s="32">
        <v>724.7</v>
      </c>
      <c r="BH756" s="33"/>
      <c r="BI756" s="30">
        <v>63.7</v>
      </c>
      <c r="BJ756" s="34">
        <v>2.7370999999999999</v>
      </c>
      <c r="BK756" s="35">
        <v>0.11496000000000001</v>
      </c>
      <c r="BL756" s="33"/>
      <c r="BM756" s="33"/>
      <c r="BN756" s="33"/>
      <c r="BO756" s="33"/>
      <c r="BP756" s="520"/>
    </row>
    <row r="757" spans="28:68">
      <c r="AB757" s="514"/>
      <c r="AC757" s="514"/>
      <c r="AD757" s="514"/>
      <c r="AE757" s="514"/>
      <c r="AF757" s="514"/>
      <c r="AG757" s="514"/>
      <c r="AH757" s="514"/>
      <c r="AI757" s="514"/>
      <c r="AJ757" s="514"/>
      <c r="AK757" s="514"/>
      <c r="AL757" s="514"/>
      <c r="AM757" s="514"/>
      <c r="AN757" s="514"/>
      <c r="AO757" s="514"/>
      <c r="AP757" s="514"/>
      <c r="AQ757" s="514"/>
      <c r="AR757" s="514"/>
      <c r="AS757" s="514"/>
      <c r="AT757" s="514"/>
      <c r="AU757" s="514"/>
      <c r="AV757" s="514"/>
      <c r="AW757" s="514"/>
      <c r="AX757" s="514"/>
      <c r="AY757" s="514"/>
      <c r="AZ757" s="514"/>
      <c r="BA757" s="514"/>
      <c r="BB757" s="514"/>
      <c r="BC757" s="520"/>
      <c r="BD757" s="2482"/>
      <c r="BE757" s="30">
        <v>63.8</v>
      </c>
      <c r="BF757" s="31">
        <v>0.72450000000000003</v>
      </c>
      <c r="BG757" s="32">
        <v>724.3</v>
      </c>
      <c r="BH757" s="33"/>
      <c r="BI757" s="30">
        <v>63.8</v>
      </c>
      <c r="BJ757" s="34">
        <v>2.7357</v>
      </c>
      <c r="BK757" s="35">
        <v>0.1149</v>
      </c>
      <c r="BL757" s="33"/>
      <c r="BM757" s="33"/>
      <c r="BN757" s="33"/>
      <c r="BO757" s="33"/>
      <c r="BP757" s="520"/>
    </row>
    <row r="758" spans="28:68">
      <c r="AB758" s="514"/>
      <c r="AC758" s="514"/>
      <c r="AD758" s="514"/>
      <c r="AE758" s="514"/>
      <c r="AF758" s="514"/>
      <c r="AG758" s="514"/>
      <c r="AH758" s="514"/>
      <c r="AI758" s="514"/>
      <c r="AJ758" s="514"/>
      <c r="AK758" s="514"/>
      <c r="AL758" s="514"/>
      <c r="AM758" s="514"/>
      <c r="AN758" s="514"/>
      <c r="AO758" s="514"/>
      <c r="AP758" s="514"/>
      <c r="AQ758" s="514"/>
      <c r="AR758" s="514"/>
      <c r="AS758" s="514"/>
      <c r="AT758" s="514"/>
      <c r="AU758" s="514"/>
      <c r="AV758" s="514"/>
      <c r="AW758" s="514"/>
      <c r="AX758" s="514"/>
      <c r="AY758" s="514"/>
      <c r="AZ758" s="514"/>
      <c r="BA758" s="514"/>
      <c r="BB758" s="514"/>
      <c r="BC758" s="520"/>
      <c r="BD758" s="2482"/>
      <c r="BE758" s="30">
        <v>63.9</v>
      </c>
      <c r="BF758" s="31">
        <v>0.72419999999999995</v>
      </c>
      <c r="BG758" s="32">
        <v>723.9</v>
      </c>
      <c r="BH758" s="33"/>
      <c r="BI758" s="30">
        <v>63.9</v>
      </c>
      <c r="BJ758" s="34">
        <v>2.7343000000000002</v>
      </c>
      <c r="BK758" s="35">
        <v>0.11484</v>
      </c>
      <c r="BL758" s="33"/>
      <c r="BM758" s="33"/>
      <c r="BN758" s="33"/>
      <c r="BO758" s="33"/>
      <c r="BP758" s="520"/>
    </row>
    <row r="759" spans="28:68">
      <c r="AB759" s="514"/>
      <c r="AC759" s="514"/>
      <c r="AD759" s="514"/>
      <c r="AE759" s="514"/>
      <c r="AF759" s="514"/>
      <c r="AG759" s="514"/>
      <c r="AH759" s="514"/>
      <c r="AI759" s="514"/>
      <c r="AJ759" s="514"/>
      <c r="AK759" s="514"/>
      <c r="AL759" s="514"/>
      <c r="AM759" s="514"/>
      <c r="AN759" s="514"/>
      <c r="AO759" s="514"/>
      <c r="AP759" s="514"/>
      <c r="AQ759" s="514"/>
      <c r="AR759" s="514"/>
      <c r="AS759" s="514"/>
      <c r="AT759" s="514"/>
      <c r="AU759" s="514"/>
      <c r="AV759" s="514"/>
      <c r="AW759" s="514"/>
      <c r="AX759" s="514"/>
      <c r="AY759" s="514"/>
      <c r="AZ759" s="514"/>
      <c r="BA759" s="514"/>
      <c r="BB759" s="514"/>
      <c r="BC759" s="520"/>
      <c r="BD759" s="2482"/>
      <c r="BE759" s="30">
        <v>64</v>
      </c>
      <c r="BF759" s="31">
        <v>0.7238</v>
      </c>
      <c r="BG759" s="32">
        <v>723.6</v>
      </c>
      <c r="BH759" s="33"/>
      <c r="BI759" s="30">
        <v>64</v>
      </c>
      <c r="BJ759" s="34">
        <v>2.7328999999999999</v>
      </c>
      <c r="BK759" s="35">
        <v>0.11477999999999999</v>
      </c>
      <c r="BL759" s="33"/>
      <c r="BM759" s="33"/>
      <c r="BN759" s="33"/>
      <c r="BO759" s="33"/>
      <c r="BP759" s="520"/>
    </row>
    <row r="760" spans="28:68">
      <c r="AB760" s="514"/>
      <c r="AC760" s="514"/>
      <c r="AD760" s="514"/>
      <c r="AE760" s="514"/>
      <c r="AF760" s="514"/>
      <c r="AG760" s="514"/>
      <c r="AH760" s="514"/>
      <c r="AI760" s="514"/>
      <c r="AJ760" s="514"/>
      <c r="AK760" s="514"/>
      <c r="AL760" s="514"/>
      <c r="AM760" s="514"/>
      <c r="AN760" s="514"/>
      <c r="AO760" s="514"/>
      <c r="AP760" s="514"/>
      <c r="AQ760" s="514"/>
      <c r="AR760" s="514"/>
      <c r="AS760" s="514"/>
      <c r="AT760" s="514"/>
      <c r="AU760" s="514"/>
      <c r="AV760" s="514"/>
      <c r="AW760" s="514"/>
      <c r="AX760" s="514"/>
      <c r="AY760" s="514"/>
      <c r="AZ760" s="514"/>
      <c r="BA760" s="514"/>
      <c r="BB760" s="514"/>
      <c r="BC760" s="520"/>
      <c r="BD760" s="2482"/>
      <c r="BE760" s="30">
        <v>64.099999999999994</v>
      </c>
      <c r="BF760" s="31">
        <v>0.72340000000000004</v>
      </c>
      <c r="BG760" s="32">
        <v>723.2</v>
      </c>
      <c r="BH760" s="33"/>
      <c r="BI760" s="30">
        <v>64.099999999999994</v>
      </c>
      <c r="BJ760" s="34">
        <v>2.7315</v>
      </c>
      <c r="BK760" s="35">
        <v>0.11472</v>
      </c>
      <c r="BL760" s="33"/>
      <c r="BM760" s="33"/>
      <c r="BN760" s="33"/>
      <c r="BO760" s="33"/>
      <c r="BP760" s="520"/>
    </row>
    <row r="761" spans="28:68">
      <c r="AB761" s="514"/>
      <c r="AC761" s="514"/>
      <c r="AD761" s="514"/>
      <c r="AE761" s="514"/>
      <c r="AF761" s="514"/>
      <c r="AG761" s="514"/>
      <c r="AH761" s="514"/>
      <c r="AI761" s="514"/>
      <c r="AJ761" s="514"/>
      <c r="AK761" s="514"/>
      <c r="AL761" s="514"/>
      <c r="AM761" s="514"/>
      <c r="AN761" s="514"/>
      <c r="AO761" s="514"/>
      <c r="AP761" s="514"/>
      <c r="AQ761" s="514"/>
      <c r="AR761" s="514"/>
      <c r="AS761" s="514"/>
      <c r="AT761" s="514"/>
      <c r="AU761" s="514"/>
      <c r="AV761" s="514"/>
      <c r="AW761" s="514"/>
      <c r="AX761" s="514"/>
      <c r="AY761" s="514"/>
      <c r="AZ761" s="514"/>
      <c r="BA761" s="514"/>
      <c r="BB761" s="514"/>
      <c r="BC761" s="520"/>
      <c r="BD761" s="2482"/>
      <c r="BE761" s="30">
        <v>64.2</v>
      </c>
      <c r="BF761" s="31">
        <v>0.72299999999999998</v>
      </c>
      <c r="BG761" s="32">
        <v>722.8</v>
      </c>
      <c r="BH761" s="33"/>
      <c r="BI761" s="30">
        <v>64.2</v>
      </c>
      <c r="BJ761" s="34">
        <v>2.7301000000000002</v>
      </c>
      <c r="BK761" s="35">
        <v>0.11466</v>
      </c>
      <c r="BL761" s="33"/>
      <c r="BM761" s="33"/>
      <c r="BN761" s="33"/>
      <c r="BO761" s="33"/>
      <c r="BP761" s="520"/>
    </row>
    <row r="762" spans="28:68">
      <c r="AB762" s="514"/>
      <c r="AC762" s="514"/>
      <c r="AD762" s="514"/>
      <c r="AE762" s="514"/>
      <c r="AF762" s="514"/>
      <c r="AG762" s="514"/>
      <c r="AH762" s="514"/>
      <c r="AI762" s="514"/>
      <c r="AJ762" s="514"/>
      <c r="AK762" s="514"/>
      <c r="AL762" s="514"/>
      <c r="AM762" s="514"/>
      <c r="AN762" s="514"/>
      <c r="AO762" s="514"/>
      <c r="AP762" s="514"/>
      <c r="AQ762" s="514"/>
      <c r="AR762" s="514"/>
      <c r="AS762" s="514"/>
      <c r="AT762" s="514"/>
      <c r="AU762" s="514"/>
      <c r="AV762" s="514"/>
      <c r="AW762" s="514"/>
      <c r="AX762" s="514"/>
      <c r="AY762" s="514"/>
      <c r="AZ762" s="514"/>
      <c r="BA762" s="514"/>
      <c r="BB762" s="514"/>
      <c r="BC762" s="520"/>
      <c r="BD762" s="2482"/>
      <c r="BE762" s="30">
        <v>64.3</v>
      </c>
      <c r="BF762" s="31">
        <v>0.72270000000000001</v>
      </c>
      <c r="BG762" s="32">
        <v>722.5</v>
      </c>
      <c r="BH762" s="33"/>
      <c r="BI762" s="30">
        <v>64.3</v>
      </c>
      <c r="BJ762" s="34">
        <v>2.7286999999999999</v>
      </c>
      <c r="BK762" s="35">
        <v>0.11461</v>
      </c>
      <c r="BL762" s="33"/>
      <c r="BM762" s="33"/>
      <c r="BN762" s="33"/>
      <c r="BO762" s="33"/>
      <c r="BP762" s="520"/>
    </row>
    <row r="763" spans="28:68">
      <c r="AB763" s="514"/>
      <c r="AC763" s="514"/>
      <c r="AD763" s="514"/>
      <c r="AE763" s="514"/>
      <c r="AF763" s="514"/>
      <c r="AG763" s="514"/>
      <c r="AH763" s="514"/>
      <c r="AI763" s="514"/>
      <c r="AJ763" s="514"/>
      <c r="AK763" s="514"/>
      <c r="AL763" s="514"/>
      <c r="AM763" s="514"/>
      <c r="AN763" s="514"/>
      <c r="AO763" s="514"/>
      <c r="AP763" s="514"/>
      <c r="AQ763" s="514"/>
      <c r="AR763" s="514"/>
      <c r="AS763" s="514"/>
      <c r="AT763" s="514"/>
      <c r="AU763" s="514"/>
      <c r="AV763" s="514"/>
      <c r="AW763" s="514"/>
      <c r="AX763" s="514"/>
      <c r="AY763" s="514"/>
      <c r="AZ763" s="514"/>
      <c r="BA763" s="514"/>
      <c r="BB763" s="514"/>
      <c r="BC763" s="520"/>
      <c r="BD763" s="2482"/>
      <c r="BE763" s="30">
        <v>64.400000000000006</v>
      </c>
      <c r="BF763" s="31">
        <v>0.72230000000000005</v>
      </c>
      <c r="BG763" s="32">
        <v>722.1</v>
      </c>
      <c r="BH763" s="33"/>
      <c r="BI763" s="30">
        <v>64.400000000000006</v>
      </c>
      <c r="BJ763" s="34">
        <v>2.7273000000000001</v>
      </c>
      <c r="BK763" s="35">
        <v>0.11455</v>
      </c>
      <c r="BL763" s="33"/>
      <c r="BM763" s="33"/>
      <c r="BN763" s="33"/>
      <c r="BO763" s="33"/>
      <c r="BP763" s="520"/>
    </row>
    <row r="764" spans="28:68">
      <c r="AB764" s="514"/>
      <c r="AC764" s="514"/>
      <c r="AD764" s="514"/>
      <c r="AE764" s="514"/>
      <c r="AF764" s="514"/>
      <c r="AG764" s="514"/>
      <c r="AH764" s="514"/>
      <c r="AI764" s="514"/>
      <c r="AJ764" s="514"/>
      <c r="AK764" s="514"/>
      <c r="AL764" s="514"/>
      <c r="AM764" s="514"/>
      <c r="AN764" s="514"/>
      <c r="AO764" s="514"/>
      <c r="AP764" s="514"/>
      <c r="AQ764" s="514"/>
      <c r="AR764" s="514"/>
      <c r="AS764" s="514"/>
      <c r="AT764" s="514"/>
      <c r="AU764" s="514"/>
      <c r="AV764" s="514"/>
      <c r="AW764" s="514"/>
      <c r="AX764" s="514"/>
      <c r="AY764" s="514"/>
      <c r="AZ764" s="514"/>
      <c r="BA764" s="514"/>
      <c r="BB764" s="514"/>
      <c r="BC764" s="520"/>
      <c r="BD764" s="2482"/>
      <c r="BE764" s="30">
        <v>64.5</v>
      </c>
      <c r="BF764" s="31">
        <v>0.72189999999999999</v>
      </c>
      <c r="BG764" s="32">
        <v>721.7</v>
      </c>
      <c r="BH764" s="33"/>
      <c r="BI764" s="30">
        <v>64.5</v>
      </c>
      <c r="BJ764" s="34">
        <v>2.7259000000000002</v>
      </c>
      <c r="BK764" s="35">
        <v>0.11448999999999999</v>
      </c>
      <c r="BL764" s="33"/>
      <c r="BM764" s="33"/>
      <c r="BN764" s="33"/>
      <c r="BO764" s="33"/>
      <c r="BP764" s="520"/>
    </row>
    <row r="765" spans="28:68">
      <c r="AB765" s="514"/>
      <c r="AC765" s="514"/>
      <c r="AD765" s="514"/>
      <c r="AE765" s="514"/>
      <c r="AF765" s="514"/>
      <c r="AG765" s="514"/>
      <c r="AH765" s="514"/>
      <c r="AI765" s="514"/>
      <c r="AJ765" s="514"/>
      <c r="AK765" s="514"/>
      <c r="AL765" s="514"/>
      <c r="AM765" s="514"/>
      <c r="AN765" s="514"/>
      <c r="AO765" s="514"/>
      <c r="AP765" s="514"/>
      <c r="AQ765" s="514"/>
      <c r="AR765" s="514"/>
      <c r="AS765" s="514"/>
      <c r="AT765" s="514"/>
      <c r="AU765" s="514"/>
      <c r="AV765" s="514"/>
      <c r="AW765" s="514"/>
      <c r="AX765" s="514"/>
      <c r="AY765" s="514"/>
      <c r="AZ765" s="514"/>
      <c r="BA765" s="514"/>
      <c r="BB765" s="514"/>
      <c r="BC765" s="520"/>
      <c r="BD765" s="2482"/>
      <c r="BE765" s="30">
        <v>64.599999999999994</v>
      </c>
      <c r="BF765" s="31">
        <v>0.72160000000000002</v>
      </c>
      <c r="BG765" s="32">
        <v>721.4</v>
      </c>
      <c r="BH765" s="33"/>
      <c r="BI765" s="30">
        <v>64.599999999999994</v>
      </c>
      <c r="BJ765" s="34">
        <v>2.7244999999999999</v>
      </c>
      <c r="BK765" s="35">
        <v>0.11443</v>
      </c>
      <c r="BL765" s="33"/>
      <c r="BM765" s="33"/>
      <c r="BN765" s="33"/>
      <c r="BO765" s="33"/>
      <c r="BP765" s="520"/>
    </row>
    <row r="766" spans="28:68">
      <c r="AB766" s="514"/>
      <c r="AC766" s="514"/>
      <c r="AD766" s="514"/>
      <c r="AE766" s="514"/>
      <c r="AF766" s="514"/>
      <c r="AG766" s="514"/>
      <c r="AH766" s="514"/>
      <c r="AI766" s="514"/>
      <c r="AJ766" s="514"/>
      <c r="AK766" s="514"/>
      <c r="AL766" s="514"/>
      <c r="AM766" s="514"/>
      <c r="AN766" s="514"/>
      <c r="AO766" s="514"/>
      <c r="AP766" s="514"/>
      <c r="AQ766" s="514"/>
      <c r="AR766" s="514"/>
      <c r="AS766" s="514"/>
      <c r="AT766" s="514"/>
      <c r="AU766" s="514"/>
      <c r="AV766" s="514"/>
      <c r="AW766" s="514"/>
      <c r="AX766" s="514"/>
      <c r="AY766" s="514"/>
      <c r="AZ766" s="514"/>
      <c r="BA766" s="514"/>
      <c r="BB766" s="514"/>
      <c r="BC766" s="520"/>
      <c r="BD766" s="2482"/>
      <c r="BE766" s="30">
        <v>64.7</v>
      </c>
      <c r="BF766" s="31">
        <v>0.72119999999999995</v>
      </c>
      <c r="BG766" s="32">
        <v>721</v>
      </c>
      <c r="BH766" s="33"/>
      <c r="BI766" s="30">
        <v>64.7</v>
      </c>
      <c r="BJ766" s="34">
        <v>2.7231000000000001</v>
      </c>
      <c r="BK766" s="35">
        <v>0.11437</v>
      </c>
      <c r="BL766" s="33"/>
      <c r="BM766" s="33"/>
      <c r="BN766" s="33"/>
      <c r="BO766" s="33"/>
      <c r="BP766" s="520"/>
    </row>
    <row r="767" spans="28:68">
      <c r="AB767" s="514"/>
      <c r="AC767" s="514"/>
      <c r="AD767" s="514"/>
      <c r="AE767" s="514"/>
      <c r="AF767" s="514"/>
      <c r="AG767" s="514"/>
      <c r="AH767" s="514"/>
      <c r="AI767" s="514"/>
      <c r="AJ767" s="514"/>
      <c r="AK767" s="514"/>
      <c r="AL767" s="514"/>
      <c r="AM767" s="514"/>
      <c r="AN767" s="514"/>
      <c r="AO767" s="514"/>
      <c r="AP767" s="514"/>
      <c r="AQ767" s="514"/>
      <c r="AR767" s="514"/>
      <c r="AS767" s="514"/>
      <c r="AT767" s="514"/>
      <c r="AU767" s="514"/>
      <c r="AV767" s="514"/>
      <c r="AW767" s="514"/>
      <c r="AX767" s="514"/>
      <c r="AY767" s="514"/>
      <c r="AZ767" s="514"/>
      <c r="BA767" s="514"/>
      <c r="BB767" s="514"/>
      <c r="BC767" s="520"/>
      <c r="BD767" s="2482"/>
      <c r="BE767" s="30">
        <v>64.8</v>
      </c>
      <c r="BF767" s="31">
        <v>0.7208</v>
      </c>
      <c r="BG767" s="32">
        <v>720.6</v>
      </c>
      <c r="BH767" s="33"/>
      <c r="BI767" s="30">
        <v>64.8</v>
      </c>
      <c r="BJ767" s="34">
        <v>2.7218</v>
      </c>
      <c r="BK767" s="35">
        <v>0.11430999999999999</v>
      </c>
      <c r="BL767" s="33"/>
      <c r="BM767" s="33"/>
      <c r="BN767" s="33"/>
      <c r="BO767" s="33"/>
      <c r="BP767" s="520"/>
    </row>
    <row r="768" spans="28:68">
      <c r="AB768" s="514"/>
      <c r="AC768" s="514"/>
      <c r="AD768" s="514"/>
      <c r="AE768" s="514"/>
      <c r="AF768" s="514"/>
      <c r="AG768" s="514"/>
      <c r="AH768" s="514"/>
      <c r="AI768" s="514"/>
      <c r="AJ768" s="514"/>
      <c r="AK768" s="514"/>
      <c r="AL768" s="514"/>
      <c r="AM768" s="514"/>
      <c r="AN768" s="514"/>
      <c r="AO768" s="514"/>
      <c r="AP768" s="514"/>
      <c r="AQ768" s="514"/>
      <c r="AR768" s="514"/>
      <c r="AS768" s="514"/>
      <c r="AT768" s="514"/>
      <c r="AU768" s="514"/>
      <c r="AV768" s="514"/>
      <c r="AW768" s="514"/>
      <c r="AX768" s="514"/>
      <c r="AY768" s="514"/>
      <c r="AZ768" s="514"/>
      <c r="BA768" s="514"/>
      <c r="BB768" s="514"/>
      <c r="BC768" s="520"/>
      <c r="BD768" s="2482"/>
      <c r="BE768" s="30">
        <v>64.900000000000006</v>
      </c>
      <c r="BF768" s="31">
        <v>0.72050000000000003</v>
      </c>
      <c r="BG768" s="32">
        <v>720.3</v>
      </c>
      <c r="BH768" s="33"/>
      <c r="BI768" s="30">
        <v>64.900000000000006</v>
      </c>
      <c r="BJ768" s="34">
        <v>2.7204000000000002</v>
      </c>
      <c r="BK768" s="35">
        <v>0.11426</v>
      </c>
      <c r="BL768" s="33"/>
      <c r="BM768" s="33"/>
      <c r="BN768" s="33"/>
      <c r="BO768" s="33"/>
      <c r="BP768" s="520"/>
    </row>
    <row r="769" spans="28:68">
      <c r="AB769" s="514"/>
      <c r="AC769" s="514"/>
      <c r="AD769" s="514"/>
      <c r="AE769" s="514"/>
      <c r="AF769" s="514"/>
      <c r="AG769" s="514"/>
      <c r="AH769" s="514"/>
      <c r="AI769" s="514"/>
      <c r="AJ769" s="514"/>
      <c r="AK769" s="514"/>
      <c r="AL769" s="514"/>
      <c r="AM769" s="514"/>
      <c r="AN769" s="514"/>
      <c r="AO769" s="514"/>
      <c r="AP769" s="514"/>
      <c r="AQ769" s="514"/>
      <c r="AR769" s="514"/>
      <c r="AS769" s="514"/>
      <c r="AT769" s="514"/>
      <c r="AU769" s="514"/>
      <c r="AV769" s="514"/>
      <c r="AW769" s="514"/>
      <c r="AX769" s="514"/>
      <c r="AY769" s="514"/>
      <c r="AZ769" s="514"/>
      <c r="BA769" s="514"/>
      <c r="BB769" s="514"/>
      <c r="BC769" s="520"/>
      <c r="BD769" s="2482"/>
      <c r="BE769" s="30">
        <v>65</v>
      </c>
      <c r="BF769" s="31">
        <v>0.72009999999999996</v>
      </c>
      <c r="BG769" s="32">
        <v>719.9</v>
      </c>
      <c r="BH769" s="33"/>
      <c r="BI769" s="30">
        <v>65</v>
      </c>
      <c r="BJ769" s="34">
        <v>2.7189999999999999</v>
      </c>
      <c r="BK769" s="35">
        <v>0.1142</v>
      </c>
      <c r="BL769" s="33"/>
      <c r="BM769" s="33"/>
      <c r="BN769" s="33"/>
      <c r="BO769" s="33"/>
      <c r="BP769" s="520"/>
    </row>
    <row r="770" spans="28:68">
      <c r="AB770" s="514"/>
      <c r="AC770" s="514"/>
      <c r="AD770" s="514"/>
      <c r="AE770" s="514"/>
      <c r="AF770" s="514"/>
      <c r="AG770" s="514"/>
      <c r="AH770" s="514"/>
      <c r="AI770" s="514"/>
      <c r="AJ770" s="514"/>
      <c r="AK770" s="514"/>
      <c r="AL770" s="514"/>
      <c r="AM770" s="514"/>
      <c r="AN770" s="514"/>
      <c r="AO770" s="514"/>
      <c r="AP770" s="514"/>
      <c r="AQ770" s="514"/>
      <c r="AR770" s="514"/>
      <c r="AS770" s="514"/>
      <c r="AT770" s="514"/>
      <c r="AU770" s="514"/>
      <c r="AV770" s="514"/>
      <c r="AW770" s="514"/>
      <c r="AX770" s="514"/>
      <c r="AY770" s="514"/>
      <c r="AZ770" s="514"/>
      <c r="BA770" s="514"/>
      <c r="BB770" s="514"/>
      <c r="BC770" s="520"/>
      <c r="BD770" s="2482"/>
      <c r="BE770" s="30">
        <v>65.099999999999994</v>
      </c>
      <c r="BF770" s="31">
        <v>0.71970000000000001</v>
      </c>
      <c r="BG770" s="32">
        <v>719.5</v>
      </c>
      <c r="BH770" s="33"/>
      <c r="BI770" s="30">
        <v>65.099999999999994</v>
      </c>
      <c r="BJ770" s="34">
        <v>2.7176</v>
      </c>
      <c r="BK770" s="35">
        <v>0.11414000000000001</v>
      </c>
      <c r="BL770" s="33"/>
      <c r="BM770" s="33"/>
      <c r="BN770" s="33"/>
      <c r="BO770" s="33"/>
      <c r="BP770" s="520"/>
    </row>
    <row r="771" spans="28:68">
      <c r="AB771" s="514"/>
      <c r="AC771" s="514"/>
      <c r="AD771" s="514"/>
      <c r="AE771" s="514"/>
      <c r="AF771" s="514"/>
      <c r="AG771" s="514"/>
      <c r="AH771" s="514"/>
      <c r="AI771" s="514"/>
      <c r="AJ771" s="514"/>
      <c r="AK771" s="514"/>
      <c r="AL771" s="514"/>
      <c r="AM771" s="514"/>
      <c r="AN771" s="514"/>
      <c r="AO771" s="514"/>
      <c r="AP771" s="514"/>
      <c r="AQ771" s="514"/>
      <c r="AR771" s="514"/>
      <c r="AS771" s="514"/>
      <c r="AT771" s="514"/>
      <c r="AU771" s="514"/>
      <c r="AV771" s="514"/>
      <c r="AW771" s="514"/>
      <c r="AX771" s="514"/>
      <c r="AY771" s="514"/>
      <c r="AZ771" s="514"/>
      <c r="BA771" s="514"/>
      <c r="BB771" s="514"/>
      <c r="BC771" s="520"/>
      <c r="BD771" s="2482"/>
      <c r="BE771" s="30">
        <v>65.2</v>
      </c>
      <c r="BF771" s="31">
        <v>0.71940000000000004</v>
      </c>
      <c r="BG771" s="32">
        <v>719.2</v>
      </c>
      <c r="BH771" s="33"/>
      <c r="BI771" s="30">
        <v>65.2</v>
      </c>
      <c r="BJ771" s="34">
        <v>2.7162000000000002</v>
      </c>
      <c r="BK771" s="35">
        <v>0.11408</v>
      </c>
      <c r="BL771" s="33"/>
      <c r="BM771" s="33"/>
      <c r="BN771" s="33"/>
      <c r="BO771" s="33"/>
      <c r="BP771" s="520"/>
    </row>
    <row r="772" spans="28:68">
      <c r="AB772" s="514"/>
      <c r="AC772" s="514"/>
      <c r="AD772" s="514"/>
      <c r="AE772" s="514"/>
      <c r="AF772" s="514"/>
      <c r="AG772" s="514"/>
      <c r="AH772" s="514"/>
      <c r="AI772" s="514"/>
      <c r="AJ772" s="514"/>
      <c r="AK772" s="514"/>
      <c r="AL772" s="514"/>
      <c r="AM772" s="514"/>
      <c r="AN772" s="514"/>
      <c r="AO772" s="514"/>
      <c r="AP772" s="514"/>
      <c r="AQ772" s="514"/>
      <c r="AR772" s="514"/>
      <c r="AS772" s="514"/>
      <c r="AT772" s="514"/>
      <c r="AU772" s="514"/>
      <c r="AV772" s="514"/>
      <c r="AW772" s="514"/>
      <c r="AX772" s="514"/>
      <c r="AY772" s="514"/>
      <c r="AZ772" s="514"/>
      <c r="BA772" s="514"/>
      <c r="BB772" s="514"/>
      <c r="BC772" s="520"/>
      <c r="BD772" s="2482"/>
      <c r="BE772" s="30">
        <v>65.3</v>
      </c>
      <c r="BF772" s="31">
        <v>0.71899999999999997</v>
      </c>
      <c r="BG772" s="32">
        <v>718.8</v>
      </c>
      <c r="BH772" s="33"/>
      <c r="BI772" s="30">
        <v>65.3</v>
      </c>
      <c r="BJ772" s="34">
        <v>2.7147999999999999</v>
      </c>
      <c r="BK772" s="35">
        <v>0.11402</v>
      </c>
      <c r="BL772" s="33"/>
      <c r="BM772" s="33"/>
      <c r="BN772" s="33"/>
      <c r="BO772" s="33"/>
      <c r="BP772" s="520"/>
    </row>
    <row r="773" spans="28:68">
      <c r="AB773" s="514"/>
      <c r="AC773" s="514"/>
      <c r="AD773" s="514"/>
      <c r="AE773" s="514"/>
      <c r="AF773" s="514"/>
      <c r="AG773" s="514"/>
      <c r="AH773" s="514"/>
      <c r="AI773" s="514"/>
      <c r="AJ773" s="514"/>
      <c r="AK773" s="514"/>
      <c r="AL773" s="514"/>
      <c r="AM773" s="514"/>
      <c r="AN773" s="514"/>
      <c r="AO773" s="514"/>
      <c r="AP773" s="514"/>
      <c r="AQ773" s="514"/>
      <c r="AR773" s="514"/>
      <c r="AS773" s="514"/>
      <c r="AT773" s="514"/>
      <c r="AU773" s="514"/>
      <c r="AV773" s="514"/>
      <c r="AW773" s="514"/>
      <c r="AX773" s="514"/>
      <c r="AY773" s="514"/>
      <c r="AZ773" s="514"/>
      <c r="BA773" s="514"/>
      <c r="BB773" s="514"/>
      <c r="BC773" s="520"/>
      <c r="BD773" s="2482"/>
      <c r="BE773" s="30">
        <v>65.400000000000006</v>
      </c>
      <c r="BF773" s="31">
        <v>0.71860000000000002</v>
      </c>
      <c r="BG773" s="32">
        <v>718.4</v>
      </c>
      <c r="BH773" s="33"/>
      <c r="BI773" s="30">
        <v>65.400000000000006</v>
      </c>
      <c r="BJ773" s="34">
        <v>2.7134</v>
      </c>
      <c r="BK773" s="35">
        <v>0.11396000000000001</v>
      </c>
      <c r="BL773" s="33"/>
      <c r="BM773" s="33"/>
      <c r="BN773" s="33"/>
      <c r="BO773" s="33"/>
      <c r="BP773" s="520"/>
    </row>
    <row r="774" spans="28:68">
      <c r="AB774" s="514"/>
      <c r="AC774" s="514"/>
      <c r="AD774" s="514"/>
      <c r="AE774" s="514"/>
      <c r="AF774" s="514"/>
      <c r="AG774" s="514"/>
      <c r="AH774" s="514"/>
      <c r="AI774" s="514"/>
      <c r="AJ774" s="514"/>
      <c r="AK774" s="514"/>
      <c r="AL774" s="514"/>
      <c r="AM774" s="514"/>
      <c r="AN774" s="514"/>
      <c r="AO774" s="514"/>
      <c r="AP774" s="514"/>
      <c r="AQ774" s="514"/>
      <c r="AR774" s="514"/>
      <c r="AS774" s="514"/>
      <c r="AT774" s="514"/>
      <c r="AU774" s="514"/>
      <c r="AV774" s="514"/>
      <c r="AW774" s="514"/>
      <c r="AX774" s="514"/>
      <c r="AY774" s="514"/>
      <c r="AZ774" s="514"/>
      <c r="BA774" s="514"/>
      <c r="BB774" s="514"/>
      <c r="BC774" s="520"/>
      <c r="BD774" s="2482"/>
      <c r="BE774" s="30">
        <v>65.5</v>
      </c>
      <c r="BF774" s="31">
        <v>0.71830000000000005</v>
      </c>
      <c r="BG774" s="32">
        <v>718.1</v>
      </c>
      <c r="BH774" s="33"/>
      <c r="BI774" s="30">
        <v>65.5</v>
      </c>
      <c r="BJ774" s="34">
        <v>2.7121</v>
      </c>
      <c r="BK774" s="35">
        <v>0.11391</v>
      </c>
      <c r="BL774" s="33"/>
      <c r="BM774" s="33"/>
      <c r="BN774" s="33"/>
      <c r="BO774" s="33"/>
      <c r="BP774" s="520"/>
    </row>
    <row r="775" spans="28:68">
      <c r="AB775" s="514"/>
      <c r="AC775" s="514"/>
      <c r="AD775" s="514"/>
      <c r="AE775" s="514"/>
      <c r="AF775" s="514"/>
      <c r="AG775" s="514"/>
      <c r="AH775" s="514"/>
      <c r="AI775" s="514"/>
      <c r="AJ775" s="514"/>
      <c r="AK775" s="514"/>
      <c r="AL775" s="514"/>
      <c r="AM775" s="514"/>
      <c r="AN775" s="514"/>
      <c r="AO775" s="514"/>
      <c r="AP775" s="514"/>
      <c r="AQ775" s="514"/>
      <c r="AR775" s="514"/>
      <c r="AS775" s="514"/>
      <c r="AT775" s="514"/>
      <c r="AU775" s="514"/>
      <c r="AV775" s="514"/>
      <c r="AW775" s="514"/>
      <c r="AX775" s="514"/>
      <c r="AY775" s="514"/>
      <c r="AZ775" s="514"/>
      <c r="BA775" s="514"/>
      <c r="BB775" s="514"/>
      <c r="BC775" s="520"/>
      <c r="BD775" s="2482"/>
      <c r="BE775" s="30">
        <v>65.599999999999994</v>
      </c>
      <c r="BF775" s="31">
        <v>0.71789999999999998</v>
      </c>
      <c r="BG775" s="32">
        <v>717.7</v>
      </c>
      <c r="BH775" s="33"/>
      <c r="BI775" s="30">
        <v>65.599999999999994</v>
      </c>
      <c r="BJ775" s="34">
        <v>2.7107000000000001</v>
      </c>
      <c r="BK775" s="35">
        <v>0.11385000000000001</v>
      </c>
      <c r="BL775" s="33"/>
      <c r="BM775" s="33"/>
      <c r="BN775" s="33"/>
      <c r="BO775" s="33"/>
      <c r="BP775" s="520"/>
    </row>
    <row r="776" spans="28:68">
      <c r="AB776" s="514"/>
      <c r="AC776" s="514"/>
      <c r="AD776" s="514"/>
      <c r="AE776" s="514"/>
      <c r="AF776" s="514"/>
      <c r="AG776" s="514"/>
      <c r="AH776" s="514"/>
      <c r="AI776" s="514"/>
      <c r="AJ776" s="514"/>
      <c r="AK776" s="514"/>
      <c r="AL776" s="514"/>
      <c r="AM776" s="514"/>
      <c r="AN776" s="514"/>
      <c r="AO776" s="514"/>
      <c r="AP776" s="514"/>
      <c r="AQ776" s="514"/>
      <c r="AR776" s="514"/>
      <c r="AS776" s="514"/>
      <c r="AT776" s="514"/>
      <c r="AU776" s="514"/>
      <c r="AV776" s="514"/>
      <c r="AW776" s="514"/>
      <c r="AX776" s="514"/>
      <c r="AY776" s="514"/>
      <c r="AZ776" s="514"/>
      <c r="BA776" s="514"/>
      <c r="BB776" s="514"/>
      <c r="BC776" s="520"/>
      <c r="BD776" s="2482"/>
      <c r="BE776" s="30">
        <v>65.7</v>
      </c>
      <c r="BF776" s="31">
        <v>0.71750000000000003</v>
      </c>
      <c r="BG776" s="32">
        <v>717.3</v>
      </c>
      <c r="BH776" s="33"/>
      <c r="BI776" s="30">
        <v>65.7</v>
      </c>
      <c r="BJ776" s="34">
        <v>2.7092999999999998</v>
      </c>
      <c r="BK776" s="35">
        <v>0.11379</v>
      </c>
      <c r="BL776" s="33"/>
      <c r="BM776" s="33"/>
      <c r="BN776" s="33"/>
      <c r="BO776" s="33"/>
      <c r="BP776" s="520"/>
    </row>
    <row r="777" spans="28:68">
      <c r="AB777" s="514"/>
      <c r="AC777" s="514"/>
      <c r="AD777" s="514"/>
      <c r="AE777" s="514"/>
      <c r="AF777" s="514"/>
      <c r="AG777" s="514"/>
      <c r="AH777" s="514"/>
      <c r="AI777" s="514"/>
      <c r="AJ777" s="514"/>
      <c r="AK777" s="514"/>
      <c r="AL777" s="514"/>
      <c r="AM777" s="514"/>
      <c r="AN777" s="514"/>
      <c r="AO777" s="514"/>
      <c r="AP777" s="514"/>
      <c r="AQ777" s="514"/>
      <c r="AR777" s="514"/>
      <c r="AS777" s="514"/>
      <c r="AT777" s="514"/>
      <c r="AU777" s="514"/>
      <c r="AV777" s="514"/>
      <c r="AW777" s="514"/>
      <c r="AX777" s="514"/>
      <c r="AY777" s="514"/>
      <c r="AZ777" s="514"/>
      <c r="BA777" s="514"/>
      <c r="BB777" s="514"/>
      <c r="BC777" s="520"/>
      <c r="BD777" s="2482"/>
      <c r="BE777" s="30">
        <v>65.8</v>
      </c>
      <c r="BF777" s="31">
        <v>0.71719999999999995</v>
      </c>
      <c r="BG777" s="32">
        <v>717</v>
      </c>
      <c r="BH777" s="33"/>
      <c r="BI777" s="30">
        <v>65.8</v>
      </c>
      <c r="BJ777" s="34">
        <v>2.7079</v>
      </c>
      <c r="BK777" s="35">
        <v>0.11373</v>
      </c>
      <c r="BL777" s="33"/>
      <c r="BM777" s="33"/>
      <c r="BN777" s="33"/>
      <c r="BO777" s="33"/>
      <c r="BP777" s="520"/>
    </row>
    <row r="778" spans="28:68">
      <c r="AB778" s="514"/>
      <c r="AC778" s="514"/>
      <c r="AD778" s="514"/>
      <c r="AE778" s="514"/>
      <c r="AF778" s="514"/>
      <c r="AG778" s="514"/>
      <c r="AH778" s="514"/>
      <c r="AI778" s="514"/>
      <c r="AJ778" s="514"/>
      <c r="AK778" s="514"/>
      <c r="AL778" s="514"/>
      <c r="AM778" s="514"/>
      <c r="AN778" s="514"/>
      <c r="AO778" s="514"/>
      <c r="AP778" s="514"/>
      <c r="AQ778" s="514"/>
      <c r="AR778" s="514"/>
      <c r="AS778" s="514"/>
      <c r="AT778" s="514"/>
      <c r="AU778" s="514"/>
      <c r="AV778" s="514"/>
      <c r="AW778" s="514"/>
      <c r="AX778" s="514"/>
      <c r="AY778" s="514"/>
      <c r="AZ778" s="514"/>
      <c r="BA778" s="514"/>
      <c r="BB778" s="514"/>
      <c r="BC778" s="520"/>
      <c r="BD778" s="2482"/>
      <c r="BE778" s="30">
        <v>65.900000000000006</v>
      </c>
      <c r="BF778" s="31">
        <v>0.71679999999999999</v>
      </c>
      <c r="BG778" s="32">
        <v>716.6</v>
      </c>
      <c r="BH778" s="33"/>
      <c r="BI778" s="30">
        <v>65.900000000000006</v>
      </c>
      <c r="BJ778" s="34">
        <v>2.7065999999999999</v>
      </c>
      <c r="BK778" s="35">
        <v>0.11368</v>
      </c>
      <c r="BL778" s="33"/>
      <c r="BM778" s="33"/>
      <c r="BN778" s="33"/>
      <c r="BO778" s="33"/>
      <c r="BP778" s="520"/>
    </row>
    <row r="779" spans="28:68">
      <c r="AB779" s="514"/>
      <c r="AC779" s="514"/>
      <c r="AD779" s="514"/>
      <c r="AE779" s="514"/>
      <c r="AF779" s="514"/>
      <c r="AG779" s="514"/>
      <c r="AH779" s="514"/>
      <c r="AI779" s="514"/>
      <c r="AJ779" s="514"/>
      <c r="AK779" s="514"/>
      <c r="AL779" s="514"/>
      <c r="AM779" s="514"/>
      <c r="AN779" s="514"/>
      <c r="AO779" s="514"/>
      <c r="AP779" s="514"/>
      <c r="AQ779" s="514"/>
      <c r="AR779" s="514"/>
      <c r="AS779" s="514"/>
      <c r="AT779" s="514"/>
      <c r="AU779" s="514"/>
      <c r="AV779" s="514"/>
      <c r="AW779" s="514"/>
      <c r="AX779" s="514"/>
      <c r="AY779" s="514"/>
      <c r="AZ779" s="514"/>
      <c r="BA779" s="514"/>
      <c r="BB779" s="514"/>
      <c r="BC779" s="520"/>
      <c r="BD779" s="2482"/>
      <c r="BE779" s="30">
        <v>66</v>
      </c>
      <c r="BF779" s="31">
        <v>0.71650000000000003</v>
      </c>
      <c r="BG779" s="32">
        <v>716.3</v>
      </c>
      <c r="BH779" s="33"/>
      <c r="BI779" s="30">
        <v>66</v>
      </c>
      <c r="BJ779" s="34">
        <v>2.7052</v>
      </c>
      <c r="BK779" s="35">
        <v>0.11362</v>
      </c>
      <c r="BL779" s="33"/>
      <c r="BM779" s="33"/>
      <c r="BN779" s="33"/>
      <c r="BO779" s="33"/>
      <c r="BP779" s="520"/>
    </row>
    <row r="780" spans="28:68">
      <c r="AB780" s="514"/>
      <c r="AC780" s="514"/>
      <c r="AD780" s="514"/>
      <c r="AE780" s="514"/>
      <c r="AF780" s="514"/>
      <c r="AG780" s="514"/>
      <c r="AH780" s="514"/>
      <c r="AI780" s="514"/>
      <c r="AJ780" s="514"/>
      <c r="AK780" s="514"/>
      <c r="AL780" s="514"/>
      <c r="AM780" s="514"/>
      <c r="AN780" s="514"/>
      <c r="AO780" s="514"/>
      <c r="AP780" s="514"/>
      <c r="AQ780" s="514"/>
      <c r="AR780" s="514"/>
      <c r="AS780" s="514"/>
      <c r="AT780" s="514"/>
      <c r="AU780" s="514"/>
      <c r="AV780" s="514"/>
      <c r="AW780" s="514"/>
      <c r="AX780" s="514"/>
      <c r="AY780" s="514"/>
      <c r="AZ780" s="514"/>
      <c r="BA780" s="514"/>
      <c r="BB780" s="514"/>
      <c r="BC780" s="520"/>
      <c r="BD780" s="2482"/>
      <c r="BE780" s="30">
        <v>66.099999999999994</v>
      </c>
      <c r="BF780" s="31">
        <v>0.71609999999999996</v>
      </c>
      <c r="BG780" s="32">
        <v>715.9</v>
      </c>
      <c r="BH780" s="33"/>
      <c r="BI780" s="30">
        <v>66.099999999999994</v>
      </c>
      <c r="BJ780" s="34">
        <v>2.7038000000000002</v>
      </c>
      <c r="BK780" s="35">
        <v>0.11355999999999999</v>
      </c>
      <c r="BL780" s="33"/>
      <c r="BM780" s="33"/>
      <c r="BN780" s="33"/>
      <c r="BO780" s="33"/>
      <c r="BP780" s="520"/>
    </row>
    <row r="781" spans="28:68">
      <c r="AB781" s="514"/>
      <c r="AC781" s="514"/>
      <c r="AD781" s="514"/>
      <c r="AE781" s="514"/>
      <c r="AF781" s="514"/>
      <c r="AG781" s="514"/>
      <c r="AH781" s="514"/>
      <c r="AI781" s="514"/>
      <c r="AJ781" s="514"/>
      <c r="AK781" s="514"/>
      <c r="AL781" s="514"/>
      <c r="AM781" s="514"/>
      <c r="AN781" s="514"/>
      <c r="AO781" s="514"/>
      <c r="AP781" s="514"/>
      <c r="AQ781" s="514"/>
      <c r="AR781" s="514"/>
      <c r="AS781" s="514"/>
      <c r="AT781" s="514"/>
      <c r="AU781" s="514"/>
      <c r="AV781" s="514"/>
      <c r="AW781" s="514"/>
      <c r="AX781" s="514"/>
      <c r="AY781" s="514"/>
      <c r="AZ781" s="514"/>
      <c r="BA781" s="514"/>
      <c r="BB781" s="514"/>
      <c r="BC781" s="520"/>
      <c r="BD781" s="2482"/>
      <c r="BE781" s="30">
        <v>66.2</v>
      </c>
      <c r="BF781" s="31">
        <v>0.7157</v>
      </c>
      <c r="BG781" s="32">
        <v>715.5</v>
      </c>
      <c r="BH781" s="33"/>
      <c r="BI781" s="30">
        <v>66.2</v>
      </c>
      <c r="BJ781" s="34">
        <v>2.7023999999999999</v>
      </c>
      <c r="BK781" s="35">
        <v>0.1135</v>
      </c>
      <c r="BL781" s="33"/>
      <c r="BM781" s="33"/>
      <c r="BN781" s="33"/>
      <c r="BO781" s="33"/>
      <c r="BP781" s="520"/>
    </row>
    <row r="782" spans="28:68">
      <c r="AB782" s="514"/>
      <c r="AC782" s="514"/>
      <c r="AD782" s="514"/>
      <c r="AE782" s="514"/>
      <c r="AF782" s="514"/>
      <c r="AG782" s="514"/>
      <c r="AH782" s="514"/>
      <c r="AI782" s="514"/>
      <c r="AJ782" s="514"/>
      <c r="AK782" s="514"/>
      <c r="AL782" s="514"/>
      <c r="AM782" s="514"/>
      <c r="AN782" s="514"/>
      <c r="AO782" s="514"/>
      <c r="AP782" s="514"/>
      <c r="AQ782" s="514"/>
      <c r="AR782" s="514"/>
      <c r="AS782" s="514"/>
      <c r="AT782" s="514"/>
      <c r="AU782" s="514"/>
      <c r="AV782" s="514"/>
      <c r="AW782" s="514"/>
      <c r="AX782" s="514"/>
      <c r="AY782" s="514"/>
      <c r="AZ782" s="514"/>
      <c r="BA782" s="514"/>
      <c r="BB782" s="514"/>
      <c r="BC782" s="520"/>
      <c r="BD782" s="2482"/>
      <c r="BE782" s="30">
        <v>66.3</v>
      </c>
      <c r="BF782" s="31">
        <v>0.71540000000000004</v>
      </c>
      <c r="BG782" s="32">
        <v>715.2</v>
      </c>
      <c r="BH782" s="33"/>
      <c r="BI782" s="30">
        <v>66.3</v>
      </c>
      <c r="BJ782" s="34">
        <v>2.7010999999999998</v>
      </c>
      <c r="BK782" s="35">
        <v>0.11345</v>
      </c>
      <c r="BL782" s="33"/>
      <c r="BM782" s="33"/>
      <c r="BN782" s="33"/>
      <c r="BO782" s="33"/>
      <c r="BP782" s="520"/>
    </row>
    <row r="783" spans="28:68">
      <c r="AB783" s="514"/>
      <c r="AC783" s="514"/>
      <c r="AD783" s="514"/>
      <c r="AE783" s="514"/>
      <c r="AF783" s="514"/>
      <c r="AG783" s="514"/>
      <c r="AH783" s="514"/>
      <c r="AI783" s="514"/>
      <c r="AJ783" s="514"/>
      <c r="AK783" s="514"/>
      <c r="AL783" s="514"/>
      <c r="AM783" s="514"/>
      <c r="AN783" s="514"/>
      <c r="AO783" s="514"/>
      <c r="AP783" s="514"/>
      <c r="AQ783" s="514"/>
      <c r="AR783" s="514"/>
      <c r="AS783" s="514"/>
      <c r="AT783" s="514"/>
      <c r="AU783" s="514"/>
      <c r="AV783" s="514"/>
      <c r="AW783" s="514"/>
      <c r="AX783" s="514"/>
      <c r="AY783" s="514"/>
      <c r="AZ783" s="514"/>
      <c r="BA783" s="514"/>
      <c r="BB783" s="514"/>
      <c r="BC783" s="520"/>
      <c r="BD783" s="2482"/>
      <c r="BE783" s="30">
        <v>66.400000000000006</v>
      </c>
      <c r="BF783" s="31">
        <v>0.71499999999999997</v>
      </c>
      <c r="BG783" s="32">
        <v>714.8</v>
      </c>
      <c r="BH783" s="33"/>
      <c r="BI783" s="30">
        <v>66.400000000000006</v>
      </c>
      <c r="BJ783" s="34">
        <v>2.6997</v>
      </c>
      <c r="BK783" s="35">
        <v>0.11339</v>
      </c>
      <c r="BL783" s="33"/>
      <c r="BM783" s="33"/>
      <c r="BN783" s="33"/>
      <c r="BO783" s="33"/>
      <c r="BP783" s="520"/>
    </row>
    <row r="784" spans="28:68">
      <c r="AB784" s="514"/>
      <c r="AC784" s="514"/>
      <c r="AD784" s="514"/>
      <c r="AE784" s="514"/>
      <c r="AF784" s="514"/>
      <c r="AG784" s="514"/>
      <c r="AH784" s="514"/>
      <c r="AI784" s="514"/>
      <c r="AJ784" s="514"/>
      <c r="AK784" s="514"/>
      <c r="AL784" s="514"/>
      <c r="AM784" s="514"/>
      <c r="AN784" s="514"/>
      <c r="AO784" s="514"/>
      <c r="AP784" s="514"/>
      <c r="AQ784" s="514"/>
      <c r="AR784" s="514"/>
      <c r="AS784" s="514"/>
      <c r="AT784" s="514"/>
      <c r="AU784" s="514"/>
      <c r="AV784" s="514"/>
      <c r="AW784" s="514"/>
      <c r="AX784" s="514"/>
      <c r="AY784" s="514"/>
      <c r="AZ784" s="514"/>
      <c r="BA784" s="514"/>
      <c r="BB784" s="514"/>
      <c r="BC784" s="520"/>
      <c r="BD784" s="2482"/>
      <c r="BE784" s="30">
        <v>66.5</v>
      </c>
      <c r="BF784" s="31">
        <v>0.71460000000000001</v>
      </c>
      <c r="BG784" s="32">
        <v>714.5</v>
      </c>
      <c r="BH784" s="33"/>
      <c r="BI784" s="30">
        <v>66.5</v>
      </c>
      <c r="BJ784" s="34">
        <v>2.6983000000000001</v>
      </c>
      <c r="BK784" s="35">
        <v>0.11333</v>
      </c>
      <c r="BL784" s="33"/>
      <c r="BM784" s="33"/>
      <c r="BN784" s="33"/>
      <c r="BO784" s="33"/>
      <c r="BP784" s="520"/>
    </row>
    <row r="785" spans="28:68">
      <c r="AB785" s="514"/>
      <c r="AC785" s="514"/>
      <c r="AD785" s="514"/>
      <c r="AE785" s="514"/>
      <c r="AF785" s="514"/>
      <c r="AG785" s="514"/>
      <c r="AH785" s="514"/>
      <c r="AI785" s="514"/>
      <c r="AJ785" s="514"/>
      <c r="AK785" s="514"/>
      <c r="AL785" s="514"/>
      <c r="AM785" s="514"/>
      <c r="AN785" s="514"/>
      <c r="AO785" s="514"/>
      <c r="AP785" s="514"/>
      <c r="AQ785" s="514"/>
      <c r="AR785" s="514"/>
      <c r="AS785" s="514"/>
      <c r="AT785" s="514"/>
      <c r="AU785" s="514"/>
      <c r="AV785" s="514"/>
      <c r="AW785" s="514"/>
      <c r="AX785" s="514"/>
      <c r="AY785" s="514"/>
      <c r="AZ785" s="514"/>
      <c r="BA785" s="514"/>
      <c r="BB785" s="514"/>
      <c r="BC785" s="520"/>
      <c r="BD785" s="2482"/>
      <c r="BE785" s="30">
        <v>66.599999999999994</v>
      </c>
      <c r="BF785" s="31">
        <v>0.71430000000000005</v>
      </c>
      <c r="BG785" s="32">
        <v>714.1</v>
      </c>
      <c r="BH785" s="33"/>
      <c r="BI785" s="30">
        <v>66.599999999999994</v>
      </c>
      <c r="BJ785" s="34">
        <v>2.6970000000000001</v>
      </c>
      <c r="BK785" s="35">
        <v>0.11327</v>
      </c>
      <c r="BL785" s="33"/>
      <c r="BM785" s="33"/>
      <c r="BN785" s="33"/>
      <c r="BO785" s="33"/>
      <c r="BP785" s="520"/>
    </row>
    <row r="786" spans="28:68">
      <c r="AB786" s="514"/>
      <c r="AC786" s="514"/>
      <c r="AD786" s="514"/>
      <c r="AE786" s="514"/>
      <c r="AF786" s="514"/>
      <c r="AG786" s="514"/>
      <c r="AH786" s="514"/>
      <c r="AI786" s="514"/>
      <c r="AJ786" s="514"/>
      <c r="AK786" s="514"/>
      <c r="AL786" s="514"/>
      <c r="AM786" s="514"/>
      <c r="AN786" s="514"/>
      <c r="AO786" s="514"/>
      <c r="AP786" s="514"/>
      <c r="AQ786" s="514"/>
      <c r="AR786" s="514"/>
      <c r="AS786" s="514"/>
      <c r="AT786" s="514"/>
      <c r="AU786" s="514"/>
      <c r="AV786" s="514"/>
      <c r="AW786" s="514"/>
      <c r="AX786" s="514"/>
      <c r="AY786" s="514"/>
      <c r="AZ786" s="514"/>
      <c r="BA786" s="514"/>
      <c r="BB786" s="514"/>
      <c r="BC786" s="520"/>
      <c r="BD786" s="2482"/>
      <c r="BE786" s="30">
        <v>66.7</v>
      </c>
      <c r="BF786" s="31">
        <v>0.71389999999999998</v>
      </c>
      <c r="BG786" s="32">
        <v>713.7</v>
      </c>
      <c r="BH786" s="33"/>
      <c r="BI786" s="30">
        <v>66.7</v>
      </c>
      <c r="BJ786" s="34">
        <v>2.6956000000000002</v>
      </c>
      <c r="BK786" s="35">
        <v>0.11322</v>
      </c>
      <c r="BL786" s="33"/>
      <c r="BM786" s="33"/>
      <c r="BN786" s="33"/>
      <c r="BO786" s="33"/>
      <c r="BP786" s="520"/>
    </row>
    <row r="787" spans="28:68">
      <c r="AB787" s="514"/>
      <c r="AC787" s="514"/>
      <c r="AD787" s="514"/>
      <c r="AE787" s="514"/>
      <c r="AF787" s="514"/>
      <c r="AG787" s="514"/>
      <c r="AH787" s="514"/>
      <c r="AI787" s="514"/>
      <c r="AJ787" s="514"/>
      <c r="AK787" s="514"/>
      <c r="AL787" s="514"/>
      <c r="AM787" s="514"/>
      <c r="AN787" s="514"/>
      <c r="AO787" s="514"/>
      <c r="AP787" s="514"/>
      <c r="AQ787" s="514"/>
      <c r="AR787" s="514"/>
      <c r="AS787" s="514"/>
      <c r="AT787" s="514"/>
      <c r="AU787" s="514"/>
      <c r="AV787" s="514"/>
      <c r="AW787" s="514"/>
      <c r="AX787" s="514"/>
      <c r="AY787" s="514"/>
      <c r="AZ787" s="514"/>
      <c r="BA787" s="514"/>
      <c r="BB787" s="514"/>
      <c r="BC787" s="520"/>
      <c r="BD787" s="2482"/>
      <c r="BE787" s="30">
        <v>66.8</v>
      </c>
      <c r="BF787" s="31">
        <v>0.71360000000000001</v>
      </c>
      <c r="BG787" s="32">
        <v>713.4</v>
      </c>
      <c r="BH787" s="33"/>
      <c r="BI787" s="30">
        <v>66.8</v>
      </c>
      <c r="BJ787" s="34">
        <v>2.6943000000000001</v>
      </c>
      <c r="BK787" s="35">
        <v>0.11316</v>
      </c>
      <c r="BL787" s="33"/>
      <c r="BM787" s="33"/>
      <c r="BN787" s="33"/>
      <c r="BO787" s="33"/>
      <c r="BP787" s="520"/>
    </row>
    <row r="788" spans="28:68">
      <c r="AB788" s="514"/>
      <c r="AC788" s="514"/>
      <c r="AD788" s="514"/>
      <c r="AE788" s="514"/>
      <c r="AF788" s="514"/>
      <c r="AG788" s="514"/>
      <c r="AH788" s="514"/>
      <c r="AI788" s="514"/>
      <c r="AJ788" s="514"/>
      <c r="AK788" s="514"/>
      <c r="AL788" s="514"/>
      <c r="AM788" s="514"/>
      <c r="AN788" s="514"/>
      <c r="AO788" s="514"/>
      <c r="AP788" s="514"/>
      <c r="AQ788" s="514"/>
      <c r="AR788" s="514"/>
      <c r="AS788" s="514"/>
      <c r="AT788" s="514"/>
      <c r="AU788" s="514"/>
      <c r="AV788" s="514"/>
      <c r="AW788" s="514"/>
      <c r="AX788" s="514"/>
      <c r="AY788" s="514"/>
      <c r="AZ788" s="514"/>
      <c r="BA788" s="514"/>
      <c r="BB788" s="514"/>
      <c r="BC788" s="520"/>
      <c r="BD788" s="2482"/>
      <c r="BE788" s="30">
        <v>66.900000000000006</v>
      </c>
      <c r="BF788" s="31">
        <v>0.71319999999999995</v>
      </c>
      <c r="BG788" s="32">
        <v>713</v>
      </c>
      <c r="BH788" s="33"/>
      <c r="BI788" s="30">
        <v>66.900000000000006</v>
      </c>
      <c r="BJ788" s="34">
        <v>2.6928999999999998</v>
      </c>
      <c r="BK788" s="35">
        <v>0.11310000000000001</v>
      </c>
      <c r="BL788" s="33"/>
      <c r="BM788" s="33"/>
      <c r="BN788" s="33"/>
      <c r="BO788" s="33"/>
      <c r="BP788" s="520"/>
    </row>
    <row r="789" spans="28:68">
      <c r="AB789" s="514"/>
      <c r="AC789" s="514"/>
      <c r="AD789" s="514"/>
      <c r="AE789" s="514"/>
      <c r="AF789" s="514"/>
      <c r="AG789" s="514"/>
      <c r="AH789" s="514"/>
      <c r="AI789" s="514"/>
      <c r="AJ789" s="514"/>
      <c r="AK789" s="514"/>
      <c r="AL789" s="514"/>
      <c r="AM789" s="514"/>
      <c r="AN789" s="514"/>
      <c r="AO789" s="514"/>
      <c r="AP789" s="514"/>
      <c r="AQ789" s="514"/>
      <c r="AR789" s="514"/>
      <c r="AS789" s="514"/>
      <c r="AT789" s="514"/>
      <c r="AU789" s="514"/>
      <c r="AV789" s="514"/>
      <c r="AW789" s="514"/>
      <c r="AX789" s="514"/>
      <c r="AY789" s="514"/>
      <c r="AZ789" s="514"/>
      <c r="BA789" s="514"/>
      <c r="BB789" s="514"/>
      <c r="BC789" s="520"/>
      <c r="BD789" s="2482"/>
      <c r="BE789" s="30">
        <v>67</v>
      </c>
      <c r="BF789" s="31">
        <v>0.71279999999999999</v>
      </c>
      <c r="BG789" s="32">
        <v>712.7</v>
      </c>
      <c r="BH789" s="33"/>
      <c r="BI789" s="30">
        <v>67</v>
      </c>
      <c r="BJ789" s="34">
        <v>2.6915</v>
      </c>
      <c r="BK789" s="35">
        <v>0.11304</v>
      </c>
      <c r="BL789" s="33"/>
      <c r="BM789" s="33"/>
      <c r="BN789" s="33"/>
      <c r="BO789" s="33"/>
      <c r="BP789" s="520"/>
    </row>
    <row r="790" spans="28:68">
      <c r="AB790" s="514"/>
      <c r="AC790" s="514"/>
      <c r="AD790" s="514"/>
      <c r="AE790" s="514"/>
      <c r="AF790" s="514"/>
      <c r="AG790" s="514"/>
      <c r="AH790" s="514"/>
      <c r="AI790" s="514"/>
      <c r="AJ790" s="514"/>
      <c r="AK790" s="514"/>
      <c r="AL790" s="514"/>
      <c r="AM790" s="514"/>
      <c r="AN790" s="514"/>
      <c r="AO790" s="514"/>
      <c r="AP790" s="514"/>
      <c r="AQ790" s="514"/>
      <c r="AR790" s="514"/>
      <c r="AS790" s="514"/>
      <c r="AT790" s="514"/>
      <c r="AU790" s="514"/>
      <c r="AV790" s="514"/>
      <c r="AW790" s="514"/>
      <c r="AX790" s="514"/>
      <c r="AY790" s="514"/>
      <c r="AZ790" s="514"/>
      <c r="BA790" s="514"/>
      <c r="BB790" s="514"/>
      <c r="BC790" s="520"/>
      <c r="BD790" s="2482"/>
      <c r="BE790" s="30">
        <v>67.099999999999994</v>
      </c>
      <c r="BF790" s="31">
        <v>0.71250000000000002</v>
      </c>
      <c r="BG790" s="32">
        <v>712.3</v>
      </c>
      <c r="BH790" s="33"/>
      <c r="BI790" s="30">
        <v>67.099999999999994</v>
      </c>
      <c r="BJ790" s="34">
        <v>2.6901999999999999</v>
      </c>
      <c r="BK790" s="35">
        <v>0.11298999999999999</v>
      </c>
      <c r="BL790" s="33"/>
      <c r="BM790" s="33"/>
      <c r="BN790" s="33"/>
      <c r="BO790" s="33"/>
      <c r="BP790" s="520"/>
    </row>
    <row r="791" spans="28:68">
      <c r="AB791" s="514"/>
      <c r="AC791" s="514"/>
      <c r="AD791" s="514"/>
      <c r="AE791" s="514"/>
      <c r="AF791" s="514"/>
      <c r="AG791" s="514"/>
      <c r="AH791" s="514"/>
      <c r="AI791" s="514"/>
      <c r="AJ791" s="514"/>
      <c r="AK791" s="514"/>
      <c r="AL791" s="514"/>
      <c r="AM791" s="514"/>
      <c r="AN791" s="514"/>
      <c r="AO791" s="514"/>
      <c r="AP791" s="514"/>
      <c r="AQ791" s="514"/>
      <c r="AR791" s="514"/>
      <c r="AS791" s="514"/>
      <c r="AT791" s="514"/>
      <c r="AU791" s="514"/>
      <c r="AV791" s="514"/>
      <c r="AW791" s="514"/>
      <c r="AX791" s="514"/>
      <c r="AY791" s="514"/>
      <c r="AZ791" s="514"/>
      <c r="BA791" s="514"/>
      <c r="BB791" s="514"/>
      <c r="BC791" s="520"/>
      <c r="BD791" s="2482"/>
      <c r="BE791" s="30">
        <v>67.2</v>
      </c>
      <c r="BF791" s="31">
        <v>0.71209999999999996</v>
      </c>
      <c r="BG791" s="32">
        <v>711.9</v>
      </c>
      <c r="BH791" s="33"/>
      <c r="BI791" s="30">
        <v>67.2</v>
      </c>
      <c r="BJ791" s="34">
        <v>2.6888000000000001</v>
      </c>
      <c r="BK791" s="35">
        <v>0.11293</v>
      </c>
      <c r="BL791" s="33"/>
      <c r="BM791" s="33"/>
      <c r="BN791" s="33"/>
      <c r="BO791" s="33"/>
      <c r="BP791" s="520"/>
    </row>
    <row r="792" spans="28:68">
      <c r="AB792" s="514"/>
      <c r="AC792" s="514"/>
      <c r="AD792" s="514"/>
      <c r="AE792" s="514"/>
      <c r="AF792" s="514"/>
      <c r="AG792" s="514"/>
      <c r="AH792" s="514"/>
      <c r="AI792" s="514"/>
      <c r="AJ792" s="514"/>
      <c r="AK792" s="514"/>
      <c r="AL792" s="514"/>
      <c r="AM792" s="514"/>
      <c r="AN792" s="514"/>
      <c r="AO792" s="514"/>
      <c r="AP792" s="514"/>
      <c r="AQ792" s="514"/>
      <c r="AR792" s="514"/>
      <c r="AS792" s="514"/>
      <c r="AT792" s="514"/>
      <c r="AU792" s="514"/>
      <c r="AV792" s="514"/>
      <c r="AW792" s="514"/>
      <c r="AX792" s="514"/>
      <c r="AY792" s="514"/>
      <c r="AZ792" s="514"/>
      <c r="BA792" s="514"/>
      <c r="BB792" s="514"/>
      <c r="BC792" s="520"/>
      <c r="BD792" s="2482"/>
      <c r="BE792" s="30">
        <v>67.3</v>
      </c>
      <c r="BF792" s="31">
        <v>0.71179999999999999</v>
      </c>
      <c r="BG792" s="32">
        <v>711.6</v>
      </c>
      <c r="BH792" s="33"/>
      <c r="BI792" s="30">
        <v>67.3</v>
      </c>
      <c r="BJ792" s="34">
        <v>2.6875</v>
      </c>
      <c r="BK792" s="35">
        <v>0.11287</v>
      </c>
      <c r="BL792" s="33"/>
      <c r="BM792" s="33"/>
      <c r="BN792" s="33"/>
      <c r="BO792" s="33"/>
      <c r="BP792" s="520"/>
    </row>
    <row r="793" spans="28:68">
      <c r="AB793" s="514"/>
      <c r="AC793" s="514"/>
      <c r="AD793" s="514"/>
      <c r="AE793" s="514"/>
      <c r="AF793" s="514"/>
      <c r="AG793" s="514"/>
      <c r="AH793" s="514"/>
      <c r="AI793" s="514"/>
      <c r="AJ793" s="514"/>
      <c r="AK793" s="514"/>
      <c r="AL793" s="514"/>
      <c r="AM793" s="514"/>
      <c r="AN793" s="514"/>
      <c r="AO793" s="514"/>
      <c r="AP793" s="514"/>
      <c r="AQ793" s="514"/>
      <c r="AR793" s="514"/>
      <c r="AS793" s="514"/>
      <c r="AT793" s="514"/>
      <c r="AU793" s="514"/>
      <c r="AV793" s="514"/>
      <c r="AW793" s="514"/>
      <c r="AX793" s="514"/>
      <c r="AY793" s="514"/>
      <c r="AZ793" s="514"/>
      <c r="BA793" s="514"/>
      <c r="BB793" s="514"/>
      <c r="BC793" s="520"/>
      <c r="BD793" s="2482"/>
      <c r="BE793" s="30">
        <v>67.400000000000006</v>
      </c>
      <c r="BF793" s="31">
        <v>0.71140000000000003</v>
      </c>
      <c r="BG793" s="32">
        <v>711.2</v>
      </c>
      <c r="BH793" s="33"/>
      <c r="BI793" s="30">
        <v>67.400000000000006</v>
      </c>
      <c r="BJ793" s="34">
        <v>2.6861000000000002</v>
      </c>
      <c r="BK793" s="35">
        <v>0.11282</v>
      </c>
      <c r="BL793" s="33"/>
      <c r="BM793" s="33"/>
      <c r="BN793" s="33"/>
      <c r="BO793" s="33"/>
      <c r="BP793" s="520"/>
    </row>
    <row r="794" spans="28:68">
      <c r="AB794" s="514"/>
      <c r="AC794" s="514"/>
      <c r="AD794" s="514"/>
      <c r="AE794" s="514"/>
      <c r="AF794" s="514"/>
      <c r="AG794" s="514"/>
      <c r="AH794" s="514"/>
      <c r="AI794" s="514"/>
      <c r="AJ794" s="514"/>
      <c r="AK794" s="514"/>
      <c r="AL794" s="514"/>
      <c r="AM794" s="514"/>
      <c r="AN794" s="514"/>
      <c r="AO794" s="514"/>
      <c r="AP794" s="514"/>
      <c r="AQ794" s="514"/>
      <c r="AR794" s="514"/>
      <c r="AS794" s="514"/>
      <c r="AT794" s="514"/>
      <c r="AU794" s="514"/>
      <c r="AV794" s="514"/>
      <c r="AW794" s="514"/>
      <c r="AX794" s="514"/>
      <c r="AY794" s="514"/>
      <c r="AZ794" s="514"/>
      <c r="BA794" s="514"/>
      <c r="BB794" s="514"/>
      <c r="BC794" s="520"/>
      <c r="BD794" s="2482"/>
      <c r="BE794" s="30">
        <v>67.5</v>
      </c>
      <c r="BF794" s="31">
        <v>0.71109999999999995</v>
      </c>
      <c r="BG794" s="32">
        <v>710.9</v>
      </c>
      <c r="BH794" s="33"/>
      <c r="BI794" s="30">
        <v>67.5</v>
      </c>
      <c r="BJ794" s="34">
        <v>2.6848000000000001</v>
      </c>
      <c r="BK794" s="35">
        <v>0.11276</v>
      </c>
      <c r="BL794" s="33"/>
      <c r="BM794" s="33"/>
      <c r="BN794" s="33"/>
      <c r="BO794" s="33"/>
      <c r="BP794" s="520"/>
    </row>
    <row r="795" spans="28:68">
      <c r="AB795" s="514"/>
      <c r="AC795" s="514"/>
      <c r="AD795" s="514"/>
      <c r="AE795" s="514"/>
      <c r="AF795" s="514"/>
      <c r="AG795" s="514"/>
      <c r="AH795" s="514"/>
      <c r="AI795" s="514"/>
      <c r="AJ795" s="514"/>
      <c r="AK795" s="514"/>
      <c r="AL795" s="514"/>
      <c r="AM795" s="514"/>
      <c r="AN795" s="514"/>
      <c r="AO795" s="514"/>
      <c r="AP795" s="514"/>
      <c r="AQ795" s="514"/>
      <c r="AR795" s="514"/>
      <c r="AS795" s="514"/>
      <c r="AT795" s="514"/>
      <c r="AU795" s="514"/>
      <c r="AV795" s="514"/>
      <c r="AW795" s="514"/>
      <c r="AX795" s="514"/>
      <c r="AY795" s="514"/>
      <c r="AZ795" s="514"/>
      <c r="BA795" s="514"/>
      <c r="BB795" s="514"/>
      <c r="BC795" s="520"/>
      <c r="BD795" s="2482"/>
      <c r="BE795" s="30">
        <v>67.599999999999994</v>
      </c>
      <c r="BF795" s="31">
        <v>0.7107</v>
      </c>
      <c r="BG795" s="32">
        <v>710.5</v>
      </c>
      <c r="BH795" s="33"/>
      <c r="BI795" s="30">
        <v>67.599999999999994</v>
      </c>
      <c r="BJ795" s="34">
        <v>2.6833999999999998</v>
      </c>
      <c r="BK795" s="35">
        <v>0.11269999999999999</v>
      </c>
      <c r="BL795" s="33"/>
      <c r="BM795" s="33"/>
      <c r="BN795" s="33"/>
      <c r="BO795" s="33"/>
      <c r="BP795" s="520"/>
    </row>
    <row r="796" spans="28:68">
      <c r="AB796" s="514"/>
      <c r="AC796" s="514"/>
      <c r="AD796" s="514"/>
      <c r="AE796" s="514"/>
      <c r="AF796" s="514"/>
      <c r="AG796" s="514"/>
      <c r="AH796" s="514"/>
      <c r="AI796" s="514"/>
      <c r="AJ796" s="514"/>
      <c r="AK796" s="514"/>
      <c r="AL796" s="514"/>
      <c r="AM796" s="514"/>
      <c r="AN796" s="514"/>
      <c r="AO796" s="514"/>
      <c r="AP796" s="514"/>
      <c r="AQ796" s="514"/>
      <c r="AR796" s="514"/>
      <c r="AS796" s="514"/>
      <c r="AT796" s="514"/>
      <c r="AU796" s="514"/>
      <c r="AV796" s="514"/>
      <c r="AW796" s="514"/>
      <c r="AX796" s="514"/>
      <c r="AY796" s="514"/>
      <c r="AZ796" s="514"/>
      <c r="BA796" s="514"/>
      <c r="BB796" s="514"/>
      <c r="BC796" s="520"/>
      <c r="BD796" s="2482"/>
      <c r="BE796" s="30">
        <v>67.7</v>
      </c>
      <c r="BF796" s="31">
        <v>0.71030000000000004</v>
      </c>
      <c r="BG796" s="32">
        <v>710.2</v>
      </c>
      <c r="BH796" s="33"/>
      <c r="BI796" s="30">
        <v>67.7</v>
      </c>
      <c r="BJ796" s="34">
        <v>2.6821000000000002</v>
      </c>
      <c r="BK796" s="35">
        <v>0.11265</v>
      </c>
      <c r="BL796" s="33"/>
      <c r="BM796" s="33"/>
      <c r="BN796" s="33"/>
      <c r="BO796" s="33"/>
      <c r="BP796" s="520"/>
    </row>
    <row r="797" spans="28:68">
      <c r="AB797" s="514"/>
      <c r="AC797" s="514"/>
      <c r="AD797" s="514"/>
      <c r="AE797" s="514"/>
      <c r="AF797" s="514"/>
      <c r="AG797" s="514"/>
      <c r="AH797" s="514"/>
      <c r="AI797" s="514"/>
      <c r="AJ797" s="514"/>
      <c r="AK797" s="514"/>
      <c r="AL797" s="514"/>
      <c r="AM797" s="514"/>
      <c r="AN797" s="514"/>
      <c r="AO797" s="514"/>
      <c r="AP797" s="514"/>
      <c r="AQ797" s="514"/>
      <c r="AR797" s="514"/>
      <c r="AS797" s="514"/>
      <c r="AT797" s="514"/>
      <c r="AU797" s="514"/>
      <c r="AV797" s="514"/>
      <c r="AW797" s="514"/>
      <c r="AX797" s="514"/>
      <c r="AY797" s="514"/>
      <c r="AZ797" s="514"/>
      <c r="BA797" s="514"/>
      <c r="BB797" s="514"/>
      <c r="BC797" s="520"/>
      <c r="BD797" s="2482"/>
      <c r="BE797" s="30">
        <v>67.8</v>
      </c>
      <c r="BF797" s="31">
        <v>0.71</v>
      </c>
      <c r="BG797" s="32">
        <v>709.8</v>
      </c>
      <c r="BH797" s="33"/>
      <c r="BI797" s="30">
        <v>67.8</v>
      </c>
      <c r="BJ797" s="34">
        <v>2.6806999999999999</v>
      </c>
      <c r="BK797" s="35">
        <v>0.11259</v>
      </c>
      <c r="BL797" s="33"/>
      <c r="BM797" s="33"/>
      <c r="BN797" s="33"/>
      <c r="BO797" s="33"/>
      <c r="BP797" s="520"/>
    </row>
    <row r="798" spans="28:68">
      <c r="AB798" s="514"/>
      <c r="AC798" s="514"/>
      <c r="AD798" s="514"/>
      <c r="AE798" s="514"/>
      <c r="AF798" s="514"/>
      <c r="AG798" s="514"/>
      <c r="AH798" s="514"/>
      <c r="AI798" s="514"/>
      <c r="AJ798" s="514"/>
      <c r="AK798" s="514"/>
      <c r="AL798" s="514"/>
      <c r="AM798" s="514"/>
      <c r="AN798" s="514"/>
      <c r="AO798" s="514"/>
      <c r="AP798" s="514"/>
      <c r="AQ798" s="514"/>
      <c r="AR798" s="514"/>
      <c r="AS798" s="514"/>
      <c r="AT798" s="514"/>
      <c r="AU798" s="514"/>
      <c r="AV798" s="514"/>
      <c r="AW798" s="514"/>
      <c r="AX798" s="514"/>
      <c r="AY798" s="514"/>
      <c r="AZ798" s="514"/>
      <c r="BA798" s="514"/>
      <c r="BB798" s="514"/>
      <c r="BC798" s="520"/>
      <c r="BD798" s="2482"/>
      <c r="BE798" s="30">
        <v>67.900000000000006</v>
      </c>
      <c r="BF798" s="31">
        <v>0.70960000000000001</v>
      </c>
      <c r="BG798" s="32">
        <v>709.4</v>
      </c>
      <c r="BH798" s="33"/>
      <c r="BI798" s="30">
        <v>67.900000000000006</v>
      </c>
      <c r="BJ798" s="34">
        <v>2.6793999999999998</v>
      </c>
      <c r="BK798" s="35">
        <v>0.11253000000000001</v>
      </c>
      <c r="BL798" s="33"/>
      <c r="BM798" s="33"/>
      <c r="BN798" s="33"/>
      <c r="BO798" s="33"/>
      <c r="BP798" s="520"/>
    </row>
    <row r="799" spans="28:68">
      <c r="AB799" s="514"/>
      <c r="AC799" s="514"/>
      <c r="AD799" s="514"/>
      <c r="AE799" s="514"/>
      <c r="AF799" s="514"/>
      <c r="AG799" s="514"/>
      <c r="AH799" s="514"/>
      <c r="AI799" s="514"/>
      <c r="AJ799" s="514"/>
      <c r="AK799" s="514"/>
      <c r="AL799" s="514"/>
      <c r="AM799" s="514"/>
      <c r="AN799" s="514"/>
      <c r="AO799" s="514"/>
      <c r="AP799" s="514"/>
      <c r="AQ799" s="514"/>
      <c r="AR799" s="514"/>
      <c r="AS799" s="514"/>
      <c r="AT799" s="514"/>
      <c r="AU799" s="514"/>
      <c r="AV799" s="514"/>
      <c r="AW799" s="514"/>
      <c r="AX799" s="514"/>
      <c r="AY799" s="514"/>
      <c r="AZ799" s="514"/>
      <c r="BA799" s="514"/>
      <c r="BB799" s="514"/>
      <c r="BC799" s="520"/>
      <c r="BD799" s="2482"/>
      <c r="BE799" s="30">
        <v>68</v>
      </c>
      <c r="BF799" s="31">
        <v>0.70930000000000004</v>
      </c>
      <c r="BG799" s="32">
        <v>709.1</v>
      </c>
      <c r="BH799" s="33"/>
      <c r="BI799" s="30">
        <v>68</v>
      </c>
      <c r="BJ799" s="34">
        <v>2.6779999999999999</v>
      </c>
      <c r="BK799" s="35">
        <v>0.11248</v>
      </c>
      <c r="BL799" s="33"/>
      <c r="BM799" s="33"/>
      <c r="BN799" s="33"/>
      <c r="BO799" s="33"/>
      <c r="BP799" s="520"/>
    </row>
    <row r="800" spans="28:68">
      <c r="AB800" s="514"/>
      <c r="AC800" s="514"/>
      <c r="AD800" s="514"/>
      <c r="AE800" s="514"/>
      <c r="AF800" s="514"/>
      <c r="AG800" s="514"/>
      <c r="AH800" s="514"/>
      <c r="AI800" s="514"/>
      <c r="AJ800" s="514"/>
      <c r="AK800" s="514"/>
      <c r="AL800" s="514"/>
      <c r="AM800" s="514"/>
      <c r="AN800" s="514"/>
      <c r="AO800" s="514"/>
      <c r="AP800" s="514"/>
      <c r="AQ800" s="514"/>
      <c r="AR800" s="514"/>
      <c r="AS800" s="514"/>
      <c r="AT800" s="514"/>
      <c r="AU800" s="514"/>
      <c r="AV800" s="514"/>
      <c r="AW800" s="514"/>
      <c r="AX800" s="514"/>
      <c r="AY800" s="514"/>
      <c r="AZ800" s="514"/>
      <c r="BA800" s="514"/>
      <c r="BB800" s="514"/>
      <c r="BC800" s="520"/>
      <c r="BD800" s="2482"/>
      <c r="BE800" s="30">
        <v>68.099999999999994</v>
      </c>
      <c r="BF800" s="31">
        <v>0.70889999999999997</v>
      </c>
      <c r="BG800" s="32">
        <v>708.7</v>
      </c>
      <c r="BH800" s="33"/>
      <c r="BI800" s="30">
        <v>68.099999999999994</v>
      </c>
      <c r="BJ800" s="34">
        <v>2.6766999999999999</v>
      </c>
      <c r="BK800" s="35">
        <v>0.11242000000000001</v>
      </c>
      <c r="BL800" s="33"/>
      <c r="BM800" s="33"/>
      <c r="BN800" s="33"/>
      <c r="BO800" s="33"/>
      <c r="BP800" s="520"/>
    </row>
    <row r="801" spans="28:68">
      <c r="AB801" s="514"/>
      <c r="AC801" s="514"/>
      <c r="AD801" s="514"/>
      <c r="AE801" s="514"/>
      <c r="AF801" s="514"/>
      <c r="AG801" s="514"/>
      <c r="AH801" s="514"/>
      <c r="AI801" s="514"/>
      <c r="AJ801" s="514"/>
      <c r="AK801" s="514"/>
      <c r="AL801" s="514"/>
      <c r="AM801" s="514"/>
      <c r="AN801" s="514"/>
      <c r="AO801" s="514"/>
      <c r="AP801" s="514"/>
      <c r="AQ801" s="514"/>
      <c r="AR801" s="514"/>
      <c r="AS801" s="514"/>
      <c r="AT801" s="514"/>
      <c r="AU801" s="514"/>
      <c r="AV801" s="514"/>
      <c r="AW801" s="514"/>
      <c r="AX801" s="514"/>
      <c r="AY801" s="514"/>
      <c r="AZ801" s="514"/>
      <c r="BA801" s="514"/>
      <c r="BB801" s="514"/>
      <c r="BC801" s="520"/>
      <c r="BD801" s="2482"/>
      <c r="BE801" s="30">
        <v>68.2</v>
      </c>
      <c r="BF801" s="31">
        <v>0.70860000000000001</v>
      </c>
      <c r="BG801" s="32">
        <v>708.4</v>
      </c>
      <c r="BH801" s="33"/>
      <c r="BI801" s="30">
        <v>68.2</v>
      </c>
      <c r="BJ801" s="34">
        <v>2.6753</v>
      </c>
      <c r="BK801" s="35">
        <v>0.11236</v>
      </c>
      <c r="BL801" s="33"/>
      <c r="BM801" s="33"/>
      <c r="BN801" s="33"/>
      <c r="BO801" s="33"/>
      <c r="BP801" s="520"/>
    </row>
    <row r="802" spans="28:68">
      <c r="AB802" s="514"/>
      <c r="AC802" s="514"/>
      <c r="AD802" s="514"/>
      <c r="AE802" s="514"/>
      <c r="AF802" s="514"/>
      <c r="AG802" s="514"/>
      <c r="AH802" s="514"/>
      <c r="AI802" s="514"/>
      <c r="AJ802" s="514"/>
      <c r="AK802" s="514"/>
      <c r="AL802" s="514"/>
      <c r="AM802" s="514"/>
      <c r="AN802" s="514"/>
      <c r="AO802" s="514"/>
      <c r="AP802" s="514"/>
      <c r="AQ802" s="514"/>
      <c r="AR802" s="514"/>
      <c r="AS802" s="514"/>
      <c r="AT802" s="514"/>
      <c r="AU802" s="514"/>
      <c r="AV802" s="514"/>
      <c r="AW802" s="514"/>
      <c r="AX802" s="514"/>
      <c r="AY802" s="514"/>
      <c r="AZ802" s="514"/>
      <c r="BA802" s="514"/>
      <c r="BB802" s="514"/>
      <c r="BC802" s="520"/>
      <c r="BD802" s="2482"/>
      <c r="BE802" s="30">
        <v>68.3</v>
      </c>
      <c r="BF802" s="31">
        <v>0.70820000000000005</v>
      </c>
      <c r="BG802" s="32">
        <v>708</v>
      </c>
      <c r="BH802" s="33"/>
      <c r="BI802" s="30">
        <v>68.3</v>
      </c>
      <c r="BJ802" s="34">
        <v>2.6739999999999999</v>
      </c>
      <c r="BK802" s="35">
        <v>0.11230999999999999</v>
      </c>
      <c r="BL802" s="33"/>
      <c r="BM802" s="33"/>
      <c r="BN802" s="33"/>
      <c r="BO802" s="33"/>
      <c r="BP802" s="520"/>
    </row>
    <row r="803" spans="28:68">
      <c r="AB803" s="514"/>
      <c r="AC803" s="514"/>
      <c r="AD803" s="514"/>
      <c r="AE803" s="514"/>
      <c r="AF803" s="514"/>
      <c r="AG803" s="514"/>
      <c r="AH803" s="514"/>
      <c r="AI803" s="514"/>
      <c r="AJ803" s="514"/>
      <c r="AK803" s="514"/>
      <c r="AL803" s="514"/>
      <c r="AM803" s="514"/>
      <c r="AN803" s="514"/>
      <c r="AO803" s="514"/>
      <c r="AP803" s="514"/>
      <c r="AQ803" s="514"/>
      <c r="AR803" s="514"/>
      <c r="AS803" s="514"/>
      <c r="AT803" s="514"/>
      <c r="AU803" s="514"/>
      <c r="AV803" s="514"/>
      <c r="AW803" s="514"/>
      <c r="AX803" s="514"/>
      <c r="AY803" s="514"/>
      <c r="AZ803" s="514"/>
      <c r="BA803" s="514"/>
      <c r="BB803" s="514"/>
      <c r="BC803" s="520"/>
      <c r="BD803" s="2482"/>
      <c r="BE803" s="30">
        <v>68.400000000000006</v>
      </c>
      <c r="BF803" s="31">
        <v>0.70789999999999997</v>
      </c>
      <c r="BG803" s="32">
        <v>707.7</v>
      </c>
      <c r="BH803" s="33"/>
      <c r="BI803" s="30">
        <v>68.400000000000006</v>
      </c>
      <c r="BJ803" s="34">
        <v>2.6726999999999999</v>
      </c>
      <c r="BK803" s="35">
        <v>0.11225</v>
      </c>
      <c r="BL803" s="33"/>
      <c r="BM803" s="33"/>
      <c r="BN803" s="33"/>
      <c r="BO803" s="33"/>
      <c r="BP803" s="520"/>
    </row>
    <row r="804" spans="28:68">
      <c r="AB804" s="514"/>
      <c r="AC804" s="514"/>
      <c r="AD804" s="514"/>
      <c r="AE804" s="514"/>
      <c r="AF804" s="514"/>
      <c r="AG804" s="514"/>
      <c r="AH804" s="514"/>
      <c r="AI804" s="514"/>
      <c r="AJ804" s="514"/>
      <c r="AK804" s="514"/>
      <c r="AL804" s="514"/>
      <c r="AM804" s="514"/>
      <c r="AN804" s="514"/>
      <c r="AO804" s="514"/>
      <c r="AP804" s="514"/>
      <c r="AQ804" s="514"/>
      <c r="AR804" s="514"/>
      <c r="AS804" s="514"/>
      <c r="AT804" s="514"/>
      <c r="AU804" s="514"/>
      <c r="AV804" s="514"/>
      <c r="AW804" s="514"/>
      <c r="AX804" s="514"/>
      <c r="AY804" s="514"/>
      <c r="AZ804" s="514"/>
      <c r="BA804" s="514"/>
      <c r="BB804" s="514"/>
      <c r="BC804" s="520"/>
      <c r="BD804" s="2482"/>
      <c r="BE804" s="30">
        <v>68.5</v>
      </c>
      <c r="BF804" s="31">
        <v>0.70750000000000002</v>
      </c>
      <c r="BG804" s="32">
        <v>707.3</v>
      </c>
      <c r="BH804" s="33"/>
      <c r="BI804" s="30">
        <v>68.5</v>
      </c>
      <c r="BJ804" s="34">
        <v>2.6713</v>
      </c>
      <c r="BK804" s="35">
        <v>0.11219999999999999</v>
      </c>
      <c r="BL804" s="33"/>
      <c r="BM804" s="33"/>
      <c r="BN804" s="33"/>
      <c r="BO804" s="33"/>
      <c r="BP804" s="520"/>
    </row>
    <row r="805" spans="28:68">
      <c r="AB805" s="514"/>
      <c r="AC805" s="514"/>
      <c r="AD805" s="514"/>
      <c r="AE805" s="514"/>
      <c r="AF805" s="514"/>
      <c r="AG805" s="514"/>
      <c r="AH805" s="514"/>
      <c r="AI805" s="514"/>
      <c r="AJ805" s="514"/>
      <c r="AK805" s="514"/>
      <c r="AL805" s="514"/>
      <c r="AM805" s="514"/>
      <c r="AN805" s="514"/>
      <c r="AO805" s="514"/>
      <c r="AP805" s="514"/>
      <c r="AQ805" s="514"/>
      <c r="AR805" s="514"/>
      <c r="AS805" s="514"/>
      <c r="AT805" s="514"/>
      <c r="AU805" s="514"/>
      <c r="AV805" s="514"/>
      <c r="AW805" s="514"/>
      <c r="AX805" s="514"/>
      <c r="AY805" s="514"/>
      <c r="AZ805" s="514"/>
      <c r="BA805" s="514"/>
      <c r="BB805" s="514"/>
      <c r="BC805" s="520"/>
      <c r="BD805" s="2482"/>
      <c r="BE805" s="30">
        <v>68.599999999999994</v>
      </c>
      <c r="BF805" s="31">
        <v>0.70709999999999995</v>
      </c>
      <c r="BG805" s="32">
        <v>707</v>
      </c>
      <c r="BH805" s="33"/>
      <c r="BI805" s="30">
        <v>68.599999999999994</v>
      </c>
      <c r="BJ805" s="34">
        <v>2.67</v>
      </c>
      <c r="BK805" s="35">
        <v>0.11214</v>
      </c>
      <c r="BL805" s="33"/>
      <c r="BM805" s="33"/>
      <c r="BN805" s="33"/>
      <c r="BO805" s="33"/>
      <c r="BP805" s="520"/>
    </row>
    <row r="806" spans="28:68">
      <c r="AB806" s="514"/>
      <c r="AC806" s="514"/>
      <c r="AD806" s="514"/>
      <c r="AE806" s="514"/>
      <c r="AF806" s="514"/>
      <c r="AG806" s="514"/>
      <c r="AH806" s="514"/>
      <c r="AI806" s="514"/>
      <c r="AJ806" s="514"/>
      <c r="AK806" s="514"/>
      <c r="AL806" s="514"/>
      <c r="AM806" s="514"/>
      <c r="AN806" s="514"/>
      <c r="AO806" s="514"/>
      <c r="AP806" s="514"/>
      <c r="AQ806" s="514"/>
      <c r="AR806" s="514"/>
      <c r="AS806" s="514"/>
      <c r="AT806" s="514"/>
      <c r="AU806" s="514"/>
      <c r="AV806" s="514"/>
      <c r="AW806" s="514"/>
      <c r="AX806" s="514"/>
      <c r="AY806" s="514"/>
      <c r="AZ806" s="514"/>
      <c r="BA806" s="514"/>
      <c r="BB806" s="514"/>
      <c r="BC806" s="520"/>
      <c r="BD806" s="2482"/>
      <c r="BE806" s="30">
        <v>68.7</v>
      </c>
      <c r="BF806" s="31">
        <v>0.70679999999999998</v>
      </c>
      <c r="BG806" s="32">
        <v>706.6</v>
      </c>
      <c r="BH806" s="33"/>
      <c r="BI806" s="30">
        <v>68.7</v>
      </c>
      <c r="BJ806" s="34">
        <v>2.6686000000000001</v>
      </c>
      <c r="BK806" s="35">
        <v>0.11208</v>
      </c>
      <c r="BL806" s="33"/>
      <c r="BM806" s="33"/>
      <c r="BN806" s="33"/>
      <c r="BO806" s="33"/>
      <c r="BP806" s="520"/>
    </row>
    <row r="807" spans="28:68">
      <c r="AB807" s="514"/>
      <c r="AC807" s="514"/>
      <c r="AD807" s="514"/>
      <c r="AE807" s="514"/>
      <c r="AF807" s="514"/>
      <c r="AG807" s="514"/>
      <c r="AH807" s="514"/>
      <c r="AI807" s="514"/>
      <c r="AJ807" s="514"/>
      <c r="AK807" s="514"/>
      <c r="AL807" s="514"/>
      <c r="AM807" s="514"/>
      <c r="AN807" s="514"/>
      <c r="AO807" s="514"/>
      <c r="AP807" s="514"/>
      <c r="AQ807" s="514"/>
      <c r="AR807" s="514"/>
      <c r="AS807" s="514"/>
      <c r="AT807" s="514"/>
      <c r="AU807" s="514"/>
      <c r="AV807" s="514"/>
      <c r="AW807" s="514"/>
      <c r="AX807" s="514"/>
      <c r="AY807" s="514"/>
      <c r="AZ807" s="514"/>
      <c r="BA807" s="514"/>
      <c r="BB807" s="514"/>
      <c r="BC807" s="520"/>
      <c r="BD807" s="2482"/>
      <c r="BE807" s="30">
        <v>68.8</v>
      </c>
      <c r="BF807" s="31">
        <v>0.70640000000000003</v>
      </c>
      <c r="BG807" s="32">
        <v>706.3</v>
      </c>
      <c r="BH807" s="33"/>
      <c r="BI807" s="30">
        <v>68.8</v>
      </c>
      <c r="BJ807" s="34">
        <v>2.6673</v>
      </c>
      <c r="BK807" s="35">
        <v>0.11203</v>
      </c>
      <c r="BL807" s="33"/>
      <c r="BM807" s="33"/>
      <c r="BN807" s="33"/>
      <c r="BO807" s="33"/>
      <c r="BP807" s="520"/>
    </row>
    <row r="808" spans="28:68">
      <c r="AB808" s="514"/>
      <c r="AC808" s="514"/>
      <c r="AD808" s="514"/>
      <c r="AE808" s="514"/>
      <c r="AF808" s="514"/>
      <c r="AG808" s="514"/>
      <c r="AH808" s="514"/>
      <c r="AI808" s="514"/>
      <c r="AJ808" s="514"/>
      <c r="AK808" s="514"/>
      <c r="AL808" s="514"/>
      <c r="AM808" s="514"/>
      <c r="AN808" s="514"/>
      <c r="AO808" s="514"/>
      <c r="AP808" s="514"/>
      <c r="AQ808" s="514"/>
      <c r="AR808" s="514"/>
      <c r="AS808" s="514"/>
      <c r="AT808" s="514"/>
      <c r="AU808" s="514"/>
      <c r="AV808" s="514"/>
      <c r="AW808" s="514"/>
      <c r="AX808" s="514"/>
      <c r="AY808" s="514"/>
      <c r="AZ808" s="514"/>
      <c r="BA808" s="514"/>
      <c r="BB808" s="514"/>
      <c r="BC808" s="520"/>
      <c r="BD808" s="2482"/>
      <c r="BE808" s="30">
        <v>68.900000000000006</v>
      </c>
      <c r="BF808" s="31">
        <v>0.70609999999999995</v>
      </c>
      <c r="BG808" s="32">
        <v>705.9</v>
      </c>
      <c r="BH808" s="33"/>
      <c r="BI808" s="30">
        <v>68.900000000000006</v>
      </c>
      <c r="BJ808" s="34">
        <v>2.6659999999999999</v>
      </c>
      <c r="BK808" s="35">
        <v>0.11197</v>
      </c>
      <c r="BL808" s="33"/>
      <c r="BM808" s="33"/>
      <c r="BN808" s="33"/>
      <c r="BO808" s="33"/>
      <c r="BP808" s="520"/>
    </row>
    <row r="809" spans="28:68">
      <c r="AB809" s="514"/>
      <c r="AC809" s="514"/>
      <c r="AD809" s="514"/>
      <c r="AE809" s="514"/>
      <c r="AF809" s="514"/>
      <c r="AG809" s="514"/>
      <c r="AH809" s="514"/>
      <c r="AI809" s="514"/>
      <c r="AJ809" s="514"/>
      <c r="AK809" s="514"/>
      <c r="AL809" s="514"/>
      <c r="AM809" s="514"/>
      <c r="AN809" s="514"/>
      <c r="AO809" s="514"/>
      <c r="AP809" s="514"/>
      <c r="AQ809" s="514"/>
      <c r="AR809" s="514"/>
      <c r="AS809" s="514"/>
      <c r="AT809" s="514"/>
      <c r="AU809" s="514"/>
      <c r="AV809" s="514"/>
      <c r="AW809" s="514"/>
      <c r="AX809" s="514"/>
      <c r="AY809" s="514"/>
      <c r="AZ809" s="514"/>
      <c r="BA809" s="514"/>
      <c r="BB809" s="514"/>
      <c r="BC809" s="520"/>
      <c r="BD809" s="2482"/>
      <c r="BE809" s="30">
        <v>69</v>
      </c>
      <c r="BF809" s="31">
        <v>0.70569999999999999</v>
      </c>
      <c r="BG809" s="32">
        <v>705.6</v>
      </c>
      <c r="BH809" s="33"/>
      <c r="BI809" s="30">
        <v>69</v>
      </c>
      <c r="BJ809" s="34">
        <v>2.6646000000000001</v>
      </c>
      <c r="BK809" s="35">
        <v>0.11191</v>
      </c>
      <c r="BL809" s="33"/>
      <c r="BM809" s="33"/>
      <c r="BN809" s="33"/>
      <c r="BO809" s="33"/>
      <c r="BP809" s="520"/>
    </row>
    <row r="810" spans="28:68">
      <c r="AB810" s="514"/>
      <c r="AC810" s="514"/>
      <c r="AD810" s="514"/>
      <c r="AE810" s="514"/>
      <c r="AF810" s="514"/>
      <c r="AG810" s="514"/>
      <c r="AH810" s="514"/>
      <c r="AI810" s="514"/>
      <c r="AJ810" s="514"/>
      <c r="AK810" s="514"/>
      <c r="AL810" s="514"/>
      <c r="AM810" s="514"/>
      <c r="AN810" s="514"/>
      <c r="AO810" s="514"/>
      <c r="AP810" s="514"/>
      <c r="AQ810" s="514"/>
      <c r="AR810" s="514"/>
      <c r="AS810" s="514"/>
      <c r="AT810" s="514"/>
      <c r="AU810" s="514"/>
      <c r="AV810" s="514"/>
      <c r="AW810" s="514"/>
      <c r="AX810" s="514"/>
      <c r="AY810" s="514"/>
      <c r="AZ810" s="514"/>
      <c r="BA810" s="514"/>
      <c r="BB810" s="514"/>
      <c r="BC810" s="520"/>
      <c r="BD810" s="2482"/>
      <c r="BE810" s="30">
        <v>69.099999999999994</v>
      </c>
      <c r="BF810" s="31">
        <v>0.70540000000000003</v>
      </c>
      <c r="BG810" s="32">
        <v>705.2</v>
      </c>
      <c r="BH810" s="33"/>
      <c r="BI810" s="30">
        <v>69.099999999999994</v>
      </c>
      <c r="BJ810" s="34">
        <v>2.6633</v>
      </c>
      <c r="BK810" s="35">
        <v>0.11186</v>
      </c>
      <c r="BL810" s="33"/>
      <c r="BM810" s="33"/>
      <c r="BN810" s="33"/>
      <c r="BO810" s="33"/>
      <c r="BP810" s="520"/>
    </row>
    <row r="811" spans="28:68">
      <c r="AB811" s="514"/>
      <c r="AC811" s="514"/>
      <c r="AD811" s="514"/>
      <c r="AE811" s="514"/>
      <c r="AF811" s="514"/>
      <c r="AG811" s="514"/>
      <c r="AH811" s="514"/>
      <c r="AI811" s="514"/>
      <c r="AJ811" s="514"/>
      <c r="AK811" s="514"/>
      <c r="AL811" s="514"/>
      <c r="AM811" s="514"/>
      <c r="AN811" s="514"/>
      <c r="AO811" s="514"/>
      <c r="AP811" s="514"/>
      <c r="AQ811" s="514"/>
      <c r="AR811" s="514"/>
      <c r="AS811" s="514"/>
      <c r="AT811" s="514"/>
      <c r="AU811" s="514"/>
      <c r="AV811" s="514"/>
      <c r="AW811" s="514"/>
      <c r="AX811" s="514"/>
      <c r="AY811" s="514"/>
      <c r="AZ811" s="514"/>
      <c r="BA811" s="514"/>
      <c r="BB811" s="514"/>
      <c r="BC811" s="520"/>
      <c r="BD811" s="2482"/>
      <c r="BE811" s="30">
        <v>69.2</v>
      </c>
      <c r="BF811" s="31">
        <v>0.70499999999999996</v>
      </c>
      <c r="BG811" s="32">
        <v>704.9</v>
      </c>
      <c r="BH811" s="33"/>
      <c r="BI811" s="30">
        <v>69.2</v>
      </c>
      <c r="BJ811" s="34">
        <v>2.6619999999999999</v>
      </c>
      <c r="BK811" s="35">
        <v>0.1118</v>
      </c>
      <c r="BL811" s="33"/>
      <c r="BM811" s="33"/>
      <c r="BN811" s="33"/>
      <c r="BO811" s="33"/>
      <c r="BP811" s="520"/>
    </row>
    <row r="812" spans="28:68">
      <c r="AB812" s="514"/>
      <c r="AC812" s="514"/>
      <c r="AD812" s="514"/>
      <c r="AE812" s="514"/>
      <c r="AF812" s="514"/>
      <c r="AG812" s="514"/>
      <c r="AH812" s="514"/>
      <c r="AI812" s="514"/>
      <c r="AJ812" s="514"/>
      <c r="AK812" s="514"/>
      <c r="AL812" s="514"/>
      <c r="AM812" s="514"/>
      <c r="AN812" s="514"/>
      <c r="AO812" s="514"/>
      <c r="AP812" s="514"/>
      <c r="AQ812" s="514"/>
      <c r="AR812" s="514"/>
      <c r="AS812" s="514"/>
      <c r="AT812" s="514"/>
      <c r="AU812" s="514"/>
      <c r="AV812" s="514"/>
      <c r="AW812" s="514"/>
      <c r="AX812" s="514"/>
      <c r="AY812" s="514"/>
      <c r="AZ812" s="514"/>
      <c r="BA812" s="514"/>
      <c r="BB812" s="514"/>
      <c r="BC812" s="520"/>
      <c r="BD812" s="2482"/>
      <c r="BE812" s="30">
        <v>69.3</v>
      </c>
      <c r="BF812" s="31">
        <v>0.70469999999999999</v>
      </c>
      <c r="BG812" s="32">
        <v>704.5</v>
      </c>
      <c r="BH812" s="33"/>
      <c r="BI812" s="30">
        <v>69.3</v>
      </c>
      <c r="BJ812" s="34">
        <v>2.6606999999999998</v>
      </c>
      <c r="BK812" s="35">
        <v>0.11175</v>
      </c>
      <c r="BL812" s="33"/>
      <c r="BM812" s="33"/>
      <c r="BN812" s="33"/>
      <c r="BO812" s="33"/>
      <c r="BP812" s="520"/>
    </row>
    <row r="813" spans="28:68">
      <c r="AB813" s="514"/>
      <c r="AC813" s="514"/>
      <c r="AD813" s="514"/>
      <c r="AE813" s="514"/>
      <c r="AF813" s="514"/>
      <c r="AG813" s="514"/>
      <c r="AH813" s="514"/>
      <c r="AI813" s="514"/>
      <c r="AJ813" s="514"/>
      <c r="AK813" s="514"/>
      <c r="AL813" s="514"/>
      <c r="AM813" s="514"/>
      <c r="AN813" s="514"/>
      <c r="AO813" s="514"/>
      <c r="AP813" s="514"/>
      <c r="AQ813" s="514"/>
      <c r="AR813" s="514"/>
      <c r="AS813" s="514"/>
      <c r="AT813" s="514"/>
      <c r="AU813" s="514"/>
      <c r="AV813" s="514"/>
      <c r="AW813" s="514"/>
      <c r="AX813" s="514"/>
      <c r="AY813" s="514"/>
      <c r="AZ813" s="514"/>
      <c r="BA813" s="514"/>
      <c r="BB813" s="514"/>
      <c r="BC813" s="520"/>
      <c r="BD813" s="2482"/>
      <c r="BE813" s="30">
        <v>69.400000000000006</v>
      </c>
      <c r="BF813" s="31">
        <v>0.70430000000000004</v>
      </c>
      <c r="BG813" s="32">
        <v>704.2</v>
      </c>
      <c r="BH813" s="33"/>
      <c r="BI813" s="30">
        <v>69.400000000000006</v>
      </c>
      <c r="BJ813" s="34">
        <v>2.6593</v>
      </c>
      <c r="BK813" s="35">
        <v>0.11169</v>
      </c>
      <c r="BL813" s="33"/>
      <c r="BM813" s="33"/>
      <c r="BN813" s="33"/>
      <c r="BO813" s="33"/>
      <c r="BP813" s="520"/>
    </row>
    <row r="814" spans="28:68">
      <c r="AB814" s="514"/>
      <c r="AC814" s="514"/>
      <c r="AD814" s="514"/>
      <c r="AE814" s="514"/>
      <c r="AF814" s="514"/>
      <c r="AG814" s="514"/>
      <c r="AH814" s="514"/>
      <c r="AI814" s="514"/>
      <c r="AJ814" s="514"/>
      <c r="AK814" s="514"/>
      <c r="AL814" s="514"/>
      <c r="AM814" s="514"/>
      <c r="AN814" s="514"/>
      <c r="AO814" s="514"/>
      <c r="AP814" s="514"/>
      <c r="AQ814" s="514"/>
      <c r="AR814" s="514"/>
      <c r="AS814" s="514"/>
      <c r="AT814" s="514"/>
      <c r="AU814" s="514"/>
      <c r="AV814" s="514"/>
      <c r="AW814" s="514"/>
      <c r="AX814" s="514"/>
      <c r="AY814" s="514"/>
      <c r="AZ814" s="514"/>
      <c r="BA814" s="514"/>
      <c r="BB814" s="514"/>
      <c r="BC814" s="520"/>
      <c r="BD814" s="2482"/>
      <c r="BE814" s="30">
        <v>69.5</v>
      </c>
      <c r="BF814" s="31">
        <v>0.70399999999999996</v>
      </c>
      <c r="BG814" s="32">
        <v>703.8</v>
      </c>
      <c r="BH814" s="33"/>
      <c r="BI814" s="30">
        <v>69.5</v>
      </c>
      <c r="BJ814" s="34">
        <v>2.6579999999999999</v>
      </c>
      <c r="BK814" s="35">
        <v>0.11164</v>
      </c>
      <c r="BL814" s="33"/>
      <c r="BM814" s="33"/>
      <c r="BN814" s="33"/>
      <c r="BO814" s="33"/>
      <c r="BP814" s="520"/>
    </row>
    <row r="815" spans="28:68">
      <c r="AB815" s="514"/>
      <c r="AC815" s="514"/>
      <c r="AD815" s="514"/>
      <c r="AE815" s="514"/>
      <c r="AF815" s="514"/>
      <c r="AG815" s="514"/>
      <c r="AH815" s="514"/>
      <c r="AI815" s="514"/>
      <c r="AJ815" s="514"/>
      <c r="AK815" s="514"/>
      <c r="AL815" s="514"/>
      <c r="AM815" s="514"/>
      <c r="AN815" s="514"/>
      <c r="AO815" s="514"/>
      <c r="AP815" s="514"/>
      <c r="AQ815" s="514"/>
      <c r="AR815" s="514"/>
      <c r="AS815" s="514"/>
      <c r="AT815" s="514"/>
      <c r="AU815" s="514"/>
      <c r="AV815" s="514"/>
      <c r="AW815" s="514"/>
      <c r="AX815" s="514"/>
      <c r="AY815" s="514"/>
      <c r="AZ815" s="514"/>
      <c r="BA815" s="514"/>
      <c r="BB815" s="514"/>
      <c r="BC815" s="520"/>
      <c r="BD815" s="2482"/>
      <c r="BE815" s="30">
        <v>69.599999999999994</v>
      </c>
      <c r="BF815" s="31">
        <v>0.7036</v>
      </c>
      <c r="BG815" s="32">
        <v>703.5</v>
      </c>
      <c r="BH815" s="33"/>
      <c r="BI815" s="30">
        <v>69.599999999999994</v>
      </c>
      <c r="BJ815" s="34">
        <v>2.6566999999999998</v>
      </c>
      <c r="BK815" s="35">
        <v>0.11158</v>
      </c>
      <c r="BL815" s="33"/>
      <c r="BM815" s="33"/>
      <c r="BN815" s="33"/>
      <c r="BO815" s="33"/>
      <c r="BP815" s="520"/>
    </row>
    <row r="816" spans="28:68">
      <c r="AB816" s="514"/>
      <c r="AC816" s="514"/>
      <c r="AD816" s="514"/>
      <c r="AE816" s="514"/>
      <c r="AF816" s="514"/>
      <c r="AG816" s="514"/>
      <c r="AH816" s="514"/>
      <c r="AI816" s="514"/>
      <c r="AJ816" s="514"/>
      <c r="AK816" s="514"/>
      <c r="AL816" s="514"/>
      <c r="AM816" s="514"/>
      <c r="AN816" s="514"/>
      <c r="AO816" s="514"/>
      <c r="AP816" s="514"/>
      <c r="AQ816" s="514"/>
      <c r="AR816" s="514"/>
      <c r="AS816" s="514"/>
      <c r="AT816" s="514"/>
      <c r="AU816" s="514"/>
      <c r="AV816" s="514"/>
      <c r="AW816" s="514"/>
      <c r="AX816" s="514"/>
      <c r="AY816" s="514"/>
      <c r="AZ816" s="514"/>
      <c r="BA816" s="514"/>
      <c r="BB816" s="514"/>
      <c r="BC816" s="520"/>
      <c r="BD816" s="2482"/>
      <c r="BE816" s="30">
        <v>69.7</v>
      </c>
      <c r="BF816" s="31">
        <v>0.70330000000000004</v>
      </c>
      <c r="BG816" s="32">
        <v>703.1</v>
      </c>
      <c r="BH816" s="33"/>
      <c r="BI816" s="30">
        <v>69.7</v>
      </c>
      <c r="BJ816" s="34">
        <v>2.6554000000000002</v>
      </c>
      <c r="BK816" s="35">
        <v>0.11151999999999999</v>
      </c>
      <c r="BL816" s="33"/>
      <c r="BM816" s="33"/>
      <c r="BN816" s="33"/>
      <c r="BO816" s="33"/>
      <c r="BP816" s="520"/>
    </row>
    <row r="817" spans="28:68">
      <c r="AB817" s="514"/>
      <c r="AC817" s="514"/>
      <c r="AD817" s="514"/>
      <c r="AE817" s="514"/>
      <c r="AF817" s="514"/>
      <c r="AG817" s="514"/>
      <c r="AH817" s="514"/>
      <c r="AI817" s="514"/>
      <c r="AJ817" s="514"/>
      <c r="AK817" s="514"/>
      <c r="AL817" s="514"/>
      <c r="AM817" s="514"/>
      <c r="AN817" s="514"/>
      <c r="AO817" s="514"/>
      <c r="AP817" s="514"/>
      <c r="AQ817" s="514"/>
      <c r="AR817" s="514"/>
      <c r="AS817" s="514"/>
      <c r="AT817" s="514"/>
      <c r="AU817" s="514"/>
      <c r="AV817" s="514"/>
      <c r="AW817" s="514"/>
      <c r="AX817" s="514"/>
      <c r="AY817" s="514"/>
      <c r="AZ817" s="514"/>
      <c r="BA817" s="514"/>
      <c r="BB817" s="514"/>
      <c r="BC817" s="520"/>
      <c r="BD817" s="2482"/>
      <c r="BE817" s="30">
        <v>69.8</v>
      </c>
      <c r="BF817" s="31">
        <v>0.70289999999999997</v>
      </c>
      <c r="BG817" s="32">
        <v>702.8</v>
      </c>
      <c r="BH817" s="33"/>
      <c r="BI817" s="30">
        <v>69.8</v>
      </c>
      <c r="BJ817" s="34">
        <v>2.6539999999999999</v>
      </c>
      <c r="BK817" s="35">
        <v>0.11147</v>
      </c>
      <c r="BL817" s="33"/>
      <c r="BM817" s="33"/>
      <c r="BN817" s="33"/>
      <c r="BO817" s="33"/>
      <c r="BP817" s="520"/>
    </row>
    <row r="818" spans="28:68">
      <c r="AB818" s="514"/>
      <c r="AC818" s="514"/>
      <c r="AD818" s="514"/>
      <c r="AE818" s="514"/>
      <c r="AF818" s="514"/>
      <c r="AG818" s="514"/>
      <c r="AH818" s="514"/>
      <c r="AI818" s="514"/>
      <c r="AJ818" s="514"/>
      <c r="AK818" s="514"/>
      <c r="AL818" s="514"/>
      <c r="AM818" s="514"/>
      <c r="AN818" s="514"/>
      <c r="AO818" s="514"/>
      <c r="AP818" s="514"/>
      <c r="AQ818" s="514"/>
      <c r="AR818" s="514"/>
      <c r="AS818" s="514"/>
      <c r="AT818" s="514"/>
      <c r="AU818" s="514"/>
      <c r="AV818" s="514"/>
      <c r="AW818" s="514"/>
      <c r="AX818" s="514"/>
      <c r="AY818" s="514"/>
      <c r="AZ818" s="514"/>
      <c r="BA818" s="514"/>
      <c r="BB818" s="514"/>
      <c r="BC818" s="520"/>
      <c r="BD818" s="2482"/>
      <c r="BE818" s="30">
        <v>69.900000000000006</v>
      </c>
      <c r="BF818" s="31">
        <v>0.7026</v>
      </c>
      <c r="BG818" s="32">
        <v>702.4</v>
      </c>
      <c r="BH818" s="33"/>
      <c r="BI818" s="30">
        <v>69.900000000000006</v>
      </c>
      <c r="BJ818" s="34">
        <v>2.6526999999999998</v>
      </c>
      <c r="BK818" s="35">
        <v>0.11141</v>
      </c>
      <c r="BL818" s="33"/>
      <c r="BM818" s="33"/>
      <c r="BN818" s="33"/>
      <c r="BO818" s="33"/>
      <c r="BP818" s="520"/>
    </row>
    <row r="819" spans="28:68">
      <c r="AB819" s="514"/>
      <c r="AC819" s="514"/>
      <c r="AD819" s="514"/>
      <c r="AE819" s="514"/>
      <c r="AF819" s="514"/>
      <c r="AG819" s="514"/>
      <c r="AH819" s="514"/>
      <c r="AI819" s="514"/>
      <c r="AJ819" s="514"/>
      <c r="AK819" s="514"/>
      <c r="AL819" s="514"/>
      <c r="AM819" s="514"/>
      <c r="AN819" s="514"/>
      <c r="AO819" s="514"/>
      <c r="AP819" s="514"/>
      <c r="AQ819" s="514"/>
      <c r="AR819" s="514"/>
      <c r="AS819" s="514"/>
      <c r="AT819" s="514"/>
      <c r="AU819" s="514"/>
      <c r="AV819" s="514"/>
      <c r="AW819" s="514"/>
      <c r="AX819" s="514"/>
      <c r="AY819" s="514"/>
      <c r="AZ819" s="514"/>
      <c r="BA819" s="514"/>
      <c r="BB819" s="514"/>
      <c r="BC819" s="520"/>
      <c r="BD819" s="2482"/>
      <c r="BE819" s="30">
        <v>70</v>
      </c>
      <c r="BF819" s="31">
        <v>0.70220000000000005</v>
      </c>
      <c r="BG819" s="32">
        <v>702.1</v>
      </c>
      <c r="BH819" s="33"/>
      <c r="BI819" s="30">
        <v>70</v>
      </c>
      <c r="BJ819" s="34">
        <v>2.6514000000000002</v>
      </c>
      <c r="BK819" s="35">
        <v>0.11136</v>
      </c>
      <c r="BL819" s="33"/>
      <c r="BM819" s="33"/>
      <c r="BN819" s="33"/>
      <c r="BO819" s="33"/>
      <c r="BP819" s="520"/>
    </row>
    <row r="820" spans="28:68">
      <c r="AB820" s="514"/>
      <c r="AC820" s="514"/>
      <c r="AD820" s="514"/>
      <c r="AE820" s="514"/>
      <c r="AF820" s="514"/>
      <c r="AG820" s="514"/>
      <c r="AH820" s="514"/>
      <c r="AI820" s="514"/>
      <c r="AJ820" s="514"/>
      <c r="AK820" s="514"/>
      <c r="AL820" s="514"/>
      <c r="AM820" s="514"/>
      <c r="AN820" s="514"/>
      <c r="AO820" s="514"/>
      <c r="AP820" s="514"/>
      <c r="AQ820" s="514"/>
      <c r="AR820" s="514"/>
      <c r="AS820" s="514"/>
      <c r="AT820" s="514"/>
      <c r="AU820" s="514"/>
      <c r="AV820" s="514"/>
      <c r="AW820" s="514"/>
      <c r="AX820" s="514"/>
      <c r="AY820" s="514"/>
      <c r="AZ820" s="514"/>
      <c r="BA820" s="514"/>
      <c r="BB820" s="514"/>
      <c r="BC820" s="520"/>
      <c r="BD820" s="2482"/>
      <c r="BE820" s="30">
        <v>70.099999999999994</v>
      </c>
      <c r="BF820" s="31">
        <v>0.70189999999999997</v>
      </c>
      <c r="BG820" s="32">
        <v>701.7</v>
      </c>
      <c r="BH820" s="33"/>
      <c r="BI820" s="30">
        <v>70.099999999999994</v>
      </c>
      <c r="BJ820" s="34">
        <v>2.6501000000000001</v>
      </c>
      <c r="BK820" s="35">
        <v>0.1113</v>
      </c>
      <c r="BL820" s="33"/>
      <c r="BM820" s="33"/>
      <c r="BN820" s="33"/>
      <c r="BO820" s="33"/>
      <c r="BP820" s="520"/>
    </row>
    <row r="821" spans="28:68">
      <c r="AB821" s="514"/>
      <c r="AC821" s="514"/>
      <c r="AD821" s="514"/>
      <c r="AE821" s="514"/>
      <c r="AF821" s="514"/>
      <c r="AG821" s="514"/>
      <c r="AH821" s="514"/>
      <c r="AI821" s="514"/>
      <c r="AJ821" s="514"/>
      <c r="AK821" s="514"/>
      <c r="AL821" s="514"/>
      <c r="AM821" s="514"/>
      <c r="AN821" s="514"/>
      <c r="AO821" s="514"/>
      <c r="AP821" s="514"/>
      <c r="AQ821" s="514"/>
      <c r="AR821" s="514"/>
      <c r="AS821" s="514"/>
      <c r="AT821" s="514"/>
      <c r="AU821" s="514"/>
      <c r="AV821" s="514"/>
      <c r="AW821" s="514"/>
      <c r="AX821" s="514"/>
      <c r="AY821" s="514"/>
      <c r="AZ821" s="514"/>
      <c r="BA821" s="514"/>
      <c r="BB821" s="514"/>
      <c r="BC821" s="520"/>
      <c r="BD821" s="2482"/>
      <c r="BE821" s="30">
        <v>70.2</v>
      </c>
      <c r="BF821" s="31">
        <v>0.70150000000000001</v>
      </c>
      <c r="BG821" s="32">
        <v>701.4</v>
      </c>
      <c r="BH821" s="33"/>
      <c r="BI821" s="30">
        <v>70.2</v>
      </c>
      <c r="BJ821" s="34">
        <v>2.6488</v>
      </c>
      <c r="BK821" s="35">
        <v>0.11125</v>
      </c>
      <c r="BL821" s="33"/>
      <c r="BM821" s="33"/>
      <c r="BN821" s="33"/>
      <c r="BO821" s="33"/>
      <c r="BP821" s="520"/>
    </row>
    <row r="822" spans="28:68">
      <c r="AB822" s="514"/>
      <c r="AC822" s="514"/>
      <c r="AD822" s="514"/>
      <c r="AE822" s="514"/>
      <c r="AF822" s="514"/>
      <c r="AG822" s="514"/>
      <c r="AH822" s="514"/>
      <c r="AI822" s="514"/>
      <c r="AJ822" s="514"/>
      <c r="AK822" s="514"/>
      <c r="AL822" s="514"/>
      <c r="AM822" s="514"/>
      <c r="AN822" s="514"/>
      <c r="AO822" s="514"/>
      <c r="AP822" s="514"/>
      <c r="AQ822" s="514"/>
      <c r="AR822" s="514"/>
      <c r="AS822" s="514"/>
      <c r="AT822" s="514"/>
      <c r="AU822" s="514"/>
      <c r="AV822" s="514"/>
      <c r="AW822" s="514"/>
      <c r="AX822" s="514"/>
      <c r="AY822" s="514"/>
      <c r="AZ822" s="514"/>
      <c r="BA822" s="514"/>
      <c r="BB822" s="514"/>
      <c r="BC822" s="520"/>
      <c r="BD822" s="2482"/>
      <c r="BE822" s="30">
        <v>70.3</v>
      </c>
      <c r="BF822" s="31">
        <v>0.70120000000000005</v>
      </c>
      <c r="BG822" s="32">
        <v>701</v>
      </c>
      <c r="BH822" s="33"/>
      <c r="BI822" s="30">
        <v>70.3</v>
      </c>
      <c r="BJ822" s="34">
        <v>2.6474000000000002</v>
      </c>
      <c r="BK822" s="35">
        <v>0.11119</v>
      </c>
      <c r="BL822" s="33"/>
      <c r="BM822" s="33"/>
      <c r="BN822" s="33"/>
      <c r="BO822" s="33"/>
      <c r="BP822" s="520"/>
    </row>
    <row r="823" spans="28:68">
      <c r="AB823" s="514"/>
      <c r="AC823" s="514"/>
      <c r="AD823" s="514"/>
      <c r="AE823" s="514"/>
      <c r="AF823" s="514"/>
      <c r="AG823" s="514"/>
      <c r="AH823" s="514"/>
      <c r="AI823" s="514"/>
      <c r="AJ823" s="514"/>
      <c r="AK823" s="514"/>
      <c r="AL823" s="514"/>
      <c r="AM823" s="514"/>
      <c r="AN823" s="514"/>
      <c r="AO823" s="514"/>
      <c r="AP823" s="514"/>
      <c r="AQ823" s="514"/>
      <c r="AR823" s="514"/>
      <c r="AS823" s="514"/>
      <c r="AT823" s="514"/>
      <c r="AU823" s="514"/>
      <c r="AV823" s="514"/>
      <c r="AW823" s="514"/>
      <c r="AX823" s="514"/>
      <c r="AY823" s="514"/>
      <c r="AZ823" s="514"/>
      <c r="BA823" s="514"/>
      <c r="BB823" s="514"/>
      <c r="BC823" s="520"/>
      <c r="BD823" s="2482"/>
      <c r="BE823" s="30">
        <v>70.400000000000006</v>
      </c>
      <c r="BF823" s="31">
        <v>0.70079999999999998</v>
      </c>
      <c r="BG823" s="32">
        <v>700.7</v>
      </c>
      <c r="BH823" s="33"/>
      <c r="BI823" s="30">
        <v>70.400000000000006</v>
      </c>
      <c r="BJ823" s="34">
        <v>2.6461000000000001</v>
      </c>
      <c r="BK823" s="35">
        <v>0.11114</v>
      </c>
      <c r="BL823" s="33"/>
      <c r="BM823" s="33"/>
      <c r="BN823" s="33"/>
      <c r="BO823" s="33"/>
      <c r="BP823" s="520"/>
    </row>
    <row r="824" spans="28:68">
      <c r="AB824" s="514"/>
      <c r="AC824" s="514"/>
      <c r="AD824" s="514"/>
      <c r="AE824" s="514"/>
      <c r="AF824" s="514"/>
      <c r="AG824" s="514"/>
      <c r="AH824" s="514"/>
      <c r="AI824" s="514"/>
      <c r="AJ824" s="514"/>
      <c r="AK824" s="514"/>
      <c r="AL824" s="514"/>
      <c r="AM824" s="514"/>
      <c r="AN824" s="514"/>
      <c r="AO824" s="514"/>
      <c r="AP824" s="514"/>
      <c r="AQ824" s="514"/>
      <c r="AR824" s="514"/>
      <c r="AS824" s="514"/>
      <c r="AT824" s="514"/>
      <c r="AU824" s="514"/>
      <c r="AV824" s="514"/>
      <c r="AW824" s="514"/>
      <c r="AX824" s="514"/>
      <c r="AY824" s="514"/>
      <c r="AZ824" s="514"/>
      <c r="BA824" s="514"/>
      <c r="BB824" s="514"/>
      <c r="BC824" s="520"/>
      <c r="BD824" s="2482"/>
      <c r="BE824" s="30">
        <v>70.5</v>
      </c>
      <c r="BF824" s="31">
        <v>0.70050000000000001</v>
      </c>
      <c r="BG824" s="32">
        <v>700.3</v>
      </c>
      <c r="BH824" s="33"/>
      <c r="BI824" s="30">
        <v>70.5</v>
      </c>
      <c r="BJ824" s="34">
        <v>2.6448</v>
      </c>
      <c r="BK824" s="35">
        <v>0.11108</v>
      </c>
      <c r="BL824" s="33"/>
      <c r="BM824" s="33"/>
      <c r="BN824" s="33"/>
      <c r="BO824" s="33"/>
      <c r="BP824" s="520"/>
    </row>
    <row r="825" spans="28:68">
      <c r="AB825" s="514"/>
      <c r="AC825" s="514"/>
      <c r="AD825" s="514"/>
      <c r="AE825" s="514"/>
      <c r="AF825" s="514"/>
      <c r="AG825" s="514"/>
      <c r="AH825" s="514"/>
      <c r="AI825" s="514"/>
      <c r="AJ825" s="514"/>
      <c r="AK825" s="514"/>
      <c r="AL825" s="514"/>
      <c r="AM825" s="514"/>
      <c r="AN825" s="514"/>
      <c r="AO825" s="514"/>
      <c r="AP825" s="514"/>
      <c r="AQ825" s="514"/>
      <c r="AR825" s="514"/>
      <c r="AS825" s="514"/>
      <c r="AT825" s="514"/>
      <c r="AU825" s="514"/>
      <c r="AV825" s="514"/>
      <c r="AW825" s="514"/>
      <c r="AX825" s="514"/>
      <c r="AY825" s="514"/>
      <c r="AZ825" s="514"/>
      <c r="BA825" s="514"/>
      <c r="BB825" s="514"/>
      <c r="BC825" s="520"/>
      <c r="BD825" s="2482"/>
      <c r="BE825" s="30">
        <v>70.599999999999994</v>
      </c>
      <c r="BF825" s="31">
        <v>0.70009999999999994</v>
      </c>
      <c r="BG825" s="32">
        <v>700</v>
      </c>
      <c r="BH825" s="33"/>
      <c r="BI825" s="30">
        <v>70.599999999999994</v>
      </c>
      <c r="BJ825" s="34">
        <v>2.6435</v>
      </c>
      <c r="BK825" s="35">
        <v>0.11103</v>
      </c>
      <c r="BL825" s="33"/>
      <c r="BM825" s="33"/>
      <c r="BN825" s="33"/>
      <c r="BO825" s="33"/>
      <c r="BP825" s="520"/>
    </row>
    <row r="826" spans="28:68">
      <c r="AB826" s="514"/>
      <c r="AC826" s="514"/>
      <c r="AD826" s="514"/>
      <c r="AE826" s="514"/>
      <c r="AF826" s="514"/>
      <c r="AG826" s="514"/>
      <c r="AH826" s="514"/>
      <c r="AI826" s="514"/>
      <c r="AJ826" s="514"/>
      <c r="AK826" s="514"/>
      <c r="AL826" s="514"/>
      <c r="AM826" s="514"/>
      <c r="AN826" s="514"/>
      <c r="AO826" s="514"/>
      <c r="AP826" s="514"/>
      <c r="AQ826" s="514"/>
      <c r="AR826" s="514"/>
      <c r="AS826" s="514"/>
      <c r="AT826" s="514"/>
      <c r="AU826" s="514"/>
      <c r="AV826" s="514"/>
      <c r="AW826" s="514"/>
      <c r="AX826" s="514"/>
      <c r="AY826" s="514"/>
      <c r="AZ826" s="514"/>
      <c r="BA826" s="514"/>
      <c r="BB826" s="514"/>
      <c r="BC826" s="520"/>
      <c r="BD826" s="2482"/>
      <c r="BE826" s="30">
        <v>70.7</v>
      </c>
      <c r="BF826" s="31">
        <v>0.69979999999999998</v>
      </c>
      <c r="BG826" s="32">
        <v>699.6</v>
      </c>
      <c r="BH826" s="33"/>
      <c r="BI826" s="30">
        <v>70.7</v>
      </c>
      <c r="BJ826" s="34">
        <v>2.6421999999999999</v>
      </c>
      <c r="BK826" s="35">
        <v>0.11097</v>
      </c>
      <c r="BL826" s="33"/>
      <c r="BM826" s="33"/>
      <c r="BN826" s="33"/>
      <c r="BO826" s="33"/>
      <c r="BP826" s="520"/>
    </row>
    <row r="827" spans="28:68">
      <c r="AB827" s="514"/>
      <c r="AC827" s="514"/>
      <c r="AD827" s="514"/>
      <c r="AE827" s="514"/>
      <c r="AF827" s="514"/>
      <c r="AG827" s="514"/>
      <c r="AH827" s="514"/>
      <c r="AI827" s="514"/>
      <c r="AJ827" s="514"/>
      <c r="AK827" s="514"/>
      <c r="AL827" s="514"/>
      <c r="AM827" s="514"/>
      <c r="AN827" s="514"/>
      <c r="AO827" s="514"/>
      <c r="AP827" s="514"/>
      <c r="AQ827" s="514"/>
      <c r="AR827" s="514"/>
      <c r="AS827" s="514"/>
      <c r="AT827" s="514"/>
      <c r="AU827" s="514"/>
      <c r="AV827" s="514"/>
      <c r="AW827" s="514"/>
      <c r="AX827" s="514"/>
      <c r="AY827" s="514"/>
      <c r="AZ827" s="514"/>
      <c r="BA827" s="514"/>
      <c r="BB827" s="514"/>
      <c r="BC827" s="520"/>
      <c r="BD827" s="2482"/>
      <c r="BE827" s="30">
        <v>70.8</v>
      </c>
      <c r="BF827" s="31">
        <v>0.69950000000000001</v>
      </c>
      <c r="BG827" s="32">
        <v>699.3</v>
      </c>
      <c r="BH827" s="33"/>
      <c r="BI827" s="30">
        <v>70.8</v>
      </c>
      <c r="BJ827" s="34">
        <v>2.6408999999999998</v>
      </c>
      <c r="BK827" s="35">
        <v>0.11092</v>
      </c>
      <c r="BL827" s="33"/>
      <c r="BM827" s="33"/>
      <c r="BN827" s="33"/>
      <c r="BO827" s="33"/>
      <c r="BP827" s="520"/>
    </row>
    <row r="828" spans="28:68">
      <c r="AB828" s="514"/>
      <c r="AC828" s="514"/>
      <c r="AD828" s="514"/>
      <c r="AE828" s="514"/>
      <c r="AF828" s="514"/>
      <c r="AG828" s="514"/>
      <c r="AH828" s="514"/>
      <c r="AI828" s="514"/>
      <c r="AJ828" s="514"/>
      <c r="AK828" s="514"/>
      <c r="AL828" s="514"/>
      <c r="AM828" s="514"/>
      <c r="AN828" s="514"/>
      <c r="AO828" s="514"/>
      <c r="AP828" s="514"/>
      <c r="AQ828" s="514"/>
      <c r="AR828" s="514"/>
      <c r="AS828" s="514"/>
      <c r="AT828" s="514"/>
      <c r="AU828" s="514"/>
      <c r="AV828" s="514"/>
      <c r="AW828" s="514"/>
      <c r="AX828" s="514"/>
      <c r="AY828" s="514"/>
      <c r="AZ828" s="514"/>
      <c r="BA828" s="514"/>
      <c r="BB828" s="514"/>
      <c r="BC828" s="520"/>
      <c r="BD828" s="2482"/>
      <c r="BE828" s="30">
        <v>70.900000000000006</v>
      </c>
      <c r="BF828" s="31">
        <v>0.69910000000000005</v>
      </c>
      <c r="BG828" s="32">
        <v>698.9</v>
      </c>
      <c r="BH828" s="33"/>
      <c r="BI828" s="30">
        <v>70.900000000000006</v>
      </c>
      <c r="BJ828" s="34">
        <v>2.6396000000000002</v>
      </c>
      <c r="BK828" s="35">
        <v>0.11086</v>
      </c>
      <c r="BL828" s="33"/>
      <c r="BM828" s="33"/>
      <c r="BN828" s="33"/>
      <c r="BO828" s="33"/>
      <c r="BP828" s="520"/>
    </row>
    <row r="829" spans="28:68">
      <c r="AB829" s="514"/>
      <c r="AC829" s="514"/>
      <c r="AD829" s="514"/>
      <c r="AE829" s="514"/>
      <c r="AF829" s="514"/>
      <c r="AG829" s="514"/>
      <c r="AH829" s="514"/>
      <c r="AI829" s="514"/>
      <c r="AJ829" s="514"/>
      <c r="AK829" s="514"/>
      <c r="AL829" s="514"/>
      <c r="AM829" s="514"/>
      <c r="AN829" s="514"/>
      <c r="AO829" s="514"/>
      <c r="AP829" s="514"/>
      <c r="AQ829" s="514"/>
      <c r="AR829" s="514"/>
      <c r="AS829" s="514"/>
      <c r="AT829" s="514"/>
      <c r="AU829" s="514"/>
      <c r="AV829" s="514"/>
      <c r="AW829" s="514"/>
      <c r="AX829" s="514"/>
      <c r="AY829" s="514"/>
      <c r="AZ829" s="514"/>
      <c r="BA829" s="514"/>
      <c r="BB829" s="514"/>
      <c r="BC829" s="520"/>
      <c r="BD829" s="2482"/>
      <c r="BE829" s="30">
        <v>71</v>
      </c>
      <c r="BF829" s="31">
        <v>0.69879999999999998</v>
      </c>
      <c r="BG829" s="32">
        <v>698.6</v>
      </c>
      <c r="BH829" s="33"/>
      <c r="BI829" s="30">
        <v>71</v>
      </c>
      <c r="BJ829" s="34">
        <v>2.6383000000000001</v>
      </c>
      <c r="BK829" s="35">
        <v>0.11081000000000001</v>
      </c>
      <c r="BL829" s="33"/>
      <c r="BM829" s="33"/>
      <c r="BN829" s="33"/>
      <c r="BO829" s="33"/>
      <c r="BP829" s="520"/>
    </row>
    <row r="830" spans="28:68">
      <c r="AB830" s="514"/>
      <c r="AC830" s="514"/>
      <c r="AD830" s="514"/>
      <c r="AE830" s="514"/>
      <c r="AF830" s="514"/>
      <c r="AG830" s="514"/>
      <c r="AH830" s="514"/>
      <c r="AI830" s="514"/>
      <c r="AJ830" s="514"/>
      <c r="AK830" s="514"/>
      <c r="AL830" s="514"/>
      <c r="AM830" s="514"/>
      <c r="AN830" s="514"/>
      <c r="AO830" s="514"/>
      <c r="AP830" s="514"/>
      <c r="AQ830" s="514"/>
      <c r="AR830" s="514"/>
      <c r="AS830" s="514"/>
      <c r="AT830" s="514"/>
      <c r="AU830" s="514"/>
      <c r="AV830" s="514"/>
      <c r="AW830" s="514"/>
      <c r="AX830" s="514"/>
      <c r="AY830" s="514"/>
      <c r="AZ830" s="514"/>
      <c r="BA830" s="514"/>
      <c r="BB830" s="514"/>
      <c r="BC830" s="520"/>
      <c r="BD830" s="2482"/>
      <c r="BE830" s="30">
        <v>71.099999999999994</v>
      </c>
      <c r="BF830" s="31">
        <v>0.69840000000000002</v>
      </c>
      <c r="BG830" s="32">
        <v>698.2</v>
      </c>
      <c r="BH830" s="33"/>
      <c r="BI830" s="30">
        <v>71.099999999999994</v>
      </c>
      <c r="BJ830" s="34">
        <v>2.637</v>
      </c>
      <c r="BK830" s="35">
        <v>0.11075</v>
      </c>
      <c r="BL830" s="33"/>
      <c r="BM830" s="33"/>
      <c r="BN830" s="33"/>
      <c r="BO830" s="33"/>
      <c r="BP830" s="520"/>
    </row>
    <row r="831" spans="28:68">
      <c r="AB831" s="514"/>
      <c r="AC831" s="514"/>
      <c r="AD831" s="514"/>
      <c r="AE831" s="514"/>
      <c r="AF831" s="514"/>
      <c r="AG831" s="514"/>
      <c r="AH831" s="514"/>
      <c r="AI831" s="514"/>
      <c r="AJ831" s="514"/>
      <c r="AK831" s="514"/>
      <c r="AL831" s="514"/>
      <c r="AM831" s="514"/>
      <c r="AN831" s="514"/>
      <c r="AO831" s="514"/>
      <c r="AP831" s="514"/>
      <c r="AQ831" s="514"/>
      <c r="AR831" s="514"/>
      <c r="AS831" s="514"/>
      <c r="AT831" s="514"/>
      <c r="AU831" s="514"/>
      <c r="AV831" s="514"/>
      <c r="AW831" s="514"/>
      <c r="AX831" s="514"/>
      <c r="AY831" s="514"/>
      <c r="AZ831" s="514"/>
      <c r="BA831" s="514"/>
      <c r="BB831" s="514"/>
      <c r="BC831" s="520"/>
      <c r="BD831" s="2482"/>
      <c r="BE831" s="30">
        <v>71.2</v>
      </c>
      <c r="BF831" s="31">
        <v>0.69810000000000005</v>
      </c>
      <c r="BG831" s="32">
        <v>697.9</v>
      </c>
      <c r="BH831" s="33"/>
      <c r="BI831" s="30">
        <v>71.2</v>
      </c>
      <c r="BJ831" s="34">
        <v>2.6356999999999999</v>
      </c>
      <c r="BK831" s="35">
        <v>0.11070000000000001</v>
      </c>
      <c r="BL831" s="33"/>
      <c r="BM831" s="33"/>
      <c r="BN831" s="33"/>
      <c r="BO831" s="33"/>
      <c r="BP831" s="520"/>
    </row>
    <row r="832" spans="28:68">
      <c r="AB832" s="514"/>
      <c r="AC832" s="514"/>
      <c r="AD832" s="514"/>
      <c r="AE832" s="514"/>
      <c r="AF832" s="514"/>
      <c r="AG832" s="514"/>
      <c r="AH832" s="514"/>
      <c r="AI832" s="514"/>
      <c r="AJ832" s="514"/>
      <c r="AK832" s="514"/>
      <c r="AL832" s="514"/>
      <c r="AM832" s="514"/>
      <c r="AN832" s="514"/>
      <c r="AO832" s="514"/>
      <c r="AP832" s="514"/>
      <c r="AQ832" s="514"/>
      <c r="AR832" s="514"/>
      <c r="AS832" s="514"/>
      <c r="AT832" s="514"/>
      <c r="AU832" s="514"/>
      <c r="AV832" s="514"/>
      <c r="AW832" s="514"/>
      <c r="AX832" s="514"/>
      <c r="AY832" s="514"/>
      <c r="AZ832" s="514"/>
      <c r="BA832" s="514"/>
      <c r="BB832" s="514"/>
      <c r="BC832" s="520"/>
      <c r="BD832" s="2482"/>
      <c r="BE832" s="30">
        <v>71.3</v>
      </c>
      <c r="BF832" s="31">
        <v>0.69769999999999999</v>
      </c>
      <c r="BG832" s="32">
        <v>697.6</v>
      </c>
      <c r="BH832" s="33"/>
      <c r="BI832" s="30">
        <v>71.3</v>
      </c>
      <c r="BJ832" s="34">
        <v>2.6343999999999999</v>
      </c>
      <c r="BK832" s="35">
        <v>0.11064</v>
      </c>
      <c r="BL832" s="33"/>
      <c r="BM832" s="33"/>
      <c r="BN832" s="33"/>
      <c r="BO832" s="33"/>
      <c r="BP832" s="520"/>
    </row>
    <row r="833" spans="28:68">
      <c r="AB833" s="514"/>
      <c r="AC833" s="514"/>
      <c r="AD833" s="514"/>
      <c r="AE833" s="514"/>
      <c r="AF833" s="514"/>
      <c r="AG833" s="514"/>
      <c r="AH833" s="514"/>
      <c r="AI833" s="514"/>
      <c r="AJ833" s="514"/>
      <c r="AK833" s="514"/>
      <c r="AL833" s="514"/>
      <c r="AM833" s="514"/>
      <c r="AN833" s="514"/>
      <c r="AO833" s="514"/>
      <c r="AP833" s="514"/>
      <c r="AQ833" s="514"/>
      <c r="AR833" s="514"/>
      <c r="AS833" s="514"/>
      <c r="AT833" s="514"/>
      <c r="AU833" s="514"/>
      <c r="AV833" s="514"/>
      <c r="AW833" s="514"/>
      <c r="AX833" s="514"/>
      <c r="AY833" s="514"/>
      <c r="AZ833" s="514"/>
      <c r="BA833" s="514"/>
      <c r="BB833" s="514"/>
      <c r="BC833" s="520"/>
      <c r="BD833" s="2482"/>
      <c r="BE833" s="30">
        <v>71.400000000000006</v>
      </c>
      <c r="BF833" s="31">
        <v>0.69740000000000002</v>
      </c>
      <c r="BG833" s="32">
        <v>697.2</v>
      </c>
      <c r="BH833" s="33"/>
      <c r="BI833" s="30">
        <v>71.400000000000006</v>
      </c>
      <c r="BJ833" s="34">
        <v>2.6331000000000002</v>
      </c>
      <c r="BK833" s="35">
        <v>0.11058999999999999</v>
      </c>
      <c r="BL833" s="33"/>
      <c r="BM833" s="33"/>
      <c r="BN833" s="33"/>
      <c r="BO833" s="33"/>
      <c r="BP833" s="520"/>
    </row>
    <row r="834" spans="28:68">
      <c r="AB834" s="514"/>
      <c r="AC834" s="514"/>
      <c r="AD834" s="514"/>
      <c r="AE834" s="514"/>
      <c r="AF834" s="514"/>
      <c r="AG834" s="514"/>
      <c r="AH834" s="514"/>
      <c r="AI834" s="514"/>
      <c r="AJ834" s="514"/>
      <c r="AK834" s="514"/>
      <c r="AL834" s="514"/>
      <c r="AM834" s="514"/>
      <c r="AN834" s="514"/>
      <c r="AO834" s="514"/>
      <c r="AP834" s="514"/>
      <c r="AQ834" s="514"/>
      <c r="AR834" s="514"/>
      <c r="AS834" s="514"/>
      <c r="AT834" s="514"/>
      <c r="AU834" s="514"/>
      <c r="AV834" s="514"/>
      <c r="AW834" s="514"/>
      <c r="AX834" s="514"/>
      <c r="AY834" s="514"/>
      <c r="AZ834" s="514"/>
      <c r="BA834" s="514"/>
      <c r="BB834" s="514"/>
      <c r="BC834" s="520"/>
      <c r="BD834" s="2482"/>
      <c r="BE834" s="30">
        <v>71.5</v>
      </c>
      <c r="BF834" s="31">
        <v>0.69699999999999995</v>
      </c>
      <c r="BG834" s="32">
        <v>696.9</v>
      </c>
      <c r="BH834" s="33"/>
      <c r="BI834" s="30">
        <v>71.5</v>
      </c>
      <c r="BJ834" s="34">
        <v>2.6318000000000001</v>
      </c>
      <c r="BK834" s="35">
        <v>0.11053</v>
      </c>
      <c r="BL834" s="33"/>
      <c r="BM834" s="33"/>
      <c r="BN834" s="33"/>
      <c r="BO834" s="33"/>
      <c r="BP834" s="520"/>
    </row>
    <row r="835" spans="28:68">
      <c r="AB835" s="514"/>
      <c r="AC835" s="514"/>
      <c r="AD835" s="514"/>
      <c r="AE835" s="514"/>
      <c r="AF835" s="514"/>
      <c r="AG835" s="514"/>
      <c r="AH835" s="514"/>
      <c r="AI835" s="514"/>
      <c r="AJ835" s="514"/>
      <c r="AK835" s="514"/>
      <c r="AL835" s="514"/>
      <c r="AM835" s="514"/>
      <c r="AN835" s="514"/>
      <c r="AO835" s="514"/>
      <c r="AP835" s="514"/>
      <c r="AQ835" s="514"/>
      <c r="AR835" s="514"/>
      <c r="AS835" s="514"/>
      <c r="AT835" s="514"/>
      <c r="AU835" s="514"/>
      <c r="AV835" s="514"/>
      <c r="AW835" s="514"/>
      <c r="AX835" s="514"/>
      <c r="AY835" s="514"/>
      <c r="AZ835" s="514"/>
      <c r="BA835" s="514"/>
      <c r="BB835" s="514"/>
      <c r="BC835" s="520"/>
      <c r="BD835" s="2482"/>
      <c r="BE835" s="30">
        <v>71.599999999999994</v>
      </c>
      <c r="BF835" s="31">
        <v>0.69669999999999999</v>
      </c>
      <c r="BG835" s="32">
        <v>696.5</v>
      </c>
      <c r="BH835" s="33"/>
      <c r="BI835" s="30">
        <v>71.599999999999994</v>
      </c>
      <c r="BJ835" s="34">
        <v>2.6305000000000001</v>
      </c>
      <c r="BK835" s="35">
        <v>0.11047999999999999</v>
      </c>
      <c r="BL835" s="33"/>
      <c r="BM835" s="33"/>
      <c r="BN835" s="33"/>
      <c r="BO835" s="33"/>
      <c r="BP835" s="520"/>
    </row>
    <row r="836" spans="28:68">
      <c r="AB836" s="514"/>
      <c r="AC836" s="514"/>
      <c r="AD836" s="514"/>
      <c r="AE836" s="514"/>
      <c r="AF836" s="514"/>
      <c r="AG836" s="514"/>
      <c r="AH836" s="514"/>
      <c r="AI836" s="514"/>
      <c r="AJ836" s="514"/>
      <c r="AK836" s="514"/>
      <c r="AL836" s="514"/>
      <c r="AM836" s="514"/>
      <c r="AN836" s="514"/>
      <c r="AO836" s="514"/>
      <c r="AP836" s="514"/>
      <c r="AQ836" s="514"/>
      <c r="AR836" s="514"/>
      <c r="AS836" s="514"/>
      <c r="AT836" s="514"/>
      <c r="AU836" s="514"/>
      <c r="AV836" s="514"/>
      <c r="AW836" s="514"/>
      <c r="AX836" s="514"/>
      <c r="AY836" s="514"/>
      <c r="AZ836" s="514"/>
      <c r="BA836" s="514"/>
      <c r="BB836" s="514"/>
      <c r="BC836" s="520"/>
      <c r="BD836" s="2482"/>
      <c r="BE836" s="30">
        <v>71.7</v>
      </c>
      <c r="BF836" s="31">
        <v>0.69640000000000002</v>
      </c>
      <c r="BG836" s="32">
        <v>696.2</v>
      </c>
      <c r="BH836" s="33"/>
      <c r="BI836" s="30">
        <v>71.7</v>
      </c>
      <c r="BJ836" s="34">
        <v>2.6292</v>
      </c>
      <c r="BK836" s="35">
        <v>0.11043</v>
      </c>
      <c r="BL836" s="33"/>
      <c r="BM836" s="33"/>
      <c r="BN836" s="33"/>
      <c r="BO836" s="33"/>
      <c r="BP836" s="520"/>
    </row>
    <row r="837" spans="28:68">
      <c r="AB837" s="514"/>
      <c r="AC837" s="514"/>
      <c r="AD837" s="514"/>
      <c r="AE837" s="514"/>
      <c r="AF837" s="514"/>
      <c r="AG837" s="514"/>
      <c r="AH837" s="514"/>
      <c r="AI837" s="514"/>
      <c r="AJ837" s="514"/>
      <c r="AK837" s="514"/>
      <c r="AL837" s="514"/>
      <c r="AM837" s="514"/>
      <c r="AN837" s="514"/>
      <c r="AO837" s="514"/>
      <c r="AP837" s="514"/>
      <c r="AQ837" s="514"/>
      <c r="AR837" s="514"/>
      <c r="AS837" s="514"/>
      <c r="AT837" s="514"/>
      <c r="AU837" s="514"/>
      <c r="AV837" s="514"/>
      <c r="AW837" s="514"/>
      <c r="AX837" s="514"/>
      <c r="AY837" s="514"/>
      <c r="AZ837" s="514"/>
      <c r="BA837" s="514"/>
      <c r="BB837" s="514"/>
      <c r="BC837" s="520"/>
      <c r="BD837" s="2482"/>
      <c r="BE837" s="30">
        <v>71.8</v>
      </c>
      <c r="BF837" s="31">
        <v>0.69599999999999995</v>
      </c>
      <c r="BG837" s="32">
        <v>695.8</v>
      </c>
      <c r="BH837" s="33"/>
      <c r="BI837" s="30">
        <v>71.8</v>
      </c>
      <c r="BJ837" s="34">
        <v>2.6278999999999999</v>
      </c>
      <c r="BK837" s="35">
        <v>0.11037</v>
      </c>
      <c r="BL837" s="33"/>
      <c r="BM837" s="33"/>
      <c r="BN837" s="33"/>
      <c r="BO837" s="33"/>
      <c r="BP837" s="520"/>
    </row>
    <row r="838" spans="28:68">
      <c r="AB838" s="514"/>
      <c r="AC838" s="514"/>
      <c r="AD838" s="514"/>
      <c r="AE838" s="514"/>
      <c r="AF838" s="514"/>
      <c r="AG838" s="514"/>
      <c r="AH838" s="514"/>
      <c r="AI838" s="514"/>
      <c r="AJ838" s="514"/>
      <c r="AK838" s="514"/>
      <c r="AL838" s="514"/>
      <c r="AM838" s="514"/>
      <c r="AN838" s="514"/>
      <c r="AO838" s="514"/>
      <c r="AP838" s="514"/>
      <c r="AQ838" s="514"/>
      <c r="AR838" s="514"/>
      <c r="AS838" s="514"/>
      <c r="AT838" s="514"/>
      <c r="AU838" s="514"/>
      <c r="AV838" s="514"/>
      <c r="AW838" s="514"/>
      <c r="AX838" s="514"/>
      <c r="AY838" s="514"/>
      <c r="AZ838" s="514"/>
      <c r="BA838" s="514"/>
      <c r="BB838" s="514"/>
      <c r="BC838" s="520"/>
      <c r="BD838" s="2482"/>
      <c r="BE838" s="30">
        <v>71.900000000000006</v>
      </c>
      <c r="BF838" s="31">
        <v>0.69569999999999999</v>
      </c>
      <c r="BG838" s="32">
        <v>695.5</v>
      </c>
      <c r="BH838" s="33"/>
      <c r="BI838" s="30">
        <v>71.900000000000006</v>
      </c>
      <c r="BJ838" s="34">
        <v>2.6265999999999998</v>
      </c>
      <c r="BK838" s="35">
        <v>0.11032</v>
      </c>
      <c r="BL838" s="33"/>
      <c r="BM838" s="33"/>
      <c r="BN838" s="33"/>
      <c r="BO838" s="33"/>
      <c r="BP838" s="520"/>
    </row>
    <row r="839" spans="28:68">
      <c r="AB839" s="514"/>
      <c r="AC839" s="514"/>
      <c r="AD839" s="514"/>
      <c r="AE839" s="514"/>
      <c r="AF839" s="514"/>
      <c r="AG839" s="514"/>
      <c r="AH839" s="514"/>
      <c r="AI839" s="514"/>
      <c r="AJ839" s="514"/>
      <c r="AK839" s="514"/>
      <c r="AL839" s="514"/>
      <c r="AM839" s="514"/>
      <c r="AN839" s="514"/>
      <c r="AO839" s="514"/>
      <c r="AP839" s="514"/>
      <c r="AQ839" s="514"/>
      <c r="AR839" s="514"/>
      <c r="AS839" s="514"/>
      <c r="AT839" s="514"/>
      <c r="AU839" s="514"/>
      <c r="AV839" s="514"/>
      <c r="AW839" s="514"/>
      <c r="AX839" s="514"/>
      <c r="AY839" s="514"/>
      <c r="AZ839" s="514"/>
      <c r="BA839" s="514"/>
      <c r="BB839" s="514"/>
      <c r="BC839" s="520"/>
      <c r="BD839" s="2482"/>
      <c r="BE839" s="30">
        <v>72</v>
      </c>
      <c r="BF839" s="31">
        <v>0.69530000000000003</v>
      </c>
      <c r="BG839" s="32">
        <v>695.2</v>
      </c>
      <c r="BH839" s="33"/>
      <c r="BI839" s="30">
        <v>72</v>
      </c>
      <c r="BJ839" s="34">
        <v>2.6253000000000002</v>
      </c>
      <c r="BK839" s="35">
        <v>0.11026</v>
      </c>
      <c r="BL839" s="33"/>
      <c r="BM839" s="33"/>
      <c r="BN839" s="33"/>
      <c r="BO839" s="33"/>
      <c r="BP839" s="520"/>
    </row>
    <row r="840" spans="28:68">
      <c r="AB840" s="514"/>
      <c r="AC840" s="514"/>
      <c r="AD840" s="514"/>
      <c r="AE840" s="514"/>
      <c r="AF840" s="514"/>
      <c r="AG840" s="514"/>
      <c r="AH840" s="514"/>
      <c r="AI840" s="514"/>
      <c r="AJ840" s="514"/>
      <c r="AK840" s="514"/>
      <c r="AL840" s="514"/>
      <c r="AM840" s="514"/>
      <c r="AN840" s="514"/>
      <c r="AO840" s="514"/>
      <c r="AP840" s="514"/>
      <c r="AQ840" s="514"/>
      <c r="AR840" s="514"/>
      <c r="AS840" s="514"/>
      <c r="AT840" s="514"/>
      <c r="AU840" s="514"/>
      <c r="AV840" s="514"/>
      <c r="AW840" s="514"/>
      <c r="AX840" s="514"/>
      <c r="AY840" s="514"/>
      <c r="AZ840" s="514"/>
      <c r="BA840" s="514"/>
      <c r="BB840" s="514"/>
      <c r="BC840" s="520"/>
      <c r="BD840" s="2482"/>
      <c r="BE840" s="30">
        <v>72.099999999999994</v>
      </c>
      <c r="BF840" s="31">
        <v>0.69499999999999995</v>
      </c>
      <c r="BG840" s="32">
        <v>694.8</v>
      </c>
      <c r="BH840" s="33"/>
      <c r="BI840" s="30">
        <v>72.099999999999994</v>
      </c>
      <c r="BJ840" s="34">
        <v>2.6240000000000001</v>
      </c>
      <c r="BK840" s="35">
        <v>0.11021</v>
      </c>
      <c r="BL840" s="33"/>
      <c r="BM840" s="33"/>
      <c r="BN840" s="33"/>
      <c r="BO840" s="33"/>
      <c r="BP840" s="520"/>
    </row>
    <row r="841" spans="28:68">
      <c r="AB841" s="514"/>
      <c r="AC841" s="514"/>
      <c r="AD841" s="514"/>
      <c r="AE841" s="514"/>
      <c r="AF841" s="514"/>
      <c r="AG841" s="514"/>
      <c r="AH841" s="514"/>
      <c r="AI841" s="514"/>
      <c r="AJ841" s="514"/>
      <c r="AK841" s="514"/>
      <c r="AL841" s="514"/>
      <c r="AM841" s="514"/>
      <c r="AN841" s="514"/>
      <c r="AO841" s="514"/>
      <c r="AP841" s="514"/>
      <c r="AQ841" s="514"/>
      <c r="AR841" s="514"/>
      <c r="AS841" s="514"/>
      <c r="AT841" s="514"/>
      <c r="AU841" s="514"/>
      <c r="AV841" s="514"/>
      <c r="AW841" s="514"/>
      <c r="AX841" s="514"/>
      <c r="AY841" s="514"/>
      <c r="AZ841" s="514"/>
      <c r="BA841" s="514"/>
      <c r="BB841" s="514"/>
      <c r="BC841" s="520"/>
      <c r="BD841" s="2482"/>
      <c r="BE841" s="30">
        <v>72.2</v>
      </c>
      <c r="BF841" s="31">
        <v>0.6946</v>
      </c>
      <c r="BG841" s="32">
        <v>694.5</v>
      </c>
      <c r="BH841" s="33"/>
      <c r="BI841" s="30">
        <v>72.2</v>
      </c>
      <c r="BJ841" s="34">
        <v>2.6227</v>
      </c>
      <c r="BK841" s="35">
        <v>0.11015</v>
      </c>
      <c r="BL841" s="33"/>
      <c r="BM841" s="33"/>
      <c r="BN841" s="33"/>
      <c r="BO841" s="33"/>
      <c r="BP841" s="520"/>
    </row>
    <row r="842" spans="28:68">
      <c r="AB842" s="514"/>
      <c r="AC842" s="514"/>
      <c r="AD842" s="514"/>
      <c r="AE842" s="514"/>
      <c r="AF842" s="514"/>
      <c r="AG842" s="514"/>
      <c r="AH842" s="514"/>
      <c r="AI842" s="514"/>
      <c r="AJ842" s="514"/>
      <c r="AK842" s="514"/>
      <c r="AL842" s="514"/>
      <c r="AM842" s="514"/>
      <c r="AN842" s="514"/>
      <c r="AO842" s="514"/>
      <c r="AP842" s="514"/>
      <c r="AQ842" s="514"/>
      <c r="AR842" s="514"/>
      <c r="AS842" s="514"/>
      <c r="AT842" s="514"/>
      <c r="AU842" s="514"/>
      <c r="AV842" s="514"/>
      <c r="AW842" s="514"/>
      <c r="AX842" s="514"/>
      <c r="AY842" s="514"/>
      <c r="AZ842" s="514"/>
      <c r="BA842" s="514"/>
      <c r="BB842" s="514"/>
      <c r="BC842" s="520"/>
      <c r="BD842" s="2482"/>
      <c r="BE842" s="30">
        <v>72.3</v>
      </c>
      <c r="BF842" s="31">
        <v>0.69430000000000003</v>
      </c>
      <c r="BG842" s="32">
        <v>694.1</v>
      </c>
      <c r="BH842" s="33"/>
      <c r="BI842" s="30">
        <v>72.3</v>
      </c>
      <c r="BJ842" s="34">
        <v>2.6214</v>
      </c>
      <c r="BK842" s="35">
        <v>0.1101</v>
      </c>
      <c r="BL842" s="33"/>
      <c r="BM842" s="33"/>
      <c r="BN842" s="33"/>
      <c r="BO842" s="33"/>
      <c r="BP842" s="520"/>
    </row>
    <row r="843" spans="28:68">
      <c r="AB843" s="514"/>
      <c r="AC843" s="514"/>
      <c r="AD843" s="514"/>
      <c r="AE843" s="514"/>
      <c r="AF843" s="514"/>
      <c r="AG843" s="514"/>
      <c r="AH843" s="514"/>
      <c r="AI843" s="514"/>
      <c r="AJ843" s="514"/>
      <c r="AK843" s="514"/>
      <c r="AL843" s="514"/>
      <c r="AM843" s="514"/>
      <c r="AN843" s="514"/>
      <c r="AO843" s="514"/>
      <c r="AP843" s="514"/>
      <c r="AQ843" s="514"/>
      <c r="AR843" s="514"/>
      <c r="AS843" s="514"/>
      <c r="AT843" s="514"/>
      <c r="AU843" s="514"/>
      <c r="AV843" s="514"/>
      <c r="AW843" s="514"/>
      <c r="AX843" s="514"/>
      <c r="AY843" s="514"/>
      <c r="AZ843" s="514"/>
      <c r="BA843" s="514"/>
      <c r="BB843" s="514"/>
      <c r="BC843" s="520"/>
      <c r="BD843" s="2482"/>
      <c r="BE843" s="30">
        <v>72.400000000000006</v>
      </c>
      <c r="BF843" s="31">
        <v>0.69399999999999995</v>
      </c>
      <c r="BG843" s="32">
        <v>693.8</v>
      </c>
      <c r="BH843" s="33"/>
      <c r="BI843" s="30">
        <v>72.400000000000006</v>
      </c>
      <c r="BJ843" s="34">
        <v>2.6200999999999999</v>
      </c>
      <c r="BK843" s="35">
        <v>0.11005</v>
      </c>
      <c r="BL843" s="33"/>
      <c r="BM843" s="33"/>
      <c r="BN843" s="33"/>
      <c r="BO843" s="33"/>
      <c r="BP843" s="520"/>
    </row>
    <row r="844" spans="28:68">
      <c r="AB844" s="514"/>
      <c r="AC844" s="514"/>
      <c r="AD844" s="514"/>
      <c r="AE844" s="514"/>
      <c r="AF844" s="514"/>
      <c r="AG844" s="514"/>
      <c r="AH844" s="514"/>
      <c r="AI844" s="514"/>
      <c r="AJ844" s="514"/>
      <c r="AK844" s="514"/>
      <c r="AL844" s="514"/>
      <c r="AM844" s="514"/>
      <c r="AN844" s="514"/>
      <c r="AO844" s="514"/>
      <c r="AP844" s="514"/>
      <c r="AQ844" s="514"/>
      <c r="AR844" s="514"/>
      <c r="AS844" s="514"/>
      <c r="AT844" s="514"/>
      <c r="AU844" s="514"/>
      <c r="AV844" s="514"/>
      <c r="AW844" s="514"/>
      <c r="AX844" s="514"/>
      <c r="AY844" s="514"/>
      <c r="AZ844" s="514"/>
      <c r="BA844" s="514"/>
      <c r="BB844" s="514"/>
      <c r="BC844" s="520"/>
      <c r="BD844" s="2482"/>
      <c r="BE844" s="30">
        <v>72.5</v>
      </c>
      <c r="BF844" s="31">
        <v>0.69359999999999999</v>
      </c>
      <c r="BG844" s="32">
        <v>693.5</v>
      </c>
      <c r="BH844" s="33"/>
      <c r="BI844" s="30">
        <v>72.5</v>
      </c>
      <c r="BJ844" s="34">
        <v>2.6187999999999998</v>
      </c>
      <c r="BK844" s="35">
        <v>0.10999</v>
      </c>
      <c r="BL844" s="33"/>
      <c r="BM844" s="33"/>
      <c r="BN844" s="33"/>
      <c r="BO844" s="33"/>
      <c r="BP844" s="520"/>
    </row>
    <row r="845" spans="28:68">
      <c r="AB845" s="514"/>
      <c r="AC845" s="514"/>
      <c r="AD845" s="514"/>
      <c r="AE845" s="514"/>
      <c r="AF845" s="514"/>
      <c r="AG845" s="514"/>
      <c r="AH845" s="514"/>
      <c r="AI845" s="514"/>
      <c r="AJ845" s="514"/>
      <c r="AK845" s="514"/>
      <c r="AL845" s="514"/>
      <c r="AM845" s="514"/>
      <c r="AN845" s="514"/>
      <c r="AO845" s="514"/>
      <c r="AP845" s="514"/>
      <c r="AQ845" s="514"/>
      <c r="AR845" s="514"/>
      <c r="AS845" s="514"/>
      <c r="AT845" s="514"/>
      <c r="AU845" s="514"/>
      <c r="AV845" s="514"/>
      <c r="AW845" s="514"/>
      <c r="AX845" s="514"/>
      <c r="AY845" s="514"/>
      <c r="AZ845" s="514"/>
      <c r="BA845" s="514"/>
      <c r="BB845" s="514"/>
      <c r="BC845" s="520"/>
      <c r="BD845" s="2482"/>
      <c r="BE845" s="30">
        <v>72.599999999999994</v>
      </c>
      <c r="BF845" s="31">
        <v>0.69330000000000003</v>
      </c>
      <c r="BG845" s="32">
        <v>693.1</v>
      </c>
      <c r="BH845" s="33"/>
      <c r="BI845" s="30">
        <v>72.599999999999994</v>
      </c>
      <c r="BJ845" s="34">
        <v>2.6175999999999999</v>
      </c>
      <c r="BK845" s="35">
        <v>0.10994</v>
      </c>
      <c r="BL845" s="33"/>
      <c r="BM845" s="33"/>
      <c r="BN845" s="33"/>
      <c r="BO845" s="33"/>
      <c r="BP845" s="520"/>
    </row>
    <row r="846" spans="28:68">
      <c r="AB846" s="514"/>
      <c r="AC846" s="514"/>
      <c r="AD846" s="514"/>
      <c r="AE846" s="514"/>
      <c r="AF846" s="514"/>
      <c r="AG846" s="514"/>
      <c r="AH846" s="514"/>
      <c r="AI846" s="514"/>
      <c r="AJ846" s="514"/>
      <c r="AK846" s="514"/>
      <c r="AL846" s="514"/>
      <c r="AM846" s="514"/>
      <c r="AN846" s="514"/>
      <c r="AO846" s="514"/>
      <c r="AP846" s="514"/>
      <c r="AQ846" s="514"/>
      <c r="AR846" s="514"/>
      <c r="AS846" s="514"/>
      <c r="AT846" s="514"/>
      <c r="AU846" s="514"/>
      <c r="AV846" s="514"/>
      <c r="AW846" s="514"/>
      <c r="AX846" s="514"/>
      <c r="AY846" s="514"/>
      <c r="AZ846" s="514"/>
      <c r="BA846" s="514"/>
      <c r="BB846" s="514"/>
      <c r="BC846" s="520"/>
      <c r="BD846" s="2482"/>
      <c r="BE846" s="30">
        <v>72.7</v>
      </c>
      <c r="BF846" s="31">
        <v>0.69289999999999996</v>
      </c>
      <c r="BG846" s="32">
        <v>692.8</v>
      </c>
      <c r="BH846" s="33"/>
      <c r="BI846" s="30">
        <v>72.7</v>
      </c>
      <c r="BJ846" s="34">
        <v>2.6162999999999998</v>
      </c>
      <c r="BK846" s="35">
        <v>0.10988000000000001</v>
      </c>
      <c r="BL846" s="33"/>
      <c r="BM846" s="33"/>
      <c r="BN846" s="33"/>
      <c r="BO846" s="33"/>
      <c r="BP846" s="520"/>
    </row>
    <row r="847" spans="28:68">
      <c r="AB847" s="514"/>
      <c r="AC847" s="514"/>
      <c r="AD847" s="514"/>
      <c r="AE847" s="514"/>
      <c r="AF847" s="514"/>
      <c r="AG847" s="514"/>
      <c r="AH847" s="514"/>
      <c r="AI847" s="514"/>
      <c r="AJ847" s="514"/>
      <c r="AK847" s="514"/>
      <c r="AL847" s="514"/>
      <c r="AM847" s="514"/>
      <c r="AN847" s="514"/>
      <c r="AO847" s="514"/>
      <c r="AP847" s="514"/>
      <c r="AQ847" s="514"/>
      <c r="AR847" s="514"/>
      <c r="AS847" s="514"/>
      <c r="AT847" s="514"/>
      <c r="AU847" s="514"/>
      <c r="AV847" s="514"/>
      <c r="AW847" s="514"/>
      <c r="AX847" s="514"/>
      <c r="AY847" s="514"/>
      <c r="AZ847" s="514"/>
      <c r="BA847" s="514"/>
      <c r="BB847" s="514"/>
      <c r="BC847" s="520"/>
      <c r="BD847" s="2482"/>
      <c r="BE847" s="30">
        <v>72.8</v>
      </c>
      <c r="BF847" s="31">
        <v>0.69259999999999999</v>
      </c>
      <c r="BG847" s="32">
        <v>692.4</v>
      </c>
      <c r="BH847" s="33"/>
      <c r="BI847" s="30">
        <v>72.8</v>
      </c>
      <c r="BJ847" s="34">
        <v>2.6150000000000002</v>
      </c>
      <c r="BK847" s="35">
        <v>0.10983</v>
      </c>
      <c r="BL847" s="33"/>
      <c r="BM847" s="33"/>
      <c r="BN847" s="33"/>
      <c r="BO847" s="33"/>
      <c r="BP847" s="520"/>
    </row>
    <row r="848" spans="28:68">
      <c r="AB848" s="514"/>
      <c r="AC848" s="514"/>
      <c r="AD848" s="514"/>
      <c r="AE848" s="514"/>
      <c r="AF848" s="514"/>
      <c r="AG848" s="514"/>
      <c r="AH848" s="514"/>
      <c r="AI848" s="514"/>
      <c r="AJ848" s="514"/>
      <c r="AK848" s="514"/>
      <c r="AL848" s="514"/>
      <c r="AM848" s="514"/>
      <c r="AN848" s="514"/>
      <c r="AO848" s="514"/>
      <c r="AP848" s="514"/>
      <c r="AQ848" s="514"/>
      <c r="AR848" s="514"/>
      <c r="AS848" s="514"/>
      <c r="AT848" s="514"/>
      <c r="AU848" s="514"/>
      <c r="AV848" s="514"/>
      <c r="AW848" s="514"/>
      <c r="AX848" s="514"/>
      <c r="AY848" s="514"/>
      <c r="AZ848" s="514"/>
      <c r="BA848" s="514"/>
      <c r="BB848" s="514"/>
      <c r="BC848" s="520"/>
      <c r="BD848" s="2482"/>
      <c r="BE848" s="30">
        <v>72.900000000000006</v>
      </c>
      <c r="BF848" s="31">
        <v>0.69230000000000003</v>
      </c>
      <c r="BG848" s="32">
        <v>692.1</v>
      </c>
      <c r="BH848" s="33"/>
      <c r="BI848" s="30">
        <v>72.900000000000006</v>
      </c>
      <c r="BJ848" s="34">
        <v>2.6137000000000001</v>
      </c>
      <c r="BK848" s="35">
        <v>0.10978</v>
      </c>
      <c r="BL848" s="33"/>
      <c r="BM848" s="33"/>
      <c r="BN848" s="33"/>
      <c r="BO848" s="33"/>
      <c r="BP848" s="520"/>
    </row>
    <row r="849" spans="28:68">
      <c r="AB849" s="514"/>
      <c r="AC849" s="514"/>
      <c r="AD849" s="514"/>
      <c r="AE849" s="514"/>
      <c r="AF849" s="514"/>
      <c r="AG849" s="514"/>
      <c r="AH849" s="514"/>
      <c r="AI849" s="514"/>
      <c r="AJ849" s="514"/>
      <c r="AK849" s="514"/>
      <c r="AL849" s="514"/>
      <c r="AM849" s="514"/>
      <c r="AN849" s="514"/>
      <c r="AO849" s="514"/>
      <c r="AP849" s="514"/>
      <c r="AQ849" s="514"/>
      <c r="AR849" s="514"/>
      <c r="AS849" s="514"/>
      <c r="AT849" s="514"/>
      <c r="AU849" s="514"/>
      <c r="AV849" s="514"/>
      <c r="AW849" s="514"/>
      <c r="AX849" s="514"/>
      <c r="AY849" s="514"/>
      <c r="AZ849" s="514"/>
      <c r="BA849" s="514"/>
      <c r="BB849" s="514"/>
      <c r="BC849" s="520"/>
      <c r="BD849" s="2482"/>
      <c r="BE849" s="30">
        <v>73</v>
      </c>
      <c r="BF849" s="31">
        <v>0.69189999999999996</v>
      </c>
      <c r="BG849" s="32">
        <v>691.8</v>
      </c>
      <c r="BH849" s="33"/>
      <c r="BI849" s="30">
        <v>73</v>
      </c>
      <c r="BJ849" s="34">
        <v>2.6124000000000001</v>
      </c>
      <c r="BK849" s="35">
        <v>0.10972</v>
      </c>
      <c r="BL849" s="33"/>
      <c r="BM849" s="33"/>
      <c r="BN849" s="33"/>
      <c r="BO849" s="33"/>
      <c r="BP849" s="520"/>
    </row>
    <row r="850" spans="28:68">
      <c r="AB850" s="514"/>
      <c r="AC850" s="514"/>
      <c r="AD850" s="514"/>
      <c r="AE850" s="514"/>
      <c r="AF850" s="514"/>
      <c r="AG850" s="514"/>
      <c r="AH850" s="514"/>
      <c r="AI850" s="514"/>
      <c r="AJ850" s="514"/>
      <c r="AK850" s="514"/>
      <c r="AL850" s="514"/>
      <c r="AM850" s="514"/>
      <c r="AN850" s="514"/>
      <c r="AO850" s="514"/>
      <c r="AP850" s="514"/>
      <c r="AQ850" s="514"/>
      <c r="AR850" s="514"/>
      <c r="AS850" s="514"/>
      <c r="AT850" s="514"/>
      <c r="AU850" s="514"/>
      <c r="AV850" s="514"/>
      <c r="AW850" s="514"/>
      <c r="AX850" s="514"/>
      <c r="AY850" s="514"/>
      <c r="AZ850" s="514"/>
      <c r="BA850" s="514"/>
      <c r="BB850" s="514"/>
      <c r="BC850" s="520"/>
      <c r="BD850" s="2482"/>
      <c r="BE850" s="30">
        <v>73.099999999999994</v>
      </c>
      <c r="BF850" s="31">
        <v>0.69159999999999999</v>
      </c>
      <c r="BG850" s="32">
        <v>691.4</v>
      </c>
      <c r="BH850" s="33"/>
      <c r="BI850" s="30">
        <v>73.099999999999994</v>
      </c>
      <c r="BJ850" s="34">
        <v>2.6112000000000002</v>
      </c>
      <c r="BK850" s="35">
        <v>0.10967</v>
      </c>
      <c r="BL850" s="33"/>
      <c r="BM850" s="33"/>
      <c r="BN850" s="33"/>
      <c r="BO850" s="33"/>
      <c r="BP850" s="520"/>
    </row>
    <row r="851" spans="28:68">
      <c r="AB851" s="514"/>
      <c r="AC851" s="514"/>
      <c r="AD851" s="514"/>
      <c r="AE851" s="514"/>
      <c r="AF851" s="514"/>
      <c r="AG851" s="514"/>
      <c r="AH851" s="514"/>
      <c r="AI851" s="514"/>
      <c r="AJ851" s="514"/>
      <c r="AK851" s="514"/>
      <c r="AL851" s="514"/>
      <c r="AM851" s="514"/>
      <c r="AN851" s="514"/>
      <c r="AO851" s="514"/>
      <c r="AP851" s="514"/>
      <c r="AQ851" s="514"/>
      <c r="AR851" s="514"/>
      <c r="AS851" s="514"/>
      <c r="AT851" s="514"/>
      <c r="AU851" s="514"/>
      <c r="AV851" s="514"/>
      <c r="AW851" s="514"/>
      <c r="AX851" s="514"/>
      <c r="AY851" s="514"/>
      <c r="AZ851" s="514"/>
      <c r="BA851" s="514"/>
      <c r="BB851" s="514"/>
      <c r="BC851" s="520"/>
      <c r="BD851" s="2482"/>
      <c r="BE851" s="30">
        <v>73.2</v>
      </c>
      <c r="BF851" s="31">
        <v>0.69130000000000003</v>
      </c>
      <c r="BG851" s="32">
        <v>691.1</v>
      </c>
      <c r="BH851" s="33"/>
      <c r="BI851" s="30">
        <v>73.2</v>
      </c>
      <c r="BJ851" s="34">
        <v>2.6099000000000001</v>
      </c>
      <c r="BK851" s="35">
        <v>0.10961</v>
      </c>
      <c r="BL851" s="33"/>
      <c r="BM851" s="33"/>
      <c r="BN851" s="33"/>
      <c r="BO851" s="33"/>
      <c r="BP851" s="520"/>
    </row>
    <row r="852" spans="28:68">
      <c r="AB852" s="514"/>
      <c r="AC852" s="514"/>
      <c r="AD852" s="514"/>
      <c r="AE852" s="514"/>
      <c r="AF852" s="514"/>
      <c r="AG852" s="514"/>
      <c r="AH852" s="514"/>
      <c r="AI852" s="514"/>
      <c r="AJ852" s="514"/>
      <c r="AK852" s="514"/>
      <c r="AL852" s="514"/>
      <c r="AM852" s="514"/>
      <c r="AN852" s="514"/>
      <c r="AO852" s="514"/>
      <c r="AP852" s="514"/>
      <c r="AQ852" s="514"/>
      <c r="AR852" s="514"/>
      <c r="AS852" s="514"/>
      <c r="AT852" s="514"/>
      <c r="AU852" s="514"/>
      <c r="AV852" s="514"/>
      <c r="AW852" s="514"/>
      <c r="AX852" s="514"/>
      <c r="AY852" s="514"/>
      <c r="AZ852" s="514"/>
      <c r="BA852" s="514"/>
      <c r="BB852" s="514"/>
      <c r="BC852" s="520"/>
      <c r="BD852" s="2482"/>
      <c r="BE852" s="30">
        <v>73.3</v>
      </c>
      <c r="BF852" s="31">
        <v>0.69089999999999996</v>
      </c>
      <c r="BG852" s="32">
        <v>690.8</v>
      </c>
      <c r="BH852" s="33"/>
      <c r="BI852" s="30">
        <v>73.3</v>
      </c>
      <c r="BJ852" s="34">
        <v>2.6086</v>
      </c>
      <c r="BK852" s="35">
        <v>0.10956</v>
      </c>
      <c r="BL852" s="33"/>
      <c r="BM852" s="33"/>
      <c r="BN852" s="33"/>
      <c r="BO852" s="33"/>
      <c r="BP852" s="520"/>
    </row>
    <row r="853" spans="28:68">
      <c r="AB853" s="514"/>
      <c r="AC853" s="514"/>
      <c r="AD853" s="514"/>
      <c r="AE853" s="514"/>
      <c r="AF853" s="514"/>
      <c r="AG853" s="514"/>
      <c r="AH853" s="514"/>
      <c r="AI853" s="514"/>
      <c r="AJ853" s="514"/>
      <c r="AK853" s="514"/>
      <c r="AL853" s="514"/>
      <c r="AM853" s="514"/>
      <c r="AN853" s="514"/>
      <c r="AO853" s="514"/>
      <c r="AP853" s="514"/>
      <c r="AQ853" s="514"/>
      <c r="AR853" s="514"/>
      <c r="AS853" s="514"/>
      <c r="AT853" s="514"/>
      <c r="AU853" s="514"/>
      <c r="AV853" s="514"/>
      <c r="AW853" s="514"/>
      <c r="AX853" s="514"/>
      <c r="AY853" s="514"/>
      <c r="AZ853" s="514"/>
      <c r="BA853" s="514"/>
      <c r="BB853" s="514"/>
      <c r="BC853" s="520"/>
      <c r="BD853" s="2482"/>
      <c r="BE853" s="30">
        <v>73.400000000000006</v>
      </c>
      <c r="BF853" s="31">
        <v>0.69059999999999999</v>
      </c>
      <c r="BG853" s="32">
        <v>690.4</v>
      </c>
      <c r="BH853" s="33"/>
      <c r="BI853" s="30">
        <v>73.400000000000006</v>
      </c>
      <c r="BJ853" s="34">
        <v>2.6073</v>
      </c>
      <c r="BK853" s="35">
        <v>0.10951</v>
      </c>
      <c r="BL853" s="33"/>
      <c r="BM853" s="33"/>
      <c r="BN853" s="33"/>
      <c r="BO853" s="33"/>
      <c r="BP853" s="520"/>
    </row>
    <row r="854" spans="28:68">
      <c r="AB854" s="514"/>
      <c r="AC854" s="514"/>
      <c r="AD854" s="514"/>
      <c r="AE854" s="514"/>
      <c r="AF854" s="514"/>
      <c r="AG854" s="514"/>
      <c r="AH854" s="514"/>
      <c r="AI854" s="514"/>
      <c r="AJ854" s="514"/>
      <c r="AK854" s="514"/>
      <c r="AL854" s="514"/>
      <c r="AM854" s="514"/>
      <c r="AN854" s="514"/>
      <c r="AO854" s="514"/>
      <c r="AP854" s="514"/>
      <c r="AQ854" s="514"/>
      <c r="AR854" s="514"/>
      <c r="AS854" s="514"/>
      <c r="AT854" s="514"/>
      <c r="AU854" s="514"/>
      <c r="AV854" s="514"/>
      <c r="AW854" s="514"/>
      <c r="AX854" s="514"/>
      <c r="AY854" s="514"/>
      <c r="AZ854" s="514"/>
      <c r="BA854" s="514"/>
      <c r="BB854" s="514"/>
      <c r="BC854" s="520"/>
      <c r="BD854" s="2482"/>
      <c r="BE854" s="30">
        <v>73.5</v>
      </c>
      <c r="BF854" s="31">
        <v>0.69020000000000004</v>
      </c>
      <c r="BG854" s="32">
        <v>690.1</v>
      </c>
      <c r="BH854" s="33"/>
      <c r="BI854" s="30">
        <v>73.5</v>
      </c>
      <c r="BJ854" s="34">
        <v>2.6059999999999999</v>
      </c>
      <c r="BK854" s="35">
        <v>0.10945000000000001</v>
      </c>
      <c r="BL854" s="33"/>
      <c r="BM854" s="33"/>
      <c r="BN854" s="33"/>
      <c r="BO854" s="33"/>
      <c r="BP854" s="520"/>
    </row>
    <row r="855" spans="28:68">
      <c r="AB855" s="514"/>
      <c r="AC855" s="514"/>
      <c r="AD855" s="514"/>
      <c r="AE855" s="514"/>
      <c r="AF855" s="514"/>
      <c r="AG855" s="514"/>
      <c r="AH855" s="514"/>
      <c r="AI855" s="514"/>
      <c r="AJ855" s="514"/>
      <c r="AK855" s="514"/>
      <c r="AL855" s="514"/>
      <c r="AM855" s="514"/>
      <c r="AN855" s="514"/>
      <c r="AO855" s="514"/>
      <c r="AP855" s="514"/>
      <c r="AQ855" s="514"/>
      <c r="AR855" s="514"/>
      <c r="AS855" s="514"/>
      <c r="AT855" s="514"/>
      <c r="AU855" s="514"/>
      <c r="AV855" s="514"/>
      <c r="AW855" s="514"/>
      <c r="AX855" s="514"/>
      <c r="AY855" s="514"/>
      <c r="AZ855" s="514"/>
      <c r="BA855" s="514"/>
      <c r="BB855" s="514"/>
      <c r="BC855" s="520"/>
      <c r="BD855" s="2482"/>
      <c r="BE855" s="30">
        <v>73.599999999999994</v>
      </c>
      <c r="BF855" s="31">
        <v>0.68989999999999996</v>
      </c>
      <c r="BG855" s="32">
        <v>689.7</v>
      </c>
      <c r="BH855" s="33"/>
      <c r="BI855" s="30">
        <v>73.599999999999994</v>
      </c>
      <c r="BJ855" s="34">
        <v>2.6048</v>
      </c>
      <c r="BK855" s="35">
        <v>0.1094</v>
      </c>
      <c r="BL855" s="33"/>
      <c r="BM855" s="33"/>
      <c r="BN855" s="33"/>
      <c r="BO855" s="33"/>
      <c r="BP855" s="520"/>
    </row>
    <row r="856" spans="28:68">
      <c r="AB856" s="514"/>
      <c r="AC856" s="514"/>
      <c r="AD856" s="514"/>
      <c r="AE856" s="514"/>
      <c r="AF856" s="514"/>
      <c r="AG856" s="514"/>
      <c r="AH856" s="514"/>
      <c r="AI856" s="514"/>
      <c r="AJ856" s="514"/>
      <c r="AK856" s="514"/>
      <c r="AL856" s="514"/>
      <c r="AM856" s="514"/>
      <c r="AN856" s="514"/>
      <c r="AO856" s="514"/>
      <c r="AP856" s="514"/>
      <c r="AQ856" s="514"/>
      <c r="AR856" s="514"/>
      <c r="AS856" s="514"/>
      <c r="AT856" s="514"/>
      <c r="AU856" s="514"/>
      <c r="AV856" s="514"/>
      <c r="AW856" s="514"/>
      <c r="AX856" s="514"/>
      <c r="AY856" s="514"/>
      <c r="AZ856" s="514"/>
      <c r="BA856" s="514"/>
      <c r="BB856" s="514"/>
      <c r="BC856" s="520"/>
      <c r="BD856" s="2482"/>
      <c r="BE856" s="30">
        <v>73.7</v>
      </c>
      <c r="BF856" s="31">
        <v>0.68959999999999999</v>
      </c>
      <c r="BG856" s="32">
        <v>689.4</v>
      </c>
      <c r="BH856" s="33"/>
      <c r="BI856" s="30">
        <v>73.7</v>
      </c>
      <c r="BJ856" s="34">
        <v>2.6034999999999999</v>
      </c>
      <c r="BK856" s="35">
        <v>0.10935</v>
      </c>
      <c r="BL856" s="33"/>
      <c r="BM856" s="33"/>
      <c r="BN856" s="33"/>
      <c r="BO856" s="33"/>
      <c r="BP856" s="520"/>
    </row>
    <row r="857" spans="28:68">
      <c r="AB857" s="514"/>
      <c r="AC857" s="514"/>
      <c r="AD857" s="514"/>
      <c r="AE857" s="514"/>
      <c r="AF857" s="514"/>
      <c r="AG857" s="514"/>
      <c r="AH857" s="514"/>
      <c r="AI857" s="514"/>
      <c r="AJ857" s="514"/>
      <c r="AK857" s="514"/>
      <c r="AL857" s="514"/>
      <c r="AM857" s="514"/>
      <c r="AN857" s="514"/>
      <c r="AO857" s="514"/>
      <c r="AP857" s="514"/>
      <c r="AQ857" s="514"/>
      <c r="AR857" s="514"/>
      <c r="AS857" s="514"/>
      <c r="AT857" s="514"/>
      <c r="AU857" s="514"/>
      <c r="AV857" s="514"/>
      <c r="AW857" s="514"/>
      <c r="AX857" s="514"/>
      <c r="AY857" s="514"/>
      <c r="AZ857" s="514"/>
      <c r="BA857" s="514"/>
      <c r="BB857" s="514"/>
      <c r="BC857" s="520"/>
      <c r="BD857" s="2482"/>
      <c r="BE857" s="30">
        <v>73.8</v>
      </c>
      <c r="BF857" s="31">
        <v>0.68920000000000003</v>
      </c>
      <c r="BG857" s="32">
        <v>689.1</v>
      </c>
      <c r="BH857" s="33"/>
      <c r="BI857" s="30">
        <v>73.8</v>
      </c>
      <c r="BJ857" s="34">
        <v>2.6021999999999998</v>
      </c>
      <c r="BK857" s="35">
        <v>0.10929</v>
      </c>
      <c r="BL857" s="33"/>
      <c r="BM857" s="33"/>
      <c r="BN857" s="33"/>
      <c r="BO857" s="33"/>
      <c r="BP857" s="520"/>
    </row>
    <row r="858" spans="28:68">
      <c r="AB858" s="514"/>
      <c r="AC858" s="514"/>
      <c r="AD858" s="514"/>
      <c r="AE858" s="514"/>
      <c r="AF858" s="514"/>
      <c r="AG858" s="514"/>
      <c r="AH858" s="514"/>
      <c r="AI858" s="514"/>
      <c r="AJ858" s="514"/>
      <c r="AK858" s="514"/>
      <c r="AL858" s="514"/>
      <c r="AM858" s="514"/>
      <c r="AN858" s="514"/>
      <c r="AO858" s="514"/>
      <c r="AP858" s="514"/>
      <c r="AQ858" s="514"/>
      <c r="AR858" s="514"/>
      <c r="AS858" s="514"/>
      <c r="AT858" s="514"/>
      <c r="AU858" s="514"/>
      <c r="AV858" s="514"/>
      <c r="AW858" s="514"/>
      <c r="AX858" s="514"/>
      <c r="AY858" s="514"/>
      <c r="AZ858" s="514"/>
      <c r="BA858" s="514"/>
      <c r="BB858" s="514"/>
      <c r="BC858" s="520"/>
      <c r="BD858" s="2482"/>
      <c r="BE858" s="30">
        <v>73.900000000000006</v>
      </c>
      <c r="BF858" s="31">
        <v>0.68889999999999996</v>
      </c>
      <c r="BG858" s="32">
        <v>688.7</v>
      </c>
      <c r="BH858" s="33"/>
      <c r="BI858" s="30">
        <v>73.900000000000006</v>
      </c>
      <c r="BJ858" s="34">
        <v>2.601</v>
      </c>
      <c r="BK858" s="35">
        <v>0.10924</v>
      </c>
      <c r="BL858" s="33"/>
      <c r="BM858" s="33"/>
      <c r="BN858" s="33"/>
      <c r="BO858" s="33"/>
      <c r="BP858" s="520"/>
    </row>
    <row r="859" spans="28:68">
      <c r="AB859" s="514"/>
      <c r="AC859" s="514"/>
      <c r="AD859" s="514"/>
      <c r="AE859" s="514"/>
      <c r="AF859" s="514"/>
      <c r="AG859" s="514"/>
      <c r="AH859" s="514"/>
      <c r="AI859" s="514"/>
      <c r="AJ859" s="514"/>
      <c r="AK859" s="514"/>
      <c r="AL859" s="514"/>
      <c r="AM859" s="514"/>
      <c r="AN859" s="514"/>
      <c r="AO859" s="514"/>
      <c r="AP859" s="514"/>
      <c r="AQ859" s="514"/>
      <c r="AR859" s="514"/>
      <c r="AS859" s="514"/>
      <c r="AT859" s="514"/>
      <c r="AU859" s="514"/>
      <c r="AV859" s="514"/>
      <c r="AW859" s="514"/>
      <c r="AX859" s="514"/>
      <c r="AY859" s="514"/>
      <c r="AZ859" s="514"/>
      <c r="BA859" s="514"/>
      <c r="BB859" s="514"/>
      <c r="BC859" s="520"/>
      <c r="BD859" s="2482"/>
      <c r="BE859" s="30">
        <v>74</v>
      </c>
      <c r="BF859" s="31">
        <v>0.68859999999999999</v>
      </c>
      <c r="BG859" s="32">
        <v>688.4</v>
      </c>
      <c r="BH859" s="33"/>
      <c r="BI859" s="30">
        <v>74</v>
      </c>
      <c r="BJ859" s="34">
        <v>2.5996999999999999</v>
      </c>
      <c r="BK859" s="35">
        <v>0.10919</v>
      </c>
      <c r="BL859" s="33"/>
      <c r="BM859" s="33"/>
      <c r="BN859" s="33"/>
      <c r="BO859" s="33"/>
      <c r="BP859" s="520"/>
    </row>
    <row r="860" spans="28:68">
      <c r="AB860" s="514"/>
      <c r="AC860" s="514"/>
      <c r="AD860" s="514"/>
      <c r="AE860" s="514"/>
      <c r="AF860" s="514"/>
      <c r="AG860" s="514"/>
      <c r="AH860" s="514"/>
      <c r="AI860" s="514"/>
      <c r="AJ860" s="514"/>
      <c r="AK860" s="514"/>
      <c r="AL860" s="514"/>
      <c r="AM860" s="514"/>
      <c r="AN860" s="514"/>
      <c r="AO860" s="514"/>
      <c r="AP860" s="514"/>
      <c r="AQ860" s="514"/>
      <c r="AR860" s="514"/>
      <c r="AS860" s="514"/>
      <c r="AT860" s="514"/>
      <c r="AU860" s="514"/>
      <c r="AV860" s="514"/>
      <c r="AW860" s="514"/>
      <c r="AX860" s="514"/>
      <c r="AY860" s="514"/>
      <c r="AZ860" s="514"/>
      <c r="BA860" s="514"/>
      <c r="BB860" s="514"/>
      <c r="BC860" s="520"/>
      <c r="BD860" s="2482"/>
      <c r="BE860" s="30">
        <v>74.099999999999994</v>
      </c>
      <c r="BF860" s="31">
        <v>0.68820000000000003</v>
      </c>
      <c r="BG860" s="32">
        <v>688.1</v>
      </c>
      <c r="BH860" s="33"/>
      <c r="BI860" s="30">
        <v>74.099999999999994</v>
      </c>
      <c r="BJ860" s="34">
        <v>2.5983999999999998</v>
      </c>
      <c r="BK860" s="35">
        <v>0.10913</v>
      </c>
      <c r="BL860" s="33"/>
      <c r="BM860" s="33"/>
      <c r="BN860" s="33"/>
      <c r="BO860" s="33"/>
      <c r="BP860" s="520"/>
    </row>
    <row r="861" spans="28:68">
      <c r="AB861" s="514"/>
      <c r="AC861" s="514"/>
      <c r="AD861" s="514"/>
      <c r="AE861" s="514"/>
      <c r="AF861" s="514"/>
      <c r="AG861" s="514"/>
      <c r="AH861" s="514"/>
      <c r="AI861" s="514"/>
      <c r="AJ861" s="514"/>
      <c r="AK861" s="514"/>
      <c r="AL861" s="514"/>
      <c r="AM861" s="514"/>
      <c r="AN861" s="514"/>
      <c r="AO861" s="514"/>
      <c r="AP861" s="514"/>
      <c r="AQ861" s="514"/>
      <c r="AR861" s="514"/>
      <c r="AS861" s="514"/>
      <c r="AT861" s="514"/>
      <c r="AU861" s="514"/>
      <c r="AV861" s="514"/>
      <c r="AW861" s="514"/>
      <c r="AX861" s="514"/>
      <c r="AY861" s="514"/>
      <c r="AZ861" s="514"/>
      <c r="BA861" s="514"/>
      <c r="BB861" s="514"/>
      <c r="BC861" s="520"/>
      <c r="BD861" s="2482"/>
      <c r="BE861" s="30">
        <v>74.2</v>
      </c>
      <c r="BF861" s="31">
        <v>0.68789999999999996</v>
      </c>
      <c r="BG861" s="32">
        <v>687.7</v>
      </c>
      <c r="BH861" s="33"/>
      <c r="BI861" s="30">
        <v>74.2</v>
      </c>
      <c r="BJ861" s="34">
        <v>2.5972</v>
      </c>
      <c r="BK861" s="35">
        <v>0.10908</v>
      </c>
      <c r="BL861" s="33"/>
      <c r="BM861" s="33"/>
      <c r="BN861" s="33"/>
      <c r="BO861" s="33"/>
      <c r="BP861" s="520"/>
    </row>
    <row r="862" spans="28:68">
      <c r="AB862" s="514"/>
      <c r="AC862" s="514"/>
      <c r="AD862" s="514"/>
      <c r="AE862" s="514"/>
      <c r="AF862" s="514"/>
      <c r="AG862" s="514"/>
      <c r="AH862" s="514"/>
      <c r="AI862" s="514"/>
      <c r="AJ862" s="514"/>
      <c r="AK862" s="514"/>
      <c r="AL862" s="514"/>
      <c r="AM862" s="514"/>
      <c r="AN862" s="514"/>
      <c r="AO862" s="514"/>
      <c r="AP862" s="514"/>
      <c r="AQ862" s="514"/>
      <c r="AR862" s="514"/>
      <c r="AS862" s="514"/>
      <c r="AT862" s="514"/>
      <c r="AU862" s="514"/>
      <c r="AV862" s="514"/>
      <c r="AW862" s="514"/>
      <c r="AX862" s="514"/>
      <c r="AY862" s="514"/>
      <c r="AZ862" s="514"/>
      <c r="BA862" s="514"/>
      <c r="BB862" s="514"/>
      <c r="BC862" s="520"/>
      <c r="BD862" s="2482"/>
      <c r="BE862" s="30">
        <v>74.3</v>
      </c>
      <c r="BF862" s="31">
        <v>0.68759999999999999</v>
      </c>
      <c r="BG862" s="32">
        <v>687.4</v>
      </c>
      <c r="BH862" s="33"/>
      <c r="BI862" s="30">
        <v>74.3</v>
      </c>
      <c r="BJ862" s="34">
        <v>2.5958999999999999</v>
      </c>
      <c r="BK862" s="35">
        <v>0.10903</v>
      </c>
      <c r="BL862" s="33"/>
      <c r="BM862" s="33"/>
      <c r="BN862" s="33"/>
      <c r="BO862" s="33"/>
      <c r="BP862" s="520"/>
    </row>
    <row r="863" spans="28:68">
      <c r="AB863" s="514"/>
      <c r="AC863" s="514"/>
      <c r="AD863" s="514"/>
      <c r="AE863" s="514"/>
      <c r="AF863" s="514"/>
      <c r="AG863" s="514"/>
      <c r="AH863" s="514"/>
      <c r="AI863" s="514"/>
      <c r="AJ863" s="514"/>
      <c r="AK863" s="514"/>
      <c r="AL863" s="514"/>
      <c r="AM863" s="514"/>
      <c r="AN863" s="514"/>
      <c r="AO863" s="514"/>
      <c r="AP863" s="514"/>
      <c r="AQ863" s="514"/>
      <c r="AR863" s="514"/>
      <c r="AS863" s="514"/>
      <c r="AT863" s="514"/>
      <c r="AU863" s="514"/>
      <c r="AV863" s="514"/>
      <c r="AW863" s="514"/>
      <c r="AX863" s="514"/>
      <c r="AY863" s="514"/>
      <c r="AZ863" s="514"/>
      <c r="BA863" s="514"/>
      <c r="BB863" s="514"/>
      <c r="BC863" s="520"/>
      <c r="BD863" s="2482"/>
      <c r="BE863" s="30">
        <v>74.400000000000006</v>
      </c>
      <c r="BF863" s="31">
        <v>0.68720000000000003</v>
      </c>
      <c r="BG863" s="32">
        <v>687.1</v>
      </c>
      <c r="BH863" s="33"/>
      <c r="BI863" s="30">
        <v>74.400000000000006</v>
      </c>
      <c r="BJ863" s="34">
        <v>2.5945999999999998</v>
      </c>
      <c r="BK863" s="35">
        <v>0.10897</v>
      </c>
      <c r="BL863" s="33"/>
      <c r="BM863" s="33"/>
      <c r="BN863" s="33"/>
      <c r="BO863" s="33"/>
      <c r="BP863" s="520"/>
    </row>
    <row r="864" spans="28:68">
      <c r="AB864" s="514"/>
      <c r="AC864" s="514"/>
      <c r="AD864" s="514"/>
      <c r="AE864" s="514"/>
      <c r="AF864" s="514"/>
      <c r="AG864" s="514"/>
      <c r="AH864" s="514"/>
      <c r="AI864" s="514"/>
      <c r="AJ864" s="514"/>
      <c r="AK864" s="514"/>
      <c r="AL864" s="514"/>
      <c r="AM864" s="514"/>
      <c r="AN864" s="514"/>
      <c r="AO864" s="514"/>
      <c r="AP864" s="514"/>
      <c r="AQ864" s="514"/>
      <c r="AR864" s="514"/>
      <c r="AS864" s="514"/>
      <c r="AT864" s="514"/>
      <c r="AU864" s="514"/>
      <c r="AV864" s="514"/>
      <c r="AW864" s="514"/>
      <c r="AX864" s="514"/>
      <c r="AY864" s="514"/>
      <c r="AZ864" s="514"/>
      <c r="BA864" s="514"/>
      <c r="BB864" s="514"/>
      <c r="BC864" s="520"/>
      <c r="BD864" s="2482"/>
      <c r="BE864" s="30">
        <v>74.5</v>
      </c>
      <c r="BF864" s="31">
        <v>0.68689999999999996</v>
      </c>
      <c r="BG864" s="32">
        <v>686.7</v>
      </c>
      <c r="BH864" s="33"/>
      <c r="BI864" s="30">
        <v>74.5</v>
      </c>
      <c r="BJ864" s="34">
        <v>2.5933999999999999</v>
      </c>
      <c r="BK864" s="35">
        <v>0.10892</v>
      </c>
      <c r="BL864" s="33"/>
      <c r="BM864" s="33"/>
      <c r="BN864" s="33"/>
      <c r="BO864" s="33"/>
      <c r="BP864" s="520"/>
    </row>
    <row r="865" spans="28:68">
      <c r="AB865" s="514"/>
      <c r="AC865" s="514"/>
      <c r="AD865" s="514"/>
      <c r="AE865" s="514"/>
      <c r="AF865" s="514"/>
      <c r="AG865" s="514"/>
      <c r="AH865" s="514"/>
      <c r="AI865" s="514"/>
      <c r="AJ865" s="514"/>
      <c r="AK865" s="514"/>
      <c r="AL865" s="514"/>
      <c r="AM865" s="514"/>
      <c r="AN865" s="514"/>
      <c r="AO865" s="514"/>
      <c r="AP865" s="514"/>
      <c r="AQ865" s="514"/>
      <c r="AR865" s="514"/>
      <c r="AS865" s="514"/>
      <c r="AT865" s="514"/>
      <c r="AU865" s="514"/>
      <c r="AV865" s="514"/>
      <c r="AW865" s="514"/>
      <c r="AX865" s="514"/>
      <c r="AY865" s="514"/>
      <c r="AZ865" s="514"/>
      <c r="BA865" s="514"/>
      <c r="BB865" s="514"/>
      <c r="BC865" s="520"/>
      <c r="BD865" s="2482"/>
      <c r="BE865" s="30">
        <v>74.599999999999994</v>
      </c>
      <c r="BF865" s="31">
        <v>0.68659999999999999</v>
      </c>
      <c r="BG865" s="32">
        <v>686.4</v>
      </c>
      <c r="BH865" s="33"/>
      <c r="BI865" s="30">
        <v>74.599999999999994</v>
      </c>
      <c r="BJ865" s="34">
        <v>2.5920999999999998</v>
      </c>
      <c r="BK865" s="35">
        <v>0.10886999999999999</v>
      </c>
      <c r="BL865" s="33"/>
      <c r="BM865" s="33"/>
      <c r="BN865" s="33"/>
      <c r="BO865" s="33"/>
      <c r="BP865" s="520"/>
    </row>
    <row r="866" spans="28:68">
      <c r="AB866" s="514"/>
      <c r="AC866" s="514"/>
      <c r="AD866" s="514"/>
      <c r="AE866" s="514"/>
      <c r="AF866" s="514"/>
      <c r="AG866" s="514"/>
      <c r="AH866" s="514"/>
      <c r="AI866" s="514"/>
      <c r="AJ866" s="514"/>
      <c r="AK866" s="514"/>
      <c r="AL866" s="514"/>
      <c r="AM866" s="514"/>
      <c r="AN866" s="514"/>
      <c r="AO866" s="514"/>
      <c r="AP866" s="514"/>
      <c r="AQ866" s="514"/>
      <c r="AR866" s="514"/>
      <c r="AS866" s="514"/>
      <c r="AT866" s="514"/>
      <c r="AU866" s="514"/>
      <c r="AV866" s="514"/>
      <c r="AW866" s="514"/>
      <c r="AX866" s="514"/>
      <c r="AY866" s="514"/>
      <c r="AZ866" s="514"/>
      <c r="BA866" s="514"/>
      <c r="BB866" s="514"/>
      <c r="BC866" s="520"/>
      <c r="BD866" s="2482"/>
      <c r="BE866" s="30">
        <v>74.7</v>
      </c>
      <c r="BF866" s="31">
        <v>0.68620000000000003</v>
      </c>
      <c r="BG866" s="32">
        <v>686.1</v>
      </c>
      <c r="BH866" s="33"/>
      <c r="BI866" s="30">
        <v>74.7</v>
      </c>
      <c r="BJ866" s="34">
        <v>2.5909</v>
      </c>
      <c r="BK866" s="35">
        <v>0.10882</v>
      </c>
      <c r="BL866" s="33"/>
      <c r="BM866" s="33"/>
      <c r="BN866" s="33"/>
      <c r="BO866" s="33"/>
      <c r="BP866" s="520"/>
    </row>
    <row r="867" spans="28:68">
      <c r="AB867" s="514"/>
      <c r="AC867" s="514"/>
      <c r="AD867" s="514"/>
      <c r="AE867" s="514"/>
      <c r="AF867" s="514"/>
      <c r="AG867" s="514"/>
      <c r="AH867" s="514"/>
      <c r="AI867" s="514"/>
      <c r="AJ867" s="514"/>
      <c r="AK867" s="514"/>
      <c r="AL867" s="514"/>
      <c r="AM867" s="514"/>
      <c r="AN867" s="514"/>
      <c r="AO867" s="514"/>
      <c r="AP867" s="514"/>
      <c r="AQ867" s="514"/>
      <c r="AR867" s="514"/>
      <c r="AS867" s="514"/>
      <c r="AT867" s="514"/>
      <c r="AU867" s="514"/>
      <c r="AV867" s="514"/>
      <c r="AW867" s="514"/>
      <c r="AX867" s="514"/>
      <c r="AY867" s="514"/>
      <c r="AZ867" s="514"/>
      <c r="BA867" s="514"/>
      <c r="BB867" s="514"/>
      <c r="BC867" s="520"/>
      <c r="BD867" s="2482"/>
      <c r="BE867" s="30">
        <v>74.8</v>
      </c>
      <c r="BF867" s="31">
        <v>0.68589999999999995</v>
      </c>
      <c r="BG867" s="32">
        <v>685.7</v>
      </c>
      <c r="BH867" s="33"/>
      <c r="BI867" s="30">
        <v>74.8</v>
      </c>
      <c r="BJ867" s="34">
        <v>2.5895999999999999</v>
      </c>
      <c r="BK867" s="35">
        <v>0.10876</v>
      </c>
      <c r="BL867" s="33"/>
      <c r="BM867" s="33"/>
      <c r="BN867" s="33"/>
      <c r="BO867" s="33"/>
      <c r="BP867" s="520"/>
    </row>
    <row r="868" spans="28:68">
      <c r="AB868" s="514"/>
      <c r="AC868" s="514"/>
      <c r="AD868" s="514"/>
      <c r="AE868" s="514"/>
      <c r="AF868" s="514"/>
      <c r="AG868" s="514"/>
      <c r="AH868" s="514"/>
      <c r="AI868" s="514"/>
      <c r="AJ868" s="514"/>
      <c r="AK868" s="514"/>
      <c r="AL868" s="514"/>
      <c r="AM868" s="514"/>
      <c r="AN868" s="514"/>
      <c r="AO868" s="514"/>
      <c r="AP868" s="514"/>
      <c r="AQ868" s="514"/>
      <c r="AR868" s="514"/>
      <c r="AS868" s="514"/>
      <c r="AT868" s="514"/>
      <c r="AU868" s="514"/>
      <c r="AV868" s="514"/>
      <c r="AW868" s="514"/>
      <c r="AX868" s="514"/>
      <c r="AY868" s="514"/>
      <c r="AZ868" s="514"/>
      <c r="BA868" s="514"/>
      <c r="BB868" s="514"/>
      <c r="BC868" s="520"/>
      <c r="BD868" s="2482"/>
      <c r="BE868" s="30">
        <v>74.900000000000006</v>
      </c>
      <c r="BF868" s="31">
        <v>0.68559999999999999</v>
      </c>
      <c r="BG868" s="32">
        <v>685.4</v>
      </c>
      <c r="BH868" s="33"/>
      <c r="BI868" s="30">
        <v>74.900000000000006</v>
      </c>
      <c r="BJ868" s="34">
        <v>2.5882999999999998</v>
      </c>
      <c r="BK868" s="35">
        <v>0.10871</v>
      </c>
      <c r="BL868" s="33"/>
      <c r="BM868" s="33"/>
      <c r="BN868" s="33"/>
      <c r="BO868" s="33"/>
      <c r="BP868" s="520"/>
    </row>
    <row r="869" spans="28:68">
      <c r="AB869" s="514"/>
      <c r="AC869" s="514"/>
      <c r="AD869" s="514"/>
      <c r="AE869" s="514"/>
      <c r="AF869" s="514"/>
      <c r="AG869" s="514"/>
      <c r="AH869" s="514"/>
      <c r="AI869" s="514"/>
      <c r="AJ869" s="514"/>
      <c r="AK869" s="514"/>
      <c r="AL869" s="514"/>
      <c r="AM869" s="514"/>
      <c r="AN869" s="514"/>
      <c r="AO869" s="514"/>
      <c r="AP869" s="514"/>
      <c r="AQ869" s="514"/>
      <c r="AR869" s="514"/>
      <c r="AS869" s="514"/>
      <c r="AT869" s="514"/>
      <c r="AU869" s="514"/>
      <c r="AV869" s="514"/>
      <c r="AW869" s="514"/>
      <c r="AX869" s="514"/>
      <c r="AY869" s="514"/>
      <c r="AZ869" s="514"/>
      <c r="BA869" s="514"/>
      <c r="BB869" s="514"/>
      <c r="BC869" s="520"/>
      <c r="BD869" s="2482"/>
      <c r="BE869" s="30">
        <v>75</v>
      </c>
      <c r="BF869" s="31">
        <v>0.68520000000000003</v>
      </c>
      <c r="BG869" s="32">
        <v>685.1</v>
      </c>
      <c r="BH869" s="33"/>
      <c r="BI869" s="30">
        <v>75</v>
      </c>
      <c r="BJ869" s="34">
        <v>2.5871</v>
      </c>
      <c r="BK869" s="35">
        <v>0.10866000000000001</v>
      </c>
      <c r="BL869" s="33"/>
      <c r="BM869" s="33"/>
      <c r="BN869" s="33"/>
      <c r="BO869" s="33"/>
      <c r="BP869" s="520"/>
    </row>
    <row r="870" spans="28:68">
      <c r="AB870" s="514"/>
      <c r="AC870" s="514"/>
      <c r="AD870" s="514"/>
      <c r="AE870" s="514"/>
      <c r="AF870" s="514"/>
      <c r="AG870" s="514"/>
      <c r="AH870" s="514"/>
      <c r="AI870" s="514"/>
      <c r="AJ870" s="514"/>
      <c r="AK870" s="514"/>
      <c r="AL870" s="514"/>
      <c r="AM870" s="514"/>
      <c r="AN870" s="514"/>
      <c r="AO870" s="514"/>
      <c r="AP870" s="514"/>
      <c r="AQ870" s="514"/>
      <c r="AR870" s="514"/>
      <c r="AS870" s="514"/>
      <c r="AT870" s="514"/>
      <c r="AU870" s="514"/>
      <c r="AV870" s="514"/>
      <c r="AW870" s="514"/>
      <c r="AX870" s="514"/>
      <c r="AY870" s="514"/>
      <c r="AZ870" s="514"/>
      <c r="BA870" s="514"/>
      <c r="BB870" s="514"/>
      <c r="BC870" s="520"/>
      <c r="BD870" s="2482"/>
      <c r="BE870" s="30">
        <v>75.099999999999994</v>
      </c>
      <c r="BF870" s="31">
        <v>0.68489999999999995</v>
      </c>
      <c r="BG870" s="32">
        <v>684.7</v>
      </c>
      <c r="BH870" s="33"/>
      <c r="BI870" s="30">
        <v>75.099999999999994</v>
      </c>
      <c r="BJ870" s="34">
        <v>2.5857999999999999</v>
      </c>
      <c r="BK870" s="35">
        <v>0.1086</v>
      </c>
      <c r="BL870" s="33"/>
      <c r="BM870" s="33"/>
      <c r="BN870" s="33"/>
      <c r="BO870" s="33"/>
      <c r="BP870" s="520"/>
    </row>
    <row r="871" spans="28:68">
      <c r="AB871" s="514"/>
      <c r="AC871" s="514"/>
      <c r="AD871" s="514"/>
      <c r="AE871" s="514"/>
      <c r="AF871" s="514"/>
      <c r="AG871" s="514"/>
      <c r="AH871" s="514"/>
      <c r="AI871" s="514"/>
      <c r="AJ871" s="514"/>
      <c r="AK871" s="514"/>
      <c r="AL871" s="514"/>
      <c r="AM871" s="514"/>
      <c r="AN871" s="514"/>
      <c r="AO871" s="514"/>
      <c r="AP871" s="514"/>
      <c r="AQ871" s="514"/>
      <c r="AR871" s="514"/>
      <c r="AS871" s="514"/>
      <c r="AT871" s="514"/>
      <c r="AU871" s="514"/>
      <c r="AV871" s="514"/>
      <c r="AW871" s="514"/>
      <c r="AX871" s="514"/>
      <c r="AY871" s="514"/>
      <c r="AZ871" s="514"/>
      <c r="BA871" s="514"/>
      <c r="BB871" s="514"/>
      <c r="BC871" s="520"/>
      <c r="BD871" s="2482"/>
      <c r="BE871" s="30">
        <v>75.2</v>
      </c>
      <c r="BF871" s="31">
        <v>0.68459999999999999</v>
      </c>
      <c r="BG871" s="32">
        <v>684.4</v>
      </c>
      <c r="BH871" s="33"/>
      <c r="BI871" s="30">
        <v>75.2</v>
      </c>
      <c r="BJ871" s="34">
        <v>2.5846</v>
      </c>
      <c r="BK871" s="35">
        <v>0.10854999999999999</v>
      </c>
      <c r="BL871" s="33"/>
      <c r="BM871" s="33"/>
      <c r="BN871" s="33"/>
      <c r="BO871" s="33"/>
      <c r="BP871" s="520"/>
    </row>
    <row r="872" spans="28:68">
      <c r="AB872" s="514"/>
      <c r="AC872" s="514"/>
      <c r="AD872" s="514"/>
      <c r="AE872" s="514"/>
      <c r="AF872" s="514"/>
      <c r="AG872" s="514"/>
      <c r="AH872" s="514"/>
      <c r="AI872" s="514"/>
      <c r="AJ872" s="514"/>
      <c r="AK872" s="514"/>
      <c r="AL872" s="514"/>
      <c r="AM872" s="514"/>
      <c r="AN872" s="514"/>
      <c r="AO872" s="514"/>
      <c r="AP872" s="514"/>
      <c r="AQ872" s="514"/>
      <c r="AR872" s="514"/>
      <c r="AS872" s="514"/>
      <c r="AT872" s="514"/>
      <c r="AU872" s="514"/>
      <c r="AV872" s="514"/>
      <c r="AW872" s="514"/>
      <c r="AX872" s="514"/>
      <c r="AY872" s="514"/>
      <c r="AZ872" s="514"/>
      <c r="BA872" s="514"/>
      <c r="BB872" s="514"/>
      <c r="BC872" s="520"/>
      <c r="BD872" s="2482"/>
      <c r="BE872" s="30">
        <v>75.3</v>
      </c>
      <c r="BF872" s="31">
        <v>0.68420000000000003</v>
      </c>
      <c r="BG872" s="32">
        <v>684.1</v>
      </c>
      <c r="BH872" s="33"/>
      <c r="BI872" s="30">
        <v>75.3</v>
      </c>
      <c r="BJ872" s="34">
        <v>2.5832999999999999</v>
      </c>
      <c r="BK872" s="35">
        <v>0.1085</v>
      </c>
      <c r="BL872" s="33"/>
      <c r="BM872" s="33"/>
      <c r="BN872" s="33"/>
      <c r="BO872" s="33"/>
      <c r="BP872" s="520"/>
    </row>
    <row r="873" spans="28:68">
      <c r="AB873" s="514"/>
      <c r="AC873" s="514"/>
      <c r="AD873" s="514"/>
      <c r="AE873" s="514"/>
      <c r="AF873" s="514"/>
      <c r="AG873" s="514"/>
      <c r="AH873" s="514"/>
      <c r="AI873" s="514"/>
      <c r="AJ873" s="514"/>
      <c r="AK873" s="514"/>
      <c r="AL873" s="514"/>
      <c r="AM873" s="514"/>
      <c r="AN873" s="514"/>
      <c r="AO873" s="514"/>
      <c r="AP873" s="514"/>
      <c r="AQ873" s="514"/>
      <c r="AR873" s="514"/>
      <c r="AS873" s="514"/>
      <c r="AT873" s="514"/>
      <c r="AU873" s="514"/>
      <c r="AV873" s="514"/>
      <c r="AW873" s="514"/>
      <c r="AX873" s="514"/>
      <c r="AY873" s="514"/>
      <c r="AZ873" s="514"/>
      <c r="BA873" s="514"/>
      <c r="BB873" s="514"/>
      <c r="BC873" s="520"/>
      <c r="BD873" s="2482"/>
      <c r="BE873" s="30">
        <v>75.400000000000006</v>
      </c>
      <c r="BF873" s="31">
        <v>0.68389999999999995</v>
      </c>
      <c r="BG873" s="32">
        <v>683.8</v>
      </c>
      <c r="BH873" s="33"/>
      <c r="BI873" s="30">
        <v>75.400000000000006</v>
      </c>
      <c r="BJ873" s="34">
        <v>2.5821000000000001</v>
      </c>
      <c r="BK873" s="35">
        <v>0.10845</v>
      </c>
      <c r="BL873" s="33"/>
      <c r="BM873" s="33"/>
      <c r="BN873" s="33"/>
      <c r="BO873" s="33"/>
      <c r="BP873" s="520"/>
    </row>
    <row r="874" spans="28:68">
      <c r="AB874" s="514"/>
      <c r="AC874" s="514"/>
      <c r="AD874" s="514"/>
      <c r="AE874" s="514"/>
      <c r="AF874" s="514"/>
      <c r="AG874" s="514"/>
      <c r="AH874" s="514"/>
      <c r="AI874" s="514"/>
      <c r="AJ874" s="514"/>
      <c r="AK874" s="514"/>
      <c r="AL874" s="514"/>
      <c r="AM874" s="514"/>
      <c r="AN874" s="514"/>
      <c r="AO874" s="514"/>
      <c r="AP874" s="514"/>
      <c r="AQ874" s="514"/>
      <c r="AR874" s="514"/>
      <c r="AS874" s="514"/>
      <c r="AT874" s="514"/>
      <c r="AU874" s="514"/>
      <c r="AV874" s="514"/>
      <c r="AW874" s="514"/>
      <c r="AX874" s="514"/>
      <c r="AY874" s="514"/>
      <c r="AZ874" s="514"/>
      <c r="BA874" s="514"/>
      <c r="BB874" s="514"/>
      <c r="BC874" s="520"/>
      <c r="BD874" s="2482"/>
      <c r="BE874" s="30">
        <v>75.5</v>
      </c>
      <c r="BF874" s="31">
        <v>0.68359999999999999</v>
      </c>
      <c r="BG874" s="32">
        <v>683.4</v>
      </c>
      <c r="BH874" s="33"/>
      <c r="BI874" s="30">
        <v>75.5</v>
      </c>
      <c r="BJ874" s="34">
        <v>2.5808</v>
      </c>
      <c r="BK874" s="35">
        <v>0.10839</v>
      </c>
      <c r="BL874" s="33"/>
      <c r="BM874" s="33"/>
      <c r="BN874" s="33"/>
      <c r="BO874" s="33"/>
      <c r="BP874" s="520"/>
    </row>
    <row r="875" spans="28:68">
      <c r="AB875" s="514"/>
      <c r="AC875" s="514"/>
      <c r="AD875" s="514"/>
      <c r="AE875" s="514"/>
      <c r="AF875" s="514"/>
      <c r="AG875" s="514"/>
      <c r="AH875" s="514"/>
      <c r="AI875" s="514"/>
      <c r="AJ875" s="514"/>
      <c r="AK875" s="514"/>
      <c r="AL875" s="514"/>
      <c r="AM875" s="514"/>
      <c r="AN875" s="514"/>
      <c r="AO875" s="514"/>
      <c r="AP875" s="514"/>
      <c r="AQ875" s="514"/>
      <c r="AR875" s="514"/>
      <c r="AS875" s="514"/>
      <c r="AT875" s="514"/>
      <c r="AU875" s="514"/>
      <c r="AV875" s="514"/>
      <c r="AW875" s="514"/>
      <c r="AX875" s="514"/>
      <c r="AY875" s="514"/>
      <c r="AZ875" s="514"/>
      <c r="BA875" s="514"/>
      <c r="BB875" s="514"/>
      <c r="BC875" s="520"/>
      <c r="BD875" s="2482"/>
      <c r="BE875" s="30">
        <v>75.599999999999994</v>
      </c>
      <c r="BF875" s="31">
        <v>0.68320000000000003</v>
      </c>
      <c r="BG875" s="32">
        <v>683.1</v>
      </c>
      <c r="BH875" s="33"/>
      <c r="BI875" s="30">
        <v>75.599999999999994</v>
      </c>
      <c r="BJ875" s="34">
        <v>2.5796000000000001</v>
      </c>
      <c r="BK875" s="35">
        <v>0.10834000000000001</v>
      </c>
      <c r="BL875" s="33"/>
      <c r="BM875" s="33"/>
      <c r="BN875" s="33"/>
      <c r="BO875" s="33"/>
      <c r="BP875" s="520"/>
    </row>
    <row r="876" spans="28:68">
      <c r="AB876" s="514"/>
      <c r="AC876" s="514"/>
      <c r="AD876" s="514"/>
      <c r="AE876" s="514"/>
      <c r="AF876" s="514"/>
      <c r="AG876" s="514"/>
      <c r="AH876" s="514"/>
      <c r="AI876" s="514"/>
      <c r="AJ876" s="514"/>
      <c r="AK876" s="514"/>
      <c r="AL876" s="514"/>
      <c r="AM876" s="514"/>
      <c r="AN876" s="514"/>
      <c r="AO876" s="514"/>
      <c r="AP876" s="514"/>
      <c r="AQ876" s="514"/>
      <c r="AR876" s="514"/>
      <c r="AS876" s="514"/>
      <c r="AT876" s="514"/>
      <c r="AU876" s="514"/>
      <c r="AV876" s="514"/>
      <c r="AW876" s="514"/>
      <c r="AX876" s="514"/>
      <c r="AY876" s="514"/>
      <c r="AZ876" s="514"/>
      <c r="BA876" s="514"/>
      <c r="BB876" s="514"/>
      <c r="BC876" s="520"/>
      <c r="BD876" s="2482"/>
      <c r="BE876" s="30">
        <v>75.7</v>
      </c>
      <c r="BF876" s="31">
        <v>0.68289999999999995</v>
      </c>
      <c r="BG876" s="32">
        <v>682.8</v>
      </c>
      <c r="BH876" s="33"/>
      <c r="BI876" s="30">
        <v>75.7</v>
      </c>
      <c r="BJ876" s="34">
        <v>2.5783</v>
      </c>
      <c r="BK876" s="35">
        <v>0.10829</v>
      </c>
      <c r="BL876" s="33"/>
      <c r="BM876" s="33"/>
      <c r="BN876" s="33"/>
      <c r="BO876" s="33"/>
      <c r="BP876" s="520"/>
    </row>
    <row r="877" spans="28:68">
      <c r="AB877" s="514"/>
      <c r="AC877" s="514"/>
      <c r="AD877" s="514"/>
      <c r="AE877" s="514"/>
      <c r="AF877" s="514"/>
      <c r="AG877" s="514"/>
      <c r="AH877" s="514"/>
      <c r="AI877" s="514"/>
      <c r="AJ877" s="514"/>
      <c r="AK877" s="514"/>
      <c r="AL877" s="514"/>
      <c r="AM877" s="514"/>
      <c r="AN877" s="514"/>
      <c r="AO877" s="514"/>
      <c r="AP877" s="514"/>
      <c r="AQ877" s="514"/>
      <c r="AR877" s="514"/>
      <c r="AS877" s="514"/>
      <c r="AT877" s="514"/>
      <c r="AU877" s="514"/>
      <c r="AV877" s="514"/>
      <c r="AW877" s="514"/>
      <c r="AX877" s="514"/>
      <c r="AY877" s="514"/>
      <c r="AZ877" s="514"/>
      <c r="BA877" s="514"/>
      <c r="BB877" s="514"/>
      <c r="BC877" s="520"/>
      <c r="BD877" s="2482"/>
      <c r="BE877" s="30">
        <v>75.8</v>
      </c>
      <c r="BF877" s="31">
        <v>0.68259999999999998</v>
      </c>
      <c r="BG877" s="32">
        <v>682.4</v>
      </c>
      <c r="BH877" s="33"/>
      <c r="BI877" s="30">
        <v>75.8</v>
      </c>
      <c r="BJ877" s="34">
        <v>2.5771000000000002</v>
      </c>
      <c r="BK877" s="35">
        <v>0.10824</v>
      </c>
      <c r="BL877" s="33"/>
      <c r="BM877" s="33"/>
      <c r="BN877" s="33"/>
      <c r="BO877" s="33"/>
      <c r="BP877" s="520"/>
    </row>
    <row r="878" spans="28:68">
      <c r="AB878" s="514"/>
      <c r="AC878" s="514"/>
      <c r="AD878" s="514"/>
      <c r="AE878" s="514"/>
      <c r="AF878" s="514"/>
      <c r="AG878" s="514"/>
      <c r="AH878" s="514"/>
      <c r="AI878" s="514"/>
      <c r="AJ878" s="514"/>
      <c r="AK878" s="514"/>
      <c r="AL878" s="514"/>
      <c r="AM878" s="514"/>
      <c r="AN878" s="514"/>
      <c r="AO878" s="514"/>
      <c r="AP878" s="514"/>
      <c r="AQ878" s="514"/>
      <c r="AR878" s="514"/>
      <c r="AS878" s="514"/>
      <c r="AT878" s="514"/>
      <c r="AU878" s="514"/>
      <c r="AV878" s="514"/>
      <c r="AW878" s="514"/>
      <c r="AX878" s="514"/>
      <c r="AY878" s="514"/>
      <c r="AZ878" s="514"/>
      <c r="BA878" s="514"/>
      <c r="BB878" s="514"/>
      <c r="BC878" s="520"/>
      <c r="BD878" s="2482"/>
      <c r="BE878" s="30">
        <v>75.900000000000006</v>
      </c>
      <c r="BF878" s="31">
        <v>0.68230000000000002</v>
      </c>
      <c r="BG878" s="32">
        <v>682.1</v>
      </c>
      <c r="BH878" s="33"/>
      <c r="BI878" s="30">
        <v>75.900000000000006</v>
      </c>
      <c r="BJ878" s="34">
        <v>2.5758000000000001</v>
      </c>
      <c r="BK878" s="35">
        <v>0.10818999999999999</v>
      </c>
      <c r="BL878" s="33"/>
      <c r="BM878" s="33"/>
      <c r="BN878" s="33"/>
      <c r="BO878" s="33"/>
      <c r="BP878" s="520"/>
    </row>
    <row r="879" spans="28:68">
      <c r="AB879" s="514"/>
      <c r="AC879" s="514"/>
      <c r="AD879" s="514"/>
      <c r="AE879" s="514"/>
      <c r="AF879" s="514"/>
      <c r="AG879" s="514"/>
      <c r="AH879" s="514"/>
      <c r="AI879" s="514"/>
      <c r="AJ879" s="514"/>
      <c r="AK879" s="514"/>
      <c r="AL879" s="514"/>
      <c r="AM879" s="514"/>
      <c r="AN879" s="514"/>
      <c r="AO879" s="514"/>
      <c r="AP879" s="514"/>
      <c r="AQ879" s="514"/>
      <c r="AR879" s="514"/>
      <c r="AS879" s="514"/>
      <c r="AT879" s="514"/>
      <c r="AU879" s="514"/>
      <c r="AV879" s="514"/>
      <c r="AW879" s="514"/>
      <c r="AX879" s="514"/>
      <c r="AY879" s="514"/>
      <c r="AZ879" s="514"/>
      <c r="BA879" s="514"/>
      <c r="BB879" s="514"/>
      <c r="BC879" s="520"/>
      <c r="BD879" s="2482"/>
      <c r="BE879" s="30">
        <v>76</v>
      </c>
      <c r="BF879" s="31">
        <v>0.68189999999999995</v>
      </c>
      <c r="BG879" s="32">
        <v>681.8</v>
      </c>
      <c r="BH879" s="33"/>
      <c r="BI879" s="30">
        <v>76</v>
      </c>
      <c r="BJ879" s="34">
        <v>2.5746000000000002</v>
      </c>
      <c r="BK879" s="35">
        <v>0.10813</v>
      </c>
      <c r="BL879" s="33"/>
      <c r="BM879" s="33"/>
      <c r="BN879" s="33"/>
      <c r="BO879" s="33"/>
      <c r="BP879" s="520"/>
    </row>
    <row r="880" spans="28:68">
      <c r="AB880" s="514"/>
      <c r="AC880" s="514"/>
      <c r="AD880" s="514"/>
      <c r="AE880" s="514"/>
      <c r="AF880" s="514"/>
      <c r="AG880" s="514"/>
      <c r="AH880" s="514"/>
      <c r="AI880" s="514"/>
      <c r="AJ880" s="514"/>
      <c r="AK880" s="514"/>
      <c r="AL880" s="514"/>
      <c r="AM880" s="514"/>
      <c r="AN880" s="514"/>
      <c r="AO880" s="514"/>
      <c r="AP880" s="514"/>
      <c r="AQ880" s="514"/>
      <c r="AR880" s="514"/>
      <c r="AS880" s="514"/>
      <c r="AT880" s="514"/>
      <c r="AU880" s="514"/>
      <c r="AV880" s="514"/>
      <c r="AW880" s="514"/>
      <c r="AX880" s="514"/>
      <c r="AY880" s="514"/>
      <c r="AZ880" s="514"/>
      <c r="BA880" s="514"/>
      <c r="BB880" s="514"/>
      <c r="BC880" s="520"/>
      <c r="BD880" s="2482"/>
      <c r="BE880" s="30">
        <v>76.099999999999994</v>
      </c>
      <c r="BF880" s="31">
        <v>0.68159999999999998</v>
      </c>
      <c r="BG880" s="32">
        <v>681.5</v>
      </c>
      <c r="BH880" s="33"/>
      <c r="BI880" s="30">
        <v>76.099999999999994</v>
      </c>
      <c r="BJ880" s="34">
        <v>2.5733999999999999</v>
      </c>
      <c r="BK880" s="35">
        <v>0.10808</v>
      </c>
      <c r="BL880" s="33"/>
      <c r="BM880" s="33"/>
      <c r="BN880" s="33"/>
      <c r="BO880" s="33"/>
      <c r="BP880" s="520"/>
    </row>
    <row r="881" spans="28:68">
      <c r="AB881" s="514"/>
      <c r="AC881" s="514"/>
      <c r="AD881" s="514"/>
      <c r="AE881" s="514"/>
      <c r="AF881" s="514"/>
      <c r="AG881" s="514"/>
      <c r="AH881" s="514"/>
      <c r="AI881" s="514"/>
      <c r="AJ881" s="514"/>
      <c r="AK881" s="514"/>
      <c r="AL881" s="514"/>
      <c r="AM881" s="514"/>
      <c r="AN881" s="514"/>
      <c r="AO881" s="514"/>
      <c r="AP881" s="514"/>
      <c r="AQ881" s="514"/>
      <c r="AR881" s="514"/>
      <c r="AS881" s="514"/>
      <c r="AT881" s="514"/>
      <c r="AU881" s="514"/>
      <c r="AV881" s="514"/>
      <c r="AW881" s="514"/>
      <c r="AX881" s="514"/>
      <c r="AY881" s="514"/>
      <c r="AZ881" s="514"/>
      <c r="BA881" s="514"/>
      <c r="BB881" s="514"/>
      <c r="BC881" s="520"/>
      <c r="BD881" s="2482"/>
      <c r="BE881" s="30">
        <v>76.2</v>
      </c>
      <c r="BF881" s="31">
        <v>0.68130000000000002</v>
      </c>
      <c r="BG881" s="32">
        <v>681.1</v>
      </c>
      <c r="BH881" s="33"/>
      <c r="BI881" s="30">
        <v>76.2</v>
      </c>
      <c r="BJ881" s="34">
        <v>2.5720999999999998</v>
      </c>
      <c r="BK881" s="35">
        <v>0.10803</v>
      </c>
      <c r="BL881" s="33"/>
      <c r="BM881" s="33"/>
      <c r="BN881" s="33"/>
      <c r="BO881" s="33"/>
      <c r="BP881" s="520"/>
    </row>
    <row r="882" spans="28:68">
      <c r="AB882" s="514"/>
      <c r="AC882" s="514"/>
      <c r="AD882" s="514"/>
      <c r="AE882" s="514"/>
      <c r="AF882" s="514"/>
      <c r="AG882" s="514"/>
      <c r="AH882" s="514"/>
      <c r="AI882" s="514"/>
      <c r="AJ882" s="514"/>
      <c r="AK882" s="514"/>
      <c r="AL882" s="514"/>
      <c r="AM882" s="514"/>
      <c r="AN882" s="514"/>
      <c r="AO882" s="514"/>
      <c r="AP882" s="514"/>
      <c r="AQ882" s="514"/>
      <c r="AR882" s="514"/>
      <c r="AS882" s="514"/>
      <c r="AT882" s="514"/>
      <c r="AU882" s="514"/>
      <c r="AV882" s="514"/>
      <c r="AW882" s="514"/>
      <c r="AX882" s="514"/>
      <c r="AY882" s="514"/>
      <c r="AZ882" s="514"/>
      <c r="BA882" s="514"/>
      <c r="BB882" s="514"/>
      <c r="BC882" s="520"/>
      <c r="BD882" s="2482"/>
      <c r="BE882" s="30">
        <v>76.3</v>
      </c>
      <c r="BF882" s="31">
        <v>0.68089999999999995</v>
      </c>
      <c r="BG882" s="32">
        <v>680.8</v>
      </c>
      <c r="BH882" s="33"/>
      <c r="BI882" s="30">
        <v>76.3</v>
      </c>
      <c r="BJ882" s="34">
        <v>2.5709</v>
      </c>
      <c r="BK882" s="35">
        <v>0.10798000000000001</v>
      </c>
      <c r="BL882" s="33"/>
      <c r="BM882" s="33"/>
      <c r="BN882" s="33"/>
      <c r="BO882" s="33"/>
      <c r="BP882" s="520"/>
    </row>
    <row r="883" spans="28:68">
      <c r="AB883" s="514"/>
      <c r="AC883" s="514"/>
      <c r="AD883" s="514"/>
      <c r="AE883" s="514"/>
      <c r="AF883" s="514"/>
      <c r="AG883" s="514"/>
      <c r="AH883" s="514"/>
      <c r="AI883" s="514"/>
      <c r="AJ883" s="514"/>
      <c r="AK883" s="514"/>
      <c r="AL883" s="514"/>
      <c r="AM883" s="514"/>
      <c r="AN883" s="514"/>
      <c r="AO883" s="514"/>
      <c r="AP883" s="514"/>
      <c r="AQ883" s="514"/>
      <c r="AR883" s="514"/>
      <c r="AS883" s="514"/>
      <c r="AT883" s="514"/>
      <c r="AU883" s="514"/>
      <c r="AV883" s="514"/>
      <c r="AW883" s="514"/>
      <c r="AX883" s="514"/>
      <c r="AY883" s="514"/>
      <c r="AZ883" s="514"/>
      <c r="BA883" s="514"/>
      <c r="BB883" s="514"/>
      <c r="BC883" s="520"/>
      <c r="BD883" s="2482"/>
      <c r="BE883" s="30">
        <v>76.400000000000006</v>
      </c>
      <c r="BF883" s="31">
        <v>0.68059999999999998</v>
      </c>
      <c r="BG883" s="32">
        <v>680.5</v>
      </c>
      <c r="BH883" s="33"/>
      <c r="BI883" s="30">
        <v>76.400000000000006</v>
      </c>
      <c r="BJ883" s="34">
        <v>2.5695999999999999</v>
      </c>
      <c r="BK883" s="35">
        <v>0.10792</v>
      </c>
      <c r="BL883" s="33"/>
      <c r="BM883" s="33"/>
      <c r="BN883" s="33"/>
      <c r="BO883" s="33"/>
      <c r="BP883" s="520"/>
    </row>
    <row r="884" spans="28:68">
      <c r="AB884" s="514"/>
      <c r="AC884" s="514"/>
      <c r="AD884" s="514"/>
      <c r="AE884" s="514"/>
      <c r="AF884" s="514"/>
      <c r="AG884" s="514"/>
      <c r="AH884" s="514"/>
      <c r="AI884" s="514"/>
      <c r="AJ884" s="514"/>
      <c r="AK884" s="514"/>
      <c r="AL884" s="514"/>
      <c r="AM884" s="514"/>
      <c r="AN884" s="514"/>
      <c r="AO884" s="514"/>
      <c r="AP884" s="514"/>
      <c r="AQ884" s="514"/>
      <c r="AR884" s="514"/>
      <c r="AS884" s="514"/>
      <c r="AT884" s="514"/>
      <c r="AU884" s="514"/>
      <c r="AV884" s="514"/>
      <c r="AW884" s="514"/>
      <c r="AX884" s="514"/>
      <c r="AY884" s="514"/>
      <c r="AZ884" s="514"/>
      <c r="BA884" s="514"/>
      <c r="BB884" s="514"/>
      <c r="BC884" s="520"/>
      <c r="BD884" s="2482"/>
      <c r="BE884" s="30">
        <v>76.5</v>
      </c>
      <c r="BF884" s="31">
        <v>0.68030000000000002</v>
      </c>
      <c r="BG884" s="32">
        <v>680.1</v>
      </c>
      <c r="BH884" s="33"/>
      <c r="BI884" s="30">
        <v>76.5</v>
      </c>
      <c r="BJ884" s="34">
        <v>2.5684</v>
      </c>
      <c r="BK884" s="35">
        <v>0.10786999999999999</v>
      </c>
      <c r="BL884" s="33"/>
      <c r="BM884" s="33"/>
      <c r="BN884" s="33"/>
      <c r="BO884" s="33"/>
      <c r="BP884" s="520"/>
    </row>
    <row r="885" spans="28:68">
      <c r="AB885" s="514"/>
      <c r="AC885" s="514"/>
      <c r="AD885" s="514"/>
      <c r="AE885" s="514"/>
      <c r="AF885" s="514"/>
      <c r="AG885" s="514"/>
      <c r="AH885" s="514"/>
      <c r="AI885" s="514"/>
      <c r="AJ885" s="514"/>
      <c r="AK885" s="514"/>
      <c r="AL885" s="514"/>
      <c r="AM885" s="514"/>
      <c r="AN885" s="514"/>
      <c r="AO885" s="514"/>
      <c r="AP885" s="514"/>
      <c r="AQ885" s="514"/>
      <c r="AR885" s="514"/>
      <c r="AS885" s="514"/>
      <c r="AT885" s="514"/>
      <c r="AU885" s="514"/>
      <c r="AV885" s="514"/>
      <c r="AW885" s="514"/>
      <c r="AX885" s="514"/>
      <c r="AY885" s="514"/>
      <c r="AZ885" s="514"/>
      <c r="BA885" s="514"/>
      <c r="BB885" s="514"/>
      <c r="BC885" s="520"/>
      <c r="BD885" s="2482"/>
      <c r="BE885" s="30">
        <v>76.599999999999994</v>
      </c>
      <c r="BF885" s="31">
        <v>0.68</v>
      </c>
      <c r="BG885" s="32">
        <v>679.8</v>
      </c>
      <c r="BH885" s="33"/>
      <c r="BI885" s="30">
        <v>76.599999999999994</v>
      </c>
      <c r="BJ885" s="34">
        <v>2.5672000000000001</v>
      </c>
      <c r="BK885" s="35">
        <v>0.10782</v>
      </c>
      <c r="BL885" s="33"/>
      <c r="BM885" s="33"/>
      <c r="BN885" s="33"/>
      <c r="BO885" s="33"/>
      <c r="BP885" s="520"/>
    </row>
    <row r="886" spans="28:68">
      <c r="AB886" s="514"/>
      <c r="AC886" s="514"/>
      <c r="AD886" s="514"/>
      <c r="AE886" s="514"/>
      <c r="AF886" s="514"/>
      <c r="AG886" s="514"/>
      <c r="AH886" s="514"/>
      <c r="AI886" s="514"/>
      <c r="AJ886" s="514"/>
      <c r="AK886" s="514"/>
      <c r="AL886" s="514"/>
      <c r="AM886" s="514"/>
      <c r="AN886" s="514"/>
      <c r="AO886" s="514"/>
      <c r="AP886" s="514"/>
      <c r="AQ886" s="514"/>
      <c r="AR886" s="514"/>
      <c r="AS886" s="514"/>
      <c r="AT886" s="514"/>
      <c r="AU886" s="514"/>
      <c r="AV886" s="514"/>
      <c r="AW886" s="514"/>
      <c r="AX886" s="514"/>
      <c r="AY886" s="514"/>
      <c r="AZ886" s="514"/>
      <c r="BA886" s="514"/>
      <c r="BB886" s="514"/>
      <c r="BC886" s="520"/>
      <c r="BD886" s="2482"/>
      <c r="BE886" s="30">
        <v>76.7</v>
      </c>
      <c r="BF886" s="31">
        <v>0.67959999999999998</v>
      </c>
      <c r="BG886" s="32">
        <v>679.5</v>
      </c>
      <c r="BH886" s="33"/>
      <c r="BI886" s="30">
        <v>76.7</v>
      </c>
      <c r="BJ886" s="34">
        <v>2.5659000000000001</v>
      </c>
      <c r="BK886" s="35">
        <v>0.10777</v>
      </c>
      <c r="BL886" s="33"/>
      <c r="BM886" s="33"/>
      <c r="BN886" s="33"/>
      <c r="BO886" s="33"/>
      <c r="BP886" s="520"/>
    </row>
    <row r="887" spans="28:68">
      <c r="AB887" s="514"/>
      <c r="AC887" s="514"/>
      <c r="AD887" s="514"/>
      <c r="AE887" s="514"/>
      <c r="AF887" s="514"/>
      <c r="AG887" s="514"/>
      <c r="AH887" s="514"/>
      <c r="AI887" s="514"/>
      <c r="AJ887" s="514"/>
      <c r="AK887" s="514"/>
      <c r="AL887" s="514"/>
      <c r="AM887" s="514"/>
      <c r="AN887" s="514"/>
      <c r="AO887" s="514"/>
      <c r="AP887" s="514"/>
      <c r="AQ887" s="514"/>
      <c r="AR887" s="514"/>
      <c r="AS887" s="514"/>
      <c r="AT887" s="514"/>
      <c r="AU887" s="514"/>
      <c r="AV887" s="514"/>
      <c r="AW887" s="514"/>
      <c r="AX887" s="514"/>
      <c r="AY887" s="514"/>
      <c r="AZ887" s="514"/>
      <c r="BA887" s="514"/>
      <c r="BB887" s="514"/>
      <c r="BC887" s="520"/>
      <c r="BD887" s="2482"/>
      <c r="BE887" s="30">
        <v>76.8</v>
      </c>
      <c r="BF887" s="31">
        <v>0.67930000000000001</v>
      </c>
      <c r="BG887" s="32">
        <v>679.2</v>
      </c>
      <c r="BH887" s="33"/>
      <c r="BI887" s="30">
        <v>76.8</v>
      </c>
      <c r="BJ887" s="34">
        <v>2.5647000000000002</v>
      </c>
      <c r="BK887" s="35">
        <v>0.10772</v>
      </c>
      <c r="BL887" s="33"/>
      <c r="BM887" s="33"/>
      <c r="BN887" s="33"/>
      <c r="BO887" s="33"/>
      <c r="BP887" s="520"/>
    </row>
    <row r="888" spans="28:68">
      <c r="AB888" s="514"/>
      <c r="AC888" s="514"/>
      <c r="AD888" s="514"/>
      <c r="AE888" s="514"/>
      <c r="AF888" s="514"/>
      <c r="AG888" s="514"/>
      <c r="AH888" s="514"/>
      <c r="AI888" s="514"/>
      <c r="AJ888" s="514"/>
      <c r="AK888" s="514"/>
      <c r="AL888" s="514"/>
      <c r="AM888" s="514"/>
      <c r="AN888" s="514"/>
      <c r="AO888" s="514"/>
      <c r="AP888" s="514"/>
      <c r="AQ888" s="514"/>
      <c r="AR888" s="514"/>
      <c r="AS888" s="514"/>
      <c r="AT888" s="514"/>
      <c r="AU888" s="514"/>
      <c r="AV888" s="514"/>
      <c r="AW888" s="514"/>
      <c r="AX888" s="514"/>
      <c r="AY888" s="514"/>
      <c r="AZ888" s="514"/>
      <c r="BA888" s="514"/>
      <c r="BB888" s="514"/>
      <c r="BC888" s="520"/>
      <c r="BD888" s="2482"/>
      <c r="BE888" s="30">
        <v>76.900000000000006</v>
      </c>
      <c r="BF888" s="31">
        <v>0.67900000000000005</v>
      </c>
      <c r="BG888" s="32">
        <v>678.8</v>
      </c>
      <c r="BH888" s="33"/>
      <c r="BI888" s="30">
        <v>76.900000000000006</v>
      </c>
      <c r="BJ888" s="34">
        <v>2.5634999999999999</v>
      </c>
      <c r="BK888" s="35">
        <v>0.10767</v>
      </c>
      <c r="BL888" s="33"/>
      <c r="BM888" s="33"/>
      <c r="BN888" s="33"/>
      <c r="BO888" s="33"/>
      <c r="BP888" s="520"/>
    </row>
    <row r="889" spans="28:68">
      <c r="AB889" s="514"/>
      <c r="AC889" s="514"/>
      <c r="AD889" s="514"/>
      <c r="AE889" s="514"/>
      <c r="AF889" s="514"/>
      <c r="AG889" s="514"/>
      <c r="AH889" s="514"/>
      <c r="AI889" s="514"/>
      <c r="AJ889" s="514"/>
      <c r="AK889" s="514"/>
      <c r="AL889" s="514"/>
      <c r="AM889" s="514"/>
      <c r="AN889" s="514"/>
      <c r="AO889" s="514"/>
      <c r="AP889" s="514"/>
      <c r="AQ889" s="514"/>
      <c r="AR889" s="514"/>
      <c r="AS889" s="514"/>
      <c r="AT889" s="514"/>
      <c r="AU889" s="514"/>
      <c r="AV889" s="514"/>
      <c r="AW889" s="514"/>
      <c r="AX889" s="514"/>
      <c r="AY889" s="514"/>
      <c r="AZ889" s="514"/>
      <c r="BA889" s="514"/>
      <c r="BB889" s="514"/>
      <c r="BC889" s="520"/>
      <c r="BD889" s="2482"/>
      <c r="BE889" s="30">
        <v>77</v>
      </c>
      <c r="BF889" s="31">
        <v>0.67869999999999997</v>
      </c>
      <c r="BG889" s="32">
        <v>678.5</v>
      </c>
      <c r="BH889" s="33"/>
      <c r="BI889" s="30">
        <v>77</v>
      </c>
      <c r="BJ889" s="34">
        <v>2.5621999999999998</v>
      </c>
      <c r="BK889" s="35">
        <v>0.10761</v>
      </c>
      <c r="BL889" s="33"/>
      <c r="BM889" s="33"/>
      <c r="BN889" s="33"/>
      <c r="BO889" s="33"/>
      <c r="BP889" s="520"/>
    </row>
    <row r="890" spans="28:68">
      <c r="AB890" s="514"/>
      <c r="AC890" s="514"/>
      <c r="AD890" s="514"/>
      <c r="AE890" s="514"/>
      <c r="AF890" s="514"/>
      <c r="AG890" s="514"/>
      <c r="AH890" s="514"/>
      <c r="AI890" s="514"/>
      <c r="AJ890" s="514"/>
      <c r="AK890" s="514"/>
      <c r="AL890" s="514"/>
      <c r="AM890" s="514"/>
      <c r="AN890" s="514"/>
      <c r="AO890" s="514"/>
      <c r="AP890" s="514"/>
      <c r="AQ890" s="514"/>
      <c r="AR890" s="514"/>
      <c r="AS890" s="514"/>
      <c r="AT890" s="514"/>
      <c r="AU890" s="514"/>
      <c r="AV890" s="514"/>
      <c r="AW890" s="514"/>
      <c r="AX890" s="514"/>
      <c r="AY890" s="514"/>
      <c r="AZ890" s="514"/>
      <c r="BA890" s="514"/>
      <c r="BB890" s="514"/>
      <c r="BC890" s="520"/>
      <c r="BD890" s="2482"/>
      <c r="BE890" s="30">
        <v>77.099999999999994</v>
      </c>
      <c r="BF890" s="31">
        <v>0.67830000000000001</v>
      </c>
      <c r="BG890" s="32">
        <v>678.2</v>
      </c>
      <c r="BH890" s="33"/>
      <c r="BI890" s="30">
        <v>77.099999999999994</v>
      </c>
      <c r="BJ890" s="34">
        <v>2.5609999999999999</v>
      </c>
      <c r="BK890" s="35">
        <v>0.10756</v>
      </c>
      <c r="BL890" s="33"/>
      <c r="BM890" s="33"/>
      <c r="BN890" s="33"/>
      <c r="BO890" s="33"/>
      <c r="BP890" s="520"/>
    </row>
    <row r="891" spans="28:68">
      <c r="AB891" s="514"/>
      <c r="AC891" s="514"/>
      <c r="AD891" s="514"/>
      <c r="AE891" s="514"/>
      <c r="AF891" s="514"/>
      <c r="AG891" s="514"/>
      <c r="AH891" s="514"/>
      <c r="AI891" s="514"/>
      <c r="AJ891" s="514"/>
      <c r="AK891" s="514"/>
      <c r="AL891" s="514"/>
      <c r="AM891" s="514"/>
      <c r="AN891" s="514"/>
      <c r="AO891" s="514"/>
      <c r="AP891" s="514"/>
      <c r="AQ891" s="514"/>
      <c r="AR891" s="514"/>
      <c r="AS891" s="514"/>
      <c r="AT891" s="514"/>
      <c r="AU891" s="514"/>
      <c r="AV891" s="514"/>
      <c r="AW891" s="514"/>
      <c r="AX891" s="514"/>
      <c r="AY891" s="514"/>
      <c r="AZ891" s="514"/>
      <c r="BA891" s="514"/>
      <c r="BB891" s="514"/>
      <c r="BC891" s="520"/>
      <c r="BD891" s="2482"/>
      <c r="BE891" s="30">
        <v>77.2</v>
      </c>
      <c r="BF891" s="31">
        <v>0.67800000000000005</v>
      </c>
      <c r="BG891" s="32">
        <v>677.9</v>
      </c>
      <c r="BH891" s="33"/>
      <c r="BI891" s="30">
        <v>77.2</v>
      </c>
      <c r="BJ891" s="34">
        <v>2.5598000000000001</v>
      </c>
      <c r="BK891" s="35">
        <v>0.10750999999999999</v>
      </c>
      <c r="BL891" s="33"/>
      <c r="BM891" s="33"/>
      <c r="BN891" s="33"/>
      <c r="BO891" s="33"/>
      <c r="BP891" s="520"/>
    </row>
    <row r="892" spans="28:68">
      <c r="AB892" s="514"/>
      <c r="AC892" s="514"/>
      <c r="AD892" s="514"/>
      <c r="AE892" s="514"/>
      <c r="AF892" s="514"/>
      <c r="AG892" s="514"/>
      <c r="AH892" s="514"/>
      <c r="AI892" s="514"/>
      <c r="AJ892" s="514"/>
      <c r="AK892" s="514"/>
      <c r="AL892" s="514"/>
      <c r="AM892" s="514"/>
      <c r="AN892" s="514"/>
      <c r="AO892" s="514"/>
      <c r="AP892" s="514"/>
      <c r="AQ892" s="514"/>
      <c r="AR892" s="514"/>
      <c r="AS892" s="514"/>
      <c r="AT892" s="514"/>
      <c r="AU892" s="514"/>
      <c r="AV892" s="514"/>
      <c r="AW892" s="514"/>
      <c r="AX892" s="514"/>
      <c r="AY892" s="514"/>
      <c r="AZ892" s="514"/>
      <c r="BA892" s="514"/>
      <c r="BB892" s="514"/>
      <c r="BC892" s="520"/>
      <c r="BD892" s="2482"/>
      <c r="BE892" s="30">
        <v>77.3</v>
      </c>
      <c r="BF892" s="31">
        <v>0.67769999999999997</v>
      </c>
      <c r="BG892" s="32">
        <v>677.5</v>
      </c>
      <c r="BH892" s="33"/>
      <c r="BI892" s="30">
        <v>77.3</v>
      </c>
      <c r="BJ892" s="34">
        <v>2.5585</v>
      </c>
      <c r="BK892" s="35">
        <v>0.10746</v>
      </c>
      <c r="BL892" s="33"/>
      <c r="BM892" s="33"/>
      <c r="BN892" s="33"/>
      <c r="BO892" s="33"/>
      <c r="BP892" s="520"/>
    </row>
    <row r="893" spans="28:68">
      <c r="AB893" s="514"/>
      <c r="AC893" s="514"/>
      <c r="AD893" s="514"/>
      <c r="AE893" s="514"/>
      <c r="AF893" s="514"/>
      <c r="AG893" s="514"/>
      <c r="AH893" s="514"/>
      <c r="AI893" s="514"/>
      <c r="AJ893" s="514"/>
      <c r="AK893" s="514"/>
      <c r="AL893" s="514"/>
      <c r="AM893" s="514"/>
      <c r="AN893" s="514"/>
      <c r="AO893" s="514"/>
      <c r="AP893" s="514"/>
      <c r="AQ893" s="514"/>
      <c r="AR893" s="514"/>
      <c r="AS893" s="514"/>
      <c r="AT893" s="514"/>
      <c r="AU893" s="514"/>
      <c r="AV893" s="514"/>
      <c r="AW893" s="514"/>
      <c r="AX893" s="514"/>
      <c r="AY893" s="514"/>
      <c r="AZ893" s="514"/>
      <c r="BA893" s="514"/>
      <c r="BB893" s="514"/>
      <c r="BC893" s="520"/>
      <c r="BD893" s="2482"/>
      <c r="BE893" s="30">
        <v>77.400000000000006</v>
      </c>
      <c r="BF893" s="31">
        <v>0.6774</v>
      </c>
      <c r="BG893" s="32">
        <v>677.2</v>
      </c>
      <c r="BH893" s="33"/>
      <c r="BI893" s="30">
        <v>77.400000000000006</v>
      </c>
      <c r="BJ893" s="34">
        <v>2.5573000000000001</v>
      </c>
      <c r="BK893" s="35">
        <v>0.10741000000000001</v>
      </c>
      <c r="BL893" s="33"/>
      <c r="BM893" s="33"/>
      <c r="BN893" s="33"/>
      <c r="BO893" s="33"/>
      <c r="BP893" s="520"/>
    </row>
    <row r="894" spans="28:68">
      <c r="AB894" s="514"/>
      <c r="AC894" s="514"/>
      <c r="AD894" s="514"/>
      <c r="AE894" s="514"/>
      <c r="AF894" s="514"/>
      <c r="AG894" s="514"/>
      <c r="AH894" s="514"/>
      <c r="AI894" s="514"/>
      <c r="AJ894" s="514"/>
      <c r="AK894" s="514"/>
      <c r="AL894" s="514"/>
      <c r="AM894" s="514"/>
      <c r="AN894" s="514"/>
      <c r="AO894" s="514"/>
      <c r="AP894" s="514"/>
      <c r="AQ894" s="514"/>
      <c r="AR894" s="514"/>
      <c r="AS894" s="514"/>
      <c r="AT894" s="514"/>
      <c r="AU894" s="514"/>
      <c r="AV894" s="514"/>
      <c r="AW894" s="514"/>
      <c r="AX894" s="514"/>
      <c r="AY894" s="514"/>
      <c r="AZ894" s="514"/>
      <c r="BA894" s="514"/>
      <c r="BB894" s="514"/>
      <c r="BC894" s="520"/>
      <c r="BD894" s="2482"/>
      <c r="BE894" s="30">
        <v>77.5</v>
      </c>
      <c r="BF894" s="31">
        <v>0.67700000000000005</v>
      </c>
      <c r="BG894" s="32">
        <v>676.9</v>
      </c>
      <c r="BH894" s="33"/>
      <c r="BI894" s="30">
        <v>77.5</v>
      </c>
      <c r="BJ894" s="34">
        <v>2.5560999999999998</v>
      </c>
      <c r="BK894" s="35">
        <v>0.10736</v>
      </c>
      <c r="BL894" s="33"/>
      <c r="BM894" s="33"/>
      <c r="BN894" s="33"/>
      <c r="BO894" s="33"/>
      <c r="BP894" s="520"/>
    </row>
    <row r="895" spans="28:68">
      <c r="AB895" s="514"/>
      <c r="AC895" s="514"/>
      <c r="AD895" s="514"/>
      <c r="AE895" s="514"/>
      <c r="AF895" s="514"/>
      <c r="AG895" s="514"/>
      <c r="AH895" s="514"/>
      <c r="AI895" s="514"/>
      <c r="AJ895" s="514"/>
      <c r="AK895" s="514"/>
      <c r="AL895" s="514"/>
      <c r="AM895" s="514"/>
      <c r="AN895" s="514"/>
      <c r="AO895" s="514"/>
      <c r="AP895" s="514"/>
      <c r="AQ895" s="514"/>
      <c r="AR895" s="514"/>
      <c r="AS895" s="514"/>
      <c r="AT895" s="514"/>
      <c r="AU895" s="514"/>
      <c r="AV895" s="514"/>
      <c r="AW895" s="514"/>
      <c r="AX895" s="514"/>
      <c r="AY895" s="514"/>
      <c r="AZ895" s="514"/>
      <c r="BA895" s="514"/>
      <c r="BB895" s="514"/>
      <c r="BC895" s="520"/>
      <c r="BD895" s="2482"/>
      <c r="BE895" s="30">
        <v>77.599999999999994</v>
      </c>
      <c r="BF895" s="31">
        <v>0.67669999999999997</v>
      </c>
      <c r="BG895" s="32">
        <v>676.6</v>
      </c>
      <c r="BH895" s="33"/>
      <c r="BI895" s="30">
        <v>77.599999999999994</v>
      </c>
      <c r="BJ895" s="34">
        <v>2.5548999999999999</v>
      </c>
      <c r="BK895" s="35">
        <v>0.10730000000000001</v>
      </c>
      <c r="BL895" s="33"/>
      <c r="BM895" s="33"/>
      <c r="BN895" s="33"/>
      <c r="BO895" s="33"/>
      <c r="BP895" s="520"/>
    </row>
    <row r="896" spans="28:68">
      <c r="AB896" s="514"/>
      <c r="AC896" s="514"/>
      <c r="AD896" s="514"/>
      <c r="AE896" s="514"/>
      <c r="AF896" s="514"/>
      <c r="AG896" s="514"/>
      <c r="AH896" s="514"/>
      <c r="AI896" s="514"/>
      <c r="AJ896" s="514"/>
      <c r="AK896" s="514"/>
      <c r="AL896" s="514"/>
      <c r="AM896" s="514"/>
      <c r="AN896" s="514"/>
      <c r="AO896" s="514"/>
      <c r="AP896" s="514"/>
      <c r="AQ896" s="514"/>
      <c r="AR896" s="514"/>
      <c r="AS896" s="514"/>
      <c r="AT896" s="514"/>
      <c r="AU896" s="514"/>
      <c r="AV896" s="514"/>
      <c r="AW896" s="514"/>
      <c r="AX896" s="514"/>
      <c r="AY896" s="514"/>
      <c r="AZ896" s="514"/>
      <c r="BA896" s="514"/>
      <c r="BB896" s="514"/>
      <c r="BC896" s="520"/>
      <c r="BD896" s="2482"/>
      <c r="BE896" s="30">
        <v>77.7</v>
      </c>
      <c r="BF896" s="31">
        <v>0.6764</v>
      </c>
      <c r="BG896" s="32">
        <v>676.2</v>
      </c>
      <c r="BH896" s="33"/>
      <c r="BI896" s="30">
        <v>77.7</v>
      </c>
      <c r="BJ896" s="34">
        <v>2.5535999999999999</v>
      </c>
      <c r="BK896" s="35">
        <v>0.10725</v>
      </c>
      <c r="BL896" s="33"/>
      <c r="BM896" s="33"/>
      <c r="BN896" s="33"/>
      <c r="BO896" s="33"/>
      <c r="BP896" s="520"/>
    </row>
    <row r="897" spans="28:68">
      <c r="AB897" s="514"/>
      <c r="AC897" s="514"/>
      <c r="AD897" s="514"/>
      <c r="AE897" s="514"/>
      <c r="AF897" s="514"/>
      <c r="AG897" s="514"/>
      <c r="AH897" s="514"/>
      <c r="AI897" s="514"/>
      <c r="AJ897" s="514"/>
      <c r="AK897" s="514"/>
      <c r="AL897" s="514"/>
      <c r="AM897" s="514"/>
      <c r="AN897" s="514"/>
      <c r="AO897" s="514"/>
      <c r="AP897" s="514"/>
      <c r="AQ897" s="514"/>
      <c r="AR897" s="514"/>
      <c r="AS897" s="514"/>
      <c r="AT897" s="514"/>
      <c r="AU897" s="514"/>
      <c r="AV897" s="514"/>
      <c r="AW897" s="514"/>
      <c r="AX897" s="514"/>
      <c r="AY897" s="514"/>
      <c r="AZ897" s="514"/>
      <c r="BA897" s="514"/>
      <c r="BB897" s="514"/>
      <c r="BC897" s="520"/>
      <c r="BD897" s="2482"/>
      <c r="BE897" s="30">
        <v>77.8</v>
      </c>
      <c r="BF897" s="31">
        <v>0.67610000000000003</v>
      </c>
      <c r="BG897" s="32">
        <v>675.9</v>
      </c>
      <c r="BH897" s="33"/>
      <c r="BI897" s="30">
        <v>77.8</v>
      </c>
      <c r="BJ897" s="34">
        <v>2.5524</v>
      </c>
      <c r="BK897" s="35">
        <v>0.1072</v>
      </c>
      <c r="BL897" s="33"/>
      <c r="BM897" s="33"/>
      <c r="BN897" s="33"/>
      <c r="BO897" s="33"/>
      <c r="BP897" s="520"/>
    </row>
    <row r="898" spans="28:68">
      <c r="AB898" s="514"/>
      <c r="AC898" s="514"/>
      <c r="AD898" s="514"/>
      <c r="AE898" s="514"/>
      <c r="AF898" s="514"/>
      <c r="AG898" s="514"/>
      <c r="AH898" s="514"/>
      <c r="AI898" s="514"/>
      <c r="AJ898" s="514"/>
      <c r="AK898" s="514"/>
      <c r="AL898" s="514"/>
      <c r="AM898" s="514"/>
      <c r="AN898" s="514"/>
      <c r="AO898" s="514"/>
      <c r="AP898" s="514"/>
      <c r="AQ898" s="514"/>
      <c r="AR898" s="514"/>
      <c r="AS898" s="514"/>
      <c r="AT898" s="514"/>
      <c r="AU898" s="514"/>
      <c r="AV898" s="514"/>
      <c r="AW898" s="514"/>
      <c r="AX898" s="514"/>
      <c r="AY898" s="514"/>
      <c r="AZ898" s="514"/>
      <c r="BA898" s="514"/>
      <c r="BB898" s="514"/>
      <c r="BC898" s="520"/>
      <c r="BD898" s="2482"/>
      <c r="BE898" s="30">
        <v>77.900000000000006</v>
      </c>
      <c r="BF898" s="31">
        <v>0.67569999999999997</v>
      </c>
      <c r="BG898" s="32">
        <v>675.6</v>
      </c>
      <c r="BH898" s="33"/>
      <c r="BI898" s="30">
        <v>77.900000000000006</v>
      </c>
      <c r="BJ898" s="34">
        <v>2.5512000000000001</v>
      </c>
      <c r="BK898" s="35">
        <v>0.10715</v>
      </c>
      <c r="BL898" s="33"/>
      <c r="BM898" s="33"/>
      <c r="BN898" s="33"/>
      <c r="BO898" s="33"/>
      <c r="BP898" s="520"/>
    </row>
    <row r="899" spans="28:68">
      <c r="AB899" s="514"/>
      <c r="AC899" s="514"/>
      <c r="AD899" s="514"/>
      <c r="AE899" s="514"/>
      <c r="AF899" s="514"/>
      <c r="AG899" s="514"/>
      <c r="AH899" s="514"/>
      <c r="AI899" s="514"/>
      <c r="AJ899" s="514"/>
      <c r="AK899" s="514"/>
      <c r="AL899" s="514"/>
      <c r="AM899" s="514"/>
      <c r="AN899" s="514"/>
      <c r="AO899" s="514"/>
      <c r="AP899" s="514"/>
      <c r="AQ899" s="514"/>
      <c r="AR899" s="514"/>
      <c r="AS899" s="514"/>
      <c r="AT899" s="514"/>
      <c r="AU899" s="514"/>
      <c r="AV899" s="514"/>
      <c r="AW899" s="514"/>
      <c r="AX899" s="514"/>
      <c r="AY899" s="514"/>
      <c r="AZ899" s="514"/>
      <c r="BA899" s="514"/>
      <c r="BB899" s="514"/>
      <c r="BC899" s="520"/>
      <c r="BD899" s="2482"/>
      <c r="BE899" s="30">
        <v>78</v>
      </c>
      <c r="BF899" s="31">
        <v>0.6754</v>
      </c>
      <c r="BG899" s="32">
        <v>675.3</v>
      </c>
      <c r="BH899" s="33"/>
      <c r="BI899" s="30">
        <v>78</v>
      </c>
      <c r="BJ899" s="34">
        <v>2.5499999999999998</v>
      </c>
      <c r="BK899" s="35">
        <v>0.1071</v>
      </c>
      <c r="BL899" s="33"/>
      <c r="BM899" s="33"/>
      <c r="BN899" s="33"/>
      <c r="BO899" s="33"/>
      <c r="BP899" s="520"/>
    </row>
    <row r="900" spans="28:68">
      <c r="AB900" s="514"/>
      <c r="AC900" s="514"/>
      <c r="AD900" s="514"/>
      <c r="AE900" s="514"/>
      <c r="AF900" s="514"/>
      <c r="AG900" s="514"/>
      <c r="AH900" s="514"/>
      <c r="AI900" s="514"/>
      <c r="AJ900" s="514"/>
      <c r="AK900" s="514"/>
      <c r="AL900" s="514"/>
      <c r="AM900" s="514"/>
      <c r="AN900" s="514"/>
      <c r="AO900" s="514"/>
      <c r="AP900" s="514"/>
      <c r="AQ900" s="514"/>
      <c r="AR900" s="514"/>
      <c r="AS900" s="514"/>
      <c r="AT900" s="514"/>
      <c r="AU900" s="514"/>
      <c r="AV900" s="514"/>
      <c r="AW900" s="514"/>
      <c r="AX900" s="514"/>
      <c r="AY900" s="514"/>
      <c r="AZ900" s="514"/>
      <c r="BA900" s="514"/>
      <c r="BB900" s="514"/>
      <c r="BC900" s="520"/>
      <c r="BD900" s="2482"/>
      <c r="BE900" s="30">
        <v>78.099999999999994</v>
      </c>
      <c r="BF900" s="31">
        <v>0.67510000000000003</v>
      </c>
      <c r="BG900" s="32">
        <v>675</v>
      </c>
      <c r="BH900" s="33"/>
      <c r="BI900" s="30">
        <v>78.099999999999994</v>
      </c>
      <c r="BJ900" s="34">
        <v>2.5488</v>
      </c>
      <c r="BK900" s="35">
        <v>0.10705000000000001</v>
      </c>
      <c r="BL900" s="33"/>
      <c r="BM900" s="33"/>
      <c r="BN900" s="33"/>
      <c r="BO900" s="33"/>
      <c r="BP900" s="520"/>
    </row>
    <row r="901" spans="28:68">
      <c r="AB901" s="514"/>
      <c r="AC901" s="514"/>
      <c r="AD901" s="514"/>
      <c r="AE901" s="514"/>
      <c r="AF901" s="514"/>
      <c r="AG901" s="514"/>
      <c r="AH901" s="514"/>
      <c r="AI901" s="514"/>
      <c r="AJ901" s="514"/>
      <c r="AK901" s="514"/>
      <c r="AL901" s="514"/>
      <c r="AM901" s="514"/>
      <c r="AN901" s="514"/>
      <c r="AO901" s="514"/>
      <c r="AP901" s="514"/>
      <c r="AQ901" s="514"/>
      <c r="AR901" s="514"/>
      <c r="AS901" s="514"/>
      <c r="AT901" s="514"/>
      <c r="AU901" s="514"/>
      <c r="AV901" s="514"/>
      <c r="AW901" s="514"/>
      <c r="AX901" s="514"/>
      <c r="AY901" s="514"/>
      <c r="AZ901" s="514"/>
      <c r="BA901" s="514"/>
      <c r="BB901" s="514"/>
      <c r="BC901" s="520"/>
      <c r="BD901" s="2482"/>
      <c r="BE901" s="30">
        <v>78.2</v>
      </c>
      <c r="BF901" s="31">
        <v>0.67479999999999996</v>
      </c>
      <c r="BG901" s="32">
        <v>674.6</v>
      </c>
      <c r="BH901" s="33"/>
      <c r="BI901" s="30">
        <v>78.2</v>
      </c>
      <c r="BJ901" s="34">
        <v>2.5474999999999999</v>
      </c>
      <c r="BK901" s="35">
        <v>0.107</v>
      </c>
      <c r="BL901" s="33"/>
      <c r="BM901" s="33"/>
      <c r="BN901" s="33"/>
      <c r="BO901" s="33"/>
      <c r="BP901" s="520"/>
    </row>
    <row r="902" spans="28:68">
      <c r="AB902" s="514"/>
      <c r="AC902" s="514"/>
      <c r="AD902" s="514"/>
      <c r="AE902" s="514"/>
      <c r="AF902" s="514"/>
      <c r="AG902" s="514"/>
      <c r="AH902" s="514"/>
      <c r="AI902" s="514"/>
      <c r="AJ902" s="514"/>
      <c r="AK902" s="514"/>
      <c r="AL902" s="514"/>
      <c r="AM902" s="514"/>
      <c r="AN902" s="514"/>
      <c r="AO902" s="514"/>
      <c r="AP902" s="514"/>
      <c r="AQ902" s="514"/>
      <c r="AR902" s="514"/>
      <c r="AS902" s="514"/>
      <c r="AT902" s="514"/>
      <c r="AU902" s="514"/>
      <c r="AV902" s="514"/>
      <c r="AW902" s="514"/>
      <c r="AX902" s="514"/>
      <c r="AY902" s="514"/>
      <c r="AZ902" s="514"/>
      <c r="BA902" s="514"/>
      <c r="BB902" s="514"/>
      <c r="BC902" s="520"/>
      <c r="BD902" s="2482"/>
      <c r="BE902" s="30">
        <v>78.3</v>
      </c>
      <c r="BF902" s="31">
        <v>0.67449999999999999</v>
      </c>
      <c r="BG902" s="32">
        <v>674.3</v>
      </c>
      <c r="BH902" s="33"/>
      <c r="BI902" s="30">
        <v>78.3</v>
      </c>
      <c r="BJ902" s="34">
        <v>2.5463</v>
      </c>
      <c r="BK902" s="35">
        <v>0.10695</v>
      </c>
      <c r="BL902" s="33"/>
      <c r="BM902" s="33"/>
      <c r="BN902" s="33"/>
      <c r="BO902" s="33"/>
      <c r="BP902" s="520"/>
    </row>
    <row r="903" spans="28:68">
      <c r="AB903" s="514"/>
      <c r="AC903" s="514"/>
      <c r="AD903" s="514"/>
      <c r="AE903" s="514"/>
      <c r="AF903" s="514"/>
      <c r="AG903" s="514"/>
      <c r="AH903" s="514"/>
      <c r="AI903" s="514"/>
      <c r="AJ903" s="514"/>
      <c r="AK903" s="514"/>
      <c r="AL903" s="514"/>
      <c r="AM903" s="514"/>
      <c r="AN903" s="514"/>
      <c r="AO903" s="514"/>
      <c r="AP903" s="514"/>
      <c r="AQ903" s="514"/>
      <c r="AR903" s="514"/>
      <c r="AS903" s="514"/>
      <c r="AT903" s="514"/>
      <c r="AU903" s="514"/>
      <c r="AV903" s="514"/>
      <c r="AW903" s="514"/>
      <c r="AX903" s="514"/>
      <c r="AY903" s="514"/>
      <c r="AZ903" s="514"/>
      <c r="BA903" s="514"/>
      <c r="BB903" s="514"/>
      <c r="BC903" s="520"/>
      <c r="BD903" s="2482"/>
      <c r="BE903" s="30">
        <v>78.400000000000006</v>
      </c>
      <c r="BF903" s="31">
        <v>0.67410000000000003</v>
      </c>
      <c r="BG903" s="32">
        <v>674</v>
      </c>
      <c r="BH903" s="33"/>
      <c r="BI903" s="30">
        <v>78.400000000000006</v>
      </c>
      <c r="BJ903" s="34">
        <v>2.5451000000000001</v>
      </c>
      <c r="BK903" s="35">
        <v>0.10689</v>
      </c>
      <c r="BL903" s="33"/>
      <c r="BM903" s="33"/>
      <c r="BN903" s="33"/>
      <c r="BO903" s="33"/>
      <c r="BP903" s="520"/>
    </row>
    <row r="904" spans="28:68">
      <c r="AB904" s="514"/>
      <c r="AC904" s="514"/>
      <c r="AD904" s="514"/>
      <c r="AE904" s="514"/>
      <c r="AF904" s="514"/>
      <c r="AG904" s="514"/>
      <c r="AH904" s="514"/>
      <c r="AI904" s="514"/>
      <c r="AJ904" s="514"/>
      <c r="AK904" s="514"/>
      <c r="AL904" s="514"/>
      <c r="AM904" s="514"/>
      <c r="AN904" s="514"/>
      <c r="AO904" s="514"/>
      <c r="AP904" s="514"/>
      <c r="AQ904" s="514"/>
      <c r="AR904" s="514"/>
      <c r="AS904" s="514"/>
      <c r="AT904" s="514"/>
      <c r="AU904" s="514"/>
      <c r="AV904" s="514"/>
      <c r="AW904" s="514"/>
      <c r="AX904" s="514"/>
      <c r="AY904" s="514"/>
      <c r="AZ904" s="514"/>
      <c r="BA904" s="514"/>
      <c r="BB904" s="514"/>
      <c r="BC904" s="520"/>
      <c r="BD904" s="2482"/>
      <c r="BE904" s="30">
        <v>78.5</v>
      </c>
      <c r="BF904" s="31">
        <v>0.67379999999999995</v>
      </c>
      <c r="BG904" s="32">
        <v>673.7</v>
      </c>
      <c r="BH904" s="33"/>
      <c r="BI904" s="30">
        <v>78.5</v>
      </c>
      <c r="BJ904" s="34">
        <v>2.5438999999999998</v>
      </c>
      <c r="BK904" s="35">
        <v>0.10684</v>
      </c>
      <c r="BL904" s="33"/>
      <c r="BM904" s="33"/>
      <c r="BN904" s="33"/>
      <c r="BO904" s="33"/>
      <c r="BP904" s="520"/>
    </row>
    <row r="905" spans="28:68">
      <c r="AB905" s="514"/>
      <c r="AC905" s="514"/>
      <c r="AD905" s="514"/>
      <c r="AE905" s="514"/>
      <c r="AF905" s="514"/>
      <c r="AG905" s="514"/>
      <c r="AH905" s="514"/>
      <c r="AI905" s="514"/>
      <c r="AJ905" s="514"/>
      <c r="AK905" s="514"/>
      <c r="AL905" s="514"/>
      <c r="AM905" s="514"/>
      <c r="AN905" s="514"/>
      <c r="AO905" s="514"/>
      <c r="AP905" s="514"/>
      <c r="AQ905" s="514"/>
      <c r="AR905" s="514"/>
      <c r="AS905" s="514"/>
      <c r="AT905" s="514"/>
      <c r="AU905" s="514"/>
      <c r="AV905" s="514"/>
      <c r="AW905" s="514"/>
      <c r="AX905" s="514"/>
      <c r="AY905" s="514"/>
      <c r="AZ905" s="514"/>
      <c r="BA905" s="514"/>
      <c r="BB905" s="514"/>
      <c r="BC905" s="520"/>
      <c r="BD905" s="2482"/>
      <c r="BE905" s="30">
        <v>78.599999999999994</v>
      </c>
      <c r="BF905" s="31">
        <v>0.67349999999999999</v>
      </c>
      <c r="BG905" s="32">
        <v>673.4</v>
      </c>
      <c r="BH905" s="33"/>
      <c r="BI905" s="30">
        <v>78.599999999999994</v>
      </c>
      <c r="BJ905" s="34">
        <v>2.5427</v>
      </c>
      <c r="BK905" s="35">
        <v>0.10679</v>
      </c>
      <c r="BL905" s="33"/>
      <c r="BM905" s="33"/>
      <c r="BN905" s="33"/>
      <c r="BO905" s="33"/>
      <c r="BP905" s="520"/>
    </row>
    <row r="906" spans="28:68">
      <c r="AB906" s="514"/>
      <c r="AC906" s="514"/>
      <c r="AD906" s="514"/>
      <c r="AE906" s="514"/>
      <c r="AF906" s="514"/>
      <c r="AG906" s="514"/>
      <c r="AH906" s="514"/>
      <c r="AI906" s="514"/>
      <c r="AJ906" s="514"/>
      <c r="AK906" s="514"/>
      <c r="AL906" s="514"/>
      <c r="AM906" s="514"/>
      <c r="AN906" s="514"/>
      <c r="AO906" s="514"/>
      <c r="AP906" s="514"/>
      <c r="AQ906" s="514"/>
      <c r="AR906" s="514"/>
      <c r="AS906" s="514"/>
      <c r="AT906" s="514"/>
      <c r="AU906" s="514"/>
      <c r="AV906" s="514"/>
      <c r="AW906" s="514"/>
      <c r="AX906" s="514"/>
      <c r="AY906" s="514"/>
      <c r="AZ906" s="514"/>
      <c r="BA906" s="514"/>
      <c r="BB906" s="514"/>
      <c r="BC906" s="520"/>
      <c r="BD906" s="2482"/>
      <c r="BE906" s="30">
        <v>78.7</v>
      </c>
      <c r="BF906" s="31">
        <v>0.67320000000000002</v>
      </c>
      <c r="BG906" s="32">
        <v>673</v>
      </c>
      <c r="BH906" s="33"/>
      <c r="BI906" s="30">
        <v>78.7</v>
      </c>
      <c r="BJ906" s="34">
        <v>2.5415000000000001</v>
      </c>
      <c r="BK906" s="35">
        <v>0.10674</v>
      </c>
      <c r="BL906" s="33"/>
      <c r="BM906" s="33"/>
      <c r="BN906" s="33"/>
      <c r="BO906" s="33"/>
      <c r="BP906" s="520"/>
    </row>
    <row r="907" spans="28:68">
      <c r="AB907" s="514"/>
      <c r="AC907" s="514"/>
      <c r="AD907" s="514"/>
      <c r="AE907" s="514"/>
      <c r="AF907" s="514"/>
      <c r="AG907" s="514"/>
      <c r="AH907" s="514"/>
      <c r="AI907" s="514"/>
      <c r="AJ907" s="514"/>
      <c r="AK907" s="514"/>
      <c r="AL907" s="514"/>
      <c r="AM907" s="514"/>
      <c r="AN907" s="514"/>
      <c r="AO907" s="514"/>
      <c r="AP907" s="514"/>
      <c r="AQ907" s="514"/>
      <c r="AR907" s="514"/>
      <c r="AS907" s="514"/>
      <c r="AT907" s="514"/>
      <c r="AU907" s="514"/>
      <c r="AV907" s="514"/>
      <c r="AW907" s="514"/>
      <c r="AX907" s="514"/>
      <c r="AY907" s="514"/>
      <c r="AZ907" s="514"/>
      <c r="BA907" s="514"/>
      <c r="BB907" s="514"/>
      <c r="BC907" s="520"/>
      <c r="BD907" s="2482"/>
      <c r="BE907" s="30">
        <v>78.8</v>
      </c>
      <c r="BF907" s="31">
        <v>0.67279999999999995</v>
      </c>
      <c r="BG907" s="32">
        <v>672.7</v>
      </c>
      <c r="BH907" s="33"/>
      <c r="BI907" s="30">
        <v>78.8</v>
      </c>
      <c r="BJ907" s="34">
        <v>2.5402999999999998</v>
      </c>
      <c r="BK907" s="35">
        <v>0.10668999999999999</v>
      </c>
      <c r="BL907" s="33"/>
      <c r="BM907" s="33"/>
      <c r="BN907" s="33"/>
      <c r="BO907" s="33"/>
      <c r="BP907" s="520"/>
    </row>
    <row r="908" spans="28:68">
      <c r="AB908" s="514"/>
      <c r="AC908" s="514"/>
      <c r="AD908" s="514"/>
      <c r="AE908" s="514"/>
      <c r="AF908" s="514"/>
      <c r="AG908" s="514"/>
      <c r="AH908" s="514"/>
      <c r="AI908" s="514"/>
      <c r="AJ908" s="514"/>
      <c r="AK908" s="514"/>
      <c r="AL908" s="514"/>
      <c r="AM908" s="514"/>
      <c r="AN908" s="514"/>
      <c r="AO908" s="514"/>
      <c r="AP908" s="514"/>
      <c r="AQ908" s="514"/>
      <c r="AR908" s="514"/>
      <c r="AS908" s="514"/>
      <c r="AT908" s="514"/>
      <c r="AU908" s="514"/>
      <c r="AV908" s="514"/>
      <c r="AW908" s="514"/>
      <c r="AX908" s="514"/>
      <c r="AY908" s="514"/>
      <c r="AZ908" s="514"/>
      <c r="BA908" s="514"/>
      <c r="BB908" s="514"/>
      <c r="BC908" s="520"/>
      <c r="BD908" s="2482"/>
      <c r="BE908" s="30">
        <v>78.900000000000006</v>
      </c>
      <c r="BF908" s="31">
        <v>0.67249999999999999</v>
      </c>
      <c r="BG908" s="32">
        <v>672.4</v>
      </c>
      <c r="BH908" s="33"/>
      <c r="BI908" s="30">
        <v>78.900000000000006</v>
      </c>
      <c r="BJ908" s="34">
        <v>2.5390000000000001</v>
      </c>
      <c r="BK908" s="35">
        <v>0.10664</v>
      </c>
      <c r="BL908" s="33"/>
      <c r="BM908" s="33"/>
      <c r="BN908" s="33"/>
      <c r="BO908" s="33"/>
      <c r="BP908" s="520"/>
    </row>
    <row r="909" spans="28:68">
      <c r="AB909" s="514"/>
      <c r="AC909" s="514"/>
      <c r="AD909" s="514"/>
      <c r="AE909" s="514"/>
      <c r="AF909" s="514"/>
      <c r="AG909" s="514"/>
      <c r="AH909" s="514"/>
      <c r="AI909" s="514"/>
      <c r="AJ909" s="514"/>
      <c r="AK909" s="514"/>
      <c r="AL909" s="514"/>
      <c r="AM909" s="514"/>
      <c r="AN909" s="514"/>
      <c r="AO909" s="514"/>
      <c r="AP909" s="514"/>
      <c r="AQ909" s="514"/>
      <c r="AR909" s="514"/>
      <c r="AS909" s="514"/>
      <c r="AT909" s="514"/>
      <c r="AU909" s="514"/>
      <c r="AV909" s="514"/>
      <c r="AW909" s="514"/>
      <c r="AX909" s="514"/>
      <c r="AY909" s="514"/>
      <c r="AZ909" s="514"/>
      <c r="BA909" s="514"/>
      <c r="BB909" s="514"/>
      <c r="BC909" s="520"/>
      <c r="BD909" s="2482"/>
      <c r="BE909" s="30">
        <v>79</v>
      </c>
      <c r="BF909" s="31">
        <v>0.67220000000000002</v>
      </c>
      <c r="BG909" s="32">
        <v>672.1</v>
      </c>
      <c r="BH909" s="33"/>
      <c r="BI909" s="30">
        <v>79</v>
      </c>
      <c r="BJ909" s="34">
        <v>2.5377999999999998</v>
      </c>
      <c r="BK909" s="35">
        <v>0.10659</v>
      </c>
      <c r="BL909" s="33"/>
      <c r="BM909" s="33"/>
      <c r="BN909" s="33"/>
      <c r="BO909" s="33"/>
      <c r="BP909" s="520"/>
    </row>
    <row r="910" spans="28:68">
      <c r="AB910" s="514"/>
      <c r="AC910" s="514"/>
      <c r="AD910" s="514"/>
      <c r="AE910" s="514"/>
      <c r="AF910" s="514"/>
      <c r="AG910" s="514"/>
      <c r="AH910" s="514"/>
      <c r="AI910" s="514"/>
      <c r="AJ910" s="514"/>
      <c r="AK910" s="514"/>
      <c r="AL910" s="514"/>
      <c r="AM910" s="514"/>
      <c r="AN910" s="514"/>
      <c r="AO910" s="514"/>
      <c r="AP910" s="514"/>
      <c r="AQ910" s="514"/>
      <c r="AR910" s="514"/>
      <c r="AS910" s="514"/>
      <c r="AT910" s="514"/>
      <c r="AU910" s="514"/>
      <c r="AV910" s="514"/>
      <c r="AW910" s="514"/>
      <c r="AX910" s="514"/>
      <c r="AY910" s="514"/>
      <c r="AZ910" s="514"/>
      <c r="BA910" s="514"/>
      <c r="BB910" s="514"/>
      <c r="BC910" s="520"/>
      <c r="BD910" s="2482"/>
      <c r="BE910" s="30">
        <v>79.099999999999994</v>
      </c>
      <c r="BF910" s="31">
        <v>0.67190000000000005</v>
      </c>
      <c r="BG910" s="32">
        <v>671.8</v>
      </c>
      <c r="BH910" s="33"/>
      <c r="BI910" s="30">
        <v>79.099999999999994</v>
      </c>
      <c r="BJ910" s="34">
        <v>2.5366</v>
      </c>
      <c r="BK910" s="35">
        <v>0.10654</v>
      </c>
      <c r="BL910" s="33"/>
      <c r="BM910" s="33"/>
      <c r="BN910" s="33"/>
      <c r="BO910" s="33"/>
      <c r="BP910" s="520"/>
    </row>
    <row r="911" spans="28:68">
      <c r="AB911" s="514"/>
      <c r="AC911" s="514"/>
      <c r="AD911" s="514"/>
      <c r="AE911" s="514"/>
      <c r="AF911" s="514"/>
      <c r="AG911" s="514"/>
      <c r="AH911" s="514"/>
      <c r="AI911" s="514"/>
      <c r="AJ911" s="514"/>
      <c r="AK911" s="514"/>
      <c r="AL911" s="514"/>
      <c r="AM911" s="514"/>
      <c r="AN911" s="514"/>
      <c r="AO911" s="514"/>
      <c r="AP911" s="514"/>
      <c r="AQ911" s="514"/>
      <c r="AR911" s="514"/>
      <c r="AS911" s="514"/>
      <c r="AT911" s="514"/>
      <c r="AU911" s="514"/>
      <c r="AV911" s="514"/>
      <c r="AW911" s="514"/>
      <c r="AX911" s="514"/>
      <c r="AY911" s="514"/>
      <c r="AZ911" s="514"/>
      <c r="BA911" s="514"/>
      <c r="BB911" s="514"/>
      <c r="BC911" s="520"/>
      <c r="BD911" s="2482"/>
      <c r="BE911" s="30">
        <v>79.2</v>
      </c>
      <c r="BF911" s="31">
        <v>0.67159999999999997</v>
      </c>
      <c r="BG911" s="32">
        <v>671.4</v>
      </c>
      <c r="BH911" s="33"/>
      <c r="BI911" s="30">
        <v>79.2</v>
      </c>
      <c r="BJ911" s="34">
        <v>2.5354000000000001</v>
      </c>
      <c r="BK911" s="35">
        <v>0.10649</v>
      </c>
      <c r="BL911" s="33"/>
      <c r="BM911" s="33"/>
      <c r="BN911" s="33"/>
      <c r="BO911" s="33"/>
      <c r="BP911" s="520"/>
    </row>
    <row r="912" spans="28:68">
      <c r="AB912" s="514"/>
      <c r="AC912" s="514"/>
      <c r="AD912" s="514"/>
      <c r="AE912" s="514"/>
      <c r="AF912" s="514"/>
      <c r="AG912" s="514"/>
      <c r="AH912" s="514"/>
      <c r="AI912" s="514"/>
      <c r="AJ912" s="514"/>
      <c r="AK912" s="514"/>
      <c r="AL912" s="514"/>
      <c r="AM912" s="514"/>
      <c r="AN912" s="514"/>
      <c r="AO912" s="514"/>
      <c r="AP912" s="514"/>
      <c r="AQ912" s="514"/>
      <c r="AR912" s="514"/>
      <c r="AS912" s="514"/>
      <c r="AT912" s="514"/>
      <c r="AU912" s="514"/>
      <c r="AV912" s="514"/>
      <c r="AW912" s="514"/>
      <c r="AX912" s="514"/>
      <c r="AY912" s="514"/>
      <c r="AZ912" s="514"/>
      <c r="BA912" s="514"/>
      <c r="BB912" s="514"/>
      <c r="BC912" s="520"/>
      <c r="BD912" s="2482"/>
      <c r="BE912" s="30">
        <v>79.3</v>
      </c>
      <c r="BF912" s="31">
        <v>0.67130000000000001</v>
      </c>
      <c r="BG912" s="32">
        <v>671.1</v>
      </c>
      <c r="BH912" s="33"/>
      <c r="BI912" s="30">
        <v>79.3</v>
      </c>
      <c r="BJ912" s="34">
        <v>2.5341999999999998</v>
      </c>
      <c r="BK912" s="35">
        <v>0.10644000000000001</v>
      </c>
      <c r="BL912" s="33"/>
      <c r="BM912" s="33"/>
      <c r="BN912" s="33"/>
      <c r="BO912" s="33"/>
      <c r="BP912" s="520"/>
    </row>
    <row r="913" spans="28:68">
      <c r="AB913" s="514"/>
      <c r="AC913" s="514"/>
      <c r="AD913" s="514"/>
      <c r="AE913" s="514"/>
      <c r="AF913" s="514"/>
      <c r="AG913" s="514"/>
      <c r="AH913" s="514"/>
      <c r="AI913" s="514"/>
      <c r="AJ913" s="514"/>
      <c r="AK913" s="514"/>
      <c r="AL913" s="514"/>
      <c r="AM913" s="514"/>
      <c r="AN913" s="514"/>
      <c r="AO913" s="514"/>
      <c r="AP913" s="514"/>
      <c r="AQ913" s="514"/>
      <c r="AR913" s="514"/>
      <c r="AS913" s="514"/>
      <c r="AT913" s="514"/>
      <c r="AU913" s="514"/>
      <c r="AV913" s="514"/>
      <c r="AW913" s="514"/>
      <c r="AX913" s="514"/>
      <c r="AY913" s="514"/>
      <c r="AZ913" s="514"/>
      <c r="BA913" s="514"/>
      <c r="BB913" s="514"/>
      <c r="BC913" s="520"/>
      <c r="BD913" s="2482"/>
      <c r="BE913" s="30">
        <v>79.400000000000006</v>
      </c>
      <c r="BF913" s="31">
        <v>0.67090000000000005</v>
      </c>
      <c r="BG913" s="32">
        <v>670.8</v>
      </c>
      <c r="BH913" s="33"/>
      <c r="BI913" s="30">
        <v>79.400000000000006</v>
      </c>
      <c r="BJ913" s="34">
        <v>2.5329999999999999</v>
      </c>
      <c r="BK913" s="35">
        <v>0.10639</v>
      </c>
      <c r="BL913" s="33"/>
      <c r="BM913" s="33"/>
      <c r="BN913" s="33"/>
      <c r="BO913" s="33"/>
      <c r="BP913" s="520"/>
    </row>
    <row r="914" spans="28:68">
      <c r="AB914" s="514"/>
      <c r="AC914" s="514"/>
      <c r="AD914" s="514"/>
      <c r="AE914" s="514"/>
      <c r="AF914" s="514"/>
      <c r="AG914" s="514"/>
      <c r="AH914" s="514"/>
      <c r="AI914" s="514"/>
      <c r="AJ914" s="514"/>
      <c r="AK914" s="514"/>
      <c r="AL914" s="514"/>
      <c r="AM914" s="514"/>
      <c r="AN914" s="514"/>
      <c r="AO914" s="514"/>
      <c r="AP914" s="514"/>
      <c r="AQ914" s="514"/>
      <c r="AR914" s="514"/>
      <c r="AS914" s="514"/>
      <c r="AT914" s="514"/>
      <c r="AU914" s="514"/>
      <c r="AV914" s="514"/>
      <c r="AW914" s="514"/>
      <c r="AX914" s="514"/>
      <c r="AY914" s="514"/>
      <c r="AZ914" s="514"/>
      <c r="BA914" s="514"/>
      <c r="BB914" s="514"/>
      <c r="BC914" s="520"/>
      <c r="BD914" s="2482"/>
      <c r="BE914" s="30">
        <v>79.5</v>
      </c>
      <c r="BF914" s="31">
        <v>0.67059999999999997</v>
      </c>
      <c r="BG914" s="32">
        <v>670.5</v>
      </c>
      <c r="BH914" s="33"/>
      <c r="BI914" s="30">
        <v>79.5</v>
      </c>
      <c r="BJ914" s="34">
        <v>2.5318000000000001</v>
      </c>
      <c r="BK914" s="35">
        <v>0.10634</v>
      </c>
      <c r="BL914" s="33"/>
      <c r="BM914" s="33"/>
      <c r="BN914" s="33"/>
      <c r="BO914" s="33"/>
      <c r="BP914" s="520"/>
    </row>
    <row r="915" spans="28:68">
      <c r="AB915" s="514"/>
      <c r="AC915" s="514"/>
      <c r="AD915" s="514"/>
      <c r="AE915" s="514"/>
      <c r="AF915" s="514"/>
      <c r="AG915" s="514"/>
      <c r="AH915" s="514"/>
      <c r="AI915" s="514"/>
      <c r="AJ915" s="514"/>
      <c r="AK915" s="514"/>
      <c r="AL915" s="514"/>
      <c r="AM915" s="514"/>
      <c r="AN915" s="514"/>
      <c r="AO915" s="514"/>
      <c r="AP915" s="514"/>
      <c r="AQ915" s="514"/>
      <c r="AR915" s="514"/>
      <c r="AS915" s="514"/>
      <c r="AT915" s="514"/>
      <c r="AU915" s="514"/>
      <c r="AV915" s="514"/>
      <c r="AW915" s="514"/>
      <c r="AX915" s="514"/>
      <c r="AY915" s="514"/>
      <c r="AZ915" s="514"/>
      <c r="BA915" s="514"/>
      <c r="BB915" s="514"/>
      <c r="BC915" s="520"/>
      <c r="BD915" s="2482"/>
      <c r="BE915" s="30">
        <v>79.599999999999994</v>
      </c>
      <c r="BF915" s="31">
        <v>0.67030000000000001</v>
      </c>
      <c r="BG915" s="32">
        <v>670.2</v>
      </c>
      <c r="BH915" s="33"/>
      <c r="BI915" s="30">
        <v>79.599999999999994</v>
      </c>
      <c r="BJ915" s="34">
        <v>2.5306000000000002</v>
      </c>
      <c r="BK915" s="35">
        <v>0.10629</v>
      </c>
      <c r="BL915" s="33"/>
      <c r="BM915" s="33"/>
      <c r="BN915" s="33"/>
      <c r="BO915" s="33"/>
      <c r="BP915" s="520"/>
    </row>
    <row r="916" spans="28:68">
      <c r="AB916" s="514"/>
      <c r="AC916" s="514"/>
      <c r="AD916" s="514"/>
      <c r="AE916" s="514"/>
      <c r="AF916" s="514"/>
      <c r="AG916" s="514"/>
      <c r="AH916" s="514"/>
      <c r="AI916" s="514"/>
      <c r="AJ916" s="514"/>
      <c r="AK916" s="514"/>
      <c r="AL916" s="514"/>
      <c r="AM916" s="514"/>
      <c r="AN916" s="514"/>
      <c r="AO916" s="514"/>
      <c r="AP916" s="514"/>
      <c r="AQ916" s="514"/>
      <c r="AR916" s="514"/>
      <c r="AS916" s="514"/>
      <c r="AT916" s="514"/>
      <c r="AU916" s="514"/>
      <c r="AV916" s="514"/>
      <c r="AW916" s="514"/>
      <c r="AX916" s="514"/>
      <c r="AY916" s="514"/>
      <c r="AZ916" s="514"/>
      <c r="BA916" s="514"/>
      <c r="BB916" s="514"/>
      <c r="BC916" s="520"/>
      <c r="BD916" s="2482"/>
      <c r="BE916" s="30">
        <v>79.7</v>
      </c>
      <c r="BF916" s="31">
        <v>0.67</v>
      </c>
      <c r="BG916" s="32">
        <v>669.9</v>
      </c>
      <c r="BH916" s="33"/>
      <c r="BI916" s="30">
        <v>79.7</v>
      </c>
      <c r="BJ916" s="34">
        <v>2.5293999999999999</v>
      </c>
      <c r="BK916" s="35">
        <v>0.10624</v>
      </c>
      <c r="BL916" s="33"/>
      <c r="BM916" s="33"/>
      <c r="BN916" s="33"/>
      <c r="BO916" s="33"/>
      <c r="BP916" s="520"/>
    </row>
    <row r="917" spans="28:68">
      <c r="AB917" s="514"/>
      <c r="AC917" s="514"/>
      <c r="AD917" s="514"/>
      <c r="AE917" s="514"/>
      <c r="AF917" s="514"/>
      <c r="AG917" s="514"/>
      <c r="AH917" s="514"/>
      <c r="AI917" s="514"/>
      <c r="AJ917" s="514"/>
      <c r="AK917" s="514"/>
      <c r="AL917" s="514"/>
      <c r="AM917" s="514"/>
      <c r="AN917" s="514"/>
      <c r="AO917" s="514"/>
      <c r="AP917" s="514"/>
      <c r="AQ917" s="514"/>
      <c r="AR917" s="514"/>
      <c r="AS917" s="514"/>
      <c r="AT917" s="514"/>
      <c r="AU917" s="514"/>
      <c r="AV917" s="514"/>
      <c r="AW917" s="514"/>
      <c r="AX917" s="514"/>
      <c r="AY917" s="514"/>
      <c r="AZ917" s="514"/>
      <c r="BA917" s="514"/>
      <c r="BB917" s="514"/>
      <c r="BC917" s="520"/>
      <c r="BD917" s="2482"/>
      <c r="BE917" s="30">
        <v>79.8</v>
      </c>
      <c r="BF917" s="31">
        <v>0.66969999999999996</v>
      </c>
      <c r="BG917" s="32">
        <v>669.5</v>
      </c>
      <c r="BH917" s="33"/>
      <c r="BI917" s="30">
        <v>79.8</v>
      </c>
      <c r="BJ917" s="34">
        <v>2.5282</v>
      </c>
      <c r="BK917" s="35">
        <v>0.10618</v>
      </c>
      <c r="BL917" s="33"/>
      <c r="BM917" s="33"/>
      <c r="BN917" s="33"/>
      <c r="BO917" s="33"/>
      <c r="BP917" s="520"/>
    </row>
    <row r="918" spans="28:68">
      <c r="AB918" s="514"/>
      <c r="AC918" s="514"/>
      <c r="AD918" s="514"/>
      <c r="AE918" s="514"/>
      <c r="AF918" s="514"/>
      <c r="AG918" s="514"/>
      <c r="AH918" s="514"/>
      <c r="AI918" s="514"/>
      <c r="AJ918" s="514"/>
      <c r="AK918" s="514"/>
      <c r="AL918" s="514"/>
      <c r="AM918" s="514"/>
      <c r="AN918" s="514"/>
      <c r="AO918" s="514"/>
      <c r="AP918" s="514"/>
      <c r="AQ918" s="514"/>
      <c r="AR918" s="514"/>
      <c r="AS918" s="514"/>
      <c r="AT918" s="514"/>
      <c r="AU918" s="514"/>
      <c r="AV918" s="514"/>
      <c r="AW918" s="514"/>
      <c r="AX918" s="514"/>
      <c r="AY918" s="514"/>
      <c r="AZ918" s="514"/>
      <c r="BA918" s="514"/>
      <c r="BB918" s="514"/>
      <c r="BC918" s="520"/>
      <c r="BD918" s="2482"/>
      <c r="BE918" s="30">
        <v>79.900000000000006</v>
      </c>
      <c r="BF918" s="31">
        <v>0.66930000000000001</v>
      </c>
      <c r="BG918" s="32">
        <v>669.2</v>
      </c>
      <c r="BH918" s="33"/>
      <c r="BI918" s="30">
        <v>79.900000000000006</v>
      </c>
      <c r="BJ918" s="34">
        <v>2.5270000000000001</v>
      </c>
      <c r="BK918" s="35">
        <v>0.10613</v>
      </c>
      <c r="BL918" s="33"/>
      <c r="BM918" s="33"/>
      <c r="BN918" s="33"/>
      <c r="BO918" s="33"/>
      <c r="BP918" s="520"/>
    </row>
    <row r="919" spans="28:68">
      <c r="AB919" s="514"/>
      <c r="AC919" s="514"/>
      <c r="AD919" s="514"/>
      <c r="AE919" s="514"/>
      <c r="AF919" s="514"/>
      <c r="AG919" s="514"/>
      <c r="AH919" s="514"/>
      <c r="AI919" s="514"/>
      <c r="AJ919" s="514"/>
      <c r="AK919" s="514"/>
      <c r="AL919" s="514"/>
      <c r="AM919" s="514"/>
      <c r="AN919" s="514"/>
      <c r="AO919" s="514"/>
      <c r="AP919" s="514"/>
      <c r="AQ919" s="514"/>
      <c r="AR919" s="514"/>
      <c r="AS919" s="514"/>
      <c r="AT919" s="514"/>
      <c r="AU919" s="514"/>
      <c r="AV919" s="514"/>
      <c r="AW919" s="514"/>
      <c r="AX919" s="514"/>
      <c r="AY919" s="514"/>
      <c r="AZ919" s="514"/>
      <c r="BA919" s="514"/>
      <c r="BB919" s="514"/>
      <c r="BC919" s="520"/>
      <c r="BD919" s="2482"/>
      <c r="BE919" s="30">
        <v>80</v>
      </c>
      <c r="BF919" s="31">
        <v>0.66900000000000004</v>
      </c>
      <c r="BG919" s="32">
        <v>668.9</v>
      </c>
      <c r="BH919" s="33"/>
      <c r="BI919" s="30">
        <v>80</v>
      </c>
      <c r="BJ919" s="34">
        <v>2.5257999999999998</v>
      </c>
      <c r="BK919" s="35">
        <v>0.10607999999999999</v>
      </c>
      <c r="BL919" s="33"/>
      <c r="BM919" s="33"/>
      <c r="BN919" s="33"/>
      <c r="BO919" s="33"/>
      <c r="BP919" s="520"/>
    </row>
    <row r="920" spans="28:68">
      <c r="AB920" s="514"/>
      <c r="AC920" s="514"/>
      <c r="AD920" s="514"/>
      <c r="AE920" s="514"/>
      <c r="AF920" s="514"/>
      <c r="AG920" s="514"/>
      <c r="AH920" s="514"/>
      <c r="AI920" s="514"/>
      <c r="AJ920" s="514"/>
      <c r="AK920" s="514"/>
      <c r="AL920" s="514"/>
      <c r="AM920" s="514"/>
      <c r="AN920" s="514"/>
      <c r="AO920" s="514"/>
      <c r="AP920" s="514"/>
      <c r="AQ920" s="514"/>
      <c r="AR920" s="514"/>
      <c r="AS920" s="514"/>
      <c r="AT920" s="514"/>
      <c r="AU920" s="514"/>
      <c r="AV920" s="514"/>
      <c r="AW920" s="514"/>
      <c r="AX920" s="514"/>
      <c r="AY920" s="514"/>
      <c r="AZ920" s="514"/>
      <c r="BA920" s="514"/>
      <c r="BB920" s="514"/>
      <c r="BC920" s="520"/>
      <c r="BD920" s="2482"/>
      <c r="BE920" s="30">
        <v>80.099999999999994</v>
      </c>
      <c r="BF920" s="31">
        <v>0.66869999999999996</v>
      </c>
      <c r="BG920" s="32">
        <v>668.6</v>
      </c>
      <c r="BH920" s="33"/>
      <c r="BI920" s="30">
        <v>80.099999999999994</v>
      </c>
      <c r="BJ920" s="34">
        <v>2.5246</v>
      </c>
      <c r="BK920" s="35">
        <v>0.10603</v>
      </c>
      <c r="BL920" s="33"/>
      <c r="BM920" s="33"/>
      <c r="BN920" s="33"/>
      <c r="BO920" s="33"/>
      <c r="BP920" s="520"/>
    </row>
    <row r="921" spans="28:68">
      <c r="AB921" s="514"/>
      <c r="AC921" s="514"/>
      <c r="AD921" s="514"/>
      <c r="AE921" s="514"/>
      <c r="AF921" s="514"/>
      <c r="AG921" s="514"/>
      <c r="AH921" s="514"/>
      <c r="AI921" s="514"/>
      <c r="AJ921" s="514"/>
      <c r="AK921" s="514"/>
      <c r="AL921" s="514"/>
      <c r="AM921" s="514"/>
      <c r="AN921" s="514"/>
      <c r="AO921" s="514"/>
      <c r="AP921" s="514"/>
      <c r="AQ921" s="514"/>
      <c r="AR921" s="514"/>
      <c r="AS921" s="514"/>
      <c r="AT921" s="514"/>
      <c r="AU921" s="514"/>
      <c r="AV921" s="514"/>
      <c r="AW921" s="514"/>
      <c r="AX921" s="514"/>
      <c r="AY921" s="514"/>
      <c r="AZ921" s="514"/>
      <c r="BA921" s="514"/>
      <c r="BB921" s="514"/>
      <c r="BC921" s="520"/>
      <c r="BD921" s="2482"/>
      <c r="BE921" s="30">
        <v>80.2</v>
      </c>
      <c r="BF921" s="31">
        <v>0.66839999999999999</v>
      </c>
      <c r="BG921" s="32">
        <v>668.3</v>
      </c>
      <c r="BH921" s="33"/>
      <c r="BI921" s="30">
        <v>80.2</v>
      </c>
      <c r="BJ921" s="34">
        <v>2.5234000000000001</v>
      </c>
      <c r="BK921" s="35">
        <v>0.10598</v>
      </c>
      <c r="BL921" s="33"/>
      <c r="BM921" s="33"/>
      <c r="BN921" s="33"/>
      <c r="BO921" s="33"/>
      <c r="BP921" s="520"/>
    </row>
    <row r="922" spans="28:68">
      <c r="AB922" s="514"/>
      <c r="AC922" s="514"/>
      <c r="AD922" s="514"/>
      <c r="AE922" s="514"/>
      <c r="AF922" s="514"/>
      <c r="AG922" s="514"/>
      <c r="AH922" s="514"/>
      <c r="AI922" s="514"/>
      <c r="AJ922" s="514"/>
      <c r="AK922" s="514"/>
      <c r="AL922" s="514"/>
      <c r="AM922" s="514"/>
      <c r="AN922" s="514"/>
      <c r="AO922" s="514"/>
      <c r="AP922" s="514"/>
      <c r="AQ922" s="514"/>
      <c r="AR922" s="514"/>
      <c r="AS922" s="514"/>
      <c r="AT922" s="514"/>
      <c r="AU922" s="514"/>
      <c r="AV922" s="514"/>
      <c r="AW922" s="514"/>
      <c r="AX922" s="514"/>
      <c r="AY922" s="514"/>
      <c r="AZ922" s="514"/>
      <c r="BA922" s="514"/>
      <c r="BB922" s="514"/>
      <c r="BC922" s="520"/>
      <c r="BD922" s="2482"/>
      <c r="BE922" s="30">
        <v>80.3</v>
      </c>
      <c r="BF922" s="31">
        <v>0.66810000000000003</v>
      </c>
      <c r="BG922" s="32">
        <v>668</v>
      </c>
      <c r="BH922" s="33"/>
      <c r="BI922" s="30">
        <v>80.3</v>
      </c>
      <c r="BJ922" s="34">
        <v>2.5222000000000002</v>
      </c>
      <c r="BK922" s="35">
        <v>0.10593</v>
      </c>
      <c r="BL922" s="33"/>
      <c r="BM922" s="33"/>
      <c r="BN922" s="33"/>
      <c r="BO922" s="33"/>
      <c r="BP922" s="520"/>
    </row>
    <row r="923" spans="28:68">
      <c r="AB923" s="514"/>
      <c r="AC923" s="514"/>
      <c r="AD923" s="514"/>
      <c r="AE923" s="514"/>
      <c r="AF923" s="514"/>
      <c r="AG923" s="514"/>
      <c r="AH923" s="514"/>
      <c r="AI923" s="514"/>
      <c r="AJ923" s="514"/>
      <c r="AK923" s="514"/>
      <c r="AL923" s="514"/>
      <c r="AM923" s="514"/>
      <c r="AN923" s="514"/>
      <c r="AO923" s="514"/>
      <c r="AP923" s="514"/>
      <c r="AQ923" s="514"/>
      <c r="AR923" s="514"/>
      <c r="AS923" s="514"/>
      <c r="AT923" s="514"/>
      <c r="AU923" s="514"/>
      <c r="AV923" s="514"/>
      <c r="AW923" s="514"/>
      <c r="AX923" s="514"/>
      <c r="AY923" s="514"/>
      <c r="AZ923" s="514"/>
      <c r="BA923" s="514"/>
      <c r="BB923" s="514"/>
      <c r="BC923" s="520"/>
      <c r="BD923" s="2482"/>
      <c r="BE923" s="30">
        <v>80.400000000000006</v>
      </c>
      <c r="BF923" s="31">
        <v>0.66779999999999995</v>
      </c>
      <c r="BG923" s="32">
        <v>667.6</v>
      </c>
      <c r="BH923" s="33"/>
      <c r="BI923" s="30">
        <v>80.400000000000006</v>
      </c>
      <c r="BJ923" s="34">
        <v>2.5209999999999999</v>
      </c>
      <c r="BK923" s="35">
        <v>0.10588</v>
      </c>
      <c r="BL923" s="33"/>
      <c r="BM923" s="33"/>
      <c r="BN923" s="33"/>
      <c r="BO923" s="33"/>
      <c r="BP923" s="520"/>
    </row>
    <row r="924" spans="28:68">
      <c r="AB924" s="514"/>
      <c r="AC924" s="514"/>
      <c r="AD924" s="514"/>
      <c r="AE924" s="514"/>
      <c r="AF924" s="514"/>
      <c r="AG924" s="514"/>
      <c r="AH924" s="514"/>
      <c r="AI924" s="514"/>
      <c r="AJ924" s="514"/>
      <c r="AK924" s="514"/>
      <c r="AL924" s="514"/>
      <c r="AM924" s="514"/>
      <c r="AN924" s="514"/>
      <c r="AO924" s="514"/>
      <c r="AP924" s="514"/>
      <c r="AQ924" s="514"/>
      <c r="AR924" s="514"/>
      <c r="AS924" s="514"/>
      <c r="AT924" s="514"/>
      <c r="AU924" s="514"/>
      <c r="AV924" s="514"/>
      <c r="AW924" s="514"/>
      <c r="AX924" s="514"/>
      <c r="AY924" s="514"/>
      <c r="AZ924" s="514"/>
      <c r="BA924" s="514"/>
      <c r="BB924" s="514"/>
      <c r="BC924" s="520"/>
      <c r="BD924" s="2482"/>
      <c r="BE924" s="30">
        <v>80.5</v>
      </c>
      <c r="BF924" s="31">
        <v>0.66749999999999998</v>
      </c>
      <c r="BG924" s="32">
        <v>667.3</v>
      </c>
      <c r="BH924" s="33"/>
      <c r="BI924" s="30">
        <v>80.5</v>
      </c>
      <c r="BJ924" s="34">
        <v>2.5198</v>
      </c>
      <c r="BK924" s="35">
        <v>0.10582999999999999</v>
      </c>
      <c r="BL924" s="33"/>
      <c r="BM924" s="33"/>
      <c r="BN924" s="33"/>
      <c r="BO924" s="33"/>
      <c r="BP924" s="520"/>
    </row>
    <row r="925" spans="28:68">
      <c r="AB925" s="514"/>
      <c r="AC925" s="514"/>
      <c r="AD925" s="514"/>
      <c r="AE925" s="514"/>
      <c r="AF925" s="514"/>
      <c r="AG925" s="514"/>
      <c r="AH925" s="514"/>
      <c r="AI925" s="514"/>
      <c r="AJ925" s="514"/>
      <c r="AK925" s="514"/>
      <c r="AL925" s="514"/>
      <c r="AM925" s="514"/>
      <c r="AN925" s="514"/>
      <c r="AO925" s="514"/>
      <c r="AP925" s="514"/>
      <c r="AQ925" s="514"/>
      <c r="AR925" s="514"/>
      <c r="AS925" s="514"/>
      <c r="AT925" s="514"/>
      <c r="AU925" s="514"/>
      <c r="AV925" s="514"/>
      <c r="AW925" s="514"/>
      <c r="AX925" s="514"/>
      <c r="AY925" s="514"/>
      <c r="AZ925" s="514"/>
      <c r="BA925" s="514"/>
      <c r="BB925" s="514"/>
      <c r="BC925" s="520"/>
      <c r="BD925" s="2482"/>
      <c r="BE925" s="30">
        <v>80.599999999999994</v>
      </c>
      <c r="BF925" s="31">
        <v>0.66710000000000003</v>
      </c>
      <c r="BG925" s="32">
        <v>667</v>
      </c>
      <c r="BH925" s="33"/>
      <c r="BI925" s="30">
        <v>80.599999999999994</v>
      </c>
      <c r="BJ925" s="34">
        <v>2.5186999999999999</v>
      </c>
      <c r="BK925" s="35">
        <v>0.10578</v>
      </c>
      <c r="BL925" s="33"/>
      <c r="BM925" s="33"/>
      <c r="BN925" s="33"/>
      <c r="BO925" s="33"/>
      <c r="BP925" s="520"/>
    </row>
    <row r="926" spans="28:68">
      <c r="AB926" s="514"/>
      <c r="AC926" s="514"/>
      <c r="AD926" s="514"/>
      <c r="AE926" s="514"/>
      <c r="AF926" s="514"/>
      <c r="AG926" s="514"/>
      <c r="AH926" s="514"/>
      <c r="AI926" s="514"/>
      <c r="AJ926" s="514"/>
      <c r="AK926" s="514"/>
      <c r="AL926" s="514"/>
      <c r="AM926" s="514"/>
      <c r="AN926" s="514"/>
      <c r="AO926" s="514"/>
      <c r="AP926" s="514"/>
      <c r="AQ926" s="514"/>
      <c r="AR926" s="514"/>
      <c r="AS926" s="514"/>
      <c r="AT926" s="514"/>
      <c r="AU926" s="514"/>
      <c r="AV926" s="514"/>
      <c r="AW926" s="514"/>
      <c r="AX926" s="514"/>
      <c r="AY926" s="514"/>
      <c r="AZ926" s="514"/>
      <c r="BA926" s="514"/>
      <c r="BB926" s="514"/>
      <c r="BC926" s="520"/>
      <c r="BD926" s="2482"/>
      <c r="BE926" s="30">
        <v>80.7</v>
      </c>
      <c r="BF926" s="31">
        <v>0.66679999999999995</v>
      </c>
      <c r="BG926" s="32">
        <v>666.7</v>
      </c>
      <c r="BH926" s="33"/>
      <c r="BI926" s="30">
        <v>80.7</v>
      </c>
      <c r="BJ926" s="34">
        <v>2.5175000000000001</v>
      </c>
      <c r="BK926" s="35">
        <v>0.10573</v>
      </c>
      <c r="BL926" s="33"/>
      <c r="BM926" s="33"/>
      <c r="BN926" s="33"/>
      <c r="BO926" s="33"/>
      <c r="BP926" s="520"/>
    </row>
    <row r="927" spans="28:68">
      <c r="AB927" s="514"/>
      <c r="AC927" s="514"/>
      <c r="AD927" s="514"/>
      <c r="AE927" s="514"/>
      <c r="AF927" s="514"/>
      <c r="AG927" s="514"/>
      <c r="AH927" s="514"/>
      <c r="AI927" s="514"/>
      <c r="AJ927" s="514"/>
      <c r="AK927" s="514"/>
      <c r="AL927" s="514"/>
      <c r="AM927" s="514"/>
      <c r="AN927" s="514"/>
      <c r="AO927" s="514"/>
      <c r="AP927" s="514"/>
      <c r="AQ927" s="514"/>
      <c r="AR927" s="514"/>
      <c r="AS927" s="514"/>
      <c r="AT927" s="514"/>
      <c r="AU927" s="514"/>
      <c r="AV927" s="514"/>
      <c r="AW927" s="514"/>
      <c r="AX927" s="514"/>
      <c r="AY927" s="514"/>
      <c r="AZ927" s="514"/>
      <c r="BA927" s="514"/>
      <c r="BB927" s="514"/>
      <c r="BC927" s="520"/>
      <c r="BD927" s="2482"/>
      <c r="BE927" s="30">
        <v>80.8</v>
      </c>
      <c r="BF927" s="31">
        <v>0.66649999999999998</v>
      </c>
      <c r="BG927" s="32">
        <v>666.4</v>
      </c>
      <c r="BH927" s="33"/>
      <c r="BI927" s="30">
        <v>80.8</v>
      </c>
      <c r="BJ927" s="34">
        <v>2.5163000000000002</v>
      </c>
      <c r="BK927" s="35">
        <v>0.10568</v>
      </c>
      <c r="BL927" s="33"/>
      <c r="BM927" s="33"/>
      <c r="BN927" s="33"/>
      <c r="BO927" s="33"/>
      <c r="BP927" s="520"/>
    </row>
    <row r="928" spans="28:68">
      <c r="AB928" s="514"/>
      <c r="AC928" s="514"/>
      <c r="AD928" s="514"/>
      <c r="AE928" s="514"/>
      <c r="AF928" s="514"/>
      <c r="AG928" s="514"/>
      <c r="AH928" s="514"/>
      <c r="AI928" s="514"/>
      <c r="AJ928" s="514"/>
      <c r="AK928" s="514"/>
      <c r="AL928" s="514"/>
      <c r="AM928" s="514"/>
      <c r="AN928" s="514"/>
      <c r="AO928" s="514"/>
      <c r="AP928" s="514"/>
      <c r="AQ928" s="514"/>
      <c r="AR928" s="514"/>
      <c r="AS928" s="514"/>
      <c r="AT928" s="514"/>
      <c r="AU928" s="514"/>
      <c r="AV928" s="514"/>
      <c r="AW928" s="514"/>
      <c r="AX928" s="514"/>
      <c r="AY928" s="514"/>
      <c r="AZ928" s="514"/>
      <c r="BA928" s="514"/>
      <c r="BB928" s="514"/>
      <c r="BC928" s="520"/>
      <c r="BD928" s="2482"/>
      <c r="BE928" s="30">
        <v>80.900000000000006</v>
      </c>
      <c r="BF928" s="31">
        <v>0.66620000000000001</v>
      </c>
      <c r="BG928" s="32">
        <v>666.1</v>
      </c>
      <c r="BH928" s="33"/>
      <c r="BI928" s="30">
        <v>80.900000000000006</v>
      </c>
      <c r="BJ928" s="34">
        <v>2.5150999999999999</v>
      </c>
      <c r="BK928" s="35">
        <v>0.10563</v>
      </c>
      <c r="BL928" s="33"/>
      <c r="BM928" s="33"/>
      <c r="BN928" s="33"/>
      <c r="BO928" s="33"/>
      <c r="BP928" s="520"/>
    </row>
    <row r="929" spans="28:68">
      <c r="AB929" s="514"/>
      <c r="AC929" s="514"/>
      <c r="AD929" s="514"/>
      <c r="AE929" s="514"/>
      <c r="AF929" s="514"/>
      <c r="AG929" s="514"/>
      <c r="AH929" s="514"/>
      <c r="AI929" s="514"/>
      <c r="AJ929" s="514"/>
      <c r="AK929" s="514"/>
      <c r="AL929" s="514"/>
      <c r="AM929" s="514"/>
      <c r="AN929" s="514"/>
      <c r="AO929" s="514"/>
      <c r="AP929" s="514"/>
      <c r="AQ929" s="514"/>
      <c r="AR929" s="514"/>
      <c r="AS929" s="514"/>
      <c r="AT929" s="514"/>
      <c r="AU929" s="514"/>
      <c r="AV929" s="514"/>
      <c r="AW929" s="514"/>
      <c r="AX929" s="514"/>
      <c r="AY929" s="514"/>
      <c r="AZ929" s="514"/>
      <c r="BA929" s="514"/>
      <c r="BB929" s="514"/>
      <c r="BC929" s="520"/>
      <c r="BD929" s="2482"/>
      <c r="BE929" s="30">
        <v>81</v>
      </c>
      <c r="BF929" s="31">
        <v>0.66590000000000005</v>
      </c>
      <c r="BG929" s="32">
        <v>665.8</v>
      </c>
      <c r="BH929" s="33"/>
      <c r="BI929" s="30">
        <v>81</v>
      </c>
      <c r="BJ929" s="34">
        <v>2.5139</v>
      </c>
      <c r="BK929" s="35">
        <v>0.10557999999999999</v>
      </c>
      <c r="BL929" s="33"/>
      <c r="BM929" s="33"/>
      <c r="BN929" s="33"/>
      <c r="BO929" s="33"/>
      <c r="BP929" s="520"/>
    </row>
    <row r="930" spans="28:68">
      <c r="AB930" s="514"/>
      <c r="AC930" s="514"/>
      <c r="AD930" s="514"/>
      <c r="AE930" s="514"/>
      <c r="AF930" s="514"/>
      <c r="AG930" s="514"/>
      <c r="AH930" s="514"/>
      <c r="AI930" s="514"/>
      <c r="AJ930" s="514"/>
      <c r="AK930" s="514"/>
      <c r="AL930" s="514"/>
      <c r="AM930" s="514"/>
      <c r="AN930" s="514"/>
      <c r="AO930" s="514"/>
      <c r="AP930" s="514"/>
      <c r="AQ930" s="514"/>
      <c r="AR930" s="514"/>
      <c r="AS930" s="514"/>
      <c r="AT930" s="514"/>
      <c r="AU930" s="514"/>
      <c r="AV930" s="514"/>
      <c r="AW930" s="514"/>
      <c r="AX930" s="514"/>
      <c r="AY930" s="514"/>
      <c r="AZ930" s="514"/>
      <c r="BA930" s="514"/>
      <c r="BB930" s="514"/>
      <c r="BC930" s="520"/>
      <c r="BD930" s="2482"/>
      <c r="BE930" s="30">
        <v>81.099999999999994</v>
      </c>
      <c r="BF930" s="31">
        <v>0.66559999999999997</v>
      </c>
      <c r="BG930" s="32">
        <v>665.4</v>
      </c>
      <c r="BH930" s="33"/>
      <c r="BI930" s="30">
        <v>81.099999999999994</v>
      </c>
      <c r="BJ930" s="34">
        <v>2.5127000000000002</v>
      </c>
      <c r="BK930" s="35">
        <v>0.10553</v>
      </c>
      <c r="BL930" s="33"/>
      <c r="BM930" s="33"/>
      <c r="BN930" s="33"/>
      <c r="BO930" s="33"/>
      <c r="BP930" s="520"/>
    </row>
    <row r="931" spans="28:68">
      <c r="AB931" s="514"/>
      <c r="AC931" s="514"/>
      <c r="AD931" s="514"/>
      <c r="AE931" s="514"/>
      <c r="AF931" s="514"/>
      <c r="AG931" s="514"/>
      <c r="AH931" s="514"/>
      <c r="AI931" s="514"/>
      <c r="AJ931" s="514"/>
      <c r="AK931" s="514"/>
      <c r="AL931" s="514"/>
      <c r="AM931" s="514"/>
      <c r="AN931" s="514"/>
      <c r="AO931" s="514"/>
      <c r="AP931" s="514"/>
      <c r="AQ931" s="514"/>
      <c r="AR931" s="514"/>
      <c r="AS931" s="514"/>
      <c r="AT931" s="514"/>
      <c r="AU931" s="514"/>
      <c r="AV931" s="514"/>
      <c r="AW931" s="514"/>
      <c r="AX931" s="514"/>
      <c r="AY931" s="514"/>
      <c r="AZ931" s="514"/>
      <c r="BA931" s="514"/>
      <c r="BB931" s="514"/>
      <c r="BC931" s="520"/>
      <c r="BD931" s="2482"/>
      <c r="BE931" s="30">
        <v>81.2</v>
      </c>
      <c r="BF931" s="31">
        <v>0.6653</v>
      </c>
      <c r="BG931" s="32">
        <v>665.1</v>
      </c>
      <c r="BH931" s="33"/>
      <c r="BI931" s="30">
        <v>81.2</v>
      </c>
      <c r="BJ931" s="34">
        <v>2.5114999999999998</v>
      </c>
      <c r="BK931" s="35">
        <v>0.10548</v>
      </c>
      <c r="BL931" s="33"/>
      <c r="BM931" s="33"/>
      <c r="BN931" s="33"/>
      <c r="BO931" s="33"/>
      <c r="BP931" s="520"/>
    </row>
    <row r="932" spans="28:68">
      <c r="AB932" s="514"/>
      <c r="AC932" s="514"/>
      <c r="AD932" s="514"/>
      <c r="AE932" s="514"/>
      <c r="AF932" s="514"/>
      <c r="AG932" s="514"/>
      <c r="AH932" s="514"/>
      <c r="AI932" s="514"/>
      <c r="AJ932" s="514"/>
      <c r="AK932" s="514"/>
      <c r="AL932" s="514"/>
      <c r="AM932" s="514"/>
      <c r="AN932" s="514"/>
      <c r="AO932" s="514"/>
      <c r="AP932" s="514"/>
      <c r="AQ932" s="514"/>
      <c r="AR932" s="514"/>
      <c r="AS932" s="514"/>
      <c r="AT932" s="514"/>
      <c r="AU932" s="514"/>
      <c r="AV932" s="514"/>
      <c r="AW932" s="514"/>
      <c r="AX932" s="514"/>
      <c r="AY932" s="514"/>
      <c r="AZ932" s="514"/>
      <c r="BA932" s="514"/>
      <c r="BB932" s="514"/>
      <c r="BC932" s="520"/>
      <c r="BD932" s="2482"/>
      <c r="BE932" s="30">
        <v>81.3</v>
      </c>
      <c r="BF932" s="31">
        <v>0.66490000000000005</v>
      </c>
      <c r="BG932" s="32">
        <v>664.8</v>
      </c>
      <c r="BH932" s="33"/>
      <c r="BI932" s="30">
        <v>81.3</v>
      </c>
      <c r="BJ932" s="34">
        <v>2.5104000000000002</v>
      </c>
      <c r="BK932" s="35">
        <v>0.10543</v>
      </c>
      <c r="BL932" s="33"/>
      <c r="BM932" s="33"/>
      <c r="BN932" s="33"/>
      <c r="BO932" s="33"/>
      <c r="BP932" s="520"/>
    </row>
    <row r="933" spans="28:68">
      <c r="AB933" s="514"/>
      <c r="AC933" s="514"/>
      <c r="AD933" s="514"/>
      <c r="AE933" s="514"/>
      <c r="AF933" s="514"/>
      <c r="AG933" s="514"/>
      <c r="AH933" s="514"/>
      <c r="AI933" s="514"/>
      <c r="AJ933" s="514"/>
      <c r="AK933" s="514"/>
      <c r="AL933" s="514"/>
      <c r="AM933" s="514"/>
      <c r="AN933" s="514"/>
      <c r="AO933" s="514"/>
      <c r="AP933" s="514"/>
      <c r="AQ933" s="514"/>
      <c r="AR933" s="514"/>
      <c r="AS933" s="514"/>
      <c r="AT933" s="514"/>
      <c r="AU933" s="514"/>
      <c r="AV933" s="514"/>
      <c r="AW933" s="514"/>
      <c r="AX933" s="514"/>
      <c r="AY933" s="514"/>
      <c r="AZ933" s="514"/>
      <c r="BA933" s="514"/>
      <c r="BB933" s="514"/>
      <c r="BC933" s="520"/>
      <c r="BD933" s="2482"/>
      <c r="BE933" s="30">
        <v>81.400000000000006</v>
      </c>
      <c r="BF933" s="31">
        <v>0.66459999999999997</v>
      </c>
      <c r="BG933" s="32">
        <v>664.5</v>
      </c>
      <c r="BH933" s="33"/>
      <c r="BI933" s="30">
        <v>81.400000000000006</v>
      </c>
      <c r="BJ933" s="34">
        <v>2.5091999999999999</v>
      </c>
      <c r="BK933" s="35">
        <v>0.10539</v>
      </c>
      <c r="BL933" s="33"/>
      <c r="BM933" s="33"/>
      <c r="BN933" s="33"/>
      <c r="BO933" s="33"/>
      <c r="BP933" s="520"/>
    </row>
    <row r="934" spans="28:68">
      <c r="AB934" s="514"/>
      <c r="AC934" s="514"/>
      <c r="AD934" s="514"/>
      <c r="AE934" s="514"/>
      <c r="AF934" s="514"/>
      <c r="AG934" s="514"/>
      <c r="AH934" s="514"/>
      <c r="AI934" s="514"/>
      <c r="AJ934" s="514"/>
      <c r="AK934" s="514"/>
      <c r="AL934" s="514"/>
      <c r="AM934" s="514"/>
      <c r="AN934" s="514"/>
      <c r="AO934" s="514"/>
      <c r="AP934" s="514"/>
      <c r="AQ934" s="514"/>
      <c r="AR934" s="514"/>
      <c r="AS934" s="514"/>
      <c r="AT934" s="514"/>
      <c r="AU934" s="514"/>
      <c r="AV934" s="514"/>
      <c r="AW934" s="514"/>
      <c r="AX934" s="514"/>
      <c r="AY934" s="514"/>
      <c r="AZ934" s="514"/>
      <c r="BA934" s="514"/>
      <c r="BB934" s="514"/>
      <c r="BC934" s="520"/>
      <c r="BD934" s="2482"/>
      <c r="BE934" s="30">
        <v>81.5</v>
      </c>
      <c r="BF934" s="31">
        <v>0.6643</v>
      </c>
      <c r="BG934" s="32">
        <v>664.2</v>
      </c>
      <c r="BH934" s="33"/>
      <c r="BI934" s="30">
        <v>81.5</v>
      </c>
      <c r="BJ934" s="34">
        <v>2.508</v>
      </c>
      <c r="BK934" s="35">
        <v>0.10534</v>
      </c>
      <c r="BL934" s="33"/>
      <c r="BM934" s="33"/>
      <c r="BN934" s="33"/>
      <c r="BO934" s="33"/>
      <c r="BP934" s="520"/>
    </row>
    <row r="935" spans="28:68">
      <c r="AB935" s="514"/>
      <c r="AC935" s="514"/>
      <c r="AD935" s="514"/>
      <c r="AE935" s="514"/>
      <c r="AF935" s="514"/>
      <c r="AG935" s="514"/>
      <c r="AH935" s="514"/>
      <c r="AI935" s="514"/>
      <c r="AJ935" s="514"/>
      <c r="AK935" s="514"/>
      <c r="AL935" s="514"/>
      <c r="AM935" s="514"/>
      <c r="AN935" s="514"/>
      <c r="AO935" s="514"/>
      <c r="AP935" s="514"/>
      <c r="AQ935" s="514"/>
      <c r="AR935" s="514"/>
      <c r="AS935" s="514"/>
      <c r="AT935" s="514"/>
      <c r="AU935" s="514"/>
      <c r="AV935" s="514"/>
      <c r="AW935" s="514"/>
      <c r="AX935" s="514"/>
      <c r="AY935" s="514"/>
      <c r="AZ935" s="514"/>
      <c r="BA935" s="514"/>
      <c r="BB935" s="514"/>
      <c r="BC935" s="520"/>
      <c r="BD935" s="2482"/>
      <c r="BE935" s="30">
        <v>81.599999999999994</v>
      </c>
      <c r="BF935" s="31">
        <v>0.66400000000000003</v>
      </c>
      <c r="BG935" s="32">
        <v>663.9</v>
      </c>
      <c r="BH935" s="33"/>
      <c r="BI935" s="30">
        <v>81.599999999999994</v>
      </c>
      <c r="BJ935" s="34">
        <v>2.5068000000000001</v>
      </c>
      <c r="BK935" s="35">
        <v>0.10528999999999999</v>
      </c>
      <c r="BL935" s="33"/>
      <c r="BM935" s="33"/>
      <c r="BN935" s="33"/>
      <c r="BO935" s="33"/>
      <c r="BP935" s="520"/>
    </row>
    <row r="936" spans="28:68">
      <c r="AB936" s="514"/>
      <c r="AC936" s="514"/>
      <c r="AD936" s="514"/>
      <c r="AE936" s="514"/>
      <c r="AF936" s="514"/>
      <c r="AG936" s="514"/>
      <c r="AH936" s="514"/>
      <c r="AI936" s="514"/>
      <c r="AJ936" s="514"/>
      <c r="AK936" s="514"/>
      <c r="AL936" s="514"/>
      <c r="AM936" s="514"/>
      <c r="AN936" s="514"/>
      <c r="AO936" s="514"/>
      <c r="AP936" s="514"/>
      <c r="AQ936" s="514"/>
      <c r="AR936" s="514"/>
      <c r="AS936" s="514"/>
      <c r="AT936" s="514"/>
      <c r="AU936" s="514"/>
      <c r="AV936" s="514"/>
      <c r="AW936" s="514"/>
      <c r="AX936" s="514"/>
      <c r="AY936" s="514"/>
      <c r="AZ936" s="514"/>
      <c r="BA936" s="514"/>
      <c r="BB936" s="514"/>
      <c r="BC936" s="520"/>
      <c r="BD936" s="2482"/>
      <c r="BE936" s="30">
        <v>81.7</v>
      </c>
      <c r="BF936" s="31">
        <v>0.66369999999999996</v>
      </c>
      <c r="BG936" s="32">
        <v>663.6</v>
      </c>
      <c r="BH936" s="33"/>
      <c r="BI936" s="30">
        <v>81.7</v>
      </c>
      <c r="BJ936" s="34">
        <v>2.5055999999999998</v>
      </c>
      <c r="BK936" s="35">
        <v>0.10524</v>
      </c>
      <c r="BL936" s="33"/>
      <c r="BM936" s="33"/>
      <c r="BN936" s="33"/>
      <c r="BO936" s="33"/>
      <c r="BP936" s="520"/>
    </row>
    <row r="937" spans="28:68">
      <c r="AB937" s="514"/>
      <c r="AC937" s="514"/>
      <c r="AD937" s="514"/>
      <c r="AE937" s="514"/>
      <c r="AF937" s="514"/>
      <c r="AG937" s="514"/>
      <c r="AH937" s="514"/>
      <c r="AI937" s="514"/>
      <c r="AJ937" s="514"/>
      <c r="AK937" s="514"/>
      <c r="AL937" s="514"/>
      <c r="AM937" s="514"/>
      <c r="AN937" s="514"/>
      <c r="AO937" s="514"/>
      <c r="AP937" s="514"/>
      <c r="AQ937" s="514"/>
      <c r="AR937" s="514"/>
      <c r="AS937" s="514"/>
      <c r="AT937" s="514"/>
      <c r="AU937" s="514"/>
      <c r="AV937" s="514"/>
      <c r="AW937" s="514"/>
      <c r="AX937" s="514"/>
      <c r="AY937" s="514"/>
      <c r="AZ937" s="514"/>
      <c r="BA937" s="514"/>
      <c r="BB937" s="514"/>
      <c r="BC937" s="520"/>
      <c r="BD937" s="2482"/>
      <c r="BE937" s="30">
        <v>81.8</v>
      </c>
      <c r="BF937" s="31">
        <v>0.66339999999999999</v>
      </c>
      <c r="BG937" s="32">
        <v>663.3</v>
      </c>
      <c r="BH937" s="33"/>
      <c r="BI937" s="30">
        <v>81.8</v>
      </c>
      <c r="BJ937" s="34">
        <v>2.5045000000000002</v>
      </c>
      <c r="BK937" s="35">
        <v>0.10519000000000001</v>
      </c>
      <c r="BL937" s="33"/>
      <c r="BM937" s="33"/>
      <c r="BN937" s="33"/>
      <c r="BO937" s="33"/>
      <c r="BP937" s="520"/>
    </row>
    <row r="938" spans="28:68">
      <c r="AB938" s="514"/>
      <c r="AC938" s="514"/>
      <c r="AD938" s="514"/>
      <c r="AE938" s="514"/>
      <c r="AF938" s="514"/>
      <c r="AG938" s="514"/>
      <c r="AH938" s="514"/>
      <c r="AI938" s="514"/>
      <c r="AJ938" s="514"/>
      <c r="AK938" s="514"/>
      <c r="AL938" s="514"/>
      <c r="AM938" s="514"/>
      <c r="AN938" s="514"/>
      <c r="AO938" s="514"/>
      <c r="AP938" s="514"/>
      <c r="AQ938" s="514"/>
      <c r="AR938" s="514"/>
      <c r="AS938" s="514"/>
      <c r="AT938" s="514"/>
      <c r="AU938" s="514"/>
      <c r="AV938" s="514"/>
      <c r="AW938" s="514"/>
      <c r="AX938" s="514"/>
      <c r="AY938" s="514"/>
      <c r="AZ938" s="514"/>
      <c r="BA938" s="514"/>
      <c r="BB938" s="514"/>
      <c r="BC938" s="520"/>
      <c r="BD938" s="2482"/>
      <c r="BE938" s="30">
        <v>81.900000000000006</v>
      </c>
      <c r="BF938" s="31">
        <v>0.66310000000000002</v>
      </c>
      <c r="BG938" s="32">
        <v>663</v>
      </c>
      <c r="BH938" s="33"/>
      <c r="BI938" s="30">
        <v>81.900000000000006</v>
      </c>
      <c r="BJ938" s="34">
        <v>2.5032999999999999</v>
      </c>
      <c r="BK938" s="35">
        <v>0.10514</v>
      </c>
      <c r="BL938" s="33"/>
      <c r="BM938" s="33"/>
      <c r="BN938" s="33"/>
      <c r="BO938" s="33"/>
      <c r="BP938" s="520"/>
    </row>
    <row r="939" spans="28:68">
      <c r="AB939" s="514"/>
      <c r="AC939" s="514"/>
      <c r="AD939" s="514"/>
      <c r="AE939" s="514"/>
      <c r="AF939" s="514"/>
      <c r="AG939" s="514"/>
      <c r="AH939" s="514"/>
      <c r="AI939" s="514"/>
      <c r="AJ939" s="514"/>
      <c r="AK939" s="514"/>
      <c r="AL939" s="514"/>
      <c r="AM939" s="514"/>
      <c r="AN939" s="514"/>
      <c r="AO939" s="514"/>
      <c r="AP939" s="514"/>
      <c r="AQ939" s="514"/>
      <c r="AR939" s="514"/>
      <c r="AS939" s="514"/>
      <c r="AT939" s="514"/>
      <c r="AU939" s="514"/>
      <c r="AV939" s="514"/>
      <c r="AW939" s="514"/>
      <c r="AX939" s="514"/>
      <c r="AY939" s="514"/>
      <c r="AZ939" s="514"/>
      <c r="BA939" s="514"/>
      <c r="BB939" s="514"/>
      <c r="BC939" s="520"/>
      <c r="BD939" s="2482"/>
      <c r="BE939" s="30">
        <v>82</v>
      </c>
      <c r="BF939" s="31">
        <v>0.66279999999999994</v>
      </c>
      <c r="BG939" s="32">
        <v>662.6</v>
      </c>
      <c r="BH939" s="33"/>
      <c r="BI939" s="30">
        <v>82</v>
      </c>
      <c r="BJ939" s="34">
        <v>2.5021</v>
      </c>
      <c r="BK939" s="35">
        <v>0.10509</v>
      </c>
      <c r="BL939" s="33"/>
      <c r="BM939" s="33"/>
      <c r="BN939" s="33"/>
      <c r="BO939" s="33"/>
      <c r="BP939" s="520"/>
    </row>
    <row r="940" spans="28:68">
      <c r="AB940" s="514"/>
      <c r="AC940" s="514"/>
      <c r="AD940" s="514"/>
      <c r="AE940" s="514"/>
      <c r="AF940" s="514"/>
      <c r="AG940" s="514"/>
      <c r="AH940" s="514"/>
      <c r="AI940" s="514"/>
      <c r="AJ940" s="514"/>
      <c r="AK940" s="514"/>
      <c r="AL940" s="514"/>
      <c r="AM940" s="514"/>
      <c r="AN940" s="514"/>
      <c r="AO940" s="514"/>
      <c r="AP940" s="514"/>
      <c r="AQ940" s="514"/>
      <c r="AR940" s="514"/>
      <c r="AS940" s="514"/>
      <c r="AT940" s="514"/>
      <c r="AU940" s="514"/>
      <c r="AV940" s="514"/>
      <c r="AW940" s="514"/>
      <c r="AX940" s="514"/>
      <c r="AY940" s="514"/>
      <c r="AZ940" s="514"/>
      <c r="BA940" s="514"/>
      <c r="BB940" s="514"/>
      <c r="BC940" s="520"/>
      <c r="BD940" s="2482"/>
      <c r="BE940" s="30">
        <v>82.1</v>
      </c>
      <c r="BF940" s="31">
        <v>0.66249999999999998</v>
      </c>
      <c r="BG940" s="32">
        <v>662.3</v>
      </c>
      <c r="BH940" s="33"/>
      <c r="BI940" s="30">
        <v>82.1</v>
      </c>
      <c r="BJ940" s="34">
        <v>2.5009000000000001</v>
      </c>
      <c r="BK940" s="35">
        <v>0.10503999999999999</v>
      </c>
      <c r="BL940" s="33"/>
      <c r="BM940" s="33"/>
      <c r="BN940" s="33"/>
      <c r="BO940" s="33"/>
      <c r="BP940" s="520"/>
    </row>
    <row r="941" spans="28:68">
      <c r="AB941" s="514"/>
      <c r="AC941" s="514"/>
      <c r="AD941" s="514"/>
      <c r="AE941" s="514"/>
      <c r="AF941" s="514"/>
      <c r="AG941" s="514"/>
      <c r="AH941" s="514"/>
      <c r="AI941" s="514"/>
      <c r="AJ941" s="514"/>
      <c r="AK941" s="514"/>
      <c r="AL941" s="514"/>
      <c r="AM941" s="514"/>
      <c r="AN941" s="514"/>
      <c r="AO941" s="514"/>
      <c r="AP941" s="514"/>
      <c r="AQ941" s="514"/>
      <c r="AR941" s="514"/>
      <c r="AS941" s="514"/>
      <c r="AT941" s="514"/>
      <c r="AU941" s="514"/>
      <c r="AV941" s="514"/>
      <c r="AW941" s="514"/>
      <c r="AX941" s="514"/>
      <c r="AY941" s="514"/>
      <c r="AZ941" s="514"/>
      <c r="BA941" s="514"/>
      <c r="BB941" s="514"/>
      <c r="BC941" s="520"/>
      <c r="BD941" s="2482"/>
      <c r="BE941" s="30">
        <v>82.2</v>
      </c>
      <c r="BF941" s="31">
        <v>0.66210000000000002</v>
      </c>
      <c r="BG941" s="32">
        <v>662</v>
      </c>
      <c r="BH941" s="33"/>
      <c r="BI941" s="30">
        <v>82.2</v>
      </c>
      <c r="BJ941" s="34">
        <v>2.4998</v>
      </c>
      <c r="BK941" s="35">
        <v>0.10499</v>
      </c>
      <c r="BL941" s="33"/>
      <c r="BM941" s="33"/>
      <c r="BN941" s="33"/>
      <c r="BO941" s="33"/>
      <c r="BP941" s="520"/>
    </row>
    <row r="942" spans="28:68">
      <c r="AB942" s="514"/>
      <c r="AC942" s="514"/>
      <c r="AD942" s="514"/>
      <c r="AE942" s="514"/>
      <c r="AF942" s="514"/>
      <c r="AG942" s="514"/>
      <c r="AH942" s="514"/>
      <c r="AI942" s="514"/>
      <c r="AJ942" s="514"/>
      <c r="AK942" s="514"/>
      <c r="AL942" s="514"/>
      <c r="AM942" s="514"/>
      <c r="AN942" s="514"/>
      <c r="AO942" s="514"/>
      <c r="AP942" s="514"/>
      <c r="AQ942" s="514"/>
      <c r="AR942" s="514"/>
      <c r="AS942" s="514"/>
      <c r="AT942" s="514"/>
      <c r="AU942" s="514"/>
      <c r="AV942" s="514"/>
      <c r="AW942" s="514"/>
      <c r="AX942" s="514"/>
      <c r="AY942" s="514"/>
      <c r="AZ942" s="514"/>
      <c r="BA942" s="514"/>
      <c r="BB942" s="514"/>
      <c r="BC942" s="520"/>
      <c r="BD942" s="2482"/>
      <c r="BE942" s="30">
        <v>82.3</v>
      </c>
      <c r="BF942" s="31">
        <v>0.66180000000000005</v>
      </c>
      <c r="BG942" s="32">
        <v>661.7</v>
      </c>
      <c r="BH942" s="33"/>
      <c r="BI942" s="30">
        <v>82.3</v>
      </c>
      <c r="BJ942" s="34">
        <v>2.4986000000000002</v>
      </c>
      <c r="BK942" s="35">
        <v>0.10494000000000001</v>
      </c>
      <c r="BL942" s="33"/>
      <c r="BM942" s="33"/>
      <c r="BN942" s="33"/>
      <c r="BO942" s="33"/>
      <c r="BP942" s="520"/>
    </row>
    <row r="943" spans="28:68">
      <c r="AB943" s="514"/>
      <c r="AC943" s="514"/>
      <c r="AD943" s="514"/>
      <c r="AE943" s="514"/>
      <c r="AF943" s="514"/>
      <c r="AG943" s="514"/>
      <c r="AH943" s="514"/>
      <c r="AI943" s="514"/>
      <c r="AJ943" s="514"/>
      <c r="AK943" s="514"/>
      <c r="AL943" s="514"/>
      <c r="AM943" s="514"/>
      <c r="AN943" s="514"/>
      <c r="AO943" s="514"/>
      <c r="AP943" s="514"/>
      <c r="AQ943" s="514"/>
      <c r="AR943" s="514"/>
      <c r="AS943" s="514"/>
      <c r="AT943" s="514"/>
      <c r="AU943" s="514"/>
      <c r="AV943" s="514"/>
      <c r="AW943" s="514"/>
      <c r="AX943" s="514"/>
      <c r="AY943" s="514"/>
      <c r="AZ943" s="514"/>
      <c r="BA943" s="514"/>
      <c r="BB943" s="514"/>
      <c r="BC943" s="520"/>
      <c r="BD943" s="2482"/>
      <c r="BE943" s="30">
        <v>82.4</v>
      </c>
      <c r="BF943" s="31">
        <v>0.66149999999999998</v>
      </c>
      <c r="BG943" s="32">
        <v>661.4</v>
      </c>
      <c r="BH943" s="33"/>
      <c r="BI943" s="30">
        <v>82.4</v>
      </c>
      <c r="BJ943" s="34">
        <v>2.4973999999999998</v>
      </c>
      <c r="BK943" s="35">
        <v>0.10489</v>
      </c>
      <c r="BL943" s="33"/>
      <c r="BM943" s="33"/>
      <c r="BN943" s="33"/>
      <c r="BO943" s="33"/>
      <c r="BP943" s="520"/>
    </row>
    <row r="944" spans="28:68">
      <c r="AB944" s="514"/>
      <c r="AC944" s="514"/>
      <c r="AD944" s="514"/>
      <c r="AE944" s="514"/>
      <c r="AF944" s="514"/>
      <c r="AG944" s="514"/>
      <c r="AH944" s="514"/>
      <c r="AI944" s="514"/>
      <c r="AJ944" s="514"/>
      <c r="AK944" s="514"/>
      <c r="AL944" s="514"/>
      <c r="AM944" s="514"/>
      <c r="AN944" s="514"/>
      <c r="AO944" s="514"/>
      <c r="AP944" s="514"/>
      <c r="AQ944" s="514"/>
      <c r="AR944" s="514"/>
      <c r="AS944" s="514"/>
      <c r="AT944" s="514"/>
      <c r="AU944" s="514"/>
      <c r="AV944" s="514"/>
      <c r="AW944" s="514"/>
      <c r="AX944" s="514"/>
      <c r="AY944" s="514"/>
      <c r="AZ944" s="514"/>
      <c r="BA944" s="514"/>
      <c r="BB944" s="514"/>
      <c r="BC944" s="520"/>
      <c r="BD944" s="2482"/>
      <c r="BE944" s="30">
        <v>82.5</v>
      </c>
      <c r="BF944" s="31">
        <v>0.66120000000000001</v>
      </c>
      <c r="BG944" s="32">
        <v>661.1</v>
      </c>
      <c r="BH944" s="33"/>
      <c r="BI944" s="30">
        <v>82.5</v>
      </c>
      <c r="BJ944" s="34">
        <v>2.4963000000000002</v>
      </c>
      <c r="BK944" s="35">
        <v>0.10484</v>
      </c>
      <c r="BL944" s="33"/>
      <c r="BM944" s="33"/>
      <c r="BN944" s="33"/>
      <c r="BO944" s="33"/>
      <c r="BP944" s="520"/>
    </row>
    <row r="945" spans="28:68">
      <c r="AB945" s="514"/>
      <c r="AC945" s="514"/>
      <c r="AD945" s="514"/>
      <c r="AE945" s="514"/>
      <c r="AF945" s="514"/>
      <c r="AG945" s="514"/>
      <c r="AH945" s="514"/>
      <c r="AI945" s="514"/>
      <c r="AJ945" s="514"/>
      <c r="AK945" s="514"/>
      <c r="AL945" s="514"/>
      <c r="AM945" s="514"/>
      <c r="AN945" s="514"/>
      <c r="AO945" s="514"/>
      <c r="AP945" s="514"/>
      <c r="AQ945" s="514"/>
      <c r="AR945" s="514"/>
      <c r="AS945" s="514"/>
      <c r="AT945" s="514"/>
      <c r="AU945" s="514"/>
      <c r="AV945" s="514"/>
      <c r="AW945" s="514"/>
      <c r="AX945" s="514"/>
      <c r="AY945" s="514"/>
      <c r="AZ945" s="514"/>
      <c r="BA945" s="514"/>
      <c r="BB945" s="514"/>
      <c r="BC945" s="520"/>
      <c r="BD945" s="2482"/>
      <c r="BE945" s="30">
        <v>82.6</v>
      </c>
      <c r="BF945" s="31">
        <v>0.66090000000000004</v>
      </c>
      <c r="BG945" s="32">
        <v>660.8</v>
      </c>
      <c r="BH945" s="33"/>
      <c r="BI945" s="30">
        <v>82.6</v>
      </c>
      <c r="BJ945" s="34">
        <v>2.4950999999999999</v>
      </c>
      <c r="BK945" s="35">
        <v>0.10478999999999999</v>
      </c>
      <c r="BL945" s="33"/>
      <c r="BM945" s="33"/>
      <c r="BN945" s="33"/>
      <c r="BO945" s="33"/>
      <c r="BP945" s="520"/>
    </row>
    <row r="946" spans="28:68">
      <c r="AB946" s="514"/>
      <c r="AC946" s="514"/>
      <c r="AD946" s="514"/>
      <c r="AE946" s="514"/>
      <c r="AF946" s="514"/>
      <c r="AG946" s="514"/>
      <c r="AH946" s="514"/>
      <c r="AI946" s="514"/>
      <c r="AJ946" s="514"/>
      <c r="AK946" s="514"/>
      <c r="AL946" s="514"/>
      <c r="AM946" s="514"/>
      <c r="AN946" s="514"/>
      <c r="AO946" s="514"/>
      <c r="AP946" s="514"/>
      <c r="AQ946" s="514"/>
      <c r="AR946" s="514"/>
      <c r="AS946" s="514"/>
      <c r="AT946" s="514"/>
      <c r="AU946" s="514"/>
      <c r="AV946" s="514"/>
      <c r="AW946" s="514"/>
      <c r="AX946" s="514"/>
      <c r="AY946" s="514"/>
      <c r="AZ946" s="514"/>
      <c r="BA946" s="514"/>
      <c r="BB946" s="514"/>
      <c r="BC946" s="520"/>
      <c r="BD946" s="2482"/>
      <c r="BE946" s="30">
        <v>82.7</v>
      </c>
      <c r="BF946" s="31">
        <v>0.66059999999999997</v>
      </c>
      <c r="BG946" s="32">
        <v>660.5</v>
      </c>
      <c r="BH946" s="33"/>
      <c r="BI946" s="30">
        <v>82.7</v>
      </c>
      <c r="BJ946" s="34">
        <v>2.4939</v>
      </c>
      <c r="BK946" s="35">
        <v>0.10474</v>
      </c>
      <c r="BL946" s="33"/>
      <c r="BM946" s="33"/>
      <c r="BN946" s="33"/>
      <c r="BO946" s="33"/>
      <c r="BP946" s="520"/>
    </row>
    <row r="947" spans="28:68">
      <c r="AB947" s="514"/>
      <c r="AC947" s="514"/>
      <c r="AD947" s="514"/>
      <c r="AE947" s="514"/>
      <c r="AF947" s="514"/>
      <c r="AG947" s="514"/>
      <c r="AH947" s="514"/>
      <c r="AI947" s="514"/>
      <c r="AJ947" s="514"/>
      <c r="AK947" s="514"/>
      <c r="AL947" s="514"/>
      <c r="AM947" s="514"/>
      <c r="AN947" s="514"/>
      <c r="AO947" s="514"/>
      <c r="AP947" s="514"/>
      <c r="AQ947" s="514"/>
      <c r="AR947" s="514"/>
      <c r="AS947" s="514"/>
      <c r="AT947" s="514"/>
      <c r="AU947" s="514"/>
      <c r="AV947" s="514"/>
      <c r="AW947" s="514"/>
      <c r="AX947" s="514"/>
      <c r="AY947" s="514"/>
      <c r="AZ947" s="514"/>
      <c r="BA947" s="514"/>
      <c r="BB947" s="514"/>
      <c r="BC947" s="520"/>
      <c r="BD947" s="2482"/>
      <c r="BE947" s="30">
        <v>82.8</v>
      </c>
      <c r="BF947" s="31">
        <v>0.6603</v>
      </c>
      <c r="BG947" s="32">
        <v>660.2</v>
      </c>
      <c r="BH947" s="33"/>
      <c r="BI947" s="30">
        <v>82.8</v>
      </c>
      <c r="BJ947" s="34">
        <v>2.4927999999999999</v>
      </c>
      <c r="BK947" s="35">
        <v>0.1047</v>
      </c>
      <c r="BL947" s="33"/>
      <c r="BM947" s="33"/>
      <c r="BN947" s="33"/>
      <c r="BO947" s="33"/>
      <c r="BP947" s="520"/>
    </row>
    <row r="948" spans="28:68">
      <c r="AB948" s="514"/>
      <c r="AC948" s="514"/>
      <c r="AD948" s="514"/>
      <c r="AE948" s="514"/>
      <c r="AF948" s="514"/>
      <c r="AG948" s="514"/>
      <c r="AH948" s="514"/>
      <c r="AI948" s="514"/>
      <c r="AJ948" s="514"/>
      <c r="AK948" s="514"/>
      <c r="AL948" s="514"/>
      <c r="AM948" s="514"/>
      <c r="AN948" s="514"/>
      <c r="AO948" s="514"/>
      <c r="AP948" s="514"/>
      <c r="AQ948" s="514"/>
      <c r="AR948" s="514"/>
      <c r="AS948" s="514"/>
      <c r="AT948" s="514"/>
      <c r="AU948" s="514"/>
      <c r="AV948" s="514"/>
      <c r="AW948" s="514"/>
      <c r="AX948" s="514"/>
      <c r="AY948" s="514"/>
      <c r="AZ948" s="514"/>
      <c r="BA948" s="514"/>
      <c r="BB948" s="514"/>
      <c r="BC948" s="520"/>
      <c r="BD948" s="2482"/>
      <c r="BE948" s="30">
        <v>82.9</v>
      </c>
      <c r="BF948" s="31">
        <v>0.66</v>
      </c>
      <c r="BG948" s="32">
        <v>659.9</v>
      </c>
      <c r="BH948" s="33"/>
      <c r="BI948" s="30">
        <v>82.9</v>
      </c>
      <c r="BJ948" s="34">
        <v>2.4916</v>
      </c>
      <c r="BK948" s="35">
        <v>0.10465000000000001</v>
      </c>
      <c r="BL948" s="33"/>
      <c r="BM948" s="33"/>
      <c r="BN948" s="33"/>
      <c r="BO948" s="33"/>
      <c r="BP948" s="520"/>
    </row>
    <row r="949" spans="28:68">
      <c r="AB949" s="514"/>
      <c r="AC949" s="514"/>
      <c r="AD949" s="514"/>
      <c r="AE949" s="514"/>
      <c r="AF949" s="514"/>
      <c r="AG949" s="514"/>
      <c r="AH949" s="514"/>
      <c r="AI949" s="514"/>
      <c r="AJ949" s="514"/>
      <c r="AK949" s="514"/>
      <c r="AL949" s="514"/>
      <c r="AM949" s="514"/>
      <c r="AN949" s="514"/>
      <c r="AO949" s="514"/>
      <c r="AP949" s="514"/>
      <c r="AQ949" s="514"/>
      <c r="AR949" s="514"/>
      <c r="AS949" s="514"/>
      <c r="AT949" s="514"/>
      <c r="AU949" s="514"/>
      <c r="AV949" s="514"/>
      <c r="AW949" s="514"/>
      <c r="AX949" s="514"/>
      <c r="AY949" s="514"/>
      <c r="AZ949" s="514"/>
      <c r="BA949" s="514"/>
      <c r="BB949" s="514"/>
      <c r="BC949" s="520"/>
      <c r="BD949" s="2482"/>
      <c r="BE949" s="30">
        <v>83</v>
      </c>
      <c r="BF949" s="31">
        <v>0.65969999999999995</v>
      </c>
      <c r="BG949" s="32">
        <v>659.6</v>
      </c>
      <c r="BH949" s="33"/>
      <c r="BI949" s="30">
        <v>83</v>
      </c>
      <c r="BJ949" s="34">
        <v>2.4904000000000002</v>
      </c>
      <c r="BK949" s="35">
        <v>0.1046</v>
      </c>
      <c r="BL949" s="33"/>
      <c r="BM949" s="33"/>
      <c r="BN949" s="33"/>
      <c r="BO949" s="33"/>
      <c r="BP949" s="520"/>
    </row>
    <row r="950" spans="28:68">
      <c r="AB950" s="514"/>
      <c r="AC950" s="514"/>
      <c r="AD950" s="514"/>
      <c r="AE950" s="514"/>
      <c r="AF950" s="514"/>
      <c r="AG950" s="514"/>
      <c r="AH950" s="514"/>
      <c r="AI950" s="514"/>
      <c r="AJ950" s="514"/>
      <c r="AK950" s="514"/>
      <c r="AL950" s="514"/>
      <c r="AM950" s="514"/>
      <c r="AN950" s="514"/>
      <c r="AO950" s="514"/>
      <c r="AP950" s="514"/>
      <c r="AQ950" s="514"/>
      <c r="AR950" s="514"/>
      <c r="AS950" s="514"/>
      <c r="AT950" s="514"/>
      <c r="AU950" s="514"/>
      <c r="AV950" s="514"/>
      <c r="AW950" s="514"/>
      <c r="AX950" s="514"/>
      <c r="AY950" s="514"/>
      <c r="AZ950" s="514"/>
      <c r="BA950" s="514"/>
      <c r="BB950" s="514"/>
      <c r="BC950" s="520"/>
      <c r="BD950" s="2482"/>
      <c r="BE950" s="30">
        <v>83.1</v>
      </c>
      <c r="BF950" s="31">
        <v>0.65939999999999999</v>
      </c>
      <c r="BG950" s="32">
        <v>659.3</v>
      </c>
      <c r="BH950" s="33"/>
      <c r="BI950" s="30">
        <v>83.1</v>
      </c>
      <c r="BJ950" s="34">
        <v>2.4893000000000001</v>
      </c>
      <c r="BK950" s="35">
        <v>0.10455</v>
      </c>
      <c r="BL950" s="33"/>
      <c r="BM950" s="33"/>
      <c r="BN950" s="33"/>
      <c r="BO950" s="33"/>
      <c r="BP950" s="520"/>
    </row>
    <row r="951" spans="28:68">
      <c r="AB951" s="514"/>
      <c r="AC951" s="514"/>
      <c r="AD951" s="514"/>
      <c r="AE951" s="514"/>
      <c r="AF951" s="514"/>
      <c r="AG951" s="514"/>
      <c r="AH951" s="514"/>
      <c r="AI951" s="514"/>
      <c r="AJ951" s="514"/>
      <c r="AK951" s="514"/>
      <c r="AL951" s="514"/>
      <c r="AM951" s="514"/>
      <c r="AN951" s="514"/>
      <c r="AO951" s="514"/>
      <c r="AP951" s="514"/>
      <c r="AQ951" s="514"/>
      <c r="AR951" s="514"/>
      <c r="AS951" s="514"/>
      <c r="AT951" s="514"/>
      <c r="AU951" s="514"/>
      <c r="AV951" s="514"/>
      <c r="AW951" s="514"/>
      <c r="AX951" s="514"/>
      <c r="AY951" s="514"/>
      <c r="AZ951" s="514"/>
      <c r="BA951" s="514"/>
      <c r="BB951" s="514"/>
      <c r="BC951" s="520"/>
      <c r="BD951" s="2482"/>
      <c r="BE951" s="30">
        <v>83.2</v>
      </c>
      <c r="BF951" s="31">
        <v>0.65910000000000002</v>
      </c>
      <c r="BG951" s="32">
        <v>658.9</v>
      </c>
      <c r="BH951" s="33"/>
      <c r="BI951" s="30">
        <v>83.2</v>
      </c>
      <c r="BJ951" s="34">
        <v>2.4881000000000002</v>
      </c>
      <c r="BK951" s="35">
        <v>0.1045</v>
      </c>
      <c r="BL951" s="33"/>
      <c r="BM951" s="33"/>
      <c r="BN951" s="33"/>
      <c r="BO951" s="33"/>
      <c r="BP951" s="520"/>
    </row>
    <row r="952" spans="28:68">
      <c r="AB952" s="514"/>
      <c r="AC952" s="514"/>
      <c r="AD952" s="514"/>
      <c r="AE952" s="514"/>
      <c r="AF952" s="514"/>
      <c r="AG952" s="514"/>
      <c r="AH952" s="514"/>
      <c r="AI952" s="514"/>
      <c r="AJ952" s="514"/>
      <c r="AK952" s="514"/>
      <c r="AL952" s="514"/>
      <c r="AM952" s="514"/>
      <c r="AN952" s="514"/>
      <c r="AO952" s="514"/>
      <c r="AP952" s="514"/>
      <c r="AQ952" s="514"/>
      <c r="AR952" s="514"/>
      <c r="AS952" s="514"/>
      <c r="AT952" s="514"/>
      <c r="AU952" s="514"/>
      <c r="AV952" s="514"/>
      <c r="AW952" s="514"/>
      <c r="AX952" s="514"/>
      <c r="AY952" s="514"/>
      <c r="AZ952" s="514"/>
      <c r="BA952" s="514"/>
      <c r="BB952" s="514"/>
      <c r="BC952" s="520"/>
      <c r="BD952" s="2482"/>
      <c r="BE952" s="30">
        <v>83.3</v>
      </c>
      <c r="BF952" s="31">
        <v>0.65880000000000005</v>
      </c>
      <c r="BG952" s="32">
        <v>658.6</v>
      </c>
      <c r="BH952" s="33"/>
      <c r="BI952" s="30">
        <v>83.3</v>
      </c>
      <c r="BJ952" s="34">
        <v>2.4868999999999999</v>
      </c>
      <c r="BK952" s="35">
        <v>0.10445</v>
      </c>
      <c r="BL952" s="33"/>
      <c r="BM952" s="33"/>
      <c r="BN952" s="33"/>
      <c r="BO952" s="33"/>
      <c r="BP952" s="520"/>
    </row>
    <row r="953" spans="28:68">
      <c r="AB953" s="514"/>
      <c r="AC953" s="514"/>
      <c r="AD953" s="514"/>
      <c r="AE953" s="514"/>
      <c r="AF953" s="514"/>
      <c r="AG953" s="514"/>
      <c r="AH953" s="514"/>
      <c r="AI953" s="514"/>
      <c r="AJ953" s="514"/>
      <c r="AK953" s="514"/>
      <c r="AL953" s="514"/>
      <c r="AM953" s="514"/>
      <c r="AN953" s="514"/>
      <c r="AO953" s="514"/>
      <c r="AP953" s="514"/>
      <c r="AQ953" s="514"/>
      <c r="AR953" s="514"/>
      <c r="AS953" s="514"/>
      <c r="AT953" s="514"/>
      <c r="AU953" s="514"/>
      <c r="AV953" s="514"/>
      <c r="AW953" s="514"/>
      <c r="AX953" s="514"/>
      <c r="AY953" s="514"/>
      <c r="AZ953" s="514"/>
      <c r="BA953" s="514"/>
      <c r="BB953" s="514"/>
      <c r="BC953" s="520"/>
      <c r="BD953" s="2482"/>
      <c r="BE953" s="30">
        <v>83.4</v>
      </c>
      <c r="BF953" s="31">
        <v>0.65839999999999999</v>
      </c>
      <c r="BG953" s="32">
        <v>658.3</v>
      </c>
      <c r="BH953" s="33"/>
      <c r="BI953" s="30">
        <v>83.4</v>
      </c>
      <c r="BJ953" s="34">
        <v>2.4857999999999998</v>
      </c>
      <c r="BK953" s="35">
        <v>0.10440000000000001</v>
      </c>
      <c r="BL953" s="33"/>
      <c r="BM953" s="33"/>
      <c r="BN953" s="33"/>
      <c r="BO953" s="33"/>
      <c r="BP953" s="520"/>
    </row>
    <row r="954" spans="28:68">
      <c r="AB954" s="514"/>
      <c r="AC954" s="514"/>
      <c r="AD954" s="514"/>
      <c r="AE954" s="514"/>
      <c r="AF954" s="514"/>
      <c r="AG954" s="514"/>
      <c r="AH954" s="514"/>
      <c r="AI954" s="514"/>
      <c r="AJ954" s="514"/>
      <c r="AK954" s="514"/>
      <c r="AL954" s="514"/>
      <c r="AM954" s="514"/>
      <c r="AN954" s="514"/>
      <c r="AO954" s="514"/>
      <c r="AP954" s="514"/>
      <c r="AQ954" s="514"/>
      <c r="AR954" s="514"/>
      <c r="AS954" s="514"/>
      <c r="AT954" s="514"/>
      <c r="AU954" s="514"/>
      <c r="AV954" s="514"/>
      <c r="AW954" s="514"/>
      <c r="AX954" s="514"/>
      <c r="AY954" s="514"/>
      <c r="AZ954" s="514"/>
      <c r="BA954" s="514"/>
      <c r="BB954" s="514"/>
      <c r="BC954" s="520"/>
      <c r="BD954" s="2482"/>
      <c r="BE954" s="30">
        <v>83.5</v>
      </c>
      <c r="BF954" s="31">
        <v>0.65810000000000002</v>
      </c>
      <c r="BG954" s="32">
        <v>658</v>
      </c>
      <c r="BH954" s="33"/>
      <c r="BI954" s="30">
        <v>83.5</v>
      </c>
      <c r="BJ954" s="34">
        <v>2.4845999999999999</v>
      </c>
      <c r="BK954" s="35">
        <v>0.10435000000000001</v>
      </c>
      <c r="BL954" s="33"/>
      <c r="BM954" s="33"/>
      <c r="BN954" s="33"/>
      <c r="BO954" s="33"/>
      <c r="BP954" s="520"/>
    </row>
    <row r="955" spans="28:68">
      <c r="AB955" s="514"/>
      <c r="AC955" s="514"/>
      <c r="AD955" s="514"/>
      <c r="AE955" s="514"/>
      <c r="AF955" s="514"/>
      <c r="AG955" s="514"/>
      <c r="AH955" s="514"/>
      <c r="AI955" s="514"/>
      <c r="AJ955" s="514"/>
      <c r="AK955" s="514"/>
      <c r="AL955" s="514"/>
      <c r="AM955" s="514"/>
      <c r="AN955" s="514"/>
      <c r="AO955" s="514"/>
      <c r="AP955" s="514"/>
      <c r="AQ955" s="514"/>
      <c r="AR955" s="514"/>
      <c r="AS955" s="514"/>
      <c r="AT955" s="514"/>
      <c r="AU955" s="514"/>
      <c r="AV955" s="514"/>
      <c r="AW955" s="514"/>
      <c r="AX955" s="514"/>
      <c r="AY955" s="514"/>
      <c r="AZ955" s="514"/>
      <c r="BA955" s="514"/>
      <c r="BB955" s="514"/>
      <c r="BC955" s="520"/>
      <c r="BD955" s="2482"/>
      <c r="BE955" s="30">
        <v>83.6</v>
      </c>
      <c r="BF955" s="31">
        <v>0.65780000000000005</v>
      </c>
      <c r="BG955" s="32">
        <v>657.7</v>
      </c>
      <c r="BH955" s="33"/>
      <c r="BI955" s="30">
        <v>83.6</v>
      </c>
      <c r="BJ955" s="34">
        <v>2.4834999999999998</v>
      </c>
      <c r="BK955" s="35">
        <v>0.10431</v>
      </c>
      <c r="BL955" s="33"/>
      <c r="BM955" s="33"/>
      <c r="BN955" s="33"/>
      <c r="BO955" s="33"/>
      <c r="BP955" s="520"/>
    </row>
    <row r="956" spans="28:68">
      <c r="AB956" s="514"/>
      <c r="AC956" s="514"/>
      <c r="AD956" s="514"/>
      <c r="AE956" s="514"/>
      <c r="AF956" s="514"/>
      <c r="AG956" s="514"/>
      <c r="AH956" s="514"/>
      <c r="AI956" s="514"/>
      <c r="AJ956" s="514"/>
      <c r="AK956" s="514"/>
      <c r="AL956" s="514"/>
      <c r="AM956" s="514"/>
      <c r="AN956" s="514"/>
      <c r="AO956" s="514"/>
      <c r="AP956" s="514"/>
      <c r="AQ956" s="514"/>
      <c r="AR956" s="514"/>
      <c r="AS956" s="514"/>
      <c r="AT956" s="514"/>
      <c r="AU956" s="514"/>
      <c r="AV956" s="514"/>
      <c r="AW956" s="514"/>
      <c r="AX956" s="514"/>
      <c r="AY956" s="514"/>
      <c r="AZ956" s="514"/>
      <c r="BA956" s="514"/>
      <c r="BB956" s="514"/>
      <c r="BC956" s="520"/>
      <c r="BD956" s="2482"/>
      <c r="BE956" s="30">
        <v>83.7</v>
      </c>
      <c r="BF956" s="31">
        <v>0.65749999999999997</v>
      </c>
      <c r="BG956" s="32">
        <v>657.4</v>
      </c>
      <c r="BH956" s="33"/>
      <c r="BI956" s="30">
        <v>83.7</v>
      </c>
      <c r="BJ956" s="34">
        <v>2.4823</v>
      </c>
      <c r="BK956" s="35">
        <v>0.10426000000000001</v>
      </c>
      <c r="BL956" s="33"/>
      <c r="BM956" s="33"/>
      <c r="BN956" s="33"/>
      <c r="BO956" s="33"/>
      <c r="BP956" s="520"/>
    </row>
    <row r="957" spans="28:68">
      <c r="AB957" s="514"/>
      <c r="AC957" s="514"/>
      <c r="AD957" s="514"/>
      <c r="AE957" s="514"/>
      <c r="AF957" s="514"/>
      <c r="AG957" s="514"/>
      <c r="AH957" s="514"/>
      <c r="AI957" s="514"/>
      <c r="AJ957" s="514"/>
      <c r="AK957" s="514"/>
      <c r="AL957" s="514"/>
      <c r="AM957" s="514"/>
      <c r="AN957" s="514"/>
      <c r="AO957" s="514"/>
      <c r="AP957" s="514"/>
      <c r="AQ957" s="514"/>
      <c r="AR957" s="514"/>
      <c r="AS957" s="514"/>
      <c r="AT957" s="514"/>
      <c r="AU957" s="514"/>
      <c r="AV957" s="514"/>
      <c r="AW957" s="514"/>
      <c r="AX957" s="514"/>
      <c r="AY957" s="514"/>
      <c r="AZ957" s="514"/>
      <c r="BA957" s="514"/>
      <c r="BB957" s="514"/>
      <c r="BC957" s="520"/>
      <c r="BD957" s="2482"/>
      <c r="BE957" s="30">
        <v>83.8</v>
      </c>
      <c r="BF957" s="31">
        <v>0.65720000000000001</v>
      </c>
      <c r="BG957" s="32">
        <v>657.1</v>
      </c>
      <c r="BH957" s="33"/>
      <c r="BI957" s="30">
        <v>83.8</v>
      </c>
      <c r="BJ957" s="34">
        <v>2.4811999999999999</v>
      </c>
      <c r="BK957" s="35">
        <v>0.10421000000000001</v>
      </c>
      <c r="BL957" s="33"/>
      <c r="BM957" s="33"/>
      <c r="BN957" s="33"/>
      <c r="BO957" s="33"/>
      <c r="BP957" s="520"/>
    </row>
    <row r="958" spans="28:68">
      <c r="AB958" s="514"/>
      <c r="AC958" s="514"/>
      <c r="AD958" s="514"/>
      <c r="AE958" s="514"/>
      <c r="AF958" s="514"/>
      <c r="AG958" s="514"/>
      <c r="AH958" s="514"/>
      <c r="AI958" s="514"/>
      <c r="AJ958" s="514"/>
      <c r="AK958" s="514"/>
      <c r="AL958" s="514"/>
      <c r="AM958" s="514"/>
      <c r="AN958" s="514"/>
      <c r="AO958" s="514"/>
      <c r="AP958" s="514"/>
      <c r="AQ958" s="514"/>
      <c r="AR958" s="514"/>
      <c r="AS958" s="514"/>
      <c r="AT958" s="514"/>
      <c r="AU958" s="514"/>
      <c r="AV958" s="514"/>
      <c r="AW958" s="514"/>
      <c r="AX958" s="514"/>
      <c r="AY958" s="514"/>
      <c r="AZ958" s="514"/>
      <c r="BA958" s="514"/>
      <c r="BB958" s="514"/>
      <c r="BC958" s="520"/>
      <c r="BD958" s="2482"/>
      <c r="BE958" s="30">
        <v>83.9</v>
      </c>
      <c r="BF958" s="31">
        <v>0.65690000000000004</v>
      </c>
      <c r="BG958" s="32">
        <v>656.8</v>
      </c>
      <c r="BH958" s="33"/>
      <c r="BI958" s="30">
        <v>83.9</v>
      </c>
      <c r="BJ958" s="34">
        <v>2.48</v>
      </c>
      <c r="BK958" s="35">
        <v>0.10416000000000002</v>
      </c>
      <c r="BL958" s="33"/>
      <c r="BM958" s="33"/>
      <c r="BN958" s="33"/>
      <c r="BO958" s="33"/>
      <c r="BP958" s="520"/>
    </row>
    <row r="959" spans="28:68">
      <c r="AB959" s="514"/>
      <c r="AC959" s="514"/>
      <c r="AD959" s="514"/>
      <c r="AE959" s="514"/>
      <c r="AF959" s="514"/>
      <c r="AG959" s="514"/>
      <c r="AH959" s="514"/>
      <c r="AI959" s="514"/>
      <c r="AJ959" s="514"/>
      <c r="AK959" s="514"/>
      <c r="AL959" s="514"/>
      <c r="AM959" s="514"/>
      <c r="AN959" s="514"/>
      <c r="AO959" s="514"/>
      <c r="BD959" s="2482"/>
      <c r="BE959" s="30">
        <v>84</v>
      </c>
      <c r="BF959" s="31">
        <v>0.65659999999999996</v>
      </c>
      <c r="BG959" s="32">
        <v>656.5</v>
      </c>
      <c r="BH959" s="33"/>
      <c r="BI959" s="30">
        <v>84</v>
      </c>
      <c r="BJ959" s="34">
        <v>2.4788000000000001</v>
      </c>
      <c r="BK959" s="35">
        <v>0.10411000000000002</v>
      </c>
      <c r="BL959" s="33"/>
      <c r="BM959" s="33"/>
      <c r="BN959" s="33"/>
      <c r="BO959" s="33"/>
      <c r="BP959" s="520"/>
    </row>
    <row r="960" spans="28:68">
      <c r="AB960" s="514"/>
      <c r="AC960" s="514"/>
      <c r="AD960" s="514"/>
      <c r="AE960" s="514"/>
      <c r="AF960" s="514"/>
      <c r="AG960" s="514"/>
      <c r="AH960" s="514"/>
      <c r="AI960" s="514"/>
      <c r="AJ960" s="514"/>
      <c r="AK960" s="514"/>
      <c r="AL960" s="514"/>
      <c r="AM960" s="514"/>
      <c r="AN960" s="514"/>
      <c r="AO960" s="514"/>
      <c r="BD960" s="2482"/>
      <c r="BE960" s="30">
        <v>84.1</v>
      </c>
      <c r="BF960" s="31">
        <v>0.65629999999999999</v>
      </c>
      <c r="BG960" s="32">
        <v>656.2</v>
      </c>
      <c r="BH960" s="33"/>
      <c r="BI960" s="30">
        <v>84.1</v>
      </c>
      <c r="BJ960" s="34">
        <v>2.4777</v>
      </c>
      <c r="BK960" s="35">
        <v>0.10406000000000003</v>
      </c>
      <c r="BL960" s="33"/>
      <c r="BM960" s="33"/>
      <c r="BN960" s="33"/>
      <c r="BO960" s="33"/>
      <c r="BP960" s="520"/>
    </row>
    <row r="961" spans="28:68">
      <c r="AB961" s="514"/>
      <c r="AC961" s="514"/>
      <c r="AD961" s="514"/>
      <c r="AE961" s="514"/>
      <c r="AF961" s="514"/>
      <c r="AG961" s="514"/>
      <c r="AH961" s="514"/>
      <c r="AI961" s="514"/>
      <c r="AJ961" s="514"/>
      <c r="AK961" s="514"/>
      <c r="AL961" s="514"/>
      <c r="AM961" s="514"/>
      <c r="AN961" s="514"/>
      <c r="AO961" s="514"/>
      <c r="BD961" s="2482"/>
      <c r="BE961" s="30">
        <v>84.2</v>
      </c>
      <c r="BF961" s="31">
        <v>0.65600000000000003</v>
      </c>
      <c r="BG961" s="32">
        <v>655.9</v>
      </c>
      <c r="BH961" s="33"/>
      <c r="BI961" s="30">
        <v>84.2</v>
      </c>
      <c r="BJ961" s="34">
        <v>2.4765000000000001</v>
      </c>
      <c r="BK961" s="35">
        <v>0.10401000000000003</v>
      </c>
      <c r="BL961" s="33"/>
      <c r="BM961" s="33"/>
      <c r="BN961" s="33"/>
      <c r="BO961" s="33"/>
      <c r="BP961" s="520"/>
    </row>
    <row r="962" spans="28:68">
      <c r="AB962" s="514"/>
      <c r="AC962" s="514"/>
      <c r="AD962" s="514"/>
      <c r="AE962" s="514"/>
      <c r="AF962" s="514"/>
      <c r="AG962" s="514"/>
      <c r="AH962" s="514"/>
      <c r="AI962" s="514"/>
      <c r="AJ962" s="514"/>
      <c r="AK962" s="514"/>
      <c r="AL962" s="514"/>
      <c r="AM962" s="514"/>
      <c r="AN962" s="514"/>
      <c r="AO962" s="514"/>
      <c r="BD962" s="2482"/>
      <c r="BE962" s="30">
        <v>84.3</v>
      </c>
      <c r="BF962" s="31">
        <v>0.65569999999999995</v>
      </c>
      <c r="BG962" s="32">
        <v>655.6</v>
      </c>
      <c r="BH962" s="33"/>
      <c r="BI962" s="30">
        <v>84.3</v>
      </c>
      <c r="BJ962" s="34">
        <v>2.4754</v>
      </c>
      <c r="BK962" s="35">
        <v>0.10397000000000001</v>
      </c>
      <c r="BL962" s="33"/>
      <c r="BM962" s="33"/>
      <c r="BN962" s="33"/>
      <c r="BO962" s="33"/>
      <c r="BP962" s="520"/>
    </row>
    <row r="963" spans="28:68">
      <c r="AB963" s="514"/>
      <c r="AC963" s="514"/>
      <c r="AD963" s="514"/>
      <c r="AE963" s="514"/>
      <c r="AF963" s="514"/>
      <c r="AG963" s="514"/>
      <c r="AH963" s="514"/>
      <c r="AI963" s="514"/>
      <c r="AJ963" s="514"/>
      <c r="AK963" s="514"/>
      <c r="AL963" s="514"/>
      <c r="AM963" s="514"/>
      <c r="AN963" s="514"/>
      <c r="AO963" s="514"/>
      <c r="BD963" s="2482"/>
      <c r="BE963" s="30">
        <v>84.4</v>
      </c>
      <c r="BF963" s="31">
        <v>0.65539999999999998</v>
      </c>
      <c r="BG963" s="32">
        <v>655.29999999999995</v>
      </c>
      <c r="BH963" s="33"/>
      <c r="BI963" s="30">
        <v>84.4</v>
      </c>
      <c r="BJ963" s="34">
        <v>2.4742000000000002</v>
      </c>
      <c r="BK963" s="35">
        <v>0.10392</v>
      </c>
      <c r="BL963" s="33"/>
      <c r="BM963" s="33"/>
      <c r="BN963" s="33"/>
      <c r="BO963" s="33"/>
      <c r="BP963" s="520"/>
    </row>
    <row r="964" spans="28:68">
      <c r="AB964" s="514"/>
      <c r="AC964" s="514"/>
      <c r="AD964" s="514"/>
      <c r="AE964" s="514"/>
      <c r="AF964" s="514"/>
      <c r="AG964" s="514"/>
      <c r="AH964" s="514"/>
      <c r="AI964" s="514"/>
      <c r="AJ964" s="514"/>
      <c r="AK964" s="514"/>
      <c r="AL964" s="514"/>
      <c r="AM964" s="514"/>
      <c r="AN964" s="514"/>
      <c r="AO964" s="514"/>
      <c r="BD964" s="2482"/>
      <c r="BE964" s="30">
        <v>84.5</v>
      </c>
      <c r="BF964" s="31">
        <v>0.65510000000000002</v>
      </c>
      <c r="BG964" s="32">
        <v>655</v>
      </c>
      <c r="BH964" s="33"/>
      <c r="BI964" s="30">
        <v>84.5</v>
      </c>
      <c r="BJ964" s="34">
        <v>2.4731000000000001</v>
      </c>
      <c r="BK964" s="35">
        <v>0.10386999999999999</v>
      </c>
      <c r="BL964" s="33"/>
      <c r="BM964" s="33"/>
      <c r="BN964" s="33"/>
      <c r="BO964" s="33"/>
      <c r="BP964" s="520"/>
    </row>
    <row r="965" spans="28:68">
      <c r="AB965" s="514"/>
      <c r="AC965" s="514"/>
      <c r="AD965" s="514"/>
      <c r="AE965" s="514"/>
      <c r="AF965" s="514"/>
      <c r="AG965" s="514"/>
      <c r="AH965" s="514"/>
      <c r="AI965" s="514"/>
      <c r="AJ965" s="514"/>
      <c r="AK965" s="514"/>
      <c r="AL965" s="514"/>
      <c r="AM965" s="514"/>
      <c r="AN965" s="514"/>
      <c r="AO965" s="514"/>
      <c r="BD965" s="2482"/>
      <c r="BE965" s="30">
        <v>84.6</v>
      </c>
      <c r="BF965" s="31">
        <v>0.65480000000000005</v>
      </c>
      <c r="BG965" s="32">
        <v>654.70000000000005</v>
      </c>
      <c r="BH965" s="33"/>
      <c r="BI965" s="30">
        <v>84.6</v>
      </c>
      <c r="BJ965" s="34">
        <v>2.472</v>
      </c>
      <c r="BK965" s="35">
        <v>0.10381999999999998</v>
      </c>
      <c r="BL965" s="33"/>
      <c r="BM965" s="33"/>
      <c r="BN965" s="33"/>
      <c r="BO965" s="33"/>
      <c r="BP965" s="520"/>
    </row>
    <row r="966" spans="28:68">
      <c r="AB966" s="514"/>
      <c r="AC966" s="514"/>
      <c r="AD966" s="514"/>
      <c r="AE966" s="514"/>
      <c r="AF966" s="514"/>
      <c r="AG966" s="514"/>
      <c r="AH966" s="514"/>
      <c r="AI966" s="514"/>
      <c r="AJ966" s="514"/>
      <c r="AK966" s="514"/>
      <c r="AL966" s="514"/>
      <c r="AM966" s="514"/>
      <c r="AN966" s="514"/>
      <c r="AO966" s="514"/>
      <c r="BD966" s="2482"/>
      <c r="BE966" s="30">
        <v>84.7</v>
      </c>
      <c r="BF966" s="31">
        <v>0.65449999999999997</v>
      </c>
      <c r="BG966" s="32">
        <v>654.4</v>
      </c>
      <c r="BH966" s="33"/>
      <c r="BI966" s="30">
        <v>84.7</v>
      </c>
      <c r="BJ966" s="34">
        <v>2.4708000000000001</v>
      </c>
      <c r="BK966" s="35">
        <v>0.10376999999999997</v>
      </c>
      <c r="BL966" s="33"/>
      <c r="BM966" s="33"/>
      <c r="BN966" s="33"/>
      <c r="BO966" s="33"/>
      <c r="BP966" s="520"/>
    </row>
    <row r="967" spans="28:68">
      <c r="AB967" s="514"/>
      <c r="AC967" s="514"/>
      <c r="AD967" s="514"/>
      <c r="AE967" s="514"/>
      <c r="AF967" s="514"/>
      <c r="AG967" s="514"/>
      <c r="AH967" s="514"/>
      <c r="AI967" s="514"/>
      <c r="AJ967" s="514"/>
      <c r="AK967" s="514"/>
      <c r="AL967" s="514"/>
      <c r="AM967" s="514"/>
      <c r="AN967" s="514"/>
      <c r="AO967" s="514"/>
      <c r="BD967" s="2482"/>
      <c r="BE967" s="30">
        <v>84.8</v>
      </c>
      <c r="BF967" s="31">
        <v>0.6542</v>
      </c>
      <c r="BG967" s="32">
        <v>654.1</v>
      </c>
      <c r="BH967" s="33"/>
      <c r="BI967" s="30">
        <v>84.8</v>
      </c>
      <c r="BJ967" s="34">
        <v>2.4697</v>
      </c>
      <c r="BK967" s="35">
        <v>0.10373</v>
      </c>
      <c r="BL967" s="33"/>
      <c r="BM967" s="33"/>
      <c r="BN967" s="33"/>
      <c r="BO967" s="33"/>
      <c r="BP967" s="520"/>
    </row>
    <row r="968" spans="28:68">
      <c r="AB968" s="514"/>
      <c r="AC968" s="514"/>
      <c r="AD968" s="514"/>
      <c r="AE968" s="514"/>
      <c r="AF968" s="514"/>
      <c r="AG968" s="514"/>
      <c r="AH968" s="514"/>
      <c r="AI968" s="514"/>
      <c r="AJ968" s="514"/>
      <c r="AK968" s="514"/>
      <c r="AL968" s="514"/>
      <c r="AM968" s="514"/>
      <c r="AN968" s="514"/>
      <c r="AO968" s="514"/>
      <c r="BD968" s="2482"/>
      <c r="BE968" s="30">
        <v>84.9</v>
      </c>
      <c r="BF968" s="31">
        <v>0.65390000000000004</v>
      </c>
      <c r="BG968" s="32">
        <v>653.79999999999995</v>
      </c>
      <c r="BH968" s="33"/>
      <c r="BI968" s="30">
        <v>84.9</v>
      </c>
      <c r="BJ968" s="34">
        <v>2.4685000000000001</v>
      </c>
      <c r="BK968" s="35">
        <v>0.10367999999999999</v>
      </c>
      <c r="BL968" s="33"/>
      <c r="BM968" s="33"/>
      <c r="BN968" s="33"/>
      <c r="BO968" s="33"/>
      <c r="BP968" s="520"/>
    </row>
    <row r="969" spans="28:68">
      <c r="AB969" s="514"/>
      <c r="AC969" s="514"/>
      <c r="AD969" s="514"/>
      <c r="AE969" s="514"/>
      <c r="AF969" s="514"/>
      <c r="AG969" s="514"/>
      <c r="AH969" s="514"/>
      <c r="AI969" s="514"/>
      <c r="AJ969" s="514"/>
      <c r="AK969" s="514"/>
      <c r="AL969" s="514"/>
      <c r="AM969" s="514"/>
      <c r="AN969" s="514"/>
      <c r="AO969" s="514"/>
      <c r="BD969" s="2482"/>
      <c r="BE969" s="1728">
        <v>85</v>
      </c>
      <c r="BF969" s="52">
        <v>0.65359999999999996</v>
      </c>
      <c r="BG969" s="1729">
        <v>653.5</v>
      </c>
      <c r="BH969" s="33"/>
      <c r="BI969" s="30">
        <v>85</v>
      </c>
      <c r="BJ969" s="34">
        <v>2.4674</v>
      </c>
      <c r="BK969" s="35">
        <v>0.10363</v>
      </c>
      <c r="BL969" s="33"/>
      <c r="BM969" s="33"/>
      <c r="BN969" s="33"/>
      <c r="BO969" s="33"/>
      <c r="BP969" s="520"/>
    </row>
    <row r="970" spans="28:68">
      <c r="AB970" s="514"/>
      <c r="AC970" s="514"/>
      <c r="AD970" s="514"/>
      <c r="AE970" s="514"/>
      <c r="AF970" s="514"/>
      <c r="AG970" s="514"/>
      <c r="AH970" s="514"/>
      <c r="AI970" s="514"/>
      <c r="AJ970" s="514"/>
      <c r="AK970" s="514"/>
      <c r="AL970" s="514"/>
      <c r="AM970" s="514"/>
      <c r="AN970" s="514"/>
      <c r="AO970" s="514"/>
      <c r="BD970" s="536"/>
      <c r="BE970" s="2590"/>
      <c r="BF970" s="2590"/>
      <c r="BG970" s="2590"/>
      <c r="BH970" s="2590"/>
      <c r="BI970" s="2600"/>
      <c r="BJ970" s="2600"/>
      <c r="BK970" s="2600"/>
      <c r="BL970" s="2590"/>
      <c r="BM970" s="2590"/>
      <c r="BN970" s="2590"/>
      <c r="BO970" s="2590"/>
      <c r="BP970" s="537"/>
    </row>
    <row r="971" spans="28:68">
      <c r="AB971" s="514"/>
      <c r="AC971" s="514"/>
      <c r="AD971" s="514"/>
      <c r="AE971" s="514"/>
      <c r="AF971" s="514"/>
      <c r="AG971" s="514"/>
      <c r="AH971" s="514"/>
      <c r="AI971" s="514"/>
      <c r="AJ971" s="514"/>
      <c r="AK971" s="514"/>
      <c r="AL971" s="514"/>
      <c r="AM971" s="514"/>
      <c r="AN971" s="514"/>
      <c r="AO971" s="514"/>
    </row>
    <row r="972" spans="28:68">
      <c r="AB972" s="514"/>
      <c r="AC972" s="514"/>
      <c r="AD972" s="514"/>
      <c r="AE972" s="514"/>
      <c r="AF972" s="514"/>
      <c r="AG972" s="514"/>
      <c r="AH972" s="514"/>
      <c r="AI972" s="514"/>
      <c r="AJ972" s="514"/>
      <c r="AK972" s="514"/>
      <c r="AL972" s="514"/>
      <c r="AM972" s="514"/>
      <c r="AN972" s="514"/>
      <c r="AO972" s="514"/>
    </row>
    <row r="973" spans="28:68">
      <c r="AB973" s="514"/>
      <c r="AC973" s="514"/>
      <c r="AD973" s="514"/>
      <c r="AE973" s="514"/>
      <c r="AF973" s="514"/>
      <c r="AG973" s="514"/>
      <c r="AH973" s="514"/>
      <c r="AI973" s="514"/>
      <c r="AJ973" s="514"/>
      <c r="AK973" s="514"/>
      <c r="AL973" s="514"/>
      <c r="AM973" s="514"/>
      <c r="AN973" s="514"/>
      <c r="AO973" s="514"/>
    </row>
    <row r="974" spans="28:68">
      <c r="AB974" s="514"/>
      <c r="AC974" s="514"/>
      <c r="AD974" s="514"/>
      <c r="AE974" s="514"/>
      <c r="AF974" s="514"/>
      <c r="AG974" s="514"/>
      <c r="AH974" s="514"/>
      <c r="AI974" s="514"/>
      <c r="AJ974" s="514"/>
      <c r="AK974" s="514"/>
      <c r="AL974" s="514"/>
      <c r="AM974" s="514"/>
      <c r="AN974" s="514"/>
    </row>
    <row r="975" spans="28:68">
      <c r="AB975" s="514"/>
      <c r="AC975" s="514"/>
      <c r="AD975" s="514"/>
      <c r="AE975" s="514"/>
      <c r="AF975" s="514"/>
      <c r="AG975" s="514"/>
      <c r="AH975" s="514"/>
      <c r="AI975" s="514"/>
      <c r="AJ975" s="514"/>
      <c r="AK975" s="514"/>
      <c r="AL975" s="514"/>
      <c r="AM975" s="514"/>
      <c r="AN975" s="514"/>
    </row>
    <row r="976" spans="28:68">
      <c r="AB976" s="514"/>
      <c r="AC976" s="514"/>
      <c r="AD976" s="514"/>
      <c r="AE976" s="514"/>
      <c r="AF976" s="514"/>
      <c r="AG976" s="514"/>
      <c r="AH976" s="514"/>
      <c r="AI976" s="514"/>
      <c r="AJ976" s="514"/>
      <c r="AK976" s="514"/>
      <c r="AL976" s="514"/>
      <c r="AM976" s="514"/>
      <c r="AN976" s="514"/>
    </row>
    <row r="977" spans="28:40">
      <c r="AB977" s="514"/>
      <c r="AC977" s="514"/>
      <c r="AD977" s="514"/>
      <c r="AE977" s="514"/>
      <c r="AF977" s="514"/>
      <c r="AG977" s="514"/>
      <c r="AH977" s="514"/>
      <c r="AI977" s="514"/>
      <c r="AJ977" s="514"/>
      <c r="AK977" s="514"/>
      <c r="AL977" s="514"/>
      <c r="AM977" s="514"/>
      <c r="AN977" s="514"/>
    </row>
    <row r="978" spans="28:40">
      <c r="AB978" s="514"/>
      <c r="AC978" s="514"/>
      <c r="AD978" s="514"/>
      <c r="AE978" s="514"/>
      <c r="AF978" s="514"/>
      <c r="AG978" s="514"/>
      <c r="AH978" s="514"/>
      <c r="AI978" s="514"/>
      <c r="AJ978" s="514"/>
      <c r="AK978" s="514"/>
      <c r="AL978" s="514"/>
      <c r="AM978" s="514"/>
      <c r="AN978" s="514"/>
    </row>
    <row r="979" spans="28:40">
      <c r="AB979" s="514"/>
      <c r="AC979" s="514"/>
      <c r="AD979" s="514"/>
      <c r="AE979" s="514"/>
      <c r="AF979" s="514"/>
      <c r="AG979" s="514"/>
      <c r="AH979" s="514"/>
      <c r="AI979" s="514"/>
      <c r="AJ979" s="514"/>
      <c r="AK979" s="514"/>
      <c r="AL979" s="514"/>
      <c r="AM979" s="514"/>
      <c r="AN979" s="514"/>
    </row>
    <row r="980" spans="28:40">
      <c r="AB980" s="514"/>
      <c r="AC980" s="514"/>
      <c r="AD980" s="514"/>
      <c r="AE980" s="514"/>
      <c r="AF980" s="514"/>
      <c r="AG980" s="514"/>
      <c r="AH980" s="514"/>
      <c r="AI980" s="514"/>
      <c r="AJ980" s="514"/>
      <c r="AK980" s="514"/>
      <c r="AL980" s="514"/>
      <c r="AM980" s="514"/>
      <c r="AN980" s="514"/>
    </row>
    <row r="981" spans="28:40">
      <c r="AB981" s="514"/>
      <c r="AC981" s="514"/>
      <c r="AD981" s="514"/>
      <c r="AE981" s="514"/>
      <c r="AF981" s="514"/>
      <c r="AG981" s="514"/>
      <c r="AH981" s="514"/>
      <c r="AI981" s="514"/>
      <c r="AJ981" s="514"/>
      <c r="AK981" s="514"/>
      <c r="AL981" s="514"/>
      <c r="AM981" s="514"/>
      <c r="AN981" s="514"/>
    </row>
    <row r="982" spans="28:40">
      <c r="AB982" s="514"/>
      <c r="AK982" s="514"/>
      <c r="AL982" s="514"/>
      <c r="AM982" s="514"/>
      <c r="AN982" s="514"/>
    </row>
    <row r="983" spans="28:40">
      <c r="AK983" s="514"/>
      <c r="AL983" s="514"/>
      <c r="AM983" s="514"/>
      <c r="AN983" s="514"/>
    </row>
    <row r="984" spans="28:40">
      <c r="AK984" s="514"/>
      <c r="AL984" s="514"/>
      <c r="AM984" s="514"/>
      <c r="AN984" s="514"/>
    </row>
  </sheetData>
  <mergeCells count="23">
    <mergeCell ref="AC132:AC133"/>
    <mergeCell ref="AC101:AI101"/>
    <mergeCell ref="AK101:AM101"/>
    <mergeCell ref="AC140:AM140"/>
    <mergeCell ref="AC147:AM147"/>
    <mergeCell ref="AJ132:AM132"/>
    <mergeCell ref="B2:B3"/>
    <mergeCell ref="H5:I5"/>
    <mergeCell ref="H6:I6"/>
    <mergeCell ref="E9:E10"/>
    <mergeCell ref="F9:F10"/>
    <mergeCell ref="G9:G10"/>
    <mergeCell ref="I9:I10"/>
    <mergeCell ref="H7:I7"/>
    <mergeCell ref="H4:I4"/>
    <mergeCell ref="H8:I8"/>
    <mergeCell ref="J9:J10"/>
    <mergeCell ref="AB99:AD99"/>
    <mergeCell ref="AC108:AH108"/>
    <mergeCell ref="K9:K10"/>
    <mergeCell ref="M9:M10"/>
    <mergeCell ref="N9:N10"/>
    <mergeCell ref="L9:L10"/>
  </mergeCells>
  <conditionalFormatting sqref="K18">
    <cfRule type="cellIs" dxfId="99" priority="7" stopIfTrue="1" operator="greaterThan">
      <formula>98</formula>
    </cfRule>
  </conditionalFormatting>
  <conditionalFormatting sqref="K19:L20">
    <cfRule type="expression" dxfId="98" priority="1" stopIfTrue="1">
      <formula>$H$6&gt;$M$14</formula>
    </cfRule>
  </conditionalFormatting>
  <conditionalFormatting sqref="M14">
    <cfRule type="cellIs" dxfId="97" priority="8" stopIfTrue="1" operator="lessThan">
      <formula>$H$6</formula>
    </cfRule>
  </conditionalFormatting>
  <conditionalFormatting sqref="N12">
    <cfRule type="cellIs" dxfId="96" priority="5" stopIfTrue="1" operator="greaterThan">
      <formula>G12</formula>
    </cfRule>
    <cfRule type="cellIs" dxfId="95" priority="6" stopIfTrue="1" operator="lessThan">
      <formula>G12*(-1)</formula>
    </cfRule>
  </conditionalFormatting>
  <conditionalFormatting sqref="N13">
    <cfRule type="expression" dxfId="94" priority="12" stopIfTrue="1">
      <formula>$K$13=""</formula>
    </cfRule>
    <cfRule type="cellIs" dxfId="93" priority="13" stopIfTrue="1" operator="greaterThan">
      <formula>G13</formula>
    </cfRule>
    <cfRule type="cellIs" dxfId="92" priority="14" stopIfTrue="1" operator="lessThan">
      <formula>G13*(-1)</formula>
    </cfRule>
  </conditionalFormatting>
  <conditionalFormatting sqref="AE109:AE110">
    <cfRule type="expression" dxfId="91" priority="3">
      <formula>AE109=#REF!</formula>
    </cfRule>
  </conditionalFormatting>
  <conditionalFormatting sqref="AF109:AF111">
    <cfRule type="expression" dxfId="90" priority="4">
      <formula>AF109=#REF!</formula>
    </cfRule>
  </conditionalFormatting>
  <dataValidations count="2">
    <dataValidation type="list" allowBlank="1" showInputMessage="1" showErrorMessage="1" sqref="H7:I7" xr:uid="{AE396B42-1834-4A40-8D9B-6085C62818C9}">
      <formula1>$AD$103:$AD$106</formula1>
    </dataValidation>
    <dataValidation type="list" allowBlank="1" showInputMessage="1" showErrorMessage="1" sqref="F11" xr:uid="{F79E8E3D-3FE3-4AE0-A445-3C2F690960D6}">
      <formula1>$AL$110:$AL$111</formula1>
    </dataValidation>
  </dataValidations>
  <hyperlinks>
    <hyperlink ref="B2:B3" location="Home!A1" display="HOME" xr:uid="{6C8D516F-01E9-47B7-8ACA-AB8B0131A5EB}"/>
    <hyperlink ref="H8" location="'CP min CARGO Check'!AO130" display="Go to Calc" xr:uid="{9AF9C4C4-20D4-43EB-BACA-708ED1B78296}"/>
    <hyperlink ref="AB99" location="'Cargo Calculator'!A1" display="Go to Top" xr:uid="{5A8F9C1A-C76A-40A3-A6D2-F6059E985359}"/>
    <hyperlink ref="AB99:AD99" location="'CP min CARGO Check'!A1" display="Go to Top" xr:uid="{8FAE9CC2-F790-44C9-8038-4BF1AE1D4890}"/>
    <hyperlink ref="AP99" location="'Cargo Calculator'!A1" display="Go to Top" xr:uid="{6A720CBA-D796-4ACB-A70D-257F2B3B49D5}"/>
    <hyperlink ref="AP99:AR99" location="'CP min CARGO Check'!A1" display="Go to Top" xr:uid="{16B2D5E6-DE2B-401C-9B5F-D8C6E11C6964}"/>
    <hyperlink ref="BE99" location="'Cargo Calculator'!A1" display="Go to Top" xr:uid="{F8D4BD23-9A0E-4146-A31C-B2E5FA03B461}"/>
    <hyperlink ref="BE99:BG99" location="'CP min CARGO Check'!A1" display="Go to Top" xr:uid="{9B80A8FD-F298-4352-9322-6C55AF885B19}"/>
    <hyperlink ref="H8:I8" location="'CP min CARGO Check'!AS130" display="Go to Calc" xr:uid="{BAC719DA-6471-42F5-A9D5-86C6A1453685}"/>
    <hyperlink ref="M11" location="'Guidelines - Saybolt Manual'!A150" display="MT" xr:uid="{E34FA487-48BE-46D6-8DB8-5DEBB9CA193E}"/>
    <hyperlink ref="BS99" location="'CP min CARGO Check'!A1" display="Go to Top" xr:uid="{ACBC8435-92F0-4649-B03B-12C089A1592D}"/>
    <hyperlink ref="BK99" location="'CP min CARGO Check'!A1" display="Go to Top" xr:uid="{14543D86-492E-4BB1-A253-4584BA61949D}"/>
    <hyperlink ref="B5" location="'Documents Manager'!A1" display="DOCUMENTS MANAGER" xr:uid="{36CE9F58-0D38-4A1F-BEF8-4893B3452C63}"/>
    <hyperlink ref="B25" location="Disclaimer!A1" display="Disclaimer" xr:uid="{B2DFBF03-D8B5-4BBF-8DA4-F186283DBF24}"/>
    <hyperlink ref="B24" location="Help!A1" display="Help" xr:uid="{CAEC6F67-9DE4-4861-A24B-0EC7AC8C0EEE}"/>
    <hyperlink ref="B22" location="'Source - Links'!A1" display="SOURCE / LINKS" xr:uid="{35EC6F3D-246C-4308-BEAD-1851458FFFF5}"/>
    <hyperlink ref="B9" location="'ASTM Calculator V.W.'!A1" display="• Calculator - Volume &amp; Weght" xr:uid="{58227C21-C9EE-4F52-8035-CE8D7B9C3239}"/>
    <hyperlink ref="B17" location="'ASTM Calc BL Outturn Compare'!A1" display="• BL Figures &amp; Outturn Compare" xr:uid="{48B77D5E-8090-4E82-B518-1642B4C9EFF4}"/>
    <hyperlink ref="B8" location="'ASTM Calculator V.W.'!A1" display="ASTM - CALCULATORS" xr:uid="{13F737B9-60D8-481A-9B03-0A0524208EC2}"/>
    <hyperlink ref="B6" location="'ASTM Vol. XI - Tab.1'!A1" display="ASTM TABLES" xr:uid="{A242D7BA-1187-40E8-BBCA-508BC04A5170}"/>
    <hyperlink ref="B7" location="'ASTM Converter (Tab.1)'!A1" display="ASTM - CONVERTERS" xr:uid="{3809E580-28B8-41E8-805A-0853BBFC65E8}"/>
    <hyperlink ref="B13" location="'ASTM CP min CARGO Check'!A1" display="• Calculator - C/P min CARGO Check" xr:uid="{FB40A53C-7016-43C5-A3D8-A0D5A321E611}"/>
    <hyperlink ref="B18" location="'Initial&amp;Max. Loading Rate'!A1" display="CARGO - CALCULATORS" xr:uid="{39E85E1F-90A4-4228-A85F-6507A8649F95}"/>
    <hyperlink ref="B14" location="'ASTM Calculator Blended Cargo'!A1" display="• Calculator - Blended Cargo" xr:uid="{797F82FF-A209-4554-95E1-66818CB99C4E}"/>
    <hyperlink ref="B15" location="'ASTM Blended Cargo Prediction'!A1" display="• Calculator - Blended Cargo Prediction" xr:uid="{25DCDF38-2368-4A4E-857E-C570E86F2CB1}"/>
    <hyperlink ref="B16" location="'ASTM Shore Line Displacement'!A1" display="• Calculator - Shore Line Displacement" xr:uid="{292F2BEA-E635-4063-A463-84CBA56D8B17}"/>
    <hyperlink ref="B10" location="'ASTM Calculator Volume T.E.(1)'!A1" display="• Calculator - Volume (Therm. expansion) " xr:uid="{FB160B06-1BE2-4400-B400-C4B932F7B1A5}"/>
    <hyperlink ref="B12" location="'ASTM Calculator Volume T.E.(3)'!A1" display="• Calculator - Volume (Therm. expan. 3) " xr:uid="{B36C9DA6-1CF8-46FC-9791-4D85214B429C}"/>
    <hyperlink ref="B11" location="'ASTM Calculator Volume T.E.(2)'!A1" display="• Calculator - Volume (Therm. expan. 2) " xr:uid="{BC7E7D6D-1BC8-442F-B04A-B79B57967D4C}"/>
    <hyperlink ref="B20" location="'Guidelines - Definitions'!A1" display="GUIDELINES" xr:uid="{FE9D06CA-F843-422B-86FE-74C352743D00}"/>
    <hyperlink ref="B21" location="'Guidelines - Bottom Lines'!A1" display="GUIDELINES - CARGO" xr:uid="{BF155AF1-1C0C-49D4-BBD1-DA5F2061EE3F}"/>
  </hyperlinks>
  <pageMargins left="0.75" right="0.75" top="1" bottom="1" header="0.5" footer="0.5"/>
  <pageSetup paperSize="9" orientation="portrait" verticalDpi="1200" r:id="rId1"/>
  <headerFooter alignWithMargins="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7BB79-23CC-4331-ABD0-7F86517331C6}">
  <sheetPr>
    <tabColor rgb="FF008080"/>
  </sheetPr>
  <dimension ref="A1:IP978"/>
  <sheetViews>
    <sheetView showGridLines="0" showRowColHeaders="0" topLeftCell="B1" workbookViewId="0">
      <selection activeCell="B15" sqref="B15"/>
    </sheetView>
  </sheetViews>
  <sheetFormatPr defaultColWidth="9.1328125" defaultRowHeight="12.75"/>
  <cols>
    <col min="1" max="1" width="0.86328125" style="1584" hidden="1" customWidth="1"/>
    <col min="2" max="2" width="36.6640625" style="1585" customWidth="1"/>
    <col min="3" max="3" width="2.6640625" style="33" customWidth="1"/>
    <col min="4" max="4" width="14.46484375" style="33" customWidth="1"/>
    <col min="5" max="5" width="10.53125" style="33" customWidth="1"/>
    <col min="6" max="6" width="9" style="33" customWidth="1"/>
    <col min="7" max="8" width="14.53125" style="33" customWidth="1"/>
    <col min="9" max="11" width="11.86328125" style="33" customWidth="1"/>
    <col min="12" max="12" width="2.53125" style="33" customWidth="1"/>
    <col min="13" max="14" width="11.86328125" style="33" customWidth="1"/>
    <col min="15" max="15" width="9.1328125" style="33" customWidth="1"/>
    <col min="16" max="16" width="19" style="33" customWidth="1"/>
    <col min="17" max="17" width="32.46484375" style="33" customWidth="1"/>
    <col min="18" max="18" width="16.46484375" style="33" customWidth="1"/>
    <col min="19" max="19" width="4.46484375" style="33" customWidth="1"/>
    <col min="20" max="20" width="12.46484375" style="33" bestFit="1" customWidth="1"/>
    <col min="21" max="21" width="12" style="33" customWidth="1"/>
    <col min="22" max="26" width="10.53125" style="33" customWidth="1"/>
    <col min="27" max="27" width="9.1328125" style="33"/>
    <col min="28" max="28" width="18" style="33" bestFit="1" customWidth="1"/>
    <col min="29" max="29" width="33" style="33" bestFit="1" customWidth="1"/>
    <col min="30" max="30" width="12" style="33" bestFit="1" customWidth="1"/>
    <col min="31" max="31" width="2.53125" style="33" customWidth="1"/>
    <col min="32" max="33" width="9.1328125" style="33"/>
    <col min="34" max="34" width="2.53125" style="33" customWidth="1"/>
    <col min="35" max="35" width="14.86328125" style="33" customWidth="1"/>
    <col min="36" max="37" width="9.1328125" style="33"/>
    <col min="38" max="38" width="9.46484375" style="33" bestFit="1" customWidth="1"/>
    <col min="39" max="40" width="9.1328125" style="33"/>
    <col min="41" max="42" width="9.46484375" style="33" bestFit="1" customWidth="1"/>
    <col min="43" max="43" width="2.53125" style="33" customWidth="1"/>
    <col min="44" max="44" width="15.53125" style="33" customWidth="1"/>
    <col min="45" max="45" width="11.86328125" style="33" bestFit="1" customWidth="1"/>
    <col min="46" max="46" width="9.1328125" style="33"/>
    <col min="47" max="47" width="12.1328125" style="33" bestFit="1" customWidth="1"/>
    <col min="48" max="48" width="9.46484375" style="33" customWidth="1"/>
    <col min="49" max="49" width="12" style="33" bestFit="1" customWidth="1"/>
    <col min="50" max="50" width="14.53125" style="33" bestFit="1" customWidth="1"/>
    <col min="51" max="51" width="16.1328125" style="33" bestFit="1" customWidth="1"/>
    <col min="52" max="52" width="15.86328125" style="33" bestFit="1" customWidth="1"/>
    <col min="53" max="60" width="9.1328125" style="33"/>
    <col min="61" max="61" width="2.53125" style="33" customWidth="1"/>
    <col min="62" max="62" width="9.1328125" style="33"/>
    <col min="63" max="63" width="16.46484375" style="33" customWidth="1"/>
    <col min="64" max="64" width="10.46484375" style="33" bestFit="1" customWidth="1"/>
    <col min="65" max="65" width="2.53125" style="33" customWidth="1"/>
    <col min="66" max="66" width="9.1328125" style="33"/>
    <col min="67" max="67" width="15.53125" style="33" bestFit="1" customWidth="1"/>
    <col min="68" max="68" width="9.1328125" style="33"/>
    <col min="69" max="69" width="2.53125" style="33" customWidth="1"/>
    <col min="70" max="72" width="9.1328125" style="33"/>
    <col min="73" max="73" width="2.53125" style="33" customWidth="1"/>
    <col min="74" max="74" width="9.1328125" style="33"/>
    <col min="75" max="75" width="11.86328125" style="33" customWidth="1"/>
    <col min="76" max="76" width="12.46484375" style="33" customWidth="1"/>
    <col min="77" max="77" width="2.53125" style="33" customWidth="1"/>
    <col min="78" max="16384" width="9.1328125" style="33"/>
  </cols>
  <sheetData>
    <row r="1" spans="1:250" ht="12.75" customHeight="1">
      <c r="A1" s="1539"/>
      <c r="B1" s="1271"/>
      <c r="C1" s="1540"/>
    </row>
    <row r="2" spans="1:250" s="2817" customFormat="1" ht="21" customHeight="1">
      <c r="A2" s="1541"/>
      <c r="B2" s="3284" t="s">
        <v>0</v>
      </c>
      <c r="C2" s="1540"/>
      <c r="D2" s="2813" t="s">
        <v>1271</v>
      </c>
      <c r="E2" s="2814"/>
      <c r="F2" s="2815"/>
      <c r="G2" s="2814"/>
      <c r="H2" s="2814"/>
      <c r="I2" s="2814"/>
      <c r="J2" s="2814"/>
      <c r="K2" s="2814"/>
      <c r="L2" s="2814"/>
      <c r="M2" s="2814"/>
      <c r="N2" s="2814"/>
      <c r="O2" s="2814"/>
      <c r="P2" s="2816"/>
      <c r="Q2" s="2816"/>
      <c r="R2" s="2816"/>
      <c r="S2" s="2816"/>
      <c r="T2" s="2816"/>
      <c r="U2" s="2816"/>
      <c r="V2" s="2816"/>
      <c r="W2" s="2816"/>
      <c r="X2" s="2816"/>
      <c r="Y2" s="2816"/>
      <c r="Z2" s="2816"/>
      <c r="AA2" s="2816"/>
      <c r="AB2" s="2816"/>
      <c r="AC2" s="2816"/>
      <c r="AD2" s="2816"/>
      <c r="AE2" s="2816"/>
      <c r="AF2" s="2816"/>
      <c r="AG2" s="2816"/>
      <c r="AH2" s="2816"/>
      <c r="AI2" s="2816"/>
      <c r="AJ2" s="2816"/>
      <c r="AK2" s="2816"/>
      <c r="AL2" s="2816"/>
      <c r="AM2" s="2816"/>
      <c r="AN2" s="2816"/>
      <c r="AO2" s="2816"/>
      <c r="AP2" s="2816"/>
      <c r="AQ2" s="2816"/>
      <c r="AR2" s="2816"/>
      <c r="AS2" s="2816"/>
      <c r="AT2" s="2816"/>
      <c r="AU2" s="2816"/>
      <c r="AV2" s="2816"/>
      <c r="AW2" s="2816"/>
      <c r="AX2" s="2816"/>
      <c r="AY2" s="2816"/>
      <c r="AZ2" s="2816"/>
      <c r="BA2" s="2816"/>
      <c r="BB2" s="2816"/>
      <c r="BC2" s="2816"/>
      <c r="BD2" s="2816"/>
      <c r="BE2" s="2816"/>
      <c r="BF2" s="2816"/>
      <c r="BG2" s="2816"/>
      <c r="BH2" s="2816"/>
      <c r="BI2" s="2816"/>
      <c r="BJ2" s="2816"/>
      <c r="BK2" s="2816"/>
      <c r="BL2" s="2816"/>
      <c r="BM2" s="2816"/>
      <c r="BN2" s="2816"/>
      <c r="BO2" s="2816"/>
      <c r="BP2" s="2816"/>
      <c r="BQ2" s="2816"/>
      <c r="BR2" s="2816"/>
      <c r="BS2" s="2816"/>
      <c r="BT2" s="2816"/>
      <c r="BU2" s="2816"/>
      <c r="BV2" s="2816"/>
      <c r="BW2" s="2816"/>
      <c r="BX2" s="2816"/>
      <c r="BY2" s="2816"/>
      <c r="BZ2" s="2816"/>
      <c r="CA2" s="2816"/>
      <c r="CB2" s="2816"/>
      <c r="CC2" s="2816"/>
      <c r="CD2" s="2816"/>
      <c r="CE2" s="2816"/>
      <c r="CF2" s="2816"/>
      <c r="CG2" s="2816"/>
      <c r="CH2" s="2816"/>
      <c r="CI2" s="2816"/>
      <c r="CJ2" s="2816"/>
      <c r="CK2" s="2816"/>
      <c r="CL2" s="2816"/>
      <c r="CM2" s="2816"/>
      <c r="CN2" s="2816"/>
      <c r="CO2" s="2816"/>
      <c r="CP2" s="2816"/>
      <c r="CQ2" s="2816"/>
      <c r="CR2" s="2816"/>
      <c r="CS2" s="2816"/>
      <c r="CT2" s="2816"/>
      <c r="CU2" s="2816"/>
      <c r="CV2" s="2816"/>
      <c r="CW2" s="2816"/>
      <c r="CX2" s="2816"/>
      <c r="CY2" s="2816"/>
      <c r="CZ2" s="2816"/>
      <c r="DA2" s="2816"/>
      <c r="DB2" s="2816"/>
      <c r="DC2" s="2816"/>
      <c r="DD2" s="2816"/>
      <c r="DE2" s="2816"/>
      <c r="DF2" s="2816"/>
      <c r="DG2" s="2816"/>
      <c r="DH2" s="2816"/>
      <c r="DI2" s="2816"/>
      <c r="DJ2" s="2816"/>
      <c r="DK2" s="2816"/>
      <c r="DL2" s="2816"/>
      <c r="DM2" s="2816"/>
      <c r="DN2" s="2816"/>
      <c r="DO2" s="2816"/>
      <c r="DP2" s="2816"/>
      <c r="DQ2" s="2816"/>
      <c r="DR2" s="2816"/>
      <c r="DS2" s="2816"/>
      <c r="DT2" s="2816"/>
      <c r="DU2" s="2816"/>
      <c r="DV2" s="2816"/>
      <c r="DW2" s="2816"/>
      <c r="DX2" s="2816"/>
      <c r="DY2" s="2816"/>
      <c r="DZ2" s="2816"/>
      <c r="EA2" s="2816"/>
      <c r="EB2" s="2816"/>
      <c r="EC2" s="2816"/>
      <c r="ED2" s="2816"/>
      <c r="EE2" s="2816"/>
      <c r="EF2" s="2816"/>
      <c r="EG2" s="2816"/>
      <c r="EH2" s="2816"/>
      <c r="EI2" s="2816"/>
      <c r="EJ2" s="2816"/>
      <c r="EK2" s="2816"/>
      <c r="EL2" s="2816"/>
      <c r="EM2" s="2816"/>
      <c r="EN2" s="2816"/>
      <c r="EO2" s="2816"/>
      <c r="EP2" s="2816"/>
      <c r="EQ2" s="2816"/>
      <c r="ER2" s="2816"/>
      <c r="ES2" s="2816"/>
      <c r="ET2" s="2816"/>
      <c r="EU2" s="2816"/>
      <c r="EV2" s="2816"/>
      <c r="EW2" s="2816"/>
      <c r="EX2" s="2816"/>
      <c r="EY2" s="2816"/>
      <c r="EZ2" s="2816"/>
      <c r="FA2" s="2816"/>
      <c r="FB2" s="2816"/>
      <c r="FC2" s="2816"/>
      <c r="FD2" s="2816"/>
      <c r="FE2" s="2816"/>
      <c r="FF2" s="2816"/>
      <c r="FG2" s="2816"/>
      <c r="FH2" s="2816"/>
      <c r="FI2" s="2816"/>
      <c r="FJ2" s="2816"/>
      <c r="FK2" s="2816"/>
      <c r="FL2" s="2816"/>
      <c r="FM2" s="2816"/>
      <c r="FN2" s="2816"/>
      <c r="FO2" s="2816"/>
      <c r="FP2" s="2816"/>
      <c r="FQ2" s="2816"/>
      <c r="FR2" s="2816"/>
      <c r="FS2" s="2816"/>
      <c r="FT2" s="2816"/>
      <c r="FU2" s="2816"/>
      <c r="FV2" s="2816"/>
      <c r="FW2" s="2816"/>
      <c r="FX2" s="2816"/>
      <c r="FY2" s="2816"/>
      <c r="FZ2" s="2816"/>
      <c r="GA2" s="2816"/>
      <c r="GB2" s="2816"/>
      <c r="GC2" s="2816"/>
      <c r="GD2" s="2816"/>
      <c r="GE2" s="2816"/>
      <c r="GF2" s="2816"/>
      <c r="GG2" s="2816"/>
      <c r="GH2" s="2816"/>
      <c r="GI2" s="2816"/>
      <c r="GJ2" s="2816"/>
      <c r="GK2" s="2816"/>
      <c r="GL2" s="2816"/>
      <c r="GM2" s="2816"/>
      <c r="GN2" s="2816"/>
      <c r="GO2" s="2816"/>
      <c r="GP2" s="2816"/>
      <c r="GQ2" s="2816"/>
      <c r="GR2" s="2816"/>
      <c r="GS2" s="2816"/>
      <c r="GT2" s="2816"/>
      <c r="GU2" s="2816"/>
      <c r="GV2" s="2816"/>
      <c r="GW2" s="2816"/>
      <c r="GX2" s="2816"/>
      <c r="GY2" s="2816"/>
      <c r="GZ2" s="2816"/>
      <c r="HA2" s="2816"/>
      <c r="HB2" s="2816"/>
      <c r="HC2" s="2816"/>
      <c r="HD2" s="2816"/>
      <c r="HE2" s="2816"/>
      <c r="HF2" s="2816"/>
      <c r="HG2" s="2816"/>
      <c r="HH2" s="2816"/>
      <c r="HI2" s="2816"/>
      <c r="HJ2" s="2816"/>
      <c r="HK2" s="2816"/>
      <c r="HL2" s="2816"/>
      <c r="HM2" s="2816"/>
      <c r="HN2" s="2816"/>
      <c r="HO2" s="2816"/>
      <c r="HP2" s="2816"/>
      <c r="HQ2" s="2816"/>
      <c r="HR2" s="2816"/>
      <c r="HS2" s="2816"/>
      <c r="HT2" s="2816"/>
      <c r="HU2" s="2816"/>
      <c r="HV2" s="2816"/>
      <c r="HW2" s="2816"/>
      <c r="HX2" s="2816"/>
      <c r="HY2" s="2816"/>
      <c r="HZ2" s="2816"/>
      <c r="IA2" s="2816"/>
      <c r="IB2" s="2816"/>
      <c r="IC2" s="2816"/>
      <c r="ID2" s="2816"/>
      <c r="IE2" s="2816"/>
      <c r="IF2" s="2816"/>
      <c r="IG2" s="2816"/>
      <c r="IH2" s="2816"/>
      <c r="II2" s="2816"/>
      <c r="IJ2" s="2816"/>
      <c r="IK2" s="2816"/>
      <c r="IL2" s="2816"/>
      <c r="IM2" s="2816"/>
      <c r="IN2" s="2816"/>
      <c r="IO2" s="2816"/>
      <c r="IP2" s="2816"/>
    </row>
    <row r="3" spans="1:250" ht="21" customHeight="1">
      <c r="A3" s="1542"/>
      <c r="B3" s="3284"/>
      <c r="C3" s="1543"/>
    </row>
    <row r="4" spans="1:250" ht="21" customHeight="1">
      <c r="A4" s="33"/>
      <c r="B4" s="1280"/>
      <c r="C4" s="1540"/>
      <c r="F4" s="1544" t="s">
        <v>941</v>
      </c>
      <c r="G4" s="1098"/>
      <c r="H4" s="1098"/>
      <c r="I4" s="1098"/>
      <c r="J4" s="1098"/>
      <c r="K4" s="1098"/>
      <c r="L4" s="1098"/>
    </row>
    <row r="5" spans="1:250" ht="21" customHeight="1">
      <c r="A5" s="33"/>
      <c r="B5" s="62" t="s">
        <v>1</v>
      </c>
      <c r="C5" s="1540"/>
      <c r="E5" s="1098"/>
      <c r="F5" s="1544" t="s">
        <v>942</v>
      </c>
      <c r="G5" s="1098"/>
      <c r="H5" s="1098"/>
      <c r="I5" s="1098"/>
      <c r="J5" s="1098"/>
      <c r="K5" s="1098"/>
      <c r="L5" s="1098"/>
      <c r="O5" s="2357" t="s">
        <v>1186</v>
      </c>
    </row>
    <row r="6" spans="1:250" ht="21" customHeight="1">
      <c r="A6" s="33"/>
      <c r="B6" s="62" t="s">
        <v>452</v>
      </c>
      <c r="C6" s="1540"/>
      <c r="D6" s="1567"/>
      <c r="E6" s="1567"/>
      <c r="F6" s="1567"/>
      <c r="G6" s="1567"/>
      <c r="H6" s="1567"/>
      <c r="I6" s="1190"/>
      <c r="J6" s="1190"/>
      <c r="K6" s="1190"/>
      <c r="L6" s="1190"/>
      <c r="M6" s="1567"/>
      <c r="N6" s="2103"/>
      <c r="O6" s="1567"/>
    </row>
    <row r="7" spans="1:250" ht="21" customHeight="1">
      <c r="A7" s="33"/>
      <c r="B7" s="62" t="s">
        <v>239</v>
      </c>
      <c r="C7" s="1540"/>
      <c r="D7" s="1561"/>
      <c r="E7" s="3282" t="str">
        <f>AG104</f>
        <v>API</v>
      </c>
      <c r="F7" s="3282" t="s">
        <v>943</v>
      </c>
      <c r="G7" s="3282" t="s">
        <v>944</v>
      </c>
      <c r="H7" s="3282" t="s">
        <v>944</v>
      </c>
      <c r="I7" s="3282" t="s">
        <v>945</v>
      </c>
      <c r="J7" s="3282" t="s">
        <v>946</v>
      </c>
      <c r="K7" s="3282" t="s">
        <v>234</v>
      </c>
      <c r="L7" s="2121"/>
      <c r="M7" s="3282" t="s">
        <v>944</v>
      </c>
      <c r="N7" s="3282" t="s">
        <v>945</v>
      </c>
      <c r="O7" s="3282" t="s">
        <v>946</v>
      </c>
    </row>
    <row r="8" spans="1:250" ht="21" customHeight="1">
      <c r="A8" s="33"/>
      <c r="B8" s="146" t="s">
        <v>1263</v>
      </c>
      <c r="C8" s="1540"/>
      <c r="E8" s="3285"/>
      <c r="F8" s="3283"/>
      <c r="G8" s="3283"/>
      <c r="H8" s="3283"/>
      <c r="I8" s="3283"/>
      <c r="J8" s="3283"/>
      <c r="K8" s="3283"/>
      <c r="L8" s="2122"/>
      <c r="M8" s="3283"/>
      <c r="N8" s="3283"/>
      <c r="O8" s="3283"/>
    </row>
    <row r="9" spans="1:250" ht="21" customHeight="1">
      <c r="A9" s="33"/>
      <c r="B9" s="145" t="s">
        <v>486</v>
      </c>
      <c r="C9" s="1540"/>
      <c r="E9" s="2107" t="str">
        <f>AJ104</f>
        <v/>
      </c>
      <c r="F9" s="2108" t="str">
        <f>IF(AF104=1,"° F","° C")</f>
        <v>° F</v>
      </c>
      <c r="G9" s="2108" t="str">
        <f>CONCATENATE("@",F10,F9)</f>
        <v>@120° F</v>
      </c>
      <c r="H9" s="2108" t="str">
        <f>CONCATENATE("@",F13,F9)</f>
        <v>@115° F</v>
      </c>
      <c r="I9" s="2108" t="str">
        <f>AN104</f>
        <v>@60°F</v>
      </c>
      <c r="J9" s="2107"/>
      <c r="K9" s="2107"/>
      <c r="L9" s="1567"/>
      <c r="M9" s="2109" t="s">
        <v>947</v>
      </c>
      <c r="N9" s="2109" t="s">
        <v>947</v>
      </c>
      <c r="O9" s="2109" t="s">
        <v>947</v>
      </c>
    </row>
    <row r="10" spans="1:250" ht="21" customHeight="1">
      <c r="A10" s="33"/>
      <c r="B10" s="145" t="s">
        <v>487</v>
      </c>
      <c r="C10" s="1540"/>
      <c r="D10" s="1547" t="s">
        <v>948</v>
      </c>
      <c r="E10" s="2104">
        <v>31</v>
      </c>
      <c r="F10" s="2105">
        <v>120</v>
      </c>
      <c r="G10" s="2106">
        <v>10523.892</v>
      </c>
      <c r="H10" s="2110">
        <f>AL106</f>
        <v>10499.0715</v>
      </c>
      <c r="I10" s="2110">
        <f>AN105</f>
        <v>10238.6945268</v>
      </c>
      <c r="J10" s="1551">
        <f>AO105</f>
        <v>1414.3</v>
      </c>
      <c r="K10" s="1551">
        <f>AP105</f>
        <v>1392</v>
      </c>
      <c r="M10" s="1552">
        <f>(H10*100)/H13</f>
        <v>26.46983678137649</v>
      </c>
      <c r="N10" s="1552">
        <f>(I10*100)/I13</f>
        <v>26.465845727323888</v>
      </c>
      <c r="O10" s="1552">
        <f>(J10*100)/J13</f>
        <v>26.345397984464356</v>
      </c>
    </row>
    <row r="11" spans="1:250" ht="21" customHeight="1">
      <c r="A11" s="33"/>
      <c r="B11" s="145" t="s">
        <v>1273</v>
      </c>
      <c r="C11" s="1540"/>
      <c r="D11" s="1547" t="s">
        <v>949</v>
      </c>
      <c r="E11" s="1548">
        <v>30</v>
      </c>
      <c r="F11" s="1553">
        <f>F13</f>
        <v>115</v>
      </c>
      <c r="G11" s="1554"/>
      <c r="H11" s="2116">
        <f>AL107</f>
        <v>29165.213500000005</v>
      </c>
      <c r="I11" s="2116">
        <f>AN107</f>
        <v>28447.749247900007</v>
      </c>
      <c r="J11" s="2117">
        <f>AO107</f>
        <v>3954</v>
      </c>
      <c r="K11" s="2117">
        <f>AP107</f>
        <v>3891.4</v>
      </c>
      <c r="L11" s="1567"/>
      <c r="M11" s="2118">
        <f>(H11*100)/H13</f>
        <v>73.530163218623514</v>
      </c>
      <c r="N11" s="2118">
        <f>(I11*100)/I13</f>
        <v>73.534154272676119</v>
      </c>
      <c r="O11" s="2118">
        <f>(J11*100)/J13</f>
        <v>73.654602015535644</v>
      </c>
    </row>
    <row r="12" spans="1:250" ht="21" customHeight="1">
      <c r="A12" s="33"/>
      <c r="B12" s="145" t="s">
        <v>1276</v>
      </c>
      <c r="C12" s="1540"/>
      <c r="D12" s="2119"/>
      <c r="E12" s="2111"/>
      <c r="H12" s="2110"/>
      <c r="I12" s="2110"/>
      <c r="J12" s="1551"/>
      <c r="K12" s="1551"/>
    </row>
    <row r="13" spans="1:250" ht="21" customHeight="1">
      <c r="A13" s="33"/>
      <c r="B13" s="145" t="s">
        <v>1264</v>
      </c>
      <c r="C13" s="1540"/>
      <c r="D13" s="2120" t="s">
        <v>950</v>
      </c>
      <c r="E13" s="2112">
        <f>AJ108</f>
        <v>30.26</v>
      </c>
      <c r="F13" s="1549">
        <v>115</v>
      </c>
      <c r="H13" s="1550">
        <v>39664.285000000003</v>
      </c>
      <c r="I13" s="2113">
        <f>SUM(I10:I11)</f>
        <v>38686.443774700005</v>
      </c>
      <c r="J13" s="2114">
        <f>SUM(J10:J11)</f>
        <v>5368.3</v>
      </c>
      <c r="K13" s="2114">
        <f>SUM(K10:K11)</f>
        <v>5283.4</v>
      </c>
    </row>
    <row r="14" spans="1:250" ht="21" customHeight="1">
      <c r="A14" s="33"/>
      <c r="B14" s="147" t="s">
        <v>1265</v>
      </c>
      <c r="C14" s="1540"/>
      <c r="D14" s="1567"/>
      <c r="E14" s="1567"/>
      <c r="F14" s="2115"/>
      <c r="G14" s="2115"/>
      <c r="H14" s="2115"/>
      <c r="I14" s="2115"/>
      <c r="J14" s="2115"/>
      <c r="K14" s="2115"/>
      <c r="L14" s="1567"/>
      <c r="M14" s="2115"/>
      <c r="N14" s="1569"/>
      <c r="O14" s="1569"/>
    </row>
    <row r="15" spans="1:250" ht="21" customHeight="1">
      <c r="A15" s="33"/>
      <c r="B15" s="145" t="s">
        <v>1266</v>
      </c>
      <c r="C15" s="1540"/>
      <c r="D15" s="1558" t="s">
        <v>951</v>
      </c>
      <c r="E15" s="1559"/>
      <c r="F15" s="1559"/>
      <c r="G15" s="1559"/>
      <c r="H15" s="1559"/>
      <c r="I15" s="1559"/>
      <c r="J15" s="1559"/>
      <c r="K15" s="1559"/>
      <c r="L15" s="1559"/>
      <c r="M15" s="1559"/>
      <c r="N15" s="1559"/>
      <c r="O15" s="1560"/>
    </row>
    <row r="16" spans="1:250" ht="21" customHeight="1">
      <c r="A16" s="33"/>
      <c r="B16" s="145" t="s">
        <v>1267</v>
      </c>
      <c r="C16" s="1540"/>
      <c r="D16" s="1561"/>
      <c r="E16" s="1561"/>
      <c r="F16" s="1561"/>
      <c r="G16" s="1561"/>
      <c r="H16" s="1562" t="s">
        <v>944</v>
      </c>
      <c r="I16" s="1562" t="s">
        <v>945</v>
      </c>
      <c r="J16" s="1562" t="s">
        <v>946</v>
      </c>
      <c r="K16" s="1562" t="s">
        <v>234</v>
      </c>
      <c r="M16" s="1561"/>
      <c r="N16" s="1561"/>
      <c r="O16" s="1561"/>
    </row>
    <row r="17" spans="1:28" ht="21" customHeight="1">
      <c r="A17" s="33"/>
      <c r="B17" s="145" t="s">
        <v>556</v>
      </c>
      <c r="C17" s="1540"/>
      <c r="H17" s="1563" t="str">
        <f>CONCATENATE("@",F18,F9)</f>
        <v>@113,2° F</v>
      </c>
      <c r="I17" s="1563" t="str">
        <f>AN104</f>
        <v>@60°F</v>
      </c>
      <c r="J17" s="1564"/>
      <c r="K17" s="1564"/>
    </row>
    <row r="18" spans="1:28" ht="21" customHeight="1">
      <c r="A18" s="33"/>
      <c r="B18" s="62" t="s">
        <v>557</v>
      </c>
      <c r="C18" s="1540"/>
      <c r="D18" s="2463" t="s">
        <v>949</v>
      </c>
      <c r="E18" s="2464">
        <f>E11</f>
        <v>30</v>
      </c>
      <c r="F18" s="2465">
        <f>AD119</f>
        <v>113.2</v>
      </c>
      <c r="G18" s="1565"/>
      <c r="H18" s="2466">
        <f>AL110</f>
        <v>29138.327612311798</v>
      </c>
      <c r="I18" s="2466">
        <f>I11</f>
        <v>28447.749247900007</v>
      </c>
      <c r="J18" s="2467">
        <f>J11</f>
        <v>3954</v>
      </c>
      <c r="K18" s="2467">
        <f>K11</f>
        <v>3891.4</v>
      </c>
      <c r="M18" s="1566"/>
      <c r="N18" s="1566"/>
      <c r="O18" s="1566"/>
      <c r="S18" s="1557"/>
      <c r="T18" s="1557"/>
      <c r="U18" s="1557"/>
      <c r="V18" s="1557"/>
      <c r="W18" s="1557"/>
      <c r="X18" s="1557"/>
      <c r="Y18" s="1557"/>
      <c r="Z18" s="1557"/>
      <c r="AA18" s="1557"/>
      <c r="AB18" s="1557"/>
    </row>
    <row r="19" spans="1:28" ht="21" customHeight="1">
      <c r="A19" s="33"/>
      <c r="B19" s="62" t="s">
        <v>238</v>
      </c>
      <c r="C19" s="1540"/>
      <c r="D19" s="1567"/>
      <c r="E19" s="1567"/>
      <c r="F19" s="1567"/>
      <c r="G19" s="1567"/>
      <c r="H19" s="1567"/>
      <c r="I19" s="1568"/>
      <c r="J19" s="1568"/>
      <c r="K19" s="1568"/>
      <c r="L19" s="1568"/>
      <c r="M19" s="1568"/>
      <c r="N19" s="1569"/>
      <c r="O19" s="1569"/>
      <c r="S19" s="1557"/>
      <c r="T19" s="1557"/>
      <c r="U19" s="1557"/>
      <c r="V19" s="1557"/>
      <c r="W19" s="1557"/>
      <c r="X19" s="1557"/>
      <c r="Y19" s="1557"/>
      <c r="Z19" s="1557"/>
      <c r="AA19" s="1557"/>
      <c r="AB19" s="1557"/>
    </row>
    <row r="20" spans="1:28" ht="21" customHeight="1">
      <c r="A20" s="33"/>
      <c r="B20" s="62" t="s">
        <v>1652</v>
      </c>
      <c r="C20" s="1540"/>
      <c r="I20" s="1570"/>
      <c r="J20" s="1570"/>
      <c r="K20" s="1571"/>
      <c r="L20" s="1571"/>
      <c r="M20" s="1557"/>
      <c r="N20" s="1557"/>
      <c r="O20" s="1557"/>
      <c r="S20" s="1557"/>
      <c r="T20" s="1557"/>
      <c r="U20" s="1557"/>
      <c r="V20" s="1557"/>
      <c r="W20" s="1557"/>
      <c r="X20" s="1557"/>
      <c r="Y20" s="1557"/>
      <c r="Z20" s="1557"/>
      <c r="AA20" s="1557"/>
      <c r="AB20" s="1557"/>
    </row>
    <row r="21" spans="1:28" ht="21" customHeight="1">
      <c r="A21" s="33"/>
      <c r="B21" s="62" t="s">
        <v>1653</v>
      </c>
      <c r="C21" s="1540"/>
      <c r="E21" s="1572"/>
      <c r="I21" s="1570"/>
      <c r="J21" s="1570"/>
      <c r="K21" s="1571"/>
      <c r="L21" s="1571"/>
      <c r="M21" s="1557"/>
      <c r="N21" s="1557"/>
      <c r="S21" s="1557"/>
      <c r="T21" s="1557"/>
      <c r="U21" s="1557"/>
      <c r="V21" s="1557"/>
      <c r="W21" s="1557"/>
      <c r="X21" s="1557"/>
      <c r="Y21" s="1557"/>
      <c r="Z21" s="1557"/>
      <c r="AA21" s="1557"/>
      <c r="AB21" s="1557"/>
    </row>
    <row r="22" spans="1:28" ht="21" customHeight="1">
      <c r="A22" s="33"/>
      <c r="B22" s="62" t="s">
        <v>40</v>
      </c>
      <c r="C22" s="1540"/>
      <c r="I22" s="1570"/>
      <c r="J22" s="1570"/>
      <c r="K22" s="1571"/>
      <c r="L22" s="1571"/>
      <c r="M22" s="1557"/>
      <c r="N22" s="1557"/>
      <c r="O22" s="1557"/>
      <c r="S22" s="1557"/>
      <c r="T22" s="1557"/>
      <c r="U22" s="1557"/>
      <c r="V22" s="1557"/>
      <c r="W22" s="1557"/>
      <c r="X22" s="1557"/>
      <c r="Y22" s="1557"/>
      <c r="Z22" s="1557"/>
      <c r="AA22" s="1557"/>
      <c r="AB22" s="1557"/>
    </row>
    <row r="23" spans="1:28" ht="21" customHeight="1">
      <c r="A23" s="33"/>
      <c r="B23" s="62" t="s">
        <v>238</v>
      </c>
      <c r="C23" s="1540"/>
      <c r="I23" s="1573"/>
      <c r="J23" s="1574"/>
      <c r="K23" s="1574"/>
      <c r="L23" s="1557"/>
      <c r="M23" s="1557"/>
      <c r="N23" s="1557"/>
      <c r="O23" s="1575"/>
      <c r="S23" s="1557"/>
      <c r="T23" s="1557"/>
      <c r="U23" s="1557"/>
      <c r="V23" s="1557"/>
      <c r="W23" s="1557"/>
      <c r="X23" s="1557"/>
      <c r="Y23" s="1557"/>
      <c r="Z23" s="1557"/>
      <c r="AA23" s="1557"/>
      <c r="AB23" s="1557"/>
    </row>
    <row r="24" spans="1:28" ht="21" customHeight="1">
      <c r="A24" s="33"/>
      <c r="B24" s="62" t="s">
        <v>39</v>
      </c>
      <c r="C24" s="1540"/>
      <c r="I24" s="1573"/>
      <c r="J24" s="1574"/>
      <c r="K24" s="1574"/>
      <c r="L24" s="1557"/>
      <c r="M24" s="1557"/>
      <c r="N24" s="1576"/>
      <c r="O24" s="1575"/>
      <c r="P24" s="1557"/>
      <c r="Q24" s="1557"/>
      <c r="R24" s="1557"/>
      <c r="S24" s="1557"/>
      <c r="T24" s="1557"/>
      <c r="U24" s="1557"/>
      <c r="V24" s="1557"/>
      <c r="W24" s="1557"/>
      <c r="X24" s="1557"/>
      <c r="Y24" s="1557"/>
      <c r="Z24" s="1557"/>
      <c r="AA24" s="1557"/>
      <c r="AB24" s="1557"/>
    </row>
    <row r="25" spans="1:28" ht="21" customHeight="1">
      <c r="A25" s="33"/>
      <c r="B25" s="62" t="s">
        <v>38</v>
      </c>
      <c r="C25" s="1540"/>
      <c r="I25" s="1573"/>
      <c r="J25" s="1574"/>
      <c r="K25" s="1574"/>
      <c r="L25" s="1557"/>
      <c r="M25" s="1557"/>
      <c r="N25" s="1578"/>
      <c r="O25" s="1575"/>
      <c r="P25" s="1557"/>
      <c r="Q25" s="1557"/>
      <c r="R25" s="1557"/>
      <c r="S25" s="1557"/>
      <c r="T25" s="1557"/>
      <c r="U25" s="1557"/>
      <c r="V25" s="1557"/>
      <c r="W25" s="1557"/>
      <c r="X25" s="1557"/>
      <c r="Y25" s="1557"/>
      <c r="Z25" s="1557"/>
      <c r="AA25" s="1557"/>
      <c r="AB25" s="1557"/>
    </row>
    <row r="26" spans="1:28" ht="21" customHeight="1">
      <c r="A26" s="33"/>
      <c r="B26" s="62"/>
      <c r="C26" s="1540"/>
      <c r="I26" s="1579"/>
      <c r="J26" s="1579"/>
      <c r="K26" s="1579"/>
      <c r="L26" s="1579"/>
      <c r="M26" s="1557"/>
      <c r="N26" s="1557"/>
      <c r="O26" s="1579"/>
      <c r="P26" s="1557"/>
      <c r="Q26" s="1557"/>
      <c r="R26" s="1557"/>
      <c r="S26" s="1557"/>
      <c r="T26" s="1557"/>
      <c r="U26" s="1557"/>
      <c r="V26" s="1557"/>
      <c r="W26" s="1557"/>
      <c r="X26" s="1557"/>
      <c r="Y26" s="1557"/>
      <c r="Z26" s="1557"/>
      <c r="AA26" s="1557"/>
      <c r="AB26" s="1557"/>
    </row>
    <row r="27" spans="1:28" ht="21" customHeight="1">
      <c r="A27" s="33"/>
      <c r="B27" s="62"/>
      <c r="C27" s="1540"/>
      <c r="F27" s="1580"/>
      <c r="G27" s="1581"/>
      <c r="H27" s="1582"/>
      <c r="I27" s="1579"/>
      <c r="J27" s="1579"/>
      <c r="K27" s="1579"/>
      <c r="L27" s="1579"/>
      <c r="M27" s="1557"/>
      <c r="N27" s="1557"/>
      <c r="O27" s="1579"/>
      <c r="P27" s="1557"/>
      <c r="Q27" s="1557"/>
      <c r="R27" s="1557"/>
      <c r="S27" s="1557"/>
      <c r="T27" s="1557"/>
      <c r="U27" s="1557"/>
      <c r="V27" s="1557"/>
      <c r="W27" s="1557"/>
      <c r="X27" s="1557"/>
      <c r="Y27" s="1557"/>
      <c r="Z27" s="1557"/>
      <c r="AA27" s="1557"/>
      <c r="AB27" s="1557"/>
    </row>
    <row r="28" spans="1:28" ht="21" customHeight="1">
      <c r="A28" s="33"/>
      <c r="B28" s="565"/>
      <c r="C28" s="1540"/>
      <c r="F28" s="1557"/>
      <c r="G28" s="1557"/>
      <c r="H28" s="1557"/>
      <c r="I28" s="1557"/>
      <c r="J28" s="1557"/>
      <c r="K28" s="1557"/>
      <c r="L28" s="1557"/>
      <c r="M28" s="1557"/>
      <c r="N28" s="1557"/>
      <c r="O28" s="1557"/>
      <c r="P28" s="1576"/>
      <c r="Q28" s="1576"/>
      <c r="R28" s="1576"/>
      <c r="S28" s="1557"/>
      <c r="T28" s="1557"/>
      <c r="U28" s="1557"/>
      <c r="V28" s="1557"/>
      <c r="W28" s="1557"/>
      <c r="X28" s="1557"/>
      <c r="Y28" s="1557"/>
      <c r="Z28" s="1557"/>
      <c r="AA28" s="1557"/>
      <c r="AB28" s="1557"/>
    </row>
    <row r="29" spans="1:28" ht="21" customHeight="1">
      <c r="A29" s="33"/>
      <c r="B29" s="565"/>
      <c r="C29" s="1540"/>
      <c r="F29" s="1557"/>
      <c r="G29" s="1557"/>
      <c r="H29" s="1557"/>
      <c r="I29" s="1557"/>
      <c r="J29" s="1557"/>
      <c r="K29" s="1557"/>
      <c r="L29" s="1557"/>
      <c r="M29" s="1583"/>
      <c r="N29" s="1557"/>
      <c r="O29" s="1557"/>
      <c r="P29" s="1578"/>
      <c r="Q29" s="1578"/>
      <c r="R29" s="1578"/>
      <c r="S29" s="1557"/>
      <c r="T29" s="1557"/>
      <c r="U29" s="1557"/>
      <c r="V29" s="1557"/>
      <c r="W29" s="1557"/>
      <c r="X29" s="1557"/>
      <c r="Y29" s="1557"/>
      <c r="Z29" s="1557"/>
      <c r="AA29" s="1557"/>
      <c r="AB29" s="1557"/>
    </row>
    <row r="30" spans="1:28" ht="21" customHeight="1">
      <c r="A30" s="33"/>
      <c r="B30" s="1577"/>
      <c r="C30" s="1540"/>
      <c r="F30" s="1557"/>
      <c r="G30" s="1557"/>
      <c r="H30" s="1557"/>
      <c r="I30" s="1557"/>
      <c r="J30" s="1557"/>
      <c r="K30" s="1557"/>
      <c r="L30" s="1557"/>
      <c r="M30" s="1557"/>
      <c r="N30" s="1557"/>
      <c r="O30" s="1557"/>
      <c r="P30" s="1579"/>
      <c r="Q30" s="1579"/>
      <c r="R30" s="1579"/>
      <c r="S30" s="1579"/>
      <c r="T30" s="1579"/>
      <c r="U30" s="1579"/>
      <c r="V30" s="1579"/>
      <c r="W30" s="1579"/>
      <c r="X30" s="1579"/>
      <c r="Y30" s="1579"/>
      <c r="Z30" s="1579"/>
      <c r="AA30" s="1557"/>
      <c r="AB30" s="1557"/>
    </row>
    <row r="31" spans="1:28" ht="21" customHeight="1">
      <c r="A31" s="33"/>
      <c r="B31" s="1577"/>
      <c r="C31" s="1540"/>
      <c r="F31" s="1557"/>
      <c r="G31" s="1557"/>
      <c r="H31" s="1557"/>
      <c r="I31" s="1557"/>
      <c r="J31" s="1557"/>
      <c r="K31" s="1557"/>
      <c r="L31" s="1557"/>
      <c r="M31" s="1557"/>
      <c r="N31" s="1557"/>
      <c r="O31" s="1557"/>
      <c r="AB31" s="1557"/>
    </row>
    <row r="32" spans="1:28" ht="21" customHeight="1">
      <c r="A32" s="33"/>
      <c r="B32" s="1577"/>
      <c r="C32" s="1540"/>
      <c r="F32" s="1557"/>
      <c r="G32" s="1557"/>
      <c r="H32" s="1557"/>
      <c r="I32" s="1557"/>
      <c r="J32" s="1557"/>
      <c r="K32" s="1557"/>
      <c r="L32" s="1557"/>
      <c r="M32" s="1557"/>
      <c r="N32" s="1557"/>
      <c r="O32" s="1557"/>
      <c r="AB32" s="1557"/>
    </row>
    <row r="33" spans="1:28" ht="21" customHeight="1">
      <c r="A33" s="33"/>
      <c r="B33" s="1577"/>
      <c r="C33" s="1540"/>
      <c r="F33" s="1557"/>
      <c r="G33" s="1557"/>
      <c r="H33" s="1557"/>
      <c r="I33" s="1557"/>
      <c r="J33" s="1557"/>
      <c r="K33" s="1557"/>
      <c r="L33" s="1557"/>
      <c r="M33" s="1557"/>
      <c r="N33" s="1557"/>
      <c r="O33" s="1557"/>
      <c r="AB33" s="1557"/>
    </row>
    <row r="34" spans="1:28" ht="21" customHeight="1">
      <c r="A34" s="33"/>
      <c r="B34" s="1577"/>
      <c r="C34" s="1540"/>
      <c r="F34" s="1557"/>
      <c r="G34" s="1557"/>
      <c r="H34" s="1557"/>
      <c r="I34" s="1557"/>
      <c r="J34" s="1557"/>
      <c r="K34" s="1557"/>
      <c r="L34" s="1557"/>
      <c r="M34" s="1557"/>
      <c r="N34" s="1557"/>
      <c r="O34" s="1557"/>
      <c r="AB34" s="1557"/>
    </row>
    <row r="35" spans="1:28" ht="21" customHeight="1">
      <c r="A35" s="33"/>
      <c r="B35" s="1577"/>
      <c r="C35" s="1540"/>
      <c r="F35" s="1557"/>
      <c r="G35" s="1557"/>
      <c r="H35" s="1557"/>
      <c r="I35" s="1557"/>
      <c r="J35" s="1557"/>
      <c r="K35" s="1557"/>
      <c r="L35" s="1557"/>
      <c r="M35" s="1557"/>
      <c r="N35" s="1557"/>
      <c r="O35" s="1557"/>
      <c r="AB35" s="1557"/>
    </row>
    <row r="36" spans="1:28" ht="21" customHeight="1">
      <c r="A36" s="33"/>
      <c r="B36" s="1577"/>
      <c r="C36" s="1540"/>
      <c r="F36" s="1557"/>
      <c r="G36" s="1557"/>
      <c r="H36" s="1557"/>
      <c r="I36" s="1557"/>
      <c r="J36" s="1557"/>
      <c r="K36" s="1557"/>
      <c r="L36" s="1557"/>
      <c r="M36" s="1557"/>
      <c r="N36" s="1557"/>
      <c r="O36" s="1557"/>
      <c r="AB36" s="1557"/>
    </row>
    <row r="37" spans="1:28" ht="21" customHeight="1">
      <c r="A37" s="33"/>
      <c r="B37" s="1577"/>
      <c r="C37" s="1540"/>
      <c r="F37" s="1557"/>
      <c r="G37" s="1557"/>
      <c r="H37" s="1557"/>
      <c r="I37" s="1557"/>
      <c r="J37" s="1557"/>
      <c r="K37" s="1557"/>
      <c r="L37" s="1557"/>
      <c r="M37" s="1557"/>
      <c r="N37" s="1557"/>
      <c r="O37" s="1557"/>
      <c r="AB37" s="1557"/>
    </row>
    <row r="38" spans="1:28" ht="21" customHeight="1">
      <c r="A38" s="33"/>
      <c r="B38" s="1577"/>
      <c r="C38" s="1540"/>
      <c r="F38" s="1557"/>
      <c r="G38" s="1557"/>
      <c r="H38" s="1557"/>
      <c r="I38" s="1557"/>
      <c r="J38" s="1557"/>
      <c r="K38" s="1557"/>
      <c r="L38" s="1557"/>
      <c r="M38" s="1557"/>
      <c r="N38" s="1557"/>
      <c r="O38" s="1557"/>
      <c r="AB38" s="1557"/>
    </row>
    <row r="39" spans="1:28">
      <c r="A39" s="33"/>
      <c r="B39" s="1577"/>
      <c r="C39" s="1540"/>
      <c r="E39" s="1098"/>
      <c r="F39" s="1557"/>
      <c r="G39" s="1557"/>
      <c r="H39" s="1557"/>
      <c r="I39" s="1557"/>
      <c r="J39" s="1557"/>
      <c r="K39" s="1557"/>
      <c r="L39" s="1557"/>
      <c r="M39" s="1557"/>
      <c r="N39" s="1557"/>
      <c r="O39" s="1557"/>
      <c r="AB39" s="1557"/>
    </row>
    <row r="40" spans="1:28">
      <c r="A40" s="33"/>
      <c r="B40" s="1577"/>
      <c r="C40" s="1540"/>
      <c r="E40" s="1098"/>
      <c r="F40" s="1557"/>
      <c r="G40" s="1557"/>
      <c r="H40" s="1557"/>
      <c r="I40" s="1557"/>
      <c r="J40" s="1557"/>
      <c r="K40" s="1557"/>
      <c r="L40" s="1557"/>
      <c r="M40" s="1557"/>
      <c r="N40" s="1557"/>
      <c r="O40" s="1557"/>
      <c r="AB40" s="1557"/>
    </row>
    <row r="41" spans="1:28">
      <c r="A41" s="33"/>
      <c r="B41" s="1577"/>
      <c r="C41" s="1540"/>
      <c r="E41" s="1098"/>
      <c r="F41" s="1557"/>
      <c r="G41" s="1557"/>
      <c r="H41" s="1557"/>
      <c r="I41" s="1557"/>
      <c r="J41" s="1557"/>
      <c r="K41" s="1557"/>
      <c r="L41" s="1557"/>
      <c r="M41" s="1557"/>
      <c r="N41" s="1557"/>
      <c r="O41" s="1557"/>
      <c r="AB41" s="1557"/>
    </row>
    <row r="42" spans="1:28">
      <c r="A42" s="33"/>
      <c r="B42" s="1577"/>
      <c r="C42" s="1540"/>
      <c r="E42" s="1098"/>
      <c r="F42" s="1557"/>
      <c r="G42" s="1557"/>
      <c r="H42" s="1557"/>
      <c r="I42" s="1557"/>
      <c r="J42" s="1557"/>
      <c r="K42" s="1557"/>
      <c r="L42" s="1557"/>
      <c r="M42" s="1557"/>
      <c r="N42" s="1557"/>
      <c r="O42" s="1557"/>
      <c r="AB42" s="1557"/>
    </row>
    <row r="43" spans="1:28" ht="13.15">
      <c r="A43" s="33"/>
      <c r="B43" s="1577"/>
      <c r="C43" s="1540"/>
      <c r="E43" s="1098"/>
      <c r="F43" s="1576"/>
      <c r="G43" s="1576"/>
      <c r="H43" s="1576"/>
      <c r="I43" s="1557"/>
      <c r="J43" s="1557"/>
      <c r="K43" s="1557"/>
      <c r="L43" s="1557"/>
      <c r="M43" s="1557"/>
      <c r="N43" s="1557"/>
      <c r="O43" s="1557"/>
      <c r="AB43" s="1557"/>
    </row>
    <row r="44" spans="1:28">
      <c r="A44" s="33"/>
      <c r="B44" s="1577"/>
      <c r="C44" s="1540"/>
      <c r="E44" s="1098"/>
      <c r="F44" s="1098"/>
      <c r="G44" s="1098"/>
      <c r="H44" s="1098"/>
      <c r="I44" s="1098"/>
      <c r="J44" s="1098"/>
      <c r="K44" s="1098"/>
      <c r="L44" s="1098"/>
      <c r="M44" s="1098"/>
      <c r="N44" s="1098"/>
      <c r="O44" s="1557"/>
      <c r="AB44" s="1557"/>
    </row>
    <row r="45" spans="1:28">
      <c r="A45" s="33"/>
      <c r="B45" s="1577"/>
      <c r="C45" s="1540"/>
      <c r="E45" s="1098"/>
      <c r="F45" s="1098"/>
      <c r="G45" s="1098"/>
      <c r="H45" s="1098"/>
      <c r="I45" s="1098"/>
      <c r="J45" s="1098"/>
      <c r="K45" s="1098"/>
      <c r="L45" s="1098"/>
      <c r="M45" s="1098"/>
      <c r="N45" s="1098"/>
      <c r="O45" s="1557"/>
      <c r="AB45" s="1557"/>
    </row>
    <row r="46" spans="1:28">
      <c r="A46" s="33"/>
      <c r="B46" s="1577"/>
      <c r="C46" s="1540"/>
      <c r="O46" s="1557"/>
      <c r="AB46" s="1557"/>
    </row>
    <row r="47" spans="1:28">
      <c r="A47" s="33"/>
      <c r="B47" s="1577"/>
      <c r="C47" s="1540"/>
      <c r="O47" s="1557"/>
      <c r="AB47" s="1557"/>
    </row>
    <row r="48" spans="1:28">
      <c r="A48" s="33"/>
      <c r="B48" s="1577"/>
      <c r="C48" s="1540"/>
      <c r="O48" s="1557"/>
      <c r="AB48" s="1557"/>
    </row>
    <row r="49" spans="1:28">
      <c r="A49" s="33"/>
      <c r="B49" s="1577"/>
      <c r="C49" s="1540"/>
      <c r="O49" s="1557"/>
      <c r="AB49" s="1557"/>
    </row>
    <row r="50" spans="1:28">
      <c r="A50" s="33"/>
      <c r="B50" s="1577"/>
      <c r="C50" s="1540"/>
      <c r="O50" s="1557"/>
      <c r="AB50" s="1557"/>
    </row>
    <row r="51" spans="1:28">
      <c r="A51" s="33"/>
      <c r="B51" s="1577"/>
      <c r="C51" s="1540"/>
      <c r="O51" s="1557"/>
      <c r="AB51" s="1557"/>
    </row>
    <row r="52" spans="1:28">
      <c r="A52" s="33"/>
      <c r="B52" s="1577"/>
      <c r="C52" s="1540"/>
      <c r="O52" s="1557"/>
      <c r="AB52" s="1557"/>
    </row>
    <row r="53" spans="1:28">
      <c r="A53" s="33"/>
      <c r="B53" s="1577"/>
      <c r="C53" s="1540"/>
      <c r="O53" s="1557"/>
      <c r="AB53" s="1557"/>
    </row>
    <row r="54" spans="1:28">
      <c r="A54" s="33"/>
      <c r="B54" s="1577"/>
      <c r="C54" s="1540"/>
      <c r="O54" s="1557"/>
      <c r="AB54" s="1557"/>
    </row>
    <row r="55" spans="1:28">
      <c r="A55" s="33"/>
      <c r="B55" s="1577"/>
      <c r="C55" s="1540"/>
      <c r="O55" s="1557"/>
      <c r="AB55" s="1557"/>
    </row>
    <row r="56" spans="1:28">
      <c r="A56" s="33"/>
      <c r="B56" s="1577"/>
      <c r="C56" s="1540"/>
      <c r="O56" s="1557"/>
      <c r="AB56" s="1557"/>
    </row>
    <row r="57" spans="1:28">
      <c r="A57" s="33"/>
      <c r="B57" s="1577"/>
      <c r="C57" s="1540"/>
      <c r="O57" s="1557"/>
      <c r="AB57" s="1557"/>
    </row>
    <row r="58" spans="1:28">
      <c r="A58" s="33"/>
      <c r="B58" s="1577"/>
      <c r="C58" s="1540"/>
      <c r="O58" s="1557"/>
      <c r="AB58" s="1557"/>
    </row>
    <row r="59" spans="1:28">
      <c r="A59" s="33"/>
      <c r="B59" s="1577"/>
      <c r="C59" s="1540"/>
      <c r="O59" s="1557"/>
      <c r="AB59" s="1557"/>
    </row>
    <row r="60" spans="1:28">
      <c r="A60" s="33"/>
      <c r="B60" s="1577"/>
      <c r="C60" s="1540"/>
      <c r="O60" s="1557"/>
      <c r="AB60" s="1557"/>
    </row>
    <row r="61" spans="1:28">
      <c r="A61" s="33"/>
      <c r="B61" s="1577"/>
      <c r="C61" s="1540"/>
      <c r="O61" s="1557"/>
      <c r="AB61" s="1557"/>
    </row>
    <row r="62" spans="1:28">
      <c r="A62" s="33"/>
      <c r="B62" s="1577"/>
      <c r="C62" s="1540"/>
      <c r="O62" s="1557"/>
      <c r="AB62" s="1557"/>
    </row>
    <row r="63" spans="1:28">
      <c r="A63" s="33"/>
      <c r="B63" s="1577"/>
      <c r="C63" s="1540"/>
      <c r="O63" s="1557"/>
      <c r="AB63" s="1557"/>
    </row>
    <row r="64" spans="1:28">
      <c r="A64" s="33"/>
      <c r="B64" s="1577"/>
      <c r="C64" s="1540"/>
      <c r="O64" s="1557"/>
      <c r="AB64" s="1557"/>
    </row>
    <row r="65" spans="1:28">
      <c r="A65" s="33"/>
      <c r="B65" s="1577"/>
      <c r="C65" s="1540"/>
      <c r="O65" s="1557"/>
      <c r="AB65" s="1557"/>
    </row>
    <row r="66" spans="1:28">
      <c r="A66" s="33"/>
      <c r="B66" s="1577"/>
      <c r="C66" s="1540"/>
      <c r="O66" s="1557"/>
      <c r="AB66" s="1557"/>
    </row>
    <row r="67" spans="1:28">
      <c r="A67" s="33"/>
      <c r="B67" s="1577"/>
      <c r="C67" s="1540"/>
      <c r="O67" s="1557"/>
      <c r="AB67" s="1557"/>
    </row>
    <row r="68" spans="1:28">
      <c r="A68" s="33"/>
      <c r="B68" s="1577"/>
      <c r="C68" s="1540"/>
      <c r="O68" s="1557"/>
      <c r="AB68" s="1557"/>
    </row>
    <row r="69" spans="1:28">
      <c r="A69" s="33"/>
      <c r="B69" s="1577"/>
      <c r="C69" s="1540"/>
      <c r="O69" s="1557"/>
      <c r="AB69" s="1557"/>
    </row>
    <row r="70" spans="1:28">
      <c r="A70" s="33"/>
      <c r="B70" s="1577"/>
      <c r="C70" s="1540"/>
      <c r="O70" s="1557"/>
      <c r="AB70" s="1557"/>
    </row>
    <row r="71" spans="1:28">
      <c r="A71" s="33"/>
      <c r="B71" s="1577"/>
      <c r="C71" s="1540"/>
      <c r="O71" s="1557"/>
      <c r="AB71" s="1557"/>
    </row>
    <row r="72" spans="1:28">
      <c r="A72" s="33"/>
      <c r="B72" s="1577"/>
      <c r="C72" s="1540"/>
      <c r="O72" s="1557"/>
      <c r="AB72" s="1557"/>
    </row>
    <row r="73" spans="1:28">
      <c r="A73" s="33"/>
      <c r="B73" s="1577"/>
      <c r="C73" s="1540"/>
      <c r="O73" s="1557"/>
      <c r="AB73" s="1557"/>
    </row>
    <row r="74" spans="1:28">
      <c r="A74" s="33"/>
      <c r="B74" s="1577"/>
      <c r="C74" s="1540"/>
      <c r="O74" s="1557"/>
      <c r="AB74" s="1557"/>
    </row>
    <row r="75" spans="1:28">
      <c r="A75" s="33"/>
      <c r="B75" s="1577"/>
      <c r="C75" s="1540"/>
      <c r="O75" s="1557"/>
      <c r="AB75" s="1557"/>
    </row>
    <row r="76" spans="1:28">
      <c r="A76" s="33"/>
      <c r="B76" s="1577"/>
      <c r="C76" s="1540"/>
      <c r="O76" s="1557"/>
      <c r="AB76" s="1557"/>
    </row>
    <row r="77" spans="1:28">
      <c r="A77" s="33"/>
      <c r="B77" s="1577"/>
      <c r="C77" s="1540"/>
      <c r="O77" s="1557"/>
      <c r="AB77" s="1557"/>
    </row>
    <row r="78" spans="1:28">
      <c r="A78" s="33"/>
      <c r="B78" s="1577"/>
      <c r="C78" s="1540"/>
      <c r="O78" s="1557"/>
      <c r="AB78" s="1557"/>
    </row>
    <row r="79" spans="1:28">
      <c r="A79" s="33"/>
      <c r="B79" s="1577"/>
      <c r="C79" s="1540"/>
      <c r="O79" s="1557"/>
      <c r="AB79" s="1557"/>
    </row>
    <row r="80" spans="1:28">
      <c r="A80" s="33"/>
      <c r="B80" s="1577"/>
      <c r="C80" s="1540"/>
      <c r="AB80" s="1557"/>
    </row>
    <row r="81" spans="1:28">
      <c r="A81" s="33"/>
      <c r="B81" s="1577"/>
      <c r="C81" s="1540"/>
      <c r="AB81" s="1557"/>
    </row>
    <row r="82" spans="1:28">
      <c r="A82" s="33"/>
      <c r="B82" s="1577"/>
      <c r="C82" s="1540"/>
      <c r="AB82" s="1557"/>
    </row>
    <row r="83" spans="1:28">
      <c r="A83" s="33"/>
      <c r="B83" s="1577"/>
      <c r="C83" s="1540"/>
      <c r="AB83" s="1557"/>
    </row>
    <row r="84" spans="1:28">
      <c r="B84" s="1577"/>
      <c r="C84" s="1540"/>
      <c r="AB84" s="1557"/>
    </row>
    <row r="85" spans="1:28">
      <c r="B85" s="1577"/>
      <c r="C85" s="1540"/>
      <c r="AB85" s="1557"/>
    </row>
    <row r="86" spans="1:28">
      <c r="B86" s="1577"/>
      <c r="C86" s="1540"/>
      <c r="AB86" s="1557"/>
    </row>
    <row r="87" spans="1:28">
      <c r="B87" s="1577"/>
      <c r="C87" s="1540"/>
      <c r="AB87" s="1557"/>
    </row>
    <row r="88" spans="1:28">
      <c r="B88" s="1577"/>
      <c r="C88" s="1540"/>
      <c r="AB88" s="1557"/>
    </row>
    <row r="89" spans="1:28">
      <c r="B89" s="1577"/>
      <c r="C89" s="1540"/>
      <c r="AB89" s="1557"/>
    </row>
    <row r="90" spans="1:28">
      <c r="B90" s="1577"/>
      <c r="C90" s="1540"/>
      <c r="AB90" s="1557"/>
    </row>
    <row r="91" spans="1:28">
      <c r="B91" s="1577"/>
      <c r="C91" s="1540"/>
      <c r="AB91" s="1557"/>
    </row>
    <row r="92" spans="1:28">
      <c r="B92" s="1577"/>
      <c r="C92" s="1540"/>
      <c r="AB92" s="1557"/>
    </row>
    <row r="93" spans="1:28">
      <c r="B93" s="1577"/>
      <c r="C93" s="1540"/>
      <c r="AB93" s="1557"/>
    </row>
    <row r="94" spans="1:28">
      <c r="B94" s="1577"/>
      <c r="C94" s="1540"/>
      <c r="AB94" s="1557"/>
    </row>
    <row r="95" spans="1:28">
      <c r="B95" s="1577"/>
      <c r="C95" s="1540"/>
      <c r="AB95" s="1557"/>
    </row>
    <row r="96" spans="1:28">
      <c r="B96" s="1577"/>
      <c r="C96" s="1540"/>
      <c r="AB96" s="1557"/>
    </row>
    <row r="97" spans="2:77">
      <c r="B97" s="1577"/>
      <c r="C97" s="1540"/>
      <c r="AB97" s="1557"/>
    </row>
    <row r="98" spans="2:77">
      <c r="B98" s="1577"/>
      <c r="C98" s="1540"/>
      <c r="AB98" s="1557"/>
    </row>
    <row r="99" spans="2:77">
      <c r="B99" s="1577"/>
      <c r="C99" s="1540"/>
      <c r="AB99" s="1557"/>
    </row>
    <row r="100" spans="2:77">
      <c r="B100" s="1577"/>
      <c r="C100" s="1540"/>
      <c r="AA100" s="987" t="s">
        <v>952</v>
      </c>
      <c r="AI100" s="987" t="s">
        <v>952</v>
      </c>
      <c r="AL100" s="987"/>
      <c r="AR100" s="987" t="s">
        <v>952</v>
      </c>
      <c r="AW100" s="1557"/>
      <c r="BF100" s="987" t="s">
        <v>952</v>
      </c>
      <c r="BX100" s="987" t="s">
        <v>952</v>
      </c>
    </row>
    <row r="101" spans="2:77">
      <c r="B101" s="1577"/>
      <c r="AA101" s="1557"/>
      <c r="AB101" s="1557"/>
      <c r="AC101" s="1557"/>
      <c r="AD101" s="1557"/>
      <c r="AE101" s="1557"/>
      <c r="AF101" s="1557"/>
      <c r="AG101" s="1557"/>
      <c r="AH101" s="1557"/>
      <c r="AI101" s="1557"/>
      <c r="AJ101" s="1557"/>
      <c r="AK101" s="1557"/>
      <c r="AL101" s="1557"/>
      <c r="AM101" s="1557"/>
      <c r="AN101" s="1557"/>
      <c r="AO101" s="1557"/>
      <c r="AP101" s="1557"/>
      <c r="AQ101" s="1557"/>
      <c r="AR101" s="1557"/>
      <c r="AS101" s="1557"/>
      <c r="AT101" s="1557"/>
      <c r="AU101" s="1557"/>
      <c r="AV101" s="1557"/>
      <c r="AW101" s="1557"/>
    </row>
    <row r="102" spans="2:77" ht="13.15">
      <c r="B102" s="1577"/>
      <c r="AA102" s="1586" t="s">
        <v>632</v>
      </c>
      <c r="AB102" s="1587"/>
      <c r="AC102" s="1587"/>
      <c r="AD102" s="1587"/>
      <c r="AE102" s="1587"/>
      <c r="AF102" s="1587"/>
      <c r="AG102" s="1587"/>
      <c r="AH102" s="1587"/>
      <c r="AI102" s="1587"/>
      <c r="AJ102" s="1588" t="s">
        <v>632</v>
      </c>
      <c r="AK102" s="1587"/>
      <c r="AL102" s="1587"/>
      <c r="AM102" s="1587"/>
      <c r="AN102" s="1587"/>
      <c r="AO102" s="1587"/>
      <c r="AP102" s="1589"/>
      <c r="AQ102" s="1589"/>
      <c r="AR102" s="1589"/>
      <c r="AS102" s="1588" t="s">
        <v>632</v>
      </c>
      <c r="AT102" s="1587"/>
      <c r="AU102" s="1587"/>
      <c r="AV102" s="1587"/>
      <c r="AW102" s="1587"/>
      <c r="AX102" s="1587"/>
      <c r="AY102" s="1587"/>
      <c r="AZ102" s="1588" t="s">
        <v>632</v>
      </c>
      <c r="BA102" s="1587"/>
      <c r="BB102" s="1587"/>
      <c r="BC102" s="1587"/>
      <c r="BD102" s="1587"/>
      <c r="BE102" s="1587"/>
      <c r="BF102" s="1588" t="s">
        <v>632</v>
      </c>
      <c r="BG102" s="1587"/>
      <c r="BH102" s="1587"/>
      <c r="BI102" s="1587"/>
      <c r="BJ102" s="1587"/>
      <c r="BK102" s="1587"/>
      <c r="BL102" s="1587"/>
      <c r="BM102" s="1587"/>
      <c r="BN102" s="1587"/>
      <c r="BO102" s="1587"/>
      <c r="BP102" s="1587"/>
      <c r="BQ102" s="1587"/>
      <c r="BR102" s="1587"/>
      <c r="BS102" s="1588" t="s">
        <v>632</v>
      </c>
      <c r="BT102" s="1587"/>
      <c r="BU102" s="1587"/>
      <c r="BV102" s="1587"/>
      <c r="BW102" s="1587"/>
      <c r="BX102" s="1587"/>
      <c r="BY102" s="1590"/>
    </row>
    <row r="103" spans="2:77" ht="13.15">
      <c r="B103" s="1577"/>
      <c r="AA103" s="2358" t="s">
        <v>953</v>
      </c>
      <c r="AB103" s="1591" t="s">
        <v>954</v>
      </c>
      <c r="AC103" s="1591"/>
      <c r="AD103" s="1592">
        <f>AJ105</f>
        <v>31</v>
      </c>
      <c r="AF103" s="2453" t="s">
        <v>955</v>
      </c>
      <c r="AG103" s="2454"/>
      <c r="AI103" s="26"/>
      <c r="AJ103" s="2441" t="str">
        <f>AG104</f>
        <v>API</v>
      </c>
      <c r="AK103" s="2441" t="s">
        <v>943</v>
      </c>
      <c r="AL103" s="2370" t="s">
        <v>956</v>
      </c>
      <c r="AM103" s="2370" t="s">
        <v>204</v>
      </c>
      <c r="AN103" s="2370" t="s">
        <v>957</v>
      </c>
      <c r="AO103" s="2441" t="s">
        <v>946</v>
      </c>
      <c r="AP103" s="2441" t="s">
        <v>234</v>
      </c>
      <c r="AR103" s="26"/>
      <c r="AS103" s="2362" t="s">
        <v>576</v>
      </c>
      <c r="AT103" s="2363"/>
      <c r="AU103" s="2364" t="s">
        <v>203</v>
      </c>
      <c r="AV103" s="2365"/>
      <c r="AW103" s="2366"/>
      <c r="AX103" s="2367"/>
      <c r="AY103" s="2368"/>
      <c r="AZ103" s="2369"/>
      <c r="BA103" s="2369"/>
      <c r="BB103" s="2369"/>
      <c r="BC103" s="2369"/>
      <c r="BD103" s="2370" t="s">
        <v>204</v>
      </c>
      <c r="BF103" s="2435" t="s">
        <v>11</v>
      </c>
      <c r="BG103" s="2436"/>
      <c r="BH103" s="2436"/>
      <c r="BI103" s="2404"/>
      <c r="BJ103" s="2435" t="s">
        <v>5</v>
      </c>
      <c r="BK103" s="2436"/>
      <c r="BL103" s="2436"/>
      <c r="BM103" s="2405"/>
      <c r="BN103" s="2435" t="s">
        <v>6</v>
      </c>
      <c r="BO103" s="2436"/>
      <c r="BP103" s="2436"/>
      <c r="BQ103" s="2404"/>
      <c r="BR103" s="2001" t="s">
        <v>12</v>
      </c>
      <c r="BS103" s="2437"/>
      <c r="BT103" s="2002"/>
      <c r="BU103" s="2404"/>
      <c r="BV103" s="2435" t="s">
        <v>9</v>
      </c>
      <c r="BW103" s="2438"/>
      <c r="BX103" s="2436"/>
      <c r="BY103" s="55"/>
    </row>
    <row r="104" spans="2:77" ht="13.15">
      <c r="B104" s="1577"/>
      <c r="AA104" s="2359" t="s">
        <v>958</v>
      </c>
      <c r="AB104" s="1600" t="s">
        <v>959</v>
      </c>
      <c r="AC104" s="1600"/>
      <c r="AD104" s="1601">
        <f>IF(AF104=1,AU133,AV133)</f>
        <v>120</v>
      </c>
      <c r="AE104" s="1557"/>
      <c r="AF104" s="1602">
        <v>1</v>
      </c>
      <c r="AG104" s="1603" t="str">
        <f>VLOOKUP(AF104,AF105:AG106,2)</f>
        <v>API</v>
      </c>
      <c r="AH104" s="1557"/>
      <c r="AI104" s="1604"/>
      <c r="AJ104" s="2376" t="str">
        <f>IF(AF104=1,"","( kg/m³ )")</f>
        <v/>
      </c>
      <c r="AK104" s="2442" t="str">
        <f>IF(AF104=1,"( °F )","( °C )")</f>
        <v>( °F )</v>
      </c>
      <c r="AL104" s="2443" t="str">
        <f>IF(AF104=1,"Bbls","Cub.M.")</f>
        <v>Bbls</v>
      </c>
      <c r="AM104" s="2443" t="str">
        <f>AG111</f>
        <v>Tab. 6B</v>
      </c>
      <c r="AN104" s="2444" t="str">
        <f>IF(AF104=1,"@60°F","@15°C")</f>
        <v>@60°F</v>
      </c>
      <c r="AO104" s="2376"/>
      <c r="AP104" s="2376"/>
      <c r="AQ104" s="1557"/>
      <c r="AR104" s="1604"/>
      <c r="AS104" s="2371" t="s">
        <v>18</v>
      </c>
      <c r="AT104" s="2372" t="s">
        <v>205</v>
      </c>
      <c r="AU104" s="2373" t="s">
        <v>18</v>
      </c>
      <c r="AV104" s="2281" t="s">
        <v>205</v>
      </c>
      <c r="AW104" s="2374" t="s">
        <v>206</v>
      </c>
      <c r="AX104" s="2374" t="s">
        <v>207</v>
      </c>
      <c r="AY104" s="2375"/>
      <c r="AZ104" s="2376"/>
      <c r="BA104" s="2376"/>
      <c r="BB104" s="2376"/>
      <c r="BC104" s="2376"/>
      <c r="BD104" s="2377" t="s">
        <v>208</v>
      </c>
      <c r="BF104" s="2439" t="s">
        <v>18</v>
      </c>
      <c r="BG104" s="2439" t="s">
        <v>19</v>
      </c>
      <c r="BH104" s="2439" t="s">
        <v>20</v>
      </c>
      <c r="BI104" s="2404"/>
      <c r="BJ104" s="2439" t="s">
        <v>18</v>
      </c>
      <c r="BK104" s="2439" t="s">
        <v>14</v>
      </c>
      <c r="BL104" s="2439" t="s">
        <v>14</v>
      </c>
      <c r="BM104" s="2440"/>
      <c r="BN104" s="2439" t="s">
        <v>18</v>
      </c>
      <c r="BO104" s="2439" t="s">
        <v>15</v>
      </c>
      <c r="BP104" s="2439" t="s">
        <v>15</v>
      </c>
      <c r="BQ104" s="2404"/>
      <c r="BR104" s="2439" t="s">
        <v>20</v>
      </c>
      <c r="BS104" s="2439" t="s">
        <v>19</v>
      </c>
      <c r="BT104" s="2439" t="s">
        <v>18</v>
      </c>
      <c r="BU104" s="2404"/>
      <c r="BV104" s="2439" t="s">
        <v>20</v>
      </c>
      <c r="BW104" s="2439" t="s">
        <v>23</v>
      </c>
      <c r="BX104" s="2439" t="s">
        <v>14</v>
      </c>
      <c r="BY104" s="55"/>
    </row>
    <row r="105" spans="2:77" ht="13.5" thickBot="1">
      <c r="AA105" s="2359" t="s">
        <v>960</v>
      </c>
      <c r="AB105" s="1600" t="s">
        <v>961</v>
      </c>
      <c r="AC105" s="1600"/>
      <c r="AD105" s="1611">
        <f>AL105</f>
        <v>10523.892</v>
      </c>
      <c r="AE105" s="1557"/>
      <c r="AF105" s="1612">
        <v>1</v>
      </c>
      <c r="AG105" s="1613" t="s">
        <v>18</v>
      </c>
      <c r="AH105" s="1557"/>
      <c r="AI105" s="1614" t="s">
        <v>948</v>
      </c>
      <c r="AJ105" s="2445">
        <f>IF(AF104=1,AS133,AT133)</f>
        <v>31</v>
      </c>
      <c r="AK105" s="2446">
        <f>IF(AF104=1,AU133,AV133)</f>
        <v>120</v>
      </c>
      <c r="AL105" s="2447">
        <f>G10</f>
        <v>10523.892</v>
      </c>
      <c r="AM105" s="2448">
        <f>IF(AND(AF104=1,AF111=1),AW133,IF(AND(AF104=1,AF111=2),AX133,IF(AND(AF104=2,AF111=1),AY133,AZ133)))</f>
        <v>0.97289999999999999</v>
      </c>
      <c r="AN105" s="2449">
        <f>AL105*AM105</f>
        <v>10238.6945268</v>
      </c>
      <c r="AO105" s="2450">
        <f>ROUND(IF(AF104=1,AN105*BB133,AN105*AT133/1000),1)</f>
        <v>1414.3</v>
      </c>
      <c r="AP105" s="2450">
        <f>ROUND(IF(AF104=1,AN105*BA133,AN105*BC133),1)</f>
        <v>1392</v>
      </c>
      <c r="AQ105" s="1557"/>
      <c r="AR105" s="1615" t="s">
        <v>948</v>
      </c>
      <c r="AS105" s="1616">
        <f>AS133</f>
        <v>31</v>
      </c>
      <c r="AT105" s="1617">
        <f>AD104</f>
        <v>120</v>
      </c>
      <c r="AU105" s="1618">
        <f t="shared" ref="AU105:AV108" si="0">FLOOR(AS105,1)+IF(MOD(AS105,1)&lt;0.26,0,IF(MOD(AS105,1)&lt;0.76,0.5,1))</f>
        <v>31</v>
      </c>
      <c r="AV105" s="1619">
        <f t="shared" si="0"/>
        <v>120</v>
      </c>
      <c r="AW105" s="1620">
        <f>341.0957/(141.5*999.012/(AU105+131.5))^2</f>
        <v>4.5074268310149411E-4</v>
      </c>
      <c r="AX105" s="1620">
        <f>1+0.8*AW105*(AV105-60)</f>
        <v>1.0216356487888718</v>
      </c>
      <c r="AY105" s="1621"/>
      <c r="AZ105" s="1622"/>
      <c r="BA105" s="1622"/>
      <c r="BB105" s="1622"/>
      <c r="BC105" s="1622"/>
      <c r="BD105" s="1623">
        <f>ROUND(EXP(AW105*(AV105-60)*AX105*-1),4)</f>
        <v>0.97270000000000001</v>
      </c>
      <c r="BF105" s="2014" t="s">
        <v>26</v>
      </c>
      <c r="BG105" s="2014" t="s">
        <v>20</v>
      </c>
      <c r="BH105" s="2014" t="s">
        <v>27</v>
      </c>
      <c r="BI105" s="2404"/>
      <c r="BJ105" s="2014" t="s">
        <v>26</v>
      </c>
      <c r="BK105" s="2014" t="s">
        <v>25</v>
      </c>
      <c r="BL105" s="2014" t="s">
        <v>25</v>
      </c>
      <c r="BM105" s="2440"/>
      <c r="BN105" s="2014" t="s">
        <v>26</v>
      </c>
      <c r="BO105" s="2014" t="s">
        <v>25</v>
      </c>
      <c r="BP105" s="2014" t="s">
        <v>25</v>
      </c>
      <c r="BQ105" s="2404"/>
      <c r="BR105" s="2014" t="s">
        <v>27</v>
      </c>
      <c r="BS105" s="2014" t="s">
        <v>20</v>
      </c>
      <c r="BT105" s="2014" t="s">
        <v>26</v>
      </c>
      <c r="BU105" s="2404"/>
      <c r="BV105" s="2014" t="s">
        <v>27</v>
      </c>
      <c r="BW105" s="2014" t="s">
        <v>25</v>
      </c>
      <c r="BX105" s="2014" t="s">
        <v>25</v>
      </c>
      <c r="BY105" s="55"/>
    </row>
    <row r="106" spans="2:77" ht="13.15">
      <c r="AA106" s="2359" t="s">
        <v>958</v>
      </c>
      <c r="AB106" s="1600" t="s">
        <v>962</v>
      </c>
      <c r="AC106" s="1600"/>
      <c r="AD106" s="1611">
        <f>AN105</f>
        <v>10238.6945268</v>
      </c>
      <c r="AE106" s="1557"/>
      <c r="AF106" s="1624">
        <v>2</v>
      </c>
      <c r="AG106" s="1176" t="s">
        <v>20</v>
      </c>
      <c r="AH106" s="1557"/>
      <c r="AI106" s="1625" t="s">
        <v>948</v>
      </c>
      <c r="AJ106" s="1626">
        <f>IF(AF104=1,AS133,AT133)</f>
        <v>31</v>
      </c>
      <c r="AK106" s="1627">
        <f>IF(AF104=1,AU134,AV134)</f>
        <v>115</v>
      </c>
      <c r="AL106" s="1628">
        <f>AN105/AM106</f>
        <v>10499.0715</v>
      </c>
      <c r="AM106" s="1629">
        <f>IF(AND(AF104=1,AF111=1),AW134,IF(AND(AF104=1,AF111=2),AX134,IF(AND(AF104=2,AF111=1),AY134,AZ134)))</f>
        <v>0.97519999999999996</v>
      </c>
      <c r="AN106" s="1630">
        <f>AL106*AM106</f>
        <v>10238.6945268</v>
      </c>
      <c r="AO106" s="1631">
        <f>AO105</f>
        <v>1414.3</v>
      </c>
      <c r="AP106" s="1632">
        <f>AP105</f>
        <v>1392</v>
      </c>
      <c r="AQ106" s="1557"/>
      <c r="AR106" s="1615" t="s">
        <v>948</v>
      </c>
      <c r="AS106" s="1616">
        <f>AS133</f>
        <v>31</v>
      </c>
      <c r="AT106" s="1617">
        <f>AD108</f>
        <v>115</v>
      </c>
      <c r="AU106" s="1618">
        <f t="shared" si="0"/>
        <v>31</v>
      </c>
      <c r="AV106" s="1633">
        <f t="shared" si="0"/>
        <v>115</v>
      </c>
      <c r="AW106" s="1620">
        <f>341.0957/(141.5*999.012/(AU106+131.5))^2</f>
        <v>4.5074268310149411E-4</v>
      </c>
      <c r="AX106" s="1620">
        <f>1+0.8*AW106*(AV106-60)</f>
        <v>1.0198326780564657</v>
      </c>
      <c r="AY106" s="1622"/>
      <c r="AZ106" s="1622"/>
      <c r="BA106" s="1622"/>
      <c r="BB106" s="1622"/>
      <c r="BC106" s="1622"/>
      <c r="BD106" s="1623">
        <f>ROUND(EXP(AW106*(AV106-60)*AX106*-1),4)</f>
        <v>0.97499999999999998</v>
      </c>
      <c r="BF106" s="2014" t="s">
        <v>27</v>
      </c>
      <c r="BG106" s="2014" t="s">
        <v>27</v>
      </c>
      <c r="BH106" s="2014" t="s">
        <v>27</v>
      </c>
      <c r="BI106" s="2404"/>
      <c r="BJ106" s="2014" t="s">
        <v>27</v>
      </c>
      <c r="BK106" s="2014" t="s">
        <v>963</v>
      </c>
      <c r="BL106" s="2014" t="s">
        <v>28</v>
      </c>
      <c r="BM106" s="2440"/>
      <c r="BN106" s="2014" t="s">
        <v>27</v>
      </c>
      <c r="BO106" s="2014" t="s">
        <v>963</v>
      </c>
      <c r="BP106" s="2014" t="s">
        <v>28</v>
      </c>
      <c r="BQ106" s="2404"/>
      <c r="BR106" s="2014" t="s">
        <v>27</v>
      </c>
      <c r="BS106" s="2014" t="s">
        <v>27</v>
      </c>
      <c r="BT106" s="2014" t="s">
        <v>27</v>
      </c>
      <c r="BU106" s="2404"/>
      <c r="BV106" s="2014" t="s">
        <v>27</v>
      </c>
      <c r="BW106" s="2014" t="s">
        <v>22</v>
      </c>
      <c r="BX106" s="2014" t="s">
        <v>22</v>
      </c>
      <c r="BY106" s="55"/>
    </row>
    <row r="107" spans="2:77" ht="13.15">
      <c r="AA107" s="2359" t="s">
        <v>964</v>
      </c>
      <c r="AB107" s="1600" t="s">
        <v>965</v>
      </c>
      <c r="AC107" s="1600"/>
      <c r="AD107" s="1634">
        <f>AJ107</f>
        <v>30</v>
      </c>
      <c r="AE107" s="1570"/>
      <c r="AF107" s="1546"/>
      <c r="AG107" s="1546"/>
      <c r="AH107" s="1570"/>
      <c r="AI107" s="1635" t="s">
        <v>949</v>
      </c>
      <c r="AJ107" s="1636">
        <f>IF(AF104=1,AS135,AT135)</f>
        <v>30</v>
      </c>
      <c r="AK107" s="1637">
        <f>IF(AF104=1,AU135,AV135)</f>
        <v>115</v>
      </c>
      <c r="AL107" s="1638">
        <f>AL108-AL106</f>
        <v>29165.213500000005</v>
      </c>
      <c r="AM107" s="1639">
        <f>IF(AND(AF104=1,AF111=1),AW135,IF(AND(AF104=1,AF111=2),AX135,IF(AND(AF104=2,AF111=1),AY135,AZ135)))</f>
        <v>0.97540000000000004</v>
      </c>
      <c r="AN107" s="1640">
        <f>AL107*AM107</f>
        <v>28447.749247900007</v>
      </c>
      <c r="AO107" s="1641">
        <f>ROUND(IF(AF104=1,AN107*BB135,AN107*AT135/1000),1)</f>
        <v>3954</v>
      </c>
      <c r="AP107" s="1642">
        <f>ROUND(IF(AF104=1,AN107*BA135,AN107*BC135),1)</f>
        <v>3891.4</v>
      </c>
      <c r="AQ107" s="1570"/>
      <c r="AR107" s="1615" t="s">
        <v>949</v>
      </c>
      <c r="AS107" s="1616">
        <f>AS135</f>
        <v>30</v>
      </c>
      <c r="AT107" s="1617">
        <f>F13</f>
        <v>115</v>
      </c>
      <c r="AU107" s="1618">
        <f t="shared" si="0"/>
        <v>30</v>
      </c>
      <c r="AV107" s="1619">
        <f t="shared" si="0"/>
        <v>115</v>
      </c>
      <c r="AW107" s="1620">
        <f>341.0957/(141.5*999.012/(AU107+131.5))^2</f>
        <v>4.4521215039333283E-4</v>
      </c>
      <c r="AX107" s="1620">
        <f>1+0.8*AW107*(AV107-60)</f>
        <v>1.0195893346173066</v>
      </c>
      <c r="AY107" s="1622"/>
      <c r="AZ107" s="1622"/>
      <c r="BA107" s="1622"/>
      <c r="BB107" s="1622"/>
      <c r="BC107" s="1622"/>
      <c r="BD107" s="1623">
        <f>ROUND(EXP(AW107*(AV107-60)*AX107*-1),4)</f>
        <v>0.97529999999999994</v>
      </c>
      <c r="BF107" s="2020" t="s">
        <v>32</v>
      </c>
      <c r="BG107" s="2020" t="s">
        <v>33</v>
      </c>
      <c r="BH107" s="2020" t="s">
        <v>31</v>
      </c>
      <c r="BI107" s="2404"/>
      <c r="BJ107" s="2020" t="s">
        <v>32</v>
      </c>
      <c r="BK107" s="2020" t="s">
        <v>32</v>
      </c>
      <c r="BL107" s="2020" t="s">
        <v>32</v>
      </c>
      <c r="BM107" s="2440"/>
      <c r="BN107" s="2020" t="s">
        <v>32</v>
      </c>
      <c r="BO107" s="2020" t="s">
        <v>32</v>
      </c>
      <c r="BP107" s="2020" t="s">
        <v>32</v>
      </c>
      <c r="BQ107" s="2404"/>
      <c r="BR107" s="2020" t="s">
        <v>34</v>
      </c>
      <c r="BS107" s="2020" t="s">
        <v>35</v>
      </c>
      <c r="BT107" s="2020" t="s">
        <v>32</v>
      </c>
      <c r="BU107" s="2404"/>
      <c r="BV107" s="2020" t="s">
        <v>34</v>
      </c>
      <c r="BW107" s="2020" t="s">
        <v>27</v>
      </c>
      <c r="BX107" s="2020" t="s">
        <v>27</v>
      </c>
      <c r="BY107" s="55"/>
    </row>
    <row r="108" spans="2:77" ht="13.5" thickBot="1">
      <c r="AA108" s="2359" t="s">
        <v>966</v>
      </c>
      <c r="AB108" s="1600" t="s">
        <v>967</v>
      </c>
      <c r="AC108" s="1600"/>
      <c r="AD108" s="1601">
        <f>IF(AF104=1,AU134,AV134)</f>
        <v>115</v>
      </c>
      <c r="AE108" s="1570"/>
      <c r="AH108" s="1570"/>
      <c r="AI108" s="1643" t="s">
        <v>968</v>
      </c>
      <c r="AJ108" s="1644">
        <f>ROUND((AL106*AJ105+AL107*AJ107)/AL108,2)</f>
        <v>30.26</v>
      </c>
      <c r="AK108" s="1645">
        <f>IF(AF104=1,AU135,AV135)</f>
        <v>115</v>
      </c>
      <c r="AL108" s="1646">
        <f>H13</f>
        <v>39664.285000000003</v>
      </c>
      <c r="AM108" s="1647"/>
      <c r="AN108" s="1648"/>
      <c r="AO108" s="1647"/>
      <c r="AP108" s="1649"/>
      <c r="AQ108" s="1570"/>
      <c r="AR108" s="1615" t="s">
        <v>969</v>
      </c>
      <c r="AS108" s="1616">
        <f>AS107</f>
        <v>30</v>
      </c>
      <c r="AT108" s="1617">
        <f>AD119</f>
        <v>113.2</v>
      </c>
      <c r="AU108" s="1618">
        <f t="shared" si="0"/>
        <v>30</v>
      </c>
      <c r="AV108" s="1619">
        <f t="shared" si="0"/>
        <v>113</v>
      </c>
      <c r="AW108" s="1620">
        <f>341.0957/(141.5*999.012/(AU108+131.5))^2</f>
        <v>4.4521215039333283E-4</v>
      </c>
      <c r="AX108" s="1620">
        <f>1+0.8*AW108*(AV108-60)</f>
        <v>1.0188769951766774</v>
      </c>
      <c r="AY108" s="1622"/>
      <c r="AZ108" s="1622"/>
      <c r="BA108" s="1622"/>
      <c r="BB108" s="1622"/>
      <c r="BC108" s="1622"/>
      <c r="BD108" s="1623">
        <f>ROUND(EXP(AW108*(AV108-60)*AX108*-1),4)</f>
        <v>0.97619999999999996</v>
      </c>
      <c r="BF108" s="1650">
        <f>VLOOKUP(BF109,BF121:BF971,TRUE)</f>
        <v>31</v>
      </c>
      <c r="BG108" s="1651">
        <f>VLOOKUP(BF108,BF121:BG971,2)</f>
        <v>0.87080000000000002</v>
      </c>
      <c r="BH108" s="1652">
        <f>VLOOKUP(BF108,BF121:BH971,3)</f>
        <v>870.3</v>
      </c>
      <c r="BJ108" s="1650">
        <f>VLOOKUP(BJ109,BJ121:BJ971,TRUE)</f>
        <v>31</v>
      </c>
      <c r="BK108" s="1653">
        <f>VLOOKUP(BJ108,BJ121:BK971,2)</f>
        <v>3.2368999999999999</v>
      </c>
      <c r="BL108" s="1654">
        <f>VLOOKUP(BJ108,BJ121:BL971,3)</f>
        <v>0.13594999999999999</v>
      </c>
      <c r="BM108" s="12"/>
      <c r="BN108" s="1650">
        <f>VLOOKUP(BN109,BN121:BN971,TRUE)</f>
        <v>31</v>
      </c>
      <c r="BO108" s="1653">
        <f>VLOOKUP(BN108,BN121:BO971,2)</f>
        <v>3.2888000000000002</v>
      </c>
      <c r="BP108" s="1654">
        <f>VLOOKUP(BN108,BN121:BP971,3)</f>
        <v>0.13813</v>
      </c>
      <c r="BR108" s="1650">
        <f>VLOOKUP(BR109,BR121:BR546,TRUE)</f>
        <v>870</v>
      </c>
      <c r="BS108" s="1651">
        <f>VLOOKUP(BR108,BR121:BS546,2)</f>
        <v>0.87050000000000005</v>
      </c>
      <c r="BT108" s="1655">
        <f>VLOOKUP(BR108,BR121:BT546,3)</f>
        <v>31.06</v>
      </c>
      <c r="BV108" s="1650">
        <f>VLOOKUP(BV109,BV121:BV546,TRUE)</f>
        <v>870</v>
      </c>
      <c r="BW108" s="1651">
        <f>VLOOKUP(BV108,BV121:BW546,2)</f>
        <v>0.95779999999999998</v>
      </c>
      <c r="BX108" s="1651">
        <f>VLOOKUP(BV108,BV121:BX546,3)</f>
        <v>0.85519999999999996</v>
      </c>
      <c r="BY108" s="55"/>
    </row>
    <row r="109" spans="2:77" ht="13.15">
      <c r="AA109" s="2359" t="s">
        <v>970</v>
      </c>
      <c r="AB109" s="1600" t="s">
        <v>971</v>
      </c>
      <c r="AC109" s="1600"/>
      <c r="AD109" s="1611">
        <f>AL108</f>
        <v>39664.285000000003</v>
      </c>
      <c r="AE109" s="1570"/>
      <c r="AH109" s="1570"/>
      <c r="AI109" s="1570"/>
      <c r="AJ109" s="1570"/>
      <c r="AP109" s="1570"/>
      <c r="AQ109" s="1570"/>
      <c r="BF109" s="1656">
        <f>IF(AF104=1,E10,BT109)</f>
        <v>31</v>
      </c>
      <c r="BG109" s="1657">
        <f>ROUND(BG108+((BF109-BF108)/(BF110-BF108))*(BG110-BG108),4)</f>
        <v>0.87080000000000002</v>
      </c>
      <c r="BH109" s="1658">
        <f>ROUND(BH108+((BF109-BF108)/(BF110-BF108))*(BH110-BH108),1)</f>
        <v>870.3</v>
      </c>
      <c r="BJ109" s="1656">
        <f>IF(AF104=1,E10,BT109)</f>
        <v>31</v>
      </c>
      <c r="BK109" s="1659">
        <f>BK108+((BJ109-BJ108)/(BJ110-BJ108))*(BK110-BK108)</f>
        <v>3.2368999999999999</v>
      </c>
      <c r="BL109" s="1660">
        <f>BL108+((BJ109-BJ108)/(BJ110-BJ108))*(BL110-BL108)</f>
        <v>0.13594999999999999</v>
      </c>
      <c r="BM109" s="12"/>
      <c r="BN109" s="1656">
        <f>IF(AF104=1,E10,BT109)</f>
        <v>31</v>
      </c>
      <c r="BO109" s="1659">
        <f>BO108+((BN109-BN108)/(BN110-BN108))*(BO110-BO108)</f>
        <v>3.2888000000000002</v>
      </c>
      <c r="BP109" s="1660">
        <f>BP108+((BN109-BN108)/(BN110-BN108))*(BP110-BP108)</f>
        <v>0.13813</v>
      </c>
      <c r="BR109" s="1661">
        <f>IF(AF104=2,E10,BH109)</f>
        <v>870.3</v>
      </c>
      <c r="BS109" s="1657">
        <f>ROUND(BS108+((BR109-BR108)/(BR110-BR108))*(BS110-BS108),4)</f>
        <v>0.87080000000000002</v>
      </c>
      <c r="BT109" s="1662">
        <f>ROUND(BT108+((BR109-BR108)/(BR110-BR108))*(BT110-BT108),2)</f>
        <v>31</v>
      </c>
      <c r="BV109" s="1661">
        <f>AT133</f>
        <v>870.3</v>
      </c>
      <c r="BW109" s="1657">
        <f>BW108+((BV109-BV108)/(BV110-BV108))*(BW110-BW108)</f>
        <v>0.95812999999999993</v>
      </c>
      <c r="BX109" s="1657">
        <f>BX108+((BV109-BV108)/(BV110-BV108))*(BX110-BX108)</f>
        <v>0.85549999999999993</v>
      </c>
      <c r="BY109" s="55"/>
    </row>
    <row r="110" spans="2:77" ht="13.15">
      <c r="AA110" s="2359" t="s">
        <v>972</v>
      </c>
      <c r="AB110" s="1600" t="s">
        <v>973</v>
      </c>
      <c r="AC110" s="1600" t="s">
        <v>974</v>
      </c>
      <c r="AD110" s="1663">
        <f>AM106</f>
        <v>0.97519999999999996</v>
      </c>
      <c r="AE110" s="1664"/>
      <c r="AF110" s="2451" t="s">
        <v>975</v>
      </c>
      <c r="AG110" s="2452"/>
      <c r="AH110" s="1664"/>
      <c r="AI110" s="1615" t="s">
        <v>969</v>
      </c>
      <c r="AJ110" s="1636">
        <f>IF(AF104=1,AS135,AT135)</f>
        <v>30</v>
      </c>
      <c r="AK110" s="1636">
        <f>IF(AF104=1,AU136,AV136)</f>
        <v>113.2</v>
      </c>
      <c r="AL110" s="1638">
        <f>AN110/AM110</f>
        <v>29138.327612311798</v>
      </c>
      <c r="AM110" s="1639">
        <f>IF(AND(AF104=1,AF111=1),AW136,IF(AND(AF104=1,AF111=2),AX136,IF(AND(AF104=2,AF111=1),AY136,AZ136)))</f>
        <v>0.97629999999999995</v>
      </c>
      <c r="AN110" s="1640">
        <f>AN107</f>
        <v>28447.749247900007</v>
      </c>
      <c r="AO110" s="1641">
        <f>AO107</f>
        <v>3954</v>
      </c>
      <c r="AP110" s="1641">
        <f>AP107</f>
        <v>3891.4</v>
      </c>
      <c r="AQ110" s="1664"/>
      <c r="AR110" s="1598"/>
      <c r="AS110" s="2287" t="s">
        <v>576</v>
      </c>
      <c r="AT110" s="2288"/>
      <c r="AU110" s="2289" t="s">
        <v>209</v>
      </c>
      <c r="AV110" s="2290"/>
      <c r="AW110" s="2291" t="s">
        <v>210</v>
      </c>
      <c r="AX110" s="2287" t="s">
        <v>211</v>
      </c>
      <c r="AY110" s="2292"/>
      <c r="AZ110" s="2292"/>
      <c r="BA110" s="2288"/>
      <c r="BB110" s="2291" t="s">
        <v>211</v>
      </c>
      <c r="BC110" s="2291" t="s">
        <v>212</v>
      </c>
      <c r="BD110" s="2293" t="s">
        <v>204</v>
      </c>
      <c r="BF110" s="1650">
        <f>INDEX(BF121:BF971,(MATCH(BF108,BF121:BF971,1)+1))</f>
        <v>31.1</v>
      </c>
      <c r="BG110" s="1651">
        <f>VLOOKUP(BF110,BF121:BG971,2)</f>
        <v>0.87019999999999997</v>
      </c>
      <c r="BH110" s="1652">
        <f>VLOOKUP(BF110,BF121:BH971,3)</f>
        <v>869.8</v>
      </c>
      <c r="BJ110" s="1650">
        <f>INDEX(BJ121:BJ971,(MATCH(BJ108,BJ121:BJ971,1)+1))</f>
        <v>31.1</v>
      </c>
      <c r="BK110" s="1653">
        <f>VLOOKUP(BJ110,BJ121:BK971,2)</f>
        <v>3.2349000000000001</v>
      </c>
      <c r="BL110" s="1654">
        <f>VLOOKUP(BJ110,BJ121:BL971,3)</f>
        <v>0.13586999999999999</v>
      </c>
      <c r="BM110" s="12"/>
      <c r="BN110" s="1650">
        <f>INDEX(BN121:BN971,(MATCH(BN108,BN121:BN971,1)+1))</f>
        <v>31.1</v>
      </c>
      <c r="BO110" s="1653">
        <f>VLOOKUP(BN110,BN121:BO971,2)</f>
        <v>3.2867999999999999</v>
      </c>
      <c r="BP110" s="1654">
        <f>VLOOKUP(BN110,BN121:BP971,3)</f>
        <v>0.13805000000000001</v>
      </c>
      <c r="BR110" s="1650">
        <f>INDEX(BR121:BR546,(MATCH(BR108,BR121:BR546,1)+1))</f>
        <v>871</v>
      </c>
      <c r="BS110" s="1651">
        <f>VLOOKUP(BR110,BR121:BS546,2)</f>
        <v>0.87150000000000005</v>
      </c>
      <c r="BT110" s="1655">
        <f>VLOOKUP(BR110,BR121:BT546,3)</f>
        <v>30.87</v>
      </c>
      <c r="BV110" s="1650">
        <f>INDEX(BV121:BV546,(MATCH(BV108,BV121:BV546,1)+1))</f>
        <v>871</v>
      </c>
      <c r="BW110" s="1651">
        <f>VLOOKUP(BV110,BV121:BW546,2)</f>
        <v>0.95889999999999997</v>
      </c>
      <c r="BX110" s="1651">
        <f>VLOOKUP(BV110,BV121:BX546,3)</f>
        <v>0.85619999999999996</v>
      </c>
      <c r="BY110" s="55"/>
    </row>
    <row r="111" spans="2:77" ht="13.15">
      <c r="AA111" s="2360" t="s">
        <v>840</v>
      </c>
      <c r="AB111" s="1600" t="s">
        <v>976</v>
      </c>
      <c r="AC111" s="1600" t="s">
        <v>977</v>
      </c>
      <c r="AD111" s="1670">
        <f>AL106</f>
        <v>10499.0715</v>
      </c>
      <c r="AE111" s="1671"/>
      <c r="AF111" s="1672">
        <v>2</v>
      </c>
      <c r="AG111" s="1673" t="str">
        <f>VLOOKUP(AF111,AF112:AG113,2)</f>
        <v>Tab. 6B</v>
      </c>
      <c r="AH111" s="1671"/>
      <c r="AI111" s="1674"/>
      <c r="AJ111" s="1675"/>
      <c r="AK111" s="1675"/>
      <c r="AL111" s="1676"/>
      <c r="AM111" s="1677"/>
      <c r="AN111" s="1678"/>
      <c r="AO111" s="1679"/>
      <c r="AP111" s="1679"/>
      <c r="AQ111" s="1671"/>
      <c r="AR111" s="1604"/>
      <c r="AS111" s="2295" t="s">
        <v>18</v>
      </c>
      <c r="AT111" s="2296" t="s">
        <v>205</v>
      </c>
      <c r="AU111" s="2297" t="s">
        <v>18</v>
      </c>
      <c r="AV111" s="2298" t="s">
        <v>205</v>
      </c>
      <c r="AW111" s="2299"/>
      <c r="AX111" s="2296" t="s">
        <v>213</v>
      </c>
      <c r="AY111" s="2296" t="s">
        <v>214</v>
      </c>
      <c r="AZ111" s="2296" t="s">
        <v>215</v>
      </c>
      <c r="BA111" s="2296" t="s">
        <v>216</v>
      </c>
      <c r="BB111" s="2299"/>
      <c r="BC111" s="2299"/>
      <c r="BD111" s="2300" t="s">
        <v>217</v>
      </c>
      <c r="BF111" s="1681"/>
      <c r="BG111" s="1682"/>
      <c r="BH111" s="1683"/>
      <c r="BJ111" s="12"/>
      <c r="BK111" s="12"/>
      <c r="BL111" s="12"/>
      <c r="BM111" s="12"/>
      <c r="BN111" s="12"/>
      <c r="BO111" s="12"/>
      <c r="BP111" s="12"/>
      <c r="BR111" s="1681"/>
      <c r="BS111" s="1682"/>
      <c r="BT111" s="1682"/>
      <c r="BV111" s="1681"/>
      <c r="BW111" s="1682"/>
      <c r="BX111" s="1682"/>
      <c r="BY111" s="55"/>
    </row>
    <row r="112" spans="2:77" ht="13.15">
      <c r="AA112" s="2360" t="s">
        <v>978</v>
      </c>
      <c r="AB112" s="1600" t="s">
        <v>979</v>
      </c>
      <c r="AC112" s="1600" t="s">
        <v>980</v>
      </c>
      <c r="AD112" s="1670">
        <f>AL107</f>
        <v>29165.213500000005</v>
      </c>
      <c r="AE112" s="1664"/>
      <c r="AF112" s="1684">
        <v>1</v>
      </c>
      <c r="AG112" s="1685" t="str">
        <f>IF(AF104=1,AG114,AG116)</f>
        <v>Tab. 6A</v>
      </c>
      <c r="AH112" s="1664"/>
      <c r="AQ112" s="1664"/>
      <c r="AR112" s="1615" t="s">
        <v>948</v>
      </c>
      <c r="AS112" s="1616">
        <f>AS133</f>
        <v>31</v>
      </c>
      <c r="AT112" s="1617">
        <f>AU133</f>
        <v>120</v>
      </c>
      <c r="AU112" s="1686">
        <f t="shared" ref="AU112:AV115" si="1">FLOOR(AS112,1)+IF(MOD(AS112,1)&lt;0.26,0,IF(MOD(AS112,1)&lt;0.76,0.5,1))</f>
        <v>31</v>
      </c>
      <c r="AV112" s="1686">
        <f t="shared" si="1"/>
        <v>120</v>
      </c>
      <c r="AW112" s="1607">
        <f>(141.5*999.012 )/(AU112+131.5)</f>
        <v>869.90891076923083</v>
      </c>
      <c r="AX112" s="1607">
        <f>IF(AU112&lt;37,(103.872/AW112^2)+(0.2701/AW112),0)</f>
        <v>4.4775447224973386E-4</v>
      </c>
      <c r="AY112" s="1607">
        <f>IF(AND(AU112&gt;=37,AU112&lt;48),330.301/AW112^2,0)</f>
        <v>0</v>
      </c>
      <c r="AZ112" s="1607">
        <f>IF(AND(AU112&gt;=48,AU112&lt;52),((1489.067/AW112^2)-0.0018684),0)</f>
        <v>0</v>
      </c>
      <c r="BA112" s="1607">
        <f>IF(AND(AU112&gt;=52,AU112&lt;85),(192.4571/AW112^2)+(0.2438/AW112),0)</f>
        <v>0</v>
      </c>
      <c r="BB112" s="1687">
        <f>MAX(AX112:BA112)</f>
        <v>4.4775447224973386E-4</v>
      </c>
      <c r="BC112" s="1607">
        <f>1+0.8*BB112*(AV112-60)</f>
        <v>1.0214922146679872</v>
      </c>
      <c r="BD112" s="1688">
        <f>ROUND(EXP(BB112*(AV112-60)*BC112*-1),4)</f>
        <v>0.97289999999999999</v>
      </c>
      <c r="BF112" s="1650">
        <f>VLOOKUP(BF113,BF121:BF971,TRUE)</f>
        <v>30</v>
      </c>
      <c r="BG112" s="1651">
        <f>VLOOKUP(BF112,BF121:BG971,2)</f>
        <v>0.87619999999999998</v>
      </c>
      <c r="BH112" s="1652">
        <f>VLOOKUP(BF112,BF121:BH971,3)</f>
        <v>875.7</v>
      </c>
      <c r="BJ112" s="1650">
        <f>VLOOKUP(BJ113,BJ121:BJ971,TRUE)</f>
        <v>30</v>
      </c>
      <c r="BK112" s="1653">
        <f>VLOOKUP(BJ112,BJ121:BK971,2)</f>
        <v>3.2570000000000001</v>
      </c>
      <c r="BL112" s="1654">
        <f>VLOOKUP(BJ112,BJ121:BL971,3)</f>
        <v>0.13678999999999999</v>
      </c>
      <c r="BM112" s="12"/>
      <c r="BN112" s="1650">
        <f>VLOOKUP(BN113,BN121:BN971,TRUE)</f>
        <v>30</v>
      </c>
      <c r="BO112" s="1653">
        <f>VLOOKUP(BN112,BN121:BO971,2)</f>
        <v>3.3092000000000001</v>
      </c>
      <c r="BP112" s="1654">
        <f>VLOOKUP(BN112,BN121:BP971,3)</f>
        <v>0.13899</v>
      </c>
      <c r="BR112" s="1650">
        <f>VLOOKUP(BR113,BR121:BR546,TRUE)</f>
        <v>875</v>
      </c>
      <c r="BS112" s="1651">
        <f>VLOOKUP(BR112,BR121:BS546,2)</f>
        <v>0.87549999999999994</v>
      </c>
      <c r="BT112" s="1655">
        <f>VLOOKUP(BR112,BR121:BT546,3)</f>
        <v>30.13</v>
      </c>
      <c r="BV112" s="1650">
        <f>VLOOKUP(BV113,BV121:BV546,TRUE)</f>
        <v>875</v>
      </c>
      <c r="BW112" s="1651">
        <f>VLOOKUP(BV112,BV121:BW546,2)</f>
        <v>0.96330000000000005</v>
      </c>
      <c r="BX112" s="1651">
        <f>VLOOKUP(BV112,BV121:BX546,3)</f>
        <v>0.86009999999999998</v>
      </c>
      <c r="BY112" s="55"/>
    </row>
    <row r="113" spans="27:77" ht="13.15">
      <c r="AA113" s="1706" t="s">
        <v>981</v>
      </c>
      <c r="AB113" s="1689" t="s">
        <v>982</v>
      </c>
      <c r="AC113" s="1690" t="s">
        <v>983</v>
      </c>
      <c r="AD113" s="1691">
        <f>IF(AD103="","",(AD111*AD103+AD112*AD107)/AD109)</f>
        <v>30.264698367813764</v>
      </c>
      <c r="AE113" s="1664"/>
      <c r="AF113" s="1692">
        <v>2</v>
      </c>
      <c r="AG113" s="1693" t="str">
        <f>IF(AF104=1,AG115,AG117)</f>
        <v>Tab. 6B</v>
      </c>
      <c r="AH113" s="1664"/>
      <c r="AI113" s="1546"/>
      <c r="AJ113" s="1546"/>
      <c r="AK113" s="1546"/>
      <c r="AL113" s="1546"/>
      <c r="AM113" s="1546"/>
      <c r="AN113" s="1664"/>
      <c r="AO113" s="1664"/>
      <c r="AP113" s="1664"/>
      <c r="AQ113" s="1664"/>
      <c r="AR113" s="1615" t="s">
        <v>948</v>
      </c>
      <c r="AS113" s="1616">
        <f>AS133</f>
        <v>31</v>
      </c>
      <c r="AT113" s="1617">
        <f>AU134</f>
        <v>115</v>
      </c>
      <c r="AU113" s="1686">
        <f t="shared" si="1"/>
        <v>31</v>
      </c>
      <c r="AV113" s="1686">
        <f t="shared" si="1"/>
        <v>115</v>
      </c>
      <c r="AW113" s="1607">
        <f>(141.5*999.012 )/(AU113+131.5)</f>
        <v>869.90891076923083</v>
      </c>
      <c r="AX113" s="1607">
        <f>IF(AU113&lt;37,(103.872/AW113^2)+(0.2701/AW113),0)</f>
        <v>4.4775447224973386E-4</v>
      </c>
      <c r="AY113" s="1607">
        <f>IF(AND(AU113&gt;=37,AU113&lt;48),330.301/AW113^2,0)</f>
        <v>0</v>
      </c>
      <c r="AZ113" s="1607">
        <f>IF(AND(AU113&gt;=48,AU113&lt;52),((1489.067/AW113^2)-0.0018684),0)</f>
        <v>0</v>
      </c>
      <c r="BA113" s="1607">
        <f>IF(AND(AU113&gt;=52,AU113&lt;85),(192.4571/AW113^2)+(0.2438/AW113),0)</f>
        <v>0</v>
      </c>
      <c r="BB113" s="1687">
        <f>MAX(AX113:BA113)</f>
        <v>4.4775447224973386E-4</v>
      </c>
      <c r="BC113" s="1607">
        <f>1+0.8*BB113*(AV113-60)</f>
        <v>1.0197011967789882</v>
      </c>
      <c r="BD113" s="1688">
        <f>ROUND(EXP(BB113*(AV113-60)*BC113*-1),4)</f>
        <v>0.97519999999999996</v>
      </c>
      <c r="BF113" s="1656">
        <f>IF(AF104=1,E11,BT113)</f>
        <v>30</v>
      </c>
      <c r="BG113" s="1657">
        <f>BG112+((BF113-BF112)/(BF114-BF112))*(BG114-BG112)</f>
        <v>0.87619999999999998</v>
      </c>
      <c r="BH113" s="1658">
        <f>BH112+((BF113-BF112)/(BF114-BF112))*(BH114-BH112)</f>
        <v>875.7</v>
      </c>
      <c r="BJ113" s="1656">
        <f>IF(AF104=1,E11,BT113)</f>
        <v>30</v>
      </c>
      <c r="BK113" s="1659">
        <f>BK112+((BJ113-BJ112)/(BJ114-BJ112))*(BK114-BK112)</f>
        <v>3.2570000000000001</v>
      </c>
      <c r="BL113" s="1660">
        <f>BL112+((BJ113-BJ112)/(BJ114-BJ112))*(BL114-BL112)</f>
        <v>0.13678999999999999</v>
      </c>
      <c r="BM113" s="12"/>
      <c r="BN113" s="1656">
        <f>IF(AF104=1,E11,BT113)</f>
        <v>30</v>
      </c>
      <c r="BO113" s="1659">
        <f>BO112+((BN113-BN112)/(BN114-BN112))*(BO114-BO112)</f>
        <v>3.3092000000000001</v>
      </c>
      <c r="BP113" s="1660">
        <f>BP112+((BN113-BN112)/(BN114-BN112))*(BP114-BP112)</f>
        <v>0.13899</v>
      </c>
      <c r="BR113" s="1661">
        <f>IF(AF104=2,E11,BH113)</f>
        <v>875.7</v>
      </c>
      <c r="BS113" s="1657">
        <f>BS112+((BR113-BR112)/(BR114-BR112))*(BS114-BS112)</f>
        <v>0.87619999999999998</v>
      </c>
      <c r="BT113" s="1662">
        <f>BT112+((BR113-BR112)/(BR114-BR112))*(BT114-BT112)</f>
        <v>29.996999999999993</v>
      </c>
      <c r="BV113" s="1661">
        <f>AT135</f>
        <v>875.7</v>
      </c>
      <c r="BW113" s="1657">
        <f>BW112+((BV113-BV112)/(BV114-BV112))*(BW114-BW112)</f>
        <v>0.96407000000000009</v>
      </c>
      <c r="BX113" s="1657">
        <f>BX112+((BV113-BV112)/(BV114-BV112))*(BX114-BX112)</f>
        <v>0.86080000000000001</v>
      </c>
      <c r="BY113" s="55"/>
    </row>
    <row r="114" spans="27:77" ht="13.15">
      <c r="AA114" s="27"/>
      <c r="AE114" s="1557"/>
      <c r="AF114" s="1694">
        <v>1</v>
      </c>
      <c r="AG114" s="1695" t="s">
        <v>194</v>
      </c>
      <c r="AH114" s="1557"/>
      <c r="AI114" s="1546"/>
      <c r="AJ114" s="1546"/>
      <c r="AK114" s="1546"/>
      <c r="AL114" s="1546"/>
      <c r="AM114" s="1546"/>
      <c r="AN114" s="1671"/>
      <c r="AO114" s="1671"/>
      <c r="AP114" s="1664"/>
      <c r="AQ114" s="1557"/>
      <c r="AR114" s="1615" t="s">
        <v>949</v>
      </c>
      <c r="AS114" s="1616">
        <f>AS135</f>
        <v>30</v>
      </c>
      <c r="AT114" s="1617">
        <f>AU134</f>
        <v>115</v>
      </c>
      <c r="AU114" s="1686">
        <f t="shared" si="1"/>
        <v>30</v>
      </c>
      <c r="AV114" s="1686">
        <f t="shared" si="1"/>
        <v>115</v>
      </c>
      <c r="AW114" s="1607">
        <f>(141.5*999.012 )/(AU114+131.5)</f>
        <v>875.29534365325082</v>
      </c>
      <c r="AX114" s="1607">
        <f>IF(AU114&lt;37,(103.872/AW114^2)+(0.2701/AW114),0)</f>
        <v>4.4415956778610943E-4</v>
      </c>
      <c r="AY114" s="1607">
        <f>IF(AND(AU114&gt;=37,AU114&lt;48),330.301/AW114^2,0)</f>
        <v>0</v>
      </c>
      <c r="AZ114" s="1607">
        <f>IF(AND(AU114&gt;=48,AU114&lt;52),((1489.067/AW114^2)-0.0018684),0)</f>
        <v>0</v>
      </c>
      <c r="BA114" s="1607">
        <f>IF(AND(AU114&gt;=52,AU114&lt;85),(192.4571/AW114^2)+(0.2438/AW114),0)</f>
        <v>0</v>
      </c>
      <c r="BB114" s="1687">
        <f>MAX(AX114:BA114)</f>
        <v>4.4415956778610943E-4</v>
      </c>
      <c r="BC114" s="1607">
        <f>1+0.8*BB114*(AV114-60)</f>
        <v>1.0195430209825889</v>
      </c>
      <c r="BD114" s="1688">
        <f>ROUND(EXP(BB114*(AV114-60)*BC114*-1),4)</f>
        <v>0.97540000000000004</v>
      </c>
      <c r="BF114" s="2422">
        <f>INDEX(BF121:BF971,(MATCH(BF112,BF121:BF971,1)+1))</f>
        <v>30.1</v>
      </c>
      <c r="BG114" s="2423">
        <f>VLOOKUP(BF114,BF121:BG971,2)</f>
        <v>0.87560000000000004</v>
      </c>
      <c r="BH114" s="2424">
        <f>VLOOKUP(BF114,BF121:BH971,3)</f>
        <v>875.1</v>
      </c>
      <c r="BJ114" s="2422">
        <f>INDEX(BJ121:BJ971,(MATCH(BJ112,BJ121:BJ971,1)+1))</f>
        <v>30.1</v>
      </c>
      <c r="BK114" s="2425">
        <f>VLOOKUP(BJ114,BJ121:BK971,2)</f>
        <v>3.2549000000000001</v>
      </c>
      <c r="BL114" s="2426">
        <f>VLOOKUP(BJ114,BJ121:BL971,3)</f>
        <v>0.13671</v>
      </c>
      <c r="BM114" s="12"/>
      <c r="BN114" s="2422">
        <f>INDEX(BN121:BN971,(MATCH(BN112,BN121:BN971,1)+1))</f>
        <v>30.1</v>
      </c>
      <c r="BO114" s="2425">
        <f>VLOOKUP(BN114,BN121:BO971,2)</f>
        <v>3.3071999999999999</v>
      </c>
      <c r="BP114" s="2426">
        <f>VLOOKUP(BN114,BN121:BP971,3)</f>
        <v>0.1389</v>
      </c>
      <c r="BR114" s="2422">
        <f>INDEX(BR121:BR546,(MATCH(BR112,BR121:BR546,1)+1))</f>
        <v>876</v>
      </c>
      <c r="BS114" s="2423">
        <f>VLOOKUP(BR114,BR121:BS546,2)</f>
        <v>0.87649999999999995</v>
      </c>
      <c r="BT114" s="2427">
        <f>VLOOKUP(BR114,BR121:BT546,3)</f>
        <v>29.94</v>
      </c>
      <c r="BV114" s="2422">
        <f>INDEX(BV121:BV546,(MATCH(BV112,BV121:BV546,1)+1))</f>
        <v>876</v>
      </c>
      <c r="BW114" s="2423">
        <f>VLOOKUP(BV114,BV121:BW546,2)</f>
        <v>0.96440000000000003</v>
      </c>
      <c r="BX114" s="2423">
        <f>VLOOKUP(BV114,BV121:BX546,3)</f>
        <v>0.86109999999999998</v>
      </c>
      <c r="BY114" s="55"/>
    </row>
    <row r="115" spans="27:77" ht="13.15">
      <c r="AA115" s="2455" t="s">
        <v>984</v>
      </c>
      <c r="AB115" s="2456"/>
      <c r="AC115" s="2456"/>
      <c r="AD115" s="2457"/>
      <c r="AF115" s="1694">
        <v>2</v>
      </c>
      <c r="AG115" s="1695" t="s">
        <v>196</v>
      </c>
      <c r="AK115" s="1546"/>
      <c r="AN115" s="1664"/>
      <c r="AO115" s="1664"/>
      <c r="AP115" s="1557"/>
      <c r="AR115" s="1615" t="s">
        <v>969</v>
      </c>
      <c r="AS115" s="1616">
        <f>AS135</f>
        <v>30</v>
      </c>
      <c r="AT115" s="1617">
        <f>AD119</f>
        <v>113.2</v>
      </c>
      <c r="AU115" s="1686">
        <f t="shared" si="1"/>
        <v>30</v>
      </c>
      <c r="AV115" s="1686">
        <f t="shared" si="1"/>
        <v>113</v>
      </c>
      <c r="AW115" s="1607">
        <f>(141.5*999.012 )/(AU115+131.5)</f>
        <v>875.29534365325082</v>
      </c>
      <c r="AX115" s="1607">
        <f>IF(AU115&lt;37,(103.872/AW115^2)+(0.2701/AW115),0)</f>
        <v>4.4415956778610943E-4</v>
      </c>
      <c r="AY115" s="1607">
        <f>IF(AND(AU115&gt;=37,AU115&lt;48),330.301/AW115^2,0)</f>
        <v>0</v>
      </c>
      <c r="AZ115" s="1607">
        <f>IF(AND(AU115&gt;=48,AU115&lt;52),((1489.067/AW115^2)-0.0018684),0)</f>
        <v>0</v>
      </c>
      <c r="BA115" s="1607">
        <f>IF(AND(AU115&gt;=52,AU115&lt;85),(192.4571/AW115^2)+(0.2438/AW115),0)</f>
        <v>0</v>
      </c>
      <c r="BB115" s="1687">
        <f>MAX(AX115:BA115)</f>
        <v>4.4415956778610943E-4</v>
      </c>
      <c r="BC115" s="1607">
        <f>1+0.8*BB115*(AV115-60)</f>
        <v>1.0188323656741309</v>
      </c>
      <c r="BD115" s="1688">
        <f>ROUND(EXP(BB115*(AV115-60)*BC115*-1),4)</f>
        <v>0.97629999999999995</v>
      </c>
      <c r="BF115" s="2301" t="s">
        <v>985</v>
      </c>
      <c r="BG115" s="2292"/>
      <c r="BH115" s="2292"/>
      <c r="BI115" s="2434"/>
      <c r="BJ115" s="2292"/>
      <c r="BK115" s="2292"/>
      <c r="BL115" s="2292"/>
      <c r="BM115" s="2292"/>
      <c r="BN115" s="2292"/>
      <c r="BO115" s="2292"/>
      <c r="BP115" s="2292"/>
      <c r="BQ115" s="2434"/>
      <c r="BR115" s="2292"/>
      <c r="BS115" s="2292"/>
      <c r="BT115" s="2292"/>
      <c r="BU115" s="2434"/>
      <c r="BV115" s="2292"/>
      <c r="BW115" s="2292"/>
      <c r="BX115" s="2288"/>
      <c r="BY115" s="55"/>
    </row>
    <row r="116" spans="27:77" ht="13.15">
      <c r="AA116" s="1696" t="s">
        <v>986</v>
      </c>
      <c r="AB116" s="1697"/>
      <c r="AC116" s="1698" t="s">
        <v>987</v>
      </c>
      <c r="AD116" s="1698">
        <f>AD105*AD104</f>
        <v>1262867.04</v>
      </c>
      <c r="AF116" s="1699">
        <v>3</v>
      </c>
      <c r="AG116" s="1695" t="s">
        <v>988</v>
      </c>
      <c r="AK116" s="1546"/>
      <c r="AN116" s="1664"/>
      <c r="AO116" s="1664"/>
      <c r="BF116" s="2428" t="s">
        <v>11</v>
      </c>
      <c r="BG116" s="2429"/>
      <c r="BH116" s="2429"/>
      <c r="BI116" s="2406"/>
      <c r="BJ116" s="2428" t="s">
        <v>5</v>
      </c>
      <c r="BK116" s="2430"/>
      <c r="BL116" s="2429"/>
      <c r="BM116" s="2407"/>
      <c r="BN116" s="2428" t="s">
        <v>6</v>
      </c>
      <c r="BO116" s="2430"/>
      <c r="BP116" s="2429"/>
      <c r="BQ116" s="2406"/>
      <c r="BR116" s="2431" t="s">
        <v>12</v>
      </c>
      <c r="BS116" s="2432"/>
      <c r="BT116" s="2433"/>
      <c r="BU116" s="2406"/>
      <c r="BV116" s="2428" t="s">
        <v>9</v>
      </c>
      <c r="BW116" s="2430"/>
      <c r="BX116" s="2429"/>
      <c r="BY116" s="55"/>
    </row>
    <row r="117" spans="27:77" ht="13.15">
      <c r="AA117" s="1700" t="s">
        <v>989</v>
      </c>
      <c r="AB117" s="1701"/>
      <c r="AC117" s="1702" t="s">
        <v>990</v>
      </c>
      <c r="AD117" s="1702">
        <f>AD109*AD108</f>
        <v>4561392.7750000004</v>
      </c>
      <c r="AF117" s="1703">
        <v>4</v>
      </c>
      <c r="AG117" s="1704" t="s">
        <v>991</v>
      </c>
      <c r="AK117" s="1546"/>
      <c r="AN117" s="1557"/>
      <c r="AO117" s="1557"/>
      <c r="AR117" s="1598"/>
      <c r="AS117" s="2378" t="s">
        <v>576</v>
      </c>
      <c r="AT117" s="2379"/>
      <c r="AU117" s="2380" t="s">
        <v>218</v>
      </c>
      <c r="AV117" s="2381"/>
      <c r="AW117" s="2382"/>
      <c r="AX117" s="2383"/>
      <c r="AY117" s="2384"/>
      <c r="AZ117" s="2369"/>
      <c r="BA117" s="2369"/>
      <c r="BB117" s="2369"/>
      <c r="BC117" s="2369"/>
      <c r="BD117" s="2280" t="s">
        <v>204</v>
      </c>
      <c r="BF117" s="2408" t="s">
        <v>18</v>
      </c>
      <c r="BG117" s="2409" t="s">
        <v>19</v>
      </c>
      <c r="BH117" s="2410" t="s">
        <v>20</v>
      </c>
      <c r="BI117" s="2406"/>
      <c r="BJ117" s="2408" t="s">
        <v>18</v>
      </c>
      <c r="BK117" s="2409" t="s">
        <v>14</v>
      </c>
      <c r="BL117" s="2410" t="s">
        <v>14</v>
      </c>
      <c r="BM117" s="2411"/>
      <c r="BN117" s="2408" t="s">
        <v>18</v>
      </c>
      <c r="BO117" s="2409" t="s">
        <v>15</v>
      </c>
      <c r="BP117" s="2410" t="s">
        <v>15</v>
      </c>
      <c r="BQ117" s="2406"/>
      <c r="BR117" s="2408" t="s">
        <v>20</v>
      </c>
      <c r="BS117" s="2409" t="s">
        <v>19</v>
      </c>
      <c r="BT117" s="2410" t="s">
        <v>18</v>
      </c>
      <c r="BU117" s="2406"/>
      <c r="BV117" s="2408" t="s">
        <v>20</v>
      </c>
      <c r="BW117" s="2409" t="s">
        <v>23</v>
      </c>
      <c r="BX117" s="2410" t="s">
        <v>14</v>
      </c>
      <c r="BY117" s="55"/>
    </row>
    <row r="118" spans="27:77" ht="13.15">
      <c r="AA118" s="1700" t="s">
        <v>992</v>
      </c>
      <c r="AB118" s="1701"/>
      <c r="AC118" s="1702" t="s">
        <v>993</v>
      </c>
      <c r="AD118" s="1702">
        <f>AD117-AD116</f>
        <v>3298525.7350000003</v>
      </c>
      <c r="AK118" s="1546"/>
      <c r="AR118" s="1604"/>
      <c r="AS118" s="2372" t="s">
        <v>219</v>
      </c>
      <c r="AT118" s="2372" t="s">
        <v>220</v>
      </c>
      <c r="AU118" s="2385" t="s">
        <v>219</v>
      </c>
      <c r="AV118" s="2385" t="s">
        <v>220</v>
      </c>
      <c r="AW118" s="2374" t="s">
        <v>206</v>
      </c>
      <c r="AX118" s="2374" t="s">
        <v>207</v>
      </c>
      <c r="AY118" s="2386"/>
      <c r="AZ118" s="2376"/>
      <c r="BA118" s="2376"/>
      <c r="BB118" s="2376"/>
      <c r="BC118" s="2376"/>
      <c r="BD118" s="2387" t="s">
        <v>221</v>
      </c>
      <c r="BF118" s="2412" t="s">
        <v>26</v>
      </c>
      <c r="BG118" s="2413" t="s">
        <v>20</v>
      </c>
      <c r="BH118" s="2414"/>
      <c r="BI118" s="2406"/>
      <c r="BJ118" s="2412" t="s">
        <v>26</v>
      </c>
      <c r="BK118" s="2413" t="s">
        <v>25</v>
      </c>
      <c r="BL118" s="2414" t="s">
        <v>25</v>
      </c>
      <c r="BM118" s="2411"/>
      <c r="BN118" s="2412" t="s">
        <v>26</v>
      </c>
      <c r="BO118" s="2413" t="s">
        <v>25</v>
      </c>
      <c r="BP118" s="2414" t="s">
        <v>25</v>
      </c>
      <c r="BQ118" s="2406"/>
      <c r="BR118" s="2412"/>
      <c r="BS118" s="2415" t="s">
        <v>20</v>
      </c>
      <c r="BT118" s="2414" t="s">
        <v>26</v>
      </c>
      <c r="BU118" s="2406"/>
      <c r="BV118" s="2412"/>
      <c r="BW118" s="2415" t="s">
        <v>25</v>
      </c>
      <c r="BX118" s="2414" t="s">
        <v>25</v>
      </c>
      <c r="BY118" s="55"/>
    </row>
    <row r="119" spans="27:77" ht="13.15">
      <c r="AA119" s="1706"/>
      <c r="AB119" s="1707" t="s">
        <v>994</v>
      </c>
      <c r="AC119" s="1707" t="s">
        <v>995</v>
      </c>
      <c r="AD119" s="1708">
        <f>ROUND(AD118/(AD109-AD105),1)</f>
        <v>113.2</v>
      </c>
      <c r="AK119" s="1546"/>
      <c r="AR119" s="1615" t="s">
        <v>948</v>
      </c>
      <c r="AS119" s="1607">
        <f>AT133</f>
        <v>870.3</v>
      </c>
      <c r="AT119" s="1709">
        <f>AV133</f>
        <v>48.89</v>
      </c>
      <c r="AU119" s="1680">
        <f>IF((EVEN(AS119)-AS119)&lt;1,EVEN(AS119),EVEN(AS119)-2)</f>
        <v>870</v>
      </c>
      <c r="AV119" s="1710">
        <f>FLOOR(AT119,1)+IF(MOD(AT119,1)&lt;0.125,0,IF(MOD(AT119,1)&lt;0.375,0.25,IF(MOD(AT119,1)&lt;0.625,0.5,IF(MOD(AT119,1)&lt;0.875,0.75,1))))</f>
        <v>49</v>
      </c>
      <c r="AW119" s="1620">
        <f>613.9723/AU119^2</f>
        <v>8.1116699696128945E-4</v>
      </c>
      <c r="AX119" s="1620">
        <f>1+0.8*AW119*(AV119-15)</f>
        <v>1.0220637423173471</v>
      </c>
      <c r="AY119" s="1621"/>
      <c r="AZ119" s="1622"/>
      <c r="BA119" s="1622"/>
      <c r="BB119" s="1622"/>
      <c r="BC119" s="1622"/>
      <c r="BD119" s="1608">
        <f>ROUND(EXP(AW119*AX119*(AV119-15)*-1),4)</f>
        <v>0.97219999999999995</v>
      </c>
      <c r="BF119" s="2412"/>
      <c r="BG119" s="2413"/>
      <c r="BH119" s="2414"/>
      <c r="BI119" s="2406"/>
      <c r="BJ119" s="2412"/>
      <c r="BK119" s="2413" t="s">
        <v>963</v>
      </c>
      <c r="BL119" s="2414" t="s">
        <v>28</v>
      </c>
      <c r="BM119" s="2411"/>
      <c r="BN119" s="2412"/>
      <c r="BO119" s="2413" t="s">
        <v>963</v>
      </c>
      <c r="BP119" s="2414" t="s">
        <v>28</v>
      </c>
      <c r="BQ119" s="2406"/>
      <c r="BR119" s="2412"/>
      <c r="BS119" s="2415"/>
      <c r="BT119" s="2414"/>
      <c r="BU119" s="2406"/>
      <c r="BV119" s="2412"/>
      <c r="BW119" s="2415" t="s">
        <v>22</v>
      </c>
      <c r="BX119" s="2414" t="s">
        <v>22</v>
      </c>
      <c r="BY119" s="55"/>
    </row>
    <row r="120" spans="27:77" ht="13.15">
      <c r="AA120" s="1622"/>
      <c r="AB120" s="1622" t="s">
        <v>996</v>
      </c>
      <c r="AC120" s="1622"/>
      <c r="AD120" s="1711">
        <f>AL110</f>
        <v>29138.327612311798</v>
      </c>
      <c r="AK120" s="1546"/>
      <c r="AR120" s="1615" t="s">
        <v>948</v>
      </c>
      <c r="AS120" s="1607">
        <f>AT133</f>
        <v>870.3</v>
      </c>
      <c r="AT120" s="1709">
        <f>AV134</f>
        <v>46.11</v>
      </c>
      <c r="AU120" s="1680">
        <f>IF((EVEN(AS120)-AS120)&lt;1,EVEN(AS120),EVEN(AS120)-2)</f>
        <v>870</v>
      </c>
      <c r="AV120" s="1710">
        <f>FLOOR(AT120,1)+IF(MOD(AT120,1)&lt;0.125,0,IF(MOD(AT120,1)&lt;0.375,0.25,IF(MOD(AT120,1)&lt;0.625,0.5,IF(MOD(AT120,1)&lt;0.875,0.75,1))))</f>
        <v>46</v>
      </c>
      <c r="AW120" s="1620">
        <f>613.9723/AU120^2</f>
        <v>8.1116699696128945E-4</v>
      </c>
      <c r="AX120" s="1620">
        <f>1+0.8*AW120*(AV120-15)</f>
        <v>1.0201169415246401</v>
      </c>
      <c r="AY120" s="1622"/>
      <c r="AZ120" s="1622"/>
      <c r="BA120" s="1622"/>
      <c r="BB120" s="1622"/>
      <c r="BC120" s="1622"/>
      <c r="BD120" s="1608">
        <f>ROUND(EXP(AW120*AX120*(AV120-15)*-1),4)</f>
        <v>0.97470000000000001</v>
      </c>
      <c r="BF120" s="2416" t="s">
        <v>32</v>
      </c>
      <c r="BG120" s="2417" t="s">
        <v>33</v>
      </c>
      <c r="BH120" s="2418" t="s">
        <v>31</v>
      </c>
      <c r="BI120" s="2406"/>
      <c r="BJ120" s="2416" t="s">
        <v>32</v>
      </c>
      <c r="BK120" s="2417" t="s">
        <v>32</v>
      </c>
      <c r="BL120" s="2418" t="s">
        <v>32</v>
      </c>
      <c r="BM120" s="2411"/>
      <c r="BN120" s="2416" t="s">
        <v>32</v>
      </c>
      <c r="BO120" s="2417" t="s">
        <v>32</v>
      </c>
      <c r="BP120" s="2418" t="s">
        <v>32</v>
      </c>
      <c r="BQ120" s="2406"/>
      <c r="BR120" s="2416" t="s">
        <v>34</v>
      </c>
      <c r="BS120" s="2419" t="s">
        <v>35</v>
      </c>
      <c r="BT120" s="2418" t="s">
        <v>32</v>
      </c>
      <c r="BU120" s="2406"/>
      <c r="BV120" s="2416" t="s">
        <v>34</v>
      </c>
      <c r="BW120" s="2420"/>
      <c r="BX120" s="2421"/>
      <c r="BY120" s="55"/>
    </row>
    <row r="121" spans="27:77" ht="13.15">
      <c r="AA121" s="27"/>
      <c r="AK121" s="1546"/>
      <c r="AR121" s="1712" t="s">
        <v>949</v>
      </c>
      <c r="AS121" s="1607">
        <f>AT135</f>
        <v>875.7</v>
      </c>
      <c r="AT121" s="1709">
        <f>AV134</f>
        <v>46.11</v>
      </c>
      <c r="AU121" s="1680">
        <f>IF((EVEN(AS121)-AS121)&lt;1,EVEN(AS121),EVEN(AS121)-2)</f>
        <v>876</v>
      </c>
      <c r="AV121" s="1710">
        <f>FLOOR(AT121,1)+IF(MOD(AT121,1)&lt;0.125,0,IF(MOD(AT121,1)&lt;0.375,0.25,IF(MOD(AT121,1)&lt;0.625,0.5,IF(MOD(AT121,1)&lt;0.875,0.75,1))))</f>
        <v>46</v>
      </c>
      <c r="AW121" s="1620">
        <f>613.9723/AU121^2</f>
        <v>8.0009317466274682E-4</v>
      </c>
      <c r="AX121" s="1620">
        <f>1+0.8*AW121*(AV121-15)</f>
        <v>1.0198423107316361</v>
      </c>
      <c r="AY121" s="1622"/>
      <c r="AZ121" s="1622"/>
      <c r="BA121" s="1622"/>
      <c r="BB121" s="1622"/>
      <c r="BC121" s="1622"/>
      <c r="BD121" s="1608">
        <f>ROUND(EXP(AW121*AX121*(AV121-15)*-1),4)</f>
        <v>0.97499999999999998</v>
      </c>
      <c r="BF121" s="30">
        <v>0</v>
      </c>
      <c r="BG121" s="31">
        <v>1.0760000000000001</v>
      </c>
      <c r="BH121" s="32">
        <v>1075.3</v>
      </c>
      <c r="BJ121" s="30">
        <v>0</v>
      </c>
      <c r="BK121" s="34">
        <v>4.0010000000000003</v>
      </c>
      <c r="BL121" s="35">
        <v>0.16803999999999999</v>
      </c>
      <c r="BM121" s="36"/>
      <c r="BN121" s="30">
        <v>0</v>
      </c>
      <c r="BO121" s="34">
        <v>4.0651999999999999</v>
      </c>
      <c r="BP121" s="35">
        <v>0.17074</v>
      </c>
      <c r="BR121" s="1713">
        <v>650</v>
      </c>
      <c r="BS121" s="1714"/>
      <c r="BT121" s="1715"/>
      <c r="BV121" s="1716">
        <v>650</v>
      </c>
      <c r="BW121" s="1717"/>
      <c r="BX121" s="1718"/>
      <c r="BY121" s="55"/>
    </row>
    <row r="122" spans="27:77" ht="13.15">
      <c r="AA122" s="27"/>
      <c r="AK122" s="1098"/>
      <c r="AR122" s="1712" t="s">
        <v>969</v>
      </c>
      <c r="AS122" s="1607">
        <f>AT135</f>
        <v>875.7</v>
      </c>
      <c r="AT122" s="1709">
        <f>AV136</f>
        <v>45.11</v>
      </c>
      <c r="AU122" s="1680">
        <f>IF((EVEN(AS122)-AS122)&lt;1,EVEN(AS122),EVEN(AS122)-2)</f>
        <v>876</v>
      </c>
      <c r="AV122" s="1710">
        <f>FLOOR(AT122,1)+IF(MOD(AT122,1)&lt;0.125,0,IF(MOD(AT122,1)&lt;0.375,0.25,IF(MOD(AT122,1)&lt;0.625,0.5,IF(MOD(AT122,1)&lt;0.875,0.75,1))))</f>
        <v>45</v>
      </c>
      <c r="AW122" s="1620">
        <f>613.9723/AU122^2</f>
        <v>8.0009317466274682E-4</v>
      </c>
      <c r="AX122" s="1620">
        <f>1+0.8*AW122*(AV122-15)</f>
        <v>1.019202236191906</v>
      </c>
      <c r="AY122" s="1622"/>
      <c r="AZ122" s="1622"/>
      <c r="BA122" s="1622"/>
      <c r="BB122" s="1622"/>
      <c r="BC122" s="1622"/>
      <c r="BD122" s="1608">
        <f>ROUND(EXP(AW122*AX122*(AV122-15)*-1),4)</f>
        <v>0.9758</v>
      </c>
      <c r="BF122" s="30">
        <v>0.1</v>
      </c>
      <c r="BG122" s="31">
        <v>1.0751999999999999</v>
      </c>
      <c r="BH122" s="32">
        <v>1074.5</v>
      </c>
      <c r="BJ122" s="30">
        <v>0.1</v>
      </c>
      <c r="BK122" s="34">
        <v>3.9980000000000002</v>
      </c>
      <c r="BL122" s="35">
        <v>0.16792000000000001</v>
      </c>
      <c r="BM122" s="36"/>
      <c r="BN122" s="30">
        <v>0.1</v>
      </c>
      <c r="BO122" s="34">
        <v>4.0621</v>
      </c>
      <c r="BP122" s="35">
        <v>0.17061000000000001</v>
      </c>
      <c r="BR122" s="37">
        <v>651</v>
      </c>
      <c r="BS122" s="38"/>
      <c r="BT122" s="39"/>
      <c r="BV122" s="37">
        <v>651</v>
      </c>
      <c r="BW122" s="34"/>
      <c r="BX122" s="41"/>
      <c r="BY122" s="55"/>
    </row>
    <row r="123" spans="27:77">
      <c r="AA123" s="27"/>
      <c r="BF123" s="30">
        <v>0.2</v>
      </c>
      <c r="BG123" s="31">
        <v>1.0744</v>
      </c>
      <c r="BH123" s="32">
        <v>1073.7</v>
      </c>
      <c r="BJ123" s="30">
        <v>0.2</v>
      </c>
      <c r="BK123" s="34">
        <v>3.9948999999999999</v>
      </c>
      <c r="BL123" s="35">
        <v>0.16778999999999999</v>
      </c>
      <c r="BM123" s="36"/>
      <c r="BN123" s="30">
        <v>0.2</v>
      </c>
      <c r="BO123" s="34">
        <v>4.0590999999999999</v>
      </c>
      <c r="BP123" s="35">
        <v>0.17047999999999999</v>
      </c>
      <c r="BR123" s="37">
        <v>652</v>
      </c>
      <c r="BS123" s="38"/>
      <c r="BT123" s="39"/>
      <c r="BV123" s="37">
        <v>652</v>
      </c>
      <c r="BW123" s="34"/>
      <c r="BX123" s="41"/>
      <c r="BY123" s="55"/>
    </row>
    <row r="124" spans="27:77" ht="13.15">
      <c r="AA124" s="27"/>
      <c r="AR124" s="1598"/>
      <c r="AS124" s="2287" t="s">
        <v>576</v>
      </c>
      <c r="AT124" s="2288"/>
      <c r="AU124" s="2289" t="s">
        <v>222</v>
      </c>
      <c r="AV124" s="2290"/>
      <c r="AW124" s="2287" t="s">
        <v>210</v>
      </c>
      <c r="AX124" s="2292"/>
      <c r="AY124" s="2292"/>
      <c r="AZ124" s="2288"/>
      <c r="BA124" s="2291" t="s">
        <v>210</v>
      </c>
      <c r="BB124" s="2315" t="s">
        <v>211</v>
      </c>
      <c r="BC124" s="2388"/>
      <c r="BD124" s="2389" t="s">
        <v>204</v>
      </c>
      <c r="BF124" s="30">
        <v>0.3</v>
      </c>
      <c r="BG124" s="31">
        <v>1.0736000000000001</v>
      </c>
      <c r="BH124" s="32">
        <v>1072.9000000000001</v>
      </c>
      <c r="BJ124" s="30">
        <v>0.3</v>
      </c>
      <c r="BK124" s="34">
        <v>3.9918999999999998</v>
      </c>
      <c r="BL124" s="35">
        <v>0.16766</v>
      </c>
      <c r="BM124" s="36"/>
      <c r="BN124" s="30">
        <v>0.3</v>
      </c>
      <c r="BO124" s="34">
        <v>4.056</v>
      </c>
      <c r="BP124" s="35">
        <v>0.17035</v>
      </c>
      <c r="BR124" s="37">
        <v>653</v>
      </c>
      <c r="BS124" s="38"/>
      <c r="BT124" s="39"/>
      <c r="BV124" s="37">
        <v>653</v>
      </c>
      <c r="BW124" s="34"/>
      <c r="BX124" s="41"/>
      <c r="BY124" s="55"/>
    </row>
    <row r="125" spans="27:77" ht="13.15">
      <c r="AA125" s="27"/>
      <c r="AD125" s="1719"/>
      <c r="AE125" s="1719"/>
      <c r="AR125" s="1604"/>
      <c r="AS125" s="2296" t="s">
        <v>219</v>
      </c>
      <c r="AT125" s="2296" t="s">
        <v>220</v>
      </c>
      <c r="AU125" s="2298" t="s">
        <v>219</v>
      </c>
      <c r="AV125" s="2298" t="s">
        <v>220</v>
      </c>
      <c r="AW125" s="2296" t="s">
        <v>223</v>
      </c>
      <c r="AX125" s="2296" t="s">
        <v>224</v>
      </c>
      <c r="AY125" s="2296" t="s">
        <v>225</v>
      </c>
      <c r="AZ125" s="2296" t="s">
        <v>226</v>
      </c>
      <c r="BA125" s="2299"/>
      <c r="BB125" s="2317"/>
      <c r="BC125" s="2390"/>
      <c r="BD125" s="2391" t="s">
        <v>227</v>
      </c>
      <c r="BF125" s="30">
        <v>0.4</v>
      </c>
      <c r="BG125" s="31">
        <v>1.0728</v>
      </c>
      <c r="BH125" s="32">
        <v>1072.0999999999999</v>
      </c>
      <c r="BJ125" s="30">
        <v>0.4</v>
      </c>
      <c r="BK125" s="34">
        <v>3.9889000000000001</v>
      </c>
      <c r="BL125" s="35">
        <v>0.16753000000000001</v>
      </c>
      <c r="BM125" s="36"/>
      <c r="BN125" s="30">
        <v>0.4</v>
      </c>
      <c r="BO125" s="34">
        <v>4.0529000000000002</v>
      </c>
      <c r="BP125" s="35">
        <v>0.17022000000000001</v>
      </c>
      <c r="BR125" s="37">
        <v>654</v>
      </c>
      <c r="BS125" s="38">
        <v>0.65410000000000001</v>
      </c>
      <c r="BT125" s="39">
        <v>84.83</v>
      </c>
      <c r="BV125" s="40">
        <v>654</v>
      </c>
      <c r="BW125" s="34">
        <v>0.71970000000000001</v>
      </c>
      <c r="BX125" s="41">
        <v>0.64259999999999995</v>
      </c>
      <c r="BY125" s="55"/>
    </row>
    <row r="126" spans="27:77" ht="13.15">
      <c r="AA126" s="27"/>
      <c r="AD126" s="1719"/>
      <c r="AE126" s="1719"/>
      <c r="AR126" s="1615" t="s">
        <v>948</v>
      </c>
      <c r="AS126" s="1607">
        <f>AT133</f>
        <v>870.3</v>
      </c>
      <c r="AT126" s="1709">
        <f>AV133</f>
        <v>48.89</v>
      </c>
      <c r="AU126" s="1680">
        <f>IF((EVEN(AS126)-AS126)&lt;1,EVEN(AS126),EVEN(AS126)-2)</f>
        <v>870</v>
      </c>
      <c r="AV126" s="1710">
        <f>FLOOR(AT126,1)+IF(MOD(AT126,1)&lt;0.125,0,IF(MOD(AT126,1)&lt;0.375,0.25,IF(MOD(AT126,1)&lt;0.625,0.5,IF(MOD(AT126,1)&lt;0.875,0.75,1))))</f>
        <v>49</v>
      </c>
      <c r="AW126" s="1607">
        <f>IF(AU126&lt;770,(192.4571/AU126^2)+(0.2438/AU126),0)</f>
        <v>0</v>
      </c>
      <c r="AX126" s="1607">
        <f>IF(AND(AU126&gt;=770,AU126&lt;787.5),(1489.0671/(AU126^2))-0.0018684,0)</f>
        <v>0</v>
      </c>
      <c r="AY126" s="1607">
        <f>IF(AND(AU126&gt;=787.5,AU126&lt;838.5),330.301/AU126^2,0)</f>
        <v>0</v>
      </c>
      <c r="AZ126" s="1607">
        <f>IF(AND(AU126&gt;=838.5,AU126&lt;1075),(0.2701/AU126)+(103.873/AU126^2),0)</f>
        <v>4.4769454353283126E-4</v>
      </c>
      <c r="BA126" s="1687">
        <f>MAX(AW126:AZ126)</f>
        <v>4.4769454353283126E-4</v>
      </c>
      <c r="BB126" s="1607">
        <f>((AV126+40)*1.8)-99</f>
        <v>61.200000000000017</v>
      </c>
      <c r="BC126" s="1622"/>
      <c r="BD126" s="1720">
        <f>ROUND(EXP(-1*BA126*BB126*(1+0.8*BA126*BB126)),4)</f>
        <v>0.97240000000000004</v>
      </c>
      <c r="BF126" s="30">
        <v>0.5</v>
      </c>
      <c r="BG126" s="31">
        <v>1.0720000000000001</v>
      </c>
      <c r="BH126" s="32">
        <v>1071.3</v>
      </c>
      <c r="BJ126" s="30">
        <v>0.5</v>
      </c>
      <c r="BK126" s="34">
        <v>3.9859</v>
      </c>
      <c r="BL126" s="35">
        <v>0.16741</v>
      </c>
      <c r="BM126" s="36"/>
      <c r="BN126" s="30">
        <v>0.5</v>
      </c>
      <c r="BO126" s="34">
        <v>4.0498000000000003</v>
      </c>
      <c r="BP126" s="35">
        <v>0.17008999999999999</v>
      </c>
      <c r="BR126" s="37">
        <v>655</v>
      </c>
      <c r="BS126" s="38">
        <v>0.65510000000000002</v>
      </c>
      <c r="BT126" s="39">
        <v>84.49</v>
      </c>
      <c r="BV126" s="40">
        <v>655</v>
      </c>
      <c r="BW126" s="34">
        <v>0.7208</v>
      </c>
      <c r="BX126" s="41">
        <v>0.64359999999999995</v>
      </c>
      <c r="BY126" s="55"/>
    </row>
    <row r="127" spans="27:77" ht="13.15">
      <c r="AA127" s="27"/>
      <c r="AD127" s="1719"/>
      <c r="AE127" s="1719"/>
      <c r="AR127" s="1615" t="s">
        <v>948</v>
      </c>
      <c r="AS127" s="1607">
        <f>AT133</f>
        <v>870.3</v>
      </c>
      <c r="AT127" s="1709">
        <f>AV134</f>
        <v>46.11</v>
      </c>
      <c r="AU127" s="1680">
        <f>IF((EVEN(AS127)-AS127)&lt;1,EVEN(AS127),EVEN(AS127)-2)</f>
        <v>870</v>
      </c>
      <c r="AV127" s="1710">
        <f>FLOOR(AT127,1)+IF(MOD(AT127,1)&lt;0.125,0,IF(MOD(AT127,1)&lt;0.375,0.25,IF(MOD(AT127,1)&lt;0.625,0.5,IF(MOD(AT127,1)&lt;0.875,0.75,1))))</f>
        <v>46</v>
      </c>
      <c r="AW127" s="1607">
        <f>IF(AU127&lt;770,(192.4571/AU127^2)+(0.2438/AU127),0)</f>
        <v>0</v>
      </c>
      <c r="AX127" s="1607">
        <f>IF(AND(AU127&gt;=770,AU127&lt;787.5),(1489.0671/(AU127^2))-0.0018684,0)</f>
        <v>0</v>
      </c>
      <c r="AY127" s="1607">
        <f>IF(AND(AU127&gt;=787.5,AU127&lt;838.5),330.301/AU127^2,0)</f>
        <v>0</v>
      </c>
      <c r="AZ127" s="1607">
        <f>IF(AND(AU127&gt;=838.5,AU127&lt;1075),(0.2701/AU127)+(103.873/AU127^2),0)</f>
        <v>4.4769454353283126E-4</v>
      </c>
      <c r="BA127" s="1687">
        <f>MAX(AW127:AZ127)</f>
        <v>4.4769454353283126E-4</v>
      </c>
      <c r="BB127" s="1607">
        <f>((AV127+40)*1.8)-99</f>
        <v>55.800000000000011</v>
      </c>
      <c r="BC127" s="1622"/>
      <c r="BD127" s="1720">
        <f>ROUND(EXP(-1*BA127*BB127*(1+0.8*BA127*BB127)),4)</f>
        <v>0.9748</v>
      </c>
      <c r="BF127" s="30">
        <v>0.6</v>
      </c>
      <c r="BG127" s="31">
        <v>1.0711999999999999</v>
      </c>
      <c r="BH127" s="32">
        <v>1070.5</v>
      </c>
      <c r="BJ127" s="30">
        <v>0.6</v>
      </c>
      <c r="BK127" s="34">
        <v>3.9828000000000001</v>
      </c>
      <c r="BL127" s="35">
        <v>0.16728000000000001</v>
      </c>
      <c r="BM127" s="36"/>
      <c r="BN127" s="30">
        <v>0.6</v>
      </c>
      <c r="BO127" s="34">
        <v>4.0467000000000004</v>
      </c>
      <c r="BP127" s="35">
        <v>0.16996</v>
      </c>
      <c r="BR127" s="37">
        <v>656</v>
      </c>
      <c r="BS127" s="38">
        <v>0.65610000000000002</v>
      </c>
      <c r="BT127" s="39">
        <v>84.16</v>
      </c>
      <c r="BV127" s="40">
        <v>656</v>
      </c>
      <c r="BW127" s="34">
        <v>0.72189999999999999</v>
      </c>
      <c r="BX127" s="41">
        <v>0.64449999999999996</v>
      </c>
      <c r="BY127" s="55"/>
    </row>
    <row r="128" spans="27:77" ht="13.15">
      <c r="AA128" s="27"/>
      <c r="AD128" s="1719"/>
      <c r="AE128" s="1719"/>
      <c r="AR128" s="1615" t="s">
        <v>949</v>
      </c>
      <c r="AS128" s="1607">
        <f>AT135</f>
        <v>875.7</v>
      </c>
      <c r="AT128" s="1709">
        <f>AV134</f>
        <v>46.11</v>
      </c>
      <c r="AU128" s="1680">
        <f>IF((EVEN(AS128)-AS128)&lt;1,EVEN(AS128),EVEN(AS128)-2)</f>
        <v>876</v>
      </c>
      <c r="AV128" s="1710">
        <f>FLOOR(AT128,1)+IF(MOD(AT128,1)&lt;0.125,0,IF(MOD(AT128,1)&lt;0.375,0.25,IF(MOD(AT128,1)&lt;0.625,0.5,IF(MOD(AT128,1)&lt;0.875,0.75,1))))</f>
        <v>46</v>
      </c>
      <c r="AW128" s="1607">
        <f>IF(AU128&lt;770,(192.4571/AU128^2)+(0.2438/AU128),0)</f>
        <v>0</v>
      </c>
      <c r="AX128" s="1607">
        <f>IF(AND(AU128&gt;=770,AU128&lt;787.5),(1489.0671/(AU128^2))-0.0018684,0)</f>
        <v>0</v>
      </c>
      <c r="AY128" s="1607">
        <f>IF(AND(AU128&gt;=787.5,AU128&lt;838.5),330.301/AU128^2,0)</f>
        <v>0</v>
      </c>
      <c r="AZ128" s="1607">
        <f>IF(AND(AU128&gt;=838.5,AU128&lt;1075),(0.2701/AU128)+(103.873/AU128^2),0)</f>
        <v>4.436946164592065E-4</v>
      </c>
      <c r="BA128" s="1687">
        <f>MAX(AW128:AZ128)</f>
        <v>4.436946164592065E-4</v>
      </c>
      <c r="BB128" s="1607">
        <f>((AV128+40)*1.8)-99</f>
        <v>55.800000000000011</v>
      </c>
      <c r="BC128" s="1622"/>
      <c r="BD128" s="1720">
        <f>ROUND(EXP(-1*BA128*BB128*(1+0.8*BA128*BB128)),4)</f>
        <v>0.97509999999999997</v>
      </c>
      <c r="BF128" s="30">
        <v>0.7</v>
      </c>
      <c r="BG128" s="31">
        <v>1.0703</v>
      </c>
      <c r="BH128" s="32">
        <v>1069.7</v>
      </c>
      <c r="BJ128" s="30">
        <v>0.7</v>
      </c>
      <c r="BK128" s="34">
        <v>3.9798</v>
      </c>
      <c r="BL128" s="35">
        <v>0.16714999999999999</v>
      </c>
      <c r="BM128" s="36"/>
      <c r="BN128" s="30">
        <v>0.7</v>
      </c>
      <c r="BO128" s="34">
        <v>4.0437000000000003</v>
      </c>
      <c r="BP128" s="35">
        <v>0.16983000000000001</v>
      </c>
      <c r="BR128" s="37">
        <v>657</v>
      </c>
      <c r="BS128" s="38">
        <v>0.65710000000000002</v>
      </c>
      <c r="BT128" s="39">
        <v>83.84</v>
      </c>
      <c r="BV128" s="40">
        <v>657</v>
      </c>
      <c r="BW128" s="34">
        <v>0.72299999999999998</v>
      </c>
      <c r="BX128" s="41">
        <v>0.64549999999999996</v>
      </c>
      <c r="BY128" s="55"/>
    </row>
    <row r="129" spans="27:77" ht="13.15">
      <c r="AA129" s="27"/>
      <c r="AD129" s="1719"/>
      <c r="AE129" s="1719"/>
      <c r="AR129" s="1615" t="s">
        <v>969</v>
      </c>
      <c r="AS129" s="1607">
        <f>AT135</f>
        <v>875.7</v>
      </c>
      <c r="AT129" s="1709">
        <f>AV136</f>
        <v>45.11</v>
      </c>
      <c r="AU129" s="1680">
        <f>IF((EVEN(AS129)-AS129)&lt;1,EVEN(AS129),EVEN(AS129)-2)</f>
        <v>876</v>
      </c>
      <c r="AV129" s="1710">
        <f>FLOOR(AT129,1)+IF(MOD(AT129,1)&lt;0.125,0,IF(MOD(AT129,1)&lt;0.375,0.25,IF(MOD(AT129,1)&lt;0.625,0.5,IF(MOD(AT129,1)&lt;0.875,0.75,1))))</f>
        <v>45</v>
      </c>
      <c r="AW129" s="1607">
        <f>IF(AU129&lt;770,(192.4571/AU129^2)+(0.2438/AU129),0)</f>
        <v>0</v>
      </c>
      <c r="AX129" s="1607">
        <f>IF(AND(AU129&gt;=770,AU129&lt;787.5),(1489.0671/(AU129^2))-0.0018684,0)</f>
        <v>0</v>
      </c>
      <c r="AY129" s="1607">
        <f>IF(AND(AU129&gt;=787.5,AU129&lt;838.5),330.301/AU129^2,0)</f>
        <v>0</v>
      </c>
      <c r="AZ129" s="1607">
        <f>IF(AND(AU129&gt;=838.5,AU129&lt;1075),(0.2701/AU129)+(103.873/AU129^2),0)</f>
        <v>4.436946164592065E-4</v>
      </c>
      <c r="BA129" s="1687">
        <f>MAX(AW129:AZ129)</f>
        <v>4.436946164592065E-4</v>
      </c>
      <c r="BB129" s="1607">
        <f>((AV129+40)*1.8)-99</f>
        <v>54</v>
      </c>
      <c r="BC129" s="1622"/>
      <c r="BD129" s="1720">
        <f>ROUND(EXP(-1*BA129*BB129*(1+0.8*BA129*BB129)),4)</f>
        <v>0.97589999999999999</v>
      </c>
      <c r="BF129" s="30">
        <v>0.8</v>
      </c>
      <c r="BG129" s="31">
        <v>1.0694999999999999</v>
      </c>
      <c r="BH129" s="32">
        <v>1068.8</v>
      </c>
      <c r="BJ129" s="30">
        <v>0.8</v>
      </c>
      <c r="BK129" s="34">
        <v>3.9767999999999999</v>
      </c>
      <c r="BL129" s="35">
        <v>0.16703000000000001</v>
      </c>
      <c r="BM129" s="36"/>
      <c r="BN129" s="30">
        <v>0.8</v>
      </c>
      <c r="BO129" s="34">
        <v>4.0406000000000004</v>
      </c>
      <c r="BP129" s="35">
        <v>0.16971</v>
      </c>
      <c r="BR129" s="37">
        <v>658</v>
      </c>
      <c r="BS129" s="38">
        <v>0.65810000000000002</v>
      </c>
      <c r="BT129" s="39">
        <v>83.51</v>
      </c>
      <c r="BV129" s="40">
        <v>658</v>
      </c>
      <c r="BW129" s="34">
        <v>0.72409999999999997</v>
      </c>
      <c r="BX129" s="41">
        <v>0.64649999999999996</v>
      </c>
      <c r="BY129" s="55"/>
    </row>
    <row r="130" spans="27:77">
      <c r="AA130" s="27"/>
      <c r="AD130" s="1719"/>
      <c r="AE130" s="1719"/>
      <c r="BF130" s="30">
        <v>0.9</v>
      </c>
      <c r="BG130" s="31">
        <v>1.0687</v>
      </c>
      <c r="BH130" s="32">
        <v>1068</v>
      </c>
      <c r="BJ130" s="30">
        <v>0.9</v>
      </c>
      <c r="BK130" s="34">
        <v>3.9738000000000002</v>
      </c>
      <c r="BL130" s="35">
        <v>0.16689999999999999</v>
      </c>
      <c r="BM130" s="36"/>
      <c r="BN130" s="30">
        <v>0.9</v>
      </c>
      <c r="BO130" s="34">
        <v>4.0376000000000003</v>
      </c>
      <c r="BP130" s="35">
        <v>0.16958000000000001</v>
      </c>
      <c r="BR130" s="37">
        <v>659</v>
      </c>
      <c r="BS130" s="38">
        <v>0.65910000000000002</v>
      </c>
      <c r="BT130" s="39">
        <v>83.18</v>
      </c>
      <c r="BV130" s="40">
        <v>659</v>
      </c>
      <c r="BW130" s="34">
        <v>0.72519999999999996</v>
      </c>
      <c r="BX130" s="41">
        <v>0.64749999999999996</v>
      </c>
      <c r="BY130" s="55"/>
    </row>
    <row r="131" spans="27:77" ht="13.15">
      <c r="AA131" s="27"/>
      <c r="AD131" s="1719"/>
      <c r="AE131" s="1719"/>
      <c r="AR131" s="2392"/>
      <c r="AS131" s="2393" t="s">
        <v>18</v>
      </c>
      <c r="AT131" s="2393" t="s">
        <v>20</v>
      </c>
      <c r="AU131" s="2393" t="s">
        <v>943</v>
      </c>
      <c r="AV131" s="2394" t="s">
        <v>943</v>
      </c>
      <c r="AW131" s="2395" t="s">
        <v>204</v>
      </c>
      <c r="AX131" s="2396"/>
      <c r="AY131" s="2396"/>
      <c r="AZ131" s="2397"/>
      <c r="BA131" s="2398" t="s">
        <v>997</v>
      </c>
      <c r="BB131" s="2395"/>
      <c r="BC131" s="2399"/>
      <c r="BF131" s="30">
        <v>1</v>
      </c>
      <c r="BG131" s="31">
        <v>1.0679000000000001</v>
      </c>
      <c r="BH131" s="32">
        <v>1067.2</v>
      </c>
      <c r="BJ131" s="30">
        <v>1</v>
      </c>
      <c r="BK131" s="34">
        <v>3.9708000000000001</v>
      </c>
      <c r="BL131" s="35">
        <v>0.16677</v>
      </c>
      <c r="BM131" s="36"/>
      <c r="BN131" s="30">
        <v>1</v>
      </c>
      <c r="BO131" s="34">
        <v>4.0345000000000004</v>
      </c>
      <c r="BP131" s="35">
        <v>0.16944999999999999</v>
      </c>
      <c r="BR131" s="37">
        <v>660</v>
      </c>
      <c r="BS131" s="38">
        <v>0.66010000000000002</v>
      </c>
      <c r="BT131" s="39">
        <v>82.86</v>
      </c>
      <c r="BV131" s="40">
        <v>660</v>
      </c>
      <c r="BW131" s="34">
        <v>0.72629999999999995</v>
      </c>
      <c r="BX131" s="41">
        <v>0.64849999999999997</v>
      </c>
      <c r="BY131" s="55"/>
    </row>
    <row r="132" spans="27:77">
      <c r="AA132" s="27"/>
      <c r="AR132" s="2361"/>
      <c r="AS132" s="2400"/>
      <c r="AT132" s="2400"/>
      <c r="AU132" s="2401" t="s">
        <v>485</v>
      </c>
      <c r="AV132" s="2402" t="s">
        <v>484</v>
      </c>
      <c r="AW132" s="2403" t="s">
        <v>194</v>
      </c>
      <c r="AX132" s="2326" t="s">
        <v>196</v>
      </c>
      <c r="AY132" s="2326" t="s">
        <v>988</v>
      </c>
      <c r="AZ132" s="2326" t="s">
        <v>991</v>
      </c>
      <c r="BA132" s="2326" t="s">
        <v>998</v>
      </c>
      <c r="BB132" s="2326" t="s">
        <v>999</v>
      </c>
      <c r="BC132" s="2326" t="s">
        <v>1000</v>
      </c>
      <c r="BF132" s="30">
        <v>1.1000000000000001</v>
      </c>
      <c r="BG132" s="31">
        <v>1.0670999999999999</v>
      </c>
      <c r="BH132" s="32">
        <v>1066.4000000000001</v>
      </c>
      <c r="BJ132" s="30">
        <v>1.1000000000000001</v>
      </c>
      <c r="BK132" s="34">
        <v>3.9678</v>
      </c>
      <c r="BL132" s="35">
        <v>0.16664999999999999</v>
      </c>
      <c r="BM132" s="36"/>
      <c r="BN132" s="30">
        <v>1.1000000000000001</v>
      </c>
      <c r="BO132" s="34">
        <v>4.0315000000000003</v>
      </c>
      <c r="BP132" s="35">
        <v>0.16932</v>
      </c>
      <c r="BR132" s="37">
        <v>661</v>
      </c>
      <c r="BS132" s="38">
        <v>0.66110000000000002</v>
      </c>
      <c r="BT132" s="39">
        <v>82.53</v>
      </c>
      <c r="BV132" s="40">
        <v>661</v>
      </c>
      <c r="BW132" s="34">
        <v>0.72740000000000005</v>
      </c>
      <c r="BX132" s="41">
        <v>0.64949999999999997</v>
      </c>
      <c r="BY132" s="55"/>
    </row>
    <row r="133" spans="27:77">
      <c r="AA133" s="27"/>
      <c r="AR133" s="1721" t="s">
        <v>948</v>
      </c>
      <c r="AS133" s="1637">
        <f>BF109</f>
        <v>31</v>
      </c>
      <c r="AT133" s="1637">
        <f>BR109</f>
        <v>870.3</v>
      </c>
      <c r="AU133" s="1637">
        <f>ROUND(IF(AF104=1,F10,(9/5)*F10+32),1)</f>
        <v>120</v>
      </c>
      <c r="AV133" s="1637">
        <f>ROUND(IF(AF104=2,F10,(F10-32)/9*5),2)</f>
        <v>48.89</v>
      </c>
      <c r="AW133" s="1722">
        <f>BD105</f>
        <v>0.97270000000000001</v>
      </c>
      <c r="AX133" s="1722">
        <f>BD112</f>
        <v>0.97289999999999999</v>
      </c>
      <c r="AY133" s="1637">
        <f>BD119</f>
        <v>0.97219999999999995</v>
      </c>
      <c r="AZ133" s="1637">
        <f>BD126</f>
        <v>0.97240000000000004</v>
      </c>
      <c r="BA133" s="1723">
        <f>BL109</f>
        <v>0.13594999999999999</v>
      </c>
      <c r="BB133" s="1723">
        <f>BP109</f>
        <v>0.13813</v>
      </c>
      <c r="BC133" s="1723">
        <f>BX109</f>
        <v>0.85549999999999993</v>
      </c>
      <c r="BF133" s="30">
        <v>1.2</v>
      </c>
      <c r="BG133" s="31">
        <v>1.0663</v>
      </c>
      <c r="BH133" s="32">
        <v>1065.5999999999999</v>
      </c>
      <c r="BJ133" s="30">
        <v>1.2</v>
      </c>
      <c r="BK133" s="34">
        <v>3.9647999999999999</v>
      </c>
      <c r="BL133" s="35">
        <v>0.16652</v>
      </c>
      <c r="BM133" s="36"/>
      <c r="BN133" s="30">
        <v>1.2</v>
      </c>
      <c r="BO133" s="34">
        <v>4.0284000000000004</v>
      </c>
      <c r="BP133" s="35">
        <v>0.16919000000000001</v>
      </c>
      <c r="BR133" s="37">
        <v>662</v>
      </c>
      <c r="BS133" s="38">
        <v>0.66210000000000002</v>
      </c>
      <c r="BT133" s="39">
        <v>82.21</v>
      </c>
      <c r="BV133" s="40">
        <v>662</v>
      </c>
      <c r="BW133" s="34">
        <v>0.72850000000000004</v>
      </c>
      <c r="BX133" s="41">
        <v>0.65039999999999998</v>
      </c>
      <c r="BY133" s="55"/>
    </row>
    <row r="134" spans="27:77">
      <c r="AA134" s="27"/>
      <c r="AR134" s="1712" t="s">
        <v>948</v>
      </c>
      <c r="AS134" s="1637">
        <f>AS133</f>
        <v>31</v>
      </c>
      <c r="AT134" s="1637">
        <f>AT133</f>
        <v>870.3</v>
      </c>
      <c r="AU134" s="1637">
        <f>ROUND(IF(AF104=1,F11,(9/5)*F11+32),1)</f>
        <v>115</v>
      </c>
      <c r="AV134" s="1637">
        <f>ROUND(IF(AF104=2,F11,(F11-32)/9*5),2)</f>
        <v>46.11</v>
      </c>
      <c r="AW134" s="1722">
        <f>BD106</f>
        <v>0.97499999999999998</v>
      </c>
      <c r="AX134" s="1722">
        <f>BD113</f>
        <v>0.97519999999999996</v>
      </c>
      <c r="AY134" s="1637">
        <f>BD120</f>
        <v>0.97470000000000001</v>
      </c>
      <c r="AZ134" s="1637">
        <f>BD127</f>
        <v>0.9748</v>
      </c>
      <c r="BA134" s="1723"/>
      <c r="BB134" s="1723"/>
      <c r="BC134" s="1723"/>
      <c r="BF134" s="30">
        <v>1.3</v>
      </c>
      <c r="BG134" s="31">
        <v>1.0654999999999999</v>
      </c>
      <c r="BH134" s="32">
        <v>1064.8</v>
      </c>
      <c r="BJ134" s="30">
        <v>1.3</v>
      </c>
      <c r="BK134" s="34">
        <v>3.9618000000000002</v>
      </c>
      <c r="BL134" s="35">
        <v>0.16639999999999999</v>
      </c>
      <c r="BM134" s="36"/>
      <c r="BN134" s="30">
        <v>1.3</v>
      </c>
      <c r="BO134" s="34">
        <v>4.0254000000000003</v>
      </c>
      <c r="BP134" s="35">
        <v>0.16907</v>
      </c>
      <c r="BR134" s="37">
        <v>663</v>
      </c>
      <c r="BS134" s="38">
        <v>0.66310000000000002</v>
      </c>
      <c r="BT134" s="39">
        <v>81.88</v>
      </c>
      <c r="BV134" s="40">
        <v>663</v>
      </c>
      <c r="BW134" s="34">
        <v>0.72960000000000003</v>
      </c>
      <c r="BX134" s="41">
        <v>0.65139999999999998</v>
      </c>
      <c r="BY134" s="55"/>
    </row>
    <row r="135" spans="27:77">
      <c r="AA135" s="27"/>
      <c r="AR135" s="1712" t="s">
        <v>949</v>
      </c>
      <c r="AS135" s="1637">
        <f>BF113</f>
        <v>30</v>
      </c>
      <c r="AT135" s="1637">
        <f>BR113</f>
        <v>875.7</v>
      </c>
      <c r="AU135" s="1637">
        <f>AU134</f>
        <v>115</v>
      </c>
      <c r="AV135" s="1637">
        <f>AV134</f>
        <v>46.11</v>
      </c>
      <c r="AW135" s="1722">
        <f>BD107</f>
        <v>0.97529999999999994</v>
      </c>
      <c r="AX135" s="1722">
        <f>BD114</f>
        <v>0.97540000000000004</v>
      </c>
      <c r="AY135" s="1637">
        <f>BD121</f>
        <v>0.97499999999999998</v>
      </c>
      <c r="AZ135" s="1637">
        <f>BD128</f>
        <v>0.97509999999999997</v>
      </c>
      <c r="BA135" s="1723">
        <f>BL113</f>
        <v>0.13678999999999999</v>
      </c>
      <c r="BB135" s="1723">
        <f>BP113</f>
        <v>0.13899</v>
      </c>
      <c r="BC135" s="1723">
        <f>BX113</f>
        <v>0.86080000000000001</v>
      </c>
      <c r="BF135" s="30">
        <v>1.4</v>
      </c>
      <c r="BG135" s="31">
        <v>1.0647</v>
      </c>
      <c r="BH135" s="32">
        <v>1064</v>
      </c>
      <c r="BJ135" s="30">
        <v>1.4</v>
      </c>
      <c r="BK135" s="34">
        <v>3.9588000000000001</v>
      </c>
      <c r="BL135" s="35">
        <v>0.16627</v>
      </c>
      <c r="BM135" s="36"/>
      <c r="BN135" s="30">
        <v>1.4</v>
      </c>
      <c r="BO135" s="34">
        <v>4.0224000000000002</v>
      </c>
      <c r="BP135" s="35">
        <v>0.16894000000000001</v>
      </c>
      <c r="BR135" s="37">
        <v>664</v>
      </c>
      <c r="BS135" s="38">
        <v>0.66410000000000002</v>
      </c>
      <c r="BT135" s="39">
        <v>81.56</v>
      </c>
      <c r="BV135" s="40">
        <v>664</v>
      </c>
      <c r="BW135" s="34">
        <v>0.73070000000000002</v>
      </c>
      <c r="BX135" s="41">
        <v>0.65239999999999998</v>
      </c>
      <c r="BY135" s="55"/>
    </row>
    <row r="136" spans="27:77">
      <c r="AA136" s="27"/>
      <c r="AR136" s="1712" t="s">
        <v>969</v>
      </c>
      <c r="AS136" s="1637">
        <f>AS135</f>
        <v>30</v>
      </c>
      <c r="AT136" s="1637">
        <f>AT135</f>
        <v>875.7</v>
      </c>
      <c r="AU136" s="1637">
        <f>ROUND(IF(AF104=1,AD119,(9/5)*AD119+32),1)</f>
        <v>113.2</v>
      </c>
      <c r="AV136" s="1637">
        <f>ROUND(IF(AF104=2,AD119,(AD119-32)/9*5),2)</f>
        <v>45.11</v>
      </c>
      <c r="AW136" s="1722">
        <f>BD108</f>
        <v>0.97619999999999996</v>
      </c>
      <c r="AX136" s="1722">
        <f>BD115</f>
        <v>0.97629999999999995</v>
      </c>
      <c r="AY136" s="1637">
        <f>BD122</f>
        <v>0.9758</v>
      </c>
      <c r="AZ136" s="1637">
        <f>BD129</f>
        <v>0.97589999999999999</v>
      </c>
      <c r="BA136" s="1723">
        <f>BA135</f>
        <v>0.13678999999999999</v>
      </c>
      <c r="BB136" s="1723">
        <f>BP113</f>
        <v>0.13899</v>
      </c>
      <c r="BC136" s="1723">
        <f>BX113</f>
        <v>0.86080000000000001</v>
      </c>
      <c r="BF136" s="30">
        <v>1.5</v>
      </c>
      <c r="BG136" s="31">
        <v>1.0639000000000001</v>
      </c>
      <c r="BH136" s="32">
        <v>1063.2</v>
      </c>
      <c r="BJ136" s="30">
        <v>1.5</v>
      </c>
      <c r="BK136" s="34">
        <v>3.9559000000000002</v>
      </c>
      <c r="BL136" s="35">
        <v>0.16614999999999999</v>
      </c>
      <c r="BM136" s="36"/>
      <c r="BN136" s="30">
        <v>1.5</v>
      </c>
      <c r="BO136" s="34">
        <v>4.0193000000000003</v>
      </c>
      <c r="BP136" s="35">
        <v>0.16880999999999999</v>
      </c>
      <c r="BR136" s="37">
        <v>665</v>
      </c>
      <c r="BS136" s="38">
        <v>0.66510000000000002</v>
      </c>
      <c r="BT136" s="39">
        <v>81.239999999999995</v>
      </c>
      <c r="BV136" s="40">
        <v>665</v>
      </c>
      <c r="BW136" s="34">
        <v>0.73180000000000001</v>
      </c>
      <c r="BX136" s="41">
        <v>0.65339999999999998</v>
      </c>
      <c r="BY136" s="55"/>
    </row>
    <row r="137" spans="27:77">
      <c r="AA137" s="27"/>
      <c r="AR137" s="1574"/>
      <c r="AS137" s="1546"/>
      <c r="AT137" s="1546"/>
      <c r="AU137" s="1546"/>
      <c r="AV137" s="1546"/>
      <c r="AW137" s="1724"/>
      <c r="AX137" s="1724"/>
      <c r="AY137" s="1546"/>
      <c r="AZ137" s="1546"/>
      <c r="BA137" s="1725"/>
      <c r="BB137" s="1725"/>
      <c r="BC137" s="1725"/>
      <c r="BF137" s="30">
        <v>1.6</v>
      </c>
      <c r="BG137" s="31">
        <v>1.0630999999999999</v>
      </c>
      <c r="BH137" s="32">
        <v>1062.4000000000001</v>
      </c>
      <c r="BJ137" s="30">
        <v>1.6</v>
      </c>
      <c r="BK137" s="34">
        <v>3.9529000000000001</v>
      </c>
      <c r="BL137" s="35">
        <v>0.16602</v>
      </c>
      <c r="BM137" s="36"/>
      <c r="BN137" s="30">
        <v>1.6</v>
      </c>
      <c r="BO137" s="34">
        <v>4.0163000000000002</v>
      </c>
      <c r="BP137" s="35">
        <v>0.16869000000000001</v>
      </c>
      <c r="BR137" s="37">
        <v>666</v>
      </c>
      <c r="BS137" s="38">
        <v>0.66610000000000003</v>
      </c>
      <c r="BT137" s="39">
        <v>80.92</v>
      </c>
      <c r="BV137" s="40">
        <v>666</v>
      </c>
      <c r="BW137" s="34">
        <v>0.7329</v>
      </c>
      <c r="BX137" s="41">
        <v>0.65439999999999998</v>
      </c>
      <c r="BY137" s="55"/>
    </row>
    <row r="138" spans="27:77">
      <c r="AA138" s="27"/>
      <c r="BF138" s="30">
        <v>1.7</v>
      </c>
      <c r="BG138" s="31">
        <v>1.0623</v>
      </c>
      <c r="BH138" s="32">
        <v>1061.5999999999999</v>
      </c>
      <c r="BJ138" s="30">
        <v>1.7</v>
      </c>
      <c r="BK138" s="34">
        <v>3.9499</v>
      </c>
      <c r="BL138" s="35">
        <v>0.16589999999999999</v>
      </c>
      <c r="BM138" s="36"/>
      <c r="BN138" s="30">
        <v>1.7</v>
      </c>
      <c r="BO138" s="34">
        <v>4.0133000000000001</v>
      </c>
      <c r="BP138" s="35">
        <v>0.16855999999999999</v>
      </c>
      <c r="BR138" s="37">
        <v>667</v>
      </c>
      <c r="BS138" s="38">
        <v>0.66710000000000003</v>
      </c>
      <c r="BT138" s="39">
        <v>80.599999999999994</v>
      </c>
      <c r="BV138" s="40">
        <v>667</v>
      </c>
      <c r="BW138" s="34">
        <v>0.73399999999999999</v>
      </c>
      <c r="BX138" s="41">
        <v>0.65539999999999998</v>
      </c>
      <c r="BY138" s="55"/>
    </row>
    <row r="139" spans="27:77">
      <c r="AA139" s="27"/>
      <c r="BF139" s="30">
        <v>1.8</v>
      </c>
      <c r="BG139" s="31">
        <v>1.0615000000000001</v>
      </c>
      <c r="BH139" s="32">
        <v>1060.8</v>
      </c>
      <c r="BJ139" s="30">
        <v>1.8</v>
      </c>
      <c r="BK139" s="34">
        <v>3.9468999999999999</v>
      </c>
      <c r="BL139" s="35">
        <v>0.16577</v>
      </c>
      <c r="BM139" s="36"/>
      <c r="BN139" s="30">
        <v>1.8</v>
      </c>
      <c r="BO139" s="34">
        <v>4.0103</v>
      </c>
      <c r="BP139" s="35">
        <v>0.16843</v>
      </c>
      <c r="BR139" s="37">
        <v>668</v>
      </c>
      <c r="BS139" s="38">
        <v>0.66810000000000003</v>
      </c>
      <c r="BT139" s="39">
        <v>80.290000000000006</v>
      </c>
      <c r="BV139" s="40">
        <v>668</v>
      </c>
      <c r="BW139" s="34">
        <v>0.73509999999999998</v>
      </c>
      <c r="BX139" s="41">
        <v>0.65629999999999999</v>
      </c>
      <c r="BY139" s="55"/>
    </row>
    <row r="140" spans="27:77">
      <c r="AA140" s="27"/>
      <c r="BF140" s="30">
        <v>1.9</v>
      </c>
      <c r="BG140" s="31">
        <v>1.0607</v>
      </c>
      <c r="BH140" s="32">
        <v>1060</v>
      </c>
      <c r="BJ140" s="30">
        <v>1.9</v>
      </c>
      <c r="BK140" s="34">
        <v>3.944</v>
      </c>
      <c r="BL140" s="35">
        <v>0.16564999999999999</v>
      </c>
      <c r="BM140" s="36"/>
      <c r="BN140" s="30">
        <v>1.9</v>
      </c>
      <c r="BO140" s="34">
        <v>4.0072999999999999</v>
      </c>
      <c r="BP140" s="35">
        <v>0.16830999999999999</v>
      </c>
      <c r="BR140" s="37">
        <v>669</v>
      </c>
      <c r="BS140" s="38">
        <v>0.66910000000000003</v>
      </c>
      <c r="BT140" s="39">
        <v>79.97</v>
      </c>
      <c r="BV140" s="40">
        <v>669</v>
      </c>
      <c r="BW140" s="34">
        <v>0.73619999999999997</v>
      </c>
      <c r="BX140" s="41">
        <v>0.6573</v>
      </c>
      <c r="BY140" s="55"/>
    </row>
    <row r="141" spans="27:77">
      <c r="AA141" s="27"/>
      <c r="BF141" s="30">
        <v>2</v>
      </c>
      <c r="BG141" s="31">
        <v>1.0599000000000001</v>
      </c>
      <c r="BH141" s="32">
        <v>1059.2</v>
      </c>
      <c r="BJ141" s="30">
        <v>2</v>
      </c>
      <c r="BK141" s="34">
        <v>3.9409999999999998</v>
      </c>
      <c r="BL141" s="35">
        <v>0.16552</v>
      </c>
      <c r="BM141" s="36"/>
      <c r="BN141" s="30">
        <v>2</v>
      </c>
      <c r="BO141" s="34">
        <v>4.0042999999999997</v>
      </c>
      <c r="BP141" s="35">
        <v>0.16818</v>
      </c>
      <c r="BR141" s="37">
        <v>670</v>
      </c>
      <c r="BS141" s="38">
        <v>0.67010000000000003</v>
      </c>
      <c r="BT141" s="39">
        <v>79.650000000000006</v>
      </c>
      <c r="BV141" s="40">
        <v>670</v>
      </c>
      <c r="BW141" s="34">
        <v>0.73729999999999996</v>
      </c>
      <c r="BX141" s="41">
        <v>0.6583</v>
      </c>
      <c r="BY141" s="55"/>
    </row>
    <row r="142" spans="27:77">
      <c r="AA142" s="27"/>
      <c r="BF142" s="30">
        <v>2.1</v>
      </c>
      <c r="BG142" s="31">
        <v>1.0590999999999999</v>
      </c>
      <c r="BH142" s="32">
        <v>1058.5</v>
      </c>
      <c r="BJ142" s="30">
        <v>2.1</v>
      </c>
      <c r="BK142" s="34">
        <v>3.9380999999999999</v>
      </c>
      <c r="BL142" s="35">
        <v>0.16539999999999999</v>
      </c>
      <c r="BM142" s="36"/>
      <c r="BN142" s="30">
        <v>2.1</v>
      </c>
      <c r="BO142" s="34">
        <v>4.0012999999999996</v>
      </c>
      <c r="BP142" s="35">
        <v>0.16805</v>
      </c>
      <c r="BR142" s="37">
        <v>671</v>
      </c>
      <c r="BS142" s="38">
        <v>0.67110000000000003</v>
      </c>
      <c r="BT142" s="39">
        <v>79.34</v>
      </c>
      <c r="BV142" s="40">
        <v>671</v>
      </c>
      <c r="BW142" s="34">
        <v>0.73839999999999995</v>
      </c>
      <c r="BX142" s="41">
        <v>0.6593</v>
      </c>
      <c r="BY142" s="55"/>
    </row>
    <row r="143" spans="27:77">
      <c r="AA143" s="27"/>
      <c r="BF143" s="30">
        <v>2.2000000000000002</v>
      </c>
      <c r="BG143" s="31">
        <v>1.0583</v>
      </c>
      <c r="BH143" s="32">
        <v>1057.7</v>
      </c>
      <c r="BJ143" s="30">
        <v>2.2000000000000002</v>
      </c>
      <c r="BK143" s="34">
        <v>3.9350999999999998</v>
      </c>
      <c r="BL143" s="35">
        <v>0.16527</v>
      </c>
      <c r="BM143" s="36"/>
      <c r="BN143" s="30">
        <v>2.2000000000000002</v>
      </c>
      <c r="BO143" s="34">
        <v>3.9983</v>
      </c>
      <c r="BP143" s="35">
        <v>0.16793</v>
      </c>
      <c r="BR143" s="37">
        <v>672</v>
      </c>
      <c r="BS143" s="38">
        <v>0.67210000000000003</v>
      </c>
      <c r="BT143" s="39">
        <v>79.02</v>
      </c>
      <c r="BV143" s="40">
        <v>672</v>
      </c>
      <c r="BW143" s="34">
        <v>0.73950000000000005</v>
      </c>
      <c r="BX143" s="41">
        <v>0.6603</v>
      </c>
      <c r="BY143" s="55"/>
    </row>
    <row r="144" spans="27:77">
      <c r="AA144" s="27"/>
      <c r="BF144" s="30">
        <v>2.2999999999999998</v>
      </c>
      <c r="BG144" s="31">
        <v>1.0575000000000001</v>
      </c>
      <c r="BH144" s="32">
        <v>1056.9000000000001</v>
      </c>
      <c r="BJ144" s="30">
        <v>2.2999999999999998</v>
      </c>
      <c r="BK144" s="34">
        <v>3.9321999999999999</v>
      </c>
      <c r="BL144" s="35">
        <v>0.16514999999999999</v>
      </c>
      <c r="BM144" s="36"/>
      <c r="BN144" s="30">
        <v>2.2999999999999998</v>
      </c>
      <c r="BO144" s="34">
        <v>3.9952999999999999</v>
      </c>
      <c r="BP144" s="35">
        <v>0.1678</v>
      </c>
      <c r="BR144" s="37">
        <v>673</v>
      </c>
      <c r="BS144" s="38">
        <v>0.67310000000000003</v>
      </c>
      <c r="BT144" s="39">
        <v>78.709999999999994</v>
      </c>
      <c r="BV144" s="40">
        <v>673</v>
      </c>
      <c r="BW144" s="34">
        <v>0.74060000000000004</v>
      </c>
      <c r="BX144" s="41">
        <v>0.6613</v>
      </c>
      <c r="BY144" s="55"/>
    </row>
    <row r="145" spans="27:77">
      <c r="AA145" s="27"/>
      <c r="BF145" s="30">
        <v>2.4</v>
      </c>
      <c r="BG145" s="31">
        <v>1.0568</v>
      </c>
      <c r="BH145" s="32">
        <v>1056.0999999999999</v>
      </c>
      <c r="BJ145" s="30">
        <v>2.4</v>
      </c>
      <c r="BK145" s="34">
        <v>3.9291999999999998</v>
      </c>
      <c r="BL145" s="35">
        <v>0.16503000000000001</v>
      </c>
      <c r="BM145" s="36"/>
      <c r="BN145" s="30">
        <v>2.4</v>
      </c>
      <c r="BO145" s="34">
        <v>3.9923000000000002</v>
      </c>
      <c r="BP145" s="35">
        <v>0.16768</v>
      </c>
      <c r="BR145" s="37">
        <v>674</v>
      </c>
      <c r="BS145" s="38">
        <v>0.67410000000000003</v>
      </c>
      <c r="BT145" s="39">
        <v>78.400000000000006</v>
      </c>
      <c r="BV145" s="40">
        <v>674</v>
      </c>
      <c r="BW145" s="34">
        <v>0.74170000000000003</v>
      </c>
      <c r="BX145" s="41">
        <v>0.6623</v>
      </c>
      <c r="BY145" s="55"/>
    </row>
    <row r="146" spans="27:77">
      <c r="AA146" s="27"/>
      <c r="BF146" s="30">
        <v>2.5</v>
      </c>
      <c r="BG146" s="31">
        <v>1.056</v>
      </c>
      <c r="BH146" s="32">
        <v>1055.3</v>
      </c>
      <c r="BJ146" s="30">
        <v>2.5</v>
      </c>
      <c r="BK146" s="34">
        <v>3.9262999999999999</v>
      </c>
      <c r="BL146" s="35">
        <v>0.16489999999999999</v>
      </c>
      <c r="BM146" s="36"/>
      <c r="BN146" s="30">
        <v>2.5</v>
      </c>
      <c r="BO146" s="34">
        <v>3.9893000000000001</v>
      </c>
      <c r="BP146" s="35">
        <v>0.16755</v>
      </c>
      <c r="BR146" s="37">
        <v>675</v>
      </c>
      <c r="BS146" s="38">
        <v>0.67510000000000003</v>
      </c>
      <c r="BT146" s="39">
        <v>78.09</v>
      </c>
      <c r="BV146" s="40">
        <v>675</v>
      </c>
      <c r="BW146" s="34">
        <v>0.74280000000000002</v>
      </c>
      <c r="BX146" s="41">
        <v>0.66320000000000001</v>
      </c>
      <c r="BY146" s="55"/>
    </row>
    <row r="147" spans="27:77">
      <c r="AA147" s="27"/>
      <c r="BF147" s="30">
        <v>2.6</v>
      </c>
      <c r="BG147" s="31">
        <v>1.0551999999999999</v>
      </c>
      <c r="BH147" s="32">
        <v>1054.5</v>
      </c>
      <c r="BJ147" s="30">
        <v>2.6</v>
      </c>
      <c r="BK147" s="34">
        <v>3.9234</v>
      </c>
      <c r="BL147" s="35">
        <v>0.16478000000000001</v>
      </c>
      <c r="BM147" s="36"/>
      <c r="BN147" s="30">
        <v>2.6</v>
      </c>
      <c r="BO147" s="34">
        <v>3.9863</v>
      </c>
      <c r="BP147" s="35">
        <v>0.16743</v>
      </c>
      <c r="BR147" s="37">
        <v>676</v>
      </c>
      <c r="BS147" s="38">
        <v>0.67610000000000003</v>
      </c>
      <c r="BT147" s="39">
        <v>77.78</v>
      </c>
      <c r="BV147" s="40">
        <v>676</v>
      </c>
      <c r="BW147" s="34">
        <v>0.74390000000000001</v>
      </c>
      <c r="BX147" s="41">
        <v>0.66420000000000001</v>
      </c>
      <c r="BY147" s="55"/>
    </row>
    <row r="148" spans="27:77">
      <c r="AA148" s="27"/>
      <c r="BF148" s="30">
        <v>2.7</v>
      </c>
      <c r="BG148" s="31">
        <v>1.0544</v>
      </c>
      <c r="BH148" s="32">
        <v>1053.7</v>
      </c>
      <c r="BJ148" s="30">
        <v>2.7</v>
      </c>
      <c r="BK148" s="34">
        <v>3.9203999999999999</v>
      </c>
      <c r="BL148" s="35">
        <v>0.16466</v>
      </c>
      <c r="BM148" s="36"/>
      <c r="BN148" s="30">
        <v>2.7</v>
      </c>
      <c r="BO148" s="34">
        <v>3.9834000000000001</v>
      </c>
      <c r="BP148" s="35">
        <v>0.1673</v>
      </c>
      <c r="BR148" s="37">
        <v>677</v>
      </c>
      <c r="BS148" s="38">
        <v>0.67710000000000004</v>
      </c>
      <c r="BT148" s="39">
        <v>77.47</v>
      </c>
      <c r="BV148" s="40">
        <v>677</v>
      </c>
      <c r="BW148" s="34">
        <v>0.745</v>
      </c>
      <c r="BX148" s="41">
        <v>0.66520000000000001</v>
      </c>
      <c r="BY148" s="55"/>
    </row>
    <row r="149" spans="27:77">
      <c r="AA149" s="27"/>
      <c r="BF149" s="30">
        <v>2.8</v>
      </c>
      <c r="BG149" s="31">
        <v>1.0536000000000001</v>
      </c>
      <c r="BH149" s="32">
        <v>1052.9000000000001</v>
      </c>
      <c r="BJ149" s="30">
        <v>2.8</v>
      </c>
      <c r="BK149" s="34">
        <v>3.9175</v>
      </c>
      <c r="BL149" s="35">
        <v>0.16453999999999999</v>
      </c>
      <c r="BM149" s="36"/>
      <c r="BN149" s="30">
        <v>2.8</v>
      </c>
      <c r="BO149" s="34">
        <v>3.9803999999999999</v>
      </c>
      <c r="BP149" s="35">
        <v>0.16718</v>
      </c>
      <c r="BR149" s="37">
        <v>678</v>
      </c>
      <c r="BS149" s="38">
        <v>0.67810000000000004</v>
      </c>
      <c r="BT149" s="39">
        <v>77.16</v>
      </c>
      <c r="BV149" s="40">
        <v>678</v>
      </c>
      <c r="BW149" s="34">
        <v>0.74609999999999999</v>
      </c>
      <c r="BX149" s="41">
        <v>0.66620000000000001</v>
      </c>
      <c r="BY149" s="55"/>
    </row>
    <row r="150" spans="27:77">
      <c r="AA150" s="27"/>
      <c r="BF150" s="30">
        <v>2.9</v>
      </c>
      <c r="BG150" s="31">
        <v>1.0528</v>
      </c>
      <c r="BH150" s="32">
        <v>1052.2</v>
      </c>
      <c r="BJ150" s="30">
        <v>2.9</v>
      </c>
      <c r="BK150" s="34">
        <v>3.9146000000000001</v>
      </c>
      <c r="BL150" s="35">
        <v>0.16441</v>
      </c>
      <c r="BM150" s="36"/>
      <c r="BN150" s="30">
        <v>2.9</v>
      </c>
      <c r="BO150" s="34">
        <v>3.9773999999999998</v>
      </c>
      <c r="BP150" s="35">
        <v>0.16705</v>
      </c>
      <c r="BR150" s="37">
        <v>679</v>
      </c>
      <c r="BS150" s="38">
        <v>0.67910000000000004</v>
      </c>
      <c r="BT150" s="39">
        <v>76.849999999999994</v>
      </c>
      <c r="BV150" s="40">
        <v>679</v>
      </c>
      <c r="BW150" s="34">
        <v>0.74719999999999998</v>
      </c>
      <c r="BX150" s="41">
        <v>0.66720000000000002</v>
      </c>
      <c r="BY150" s="55"/>
    </row>
    <row r="151" spans="27:77">
      <c r="AA151" s="27"/>
      <c r="BF151" s="30">
        <v>3</v>
      </c>
      <c r="BG151" s="31">
        <v>1.052</v>
      </c>
      <c r="BH151" s="32">
        <v>1051.4000000000001</v>
      </c>
      <c r="BJ151" s="30">
        <v>3</v>
      </c>
      <c r="BK151" s="34">
        <v>3.9117000000000002</v>
      </c>
      <c r="BL151" s="35">
        <v>0.16428999999999999</v>
      </c>
      <c r="BM151" s="36"/>
      <c r="BN151" s="30">
        <v>3</v>
      </c>
      <c r="BO151" s="34">
        <v>3.9744999999999999</v>
      </c>
      <c r="BP151" s="35">
        <v>0.16693</v>
      </c>
      <c r="BR151" s="37">
        <v>680</v>
      </c>
      <c r="BS151" s="38">
        <v>0.68010000000000004</v>
      </c>
      <c r="BT151" s="39">
        <v>76.540000000000006</v>
      </c>
      <c r="BV151" s="40">
        <v>680</v>
      </c>
      <c r="BW151" s="34">
        <v>0.74829999999999997</v>
      </c>
      <c r="BX151" s="41">
        <v>0.66820000000000002</v>
      </c>
      <c r="BY151" s="55"/>
    </row>
    <row r="152" spans="27:77">
      <c r="AA152" s="27"/>
      <c r="BF152" s="30">
        <v>3.1</v>
      </c>
      <c r="BG152" s="31">
        <v>1.0512999999999999</v>
      </c>
      <c r="BH152" s="32">
        <v>1050.5999999999999</v>
      </c>
      <c r="BJ152" s="30">
        <v>3.1</v>
      </c>
      <c r="BK152" s="34">
        <v>3.9087999999999998</v>
      </c>
      <c r="BL152" s="35">
        <v>0.16417000000000001</v>
      </c>
      <c r="BM152" s="36"/>
      <c r="BN152" s="30">
        <v>3.1</v>
      </c>
      <c r="BO152" s="34">
        <v>3.9714999999999998</v>
      </c>
      <c r="BP152" s="35">
        <v>0.1668</v>
      </c>
      <c r="BR152" s="37">
        <v>681</v>
      </c>
      <c r="BS152" s="38">
        <v>0.68110000000000004</v>
      </c>
      <c r="BT152" s="39">
        <v>76.239999999999995</v>
      </c>
      <c r="BV152" s="40">
        <v>681</v>
      </c>
      <c r="BW152" s="34">
        <v>0.74939999999999996</v>
      </c>
      <c r="BX152" s="41">
        <v>0.66910000000000003</v>
      </c>
      <c r="BY152" s="55"/>
    </row>
    <row r="153" spans="27:77">
      <c r="AA153" s="27"/>
      <c r="BF153" s="30">
        <v>3.2</v>
      </c>
      <c r="BG153" s="31">
        <v>1.0505</v>
      </c>
      <c r="BH153" s="32">
        <v>1049.8</v>
      </c>
      <c r="BJ153" s="30">
        <v>3.2</v>
      </c>
      <c r="BK153" s="34">
        <v>3.9058999999999999</v>
      </c>
      <c r="BL153" s="35">
        <v>0.16405</v>
      </c>
      <c r="BM153" s="36"/>
      <c r="BN153" s="30">
        <v>3.2</v>
      </c>
      <c r="BO153" s="34">
        <v>3.9685000000000001</v>
      </c>
      <c r="BP153" s="35">
        <v>0.16667999999999999</v>
      </c>
      <c r="BR153" s="37">
        <v>682</v>
      </c>
      <c r="BS153" s="38">
        <v>0.68210000000000004</v>
      </c>
      <c r="BT153" s="39">
        <v>75.930000000000007</v>
      </c>
      <c r="BV153" s="40">
        <v>682</v>
      </c>
      <c r="BW153" s="34">
        <v>0.75049999999999994</v>
      </c>
      <c r="BX153" s="41">
        <v>0.67010000000000003</v>
      </c>
      <c r="BY153" s="55"/>
    </row>
    <row r="154" spans="27:77">
      <c r="AA154" s="27"/>
      <c r="BF154" s="30">
        <v>3.3</v>
      </c>
      <c r="BG154" s="31">
        <v>1.0497000000000001</v>
      </c>
      <c r="BH154" s="32">
        <v>1049</v>
      </c>
      <c r="BJ154" s="30">
        <v>3.3</v>
      </c>
      <c r="BK154" s="34">
        <v>3.903</v>
      </c>
      <c r="BL154" s="35">
        <v>0.16392000000000001</v>
      </c>
      <c r="BM154" s="36"/>
      <c r="BN154" s="30">
        <v>3.3</v>
      </c>
      <c r="BO154" s="34">
        <v>3.9655999999999998</v>
      </c>
      <c r="BP154" s="35">
        <v>0.16656000000000001</v>
      </c>
      <c r="BR154" s="37">
        <v>683</v>
      </c>
      <c r="BS154" s="38">
        <v>0.68310000000000004</v>
      </c>
      <c r="BT154" s="39">
        <v>75.63</v>
      </c>
      <c r="BV154" s="40">
        <v>683</v>
      </c>
      <c r="BW154" s="34">
        <v>0.75160000000000005</v>
      </c>
      <c r="BX154" s="41">
        <v>0.67110000000000003</v>
      </c>
      <c r="BY154" s="55"/>
    </row>
    <row r="155" spans="27:77">
      <c r="AA155" s="27"/>
      <c r="BF155" s="30">
        <v>3.4</v>
      </c>
      <c r="BG155" s="31">
        <v>1.0488999999999999</v>
      </c>
      <c r="BH155" s="32">
        <v>1048.3</v>
      </c>
      <c r="BJ155" s="30">
        <v>3.4</v>
      </c>
      <c r="BK155" s="34">
        <v>3.9001000000000001</v>
      </c>
      <c r="BL155" s="35">
        <v>0.1638</v>
      </c>
      <c r="BM155" s="36"/>
      <c r="BN155" s="30">
        <v>3.4</v>
      </c>
      <c r="BO155" s="34">
        <v>3.9626999999999999</v>
      </c>
      <c r="BP155" s="35">
        <v>0.16642999999999999</v>
      </c>
      <c r="BR155" s="37">
        <v>684</v>
      </c>
      <c r="BS155" s="38">
        <v>0.68420000000000003</v>
      </c>
      <c r="BT155" s="39">
        <v>75.33</v>
      </c>
      <c r="BV155" s="40">
        <v>684</v>
      </c>
      <c r="BW155" s="34">
        <v>0.75270000000000004</v>
      </c>
      <c r="BX155" s="41">
        <v>0.67210000000000003</v>
      </c>
      <c r="BY155" s="55"/>
    </row>
    <row r="156" spans="27:77">
      <c r="AA156" s="27"/>
      <c r="BF156" s="30">
        <v>3.5</v>
      </c>
      <c r="BG156" s="31">
        <v>1.0481</v>
      </c>
      <c r="BH156" s="32">
        <v>1047.5</v>
      </c>
      <c r="BJ156" s="30">
        <v>3.5</v>
      </c>
      <c r="BK156" s="34">
        <v>3.8972000000000002</v>
      </c>
      <c r="BL156" s="35">
        <v>0.16367999999999999</v>
      </c>
      <c r="BM156" s="36"/>
      <c r="BN156" s="30">
        <v>3.5</v>
      </c>
      <c r="BO156" s="34">
        <v>3.9597000000000002</v>
      </c>
      <c r="BP156" s="35">
        <v>0.16631000000000001</v>
      </c>
      <c r="BR156" s="37">
        <v>685</v>
      </c>
      <c r="BS156" s="38">
        <v>0.68520000000000003</v>
      </c>
      <c r="BT156" s="39">
        <v>75.02</v>
      </c>
      <c r="BV156" s="40">
        <v>685</v>
      </c>
      <c r="BW156" s="34">
        <v>0.75390000000000001</v>
      </c>
      <c r="BX156" s="41">
        <v>0.67310000000000003</v>
      </c>
      <c r="BY156" s="55"/>
    </row>
    <row r="157" spans="27:77">
      <c r="AA157" s="27"/>
      <c r="BF157" s="30">
        <v>3.6</v>
      </c>
      <c r="BG157" s="31">
        <v>1.0474000000000001</v>
      </c>
      <c r="BH157" s="32">
        <v>1046.7</v>
      </c>
      <c r="BJ157" s="30">
        <v>3.6</v>
      </c>
      <c r="BK157" s="34">
        <v>3.8942999999999999</v>
      </c>
      <c r="BL157" s="35">
        <v>0.16356000000000001</v>
      </c>
      <c r="BM157" s="36"/>
      <c r="BN157" s="30">
        <v>3.6</v>
      </c>
      <c r="BO157" s="34">
        <v>3.9567999999999999</v>
      </c>
      <c r="BP157" s="35">
        <v>0.16617999999999999</v>
      </c>
      <c r="BR157" s="37">
        <v>686</v>
      </c>
      <c r="BS157" s="38">
        <v>0.68620000000000003</v>
      </c>
      <c r="BT157" s="39">
        <v>74.72</v>
      </c>
      <c r="BV157" s="40">
        <v>686</v>
      </c>
      <c r="BW157" s="34">
        <v>0.755</v>
      </c>
      <c r="BX157" s="41">
        <v>0.67410000000000003</v>
      </c>
      <c r="BY157" s="55"/>
    </row>
    <row r="158" spans="27:77">
      <c r="AA158" s="27"/>
      <c r="BF158" s="30">
        <v>3.7</v>
      </c>
      <c r="BG158" s="31">
        <v>1.0466</v>
      </c>
      <c r="BH158" s="32">
        <v>1045.9000000000001</v>
      </c>
      <c r="BJ158" s="30">
        <v>3.7</v>
      </c>
      <c r="BK158" s="34">
        <v>3.8914</v>
      </c>
      <c r="BL158" s="35">
        <v>0.16344</v>
      </c>
      <c r="BM158" s="36"/>
      <c r="BN158" s="30">
        <v>3.7</v>
      </c>
      <c r="BO158" s="34">
        <v>3.9539</v>
      </c>
      <c r="BP158" s="35">
        <v>0.16606000000000001</v>
      </c>
      <c r="BR158" s="37">
        <v>687</v>
      </c>
      <c r="BS158" s="38">
        <v>0.68720000000000003</v>
      </c>
      <c r="BT158" s="39">
        <v>74.42</v>
      </c>
      <c r="BV158" s="40">
        <v>687</v>
      </c>
      <c r="BW158" s="34">
        <v>0.75609999999999999</v>
      </c>
      <c r="BX158" s="41">
        <v>0.67510000000000003</v>
      </c>
      <c r="BY158" s="55"/>
    </row>
    <row r="159" spans="27:77">
      <c r="AA159" s="27"/>
      <c r="BF159" s="30">
        <v>3.8</v>
      </c>
      <c r="BG159" s="31">
        <v>1.0458000000000001</v>
      </c>
      <c r="BH159" s="32">
        <v>1045.2</v>
      </c>
      <c r="BJ159" s="30">
        <v>3.8</v>
      </c>
      <c r="BK159" s="34">
        <v>3.8885000000000001</v>
      </c>
      <c r="BL159" s="35">
        <v>0.16331999999999999</v>
      </c>
      <c r="BM159" s="36"/>
      <c r="BN159" s="30">
        <v>3.8</v>
      </c>
      <c r="BO159" s="34">
        <v>3.9508999999999999</v>
      </c>
      <c r="BP159" s="35">
        <v>0.16594</v>
      </c>
      <c r="BR159" s="37">
        <v>688</v>
      </c>
      <c r="BS159" s="38">
        <v>0.68820000000000003</v>
      </c>
      <c r="BT159" s="39">
        <v>74.12</v>
      </c>
      <c r="BV159" s="40">
        <v>688</v>
      </c>
      <c r="BW159" s="34">
        <v>0.75719999999999998</v>
      </c>
      <c r="BX159" s="41">
        <v>0.67600000000000005</v>
      </c>
      <c r="BY159" s="55"/>
    </row>
    <row r="160" spans="27:77">
      <c r="AA160" s="27"/>
      <c r="BF160" s="30">
        <v>3.9</v>
      </c>
      <c r="BG160" s="31">
        <v>1.0450999999999999</v>
      </c>
      <c r="BH160" s="32">
        <v>1044.4000000000001</v>
      </c>
      <c r="BJ160" s="30">
        <v>3.9</v>
      </c>
      <c r="BK160" s="34">
        <v>3.8856999999999999</v>
      </c>
      <c r="BL160" s="35">
        <v>0.16320000000000001</v>
      </c>
      <c r="BM160" s="36"/>
      <c r="BN160" s="30">
        <v>3.9</v>
      </c>
      <c r="BO160" s="34">
        <v>3.948</v>
      </c>
      <c r="BP160" s="35">
        <v>0.16582</v>
      </c>
      <c r="BR160" s="37">
        <v>689</v>
      </c>
      <c r="BS160" s="38">
        <v>0.68920000000000003</v>
      </c>
      <c r="BT160" s="39">
        <v>73.819999999999993</v>
      </c>
      <c r="BV160" s="40">
        <v>689</v>
      </c>
      <c r="BW160" s="34">
        <v>0.75829999999999997</v>
      </c>
      <c r="BX160" s="41">
        <v>0.67700000000000005</v>
      </c>
      <c r="BY160" s="55"/>
    </row>
    <row r="161" spans="27:77">
      <c r="AA161" s="27"/>
      <c r="BF161" s="30">
        <v>4</v>
      </c>
      <c r="BG161" s="31">
        <v>1.0443</v>
      </c>
      <c r="BH161" s="32">
        <v>1043.5999999999999</v>
      </c>
      <c r="BJ161" s="30">
        <v>4</v>
      </c>
      <c r="BK161" s="34">
        <v>3.8828</v>
      </c>
      <c r="BL161" s="35">
        <v>0.16308</v>
      </c>
      <c r="BM161" s="36"/>
      <c r="BN161" s="30">
        <v>4</v>
      </c>
      <c r="BO161" s="34">
        <v>3.9451000000000001</v>
      </c>
      <c r="BP161" s="35">
        <v>0.16569</v>
      </c>
      <c r="BR161" s="37">
        <v>690</v>
      </c>
      <c r="BS161" s="38">
        <v>0.69020000000000004</v>
      </c>
      <c r="BT161" s="39">
        <v>73.53</v>
      </c>
      <c r="BV161" s="40">
        <v>690</v>
      </c>
      <c r="BW161" s="34">
        <v>0.75939999999999996</v>
      </c>
      <c r="BX161" s="41">
        <v>0.67800000000000005</v>
      </c>
      <c r="BY161" s="55"/>
    </row>
    <row r="162" spans="27:77">
      <c r="AA162" s="27"/>
      <c r="BF162" s="30">
        <v>4.0999999999999996</v>
      </c>
      <c r="BG162" s="31">
        <v>1.0435000000000001</v>
      </c>
      <c r="BH162" s="32">
        <v>1042.8</v>
      </c>
      <c r="BJ162" s="30">
        <v>4.0999999999999996</v>
      </c>
      <c r="BK162" s="34">
        <v>3.8799000000000001</v>
      </c>
      <c r="BL162" s="35">
        <v>0.16295999999999999</v>
      </c>
      <c r="BM162" s="36"/>
      <c r="BN162" s="30">
        <v>4.0999999999999996</v>
      </c>
      <c r="BO162" s="34">
        <v>3.9422000000000001</v>
      </c>
      <c r="BP162" s="35">
        <v>0.16556999999999999</v>
      </c>
      <c r="BR162" s="37">
        <v>691</v>
      </c>
      <c r="BS162" s="38">
        <v>0.69120000000000004</v>
      </c>
      <c r="BT162" s="39">
        <v>73.23</v>
      </c>
      <c r="BV162" s="40">
        <v>691</v>
      </c>
      <c r="BW162" s="34">
        <v>0.76049999999999995</v>
      </c>
      <c r="BX162" s="41">
        <v>0.67900000000000005</v>
      </c>
      <c r="BY162" s="55"/>
    </row>
    <row r="163" spans="27:77">
      <c r="AA163" s="27"/>
      <c r="BF163" s="30">
        <v>4.2</v>
      </c>
      <c r="BG163" s="31">
        <v>1.0427</v>
      </c>
      <c r="BH163" s="32">
        <v>1042.0999999999999</v>
      </c>
      <c r="BJ163" s="30">
        <v>4.2</v>
      </c>
      <c r="BK163" s="34">
        <v>3.8771</v>
      </c>
      <c r="BL163" s="35">
        <v>0.16284000000000001</v>
      </c>
      <c r="BM163" s="36"/>
      <c r="BN163" s="30">
        <v>4.2</v>
      </c>
      <c r="BO163" s="34">
        <v>3.9392999999999998</v>
      </c>
      <c r="BP163" s="35">
        <v>0.16545000000000001</v>
      </c>
      <c r="BR163" s="37">
        <v>692</v>
      </c>
      <c r="BS163" s="38">
        <v>0.69220000000000004</v>
      </c>
      <c r="BT163" s="39">
        <v>72.930000000000007</v>
      </c>
      <c r="BV163" s="40">
        <v>692</v>
      </c>
      <c r="BW163" s="34">
        <v>0.76160000000000005</v>
      </c>
      <c r="BX163" s="41">
        <v>0.68</v>
      </c>
      <c r="BY163" s="55"/>
    </row>
    <row r="164" spans="27:77">
      <c r="AA164" s="27"/>
      <c r="BF164" s="30">
        <v>4.3</v>
      </c>
      <c r="BG164" s="31">
        <v>1.042</v>
      </c>
      <c r="BH164" s="32">
        <v>1041.3</v>
      </c>
      <c r="BJ164" s="30">
        <v>4.3</v>
      </c>
      <c r="BK164" s="34">
        <v>3.8742000000000001</v>
      </c>
      <c r="BL164" s="35">
        <v>0.16272</v>
      </c>
      <c r="BM164" s="36"/>
      <c r="BN164" s="30">
        <v>4.3</v>
      </c>
      <c r="BO164" s="34">
        <v>3.9363999999999999</v>
      </c>
      <c r="BP164" s="35">
        <v>0.16533</v>
      </c>
      <c r="BR164" s="37">
        <v>693</v>
      </c>
      <c r="BS164" s="38">
        <v>0.69320000000000004</v>
      </c>
      <c r="BT164" s="39">
        <v>72.64</v>
      </c>
      <c r="BV164" s="40">
        <v>693</v>
      </c>
      <c r="BW164" s="34">
        <v>0.76270000000000004</v>
      </c>
      <c r="BX164" s="41">
        <v>0.68100000000000005</v>
      </c>
      <c r="BY164" s="55"/>
    </row>
    <row r="165" spans="27:77">
      <c r="AA165" s="27"/>
      <c r="BF165" s="30">
        <v>4.4000000000000004</v>
      </c>
      <c r="BG165" s="31">
        <v>1.0411999999999999</v>
      </c>
      <c r="BH165" s="32">
        <v>1040.5</v>
      </c>
      <c r="BJ165" s="30">
        <v>4.4000000000000004</v>
      </c>
      <c r="BK165" s="34">
        <v>3.8713000000000002</v>
      </c>
      <c r="BL165" s="35">
        <v>0.16259999999999999</v>
      </c>
      <c r="BM165" s="36"/>
      <c r="BN165" s="30">
        <v>4.4000000000000004</v>
      </c>
      <c r="BO165" s="34">
        <v>3.9335</v>
      </c>
      <c r="BP165" s="35">
        <v>0.16521</v>
      </c>
      <c r="BR165" s="37">
        <v>694</v>
      </c>
      <c r="BS165" s="38">
        <v>0.69420000000000004</v>
      </c>
      <c r="BT165" s="39">
        <v>72.34</v>
      </c>
      <c r="BV165" s="40">
        <v>694</v>
      </c>
      <c r="BW165" s="34">
        <v>0.76380000000000003</v>
      </c>
      <c r="BX165" s="41">
        <v>0.68189999999999995</v>
      </c>
      <c r="BY165" s="55"/>
    </row>
    <row r="166" spans="27:77">
      <c r="AA166" s="27"/>
      <c r="BF166" s="30">
        <v>4.5</v>
      </c>
      <c r="BG166" s="31">
        <v>1.0404</v>
      </c>
      <c r="BH166" s="32">
        <v>1039.8</v>
      </c>
      <c r="BJ166" s="30">
        <v>4.5</v>
      </c>
      <c r="BK166" s="34">
        <v>3.8685</v>
      </c>
      <c r="BL166" s="35">
        <v>0.16248000000000001</v>
      </c>
      <c r="BM166" s="36"/>
      <c r="BN166" s="30">
        <v>4.5</v>
      </c>
      <c r="BO166" s="34">
        <v>3.9306000000000001</v>
      </c>
      <c r="BP166" s="35">
        <v>0.16508</v>
      </c>
      <c r="BR166" s="37">
        <v>695</v>
      </c>
      <c r="BS166" s="38">
        <v>0.69520000000000004</v>
      </c>
      <c r="BT166" s="39">
        <v>72.05</v>
      </c>
      <c r="BV166" s="40">
        <v>695</v>
      </c>
      <c r="BW166" s="34">
        <v>0.76490000000000002</v>
      </c>
      <c r="BX166" s="41">
        <v>0.68289999999999995</v>
      </c>
      <c r="BY166" s="55"/>
    </row>
    <row r="167" spans="27:77">
      <c r="AA167" s="27"/>
      <c r="BF167" s="30">
        <v>4.5999999999999996</v>
      </c>
      <c r="BG167" s="31">
        <v>1.0397000000000001</v>
      </c>
      <c r="BH167" s="32">
        <v>1039</v>
      </c>
      <c r="BJ167" s="30">
        <v>4.5999999999999996</v>
      </c>
      <c r="BK167" s="34">
        <v>3.8656000000000001</v>
      </c>
      <c r="BL167" s="35">
        <v>0.16236</v>
      </c>
      <c r="BM167" s="36"/>
      <c r="BN167" s="30">
        <v>4.5999999999999996</v>
      </c>
      <c r="BO167" s="34">
        <v>3.9277000000000002</v>
      </c>
      <c r="BP167" s="35">
        <v>0.16496</v>
      </c>
      <c r="BR167" s="37">
        <v>696</v>
      </c>
      <c r="BS167" s="38">
        <v>0.69620000000000004</v>
      </c>
      <c r="BT167" s="39">
        <v>71.760000000000005</v>
      </c>
      <c r="BV167" s="40">
        <v>696</v>
      </c>
      <c r="BW167" s="34">
        <v>0.76600000000000001</v>
      </c>
      <c r="BX167" s="41">
        <v>0.68389999999999995</v>
      </c>
      <c r="BY167" s="55"/>
    </row>
    <row r="168" spans="27:77">
      <c r="AA168" s="27"/>
      <c r="BF168" s="30">
        <v>4.7</v>
      </c>
      <c r="BG168" s="31">
        <v>1.0388999999999999</v>
      </c>
      <c r="BH168" s="32">
        <v>1038.3</v>
      </c>
      <c r="BJ168" s="30">
        <v>4.7</v>
      </c>
      <c r="BK168" s="34">
        <v>3.8628</v>
      </c>
      <c r="BL168" s="35">
        <v>0.16224</v>
      </c>
      <c r="BM168" s="36"/>
      <c r="BN168" s="30">
        <v>4.7</v>
      </c>
      <c r="BO168" s="34">
        <v>3.9247999999999998</v>
      </c>
      <c r="BP168" s="35">
        <v>0.16483999999999999</v>
      </c>
      <c r="BR168" s="37">
        <v>697</v>
      </c>
      <c r="BS168" s="38">
        <v>0.69720000000000004</v>
      </c>
      <c r="BT168" s="39">
        <v>71.459999999999994</v>
      </c>
      <c r="BV168" s="40">
        <v>697</v>
      </c>
      <c r="BW168" s="34">
        <v>0.7671</v>
      </c>
      <c r="BX168" s="41">
        <v>0.68489999999999995</v>
      </c>
      <c r="BY168" s="55"/>
    </row>
    <row r="169" spans="27:77">
      <c r="AA169" s="27"/>
      <c r="BF169" s="30">
        <v>4.8</v>
      </c>
      <c r="BG169" s="31">
        <v>1.0382</v>
      </c>
      <c r="BH169" s="32">
        <v>1037.5</v>
      </c>
      <c r="BJ169" s="30">
        <v>4.8</v>
      </c>
      <c r="BK169" s="34">
        <v>3.86</v>
      </c>
      <c r="BL169" s="35">
        <v>0.16211999999999999</v>
      </c>
      <c r="BM169" s="36"/>
      <c r="BN169" s="30">
        <v>4.8</v>
      </c>
      <c r="BO169" s="34">
        <v>3.9218999999999999</v>
      </c>
      <c r="BP169" s="35">
        <v>0.16472000000000001</v>
      </c>
      <c r="BR169" s="37">
        <v>698</v>
      </c>
      <c r="BS169" s="38">
        <v>0.69820000000000004</v>
      </c>
      <c r="BT169" s="39">
        <v>71.17</v>
      </c>
      <c r="BV169" s="40">
        <v>698</v>
      </c>
      <c r="BW169" s="34">
        <v>0.76819999999999999</v>
      </c>
      <c r="BX169" s="41">
        <v>0.68589999999999995</v>
      </c>
      <c r="BY169" s="55"/>
    </row>
    <row r="170" spans="27:77">
      <c r="AA170" s="27"/>
      <c r="BF170" s="30">
        <v>4.9000000000000004</v>
      </c>
      <c r="BG170" s="31">
        <v>1.0374000000000001</v>
      </c>
      <c r="BH170" s="32">
        <v>1036.7</v>
      </c>
      <c r="BJ170" s="30">
        <v>4.9000000000000004</v>
      </c>
      <c r="BK170" s="34">
        <v>3.8571</v>
      </c>
      <c r="BL170" s="35">
        <v>0.16200000000000001</v>
      </c>
      <c r="BM170" s="36"/>
      <c r="BN170" s="30">
        <v>4.9000000000000004</v>
      </c>
      <c r="BO170" s="34">
        <v>3.919</v>
      </c>
      <c r="BP170" s="35">
        <v>0.1646</v>
      </c>
      <c r="BR170" s="37">
        <v>699</v>
      </c>
      <c r="BS170" s="38">
        <v>0.69920000000000004</v>
      </c>
      <c r="BT170" s="39">
        <v>70.88</v>
      </c>
      <c r="BV170" s="40">
        <v>699</v>
      </c>
      <c r="BW170" s="34">
        <v>0.76929999999999998</v>
      </c>
      <c r="BX170" s="41">
        <v>0.68689999999999996</v>
      </c>
      <c r="BY170" s="55"/>
    </row>
    <row r="171" spans="27:77">
      <c r="AA171" s="27"/>
      <c r="BF171" s="30">
        <v>5</v>
      </c>
      <c r="BG171" s="31">
        <v>1.0366</v>
      </c>
      <c r="BH171" s="32">
        <v>1036</v>
      </c>
      <c r="BJ171" s="30">
        <v>5</v>
      </c>
      <c r="BK171" s="34">
        <v>3.8542999999999998</v>
      </c>
      <c r="BL171" s="35">
        <v>0.16188</v>
      </c>
      <c r="BM171" s="36"/>
      <c r="BN171" s="30">
        <v>5</v>
      </c>
      <c r="BO171" s="34">
        <v>3.9161999999999999</v>
      </c>
      <c r="BP171" s="35">
        <v>0.16447999999999999</v>
      </c>
      <c r="BR171" s="37">
        <v>700</v>
      </c>
      <c r="BS171" s="38">
        <v>0.70020000000000004</v>
      </c>
      <c r="BT171" s="39">
        <v>70.59</v>
      </c>
      <c r="BV171" s="40">
        <v>700</v>
      </c>
      <c r="BW171" s="34">
        <v>0.77039999999999997</v>
      </c>
      <c r="BX171" s="41">
        <v>0.68779999999999997</v>
      </c>
      <c r="BY171" s="55"/>
    </row>
    <row r="172" spans="27:77">
      <c r="AA172" s="27"/>
      <c r="BF172" s="30">
        <v>5.0999999999999996</v>
      </c>
      <c r="BG172" s="31">
        <v>1.0359</v>
      </c>
      <c r="BH172" s="32">
        <v>1035.2</v>
      </c>
      <c r="BJ172" s="30">
        <v>5.0999999999999996</v>
      </c>
      <c r="BK172" s="34">
        <v>3.8515000000000001</v>
      </c>
      <c r="BL172" s="35">
        <v>0.16175999999999999</v>
      </c>
      <c r="BM172" s="36"/>
      <c r="BN172" s="30">
        <v>5.0999999999999996</v>
      </c>
      <c r="BO172" s="34">
        <v>3.9133</v>
      </c>
      <c r="BP172" s="35">
        <v>0.16436000000000001</v>
      </c>
      <c r="BR172" s="37">
        <v>701</v>
      </c>
      <c r="BS172" s="38">
        <v>0.70120000000000005</v>
      </c>
      <c r="BT172" s="39">
        <v>70.3</v>
      </c>
      <c r="BV172" s="40">
        <v>701</v>
      </c>
      <c r="BW172" s="34">
        <v>0.77149999999999996</v>
      </c>
      <c r="BX172" s="41">
        <v>0.68879999999999997</v>
      </c>
      <c r="BY172" s="55"/>
    </row>
    <row r="173" spans="27:77">
      <c r="AA173" s="27"/>
      <c r="BF173" s="30">
        <v>5.2</v>
      </c>
      <c r="BG173" s="31">
        <v>1.0350999999999999</v>
      </c>
      <c r="BH173" s="32">
        <v>1034.5</v>
      </c>
      <c r="BJ173" s="30">
        <v>5.2</v>
      </c>
      <c r="BK173" s="34">
        <v>3.8487</v>
      </c>
      <c r="BL173" s="35">
        <v>0.16164000000000001</v>
      </c>
      <c r="BM173" s="36"/>
      <c r="BN173" s="30">
        <v>5.2</v>
      </c>
      <c r="BO173" s="34">
        <v>3.9104000000000001</v>
      </c>
      <c r="BP173" s="35">
        <v>0.16424</v>
      </c>
      <c r="BR173" s="37">
        <v>702</v>
      </c>
      <c r="BS173" s="38">
        <v>0.70220000000000005</v>
      </c>
      <c r="BT173" s="39">
        <v>70.02</v>
      </c>
      <c r="BV173" s="40">
        <v>702</v>
      </c>
      <c r="BW173" s="34">
        <v>0.77259999999999995</v>
      </c>
      <c r="BX173" s="41">
        <v>0.68979999999999997</v>
      </c>
      <c r="BY173" s="55"/>
    </row>
    <row r="174" spans="27:77">
      <c r="AA174" s="27"/>
      <c r="BF174" s="30">
        <v>5.3</v>
      </c>
      <c r="BG174" s="31">
        <v>1.0344</v>
      </c>
      <c r="BH174" s="32">
        <v>1033.7</v>
      </c>
      <c r="BJ174" s="30">
        <v>5.3</v>
      </c>
      <c r="BK174" s="34">
        <v>3.8458000000000001</v>
      </c>
      <c r="BL174" s="35">
        <v>0.16153000000000001</v>
      </c>
      <c r="BM174" s="36"/>
      <c r="BN174" s="30">
        <v>5.3</v>
      </c>
      <c r="BO174" s="34">
        <v>3.9076</v>
      </c>
      <c r="BP174" s="35">
        <v>0.16411999999999999</v>
      </c>
      <c r="BR174" s="37">
        <v>703</v>
      </c>
      <c r="BS174" s="38">
        <v>0.70320000000000005</v>
      </c>
      <c r="BT174" s="39">
        <v>69.73</v>
      </c>
      <c r="BV174" s="40">
        <v>703</v>
      </c>
      <c r="BW174" s="34">
        <v>0.77370000000000005</v>
      </c>
      <c r="BX174" s="41">
        <v>0.69079999999999997</v>
      </c>
      <c r="BY174" s="55"/>
    </row>
    <row r="175" spans="27:77">
      <c r="AA175" s="27"/>
      <c r="BF175" s="30">
        <v>5.4</v>
      </c>
      <c r="BG175" s="31">
        <v>1.0336000000000001</v>
      </c>
      <c r="BH175" s="32">
        <v>1033</v>
      </c>
      <c r="BJ175" s="30">
        <v>5.4</v>
      </c>
      <c r="BK175" s="34">
        <v>3.843</v>
      </c>
      <c r="BL175" s="35">
        <v>0.16141</v>
      </c>
      <c r="BM175" s="36"/>
      <c r="BN175" s="30">
        <v>5.4</v>
      </c>
      <c r="BO175" s="34">
        <v>3.9047000000000001</v>
      </c>
      <c r="BP175" s="35">
        <v>0.16400000000000001</v>
      </c>
      <c r="BR175" s="37">
        <v>704</v>
      </c>
      <c r="BS175" s="38">
        <v>0.70420000000000005</v>
      </c>
      <c r="BT175" s="39">
        <v>69.44</v>
      </c>
      <c r="BV175" s="40">
        <v>704</v>
      </c>
      <c r="BW175" s="34">
        <v>0.77480000000000004</v>
      </c>
      <c r="BX175" s="41">
        <v>0.69179999999999997</v>
      </c>
      <c r="BY175" s="55"/>
    </row>
    <row r="176" spans="27:77">
      <c r="AA176" s="27"/>
      <c r="BF176" s="30">
        <v>5.5</v>
      </c>
      <c r="BG176" s="31">
        <v>1.0327999999999999</v>
      </c>
      <c r="BH176" s="32">
        <v>1032.2</v>
      </c>
      <c r="BJ176" s="30">
        <v>5.5</v>
      </c>
      <c r="BK176" s="34">
        <v>3.8401999999999998</v>
      </c>
      <c r="BL176" s="35">
        <v>0.16128999999999999</v>
      </c>
      <c r="BM176" s="36"/>
      <c r="BN176" s="30">
        <v>5.5</v>
      </c>
      <c r="BO176" s="34">
        <v>3.9018000000000002</v>
      </c>
      <c r="BP176" s="35">
        <v>0.16388</v>
      </c>
      <c r="BR176" s="37">
        <v>705</v>
      </c>
      <c r="BS176" s="38">
        <v>0.70520000000000005</v>
      </c>
      <c r="BT176" s="39">
        <v>69.16</v>
      </c>
      <c r="BV176" s="40">
        <v>705</v>
      </c>
      <c r="BW176" s="34">
        <v>0.77590000000000003</v>
      </c>
      <c r="BX176" s="41">
        <v>0.69279999999999997</v>
      </c>
      <c r="BY176" s="55"/>
    </row>
    <row r="177" spans="27:77">
      <c r="AA177" s="27"/>
      <c r="BF177" s="30">
        <v>5.6</v>
      </c>
      <c r="BG177" s="31">
        <v>1.0321</v>
      </c>
      <c r="BH177" s="32">
        <v>1031.4000000000001</v>
      </c>
      <c r="BJ177" s="30">
        <v>5.6</v>
      </c>
      <c r="BK177" s="34">
        <v>3.8374000000000001</v>
      </c>
      <c r="BL177" s="35">
        <v>0.16117000000000001</v>
      </c>
      <c r="BM177" s="36"/>
      <c r="BN177" s="30">
        <v>5.6</v>
      </c>
      <c r="BO177" s="34">
        <v>3.899</v>
      </c>
      <c r="BP177" s="35">
        <v>0.16375999999999999</v>
      </c>
      <c r="BR177" s="37">
        <v>706</v>
      </c>
      <c r="BS177" s="38">
        <v>0.70620000000000005</v>
      </c>
      <c r="BT177" s="39">
        <v>68.87</v>
      </c>
      <c r="BV177" s="40">
        <v>706</v>
      </c>
      <c r="BW177" s="34">
        <v>0.77700000000000002</v>
      </c>
      <c r="BX177" s="41">
        <v>0.69379999999999997</v>
      </c>
      <c r="BY177" s="55"/>
    </row>
    <row r="178" spans="27:77">
      <c r="AA178" s="27"/>
      <c r="BF178" s="30">
        <v>5.7</v>
      </c>
      <c r="BG178" s="31">
        <v>1.0313000000000001</v>
      </c>
      <c r="BH178" s="32">
        <v>1030.7</v>
      </c>
      <c r="BJ178" s="30">
        <v>5.7</v>
      </c>
      <c r="BK178" s="34">
        <v>3.8346</v>
      </c>
      <c r="BL178" s="35">
        <v>0.16105</v>
      </c>
      <c r="BM178" s="36"/>
      <c r="BN178" s="30">
        <v>5.7</v>
      </c>
      <c r="BO178" s="34">
        <v>3.8961999999999999</v>
      </c>
      <c r="BP178" s="35">
        <v>0.16364000000000001</v>
      </c>
      <c r="BR178" s="37">
        <v>707</v>
      </c>
      <c r="BS178" s="38">
        <v>0.70720000000000005</v>
      </c>
      <c r="BT178" s="39">
        <v>68.59</v>
      </c>
      <c r="BV178" s="40">
        <v>707</v>
      </c>
      <c r="BW178" s="34">
        <v>0.77810000000000001</v>
      </c>
      <c r="BX178" s="41">
        <v>0.69469999999999998</v>
      </c>
      <c r="BY178" s="55"/>
    </row>
    <row r="179" spans="27:77">
      <c r="AA179" s="27"/>
      <c r="BF179" s="30">
        <v>5.8</v>
      </c>
      <c r="BG179" s="31">
        <v>1.0306</v>
      </c>
      <c r="BH179" s="32">
        <v>1029.9000000000001</v>
      </c>
      <c r="BJ179" s="30">
        <v>5.8</v>
      </c>
      <c r="BK179" s="34">
        <v>3.8317999999999999</v>
      </c>
      <c r="BL179" s="35">
        <v>0.16094</v>
      </c>
      <c r="BM179" s="36"/>
      <c r="BN179" s="30">
        <v>5.8</v>
      </c>
      <c r="BO179" s="34">
        <v>3.8933</v>
      </c>
      <c r="BP179" s="35">
        <v>0.16352</v>
      </c>
      <c r="BR179" s="37">
        <v>708</v>
      </c>
      <c r="BS179" s="38">
        <v>0.70820000000000005</v>
      </c>
      <c r="BT179" s="39">
        <v>68.31</v>
      </c>
      <c r="BV179" s="40">
        <v>708</v>
      </c>
      <c r="BW179" s="34">
        <v>0.7792</v>
      </c>
      <c r="BX179" s="41">
        <v>0.69569999999999999</v>
      </c>
      <c r="BY179" s="55"/>
    </row>
    <row r="180" spans="27:77">
      <c r="AA180" s="27"/>
      <c r="BF180" s="30">
        <v>5.9</v>
      </c>
      <c r="BG180" s="31">
        <v>1.0298</v>
      </c>
      <c r="BH180" s="32">
        <v>1029.2</v>
      </c>
      <c r="BJ180" s="30">
        <v>5.9</v>
      </c>
      <c r="BK180" s="34">
        <v>3.8290000000000002</v>
      </c>
      <c r="BL180" s="35">
        <v>0.16081999999999999</v>
      </c>
      <c r="BM180" s="36"/>
      <c r="BN180" s="30">
        <v>5.9</v>
      </c>
      <c r="BO180" s="34">
        <v>3.8904999999999998</v>
      </c>
      <c r="BP180" s="35">
        <v>0.16339999999999999</v>
      </c>
      <c r="BR180" s="37">
        <v>709</v>
      </c>
      <c r="BS180" s="38">
        <v>0.70920000000000005</v>
      </c>
      <c r="BT180" s="39">
        <v>68.02</v>
      </c>
      <c r="BV180" s="40">
        <v>709</v>
      </c>
      <c r="BW180" s="34">
        <v>0.78029999999999999</v>
      </c>
      <c r="BX180" s="41">
        <v>0.69669999999999999</v>
      </c>
      <c r="BY180" s="55"/>
    </row>
    <row r="181" spans="27:77">
      <c r="AA181" s="27"/>
      <c r="BF181" s="30">
        <v>6</v>
      </c>
      <c r="BG181" s="31">
        <v>1.0290999999999999</v>
      </c>
      <c r="BH181" s="32">
        <v>1028.4000000000001</v>
      </c>
      <c r="BJ181" s="30">
        <v>6</v>
      </c>
      <c r="BK181" s="34">
        <v>3.8262</v>
      </c>
      <c r="BL181" s="35">
        <v>0.16070000000000001</v>
      </c>
      <c r="BM181" s="36"/>
      <c r="BN181" s="30">
        <v>6</v>
      </c>
      <c r="BO181" s="34">
        <v>3.8875999999999999</v>
      </c>
      <c r="BP181" s="35">
        <v>0.16328000000000001</v>
      </c>
      <c r="BR181" s="37">
        <v>710</v>
      </c>
      <c r="BS181" s="38">
        <v>0.71020000000000005</v>
      </c>
      <c r="BT181" s="39">
        <v>67.739999999999995</v>
      </c>
      <c r="BV181" s="40">
        <v>710</v>
      </c>
      <c r="BW181" s="34">
        <v>0.78139999999999998</v>
      </c>
      <c r="BX181" s="41">
        <v>0.69769999999999999</v>
      </c>
      <c r="BY181" s="55"/>
    </row>
    <row r="182" spans="27:77">
      <c r="AA182" s="27"/>
      <c r="BF182" s="30">
        <v>6.1</v>
      </c>
      <c r="BG182" s="31">
        <v>1.0283</v>
      </c>
      <c r="BH182" s="32">
        <v>1027.7</v>
      </c>
      <c r="BJ182" s="30">
        <v>6.1</v>
      </c>
      <c r="BK182" s="34">
        <v>3.8235000000000001</v>
      </c>
      <c r="BL182" s="35">
        <v>0.16059000000000001</v>
      </c>
      <c r="BM182" s="36"/>
      <c r="BN182" s="30">
        <v>6.1</v>
      </c>
      <c r="BO182" s="34">
        <v>3.8847999999999998</v>
      </c>
      <c r="BP182" s="35">
        <v>0.16316</v>
      </c>
      <c r="BR182" s="37">
        <v>711</v>
      </c>
      <c r="BS182" s="38">
        <v>0.71120000000000005</v>
      </c>
      <c r="BT182" s="39">
        <v>67.459999999999994</v>
      </c>
      <c r="BV182" s="40">
        <v>711</v>
      </c>
      <c r="BW182" s="34">
        <v>0.78249999999999997</v>
      </c>
      <c r="BX182" s="41">
        <v>0.69869999999999999</v>
      </c>
      <c r="BY182" s="55"/>
    </row>
    <row r="183" spans="27:77">
      <c r="AA183" s="27"/>
      <c r="BF183" s="30">
        <v>6.2</v>
      </c>
      <c r="BG183" s="31">
        <v>1.0276000000000001</v>
      </c>
      <c r="BH183" s="32">
        <v>1027</v>
      </c>
      <c r="BJ183" s="30">
        <v>6.2</v>
      </c>
      <c r="BK183" s="34">
        <v>3.8207</v>
      </c>
      <c r="BL183" s="35">
        <v>0.16047</v>
      </c>
      <c r="BM183" s="36"/>
      <c r="BN183" s="30">
        <v>6.2</v>
      </c>
      <c r="BO183" s="34">
        <v>3.8820000000000001</v>
      </c>
      <c r="BP183" s="35">
        <v>0.16303999999999999</v>
      </c>
      <c r="BR183" s="37">
        <v>712</v>
      </c>
      <c r="BS183" s="38">
        <v>0.71220000000000006</v>
      </c>
      <c r="BT183" s="39">
        <v>67.180000000000007</v>
      </c>
      <c r="BV183" s="40">
        <v>712</v>
      </c>
      <c r="BW183" s="34">
        <v>0.78359999999999996</v>
      </c>
      <c r="BX183" s="41">
        <v>0.69969999999999999</v>
      </c>
      <c r="BY183" s="55"/>
    </row>
    <row r="184" spans="27:77">
      <c r="AA184" s="27"/>
      <c r="BF184" s="30">
        <v>6.3</v>
      </c>
      <c r="BG184" s="31">
        <v>1.0268999999999999</v>
      </c>
      <c r="BH184" s="32">
        <v>1026.2</v>
      </c>
      <c r="BJ184" s="30">
        <v>6.3</v>
      </c>
      <c r="BK184" s="34">
        <v>3.8178999999999998</v>
      </c>
      <c r="BL184" s="35">
        <v>0.16034999999999999</v>
      </c>
      <c r="BM184" s="36"/>
      <c r="BN184" s="30">
        <v>6.3</v>
      </c>
      <c r="BO184" s="34">
        <v>3.8792</v>
      </c>
      <c r="BP184" s="35">
        <v>0.16292999999999999</v>
      </c>
      <c r="BR184" s="37">
        <v>713</v>
      </c>
      <c r="BS184" s="38">
        <v>0.71319999999999995</v>
      </c>
      <c r="BT184" s="39">
        <v>66.900000000000006</v>
      </c>
      <c r="BV184" s="40">
        <v>713</v>
      </c>
      <c r="BW184" s="34">
        <v>0.78469999999999995</v>
      </c>
      <c r="BX184" s="41">
        <v>0.7006</v>
      </c>
      <c r="BY184" s="55"/>
    </row>
    <row r="185" spans="27:77">
      <c r="AA185" s="27"/>
      <c r="BF185" s="30">
        <v>6.4</v>
      </c>
      <c r="BG185" s="31">
        <v>1.0261</v>
      </c>
      <c r="BH185" s="32">
        <v>1025.5</v>
      </c>
      <c r="BJ185" s="30">
        <v>6.4</v>
      </c>
      <c r="BK185" s="34">
        <v>3.8151000000000002</v>
      </c>
      <c r="BL185" s="35">
        <v>0.16023999999999999</v>
      </c>
      <c r="BM185" s="36"/>
      <c r="BN185" s="30">
        <v>6.4</v>
      </c>
      <c r="BO185" s="34">
        <v>3.8763999999999998</v>
      </c>
      <c r="BP185" s="35">
        <v>0.16281000000000001</v>
      </c>
      <c r="BR185" s="37">
        <v>714</v>
      </c>
      <c r="BS185" s="38">
        <v>0.71419999999999995</v>
      </c>
      <c r="BT185" s="39">
        <v>66.63</v>
      </c>
      <c r="BV185" s="40">
        <v>714</v>
      </c>
      <c r="BW185" s="34">
        <v>0.78580000000000005</v>
      </c>
      <c r="BX185" s="41">
        <v>0.7016</v>
      </c>
      <c r="BY185" s="55"/>
    </row>
    <row r="186" spans="27:77">
      <c r="AA186" s="27"/>
      <c r="BF186" s="30">
        <v>6.5</v>
      </c>
      <c r="BG186" s="31">
        <v>1.0254000000000001</v>
      </c>
      <c r="BH186" s="32">
        <v>1024.7</v>
      </c>
      <c r="BJ186" s="30">
        <v>6.5</v>
      </c>
      <c r="BK186" s="34">
        <v>3.8123999999999998</v>
      </c>
      <c r="BL186" s="35">
        <v>0.16012000000000001</v>
      </c>
      <c r="BM186" s="36"/>
      <c r="BN186" s="30">
        <v>6.5</v>
      </c>
      <c r="BO186" s="34">
        <v>3.8734999999999999</v>
      </c>
      <c r="BP186" s="35">
        <v>0.16269</v>
      </c>
      <c r="BR186" s="37">
        <v>715</v>
      </c>
      <c r="BS186" s="38">
        <v>0.71519999999999995</v>
      </c>
      <c r="BT186" s="39">
        <v>66.349999999999994</v>
      </c>
      <c r="BV186" s="40">
        <v>715</v>
      </c>
      <c r="BW186" s="34">
        <v>0.78690000000000004</v>
      </c>
      <c r="BX186" s="41">
        <v>0.7026</v>
      </c>
      <c r="BY186" s="55"/>
    </row>
    <row r="187" spans="27:77">
      <c r="AA187" s="27"/>
      <c r="BF187" s="30">
        <v>6.6</v>
      </c>
      <c r="BG187" s="31">
        <v>1.0246</v>
      </c>
      <c r="BH187" s="32">
        <v>1024</v>
      </c>
      <c r="BJ187" s="30">
        <v>6.6</v>
      </c>
      <c r="BK187" s="34">
        <v>3.8096000000000001</v>
      </c>
      <c r="BL187" s="35">
        <v>0.16</v>
      </c>
      <c r="BM187" s="36"/>
      <c r="BN187" s="30">
        <v>6.6</v>
      </c>
      <c r="BO187" s="34">
        <v>3.8706999999999998</v>
      </c>
      <c r="BP187" s="35">
        <v>0.16256999999999999</v>
      </c>
      <c r="BR187" s="37">
        <v>716</v>
      </c>
      <c r="BS187" s="38">
        <v>0.71619999999999995</v>
      </c>
      <c r="BT187" s="39">
        <v>66.069999999999993</v>
      </c>
      <c r="BV187" s="40">
        <v>716</v>
      </c>
      <c r="BW187" s="34">
        <v>0.78800000000000003</v>
      </c>
      <c r="BX187" s="41">
        <v>0.7036</v>
      </c>
      <c r="BY187" s="55"/>
    </row>
    <row r="188" spans="27:77">
      <c r="AA188" s="27"/>
      <c r="BF188" s="30">
        <v>6.7</v>
      </c>
      <c r="BG188" s="31">
        <v>1.0239</v>
      </c>
      <c r="BH188" s="32">
        <v>1023.2</v>
      </c>
      <c r="BJ188" s="30">
        <v>6.7</v>
      </c>
      <c r="BK188" s="34">
        <v>3.8068</v>
      </c>
      <c r="BL188" s="35">
        <v>0.15989</v>
      </c>
      <c r="BM188" s="36"/>
      <c r="BN188" s="30">
        <v>6.7</v>
      </c>
      <c r="BO188" s="34">
        <v>3.8679000000000001</v>
      </c>
      <c r="BP188" s="35">
        <v>0.16245000000000001</v>
      </c>
      <c r="BR188" s="37">
        <v>717</v>
      </c>
      <c r="BS188" s="38">
        <v>0.71719999999999995</v>
      </c>
      <c r="BT188" s="39">
        <v>65.8</v>
      </c>
      <c r="BV188" s="40">
        <v>717</v>
      </c>
      <c r="BW188" s="34">
        <v>0.78910000000000002</v>
      </c>
      <c r="BX188" s="41">
        <v>0.7046</v>
      </c>
      <c r="BY188" s="55"/>
    </row>
    <row r="189" spans="27:77">
      <c r="AA189" s="27"/>
      <c r="BF189" s="30">
        <v>6.8</v>
      </c>
      <c r="BG189" s="31">
        <v>1.0230999999999999</v>
      </c>
      <c r="BH189" s="32">
        <v>1022.5</v>
      </c>
      <c r="BJ189" s="30">
        <v>6.8</v>
      </c>
      <c r="BK189" s="34">
        <v>3.8041</v>
      </c>
      <c r="BL189" s="35">
        <v>0.15977</v>
      </c>
      <c r="BM189" s="36"/>
      <c r="BN189" s="30">
        <v>6.8</v>
      </c>
      <c r="BO189" s="34">
        <v>3.8651</v>
      </c>
      <c r="BP189" s="35">
        <v>0.16234000000000001</v>
      </c>
      <c r="BR189" s="37">
        <v>718</v>
      </c>
      <c r="BS189" s="38">
        <v>0.71819999999999995</v>
      </c>
      <c r="BT189" s="39">
        <v>65.52</v>
      </c>
      <c r="BV189" s="40">
        <v>718</v>
      </c>
      <c r="BW189" s="34">
        <v>0.79020000000000001</v>
      </c>
      <c r="BX189" s="41">
        <v>0.7056</v>
      </c>
      <c r="BY189" s="55"/>
    </row>
    <row r="190" spans="27:77">
      <c r="AA190" s="27"/>
      <c r="BF190" s="30">
        <v>6.9</v>
      </c>
      <c r="BG190" s="31">
        <v>1.0224</v>
      </c>
      <c r="BH190" s="32">
        <v>1021.8</v>
      </c>
      <c r="BJ190" s="30">
        <v>6.9</v>
      </c>
      <c r="BK190" s="34">
        <v>3.8012999999999999</v>
      </c>
      <c r="BL190" s="35">
        <v>0.15966</v>
      </c>
      <c r="BM190" s="36"/>
      <c r="BN190" s="30">
        <v>6.9</v>
      </c>
      <c r="BO190" s="34">
        <v>3.8622999999999998</v>
      </c>
      <c r="BP190" s="35">
        <v>0.16222</v>
      </c>
      <c r="BR190" s="37">
        <v>719</v>
      </c>
      <c r="BS190" s="38">
        <v>0.71919999999999995</v>
      </c>
      <c r="BT190" s="39">
        <v>65.25</v>
      </c>
      <c r="BV190" s="40">
        <v>719</v>
      </c>
      <c r="BW190" s="34">
        <v>0.7913</v>
      </c>
      <c r="BX190" s="41">
        <v>0.70660000000000001</v>
      </c>
      <c r="BY190" s="55"/>
    </row>
    <row r="191" spans="27:77">
      <c r="AA191" s="27"/>
      <c r="BF191" s="30">
        <v>7</v>
      </c>
      <c r="BG191" s="31">
        <v>1.0217000000000001</v>
      </c>
      <c r="BH191" s="32">
        <v>1021</v>
      </c>
      <c r="BJ191" s="30">
        <v>7</v>
      </c>
      <c r="BK191" s="34">
        <v>3.7986</v>
      </c>
      <c r="BL191" s="35">
        <v>0.15953999999999999</v>
      </c>
      <c r="BM191" s="36"/>
      <c r="BN191" s="30">
        <v>7</v>
      </c>
      <c r="BO191" s="34">
        <v>3.8595000000000002</v>
      </c>
      <c r="BP191" s="35">
        <v>0.16209999999999999</v>
      </c>
      <c r="BR191" s="37">
        <v>720</v>
      </c>
      <c r="BS191" s="38">
        <v>0.72019999999999995</v>
      </c>
      <c r="BT191" s="39">
        <v>64.97</v>
      </c>
      <c r="BV191" s="40">
        <v>720</v>
      </c>
      <c r="BW191" s="34">
        <v>0.79239999999999999</v>
      </c>
      <c r="BX191" s="41">
        <v>0.70750000000000002</v>
      </c>
      <c r="BY191" s="55"/>
    </row>
    <row r="192" spans="27:77">
      <c r="AA192" s="27"/>
      <c r="BF192" s="30">
        <v>7.1</v>
      </c>
      <c r="BG192" s="31">
        <v>1.0208999999999999</v>
      </c>
      <c r="BH192" s="32">
        <v>1020.3</v>
      </c>
      <c r="BJ192" s="30">
        <v>7.1</v>
      </c>
      <c r="BK192" s="34">
        <v>3.7957999999999998</v>
      </c>
      <c r="BL192" s="35">
        <v>0.15942999999999999</v>
      </c>
      <c r="BM192" s="36"/>
      <c r="BN192" s="30">
        <v>7.1</v>
      </c>
      <c r="BO192" s="34">
        <v>3.8567999999999998</v>
      </c>
      <c r="BP192" s="35">
        <v>0.16198000000000001</v>
      </c>
      <c r="BR192" s="37">
        <v>721</v>
      </c>
      <c r="BS192" s="38">
        <v>0.72119999999999995</v>
      </c>
      <c r="BT192" s="39">
        <v>64.7</v>
      </c>
      <c r="BV192" s="40">
        <v>721</v>
      </c>
      <c r="BW192" s="34">
        <v>0.79349999999999998</v>
      </c>
      <c r="BX192" s="41">
        <v>0.70850000000000002</v>
      </c>
      <c r="BY192" s="55"/>
    </row>
    <row r="193" spans="27:77">
      <c r="AA193" s="27"/>
      <c r="BF193" s="30">
        <v>7.2</v>
      </c>
      <c r="BG193" s="31">
        <v>1.0202</v>
      </c>
      <c r="BH193" s="32">
        <v>1019.6</v>
      </c>
      <c r="BJ193" s="30">
        <v>7.2</v>
      </c>
      <c r="BK193" s="34">
        <v>3.7930999999999999</v>
      </c>
      <c r="BL193" s="35">
        <v>0.15931000000000001</v>
      </c>
      <c r="BM193" s="36"/>
      <c r="BN193" s="30">
        <v>7.2</v>
      </c>
      <c r="BO193" s="34">
        <v>3.8540000000000001</v>
      </c>
      <c r="BP193" s="35">
        <v>0.16187000000000001</v>
      </c>
      <c r="BR193" s="37">
        <v>722</v>
      </c>
      <c r="BS193" s="38">
        <v>0.72219999999999995</v>
      </c>
      <c r="BT193" s="39">
        <v>64.430000000000007</v>
      </c>
      <c r="BV193" s="40">
        <v>722</v>
      </c>
      <c r="BW193" s="34">
        <v>0.79459999999999997</v>
      </c>
      <c r="BX193" s="41">
        <v>0.70950000000000002</v>
      </c>
      <c r="BY193" s="55"/>
    </row>
    <row r="194" spans="27:77">
      <c r="AA194" s="27"/>
      <c r="BF194" s="30">
        <v>7.3</v>
      </c>
      <c r="BG194" s="31">
        <v>1.0195000000000001</v>
      </c>
      <c r="BH194" s="32">
        <v>1018.8</v>
      </c>
      <c r="BJ194" s="30">
        <v>7.3</v>
      </c>
      <c r="BK194" s="34">
        <v>3.7904</v>
      </c>
      <c r="BL194" s="35">
        <v>0.15920000000000001</v>
      </c>
      <c r="BM194" s="36"/>
      <c r="BN194" s="30">
        <v>7.3</v>
      </c>
      <c r="BO194" s="34">
        <v>3.8512</v>
      </c>
      <c r="BP194" s="35">
        <v>0.16175</v>
      </c>
      <c r="BR194" s="37">
        <v>723</v>
      </c>
      <c r="BS194" s="38">
        <v>0.72319999999999995</v>
      </c>
      <c r="BT194" s="39">
        <v>64.16</v>
      </c>
      <c r="BV194" s="40">
        <v>723</v>
      </c>
      <c r="BW194" s="34">
        <v>0.79569999999999996</v>
      </c>
      <c r="BX194" s="41">
        <v>0.71050000000000002</v>
      </c>
      <c r="BY194" s="55"/>
    </row>
    <row r="195" spans="27:77">
      <c r="AA195" s="27"/>
      <c r="BF195" s="30">
        <v>7.4</v>
      </c>
      <c r="BG195" s="31">
        <v>1.0186999999999999</v>
      </c>
      <c r="BH195" s="32">
        <v>1018.1</v>
      </c>
      <c r="BJ195" s="30">
        <v>7.4</v>
      </c>
      <c r="BK195" s="34">
        <v>3.7875999999999999</v>
      </c>
      <c r="BL195" s="35">
        <v>0.15908</v>
      </c>
      <c r="BM195" s="36"/>
      <c r="BN195" s="30">
        <v>7.4</v>
      </c>
      <c r="BO195" s="34">
        <v>3.8483999999999998</v>
      </c>
      <c r="BP195" s="35">
        <v>0.16163</v>
      </c>
      <c r="BR195" s="37">
        <v>724</v>
      </c>
      <c r="BS195" s="38">
        <v>0.72419999999999995</v>
      </c>
      <c r="BT195" s="39">
        <v>63.89</v>
      </c>
      <c r="BV195" s="40">
        <v>724</v>
      </c>
      <c r="BW195" s="34">
        <v>0.79679999999999995</v>
      </c>
      <c r="BX195" s="41">
        <v>0.71150000000000002</v>
      </c>
      <c r="BY195" s="55"/>
    </row>
    <row r="196" spans="27:77">
      <c r="AA196" s="27"/>
      <c r="BF196" s="30">
        <v>7.5</v>
      </c>
      <c r="BG196" s="31">
        <v>1.018</v>
      </c>
      <c r="BH196" s="32">
        <v>1017.4</v>
      </c>
      <c r="BJ196" s="30">
        <v>7.5</v>
      </c>
      <c r="BK196" s="34">
        <v>3.7848999999999999</v>
      </c>
      <c r="BL196" s="35">
        <v>0.15897</v>
      </c>
      <c r="BM196" s="36"/>
      <c r="BN196" s="30">
        <v>7.5</v>
      </c>
      <c r="BO196" s="34">
        <v>3.8456000000000001</v>
      </c>
      <c r="BP196" s="35">
        <v>0.16152</v>
      </c>
      <c r="BR196" s="37">
        <v>725</v>
      </c>
      <c r="BS196" s="38">
        <v>0.72519999999999996</v>
      </c>
      <c r="BT196" s="39">
        <v>63.62</v>
      </c>
      <c r="BV196" s="40">
        <v>725</v>
      </c>
      <c r="BW196" s="34">
        <v>0.79800000000000004</v>
      </c>
      <c r="BX196" s="41">
        <v>0.71250000000000002</v>
      </c>
      <c r="BY196" s="55"/>
    </row>
    <row r="197" spans="27:77">
      <c r="AA197" s="27"/>
      <c r="BF197" s="30">
        <v>7.6</v>
      </c>
      <c r="BG197" s="31">
        <v>1.0173000000000001</v>
      </c>
      <c r="BH197" s="32">
        <v>1016.6</v>
      </c>
      <c r="BJ197" s="30">
        <v>7.6</v>
      </c>
      <c r="BK197" s="34">
        <v>3.7822</v>
      </c>
      <c r="BL197" s="35">
        <v>0.15884999999999999</v>
      </c>
      <c r="BM197" s="36"/>
      <c r="BN197" s="30">
        <v>7.6</v>
      </c>
      <c r="BO197" s="34">
        <v>3.8429000000000002</v>
      </c>
      <c r="BP197" s="35">
        <v>0.16139999999999999</v>
      </c>
      <c r="BR197" s="37">
        <v>726</v>
      </c>
      <c r="BS197" s="38">
        <v>0.72619999999999996</v>
      </c>
      <c r="BT197" s="39">
        <v>63.35</v>
      </c>
      <c r="BV197" s="40">
        <v>726</v>
      </c>
      <c r="BW197" s="34">
        <v>0.79910000000000003</v>
      </c>
      <c r="BX197" s="41">
        <v>0.71340000000000003</v>
      </c>
      <c r="BY197" s="55"/>
    </row>
    <row r="198" spans="27:77">
      <c r="AA198" s="27"/>
      <c r="BF198" s="30">
        <v>7.7</v>
      </c>
      <c r="BG198" s="31">
        <v>1.0165</v>
      </c>
      <c r="BH198" s="32">
        <v>1015.9</v>
      </c>
      <c r="BJ198" s="30">
        <v>7.7</v>
      </c>
      <c r="BK198" s="34">
        <v>3.7795000000000001</v>
      </c>
      <c r="BL198" s="35">
        <v>0.15873999999999999</v>
      </c>
      <c r="BM198" s="36"/>
      <c r="BN198" s="30">
        <v>7.7</v>
      </c>
      <c r="BO198" s="34">
        <v>3.8401000000000001</v>
      </c>
      <c r="BP198" s="35">
        <v>0.16128000000000001</v>
      </c>
      <c r="BR198" s="37">
        <v>727</v>
      </c>
      <c r="BS198" s="38">
        <v>0.72719999999999996</v>
      </c>
      <c r="BT198" s="39">
        <v>63.08</v>
      </c>
      <c r="BV198" s="40">
        <v>727</v>
      </c>
      <c r="BW198" s="34">
        <v>0.80020000000000002</v>
      </c>
      <c r="BX198" s="41">
        <v>0.71440000000000003</v>
      </c>
      <c r="BY198" s="55"/>
    </row>
    <row r="199" spans="27:77">
      <c r="AA199" s="27"/>
      <c r="BF199" s="30">
        <v>7.8</v>
      </c>
      <c r="BG199" s="31">
        <v>1.0158</v>
      </c>
      <c r="BH199" s="32">
        <v>1015.2</v>
      </c>
      <c r="BJ199" s="30">
        <v>7.8</v>
      </c>
      <c r="BK199" s="34">
        <v>3.7766999999999999</v>
      </c>
      <c r="BL199" s="35">
        <v>0.15862000000000001</v>
      </c>
      <c r="BM199" s="36"/>
      <c r="BN199" s="30">
        <v>7.8</v>
      </c>
      <c r="BO199" s="34">
        <v>3.8372999999999999</v>
      </c>
      <c r="BP199" s="35">
        <v>0.16117000000000001</v>
      </c>
      <c r="BR199" s="37">
        <v>728</v>
      </c>
      <c r="BS199" s="38">
        <v>0.72819999999999996</v>
      </c>
      <c r="BT199" s="39">
        <v>62.81</v>
      </c>
      <c r="BV199" s="40">
        <v>728</v>
      </c>
      <c r="BW199" s="34">
        <v>0.80130000000000001</v>
      </c>
      <c r="BX199" s="41">
        <v>0.71540000000000004</v>
      </c>
      <c r="BY199" s="55"/>
    </row>
    <row r="200" spans="27:77">
      <c r="AA200" s="27"/>
      <c r="BF200" s="30">
        <v>7.9</v>
      </c>
      <c r="BG200" s="31">
        <v>1.0150999999999999</v>
      </c>
      <c r="BH200" s="32">
        <v>1014.4</v>
      </c>
      <c r="BJ200" s="30">
        <v>7.9</v>
      </c>
      <c r="BK200" s="34">
        <v>3.774</v>
      </c>
      <c r="BL200" s="35">
        <v>0.15851000000000001</v>
      </c>
      <c r="BM200" s="36"/>
      <c r="BN200" s="30">
        <v>7.9</v>
      </c>
      <c r="BO200" s="34">
        <v>3.8346</v>
      </c>
      <c r="BP200" s="35">
        <v>0.16105</v>
      </c>
      <c r="BR200" s="37">
        <v>729</v>
      </c>
      <c r="BS200" s="38">
        <v>0.72919999999999996</v>
      </c>
      <c r="BT200" s="39">
        <v>62.54</v>
      </c>
      <c r="BV200" s="40">
        <v>729</v>
      </c>
      <c r="BW200" s="34">
        <v>0.8024</v>
      </c>
      <c r="BX200" s="41">
        <v>0.71640000000000004</v>
      </c>
      <c r="BY200" s="55"/>
    </row>
    <row r="201" spans="27:77">
      <c r="AA201" s="27"/>
      <c r="BF201" s="30">
        <v>8</v>
      </c>
      <c r="BG201" s="31">
        <v>1.0143</v>
      </c>
      <c r="BH201" s="32">
        <v>1013.7</v>
      </c>
      <c r="BJ201" s="30">
        <v>8</v>
      </c>
      <c r="BK201" s="34">
        <v>3.7713000000000001</v>
      </c>
      <c r="BL201" s="35">
        <v>0.15840000000000001</v>
      </c>
      <c r="BM201" s="36"/>
      <c r="BN201" s="30">
        <v>8</v>
      </c>
      <c r="BO201" s="34">
        <v>3.8317999999999999</v>
      </c>
      <c r="BP201" s="35">
        <v>0.16094</v>
      </c>
      <c r="BR201" s="37">
        <v>730</v>
      </c>
      <c r="BS201" s="38">
        <v>0.73019999999999996</v>
      </c>
      <c r="BT201" s="39">
        <v>62.28</v>
      </c>
      <c r="BV201" s="40">
        <v>730</v>
      </c>
      <c r="BW201" s="34">
        <v>0.80349999999999999</v>
      </c>
      <c r="BX201" s="41">
        <v>0.71740000000000004</v>
      </c>
      <c r="BY201" s="55"/>
    </row>
    <row r="202" spans="27:77">
      <c r="AA202" s="27"/>
      <c r="BF202" s="30">
        <v>8.1</v>
      </c>
      <c r="BG202" s="31">
        <v>1.0136000000000001</v>
      </c>
      <c r="BH202" s="32">
        <v>1013</v>
      </c>
      <c r="BJ202" s="30">
        <v>8.1</v>
      </c>
      <c r="BK202" s="34">
        <v>3.7686000000000002</v>
      </c>
      <c r="BL202" s="35">
        <v>0.15828</v>
      </c>
      <c r="BM202" s="36"/>
      <c r="BN202" s="30">
        <v>8.1</v>
      </c>
      <c r="BO202" s="34">
        <v>3.8290999999999999</v>
      </c>
      <c r="BP202" s="35">
        <v>0.16081999999999999</v>
      </c>
      <c r="BR202" s="37">
        <v>731</v>
      </c>
      <c r="BS202" s="38">
        <v>0.73119999999999996</v>
      </c>
      <c r="BT202" s="39">
        <v>62.01</v>
      </c>
      <c r="BV202" s="40">
        <v>731</v>
      </c>
      <c r="BW202" s="34">
        <v>0.80459999999999998</v>
      </c>
      <c r="BX202" s="41">
        <v>0.71840000000000004</v>
      </c>
      <c r="BY202" s="55"/>
    </row>
    <row r="203" spans="27:77">
      <c r="AA203" s="27"/>
      <c r="BF203" s="30">
        <v>8.1999999999999993</v>
      </c>
      <c r="BG203" s="31">
        <v>1.0128999999999999</v>
      </c>
      <c r="BH203" s="32">
        <v>1012.3</v>
      </c>
      <c r="BJ203" s="30">
        <v>8.1999999999999993</v>
      </c>
      <c r="BK203" s="34">
        <v>3.7658999999999998</v>
      </c>
      <c r="BL203" s="35">
        <v>0.15817000000000001</v>
      </c>
      <c r="BM203" s="36"/>
      <c r="BN203" s="30">
        <v>8.1999999999999993</v>
      </c>
      <c r="BO203" s="34">
        <v>3.8262999999999998</v>
      </c>
      <c r="BP203" s="35">
        <v>0.16070999999999999</v>
      </c>
      <c r="BR203" s="37">
        <v>732</v>
      </c>
      <c r="BS203" s="38">
        <v>0.73219999999999996</v>
      </c>
      <c r="BT203" s="39">
        <v>61.75</v>
      </c>
      <c r="BV203" s="40">
        <v>732</v>
      </c>
      <c r="BW203" s="34">
        <v>0.80569999999999997</v>
      </c>
      <c r="BX203" s="41">
        <v>0.71930000000000005</v>
      </c>
      <c r="BY203" s="55"/>
    </row>
    <row r="204" spans="27:77">
      <c r="AA204" s="27"/>
      <c r="BF204" s="30">
        <v>8.3000000000000007</v>
      </c>
      <c r="BG204" s="31">
        <v>1.0122</v>
      </c>
      <c r="BH204" s="32">
        <v>1011.5</v>
      </c>
      <c r="BJ204" s="30">
        <v>8.3000000000000007</v>
      </c>
      <c r="BK204" s="34">
        <v>3.7631999999999999</v>
      </c>
      <c r="BL204" s="35">
        <v>0.15806000000000001</v>
      </c>
      <c r="BM204" s="36"/>
      <c r="BN204" s="30">
        <v>8.3000000000000007</v>
      </c>
      <c r="BO204" s="34">
        <v>3.8235999999999999</v>
      </c>
      <c r="BP204" s="35">
        <v>0.16059000000000001</v>
      </c>
      <c r="BR204" s="37">
        <v>733</v>
      </c>
      <c r="BS204" s="38">
        <v>0.73319999999999996</v>
      </c>
      <c r="BT204" s="39">
        <v>61.48</v>
      </c>
      <c r="BV204" s="40">
        <v>733</v>
      </c>
      <c r="BW204" s="34">
        <v>0.80679999999999996</v>
      </c>
      <c r="BX204" s="41">
        <v>0.72030000000000005</v>
      </c>
      <c r="BY204" s="55"/>
    </row>
    <row r="205" spans="27:77">
      <c r="AA205" s="27"/>
      <c r="BF205" s="30">
        <v>8.4</v>
      </c>
      <c r="BG205" s="31">
        <v>1.0114000000000001</v>
      </c>
      <c r="BH205" s="32">
        <v>1010.8</v>
      </c>
      <c r="BJ205" s="30">
        <v>8.4</v>
      </c>
      <c r="BK205" s="34">
        <v>3.7605</v>
      </c>
      <c r="BL205" s="35">
        <v>0.15794</v>
      </c>
      <c r="BM205" s="36"/>
      <c r="BN205" s="30">
        <v>8.4</v>
      </c>
      <c r="BO205" s="34">
        <v>3.8209</v>
      </c>
      <c r="BP205" s="35">
        <v>0.16048000000000001</v>
      </c>
      <c r="BR205" s="37">
        <v>734</v>
      </c>
      <c r="BS205" s="38">
        <v>0.73419999999999996</v>
      </c>
      <c r="BT205" s="39">
        <v>61.22</v>
      </c>
      <c r="BV205" s="40">
        <v>734</v>
      </c>
      <c r="BW205" s="34">
        <v>0.80789999999999995</v>
      </c>
      <c r="BX205" s="41">
        <v>0.72130000000000005</v>
      </c>
      <c r="BY205" s="55"/>
    </row>
    <row r="206" spans="27:77">
      <c r="AA206" s="27"/>
      <c r="BF206" s="30">
        <v>8.5</v>
      </c>
      <c r="BG206" s="31">
        <v>1.0106999999999999</v>
      </c>
      <c r="BH206" s="32">
        <v>1010.1</v>
      </c>
      <c r="BJ206" s="30">
        <v>8.5</v>
      </c>
      <c r="BK206" s="34">
        <v>3.7578</v>
      </c>
      <c r="BL206" s="35">
        <v>0.15783</v>
      </c>
      <c r="BM206" s="36"/>
      <c r="BN206" s="30">
        <v>8.5</v>
      </c>
      <c r="BO206" s="34">
        <v>3.8180999999999998</v>
      </c>
      <c r="BP206" s="35">
        <v>0.16036</v>
      </c>
      <c r="BR206" s="37">
        <v>735</v>
      </c>
      <c r="BS206" s="38">
        <v>0.73519999999999996</v>
      </c>
      <c r="BT206" s="39">
        <v>60.96</v>
      </c>
      <c r="BV206" s="40">
        <v>735</v>
      </c>
      <c r="BW206" s="34">
        <v>0.80900000000000005</v>
      </c>
      <c r="BX206" s="41">
        <v>0.72230000000000005</v>
      </c>
      <c r="BY206" s="55"/>
    </row>
    <row r="207" spans="27:77">
      <c r="AA207" s="27"/>
      <c r="BF207" s="30">
        <v>8.6</v>
      </c>
      <c r="BG207" s="31">
        <v>1.01</v>
      </c>
      <c r="BH207" s="32">
        <v>1009.4</v>
      </c>
      <c r="BJ207" s="30">
        <v>8.6</v>
      </c>
      <c r="BK207" s="34">
        <v>3.7551000000000001</v>
      </c>
      <c r="BL207" s="35">
        <v>0.15772</v>
      </c>
      <c r="BM207" s="36"/>
      <c r="BN207" s="30">
        <v>8.6</v>
      </c>
      <c r="BO207" s="34">
        <v>3.8153999999999999</v>
      </c>
      <c r="BP207" s="35">
        <v>0.16025</v>
      </c>
      <c r="BR207" s="37">
        <v>736</v>
      </c>
      <c r="BS207" s="38">
        <v>0.73619999999999997</v>
      </c>
      <c r="BT207" s="39">
        <v>60.7</v>
      </c>
      <c r="BV207" s="40">
        <v>736</v>
      </c>
      <c r="BW207" s="34">
        <v>0.81010000000000004</v>
      </c>
      <c r="BX207" s="41">
        <v>0.72330000000000005</v>
      </c>
      <c r="BY207" s="55"/>
    </row>
    <row r="208" spans="27:77">
      <c r="AA208" s="27"/>
      <c r="BF208" s="30">
        <v>8.6999999999999993</v>
      </c>
      <c r="BG208" s="31">
        <v>1.0093000000000001</v>
      </c>
      <c r="BH208" s="32">
        <v>1008.6</v>
      </c>
      <c r="BJ208" s="30">
        <v>8.6999999999999993</v>
      </c>
      <c r="BK208" s="34">
        <v>3.7524999999999999</v>
      </c>
      <c r="BL208" s="35">
        <v>0.15759999999999999</v>
      </c>
      <c r="BM208" s="36"/>
      <c r="BN208" s="30">
        <v>8.6999999999999993</v>
      </c>
      <c r="BO208" s="34">
        <v>3.8127</v>
      </c>
      <c r="BP208" s="35">
        <v>0.16012999999999999</v>
      </c>
      <c r="BR208" s="37">
        <v>737</v>
      </c>
      <c r="BS208" s="38">
        <v>0.73719999999999997</v>
      </c>
      <c r="BT208" s="39">
        <v>60.44</v>
      </c>
      <c r="BV208" s="40">
        <v>737</v>
      </c>
      <c r="BW208" s="34">
        <v>0.81120000000000003</v>
      </c>
      <c r="BX208" s="41">
        <v>0.72430000000000005</v>
      </c>
      <c r="BY208" s="55"/>
    </row>
    <row r="209" spans="27:77">
      <c r="AA209" s="27"/>
      <c r="BF209" s="30">
        <v>8.8000000000000007</v>
      </c>
      <c r="BG209" s="31">
        <v>1.0085999999999999</v>
      </c>
      <c r="BH209" s="32">
        <v>1007.9</v>
      </c>
      <c r="BJ209" s="30">
        <v>8.8000000000000007</v>
      </c>
      <c r="BK209" s="34">
        <v>3.7498</v>
      </c>
      <c r="BL209" s="35">
        <v>0.15748999999999999</v>
      </c>
      <c r="BM209" s="36"/>
      <c r="BN209" s="30">
        <v>8.8000000000000007</v>
      </c>
      <c r="BO209" s="34">
        <v>3.81</v>
      </c>
      <c r="BP209" s="35">
        <v>0.16002</v>
      </c>
      <c r="BR209" s="37">
        <v>738</v>
      </c>
      <c r="BS209" s="38">
        <v>0.73819999999999997</v>
      </c>
      <c r="BT209" s="39">
        <v>60.18</v>
      </c>
      <c r="BV209" s="40">
        <v>738</v>
      </c>
      <c r="BW209" s="34">
        <v>0.81230000000000002</v>
      </c>
      <c r="BX209" s="41">
        <v>0.72530000000000006</v>
      </c>
      <c r="BY209" s="55"/>
    </row>
    <row r="210" spans="27:77">
      <c r="AA210" s="27"/>
      <c r="BF210" s="30">
        <v>8.9</v>
      </c>
      <c r="BG210" s="31">
        <v>1.0078</v>
      </c>
      <c r="BH210" s="32">
        <v>1007.2</v>
      </c>
      <c r="BJ210" s="30">
        <v>8.9</v>
      </c>
      <c r="BK210" s="34">
        <v>3.7471000000000001</v>
      </c>
      <c r="BL210" s="35">
        <v>0.15737999999999999</v>
      </c>
      <c r="BM210" s="36"/>
      <c r="BN210" s="30">
        <v>8.9</v>
      </c>
      <c r="BO210" s="34">
        <v>3.8071999999999999</v>
      </c>
      <c r="BP210" s="35">
        <v>0.15989999999999999</v>
      </c>
      <c r="BR210" s="37">
        <v>739</v>
      </c>
      <c r="BS210" s="38">
        <v>0.73919999999999997</v>
      </c>
      <c r="BT210" s="39">
        <v>59.92</v>
      </c>
      <c r="BV210" s="40">
        <v>739</v>
      </c>
      <c r="BW210" s="34">
        <v>0.81340000000000001</v>
      </c>
      <c r="BX210" s="41">
        <v>0.72619999999999996</v>
      </c>
      <c r="BY210" s="55"/>
    </row>
    <row r="211" spans="27:77">
      <c r="AA211" s="27"/>
      <c r="BF211" s="30">
        <v>9</v>
      </c>
      <c r="BG211" s="31">
        <v>1.0071000000000001</v>
      </c>
      <c r="BH211" s="32">
        <v>1006.5</v>
      </c>
      <c r="BJ211" s="30">
        <v>9</v>
      </c>
      <c r="BK211" s="34">
        <v>3.7444000000000002</v>
      </c>
      <c r="BL211" s="35">
        <v>0.15726999999999999</v>
      </c>
      <c r="BM211" s="36"/>
      <c r="BN211" s="30">
        <v>9</v>
      </c>
      <c r="BO211" s="34">
        <v>3.8045</v>
      </c>
      <c r="BP211" s="35">
        <v>0.15978999999999999</v>
      </c>
      <c r="BR211" s="37">
        <v>740</v>
      </c>
      <c r="BS211" s="38">
        <v>0.74019999999999997</v>
      </c>
      <c r="BT211" s="39">
        <v>59.66</v>
      </c>
      <c r="BV211" s="40">
        <v>740</v>
      </c>
      <c r="BW211" s="34">
        <v>0.8145</v>
      </c>
      <c r="BX211" s="41">
        <v>0.72719999999999996</v>
      </c>
      <c r="BY211" s="55"/>
    </row>
    <row r="212" spans="27:77">
      <c r="AA212" s="27"/>
      <c r="BF212" s="30">
        <v>9.1</v>
      </c>
      <c r="BG212" s="31">
        <v>1.0064</v>
      </c>
      <c r="BH212" s="32">
        <v>1005.8</v>
      </c>
      <c r="BJ212" s="30">
        <v>9.1</v>
      </c>
      <c r="BK212" s="34">
        <v>3.7418</v>
      </c>
      <c r="BL212" s="35">
        <v>0.15715000000000001</v>
      </c>
      <c r="BM212" s="36"/>
      <c r="BN212" s="30">
        <v>9.1</v>
      </c>
      <c r="BO212" s="34">
        <v>3.8018000000000001</v>
      </c>
      <c r="BP212" s="35">
        <v>0.15967999999999999</v>
      </c>
      <c r="BR212" s="37">
        <v>741</v>
      </c>
      <c r="BS212" s="38">
        <v>0.74119999999999997</v>
      </c>
      <c r="BT212" s="39">
        <v>59.4</v>
      </c>
      <c r="BV212" s="40">
        <v>741</v>
      </c>
      <c r="BW212" s="34">
        <v>0.81559999999999999</v>
      </c>
      <c r="BX212" s="41">
        <v>0.72819999999999996</v>
      </c>
      <c r="BY212" s="55"/>
    </row>
    <row r="213" spans="27:77">
      <c r="AA213" s="27"/>
      <c r="BF213" s="30">
        <v>9.1999999999999993</v>
      </c>
      <c r="BG213" s="31">
        <v>1.0057</v>
      </c>
      <c r="BH213" s="32">
        <v>1005.1</v>
      </c>
      <c r="BJ213" s="30">
        <v>9.1999999999999993</v>
      </c>
      <c r="BK213" s="34">
        <v>3.7391000000000001</v>
      </c>
      <c r="BL213" s="35">
        <v>0.15704000000000001</v>
      </c>
      <c r="BM213" s="36"/>
      <c r="BN213" s="30">
        <v>9.1999999999999993</v>
      </c>
      <c r="BO213" s="34">
        <v>3.7991000000000001</v>
      </c>
      <c r="BP213" s="35">
        <v>0.15956000000000001</v>
      </c>
      <c r="BR213" s="37">
        <v>742</v>
      </c>
      <c r="BS213" s="38">
        <v>0.74219999999999997</v>
      </c>
      <c r="BT213" s="39">
        <v>59.14</v>
      </c>
      <c r="BV213" s="40">
        <v>742</v>
      </c>
      <c r="BW213" s="34">
        <v>0.81669999999999998</v>
      </c>
      <c r="BX213" s="41">
        <v>0.72919999999999996</v>
      </c>
      <c r="BY213" s="55"/>
    </row>
    <row r="214" spans="27:77">
      <c r="AA214" s="27"/>
      <c r="BF214" s="30">
        <v>9.3000000000000007</v>
      </c>
      <c r="BG214" s="31">
        <v>1.0049999999999999</v>
      </c>
      <c r="BH214" s="32">
        <v>1004.4</v>
      </c>
      <c r="BJ214" s="30">
        <v>9.3000000000000007</v>
      </c>
      <c r="BK214" s="34">
        <v>3.7364999999999999</v>
      </c>
      <c r="BL214" s="35">
        <v>0.15692999999999999</v>
      </c>
      <c r="BM214" s="36"/>
      <c r="BN214" s="30">
        <v>9.3000000000000007</v>
      </c>
      <c r="BO214" s="34">
        <v>3.7964000000000002</v>
      </c>
      <c r="BP214" s="35">
        <v>0.15945000000000001</v>
      </c>
      <c r="BR214" s="37">
        <v>743</v>
      </c>
      <c r="BS214" s="38">
        <v>0.74319999999999997</v>
      </c>
      <c r="BT214" s="39">
        <v>58.88</v>
      </c>
      <c r="BV214" s="40">
        <v>743</v>
      </c>
      <c r="BW214" s="34">
        <v>0.81779999999999997</v>
      </c>
      <c r="BX214" s="41">
        <v>0.73019999999999996</v>
      </c>
      <c r="BY214" s="55"/>
    </row>
    <row r="215" spans="27:77">
      <c r="AA215" s="27"/>
      <c r="BF215" s="30">
        <v>9.4</v>
      </c>
      <c r="BG215" s="31">
        <v>1.0043</v>
      </c>
      <c r="BH215" s="32">
        <v>1003.6</v>
      </c>
      <c r="BJ215" s="30">
        <v>9.4</v>
      </c>
      <c r="BK215" s="34">
        <v>3.7338</v>
      </c>
      <c r="BL215" s="35">
        <v>0.15681999999999999</v>
      </c>
      <c r="BM215" s="36"/>
      <c r="BN215" s="30">
        <v>9.4</v>
      </c>
      <c r="BO215" s="34">
        <v>3.7936999999999999</v>
      </c>
      <c r="BP215" s="35">
        <v>0.15934000000000001</v>
      </c>
      <c r="BR215" s="37">
        <v>744</v>
      </c>
      <c r="BS215" s="38">
        <v>0.74419999999999997</v>
      </c>
      <c r="BT215" s="39">
        <v>58.63</v>
      </c>
      <c r="BV215" s="40">
        <v>744</v>
      </c>
      <c r="BW215" s="34">
        <v>0.81889999999999996</v>
      </c>
      <c r="BX215" s="41">
        <v>0.73119999999999996</v>
      </c>
      <c r="BY215" s="55"/>
    </row>
    <row r="216" spans="27:77">
      <c r="AA216" s="27"/>
      <c r="BF216" s="30">
        <v>9.5</v>
      </c>
      <c r="BG216" s="31">
        <v>1.0035000000000001</v>
      </c>
      <c r="BH216" s="32">
        <v>1002.9</v>
      </c>
      <c r="BJ216" s="30">
        <v>9.5</v>
      </c>
      <c r="BK216" s="34">
        <v>3.7311999999999999</v>
      </c>
      <c r="BL216" s="35">
        <v>0.15670999999999993</v>
      </c>
      <c r="BM216" s="36"/>
      <c r="BN216" s="30">
        <v>9.5</v>
      </c>
      <c r="BO216" s="34">
        <v>3.7909999999999999</v>
      </c>
      <c r="BP216" s="35">
        <v>0.15922</v>
      </c>
      <c r="BR216" s="37">
        <v>745</v>
      </c>
      <c r="BS216" s="38">
        <v>0.74519999999999997</v>
      </c>
      <c r="BT216" s="39">
        <v>58.37</v>
      </c>
      <c r="BV216" s="40">
        <v>745</v>
      </c>
      <c r="BW216" s="34">
        <v>0.82</v>
      </c>
      <c r="BX216" s="41">
        <v>0.73209999999999997</v>
      </c>
      <c r="BY216" s="55"/>
    </row>
    <row r="217" spans="27:77">
      <c r="AA217" s="27"/>
      <c r="BF217" s="30">
        <v>9.6</v>
      </c>
      <c r="BG217" s="31">
        <v>1.0027999999999999</v>
      </c>
      <c r="BH217" s="32">
        <v>1002.2</v>
      </c>
      <c r="BJ217" s="30">
        <v>9.6</v>
      </c>
      <c r="BK217" s="34">
        <v>3.7284999999999999</v>
      </c>
      <c r="BL217" s="35">
        <v>0.15659999999999991</v>
      </c>
      <c r="BM217" s="36"/>
      <c r="BN217" s="30">
        <v>9.6</v>
      </c>
      <c r="BO217" s="34">
        <v>3.7883</v>
      </c>
      <c r="BP217" s="35">
        <v>0.15911</v>
      </c>
      <c r="BR217" s="37">
        <v>746</v>
      </c>
      <c r="BS217" s="38">
        <v>0.74619999999999997</v>
      </c>
      <c r="BT217" s="39">
        <v>58.12</v>
      </c>
      <c r="BV217" s="40">
        <v>746</v>
      </c>
      <c r="BW217" s="34">
        <v>0.82110000000000005</v>
      </c>
      <c r="BX217" s="41">
        <v>0.73309999999999997</v>
      </c>
      <c r="BY217" s="55"/>
    </row>
    <row r="218" spans="27:77">
      <c r="AA218" s="27"/>
      <c r="BF218" s="30">
        <v>9.6999999999999993</v>
      </c>
      <c r="BG218" s="31">
        <v>1.0021</v>
      </c>
      <c r="BH218" s="32">
        <v>1001.5</v>
      </c>
      <c r="BJ218" s="30">
        <v>9.6999999999999993</v>
      </c>
      <c r="BK218" s="34">
        <v>3.7259000000000002</v>
      </c>
      <c r="BL218" s="35">
        <v>0.15648999999999988</v>
      </c>
      <c r="BM218" s="36"/>
      <c r="BN218" s="30">
        <v>9.6999999999999993</v>
      </c>
      <c r="BO218" s="34">
        <v>3.7856000000000001</v>
      </c>
      <c r="BP218" s="35">
        <v>0.159</v>
      </c>
      <c r="BR218" s="37">
        <v>747</v>
      </c>
      <c r="BS218" s="38">
        <v>0.74719999999999998</v>
      </c>
      <c r="BT218" s="39">
        <v>57.86</v>
      </c>
      <c r="BV218" s="40">
        <v>747</v>
      </c>
      <c r="BW218" s="34">
        <v>0.82220000000000004</v>
      </c>
      <c r="BX218" s="41">
        <v>0.73409999999999997</v>
      </c>
      <c r="BY218" s="55"/>
    </row>
    <row r="219" spans="27:77">
      <c r="AA219" s="27"/>
      <c r="BF219" s="30">
        <v>9.8000000000000007</v>
      </c>
      <c r="BG219" s="31">
        <v>1.0014000000000001</v>
      </c>
      <c r="BH219" s="32">
        <v>1000.8</v>
      </c>
      <c r="BJ219" s="30">
        <v>9.8000000000000007</v>
      </c>
      <c r="BK219" s="34">
        <v>3.7231999999999998</v>
      </c>
      <c r="BL219" s="35">
        <v>0.15637999999999985</v>
      </c>
      <c r="BM219" s="36"/>
      <c r="BN219" s="30">
        <v>9.8000000000000007</v>
      </c>
      <c r="BO219" s="34">
        <v>3.7829999999999999</v>
      </c>
      <c r="BP219" s="35">
        <v>0.15887999999999999</v>
      </c>
      <c r="BR219" s="37">
        <v>748</v>
      </c>
      <c r="BS219" s="38">
        <v>0.74819999999999998</v>
      </c>
      <c r="BT219" s="39">
        <v>57.61</v>
      </c>
      <c r="BV219" s="40">
        <v>748</v>
      </c>
      <c r="BW219" s="34">
        <v>0.82330000000000003</v>
      </c>
      <c r="BX219" s="41">
        <v>0.73509999999999998</v>
      </c>
      <c r="BY219" s="55"/>
    </row>
    <row r="220" spans="27:77">
      <c r="AA220" s="27"/>
      <c r="BF220" s="30">
        <v>9.9</v>
      </c>
      <c r="BG220" s="31">
        <v>1.0006999999999999</v>
      </c>
      <c r="BH220" s="32">
        <v>1000.1</v>
      </c>
      <c r="BJ220" s="30">
        <v>9.9</v>
      </c>
      <c r="BK220" s="34">
        <v>3.7206000000000001</v>
      </c>
      <c r="BL220" s="35">
        <v>0.15626000000000001</v>
      </c>
      <c r="BM220" s="36"/>
      <c r="BN220" s="30">
        <v>9.9</v>
      </c>
      <c r="BO220" s="34">
        <v>3.7803</v>
      </c>
      <c r="BP220" s="35">
        <v>0.15876999999999999</v>
      </c>
      <c r="BR220" s="37">
        <v>749</v>
      </c>
      <c r="BS220" s="38">
        <v>0.74919999999999998</v>
      </c>
      <c r="BT220" s="39">
        <v>57.36</v>
      </c>
      <c r="BV220" s="40">
        <v>749</v>
      </c>
      <c r="BW220" s="34">
        <v>0.82440000000000002</v>
      </c>
      <c r="BX220" s="41">
        <v>0.73609999999999998</v>
      </c>
      <c r="BY220" s="55"/>
    </row>
    <row r="221" spans="27:77">
      <c r="AA221" s="27"/>
      <c r="BF221" s="30">
        <v>10</v>
      </c>
      <c r="BG221" s="31">
        <v>1</v>
      </c>
      <c r="BH221" s="32">
        <v>999.4</v>
      </c>
      <c r="BJ221" s="30">
        <v>10</v>
      </c>
      <c r="BK221" s="34">
        <v>3.718</v>
      </c>
      <c r="BL221" s="35">
        <v>0.15615000000000001</v>
      </c>
      <c r="BM221" s="36"/>
      <c r="BN221" s="30">
        <v>10</v>
      </c>
      <c r="BO221" s="34">
        <v>3.7776000000000001</v>
      </c>
      <c r="BP221" s="35">
        <v>0.15866</v>
      </c>
      <c r="BR221" s="37">
        <v>750</v>
      </c>
      <c r="BS221" s="38">
        <v>0.75019999999999998</v>
      </c>
      <c r="BT221" s="39">
        <v>57.11</v>
      </c>
      <c r="BV221" s="40">
        <v>750</v>
      </c>
      <c r="BW221" s="34">
        <v>0.82550000000000001</v>
      </c>
      <c r="BX221" s="41">
        <v>0.73709999999999998</v>
      </c>
      <c r="BY221" s="55"/>
    </row>
    <row r="222" spans="27:77">
      <c r="AA222" s="27"/>
      <c r="BF222" s="30">
        <v>10.1</v>
      </c>
      <c r="BG222" s="31">
        <v>0.99929999999999997</v>
      </c>
      <c r="BH222" s="32">
        <v>998.7</v>
      </c>
      <c r="BJ222" s="30">
        <v>10.1</v>
      </c>
      <c r="BK222" s="34">
        <v>3.7153</v>
      </c>
      <c r="BL222" s="35">
        <v>0.15604000000000001</v>
      </c>
      <c r="BM222" s="36"/>
      <c r="BN222" s="30">
        <v>10.1</v>
      </c>
      <c r="BO222" s="34">
        <v>3.7749000000000001</v>
      </c>
      <c r="BP222" s="35">
        <v>0.15855</v>
      </c>
      <c r="BR222" s="37">
        <v>751</v>
      </c>
      <c r="BS222" s="38">
        <v>0.75119999999999998</v>
      </c>
      <c r="BT222" s="39">
        <v>56.85</v>
      </c>
      <c r="BV222" s="40">
        <v>751</v>
      </c>
      <c r="BW222" s="34">
        <v>0.8266</v>
      </c>
      <c r="BX222" s="41">
        <v>0.73799999999999999</v>
      </c>
      <c r="BY222" s="55"/>
    </row>
    <row r="223" spans="27:77">
      <c r="AA223" s="27"/>
      <c r="BF223" s="30">
        <v>10.199999999999999</v>
      </c>
      <c r="BG223" s="31">
        <v>0.99860000000000004</v>
      </c>
      <c r="BH223" s="32">
        <v>998</v>
      </c>
      <c r="BJ223" s="30">
        <v>10.199999999999999</v>
      </c>
      <c r="BK223" s="34">
        <v>3.7126999999999999</v>
      </c>
      <c r="BL223" s="35">
        <v>0.15593000000000001</v>
      </c>
      <c r="BM223" s="36"/>
      <c r="BN223" s="30">
        <v>10.199999999999999</v>
      </c>
      <c r="BO223" s="34">
        <v>3.7723</v>
      </c>
      <c r="BP223" s="35">
        <v>0.15844</v>
      </c>
      <c r="BR223" s="37">
        <v>752</v>
      </c>
      <c r="BS223" s="38">
        <v>0.75219999999999998</v>
      </c>
      <c r="BT223" s="39">
        <v>56.6</v>
      </c>
      <c r="BV223" s="40">
        <v>752</v>
      </c>
      <c r="BW223" s="34">
        <v>0.82769999999999999</v>
      </c>
      <c r="BX223" s="41">
        <v>0.73899999999999999</v>
      </c>
      <c r="BY223" s="55"/>
    </row>
    <row r="224" spans="27:77">
      <c r="AA224" s="27"/>
      <c r="BF224" s="30">
        <v>10.3</v>
      </c>
      <c r="BG224" s="31">
        <v>0.99790000000000001</v>
      </c>
      <c r="BH224" s="32">
        <v>997.3</v>
      </c>
      <c r="BJ224" s="30">
        <v>10.3</v>
      </c>
      <c r="BK224" s="34">
        <v>3.7101000000000002</v>
      </c>
      <c r="BL224" s="35">
        <v>0.15581999999999999</v>
      </c>
      <c r="BM224" s="36"/>
      <c r="BN224" s="30">
        <v>10.3</v>
      </c>
      <c r="BO224" s="34">
        <v>3.7696000000000001</v>
      </c>
      <c r="BP224" s="35">
        <v>0.15831999999999999</v>
      </c>
      <c r="BR224" s="37">
        <v>753</v>
      </c>
      <c r="BS224" s="38">
        <v>0.75319999999999998</v>
      </c>
      <c r="BT224" s="39">
        <v>56.35</v>
      </c>
      <c r="BV224" s="40">
        <v>753</v>
      </c>
      <c r="BW224" s="34">
        <v>0.82879999999999998</v>
      </c>
      <c r="BX224" s="41">
        <v>0.74</v>
      </c>
      <c r="BY224" s="55"/>
    </row>
    <row r="225" spans="27:77">
      <c r="AA225" s="27"/>
      <c r="BF225" s="30">
        <v>10.4</v>
      </c>
      <c r="BG225" s="31">
        <v>0.99719999999999998</v>
      </c>
      <c r="BH225" s="32">
        <v>996.6</v>
      </c>
      <c r="BJ225" s="30">
        <v>10.4</v>
      </c>
      <c r="BK225" s="34">
        <v>3.7075</v>
      </c>
      <c r="BL225" s="35">
        <v>0.15570999999999999</v>
      </c>
      <c r="BM225" s="36"/>
      <c r="BN225" s="30">
        <v>10.4</v>
      </c>
      <c r="BO225" s="34">
        <v>3.7669999999999999</v>
      </c>
      <c r="BP225" s="35">
        <v>0.15820999999999999</v>
      </c>
      <c r="BR225" s="37">
        <v>754</v>
      </c>
      <c r="BS225" s="38">
        <v>0.75419999999999998</v>
      </c>
      <c r="BT225" s="39">
        <v>56.1</v>
      </c>
      <c r="BV225" s="40">
        <v>754</v>
      </c>
      <c r="BW225" s="34">
        <v>0.82989999999999997</v>
      </c>
      <c r="BX225" s="41">
        <v>0.74099999999999999</v>
      </c>
      <c r="BY225" s="55"/>
    </row>
    <row r="226" spans="27:77">
      <c r="AA226" s="27"/>
      <c r="BF226" s="30">
        <v>10.5</v>
      </c>
      <c r="BG226" s="31">
        <v>0.99650000000000005</v>
      </c>
      <c r="BH226" s="32">
        <v>995.9</v>
      </c>
      <c r="BJ226" s="30">
        <v>10.5</v>
      </c>
      <c r="BK226" s="34">
        <v>3.7048000000000001</v>
      </c>
      <c r="BL226" s="35">
        <v>0.15559999999999999</v>
      </c>
      <c r="BM226" s="36"/>
      <c r="BN226" s="30">
        <v>10.5</v>
      </c>
      <c r="BO226" s="34">
        <v>3.7643</v>
      </c>
      <c r="BP226" s="35">
        <v>0.15809999999999999</v>
      </c>
      <c r="BR226" s="37">
        <v>755</v>
      </c>
      <c r="BS226" s="38">
        <v>0.75519999999999998</v>
      </c>
      <c r="BT226" s="39">
        <v>55.86</v>
      </c>
      <c r="BV226" s="40">
        <v>755</v>
      </c>
      <c r="BW226" s="34">
        <v>0.83099999999999996</v>
      </c>
      <c r="BX226" s="41">
        <v>0.74199999999999999</v>
      </c>
      <c r="BY226" s="55"/>
    </row>
    <row r="227" spans="27:77">
      <c r="AA227" s="27"/>
      <c r="BF227" s="30">
        <v>10.6</v>
      </c>
      <c r="BG227" s="31">
        <v>0.99580000000000002</v>
      </c>
      <c r="BH227" s="32">
        <v>995.2</v>
      </c>
      <c r="BJ227" s="30">
        <v>10.6</v>
      </c>
      <c r="BK227" s="34">
        <v>3.7021999999999999</v>
      </c>
      <c r="BL227" s="35">
        <v>0.15548999999999999</v>
      </c>
      <c r="BM227" s="36"/>
      <c r="BN227" s="30">
        <v>10.6</v>
      </c>
      <c r="BO227" s="34">
        <v>3.7616000000000001</v>
      </c>
      <c r="BP227" s="35">
        <v>0.15798999999999999</v>
      </c>
      <c r="BR227" s="37">
        <v>756</v>
      </c>
      <c r="BS227" s="38">
        <v>0.75619999999999998</v>
      </c>
      <c r="BT227" s="39">
        <v>55.61</v>
      </c>
      <c r="BV227" s="40">
        <v>756</v>
      </c>
      <c r="BW227" s="34">
        <v>0.83209999999999995</v>
      </c>
      <c r="BX227" s="41">
        <v>0.74299999999999999</v>
      </c>
      <c r="BY227" s="55"/>
    </row>
    <row r="228" spans="27:77">
      <c r="AA228" s="27"/>
      <c r="BF228" s="30">
        <v>10.7</v>
      </c>
      <c r="BG228" s="31">
        <v>0.99509999999999998</v>
      </c>
      <c r="BH228" s="32">
        <v>994.5</v>
      </c>
      <c r="BJ228" s="30">
        <v>10.7</v>
      </c>
      <c r="BK228" s="34">
        <v>3.6996000000000002</v>
      </c>
      <c r="BL228" s="35">
        <v>0.15537999999999999</v>
      </c>
      <c r="BM228" s="36"/>
      <c r="BN228" s="30">
        <v>10.7</v>
      </c>
      <c r="BO228" s="34">
        <v>3.7589999999999999</v>
      </c>
      <c r="BP228" s="35">
        <v>0.15787999999999999</v>
      </c>
      <c r="BR228" s="37">
        <v>757</v>
      </c>
      <c r="BS228" s="38">
        <v>0.75729999999999997</v>
      </c>
      <c r="BT228" s="39">
        <v>55.36</v>
      </c>
      <c r="BV228" s="40">
        <v>757</v>
      </c>
      <c r="BW228" s="34">
        <v>0.83320000000000005</v>
      </c>
      <c r="BX228" s="41">
        <v>0.74399999999999999</v>
      </c>
      <c r="BY228" s="55"/>
    </row>
    <row r="229" spans="27:77">
      <c r="AA229" s="27"/>
      <c r="BF229" s="30">
        <v>10.8</v>
      </c>
      <c r="BG229" s="31">
        <v>0.99439999999999995</v>
      </c>
      <c r="BH229" s="32">
        <v>993.8</v>
      </c>
      <c r="BJ229" s="30">
        <v>10.8</v>
      </c>
      <c r="BK229" s="34">
        <v>3.6970000000000001</v>
      </c>
      <c r="BL229" s="35">
        <v>0.15526999999999999</v>
      </c>
      <c r="BM229" s="36"/>
      <c r="BN229" s="30">
        <v>10.8</v>
      </c>
      <c r="BO229" s="34">
        <v>3.7563</v>
      </c>
      <c r="BP229" s="35">
        <v>0.15776999999999999</v>
      </c>
      <c r="BR229" s="37">
        <v>758</v>
      </c>
      <c r="BS229" s="38">
        <v>0.75829999999999997</v>
      </c>
      <c r="BT229" s="39">
        <v>55.11</v>
      </c>
      <c r="BV229" s="40">
        <v>758</v>
      </c>
      <c r="BW229" s="34">
        <v>0.83430000000000004</v>
      </c>
      <c r="BX229" s="41">
        <v>0.74490000000000001</v>
      </c>
      <c r="BY229" s="55"/>
    </row>
    <row r="230" spans="27:77">
      <c r="AA230" s="27"/>
      <c r="BF230" s="30">
        <v>10.9</v>
      </c>
      <c r="BG230" s="31">
        <v>0.99370000000000003</v>
      </c>
      <c r="BH230" s="32">
        <v>993.1</v>
      </c>
      <c r="BJ230" s="30">
        <v>10.9</v>
      </c>
      <c r="BK230" s="34">
        <v>3.6943999999999999</v>
      </c>
      <c r="BL230" s="35">
        <v>0.15517</v>
      </c>
      <c r="BM230" s="36"/>
      <c r="BN230" s="30">
        <v>10.9</v>
      </c>
      <c r="BO230" s="34">
        <v>3.7536999999999998</v>
      </c>
      <c r="BP230" s="35">
        <v>0.15765999999999999</v>
      </c>
      <c r="BR230" s="37">
        <v>759</v>
      </c>
      <c r="BS230" s="38">
        <v>0.75929999999999997</v>
      </c>
      <c r="BT230" s="39">
        <v>54.87</v>
      </c>
      <c r="BV230" s="40">
        <v>759</v>
      </c>
      <c r="BW230" s="34">
        <v>0.83540000000000003</v>
      </c>
      <c r="BX230" s="41">
        <v>0.74590000000000001</v>
      </c>
      <c r="BY230" s="55"/>
    </row>
    <row r="231" spans="27:77">
      <c r="AA231" s="27"/>
      <c r="BF231" s="30">
        <v>11</v>
      </c>
      <c r="BG231" s="31">
        <v>0.99299999999999999</v>
      </c>
      <c r="BH231" s="32">
        <v>992.4</v>
      </c>
      <c r="BJ231" s="30">
        <v>11</v>
      </c>
      <c r="BK231" s="34">
        <v>3.6918000000000002</v>
      </c>
      <c r="BL231" s="35">
        <v>0.15506</v>
      </c>
      <c r="BM231" s="36"/>
      <c r="BN231" s="30">
        <v>11</v>
      </c>
      <c r="BO231" s="34">
        <v>3.7511000000000001</v>
      </c>
      <c r="BP231" s="35">
        <v>0.15754000000000001</v>
      </c>
      <c r="BR231" s="37">
        <v>760</v>
      </c>
      <c r="BS231" s="38">
        <v>0.76029999999999998</v>
      </c>
      <c r="BT231" s="39">
        <v>54.62</v>
      </c>
      <c r="BV231" s="40">
        <v>760</v>
      </c>
      <c r="BW231" s="34">
        <v>0.83650000000000002</v>
      </c>
      <c r="BX231" s="41">
        <v>0.74690000000000001</v>
      </c>
      <c r="BY231" s="55"/>
    </row>
    <row r="232" spans="27:77">
      <c r="AA232" s="27"/>
      <c r="BF232" s="30">
        <v>11.1</v>
      </c>
      <c r="BG232" s="31">
        <v>0.99229999999999996</v>
      </c>
      <c r="BH232" s="32">
        <v>991.7</v>
      </c>
      <c r="BJ232" s="30">
        <v>11.1</v>
      </c>
      <c r="BK232" s="34">
        <v>3.6892</v>
      </c>
      <c r="BL232" s="35">
        <v>0.15495</v>
      </c>
      <c r="BM232" s="36"/>
      <c r="BN232" s="30">
        <v>11.1</v>
      </c>
      <c r="BO232" s="34">
        <v>3.7484000000000002</v>
      </c>
      <c r="BP232" s="35">
        <v>0.15742999999999999</v>
      </c>
      <c r="BR232" s="37">
        <v>761</v>
      </c>
      <c r="BS232" s="38">
        <v>0.76129999999999998</v>
      </c>
      <c r="BT232" s="39">
        <v>54.38</v>
      </c>
      <c r="BV232" s="40">
        <v>761</v>
      </c>
      <c r="BW232" s="34">
        <v>0.83760000000000001</v>
      </c>
      <c r="BX232" s="41">
        <v>0.74790000000000001</v>
      </c>
      <c r="BY232" s="55"/>
    </row>
    <row r="233" spans="27:77">
      <c r="AA233" s="27"/>
      <c r="BF233" s="30">
        <v>11.2</v>
      </c>
      <c r="BG233" s="31">
        <v>0.99160000000000004</v>
      </c>
      <c r="BH233" s="32">
        <v>991</v>
      </c>
      <c r="BJ233" s="30">
        <v>11.2</v>
      </c>
      <c r="BK233" s="34">
        <v>3.6865999999999999</v>
      </c>
      <c r="BL233" s="35">
        <v>0.15484000000000001</v>
      </c>
      <c r="BM233" s="36"/>
      <c r="BN233" s="30">
        <v>11.2</v>
      </c>
      <c r="BO233" s="34">
        <v>3.7458</v>
      </c>
      <c r="BP233" s="35">
        <v>0.15731999999999999</v>
      </c>
      <c r="BR233" s="37">
        <v>762</v>
      </c>
      <c r="BS233" s="38">
        <v>0.76229999999999998</v>
      </c>
      <c r="BT233" s="39">
        <v>54.13</v>
      </c>
      <c r="BV233" s="40">
        <v>762</v>
      </c>
      <c r="BW233" s="34">
        <v>0.8387</v>
      </c>
      <c r="BX233" s="41">
        <v>0.74890000000000001</v>
      </c>
      <c r="BY233" s="55"/>
    </row>
    <row r="234" spans="27:77">
      <c r="AA234" s="27"/>
      <c r="BF234" s="30">
        <v>11.3</v>
      </c>
      <c r="BG234" s="31">
        <v>0.9909</v>
      </c>
      <c r="BH234" s="32">
        <v>990.3</v>
      </c>
      <c r="BJ234" s="30">
        <v>11.3</v>
      </c>
      <c r="BK234" s="34">
        <v>3.6840999999999999</v>
      </c>
      <c r="BL234" s="35">
        <v>0.15473000000000001</v>
      </c>
      <c r="BM234" s="36"/>
      <c r="BN234" s="30">
        <v>11.3</v>
      </c>
      <c r="BO234" s="34">
        <v>3.7431999999999999</v>
      </c>
      <c r="BP234" s="35">
        <v>0.15720999999999999</v>
      </c>
      <c r="BR234" s="37">
        <v>763</v>
      </c>
      <c r="BS234" s="38">
        <v>0.76329999999999998</v>
      </c>
      <c r="BT234" s="39">
        <v>53.89</v>
      </c>
      <c r="BV234" s="40">
        <v>763</v>
      </c>
      <c r="BW234" s="34">
        <v>0.83979999999999999</v>
      </c>
      <c r="BX234" s="41">
        <v>0.74990000000000001</v>
      </c>
      <c r="BY234" s="55"/>
    </row>
    <row r="235" spans="27:77">
      <c r="AA235" s="27"/>
      <c r="BF235" s="30">
        <v>11.4</v>
      </c>
      <c r="BG235" s="31">
        <v>0.99019999999999997</v>
      </c>
      <c r="BH235" s="32">
        <v>989.6</v>
      </c>
      <c r="BJ235" s="30">
        <v>11.4</v>
      </c>
      <c r="BK235" s="34">
        <v>3.6815000000000002</v>
      </c>
      <c r="BL235" s="35">
        <v>0.15462000000000001</v>
      </c>
      <c r="BM235" s="36"/>
      <c r="BN235" s="30">
        <v>11.4</v>
      </c>
      <c r="BO235" s="34">
        <v>3.7406000000000001</v>
      </c>
      <c r="BP235" s="35">
        <v>0.15709999999999999</v>
      </c>
      <c r="BR235" s="37">
        <v>764</v>
      </c>
      <c r="BS235" s="38">
        <v>0.76429999999999998</v>
      </c>
      <c r="BT235" s="39">
        <v>53.65</v>
      </c>
      <c r="BV235" s="40">
        <v>764</v>
      </c>
      <c r="BW235" s="34">
        <v>0.84089999999999998</v>
      </c>
      <c r="BX235" s="41">
        <v>0.75080000000000002</v>
      </c>
      <c r="BY235" s="55"/>
    </row>
    <row r="236" spans="27:77">
      <c r="AA236" s="27"/>
      <c r="BF236" s="30">
        <v>11.5</v>
      </c>
      <c r="BG236" s="31">
        <v>0.98950000000000005</v>
      </c>
      <c r="BH236" s="32">
        <v>988.9</v>
      </c>
      <c r="BJ236" s="30">
        <v>11.5</v>
      </c>
      <c r="BK236" s="34">
        <v>3.6789000000000001</v>
      </c>
      <c r="BL236" s="35">
        <v>0.15451000000000001</v>
      </c>
      <c r="BM236" s="36"/>
      <c r="BN236" s="30">
        <v>11.5</v>
      </c>
      <c r="BO236" s="34">
        <v>3.7378999999999998</v>
      </c>
      <c r="BP236" s="35">
        <v>0.15698999999999999</v>
      </c>
      <c r="BR236" s="37">
        <v>765</v>
      </c>
      <c r="BS236" s="38">
        <v>0.76529999999999998</v>
      </c>
      <c r="BT236" s="39">
        <v>53.4</v>
      </c>
      <c r="BV236" s="40">
        <v>765</v>
      </c>
      <c r="BW236" s="34">
        <v>0.84209999999999996</v>
      </c>
      <c r="BX236" s="41">
        <v>0.75180000000000002</v>
      </c>
      <c r="BY236" s="55"/>
    </row>
    <row r="237" spans="27:77">
      <c r="AA237" s="27"/>
      <c r="BF237" s="30">
        <v>11.6</v>
      </c>
      <c r="BG237" s="31">
        <v>0.98880000000000001</v>
      </c>
      <c r="BH237" s="32">
        <v>988.2</v>
      </c>
      <c r="BJ237" s="30">
        <v>11.6</v>
      </c>
      <c r="BK237" s="34">
        <v>3.6762999999999999</v>
      </c>
      <c r="BL237" s="35">
        <v>0.15440999999999999</v>
      </c>
      <c r="BM237" s="36"/>
      <c r="BN237" s="30">
        <v>11.6</v>
      </c>
      <c r="BO237" s="34">
        <v>3.7353000000000001</v>
      </c>
      <c r="BP237" s="35">
        <v>0.15687999999999999</v>
      </c>
      <c r="BR237" s="37">
        <v>766</v>
      </c>
      <c r="BS237" s="38">
        <v>0.76629999999999998</v>
      </c>
      <c r="BT237" s="39">
        <v>53.16</v>
      </c>
      <c r="BV237" s="40">
        <v>766</v>
      </c>
      <c r="BW237" s="34">
        <v>0.84319999999999995</v>
      </c>
      <c r="BX237" s="41">
        <v>0.75280000000000002</v>
      </c>
      <c r="BY237" s="55"/>
    </row>
    <row r="238" spans="27:77">
      <c r="AA238" s="27"/>
      <c r="BF238" s="30">
        <v>11.7</v>
      </c>
      <c r="BG238" s="31">
        <v>0.98809999999999998</v>
      </c>
      <c r="BH238" s="32">
        <v>987.5</v>
      </c>
      <c r="BJ238" s="30">
        <v>11.7</v>
      </c>
      <c r="BK238" s="34">
        <v>3.6738</v>
      </c>
      <c r="BL238" s="35">
        <v>0.15429999999999999</v>
      </c>
      <c r="BM238" s="36"/>
      <c r="BN238" s="30">
        <v>11.7</v>
      </c>
      <c r="BO238" s="34">
        <v>3.7326999999999999</v>
      </c>
      <c r="BP238" s="35">
        <v>0.15676999999999999</v>
      </c>
      <c r="BR238" s="37">
        <v>767</v>
      </c>
      <c r="BS238" s="38">
        <v>0.76729999999999998</v>
      </c>
      <c r="BT238" s="39">
        <v>52.92</v>
      </c>
      <c r="BV238" s="40">
        <v>767</v>
      </c>
      <c r="BW238" s="34">
        <v>0.84430000000000005</v>
      </c>
      <c r="BX238" s="41">
        <v>0.75380000000000003</v>
      </c>
      <c r="BY238" s="55"/>
    </row>
    <row r="239" spans="27:77">
      <c r="AA239" s="27"/>
      <c r="BF239" s="30">
        <v>11.8</v>
      </c>
      <c r="BG239" s="31">
        <v>0.98740000000000006</v>
      </c>
      <c r="BH239" s="32">
        <v>986.8</v>
      </c>
      <c r="BJ239" s="30">
        <v>11.8</v>
      </c>
      <c r="BK239" s="34">
        <v>3.6711999999999998</v>
      </c>
      <c r="BL239" s="35">
        <v>0.15418999999999999</v>
      </c>
      <c r="BM239" s="36"/>
      <c r="BN239" s="30">
        <v>11.8</v>
      </c>
      <c r="BO239" s="34">
        <v>3.7301000000000002</v>
      </c>
      <c r="BP239" s="35">
        <v>0.15665999999999999</v>
      </c>
      <c r="BR239" s="37">
        <v>768</v>
      </c>
      <c r="BS239" s="38">
        <v>0.76829999999999998</v>
      </c>
      <c r="BT239" s="39">
        <v>52.68</v>
      </c>
      <c r="BV239" s="40">
        <v>768</v>
      </c>
      <c r="BW239" s="34">
        <v>0.84540000000000004</v>
      </c>
      <c r="BX239" s="41">
        <v>0.75480000000000003</v>
      </c>
      <c r="BY239" s="55"/>
    </row>
    <row r="240" spans="27:77">
      <c r="AA240" s="27"/>
      <c r="BF240" s="30">
        <v>11.9</v>
      </c>
      <c r="BG240" s="31">
        <v>0.98680000000000001</v>
      </c>
      <c r="BH240" s="32">
        <v>986.2</v>
      </c>
      <c r="BJ240" s="30">
        <v>11.9</v>
      </c>
      <c r="BK240" s="34">
        <v>3.6686000000000001</v>
      </c>
      <c r="BL240" s="35">
        <v>0.15407999999999999</v>
      </c>
      <c r="BM240" s="36"/>
      <c r="BN240" s="30">
        <v>11.9</v>
      </c>
      <c r="BO240" s="34">
        <v>3.7275</v>
      </c>
      <c r="BP240" s="35">
        <v>0.15654999999999999</v>
      </c>
      <c r="BR240" s="37">
        <v>769</v>
      </c>
      <c r="BS240" s="38">
        <v>0.76929999999999998</v>
      </c>
      <c r="BT240" s="39">
        <v>52.44</v>
      </c>
      <c r="BV240" s="40">
        <v>769</v>
      </c>
      <c r="BW240" s="34">
        <v>0.84650000000000003</v>
      </c>
      <c r="BX240" s="41">
        <v>0.75580000000000003</v>
      </c>
      <c r="BY240" s="55"/>
    </row>
    <row r="241" spans="27:77">
      <c r="AA241" s="27"/>
      <c r="BF241" s="30">
        <v>12</v>
      </c>
      <c r="BG241" s="31">
        <v>0.98609999999999998</v>
      </c>
      <c r="BH241" s="32">
        <v>985.5</v>
      </c>
      <c r="BJ241" s="30">
        <v>12</v>
      </c>
      <c r="BK241" s="34">
        <v>3.6661000000000001</v>
      </c>
      <c r="BL241" s="35">
        <v>0.15397</v>
      </c>
      <c r="BM241" s="36"/>
      <c r="BN241" s="30">
        <v>12</v>
      </c>
      <c r="BO241" s="34">
        <v>3.7248999999999999</v>
      </c>
      <c r="BP241" s="35">
        <v>0.15645000000000001</v>
      </c>
      <c r="BR241" s="37">
        <v>770</v>
      </c>
      <c r="BS241" s="38">
        <v>0.77029999999999998</v>
      </c>
      <c r="BT241" s="39">
        <v>52.2</v>
      </c>
      <c r="BV241" s="40">
        <v>770</v>
      </c>
      <c r="BW241" s="34">
        <v>0.84760000000000002</v>
      </c>
      <c r="BX241" s="41">
        <v>0.75680000000000003</v>
      </c>
      <c r="BY241" s="55"/>
    </row>
    <row r="242" spans="27:77">
      <c r="AA242" s="27"/>
      <c r="BF242" s="30">
        <v>12.1</v>
      </c>
      <c r="BG242" s="31">
        <v>0.98540000000000005</v>
      </c>
      <c r="BH242" s="32">
        <v>984.8</v>
      </c>
      <c r="BJ242" s="30">
        <v>12.1</v>
      </c>
      <c r="BK242" s="34">
        <v>3.6635</v>
      </c>
      <c r="BL242" s="35">
        <v>0.15387000000000001</v>
      </c>
      <c r="BM242" s="36"/>
      <c r="BN242" s="30">
        <v>12.1</v>
      </c>
      <c r="BO242" s="34">
        <v>3.7223000000000002</v>
      </c>
      <c r="BP242" s="35">
        <v>0.15634000000000001</v>
      </c>
      <c r="BR242" s="37">
        <v>771</v>
      </c>
      <c r="BS242" s="38">
        <v>0.77129999999999999</v>
      </c>
      <c r="BT242" s="39">
        <v>51.96</v>
      </c>
      <c r="BV242" s="40">
        <v>771</v>
      </c>
      <c r="BW242" s="34">
        <v>0.84870000000000001</v>
      </c>
      <c r="BX242" s="41">
        <v>0.75770000000000004</v>
      </c>
      <c r="BY242" s="55"/>
    </row>
    <row r="243" spans="27:77">
      <c r="AA243" s="27"/>
      <c r="BF243" s="30">
        <v>12.2</v>
      </c>
      <c r="BG243" s="31">
        <v>0.98470000000000002</v>
      </c>
      <c r="BH243" s="32">
        <v>984.1</v>
      </c>
      <c r="BJ243" s="30">
        <v>12.2</v>
      </c>
      <c r="BK243" s="34">
        <v>3.661</v>
      </c>
      <c r="BL243" s="35">
        <v>0.15376000000000001</v>
      </c>
      <c r="BM243" s="36"/>
      <c r="BN243" s="30">
        <v>12.2</v>
      </c>
      <c r="BO243" s="34">
        <v>3.7197</v>
      </c>
      <c r="BP243" s="35">
        <v>0.15623000000000001</v>
      </c>
      <c r="BR243" s="37">
        <v>772</v>
      </c>
      <c r="BS243" s="38">
        <v>0.77229999999999999</v>
      </c>
      <c r="BT243" s="39">
        <v>51.72</v>
      </c>
      <c r="BV243" s="40">
        <v>772</v>
      </c>
      <c r="BW243" s="34">
        <v>0.8498</v>
      </c>
      <c r="BX243" s="41">
        <v>0.75870000000000004</v>
      </c>
      <c r="BY243" s="55"/>
    </row>
    <row r="244" spans="27:77">
      <c r="AA244" s="27"/>
      <c r="BF244" s="30">
        <v>12.3</v>
      </c>
      <c r="BG244" s="31">
        <v>0.98399999999999999</v>
      </c>
      <c r="BH244" s="32">
        <v>983.4</v>
      </c>
      <c r="BJ244" s="30">
        <v>12.3</v>
      </c>
      <c r="BK244" s="34">
        <v>3.6583999999999999</v>
      </c>
      <c r="BL244" s="35">
        <v>0.15365000000000001</v>
      </c>
      <c r="BM244" s="36"/>
      <c r="BN244" s="30">
        <v>12.3</v>
      </c>
      <c r="BO244" s="34">
        <v>3.7170999999999998</v>
      </c>
      <c r="BP244" s="35">
        <v>0.15612000000000001</v>
      </c>
      <c r="BR244" s="37">
        <v>773</v>
      </c>
      <c r="BS244" s="38">
        <v>0.77329999999999999</v>
      </c>
      <c r="BT244" s="39">
        <v>51.49</v>
      </c>
      <c r="BV244" s="40">
        <v>773</v>
      </c>
      <c r="BW244" s="34">
        <v>0.85089999999999999</v>
      </c>
      <c r="BX244" s="41">
        <v>0.75970000000000004</v>
      </c>
      <c r="BY244" s="55"/>
    </row>
    <row r="245" spans="27:77">
      <c r="AA245" s="27"/>
      <c r="BF245" s="30">
        <v>12.4</v>
      </c>
      <c r="BG245" s="31">
        <v>0.98329999999999995</v>
      </c>
      <c r="BH245" s="32">
        <v>982.7</v>
      </c>
      <c r="BJ245" s="30">
        <v>12.4</v>
      </c>
      <c r="BK245" s="34">
        <v>3.6558999999999999</v>
      </c>
      <c r="BL245" s="35">
        <v>0.15354999999999999</v>
      </c>
      <c r="BM245" s="36"/>
      <c r="BN245" s="30">
        <v>12.4</v>
      </c>
      <c r="BO245" s="34">
        <v>3.7145000000000001</v>
      </c>
      <c r="BP245" s="35">
        <v>0.15601000000000001</v>
      </c>
      <c r="BR245" s="37">
        <v>774</v>
      </c>
      <c r="BS245" s="38">
        <v>0.77429999999999999</v>
      </c>
      <c r="BT245" s="39">
        <v>51.25</v>
      </c>
      <c r="BV245" s="40">
        <v>774</v>
      </c>
      <c r="BW245" s="34">
        <v>0.85199999999999998</v>
      </c>
      <c r="BX245" s="41">
        <v>0.76070000000000004</v>
      </c>
      <c r="BY245" s="55"/>
    </row>
    <row r="246" spans="27:77">
      <c r="AA246" s="27"/>
      <c r="BF246" s="30">
        <v>12.5</v>
      </c>
      <c r="BG246" s="31">
        <v>0.98260000000000003</v>
      </c>
      <c r="BH246" s="32">
        <v>982</v>
      </c>
      <c r="BJ246" s="30">
        <v>12.5</v>
      </c>
      <c r="BK246" s="34">
        <v>3.6533000000000002</v>
      </c>
      <c r="BL246" s="35">
        <v>0.15343999999999999</v>
      </c>
      <c r="BM246" s="36"/>
      <c r="BN246" s="30">
        <v>12.5</v>
      </c>
      <c r="BO246" s="34">
        <v>3.7119</v>
      </c>
      <c r="BP246" s="35">
        <v>0.15590000000000001</v>
      </c>
      <c r="BR246" s="37">
        <v>775</v>
      </c>
      <c r="BS246" s="38">
        <v>0.77529999999999999</v>
      </c>
      <c r="BT246" s="39">
        <v>51.01</v>
      </c>
      <c r="BV246" s="40">
        <v>775</v>
      </c>
      <c r="BW246" s="34">
        <v>0.85309999999999997</v>
      </c>
      <c r="BX246" s="41">
        <v>0.76170000000000004</v>
      </c>
      <c r="BY246" s="55"/>
    </row>
    <row r="247" spans="27:77">
      <c r="AA247" s="27"/>
      <c r="BF247" s="30">
        <v>12.6</v>
      </c>
      <c r="BG247" s="31">
        <v>0.98199999999999998</v>
      </c>
      <c r="BH247" s="32">
        <v>981.4</v>
      </c>
      <c r="BJ247" s="30">
        <v>12.6</v>
      </c>
      <c r="BK247" s="34">
        <v>3.6507999999999998</v>
      </c>
      <c r="BL247" s="35">
        <v>0.15332999999999999</v>
      </c>
      <c r="BM247" s="36"/>
      <c r="BN247" s="30">
        <v>12.6</v>
      </c>
      <c r="BO247" s="34">
        <v>3.7094</v>
      </c>
      <c r="BP247" s="35">
        <v>0.15579000000000001</v>
      </c>
      <c r="BR247" s="37">
        <v>776</v>
      </c>
      <c r="BS247" s="38">
        <v>0.77629999999999999</v>
      </c>
      <c r="BT247" s="39">
        <v>50.78</v>
      </c>
      <c r="BV247" s="40">
        <v>776</v>
      </c>
      <c r="BW247" s="34">
        <v>0.85419999999999996</v>
      </c>
      <c r="BX247" s="41">
        <v>0.76270000000000004</v>
      </c>
      <c r="BY247" s="55"/>
    </row>
    <row r="248" spans="27:77">
      <c r="AA248" s="27"/>
      <c r="BF248" s="30">
        <v>12.7</v>
      </c>
      <c r="BG248" s="31">
        <v>0.98129999999999995</v>
      </c>
      <c r="BH248" s="32">
        <v>980.7</v>
      </c>
      <c r="BJ248" s="30">
        <v>12.7</v>
      </c>
      <c r="BK248" s="34">
        <v>3.6482999999999999</v>
      </c>
      <c r="BL248" s="35">
        <v>0.15323000000000001</v>
      </c>
      <c r="BM248" s="36"/>
      <c r="BN248" s="30">
        <v>12.7</v>
      </c>
      <c r="BO248" s="34">
        <v>3.7067999999999999</v>
      </c>
      <c r="BP248" s="35">
        <v>0.15569</v>
      </c>
      <c r="BR248" s="37">
        <v>777</v>
      </c>
      <c r="BS248" s="38">
        <v>0.77729999999999999</v>
      </c>
      <c r="BT248" s="39">
        <v>50.54</v>
      </c>
      <c r="BV248" s="40">
        <v>777</v>
      </c>
      <c r="BW248" s="34">
        <v>0.85529999999999995</v>
      </c>
      <c r="BX248" s="41">
        <v>0.76359999999999995</v>
      </c>
      <c r="BY248" s="55"/>
    </row>
    <row r="249" spans="27:77">
      <c r="AA249" s="27"/>
      <c r="BF249" s="30">
        <v>12.8</v>
      </c>
      <c r="BG249" s="31">
        <v>0.98060000000000003</v>
      </c>
      <c r="BH249" s="32">
        <v>980</v>
      </c>
      <c r="BJ249" s="30">
        <v>12.8</v>
      </c>
      <c r="BK249" s="34">
        <v>3.6457000000000002</v>
      </c>
      <c r="BL249" s="35">
        <v>0.15312000000000001</v>
      </c>
      <c r="BM249" s="36"/>
      <c r="BN249" s="30">
        <v>12.8</v>
      </c>
      <c r="BO249" s="34">
        <v>3.7042000000000002</v>
      </c>
      <c r="BP249" s="35">
        <v>0.15558</v>
      </c>
      <c r="BR249" s="37">
        <v>778</v>
      </c>
      <c r="BS249" s="38">
        <v>0.77829999999999999</v>
      </c>
      <c r="BT249" s="39">
        <v>50.3</v>
      </c>
      <c r="BV249" s="40">
        <v>778</v>
      </c>
      <c r="BW249" s="34">
        <v>0.85640000000000005</v>
      </c>
      <c r="BX249" s="41">
        <v>0.76459999999999995</v>
      </c>
      <c r="BY249" s="55"/>
    </row>
    <row r="250" spans="27:77">
      <c r="AA250" s="27"/>
      <c r="BF250" s="30">
        <v>12.9</v>
      </c>
      <c r="BG250" s="31">
        <v>0.97989999999999999</v>
      </c>
      <c r="BH250" s="32">
        <v>979.3</v>
      </c>
      <c r="BJ250" s="30">
        <v>12.9</v>
      </c>
      <c r="BK250" s="34">
        <v>3.6432000000000002</v>
      </c>
      <c r="BL250" s="35">
        <v>0.15301000000000001</v>
      </c>
      <c r="BM250" s="36"/>
      <c r="BN250" s="30">
        <v>12.9</v>
      </c>
      <c r="BO250" s="34">
        <v>3.7017000000000002</v>
      </c>
      <c r="BP250" s="35">
        <v>0.15547</v>
      </c>
      <c r="BR250" s="37">
        <v>779</v>
      </c>
      <c r="BS250" s="38">
        <v>0.77929999999999999</v>
      </c>
      <c r="BT250" s="39">
        <v>50.07</v>
      </c>
      <c r="BV250" s="40">
        <v>779</v>
      </c>
      <c r="BW250" s="34">
        <v>0.85750000000000004</v>
      </c>
      <c r="BX250" s="41">
        <v>0.76559999999999995</v>
      </c>
      <c r="BY250" s="55"/>
    </row>
    <row r="251" spans="27:77">
      <c r="AA251" s="27"/>
      <c r="BF251" s="30">
        <v>13</v>
      </c>
      <c r="BG251" s="31">
        <v>0.97919999999999996</v>
      </c>
      <c r="BH251" s="32">
        <v>978.6</v>
      </c>
      <c r="BJ251" s="30">
        <v>13</v>
      </c>
      <c r="BK251" s="34">
        <v>3.6406999999999998</v>
      </c>
      <c r="BL251" s="35">
        <v>0.15290999999999999</v>
      </c>
      <c r="BM251" s="36"/>
      <c r="BN251" s="30">
        <v>13</v>
      </c>
      <c r="BO251" s="34">
        <v>3.6991000000000001</v>
      </c>
      <c r="BP251" s="35">
        <v>0.15536</v>
      </c>
      <c r="BR251" s="37">
        <v>780</v>
      </c>
      <c r="BS251" s="38">
        <v>0.78029999999999999</v>
      </c>
      <c r="BT251" s="39">
        <v>49.84</v>
      </c>
      <c r="BV251" s="40">
        <v>780</v>
      </c>
      <c r="BW251" s="34">
        <v>0.85860000000000003</v>
      </c>
      <c r="BX251" s="41">
        <v>0.76659999999999995</v>
      </c>
      <c r="BY251" s="55"/>
    </row>
    <row r="252" spans="27:77">
      <c r="AA252" s="27"/>
      <c r="BF252" s="30">
        <v>13.1</v>
      </c>
      <c r="BG252" s="31">
        <v>0.97860000000000003</v>
      </c>
      <c r="BH252" s="32">
        <v>978</v>
      </c>
      <c r="BJ252" s="30">
        <v>13.1</v>
      </c>
      <c r="BK252" s="34">
        <v>3.6381000000000001</v>
      </c>
      <c r="BL252" s="35">
        <v>0.15279999999999999</v>
      </c>
      <c r="BM252" s="36"/>
      <c r="BN252" s="30">
        <v>13.1</v>
      </c>
      <c r="BO252" s="34">
        <v>3.6964999999999999</v>
      </c>
      <c r="BP252" s="35">
        <v>0.15525</v>
      </c>
      <c r="BR252" s="37">
        <v>781</v>
      </c>
      <c r="BS252" s="38">
        <v>0.78129999999999999</v>
      </c>
      <c r="BT252" s="39">
        <v>49.6</v>
      </c>
      <c r="BV252" s="40">
        <v>781</v>
      </c>
      <c r="BW252" s="34">
        <v>0.85970000000000002</v>
      </c>
      <c r="BX252" s="41">
        <v>0.76759999999999995</v>
      </c>
      <c r="BY252" s="55"/>
    </row>
    <row r="253" spans="27:77">
      <c r="AA253" s="27"/>
      <c r="BF253" s="30">
        <v>13.2</v>
      </c>
      <c r="BG253" s="31">
        <v>0.97789999999999999</v>
      </c>
      <c r="BH253" s="32">
        <v>977.3</v>
      </c>
      <c r="BJ253" s="30">
        <v>13.2</v>
      </c>
      <c r="BK253" s="34">
        <v>3.6356000000000002</v>
      </c>
      <c r="BL253" s="35">
        <v>0.1527</v>
      </c>
      <c r="BM253" s="36"/>
      <c r="BN253" s="30">
        <v>13.2</v>
      </c>
      <c r="BO253" s="34">
        <v>3.694</v>
      </c>
      <c r="BP253" s="35">
        <v>0.15515000000000001</v>
      </c>
      <c r="BR253" s="37">
        <v>782</v>
      </c>
      <c r="BS253" s="38">
        <v>0.7823</v>
      </c>
      <c r="BT253" s="39">
        <v>49.37</v>
      </c>
      <c r="BV253" s="40">
        <v>782</v>
      </c>
      <c r="BW253" s="34">
        <v>0.86080000000000001</v>
      </c>
      <c r="BX253" s="41">
        <v>0.76859999999999995</v>
      </c>
      <c r="BY253" s="55"/>
    </row>
    <row r="254" spans="27:77">
      <c r="AA254" s="27"/>
      <c r="BF254" s="30">
        <v>13.3</v>
      </c>
      <c r="BG254" s="31">
        <v>0.97719999999999996</v>
      </c>
      <c r="BH254" s="32">
        <v>976.6</v>
      </c>
      <c r="BJ254" s="30">
        <v>13.3</v>
      </c>
      <c r="BK254" s="34">
        <v>3.6331000000000002</v>
      </c>
      <c r="BL254" s="35">
        <v>0.15259</v>
      </c>
      <c r="BM254" s="36"/>
      <c r="BN254" s="30">
        <v>13.3</v>
      </c>
      <c r="BO254" s="34">
        <v>3.6913999999999998</v>
      </c>
      <c r="BP254" s="35">
        <v>0.15504000000000001</v>
      </c>
      <c r="BR254" s="37">
        <v>783</v>
      </c>
      <c r="BS254" s="38">
        <v>0.7833</v>
      </c>
      <c r="BT254" s="39">
        <v>49.14</v>
      </c>
      <c r="BV254" s="40">
        <v>783</v>
      </c>
      <c r="BW254" s="34">
        <v>0.8619</v>
      </c>
      <c r="BX254" s="41">
        <v>0.76949999999999996</v>
      </c>
      <c r="BY254" s="55"/>
    </row>
    <row r="255" spans="27:77">
      <c r="AA255" s="27"/>
      <c r="BF255" s="30">
        <v>13.4</v>
      </c>
      <c r="BG255" s="31">
        <v>0.97650000000000003</v>
      </c>
      <c r="BH255" s="32">
        <v>975.9</v>
      </c>
      <c r="BJ255" s="30">
        <v>13.4</v>
      </c>
      <c r="BK255" s="34">
        <v>3.6305999999999998</v>
      </c>
      <c r="BL255" s="35">
        <v>0.15248999999999999</v>
      </c>
      <c r="BM255" s="36"/>
      <c r="BN255" s="30">
        <v>13.4</v>
      </c>
      <c r="BO255" s="34">
        <v>3.6888999999999998</v>
      </c>
      <c r="BP255" s="35">
        <v>0.15493000000000001</v>
      </c>
      <c r="BR255" s="37">
        <v>784</v>
      </c>
      <c r="BS255" s="38">
        <v>0.7843</v>
      </c>
      <c r="BT255" s="39">
        <v>48.91</v>
      </c>
      <c r="BV255" s="40">
        <v>784</v>
      </c>
      <c r="BW255" s="34">
        <v>0.86299999999999999</v>
      </c>
      <c r="BX255" s="41">
        <v>0.77049999999999996</v>
      </c>
      <c r="BY255" s="55"/>
    </row>
    <row r="256" spans="27:77">
      <c r="AA256" s="27"/>
      <c r="BF256" s="30">
        <v>13.5</v>
      </c>
      <c r="BG256" s="31">
        <v>0.97589999999999999</v>
      </c>
      <c r="BH256" s="32">
        <v>975.3</v>
      </c>
      <c r="BJ256" s="30">
        <v>13.5</v>
      </c>
      <c r="BK256" s="34">
        <v>3.6280999999999999</v>
      </c>
      <c r="BL256" s="35">
        <v>0.15237999999999999</v>
      </c>
      <c r="BM256" s="36"/>
      <c r="BN256" s="30">
        <v>13.5</v>
      </c>
      <c r="BO256" s="34">
        <v>3.6863000000000001</v>
      </c>
      <c r="BP256" s="35">
        <v>0.15483</v>
      </c>
      <c r="BR256" s="37">
        <v>785</v>
      </c>
      <c r="BS256" s="38">
        <v>0.7853</v>
      </c>
      <c r="BT256" s="39">
        <v>48.68</v>
      </c>
      <c r="BV256" s="40">
        <v>785</v>
      </c>
      <c r="BW256" s="34">
        <v>0.86409999999999998</v>
      </c>
      <c r="BX256" s="41">
        <v>0.77149999999999996</v>
      </c>
      <c r="BY256" s="55"/>
    </row>
    <row r="257" spans="27:77">
      <c r="AA257" s="27"/>
      <c r="BF257" s="30">
        <v>13.6</v>
      </c>
      <c r="BG257" s="31">
        <v>0.97519999999999996</v>
      </c>
      <c r="BH257" s="32">
        <v>974.6</v>
      </c>
      <c r="BJ257" s="30">
        <v>13.6</v>
      </c>
      <c r="BK257" s="34">
        <v>3.6255999999999999</v>
      </c>
      <c r="BL257" s="35">
        <v>0.15226999999999999</v>
      </c>
      <c r="BM257" s="36"/>
      <c r="BN257" s="30">
        <v>13.6</v>
      </c>
      <c r="BO257" s="34">
        <v>3.6838000000000002</v>
      </c>
      <c r="BP257" s="35">
        <v>0.15472</v>
      </c>
      <c r="BR257" s="37">
        <v>786</v>
      </c>
      <c r="BS257" s="38">
        <v>0.78639999999999999</v>
      </c>
      <c r="BT257" s="39">
        <v>48.45</v>
      </c>
      <c r="BV257" s="40">
        <v>786</v>
      </c>
      <c r="BW257" s="34">
        <v>0.86519999999999997</v>
      </c>
      <c r="BX257" s="41">
        <v>0.77249999999999996</v>
      </c>
      <c r="BY257" s="55"/>
    </row>
    <row r="258" spans="27:77">
      <c r="AA258" s="27"/>
      <c r="BF258" s="30">
        <v>13.7</v>
      </c>
      <c r="BG258" s="31">
        <v>0.97450000000000003</v>
      </c>
      <c r="BH258" s="32">
        <v>973.9</v>
      </c>
      <c r="BJ258" s="30">
        <v>13.7</v>
      </c>
      <c r="BK258" s="34">
        <v>3.6231</v>
      </c>
      <c r="BL258" s="35">
        <v>0.15217</v>
      </c>
      <c r="BM258" s="36"/>
      <c r="BN258" s="30">
        <v>13.7</v>
      </c>
      <c r="BO258" s="34">
        <v>3.6812</v>
      </c>
      <c r="BP258" s="35">
        <v>0.15461</v>
      </c>
      <c r="BR258" s="37">
        <v>787</v>
      </c>
      <c r="BS258" s="38">
        <v>0.78739999999999999</v>
      </c>
      <c r="BT258" s="39">
        <v>48.22</v>
      </c>
      <c r="BV258" s="40">
        <v>787</v>
      </c>
      <c r="BW258" s="34">
        <v>0.86629999999999996</v>
      </c>
      <c r="BX258" s="41">
        <v>0.77349999999999997</v>
      </c>
      <c r="BY258" s="55"/>
    </row>
    <row r="259" spans="27:77">
      <c r="AA259" s="27"/>
      <c r="BF259" s="30">
        <v>13.8</v>
      </c>
      <c r="BG259" s="31">
        <v>0.9738</v>
      </c>
      <c r="BH259" s="32">
        <v>973.3</v>
      </c>
      <c r="BJ259" s="30">
        <v>13.8</v>
      </c>
      <c r="BK259" s="34">
        <v>3.6206</v>
      </c>
      <c r="BL259" s="35">
        <v>0.15207000000000001</v>
      </c>
      <c r="BM259" s="36"/>
      <c r="BN259" s="30">
        <v>13.8</v>
      </c>
      <c r="BO259" s="34">
        <v>3.6787000000000001</v>
      </c>
      <c r="BP259" s="35">
        <v>0.15451000000000001</v>
      </c>
      <c r="BR259" s="37">
        <v>788</v>
      </c>
      <c r="BS259" s="38">
        <v>0.78839999999999999</v>
      </c>
      <c r="BT259" s="39">
        <v>47.99</v>
      </c>
      <c r="BV259" s="40">
        <v>788</v>
      </c>
      <c r="BW259" s="34">
        <v>0.86739999999999995</v>
      </c>
      <c r="BX259" s="41">
        <v>0.77449999999999997</v>
      </c>
      <c r="BY259" s="55"/>
    </row>
    <row r="260" spans="27:77">
      <c r="AA260" s="27"/>
      <c r="BF260" s="30">
        <v>13.9</v>
      </c>
      <c r="BG260" s="31">
        <v>0.97319999999999995</v>
      </c>
      <c r="BH260" s="32">
        <v>972.6</v>
      </c>
      <c r="BJ260" s="30">
        <v>13.9</v>
      </c>
      <c r="BK260" s="34">
        <v>3.6181000000000001</v>
      </c>
      <c r="BL260" s="35">
        <v>0.15196000000000001</v>
      </c>
      <c r="BM260" s="36"/>
      <c r="BN260" s="30">
        <v>13.9</v>
      </c>
      <c r="BO260" s="34">
        <v>3.6762000000000001</v>
      </c>
      <c r="BP260" s="35">
        <v>0.15440000000000001</v>
      </c>
      <c r="BR260" s="37">
        <v>789</v>
      </c>
      <c r="BS260" s="38">
        <v>0.78939999999999999</v>
      </c>
      <c r="BT260" s="39">
        <v>47.76</v>
      </c>
      <c r="BV260" s="40">
        <v>789</v>
      </c>
      <c r="BW260" s="34">
        <v>0.86850000000000005</v>
      </c>
      <c r="BX260" s="41">
        <v>0.77549999999999997</v>
      </c>
      <c r="BY260" s="55"/>
    </row>
    <row r="261" spans="27:77">
      <c r="AA261" s="27"/>
      <c r="BF261" s="30">
        <v>14</v>
      </c>
      <c r="BG261" s="31">
        <v>0.97250000000000003</v>
      </c>
      <c r="BH261" s="32">
        <v>971.9</v>
      </c>
      <c r="BJ261" s="30">
        <v>14</v>
      </c>
      <c r="BK261" s="34">
        <v>3.6156000000000001</v>
      </c>
      <c r="BL261" s="35">
        <v>0.15185999999999999</v>
      </c>
      <c r="BM261" s="36"/>
      <c r="BN261" s="30">
        <v>14</v>
      </c>
      <c r="BO261" s="34">
        <v>3.6736</v>
      </c>
      <c r="BP261" s="35">
        <v>0.15429000000000001</v>
      </c>
      <c r="BR261" s="37">
        <v>790</v>
      </c>
      <c r="BS261" s="38">
        <v>0.79039999999999999</v>
      </c>
      <c r="BT261" s="39">
        <v>47.53</v>
      </c>
      <c r="BV261" s="40">
        <v>790</v>
      </c>
      <c r="BW261" s="34">
        <v>0.86960000000000004</v>
      </c>
      <c r="BX261" s="41">
        <v>0.77639999999999998</v>
      </c>
      <c r="BY261" s="55"/>
    </row>
    <row r="262" spans="27:77">
      <c r="AA262" s="27"/>
      <c r="BF262" s="30">
        <v>14.1</v>
      </c>
      <c r="BG262" s="31">
        <v>0.9718</v>
      </c>
      <c r="BH262" s="32">
        <v>971.3</v>
      </c>
      <c r="BJ262" s="30">
        <v>14.1</v>
      </c>
      <c r="BK262" s="34">
        <v>3.6131000000000002</v>
      </c>
      <c r="BL262" s="35">
        <v>0.15175</v>
      </c>
      <c r="BM262" s="36"/>
      <c r="BN262" s="30">
        <v>14.1</v>
      </c>
      <c r="BO262" s="34">
        <v>3.6711</v>
      </c>
      <c r="BP262" s="35">
        <v>0.15418999999999999</v>
      </c>
      <c r="BR262" s="37">
        <v>791</v>
      </c>
      <c r="BS262" s="38">
        <v>0.79139999999999999</v>
      </c>
      <c r="BT262" s="39">
        <v>47.31</v>
      </c>
      <c r="BV262" s="40">
        <v>791</v>
      </c>
      <c r="BW262" s="34">
        <v>0.87070000000000003</v>
      </c>
      <c r="BX262" s="41">
        <v>0.77739999999999998</v>
      </c>
      <c r="BY262" s="55"/>
    </row>
    <row r="263" spans="27:77">
      <c r="AA263" s="27"/>
      <c r="BF263" s="30">
        <v>14.2</v>
      </c>
      <c r="BG263" s="31">
        <v>0.97119999999999995</v>
      </c>
      <c r="BH263" s="32">
        <v>970.6</v>
      </c>
      <c r="BJ263" s="30">
        <v>14.2</v>
      </c>
      <c r="BK263" s="34">
        <v>3.6105999999999998</v>
      </c>
      <c r="BL263" s="35">
        <v>0.15165000000000001</v>
      </c>
      <c r="BM263" s="36"/>
      <c r="BN263" s="30">
        <v>14.2</v>
      </c>
      <c r="BO263" s="34">
        <v>3.6686000000000001</v>
      </c>
      <c r="BP263" s="35">
        <v>0.15407999999999999</v>
      </c>
      <c r="BR263" s="37">
        <v>792</v>
      </c>
      <c r="BS263" s="38">
        <v>0.79239999999999999</v>
      </c>
      <c r="BT263" s="39">
        <v>47.08</v>
      </c>
      <c r="BV263" s="40">
        <v>792</v>
      </c>
      <c r="BW263" s="34">
        <v>0.87180000000000002</v>
      </c>
      <c r="BX263" s="41">
        <v>0.77839999999999998</v>
      </c>
      <c r="BY263" s="55"/>
    </row>
    <row r="264" spans="27:77">
      <c r="AA264" s="27"/>
      <c r="BF264" s="30">
        <v>14.3</v>
      </c>
      <c r="BG264" s="31">
        <v>0.97050000000000003</v>
      </c>
      <c r="BH264" s="32">
        <v>969.9</v>
      </c>
      <c r="BJ264" s="30">
        <v>14.3</v>
      </c>
      <c r="BK264" s="34">
        <v>3.6082000000000001</v>
      </c>
      <c r="BL264" s="35">
        <v>0.15154000000000001</v>
      </c>
      <c r="BM264" s="36"/>
      <c r="BN264" s="30">
        <v>14.3</v>
      </c>
      <c r="BO264" s="34">
        <v>3.6661000000000001</v>
      </c>
      <c r="BP264" s="35">
        <v>0.15397</v>
      </c>
      <c r="BR264" s="37">
        <v>793</v>
      </c>
      <c r="BS264" s="38">
        <v>0.79339999999999999</v>
      </c>
      <c r="BT264" s="39">
        <v>46.85</v>
      </c>
      <c r="BV264" s="40">
        <v>793</v>
      </c>
      <c r="BW264" s="34">
        <v>0.87290000000000001</v>
      </c>
      <c r="BX264" s="41">
        <v>0.77939999999999998</v>
      </c>
      <c r="BY264" s="55"/>
    </row>
    <row r="265" spans="27:77">
      <c r="AA265" s="27"/>
      <c r="BF265" s="30">
        <v>14.4</v>
      </c>
      <c r="BG265" s="31">
        <v>0.9698</v>
      </c>
      <c r="BH265" s="32">
        <v>969.3</v>
      </c>
      <c r="BJ265" s="30">
        <v>14.4</v>
      </c>
      <c r="BK265" s="34">
        <v>3.6057000000000001</v>
      </c>
      <c r="BL265" s="35">
        <v>0.15143999999999999</v>
      </c>
      <c r="BM265" s="36"/>
      <c r="BN265" s="30">
        <v>14.4</v>
      </c>
      <c r="BO265" s="34">
        <v>3.6635</v>
      </c>
      <c r="BP265" s="35">
        <v>0.15387000000000001</v>
      </c>
      <c r="BR265" s="37">
        <v>794</v>
      </c>
      <c r="BS265" s="38">
        <v>0.7944</v>
      </c>
      <c r="BT265" s="39">
        <v>46.63</v>
      </c>
      <c r="BV265" s="40">
        <v>794</v>
      </c>
      <c r="BW265" s="34">
        <v>0.874</v>
      </c>
      <c r="BX265" s="41">
        <v>0.78039999999999998</v>
      </c>
      <c r="BY265" s="55"/>
    </row>
    <row r="266" spans="27:77">
      <c r="AA266" s="27"/>
      <c r="BF266" s="30">
        <v>14.5</v>
      </c>
      <c r="BG266" s="31">
        <v>0.96919999999999995</v>
      </c>
      <c r="BH266" s="32">
        <v>968.6</v>
      </c>
      <c r="BJ266" s="30">
        <v>14.5</v>
      </c>
      <c r="BK266" s="34">
        <v>3.6032000000000002</v>
      </c>
      <c r="BL266" s="35">
        <v>0.15134</v>
      </c>
      <c r="BM266" s="36"/>
      <c r="BN266" s="30">
        <v>14.5</v>
      </c>
      <c r="BO266" s="34">
        <v>3.661</v>
      </c>
      <c r="BP266" s="35">
        <v>0.15376000000000001</v>
      </c>
      <c r="BR266" s="37">
        <v>795</v>
      </c>
      <c r="BS266" s="38">
        <v>0.7954</v>
      </c>
      <c r="BT266" s="39">
        <v>46.4</v>
      </c>
      <c r="BV266" s="40">
        <v>795</v>
      </c>
      <c r="BW266" s="34">
        <v>0.87509999999999999</v>
      </c>
      <c r="BX266" s="41">
        <v>0.78139999999999998</v>
      </c>
      <c r="BY266" s="55"/>
    </row>
    <row r="267" spans="27:77">
      <c r="AA267" s="27"/>
      <c r="BF267" s="30">
        <v>14.6</v>
      </c>
      <c r="BG267" s="31">
        <v>0.96850000000000003</v>
      </c>
      <c r="BH267" s="32">
        <v>967.9</v>
      </c>
      <c r="BJ267" s="30">
        <v>14.6</v>
      </c>
      <c r="BK267" s="34">
        <v>3.6006999999999998</v>
      </c>
      <c r="BL267" s="35">
        <v>0.15123</v>
      </c>
      <c r="BM267" s="36"/>
      <c r="BN267" s="30">
        <v>14.6</v>
      </c>
      <c r="BO267" s="34">
        <v>3.6585000000000001</v>
      </c>
      <c r="BP267" s="35">
        <v>0.15365999999999999</v>
      </c>
      <c r="BR267" s="37">
        <v>796</v>
      </c>
      <c r="BS267" s="38">
        <v>0.7964</v>
      </c>
      <c r="BT267" s="39">
        <v>46.18</v>
      </c>
      <c r="BV267" s="40">
        <v>796</v>
      </c>
      <c r="BW267" s="34">
        <v>0.87619999999999998</v>
      </c>
      <c r="BX267" s="41">
        <v>0.7823</v>
      </c>
      <c r="BY267" s="55"/>
    </row>
    <row r="268" spans="27:77">
      <c r="AA268" s="27"/>
      <c r="BF268" s="30">
        <v>14.7</v>
      </c>
      <c r="BG268" s="31">
        <v>0.96789999999999998</v>
      </c>
      <c r="BH268" s="32">
        <v>967.3</v>
      </c>
      <c r="BJ268" s="30">
        <v>14.7</v>
      </c>
      <c r="BK268" s="34">
        <v>3.5983000000000001</v>
      </c>
      <c r="BL268" s="35">
        <v>0.15112999999999999</v>
      </c>
      <c r="BM268" s="36"/>
      <c r="BN268" s="30">
        <v>14.7</v>
      </c>
      <c r="BO268" s="34">
        <v>3.6560000000000001</v>
      </c>
      <c r="BP268" s="35">
        <v>0.15354999999999999</v>
      </c>
      <c r="BR268" s="37">
        <v>797</v>
      </c>
      <c r="BS268" s="38">
        <v>0.7974</v>
      </c>
      <c r="BT268" s="39">
        <v>45.96</v>
      </c>
      <c r="BV268" s="40">
        <v>797</v>
      </c>
      <c r="BW268" s="34">
        <v>0.87729999999999997</v>
      </c>
      <c r="BX268" s="41">
        <v>0.7833</v>
      </c>
      <c r="BY268" s="55"/>
    </row>
    <row r="269" spans="27:77">
      <c r="AA269" s="27"/>
      <c r="BF269" s="30">
        <v>14.8</v>
      </c>
      <c r="BG269" s="31">
        <v>0.96719999999999995</v>
      </c>
      <c r="BH269" s="32">
        <v>966.6</v>
      </c>
      <c r="BJ269" s="30">
        <v>14.8</v>
      </c>
      <c r="BK269" s="34">
        <v>3.5958000000000001</v>
      </c>
      <c r="BL269" s="35">
        <v>0.15101999999999999</v>
      </c>
      <c r="BM269" s="36"/>
      <c r="BN269" s="30">
        <v>14.8</v>
      </c>
      <c r="BO269" s="34">
        <v>3.6535000000000002</v>
      </c>
      <c r="BP269" s="35">
        <v>0.15345</v>
      </c>
      <c r="BR269" s="37">
        <v>798</v>
      </c>
      <c r="BS269" s="38">
        <v>0.7984</v>
      </c>
      <c r="BT269" s="39">
        <v>45.74</v>
      </c>
      <c r="BV269" s="40">
        <v>798</v>
      </c>
      <c r="BW269" s="34">
        <v>0.87839999999999996</v>
      </c>
      <c r="BX269" s="41">
        <v>0.7843</v>
      </c>
      <c r="BY269" s="55"/>
    </row>
    <row r="270" spans="27:77">
      <c r="AA270" s="27"/>
      <c r="BF270" s="30">
        <v>14.9</v>
      </c>
      <c r="BG270" s="31">
        <v>0.96650000000000003</v>
      </c>
      <c r="BH270" s="32">
        <v>966</v>
      </c>
      <c r="BJ270" s="30">
        <v>14.9</v>
      </c>
      <c r="BK270" s="34">
        <v>3.5933999999999999</v>
      </c>
      <c r="BL270" s="35">
        <v>0.15092</v>
      </c>
      <c r="BM270" s="36"/>
      <c r="BN270" s="30">
        <v>14.9</v>
      </c>
      <c r="BO270" s="34">
        <v>3.6509999999999998</v>
      </c>
      <c r="BP270" s="35">
        <v>0.15334</v>
      </c>
      <c r="BR270" s="37">
        <v>799</v>
      </c>
      <c r="BS270" s="38">
        <v>0.7994</v>
      </c>
      <c r="BT270" s="39">
        <v>45.51</v>
      </c>
      <c r="BV270" s="40">
        <v>799</v>
      </c>
      <c r="BW270" s="34">
        <v>0.87949999999999995</v>
      </c>
      <c r="BX270" s="41">
        <v>0.7853</v>
      </c>
      <c r="BY270" s="55"/>
    </row>
    <row r="271" spans="27:77">
      <c r="AA271" s="27"/>
      <c r="BF271" s="30">
        <v>15</v>
      </c>
      <c r="BG271" s="31">
        <v>0.96589999999999998</v>
      </c>
      <c r="BH271" s="32">
        <v>965.3</v>
      </c>
      <c r="BJ271" s="30">
        <v>15</v>
      </c>
      <c r="BK271" s="34">
        <v>3.5909</v>
      </c>
      <c r="BL271" s="35">
        <v>0.15082000000000001</v>
      </c>
      <c r="BM271" s="36"/>
      <c r="BN271" s="30">
        <v>15</v>
      </c>
      <c r="BO271" s="34">
        <v>3.6484999999999999</v>
      </c>
      <c r="BP271" s="35">
        <v>0.15323999999999999</v>
      </c>
      <c r="BR271" s="37">
        <v>800</v>
      </c>
      <c r="BS271" s="38">
        <v>0.8004</v>
      </c>
      <c r="BT271" s="39">
        <v>45.29</v>
      </c>
      <c r="BV271" s="40">
        <v>800</v>
      </c>
      <c r="BW271" s="34">
        <v>0.88060000000000005</v>
      </c>
      <c r="BX271" s="41">
        <v>0.7863</v>
      </c>
      <c r="BY271" s="55"/>
    </row>
    <row r="272" spans="27:77">
      <c r="AA272" s="27"/>
      <c r="BF272" s="30">
        <v>15.1</v>
      </c>
      <c r="BG272" s="31">
        <v>0.96519999999999995</v>
      </c>
      <c r="BH272" s="32">
        <v>964.6</v>
      </c>
      <c r="BJ272" s="30">
        <v>15.1</v>
      </c>
      <c r="BK272" s="34">
        <v>3.5884999999999998</v>
      </c>
      <c r="BL272" s="35">
        <v>0.15071000000000001</v>
      </c>
      <c r="BM272" s="36"/>
      <c r="BN272" s="30">
        <v>15.1</v>
      </c>
      <c r="BO272" s="34">
        <v>3.6459999999999999</v>
      </c>
      <c r="BP272" s="35">
        <v>0.15312999999999999</v>
      </c>
      <c r="BR272" s="37">
        <v>801</v>
      </c>
      <c r="BS272" s="38">
        <v>0.8014</v>
      </c>
      <c r="BT272" s="39">
        <v>45.07</v>
      </c>
      <c r="BV272" s="40">
        <v>801</v>
      </c>
      <c r="BW272" s="34">
        <v>0.88170000000000004</v>
      </c>
      <c r="BX272" s="41">
        <v>0.7873</v>
      </c>
      <c r="BY272" s="55"/>
    </row>
    <row r="273" spans="27:77">
      <c r="AA273" s="27"/>
      <c r="BF273" s="30">
        <v>15.2</v>
      </c>
      <c r="BG273" s="31">
        <v>0.96460000000000001</v>
      </c>
      <c r="BH273" s="32">
        <v>964</v>
      </c>
      <c r="BJ273" s="30">
        <v>15.2</v>
      </c>
      <c r="BK273" s="34">
        <v>3.5859999999999999</v>
      </c>
      <c r="BL273" s="35">
        <v>0.15060999999999999</v>
      </c>
      <c r="BM273" s="36"/>
      <c r="BN273" s="30">
        <v>15.2</v>
      </c>
      <c r="BO273" s="34">
        <v>3.6435</v>
      </c>
      <c r="BP273" s="35">
        <v>0.15303</v>
      </c>
      <c r="BR273" s="37">
        <v>802</v>
      </c>
      <c r="BS273" s="38">
        <v>0.8024</v>
      </c>
      <c r="BT273" s="39">
        <v>44.85</v>
      </c>
      <c r="BV273" s="40">
        <v>802</v>
      </c>
      <c r="BW273" s="34">
        <v>0.88280000000000003</v>
      </c>
      <c r="BX273" s="41">
        <v>0.7883</v>
      </c>
      <c r="BY273" s="55"/>
    </row>
    <row r="274" spans="27:77">
      <c r="AA274" s="27"/>
      <c r="BF274" s="30">
        <v>15.3</v>
      </c>
      <c r="BG274" s="31">
        <v>0.96389999999999998</v>
      </c>
      <c r="BH274" s="32">
        <v>963.3</v>
      </c>
      <c r="BJ274" s="30">
        <v>15.3</v>
      </c>
      <c r="BK274" s="34">
        <v>3.5836000000000001</v>
      </c>
      <c r="BL274" s="35">
        <v>0.15051</v>
      </c>
      <c r="BM274" s="36"/>
      <c r="BN274" s="30">
        <v>15.3</v>
      </c>
      <c r="BO274" s="34">
        <v>3.6410999999999998</v>
      </c>
      <c r="BP274" s="35">
        <v>0.15292</v>
      </c>
      <c r="BR274" s="37">
        <v>803</v>
      </c>
      <c r="BS274" s="38">
        <v>0.8034</v>
      </c>
      <c r="BT274" s="39">
        <v>44.63</v>
      </c>
      <c r="BV274" s="40">
        <v>803</v>
      </c>
      <c r="BW274" s="34">
        <v>0.88390000000000002</v>
      </c>
      <c r="BX274" s="41">
        <v>0.78920000000000001</v>
      </c>
      <c r="BY274" s="55"/>
    </row>
    <row r="275" spans="27:77">
      <c r="AA275" s="27"/>
      <c r="BF275" s="30">
        <v>15.4</v>
      </c>
      <c r="BG275" s="31">
        <v>0.96319999999999995</v>
      </c>
      <c r="BH275" s="32">
        <v>962.7</v>
      </c>
      <c r="BJ275" s="30">
        <v>15.4</v>
      </c>
      <c r="BK275" s="34">
        <v>3.5811000000000002</v>
      </c>
      <c r="BL275" s="35">
        <v>0.15040999999999999</v>
      </c>
      <c r="BM275" s="36"/>
      <c r="BN275" s="30">
        <v>15.4</v>
      </c>
      <c r="BO275" s="34">
        <v>3.6385999999999998</v>
      </c>
      <c r="BP275" s="35">
        <v>0.15282000000000001</v>
      </c>
      <c r="BR275" s="37">
        <v>804</v>
      </c>
      <c r="BS275" s="38">
        <v>0.8044</v>
      </c>
      <c r="BT275" s="39">
        <v>44.41</v>
      </c>
      <c r="BV275" s="40">
        <v>804</v>
      </c>
      <c r="BW275" s="34">
        <v>0.88500000000000001</v>
      </c>
      <c r="BX275" s="41">
        <v>0.79020000000000001</v>
      </c>
      <c r="BY275" s="55"/>
    </row>
    <row r="276" spans="27:77">
      <c r="AA276" s="27"/>
      <c r="BF276" s="30">
        <v>15.5</v>
      </c>
      <c r="BG276" s="31">
        <v>0.96260000000000001</v>
      </c>
      <c r="BH276" s="32">
        <v>962</v>
      </c>
      <c r="BJ276" s="30">
        <v>15.5</v>
      </c>
      <c r="BK276" s="34">
        <v>3.5787</v>
      </c>
      <c r="BL276" s="35">
        <v>0.15029999999999999</v>
      </c>
      <c r="BM276" s="36"/>
      <c r="BN276" s="30">
        <v>15.5</v>
      </c>
      <c r="BO276" s="34">
        <v>3.6360999999999999</v>
      </c>
      <c r="BP276" s="35">
        <v>0.15271999999999999</v>
      </c>
      <c r="BR276" s="37">
        <v>805</v>
      </c>
      <c r="BS276" s="38">
        <v>0.8054</v>
      </c>
      <c r="BT276" s="39">
        <v>44.19</v>
      </c>
      <c r="BV276" s="40">
        <v>805</v>
      </c>
      <c r="BW276" s="34">
        <v>0.8861</v>
      </c>
      <c r="BX276" s="41">
        <v>0.79120000000000001</v>
      </c>
      <c r="BY276" s="55"/>
    </row>
    <row r="277" spans="27:77">
      <c r="AA277" s="27"/>
      <c r="BF277" s="30">
        <v>15.6</v>
      </c>
      <c r="BG277" s="31">
        <v>0.96189999999999998</v>
      </c>
      <c r="BH277" s="32">
        <v>961.4</v>
      </c>
      <c r="BJ277" s="30">
        <v>15.6</v>
      </c>
      <c r="BK277" s="34">
        <v>3.5762</v>
      </c>
      <c r="BL277" s="35">
        <v>0.1502</v>
      </c>
      <c r="BM277" s="36"/>
      <c r="BN277" s="30">
        <v>15.6</v>
      </c>
      <c r="BO277" s="34">
        <v>3.6335999999999999</v>
      </c>
      <c r="BP277" s="35">
        <v>0.15261</v>
      </c>
      <c r="BR277" s="37">
        <v>806</v>
      </c>
      <c r="BS277" s="38">
        <v>0.80640000000000001</v>
      </c>
      <c r="BT277" s="39">
        <v>43.97</v>
      </c>
      <c r="BV277" s="40">
        <v>806</v>
      </c>
      <c r="BW277" s="34">
        <v>0.88729999999999998</v>
      </c>
      <c r="BX277" s="41">
        <v>0.79220000000000002</v>
      </c>
      <c r="BY277" s="55"/>
    </row>
    <row r="278" spans="27:77">
      <c r="AA278" s="27"/>
      <c r="BF278" s="30">
        <v>15.7</v>
      </c>
      <c r="BG278" s="31">
        <v>0.96130000000000004</v>
      </c>
      <c r="BH278" s="32">
        <v>960.7</v>
      </c>
      <c r="BJ278" s="30">
        <v>15.7</v>
      </c>
      <c r="BK278" s="34">
        <v>3.5737999999999999</v>
      </c>
      <c r="BL278" s="35">
        <v>0.15010000000000001</v>
      </c>
      <c r="BM278" s="36"/>
      <c r="BN278" s="30">
        <v>15.7</v>
      </c>
      <c r="BO278" s="34">
        <v>3.6312000000000002</v>
      </c>
      <c r="BP278" s="35">
        <v>0.15251000000000001</v>
      </c>
      <c r="BR278" s="37">
        <v>807</v>
      </c>
      <c r="BS278" s="38">
        <v>0.80740000000000001</v>
      </c>
      <c r="BT278" s="39">
        <v>43.76</v>
      </c>
      <c r="BV278" s="40">
        <v>807</v>
      </c>
      <c r="BW278" s="34">
        <v>0.88839999999999997</v>
      </c>
      <c r="BX278" s="41">
        <v>0.79320000000000002</v>
      </c>
      <c r="BY278" s="55"/>
    </row>
    <row r="279" spans="27:77">
      <c r="AA279" s="27"/>
      <c r="BF279" s="30">
        <v>15.8</v>
      </c>
      <c r="BG279" s="31">
        <v>0.96060000000000001</v>
      </c>
      <c r="BH279" s="32">
        <v>960.1</v>
      </c>
      <c r="BJ279" s="30">
        <v>15.8</v>
      </c>
      <c r="BK279" s="34">
        <v>3.5714000000000001</v>
      </c>
      <c r="BL279" s="35">
        <v>0.15</v>
      </c>
      <c r="BM279" s="36"/>
      <c r="BN279" s="30">
        <v>15.8</v>
      </c>
      <c r="BO279" s="34">
        <v>3.6286999999999998</v>
      </c>
      <c r="BP279" s="35">
        <v>0.15240000000000001</v>
      </c>
      <c r="BR279" s="37">
        <v>808</v>
      </c>
      <c r="BS279" s="38">
        <v>0.80840000000000001</v>
      </c>
      <c r="BT279" s="39">
        <v>43.54</v>
      </c>
      <c r="BV279" s="40">
        <v>808</v>
      </c>
      <c r="BW279" s="34">
        <v>0.88949999999999996</v>
      </c>
      <c r="BX279" s="41">
        <v>0.79420000000000002</v>
      </c>
      <c r="BY279" s="55"/>
    </row>
    <row r="280" spans="27:77">
      <c r="AA280" s="27"/>
      <c r="BF280" s="30">
        <v>15.9</v>
      </c>
      <c r="BG280" s="31">
        <v>0.96</v>
      </c>
      <c r="BH280" s="32">
        <v>959.4</v>
      </c>
      <c r="BJ280" s="30">
        <v>15.9</v>
      </c>
      <c r="BK280" s="34">
        <v>3.569</v>
      </c>
      <c r="BL280" s="35">
        <v>0.14990000000000001</v>
      </c>
      <c r="BM280" s="36"/>
      <c r="BN280" s="30">
        <v>15.9</v>
      </c>
      <c r="BO280" s="34">
        <v>3.6261999999999999</v>
      </c>
      <c r="BP280" s="35">
        <v>0.15229999999999999</v>
      </c>
      <c r="BR280" s="37">
        <v>809</v>
      </c>
      <c r="BS280" s="38">
        <v>0.80940000000000001</v>
      </c>
      <c r="BT280" s="39">
        <v>43.32</v>
      </c>
      <c r="BV280" s="40">
        <v>809</v>
      </c>
      <c r="BW280" s="34">
        <v>0.89059999999999995</v>
      </c>
      <c r="BX280" s="41">
        <v>0.79510000000000003</v>
      </c>
      <c r="BY280" s="55"/>
    </row>
    <row r="281" spans="27:77">
      <c r="AA281" s="27"/>
      <c r="BF281" s="30">
        <v>16</v>
      </c>
      <c r="BG281" s="31">
        <v>0.95930000000000004</v>
      </c>
      <c r="BH281" s="32">
        <v>958.8</v>
      </c>
      <c r="BJ281" s="30">
        <v>16</v>
      </c>
      <c r="BK281" s="34">
        <v>3.5665</v>
      </c>
      <c r="BL281" s="35" t="s">
        <v>36</v>
      </c>
      <c r="BM281" s="36"/>
      <c r="BN281" s="30">
        <v>16</v>
      </c>
      <c r="BO281" s="34">
        <v>3.6238000000000001</v>
      </c>
      <c r="BP281" s="35">
        <v>0.1522</v>
      </c>
      <c r="BR281" s="37">
        <v>810</v>
      </c>
      <c r="BS281" s="38">
        <v>0.81040000000000001</v>
      </c>
      <c r="BT281" s="39">
        <v>43.11</v>
      </c>
      <c r="BV281" s="40">
        <v>810</v>
      </c>
      <c r="BW281" s="34">
        <v>0.89170000000000005</v>
      </c>
      <c r="BX281" s="41">
        <v>0.79610000000000003</v>
      </c>
      <c r="BY281" s="55"/>
    </row>
    <row r="282" spans="27:77">
      <c r="AA282" s="27"/>
      <c r="BF282" s="30">
        <v>16.100000000000001</v>
      </c>
      <c r="BG282" s="31">
        <v>0.9587</v>
      </c>
      <c r="BH282" s="32">
        <v>958.1</v>
      </c>
      <c r="BJ282" s="30">
        <v>16.100000000000001</v>
      </c>
      <c r="BK282" s="34">
        <v>3.5640999999999998</v>
      </c>
      <c r="BL282" s="35">
        <v>0.14968999999999999</v>
      </c>
      <c r="BM282" s="36"/>
      <c r="BN282" s="30">
        <v>16.100000000000001</v>
      </c>
      <c r="BO282" s="34">
        <v>3.6213000000000002</v>
      </c>
      <c r="BP282" s="35">
        <v>0.15209</v>
      </c>
      <c r="BR282" s="37">
        <v>811</v>
      </c>
      <c r="BS282" s="38">
        <v>0.81140000000000001</v>
      </c>
      <c r="BT282" s="39">
        <v>42.89</v>
      </c>
      <c r="BV282" s="40">
        <v>811</v>
      </c>
      <c r="BW282" s="34">
        <v>0.89280000000000004</v>
      </c>
      <c r="BX282" s="41">
        <v>0.79710000000000003</v>
      </c>
      <c r="BY282" s="55"/>
    </row>
    <row r="283" spans="27:77">
      <c r="AA283" s="27"/>
      <c r="BF283" s="30">
        <v>16.2</v>
      </c>
      <c r="BG283" s="31">
        <v>0.95799999999999996</v>
      </c>
      <c r="BH283" s="32">
        <v>957.5</v>
      </c>
      <c r="BJ283" s="30">
        <v>16.2</v>
      </c>
      <c r="BK283" s="34">
        <v>3.5617000000000001</v>
      </c>
      <c r="BL283" s="35">
        <v>0.14959</v>
      </c>
      <c r="BM283" s="36"/>
      <c r="BN283" s="30">
        <v>16.2</v>
      </c>
      <c r="BO283" s="34">
        <v>3.6187999999999998</v>
      </c>
      <c r="BP283" s="35">
        <v>0.15198999999999999</v>
      </c>
      <c r="BR283" s="37">
        <v>812</v>
      </c>
      <c r="BS283" s="38">
        <v>0.81240000000000001</v>
      </c>
      <c r="BT283" s="39">
        <v>42.68</v>
      </c>
      <c r="BV283" s="40">
        <v>812</v>
      </c>
      <c r="BW283" s="34">
        <v>0.89390000000000003</v>
      </c>
      <c r="BX283" s="41">
        <v>0.79810000000000003</v>
      </c>
      <c r="BY283" s="55"/>
    </row>
    <row r="284" spans="27:77">
      <c r="AA284" s="27"/>
      <c r="BF284" s="30">
        <v>16.3</v>
      </c>
      <c r="BG284" s="31">
        <v>0.95740000000000003</v>
      </c>
      <c r="BH284" s="32">
        <v>956.8</v>
      </c>
      <c r="BJ284" s="30">
        <v>16.3</v>
      </c>
      <c r="BK284" s="34">
        <v>3.5592999999999999</v>
      </c>
      <c r="BL284" s="35">
        <v>0.14949000000000001</v>
      </c>
      <c r="BM284" s="36"/>
      <c r="BN284" s="30">
        <v>16.3</v>
      </c>
      <c r="BO284" s="34">
        <v>3.6164000000000001</v>
      </c>
      <c r="BP284" s="35">
        <v>0.15189</v>
      </c>
      <c r="BR284" s="37">
        <v>813</v>
      </c>
      <c r="BS284" s="38">
        <v>0.81340000000000001</v>
      </c>
      <c r="BT284" s="39">
        <v>42.46</v>
      </c>
      <c r="BV284" s="40">
        <v>813</v>
      </c>
      <c r="BW284" s="34">
        <v>0.89500000000000002</v>
      </c>
      <c r="BX284" s="41">
        <v>0.79910000000000003</v>
      </c>
      <c r="BY284" s="55"/>
    </row>
    <row r="285" spans="27:77">
      <c r="AA285" s="27"/>
      <c r="BF285" s="30">
        <v>16.399999999999999</v>
      </c>
      <c r="BG285" s="31">
        <v>0.95669999999999999</v>
      </c>
      <c r="BH285" s="32">
        <v>956.2</v>
      </c>
      <c r="BJ285" s="30">
        <v>16.399999999999999</v>
      </c>
      <c r="BK285" s="34">
        <v>3.5569000000000002</v>
      </c>
      <c r="BL285" s="35">
        <v>0.14939</v>
      </c>
      <c r="BM285" s="36"/>
      <c r="BN285" s="30">
        <v>16.399999999999999</v>
      </c>
      <c r="BO285" s="34">
        <v>3.6139000000000001</v>
      </c>
      <c r="BP285" s="35">
        <v>0.15179000000000001</v>
      </c>
      <c r="BR285" s="37">
        <v>814</v>
      </c>
      <c r="BS285" s="38">
        <v>0.81440000000000001</v>
      </c>
      <c r="BT285" s="39">
        <v>42.25</v>
      </c>
      <c r="BV285" s="40">
        <v>814</v>
      </c>
      <c r="BW285" s="34">
        <v>0.89610000000000001</v>
      </c>
      <c r="BX285" s="41">
        <v>0.80010000000000003</v>
      </c>
      <c r="BY285" s="55"/>
    </row>
    <row r="286" spans="27:77">
      <c r="AA286" s="27"/>
      <c r="BF286" s="30">
        <v>16.5</v>
      </c>
      <c r="BG286" s="31">
        <v>0.95609999999999995</v>
      </c>
      <c r="BH286" s="32">
        <v>955.5</v>
      </c>
      <c r="BJ286" s="30">
        <v>16.5</v>
      </c>
      <c r="BK286" s="34">
        <v>3.5545</v>
      </c>
      <c r="BL286" s="35">
        <v>0.14928999999999998</v>
      </c>
      <c r="BM286" s="36"/>
      <c r="BN286" s="30">
        <v>16.5</v>
      </c>
      <c r="BO286" s="34">
        <v>3.6114999999999999</v>
      </c>
      <c r="BP286" s="35">
        <v>0.15168000000000001</v>
      </c>
      <c r="BR286" s="37">
        <v>815</v>
      </c>
      <c r="BS286" s="38">
        <v>0.81540000000000001</v>
      </c>
      <c r="BT286" s="39">
        <v>42.03</v>
      </c>
      <c r="BV286" s="40">
        <v>815</v>
      </c>
      <c r="BW286" s="34">
        <v>0.8972</v>
      </c>
      <c r="BX286" s="41">
        <v>0.80100000000000005</v>
      </c>
      <c r="BY286" s="55"/>
    </row>
    <row r="287" spans="27:77">
      <c r="AA287" s="27"/>
      <c r="BF287" s="30">
        <v>16.600000000000001</v>
      </c>
      <c r="BG287" s="31">
        <v>0.95540000000000003</v>
      </c>
      <c r="BH287" s="32">
        <v>954.9</v>
      </c>
      <c r="BJ287" s="30">
        <v>16.600000000000001</v>
      </c>
      <c r="BK287" s="34">
        <v>3.5520999999999998</v>
      </c>
      <c r="BL287" s="35">
        <v>0.14918999999999996</v>
      </c>
      <c r="BM287" s="36"/>
      <c r="BN287" s="30">
        <v>16.600000000000001</v>
      </c>
      <c r="BO287" s="34">
        <v>3.6091000000000002</v>
      </c>
      <c r="BP287" s="35">
        <v>0.15157999999999999</v>
      </c>
      <c r="BR287" s="37">
        <v>816</v>
      </c>
      <c r="BS287" s="38">
        <v>0.81640000000000001</v>
      </c>
      <c r="BT287" s="39">
        <v>41.82</v>
      </c>
      <c r="BV287" s="40">
        <v>816</v>
      </c>
      <c r="BW287" s="34">
        <v>0.89829999999999999</v>
      </c>
      <c r="BX287" s="41">
        <v>0.80200000000000005</v>
      </c>
      <c r="BY287" s="55"/>
    </row>
    <row r="288" spans="27:77">
      <c r="AA288" s="27"/>
      <c r="BF288" s="30">
        <v>16.7</v>
      </c>
      <c r="BG288" s="31">
        <v>0.95479999999999998</v>
      </c>
      <c r="BH288" s="32">
        <v>954.2</v>
      </c>
      <c r="BJ288" s="30">
        <v>16.7</v>
      </c>
      <c r="BK288" s="34">
        <v>3.5497000000000001</v>
      </c>
      <c r="BL288" s="35">
        <v>0.14908999999999994</v>
      </c>
      <c r="BM288" s="36"/>
      <c r="BN288" s="30">
        <v>16.7</v>
      </c>
      <c r="BO288" s="34">
        <v>3.6065999999999998</v>
      </c>
      <c r="BP288" s="35">
        <v>0.15148</v>
      </c>
      <c r="BR288" s="37">
        <v>817</v>
      </c>
      <c r="BS288" s="38">
        <v>0.81740000000000002</v>
      </c>
      <c r="BT288" s="39">
        <v>41.61</v>
      </c>
      <c r="BV288" s="40">
        <v>817</v>
      </c>
      <c r="BW288" s="34">
        <v>0.89939999999999998</v>
      </c>
      <c r="BX288" s="41">
        <v>0.80300000000000005</v>
      </c>
      <c r="BY288" s="55"/>
    </row>
    <row r="289" spans="27:77">
      <c r="AA289" s="27"/>
      <c r="BF289" s="30">
        <v>16.8</v>
      </c>
      <c r="BG289" s="31">
        <v>0.95409999999999995</v>
      </c>
      <c r="BH289" s="32">
        <v>953.6</v>
      </c>
      <c r="BJ289" s="30">
        <v>16.8</v>
      </c>
      <c r="BK289" s="34">
        <v>3.5472999999999999</v>
      </c>
      <c r="BL289" s="35">
        <v>0.14898999999999993</v>
      </c>
      <c r="BM289" s="36"/>
      <c r="BN289" s="30">
        <v>16.8</v>
      </c>
      <c r="BO289" s="34">
        <v>3.6042000000000001</v>
      </c>
      <c r="BP289" s="35">
        <v>0.15137999999999999</v>
      </c>
      <c r="BR289" s="37">
        <v>818</v>
      </c>
      <c r="BS289" s="38">
        <v>0.81840000000000002</v>
      </c>
      <c r="BT289" s="39">
        <v>41.4</v>
      </c>
      <c r="BV289" s="40">
        <v>818</v>
      </c>
      <c r="BW289" s="34">
        <v>0.90049999999999997</v>
      </c>
      <c r="BX289" s="41">
        <v>0.80400000000000005</v>
      </c>
      <c r="BY289" s="55"/>
    </row>
    <row r="290" spans="27:77">
      <c r="AA290" s="27"/>
      <c r="BF290" s="30">
        <v>16.899999999999999</v>
      </c>
      <c r="BG290" s="31">
        <v>0.95350000000000001</v>
      </c>
      <c r="BH290" s="32">
        <v>952.9</v>
      </c>
      <c r="BJ290" s="30">
        <v>16.899999999999999</v>
      </c>
      <c r="BK290" s="34">
        <v>3.5449000000000002</v>
      </c>
      <c r="BL290" s="35">
        <v>0.14888000000000001</v>
      </c>
      <c r="BM290" s="36"/>
      <c r="BN290" s="30">
        <v>16.899999999999999</v>
      </c>
      <c r="BO290" s="34">
        <v>3.6017999999999999</v>
      </c>
      <c r="BP290" s="35">
        <v>0.15126999999999999</v>
      </c>
      <c r="BR290" s="37">
        <v>819</v>
      </c>
      <c r="BS290" s="38">
        <v>0.81940000000000002</v>
      </c>
      <c r="BT290" s="39">
        <v>41.19</v>
      </c>
      <c r="BV290" s="40">
        <v>819</v>
      </c>
      <c r="BW290" s="34">
        <v>0.90159999999999996</v>
      </c>
      <c r="BX290" s="41">
        <v>0.80500000000000005</v>
      </c>
      <c r="BY290" s="55"/>
    </row>
    <row r="291" spans="27:77">
      <c r="AA291" s="27"/>
      <c r="BF291" s="30">
        <v>17</v>
      </c>
      <c r="BG291" s="31">
        <v>0.95289999999999997</v>
      </c>
      <c r="BH291" s="32">
        <v>952.3</v>
      </c>
      <c r="BJ291" s="30">
        <v>17</v>
      </c>
      <c r="BK291" s="34">
        <v>3.5425</v>
      </c>
      <c r="BL291" s="35">
        <v>0.14878</v>
      </c>
      <c r="BM291" s="36"/>
      <c r="BN291" s="30">
        <v>17</v>
      </c>
      <c r="BO291" s="34">
        <v>3.5992999999999999</v>
      </c>
      <c r="BP291" s="35">
        <v>0.15117</v>
      </c>
      <c r="BR291" s="37">
        <v>820</v>
      </c>
      <c r="BS291" s="38">
        <v>0.82040000000000002</v>
      </c>
      <c r="BT291" s="39">
        <v>40.98</v>
      </c>
      <c r="BV291" s="40">
        <v>820</v>
      </c>
      <c r="BW291" s="34">
        <v>0.90269999999999995</v>
      </c>
      <c r="BX291" s="41">
        <v>0.80600000000000005</v>
      </c>
      <c r="BY291" s="55"/>
    </row>
    <row r="292" spans="27:77">
      <c r="AA292" s="27"/>
      <c r="BF292" s="30">
        <v>17.100000000000001</v>
      </c>
      <c r="BG292" s="31">
        <v>0.95220000000000005</v>
      </c>
      <c r="BH292" s="32">
        <v>951.7</v>
      </c>
      <c r="BJ292" s="30">
        <v>17.100000000000001</v>
      </c>
      <c r="BK292" s="34">
        <v>3.5400999999999998</v>
      </c>
      <c r="BL292" s="35">
        <v>0.14867999999999998</v>
      </c>
      <c r="BM292" s="36"/>
      <c r="BN292" s="30">
        <v>17.100000000000001</v>
      </c>
      <c r="BO292" s="34">
        <v>3.5969000000000002</v>
      </c>
      <c r="BP292" s="35">
        <v>0.15107000000000001</v>
      </c>
      <c r="BR292" s="37">
        <v>821</v>
      </c>
      <c r="BS292" s="38">
        <v>0.82140000000000002</v>
      </c>
      <c r="BT292" s="39">
        <v>40.76</v>
      </c>
      <c r="BV292" s="40">
        <v>821</v>
      </c>
      <c r="BW292" s="34">
        <v>0.90380000000000005</v>
      </c>
      <c r="BX292" s="41">
        <v>0.80700000000000005</v>
      </c>
      <c r="BY292" s="55"/>
    </row>
    <row r="293" spans="27:77">
      <c r="AA293" s="27"/>
      <c r="BF293" s="30">
        <v>17.2</v>
      </c>
      <c r="BG293" s="31">
        <v>0.9516</v>
      </c>
      <c r="BH293" s="32">
        <v>951</v>
      </c>
      <c r="BJ293" s="30">
        <v>17.2</v>
      </c>
      <c r="BK293" s="34">
        <v>3.5377000000000001</v>
      </c>
      <c r="BL293" s="35">
        <v>0.14857999999999996</v>
      </c>
      <c r="BM293" s="36"/>
      <c r="BN293" s="30">
        <v>17.2</v>
      </c>
      <c r="BO293" s="34">
        <v>3.5945</v>
      </c>
      <c r="BP293" s="35">
        <v>0.15096999999999999</v>
      </c>
      <c r="BR293" s="37">
        <v>822</v>
      </c>
      <c r="BS293" s="38">
        <v>0.82240000000000002</v>
      </c>
      <c r="BT293" s="39">
        <v>40.56</v>
      </c>
      <c r="BV293" s="40">
        <v>822</v>
      </c>
      <c r="BW293" s="34">
        <v>0.90490000000000004</v>
      </c>
      <c r="BX293" s="41">
        <v>0.80789999999999995</v>
      </c>
      <c r="BY293" s="55"/>
    </row>
    <row r="294" spans="27:77">
      <c r="AA294" s="27"/>
      <c r="BF294" s="30">
        <v>17.3</v>
      </c>
      <c r="BG294" s="31">
        <v>0.95089999999999997</v>
      </c>
      <c r="BH294" s="32">
        <v>950.4</v>
      </c>
      <c r="BJ294" s="30">
        <v>17.3</v>
      </c>
      <c r="BK294" s="34">
        <v>3.5352999999999999</v>
      </c>
      <c r="BL294" s="35">
        <v>0.14847999999999995</v>
      </c>
      <c r="BM294" s="36"/>
      <c r="BN294" s="30">
        <v>17.3</v>
      </c>
      <c r="BO294" s="34">
        <v>3.5920999999999998</v>
      </c>
      <c r="BP294" s="35">
        <v>0.15087</v>
      </c>
      <c r="BR294" s="37">
        <v>823</v>
      </c>
      <c r="BS294" s="38">
        <v>0.82340000000000002</v>
      </c>
      <c r="BT294" s="39">
        <v>40.35</v>
      </c>
      <c r="BV294" s="40">
        <v>823</v>
      </c>
      <c r="BW294" s="34">
        <v>0.90600000000000003</v>
      </c>
      <c r="BX294" s="41">
        <v>0.80889999999999995</v>
      </c>
      <c r="BY294" s="55"/>
    </row>
    <row r="295" spans="27:77">
      <c r="AA295" s="27"/>
      <c r="BF295" s="30">
        <v>17.399999999999999</v>
      </c>
      <c r="BG295" s="31">
        <v>0.95030000000000003</v>
      </c>
      <c r="BH295" s="32">
        <v>949.7</v>
      </c>
      <c r="BJ295" s="30">
        <v>17.399999999999999</v>
      </c>
      <c r="BK295" s="34">
        <v>3.5329999999999999</v>
      </c>
      <c r="BL295" s="35">
        <v>0.14837999999999993</v>
      </c>
      <c r="BM295" s="36"/>
      <c r="BN295" s="30">
        <v>17.399999999999999</v>
      </c>
      <c r="BO295" s="34">
        <v>3.5895999999999999</v>
      </c>
      <c r="BP295" s="35">
        <v>0.15076999999999999</v>
      </c>
      <c r="BR295" s="37">
        <v>824</v>
      </c>
      <c r="BS295" s="38">
        <v>0.82440000000000002</v>
      </c>
      <c r="BT295" s="39">
        <v>40.14</v>
      </c>
      <c r="BV295" s="40">
        <v>824</v>
      </c>
      <c r="BW295" s="34">
        <v>0.90710000000000002</v>
      </c>
      <c r="BX295" s="41">
        <v>0.80989999999999995</v>
      </c>
      <c r="BY295" s="55"/>
    </row>
    <row r="296" spans="27:77">
      <c r="AA296" s="27"/>
      <c r="BF296" s="30">
        <v>17.5</v>
      </c>
      <c r="BG296" s="31">
        <v>0.94969999999999999</v>
      </c>
      <c r="BH296" s="32">
        <v>949.1</v>
      </c>
      <c r="BJ296" s="30">
        <v>17.5</v>
      </c>
      <c r="BK296" s="34">
        <v>3.5306000000000002</v>
      </c>
      <c r="BL296" s="35">
        <v>0.14827999999999991</v>
      </c>
      <c r="BM296" s="36"/>
      <c r="BN296" s="30">
        <v>17.5</v>
      </c>
      <c r="BO296" s="34">
        <v>3.5872000000000002</v>
      </c>
      <c r="BP296" s="35">
        <v>0.15065999999999999</v>
      </c>
      <c r="BR296" s="37">
        <v>825</v>
      </c>
      <c r="BS296" s="38">
        <v>0.82540000000000002</v>
      </c>
      <c r="BT296" s="39">
        <v>39.93</v>
      </c>
      <c r="BV296" s="40">
        <v>825</v>
      </c>
      <c r="BW296" s="34">
        <v>0.90820000000000001</v>
      </c>
      <c r="BX296" s="41">
        <v>0.81089999999999995</v>
      </c>
      <c r="BY296" s="55"/>
    </row>
    <row r="297" spans="27:77">
      <c r="AA297" s="27"/>
      <c r="BF297" s="30">
        <v>17.600000000000001</v>
      </c>
      <c r="BG297" s="31">
        <v>0.94899999999999995</v>
      </c>
      <c r="BH297" s="32">
        <v>948.5</v>
      </c>
      <c r="BJ297" s="30">
        <v>17.600000000000001</v>
      </c>
      <c r="BK297" s="34">
        <v>3.5282</v>
      </c>
      <c r="BL297" s="35">
        <v>0.1481799999999999</v>
      </c>
      <c r="BM297" s="36"/>
      <c r="BN297" s="30">
        <v>17.600000000000001</v>
      </c>
      <c r="BO297" s="34">
        <v>3.5848</v>
      </c>
      <c r="BP297" s="35">
        <v>0.15056</v>
      </c>
      <c r="BR297" s="37">
        <v>826</v>
      </c>
      <c r="BS297" s="38">
        <v>0.82640000000000002</v>
      </c>
      <c r="BT297" s="39">
        <v>39.72</v>
      </c>
      <c r="BV297" s="40">
        <v>826</v>
      </c>
      <c r="BW297" s="34">
        <v>0.9093</v>
      </c>
      <c r="BX297" s="41">
        <v>0.81189999999999996</v>
      </c>
      <c r="BY297" s="55"/>
    </row>
    <row r="298" spans="27:77">
      <c r="AA298" s="27"/>
      <c r="BF298" s="30">
        <v>17.7</v>
      </c>
      <c r="BG298" s="31">
        <v>0.94840000000000002</v>
      </c>
      <c r="BH298" s="32">
        <v>947.8</v>
      </c>
      <c r="BJ298" s="30">
        <v>17.7</v>
      </c>
      <c r="BK298" s="34">
        <v>3.5257999999999998</v>
      </c>
      <c r="BL298" s="35">
        <v>0.14809</v>
      </c>
      <c r="BM298" s="36"/>
      <c r="BN298" s="30">
        <v>17.7</v>
      </c>
      <c r="BO298" s="34">
        <v>3.5823999999999998</v>
      </c>
      <c r="BP298" s="35">
        <v>0.15046000000000001</v>
      </c>
      <c r="BR298" s="37">
        <v>827</v>
      </c>
      <c r="BS298" s="38">
        <v>0.82740000000000002</v>
      </c>
      <c r="BT298" s="39">
        <v>39.51</v>
      </c>
      <c r="BV298" s="40">
        <v>827</v>
      </c>
      <c r="BW298" s="34">
        <v>0.91039999999999999</v>
      </c>
      <c r="BX298" s="41">
        <v>0.81289999999999996</v>
      </c>
      <c r="BY298" s="55"/>
    </row>
    <row r="299" spans="27:77">
      <c r="AA299" s="27"/>
      <c r="BF299" s="30">
        <v>17.8</v>
      </c>
      <c r="BG299" s="31">
        <v>0.94779999999999998</v>
      </c>
      <c r="BH299" s="32">
        <v>947.2</v>
      </c>
      <c r="BJ299" s="30">
        <v>17.8</v>
      </c>
      <c r="BK299" s="34">
        <v>3.5234999999999999</v>
      </c>
      <c r="BL299" s="35">
        <v>0.14799000000000001</v>
      </c>
      <c r="BM299" s="36"/>
      <c r="BN299" s="30">
        <v>17.8</v>
      </c>
      <c r="BO299" s="34">
        <v>3.58</v>
      </c>
      <c r="BP299" s="35">
        <v>0.15035999999999999</v>
      </c>
      <c r="BR299" s="37">
        <v>828</v>
      </c>
      <c r="BS299" s="38">
        <v>0.82840000000000003</v>
      </c>
      <c r="BT299" s="39">
        <v>39.31</v>
      </c>
      <c r="BV299" s="40">
        <v>828</v>
      </c>
      <c r="BW299" s="34">
        <v>0.91149999999999998</v>
      </c>
      <c r="BX299" s="41">
        <v>0.81379999999999997</v>
      </c>
      <c r="BY299" s="55"/>
    </row>
    <row r="300" spans="27:77">
      <c r="AA300" s="27"/>
      <c r="BF300" s="30">
        <v>17.899999999999999</v>
      </c>
      <c r="BG300" s="31">
        <v>0.94710000000000005</v>
      </c>
      <c r="BH300" s="32">
        <v>946.6</v>
      </c>
      <c r="BJ300" s="30">
        <v>17.899999999999999</v>
      </c>
      <c r="BK300" s="34">
        <v>3.5211000000000001</v>
      </c>
      <c r="BL300" s="35">
        <v>0.14788999999999999</v>
      </c>
      <c r="BM300" s="36"/>
      <c r="BN300" s="30">
        <v>17.899999999999999</v>
      </c>
      <c r="BO300" s="34">
        <v>3.5775999999999999</v>
      </c>
      <c r="BP300" s="35">
        <v>0.15026</v>
      </c>
      <c r="BR300" s="37">
        <v>829</v>
      </c>
      <c r="BS300" s="38">
        <v>0.82940000000000003</v>
      </c>
      <c r="BT300" s="39">
        <v>39.1</v>
      </c>
      <c r="BV300" s="40">
        <v>829</v>
      </c>
      <c r="BW300" s="34">
        <v>0.91259999999999997</v>
      </c>
      <c r="BX300" s="41">
        <v>0.81479999999999997</v>
      </c>
      <c r="BY300" s="55"/>
    </row>
    <row r="301" spans="27:77">
      <c r="AA301" s="27"/>
      <c r="BF301" s="30">
        <v>18</v>
      </c>
      <c r="BG301" s="31">
        <v>0.94650000000000001</v>
      </c>
      <c r="BH301" s="32">
        <v>945.9</v>
      </c>
      <c r="BJ301" s="30">
        <v>18</v>
      </c>
      <c r="BK301" s="34">
        <v>3.5188000000000001</v>
      </c>
      <c r="BL301" s="35">
        <v>0.14779</v>
      </c>
      <c r="BM301" s="36"/>
      <c r="BN301" s="30">
        <v>18</v>
      </c>
      <c r="BO301" s="34">
        <v>3.5752000000000002</v>
      </c>
      <c r="BP301" s="35">
        <v>0.15015999999999999</v>
      </c>
      <c r="BR301" s="37">
        <v>830</v>
      </c>
      <c r="BS301" s="38">
        <v>0.83040000000000003</v>
      </c>
      <c r="BT301" s="39">
        <v>38.9</v>
      </c>
      <c r="BV301" s="40">
        <v>830</v>
      </c>
      <c r="BW301" s="34">
        <v>0.91369999999999996</v>
      </c>
      <c r="BX301" s="41">
        <v>0.81579999999999997</v>
      </c>
      <c r="BY301" s="55"/>
    </row>
    <row r="302" spans="27:77">
      <c r="AA302" s="27"/>
      <c r="BF302" s="30">
        <v>18.100000000000001</v>
      </c>
      <c r="BG302" s="31">
        <v>0.94589999999999996</v>
      </c>
      <c r="BH302" s="32">
        <v>945.3</v>
      </c>
      <c r="BJ302" s="30">
        <v>18.100000000000001</v>
      </c>
      <c r="BK302" s="34">
        <v>3.5164</v>
      </c>
      <c r="BL302" s="35">
        <v>0.14769000000000002</v>
      </c>
      <c r="BM302" s="36"/>
      <c r="BN302" s="30">
        <v>18.100000000000001</v>
      </c>
      <c r="BO302" s="34">
        <v>3.5728</v>
      </c>
      <c r="BP302" s="35">
        <v>0.15006</v>
      </c>
      <c r="BR302" s="37">
        <v>831</v>
      </c>
      <c r="BS302" s="38">
        <v>0.83140000000000003</v>
      </c>
      <c r="BT302" s="39">
        <v>38.69</v>
      </c>
      <c r="BV302" s="40">
        <v>831</v>
      </c>
      <c r="BW302" s="34">
        <v>0.91479999999999995</v>
      </c>
      <c r="BX302" s="41">
        <v>0.81679999999999997</v>
      </c>
      <c r="BY302" s="55"/>
    </row>
    <row r="303" spans="27:77">
      <c r="AA303" s="27"/>
      <c r="BF303" s="30">
        <v>18.2</v>
      </c>
      <c r="BG303" s="31">
        <v>0.94520000000000004</v>
      </c>
      <c r="BH303" s="32">
        <v>944.7</v>
      </c>
      <c r="BJ303" s="30">
        <v>18.2</v>
      </c>
      <c r="BK303" s="34">
        <v>3.5139999999999998</v>
      </c>
      <c r="BL303" s="35">
        <v>0.14759000000000003</v>
      </c>
      <c r="BM303" s="36"/>
      <c r="BN303" s="30">
        <v>18.2</v>
      </c>
      <c r="BO303" s="34">
        <v>3.5703999999999998</v>
      </c>
      <c r="BP303" s="35">
        <v>0.14996000000000001</v>
      </c>
      <c r="BR303" s="37">
        <v>832</v>
      </c>
      <c r="BS303" s="38">
        <v>0.83240000000000003</v>
      </c>
      <c r="BT303" s="39">
        <v>38.49</v>
      </c>
      <c r="BV303" s="40">
        <v>832</v>
      </c>
      <c r="BW303" s="34">
        <v>0.91590000000000005</v>
      </c>
      <c r="BX303" s="41">
        <v>0.81779999999999997</v>
      </c>
      <c r="BY303" s="55"/>
    </row>
    <row r="304" spans="27:77">
      <c r="AA304" s="27"/>
      <c r="BF304" s="30">
        <v>18.3</v>
      </c>
      <c r="BG304" s="31">
        <v>0.9446</v>
      </c>
      <c r="BH304" s="32">
        <v>944</v>
      </c>
      <c r="BJ304" s="30">
        <v>18.3</v>
      </c>
      <c r="BK304" s="34">
        <v>3.5116999999999998</v>
      </c>
      <c r="BL304" s="35">
        <v>0.14749000000000004</v>
      </c>
      <c r="BM304" s="36"/>
      <c r="BN304" s="30">
        <v>18.3</v>
      </c>
      <c r="BO304" s="34">
        <v>3.5680999999999998</v>
      </c>
      <c r="BP304" s="35">
        <v>0.14985999999999999</v>
      </c>
      <c r="BR304" s="37">
        <v>833</v>
      </c>
      <c r="BS304" s="38">
        <v>0.83340000000000003</v>
      </c>
      <c r="BT304" s="39">
        <v>38.28</v>
      </c>
      <c r="BV304" s="40">
        <v>833</v>
      </c>
      <c r="BW304" s="34">
        <v>0.91700000000000004</v>
      </c>
      <c r="BX304" s="41">
        <v>0.81879999999999997</v>
      </c>
      <c r="BY304" s="55"/>
    </row>
    <row r="305" spans="27:77">
      <c r="AA305" s="27"/>
      <c r="BF305" s="30">
        <v>18.399999999999999</v>
      </c>
      <c r="BG305" s="31">
        <v>0.94399999999999995</v>
      </c>
      <c r="BH305" s="32">
        <v>943.4</v>
      </c>
      <c r="BJ305" s="30">
        <v>18.399999999999999</v>
      </c>
      <c r="BK305" s="34">
        <v>3.5093999999999999</v>
      </c>
      <c r="BL305" s="35">
        <v>0.14739000000000005</v>
      </c>
      <c r="BM305" s="36"/>
      <c r="BN305" s="30">
        <v>18.399999999999999</v>
      </c>
      <c r="BO305" s="34">
        <v>3.5657000000000001</v>
      </c>
      <c r="BP305" s="35">
        <v>0.14976</v>
      </c>
      <c r="BR305" s="37">
        <v>834</v>
      </c>
      <c r="BS305" s="38">
        <v>0.83440000000000003</v>
      </c>
      <c r="BT305" s="39">
        <v>38.08</v>
      </c>
      <c r="BV305" s="40">
        <v>834</v>
      </c>
      <c r="BW305" s="34">
        <v>0.91810000000000003</v>
      </c>
      <c r="BX305" s="41">
        <v>0.81979999999999997</v>
      </c>
      <c r="BY305" s="55"/>
    </row>
    <row r="306" spans="27:77">
      <c r="AA306" s="27"/>
      <c r="BF306" s="30">
        <v>18.5</v>
      </c>
      <c r="BG306" s="31">
        <v>0.94330000000000003</v>
      </c>
      <c r="BH306" s="32">
        <v>942.8</v>
      </c>
      <c r="BJ306" s="30">
        <v>18.5</v>
      </c>
      <c r="BK306" s="34">
        <v>3.5070000000000001</v>
      </c>
      <c r="BL306" s="35">
        <v>0.14729000000000006</v>
      </c>
      <c r="BM306" s="36"/>
      <c r="BN306" s="30">
        <v>18.5</v>
      </c>
      <c r="BO306" s="34">
        <v>3.5632999999999999</v>
      </c>
      <c r="BP306" s="35">
        <v>0.14965999999999999</v>
      </c>
      <c r="BR306" s="37">
        <v>835</v>
      </c>
      <c r="BS306" s="38">
        <v>0.83540000000000003</v>
      </c>
      <c r="BT306" s="39">
        <v>37.869999999999997</v>
      </c>
      <c r="BV306" s="40">
        <v>835</v>
      </c>
      <c r="BW306" s="34">
        <v>0.91920000000000002</v>
      </c>
      <c r="BX306" s="41">
        <v>0.82069999999999999</v>
      </c>
      <c r="BY306" s="55"/>
    </row>
    <row r="307" spans="27:77">
      <c r="AA307" s="27"/>
      <c r="BF307" s="30">
        <v>18.600000000000001</v>
      </c>
      <c r="BG307" s="31">
        <v>0.94269999999999998</v>
      </c>
      <c r="BH307" s="32">
        <v>942.2</v>
      </c>
      <c r="BJ307" s="30">
        <v>18.600000000000001</v>
      </c>
      <c r="BK307" s="34">
        <v>3.5047000000000001</v>
      </c>
      <c r="BL307" s="35">
        <v>0.1472</v>
      </c>
      <c r="BM307" s="36"/>
      <c r="BN307" s="30">
        <v>18.600000000000001</v>
      </c>
      <c r="BO307" s="34">
        <v>3.5609000000000002</v>
      </c>
      <c r="BP307" s="35">
        <v>0.14956</v>
      </c>
      <c r="BR307" s="37">
        <v>836</v>
      </c>
      <c r="BS307" s="38">
        <v>0.83640000000000003</v>
      </c>
      <c r="BT307" s="39">
        <v>37.67</v>
      </c>
      <c r="BV307" s="40">
        <v>836</v>
      </c>
      <c r="BW307" s="34">
        <v>0.92030000000000001</v>
      </c>
      <c r="BX307" s="41">
        <v>0.82169999999999999</v>
      </c>
      <c r="BY307" s="55"/>
    </row>
    <row r="308" spans="27:77">
      <c r="AA308" s="27"/>
      <c r="BF308" s="30">
        <v>18.7</v>
      </c>
      <c r="BG308" s="31">
        <v>0.94210000000000005</v>
      </c>
      <c r="BH308" s="32">
        <v>941.5</v>
      </c>
      <c r="BJ308" s="30">
        <v>18.7</v>
      </c>
      <c r="BK308" s="34">
        <v>3.5023</v>
      </c>
      <c r="BL308" s="35">
        <v>0.14710000000000001</v>
      </c>
      <c r="BM308" s="36"/>
      <c r="BN308" s="30">
        <v>18.7</v>
      </c>
      <c r="BO308" s="34">
        <v>3.5585</v>
      </c>
      <c r="BP308" s="35">
        <v>0.14946000000000001</v>
      </c>
      <c r="BR308" s="37">
        <v>837</v>
      </c>
      <c r="BS308" s="38">
        <v>0.83740000000000003</v>
      </c>
      <c r="BT308" s="39">
        <v>37.47</v>
      </c>
      <c r="BV308" s="40">
        <v>837</v>
      </c>
      <c r="BW308" s="34">
        <v>0.9214</v>
      </c>
      <c r="BX308" s="41">
        <v>0.82269999999999999</v>
      </c>
      <c r="BY308" s="55"/>
    </row>
    <row r="309" spans="27:77">
      <c r="AA309" s="27"/>
      <c r="BF309" s="30">
        <v>18.8</v>
      </c>
      <c r="BG309" s="31">
        <v>0.9415</v>
      </c>
      <c r="BH309" s="32">
        <v>940.9</v>
      </c>
      <c r="BJ309" s="30">
        <v>18.8</v>
      </c>
      <c r="BK309" s="34">
        <v>3.5</v>
      </c>
      <c r="BL309" s="35">
        <v>0.14700000000000002</v>
      </c>
      <c r="BM309" s="36"/>
      <c r="BN309" s="30">
        <v>18.8</v>
      </c>
      <c r="BO309" s="34">
        <v>3.5562</v>
      </c>
      <c r="BP309" s="35">
        <v>0.14935999999999999</v>
      </c>
      <c r="BR309" s="37">
        <v>838</v>
      </c>
      <c r="BS309" s="38">
        <v>0.83840000000000003</v>
      </c>
      <c r="BT309" s="39">
        <v>37.270000000000003</v>
      </c>
      <c r="BV309" s="40">
        <v>838</v>
      </c>
      <c r="BW309" s="34">
        <v>0.92249999999999999</v>
      </c>
      <c r="BX309" s="41">
        <v>0.82369999999999999</v>
      </c>
      <c r="BY309" s="55"/>
    </row>
    <row r="310" spans="27:77">
      <c r="AA310" s="27"/>
      <c r="BF310" s="30">
        <v>18.899999999999999</v>
      </c>
      <c r="BG310" s="31">
        <v>0.94079999999999997</v>
      </c>
      <c r="BH310" s="32">
        <v>940.3</v>
      </c>
      <c r="BJ310" s="30">
        <v>18.899999999999999</v>
      </c>
      <c r="BK310" s="34">
        <v>3.4977</v>
      </c>
      <c r="BL310" s="35">
        <v>0.14690000000000003</v>
      </c>
      <c r="BM310" s="36"/>
      <c r="BN310" s="30">
        <v>18.899999999999999</v>
      </c>
      <c r="BO310" s="34">
        <v>3.5537999999999998</v>
      </c>
      <c r="BP310" s="35">
        <v>0.14926</v>
      </c>
      <c r="BR310" s="37">
        <v>839</v>
      </c>
      <c r="BS310" s="38">
        <v>0.83940000000000003</v>
      </c>
      <c r="BT310" s="39">
        <v>37.07</v>
      </c>
      <c r="BV310" s="40">
        <v>839</v>
      </c>
      <c r="BW310" s="34">
        <v>0.92359999999999998</v>
      </c>
      <c r="BX310" s="41">
        <v>0.82469999999999999</v>
      </c>
      <c r="BY310" s="55"/>
    </row>
    <row r="311" spans="27:77">
      <c r="AA311" s="27"/>
      <c r="BF311" s="30">
        <v>19</v>
      </c>
      <c r="BG311" s="31">
        <v>0.94020000000000004</v>
      </c>
      <c r="BH311" s="32">
        <v>939.7</v>
      </c>
      <c r="BJ311" s="30">
        <v>19</v>
      </c>
      <c r="BK311" s="34">
        <v>3.4952999999999999</v>
      </c>
      <c r="BL311" s="35">
        <v>0.14680000000000004</v>
      </c>
      <c r="BM311" s="36"/>
      <c r="BN311" s="30">
        <v>19</v>
      </c>
      <c r="BO311" s="34">
        <v>3.5514000000000001</v>
      </c>
      <c r="BP311" s="35">
        <v>0.14915999999999999</v>
      </c>
      <c r="BR311" s="37">
        <v>840</v>
      </c>
      <c r="BS311" s="38">
        <v>0.84040000000000004</v>
      </c>
      <c r="BT311" s="39">
        <v>36.86</v>
      </c>
      <c r="BV311" s="40">
        <v>840</v>
      </c>
      <c r="BW311" s="34">
        <v>0.92469999999999997</v>
      </c>
      <c r="BX311" s="41">
        <v>0.82569999999999999</v>
      </c>
      <c r="BY311" s="55"/>
    </row>
    <row r="312" spans="27:77">
      <c r="AA312" s="27"/>
      <c r="BF312" s="30">
        <v>19.100000000000001</v>
      </c>
      <c r="BG312" s="31">
        <v>0.93959999999999999</v>
      </c>
      <c r="BH312" s="32">
        <v>939</v>
      </c>
      <c r="BJ312" s="30">
        <v>19.100000000000001</v>
      </c>
      <c r="BK312" s="34">
        <v>3.4929999999999999</v>
      </c>
      <c r="BL312" s="35">
        <v>0.14671000000000001</v>
      </c>
      <c r="BM312" s="36"/>
      <c r="BN312" s="30">
        <v>19.100000000000001</v>
      </c>
      <c r="BO312" s="34">
        <v>3.5491000000000001</v>
      </c>
      <c r="BP312" s="35">
        <v>0.14906</v>
      </c>
      <c r="BR312" s="37">
        <v>841</v>
      </c>
      <c r="BS312" s="38">
        <v>0.84140000000000004</v>
      </c>
      <c r="BT312" s="39">
        <v>36.659999999999997</v>
      </c>
      <c r="BV312" s="40">
        <v>841</v>
      </c>
      <c r="BW312" s="34">
        <v>0.92579999999999996</v>
      </c>
      <c r="BX312" s="41">
        <v>0.8266</v>
      </c>
      <c r="BY312" s="55"/>
    </row>
    <row r="313" spans="27:77">
      <c r="AA313" s="27"/>
      <c r="BF313" s="30">
        <v>19.2</v>
      </c>
      <c r="BG313" s="31">
        <v>0.93899999999999995</v>
      </c>
      <c r="BH313" s="32">
        <v>938.4</v>
      </c>
      <c r="BJ313" s="30">
        <v>19.2</v>
      </c>
      <c r="BK313" s="34">
        <v>3.4906999999999999</v>
      </c>
      <c r="BL313" s="35">
        <v>0.14660999999999999</v>
      </c>
      <c r="BM313" s="36"/>
      <c r="BN313" s="30">
        <v>19.2</v>
      </c>
      <c r="BO313" s="34">
        <v>3.5467</v>
      </c>
      <c r="BP313" s="35">
        <v>0.14896000000000001</v>
      </c>
      <c r="BR313" s="37">
        <v>842</v>
      </c>
      <c r="BS313" s="38">
        <v>0.84240000000000004</v>
      </c>
      <c r="BT313" s="39">
        <v>36.46</v>
      </c>
      <c r="BV313" s="40">
        <v>842</v>
      </c>
      <c r="BW313" s="34">
        <v>0.92689999999999995</v>
      </c>
      <c r="BX313" s="41">
        <v>0.8276</v>
      </c>
      <c r="BY313" s="55"/>
    </row>
    <row r="314" spans="27:77">
      <c r="AA314" s="27"/>
      <c r="BF314" s="30">
        <v>19.3</v>
      </c>
      <c r="BG314" s="31">
        <v>0.93830000000000002</v>
      </c>
      <c r="BH314" s="32">
        <v>937.8</v>
      </c>
      <c r="BJ314" s="30">
        <v>19.3</v>
      </c>
      <c r="BK314" s="34">
        <v>3.4883999999999999</v>
      </c>
      <c r="BL314" s="35">
        <v>0.14651</v>
      </c>
      <c r="BM314" s="36"/>
      <c r="BN314" s="30">
        <v>19.3</v>
      </c>
      <c r="BO314" s="34">
        <v>3.5444</v>
      </c>
      <c r="BP314" s="35">
        <v>0.14885999999999999</v>
      </c>
      <c r="BR314" s="37">
        <v>843</v>
      </c>
      <c r="BS314" s="38">
        <v>0.84340000000000004</v>
      </c>
      <c r="BT314" s="39">
        <v>36.270000000000003</v>
      </c>
      <c r="BV314" s="40">
        <v>843</v>
      </c>
      <c r="BW314" s="34">
        <v>0.92800000000000005</v>
      </c>
      <c r="BX314" s="41">
        <v>0.8286</v>
      </c>
      <c r="BY314" s="55"/>
    </row>
    <row r="315" spans="27:77">
      <c r="AA315" s="27"/>
      <c r="BF315" s="30">
        <v>19.399999999999999</v>
      </c>
      <c r="BG315" s="31">
        <v>0.93769999999999998</v>
      </c>
      <c r="BH315" s="32">
        <v>937.2</v>
      </c>
      <c r="BJ315" s="30">
        <v>19.399999999999999</v>
      </c>
      <c r="BK315" s="34">
        <v>3.4861</v>
      </c>
      <c r="BL315" s="35">
        <v>0.14641000000000001</v>
      </c>
      <c r="BM315" s="36"/>
      <c r="BN315" s="30">
        <v>19.399999999999999</v>
      </c>
      <c r="BO315" s="34">
        <v>3.5419999999999998</v>
      </c>
      <c r="BP315" s="35">
        <v>0.14876</v>
      </c>
      <c r="BR315" s="37">
        <v>844</v>
      </c>
      <c r="BS315" s="38">
        <v>0.84440000000000004</v>
      </c>
      <c r="BT315" s="39">
        <v>36.07</v>
      </c>
      <c r="BV315" s="40">
        <v>844</v>
      </c>
      <c r="BW315" s="34">
        <v>0.92910000000000004</v>
      </c>
      <c r="BX315" s="41">
        <v>0.8296</v>
      </c>
      <c r="BY315" s="55"/>
    </row>
    <row r="316" spans="27:77">
      <c r="AA316" s="27"/>
      <c r="BF316" s="30">
        <v>19.5</v>
      </c>
      <c r="BG316" s="31">
        <v>0.93710000000000004</v>
      </c>
      <c r="BH316" s="32">
        <v>936.5</v>
      </c>
      <c r="BJ316" s="30">
        <v>19.5</v>
      </c>
      <c r="BK316" s="34">
        <v>3.4838</v>
      </c>
      <c r="BL316" s="35">
        <v>0.14632000000000001</v>
      </c>
      <c r="BM316" s="36"/>
      <c r="BN316" s="30">
        <v>19.5</v>
      </c>
      <c r="BO316" s="34">
        <v>3.5396999999999998</v>
      </c>
      <c r="BP316" s="35">
        <v>0.14867</v>
      </c>
      <c r="BR316" s="37">
        <v>845</v>
      </c>
      <c r="BS316" s="38">
        <v>0.84540000000000004</v>
      </c>
      <c r="BT316" s="39">
        <v>35.869999999999997</v>
      </c>
      <c r="BV316" s="40">
        <v>845</v>
      </c>
      <c r="BW316" s="34">
        <v>0.93020000000000003</v>
      </c>
      <c r="BX316" s="41">
        <v>0.8306</v>
      </c>
      <c r="BY316" s="55"/>
    </row>
    <row r="317" spans="27:77">
      <c r="AA317" s="27"/>
      <c r="BF317" s="30">
        <v>19.600000000000001</v>
      </c>
      <c r="BG317" s="31">
        <v>0.9365</v>
      </c>
      <c r="BH317" s="32">
        <v>935.9</v>
      </c>
      <c r="BJ317" s="30">
        <v>19.600000000000001</v>
      </c>
      <c r="BK317" s="34">
        <v>3.4813999999999998</v>
      </c>
      <c r="BL317" s="35">
        <v>0.14621999999999999</v>
      </c>
      <c r="BM317" s="36"/>
      <c r="BN317" s="30">
        <v>19.600000000000001</v>
      </c>
      <c r="BO317" s="34">
        <v>3.5373000000000001</v>
      </c>
      <c r="BP317" s="35">
        <v>0.14857000000000001</v>
      </c>
      <c r="BR317" s="37">
        <v>846</v>
      </c>
      <c r="BS317" s="38">
        <v>0.84640000000000004</v>
      </c>
      <c r="BT317" s="39">
        <v>35.67</v>
      </c>
      <c r="BV317" s="40">
        <v>846</v>
      </c>
      <c r="BW317" s="34">
        <v>0.93140000000000001</v>
      </c>
      <c r="BX317" s="41">
        <v>0.83160000000000001</v>
      </c>
      <c r="BY317" s="55"/>
    </row>
    <row r="318" spans="27:77">
      <c r="AA318" s="27"/>
      <c r="BF318" s="30">
        <v>19.7</v>
      </c>
      <c r="BG318" s="31">
        <v>0.93579999999999997</v>
      </c>
      <c r="BH318" s="32">
        <v>935.3</v>
      </c>
      <c r="BJ318" s="30">
        <v>19.7</v>
      </c>
      <c r="BK318" s="34">
        <v>3.4790999999999999</v>
      </c>
      <c r="BL318" s="35">
        <v>0.14612</v>
      </c>
      <c r="BM318" s="36"/>
      <c r="BN318" s="30">
        <v>19.7</v>
      </c>
      <c r="BO318" s="34">
        <v>3.5350000000000001</v>
      </c>
      <c r="BP318" s="35">
        <v>0.14846999999999999</v>
      </c>
      <c r="BR318" s="37">
        <v>847</v>
      </c>
      <c r="BS318" s="38">
        <v>0.84740000000000004</v>
      </c>
      <c r="BT318" s="39">
        <v>35.47</v>
      </c>
      <c r="BV318" s="40">
        <v>847</v>
      </c>
      <c r="BW318" s="34">
        <v>0.9325</v>
      </c>
      <c r="BX318" s="41">
        <v>0.83250000000000002</v>
      </c>
      <c r="BY318" s="55"/>
    </row>
    <row r="319" spans="27:77">
      <c r="AA319" s="27"/>
      <c r="BF319" s="30">
        <v>19.8</v>
      </c>
      <c r="BG319" s="31">
        <v>0.93520000000000003</v>
      </c>
      <c r="BH319" s="32">
        <v>934.7</v>
      </c>
      <c r="BJ319" s="30">
        <v>19.8</v>
      </c>
      <c r="BK319" s="34">
        <v>3.4767999999999999</v>
      </c>
      <c r="BL319" s="35">
        <v>0.14602999999999999</v>
      </c>
      <c r="BM319" s="36"/>
      <c r="BN319" s="30">
        <v>19.8</v>
      </c>
      <c r="BO319" s="34">
        <v>3.5326</v>
      </c>
      <c r="BP319" s="35">
        <v>0.14837</v>
      </c>
      <c r="BR319" s="37">
        <v>848</v>
      </c>
      <c r="BS319" s="38">
        <v>0.84840000000000004</v>
      </c>
      <c r="BT319" s="39">
        <v>35.28</v>
      </c>
      <c r="BV319" s="40">
        <v>848</v>
      </c>
      <c r="BW319" s="34">
        <v>0.93359999999999999</v>
      </c>
      <c r="BX319" s="41">
        <v>0.83350000000000002</v>
      </c>
      <c r="BY319" s="55"/>
    </row>
    <row r="320" spans="27:77">
      <c r="AA320" s="27"/>
      <c r="BF320" s="30">
        <v>19.899999999999999</v>
      </c>
      <c r="BG320" s="31">
        <v>0.93459999999999999</v>
      </c>
      <c r="BH320" s="32">
        <v>934.1</v>
      </c>
      <c r="BJ320" s="30">
        <v>19.899999999999999</v>
      </c>
      <c r="BK320" s="34">
        <v>3.4744999999999999</v>
      </c>
      <c r="BL320" s="35">
        <v>0.14593</v>
      </c>
      <c r="BM320" s="36"/>
      <c r="BN320" s="30">
        <v>19.899999999999999</v>
      </c>
      <c r="BO320" s="34">
        <v>3.5303</v>
      </c>
      <c r="BP320" s="35">
        <v>0.14827000000000001</v>
      </c>
      <c r="BR320" s="37">
        <v>849</v>
      </c>
      <c r="BS320" s="38">
        <v>0.84940000000000004</v>
      </c>
      <c r="BT320" s="39">
        <v>35.08</v>
      </c>
      <c r="BV320" s="40">
        <v>849</v>
      </c>
      <c r="BW320" s="34">
        <v>0.93469999999999998</v>
      </c>
      <c r="BX320" s="41">
        <v>0.83450000000000002</v>
      </c>
      <c r="BY320" s="55"/>
    </row>
    <row r="321" spans="27:77">
      <c r="AA321" s="27"/>
      <c r="BF321" s="30">
        <v>20</v>
      </c>
      <c r="BG321" s="31">
        <v>0.93400000000000005</v>
      </c>
      <c r="BH321" s="32">
        <v>933.5</v>
      </c>
      <c r="BJ321" s="30">
        <v>20</v>
      </c>
      <c r="BK321" s="34">
        <v>3.4722</v>
      </c>
      <c r="BL321" s="35">
        <v>0.14582999999999999</v>
      </c>
      <c r="BM321" s="36"/>
      <c r="BN321" s="30">
        <v>20</v>
      </c>
      <c r="BO321" s="34">
        <v>3.528</v>
      </c>
      <c r="BP321" s="35">
        <v>0.14817</v>
      </c>
      <c r="BR321" s="37">
        <v>850</v>
      </c>
      <c r="BS321" s="38">
        <v>0.85040000000000004</v>
      </c>
      <c r="BT321" s="39">
        <v>34.880000000000003</v>
      </c>
      <c r="BV321" s="40">
        <v>850</v>
      </c>
      <c r="BW321" s="34">
        <v>0.93579999999999997</v>
      </c>
      <c r="BX321" s="41">
        <v>0.83550000000000002</v>
      </c>
      <c r="BY321" s="55"/>
    </row>
    <row r="322" spans="27:77">
      <c r="AA322" s="27"/>
      <c r="BF322" s="30">
        <v>20.100000000000001</v>
      </c>
      <c r="BG322" s="31">
        <v>0.93340000000000001</v>
      </c>
      <c r="BH322" s="32">
        <v>932.8</v>
      </c>
      <c r="BJ322" s="30">
        <v>20.100000000000001</v>
      </c>
      <c r="BK322" s="34">
        <v>3.4699</v>
      </c>
      <c r="BL322" s="35">
        <v>0.14574000000000001</v>
      </c>
      <c r="BM322" s="36"/>
      <c r="BN322" s="30">
        <v>20.100000000000001</v>
      </c>
      <c r="BO322" s="34">
        <v>3.5255999999999998</v>
      </c>
      <c r="BP322" s="35">
        <v>0.14807999999999999</v>
      </c>
      <c r="BR322" s="37">
        <v>851</v>
      </c>
      <c r="BS322" s="38">
        <v>0.85140000000000005</v>
      </c>
      <c r="BT322" s="39">
        <v>34.69</v>
      </c>
      <c r="BV322" s="40">
        <v>851</v>
      </c>
      <c r="BW322" s="34">
        <v>0.93689999999999996</v>
      </c>
      <c r="BX322" s="41">
        <v>0.83650000000000002</v>
      </c>
      <c r="BY322" s="55"/>
    </row>
    <row r="323" spans="27:77">
      <c r="AA323" s="27"/>
      <c r="BF323" s="30">
        <v>20.2</v>
      </c>
      <c r="BG323" s="31">
        <v>0.93279999999999996</v>
      </c>
      <c r="BH323" s="32">
        <v>932.2</v>
      </c>
      <c r="BJ323" s="30">
        <v>20.2</v>
      </c>
      <c r="BK323" s="34">
        <v>3.4676999999999998</v>
      </c>
      <c r="BL323" s="35">
        <v>0.14563999999999999</v>
      </c>
      <c r="BM323" s="36"/>
      <c r="BN323" s="30">
        <v>20.2</v>
      </c>
      <c r="BO323" s="34">
        <v>3.5232999999999999</v>
      </c>
      <c r="BP323" s="35">
        <v>0.14798</v>
      </c>
      <c r="BR323" s="37">
        <v>852</v>
      </c>
      <c r="BS323" s="38">
        <v>0.85250000000000004</v>
      </c>
      <c r="BT323" s="39">
        <v>34.49</v>
      </c>
      <c r="BV323" s="40">
        <v>852</v>
      </c>
      <c r="BW323" s="34">
        <v>0.93799999999999994</v>
      </c>
      <c r="BX323" s="41">
        <v>0.83750000000000002</v>
      </c>
      <c r="BY323" s="55"/>
    </row>
    <row r="324" spans="27:77">
      <c r="AA324" s="27"/>
      <c r="BF324" s="30">
        <v>20.3</v>
      </c>
      <c r="BG324" s="31">
        <v>0.93210000000000004</v>
      </c>
      <c r="BH324" s="32">
        <v>931.6</v>
      </c>
      <c r="BJ324" s="30">
        <v>20.3</v>
      </c>
      <c r="BK324" s="34">
        <v>3.4653999999999998</v>
      </c>
      <c r="BL324" s="35">
        <v>0.14555000000000001</v>
      </c>
      <c r="BM324" s="36"/>
      <c r="BN324" s="30">
        <v>20.3</v>
      </c>
      <c r="BO324" s="34">
        <v>3.5209999999999999</v>
      </c>
      <c r="BP324" s="35">
        <v>0.14788000000000001</v>
      </c>
      <c r="BR324" s="37">
        <v>853</v>
      </c>
      <c r="BS324" s="38">
        <v>0.85350000000000004</v>
      </c>
      <c r="BT324" s="39">
        <v>34.299999999999997</v>
      </c>
      <c r="BV324" s="40">
        <v>853</v>
      </c>
      <c r="BW324" s="34">
        <v>0.93910000000000005</v>
      </c>
      <c r="BX324" s="41">
        <v>0.83850000000000002</v>
      </c>
      <c r="BY324" s="55"/>
    </row>
    <row r="325" spans="27:77">
      <c r="AA325" s="27"/>
      <c r="BF325" s="30">
        <v>20.399999999999999</v>
      </c>
      <c r="BG325" s="31">
        <v>0.93149999999999999</v>
      </c>
      <c r="BH325" s="32">
        <v>931</v>
      </c>
      <c r="BJ325" s="30">
        <v>20.399999999999999</v>
      </c>
      <c r="BK325" s="34">
        <v>3.4630999999999998</v>
      </c>
      <c r="BL325" s="35">
        <v>0.14545</v>
      </c>
      <c r="BM325" s="36"/>
      <c r="BN325" s="30">
        <v>20.399999999999999</v>
      </c>
      <c r="BO325" s="34">
        <v>3.5186999999999999</v>
      </c>
      <c r="BP325" s="35">
        <v>0.14777999999999999</v>
      </c>
      <c r="BR325" s="37">
        <v>854</v>
      </c>
      <c r="BS325" s="38">
        <v>0.85450000000000004</v>
      </c>
      <c r="BT325" s="39">
        <v>34.1</v>
      </c>
      <c r="BV325" s="40">
        <v>854</v>
      </c>
      <c r="BW325" s="34">
        <v>0.94020000000000004</v>
      </c>
      <c r="BX325" s="41">
        <v>0.83940000000000003</v>
      </c>
      <c r="BY325" s="55"/>
    </row>
    <row r="326" spans="27:77">
      <c r="AA326" s="27"/>
      <c r="BF326" s="30">
        <v>20.5</v>
      </c>
      <c r="BG326" s="31">
        <v>0.93089999999999995</v>
      </c>
      <c r="BH326" s="32">
        <v>930.4</v>
      </c>
      <c r="BJ326" s="30">
        <v>20.5</v>
      </c>
      <c r="BK326" s="34">
        <v>3.4607999999999999</v>
      </c>
      <c r="BL326" s="35">
        <v>0.14535000000000001</v>
      </c>
      <c r="BM326" s="36"/>
      <c r="BN326" s="30">
        <v>20.5</v>
      </c>
      <c r="BO326" s="34">
        <v>3.5163000000000002</v>
      </c>
      <c r="BP326" s="35">
        <v>0.14768999999999999</v>
      </c>
      <c r="BR326" s="37">
        <v>855</v>
      </c>
      <c r="BS326" s="38">
        <v>0.85550000000000004</v>
      </c>
      <c r="BT326" s="39">
        <v>33.909999999999997</v>
      </c>
      <c r="BV326" s="40">
        <v>855</v>
      </c>
      <c r="BW326" s="34">
        <v>0.94130000000000003</v>
      </c>
      <c r="BX326" s="41">
        <v>0.84040000000000004</v>
      </c>
      <c r="BY326" s="55"/>
    </row>
    <row r="327" spans="27:77">
      <c r="AA327" s="27"/>
      <c r="BF327" s="30">
        <v>20.6</v>
      </c>
      <c r="BG327" s="31">
        <v>0.93030000000000002</v>
      </c>
      <c r="BH327" s="32">
        <v>929.8</v>
      </c>
      <c r="BJ327" s="30">
        <v>20.6</v>
      </c>
      <c r="BK327" s="34">
        <v>3.4584999999999999</v>
      </c>
      <c r="BL327" s="35">
        <v>0.14526</v>
      </c>
      <c r="BM327" s="36"/>
      <c r="BN327" s="30">
        <v>20.6</v>
      </c>
      <c r="BO327" s="34">
        <v>3.5139999999999998</v>
      </c>
      <c r="BP327" s="35">
        <v>0.14759</v>
      </c>
      <c r="BR327" s="37">
        <v>856</v>
      </c>
      <c r="BS327" s="38">
        <v>0.85650000000000004</v>
      </c>
      <c r="BT327" s="39">
        <v>33.72</v>
      </c>
      <c r="BV327" s="40">
        <v>856</v>
      </c>
      <c r="BW327" s="34">
        <v>0.94240000000000002</v>
      </c>
      <c r="BX327" s="41">
        <v>0.84140000000000004</v>
      </c>
      <c r="BY327" s="55"/>
    </row>
    <row r="328" spans="27:77">
      <c r="AA328" s="27"/>
      <c r="BF328" s="30">
        <v>20.7</v>
      </c>
      <c r="BG328" s="31">
        <v>0.92969999999999997</v>
      </c>
      <c r="BH328" s="32">
        <v>929.2</v>
      </c>
      <c r="BJ328" s="30">
        <v>20.7</v>
      </c>
      <c r="BK328" s="34">
        <v>3.4563000000000001</v>
      </c>
      <c r="BL328" s="35">
        <v>0.14516000000000001</v>
      </c>
      <c r="BM328" s="36"/>
      <c r="BN328" s="30">
        <v>20.7</v>
      </c>
      <c r="BO328" s="34">
        <v>3.5116999999999998</v>
      </c>
      <c r="BP328" s="35">
        <v>0.14749000000000001</v>
      </c>
      <c r="BR328" s="37">
        <v>857</v>
      </c>
      <c r="BS328" s="38">
        <v>0.85750000000000004</v>
      </c>
      <c r="BT328" s="39">
        <v>33.520000000000003</v>
      </c>
      <c r="BV328" s="40">
        <v>857</v>
      </c>
      <c r="BW328" s="34">
        <v>0.94350000000000001</v>
      </c>
      <c r="BX328" s="41">
        <v>0.84240000000000004</v>
      </c>
      <c r="BY328" s="55"/>
    </row>
    <row r="329" spans="27:77">
      <c r="AA329" s="27"/>
      <c r="BF329" s="30">
        <v>20.8</v>
      </c>
      <c r="BG329" s="31">
        <v>0.92910000000000004</v>
      </c>
      <c r="BH329" s="32">
        <v>928.6</v>
      </c>
      <c r="BJ329" s="30">
        <v>20.8</v>
      </c>
      <c r="BK329" s="34">
        <v>3.4540000000000002</v>
      </c>
      <c r="BL329" s="35">
        <v>0.14507</v>
      </c>
      <c r="BM329" s="36"/>
      <c r="BN329" s="30">
        <v>20.8</v>
      </c>
      <c r="BO329" s="34">
        <v>3.5093999999999999</v>
      </c>
      <c r="BP329" s="35">
        <v>0.1474</v>
      </c>
      <c r="BR329" s="37">
        <v>858</v>
      </c>
      <c r="BS329" s="38">
        <v>0.85850000000000004</v>
      </c>
      <c r="BT329" s="39">
        <v>33.33</v>
      </c>
      <c r="BV329" s="40">
        <v>858</v>
      </c>
      <c r="BW329" s="34">
        <v>0.9446</v>
      </c>
      <c r="BX329" s="41">
        <v>0.84340000000000004</v>
      </c>
      <c r="BY329" s="55"/>
    </row>
    <row r="330" spans="27:77">
      <c r="AA330" s="27"/>
      <c r="BF330" s="30">
        <v>20.9</v>
      </c>
      <c r="BG330" s="31">
        <v>0.92849999999999999</v>
      </c>
      <c r="BH330" s="32">
        <v>927.9</v>
      </c>
      <c r="BJ330" s="30">
        <v>20.9</v>
      </c>
      <c r="BK330" s="34">
        <v>3.4517000000000002</v>
      </c>
      <c r="BL330" s="35">
        <v>0.14496999999999999</v>
      </c>
      <c r="BM330" s="36"/>
      <c r="BN330" s="30">
        <v>20.9</v>
      </c>
      <c r="BO330" s="34">
        <v>3.5070999999999999</v>
      </c>
      <c r="BP330" s="35">
        <v>0.14729999999999999</v>
      </c>
      <c r="BR330" s="37">
        <v>859</v>
      </c>
      <c r="BS330" s="38">
        <v>0.85950000000000004</v>
      </c>
      <c r="BT330" s="39">
        <v>33.14</v>
      </c>
      <c r="BV330" s="40">
        <v>859</v>
      </c>
      <c r="BW330" s="34">
        <v>0.94569999999999999</v>
      </c>
      <c r="BX330" s="41">
        <v>0.84440000000000004</v>
      </c>
      <c r="BY330" s="55"/>
    </row>
    <row r="331" spans="27:77">
      <c r="AA331" s="27"/>
      <c r="BF331" s="30">
        <v>21</v>
      </c>
      <c r="BG331" s="31">
        <v>0.92789999999999995</v>
      </c>
      <c r="BH331" s="32">
        <v>927.3</v>
      </c>
      <c r="BJ331" s="30">
        <v>21</v>
      </c>
      <c r="BK331" s="34">
        <v>3.4493999999999998</v>
      </c>
      <c r="BL331" s="35">
        <v>0.14488000000000001</v>
      </c>
      <c r="BM331" s="36"/>
      <c r="BN331" s="30">
        <v>21</v>
      </c>
      <c r="BO331" s="34">
        <v>3.5047999999999999</v>
      </c>
      <c r="BP331" s="35">
        <v>0.1472</v>
      </c>
      <c r="BR331" s="37">
        <v>860</v>
      </c>
      <c r="BS331" s="38">
        <v>0.86050000000000004</v>
      </c>
      <c r="BT331" s="39">
        <v>32.950000000000003</v>
      </c>
      <c r="BV331" s="40">
        <v>860</v>
      </c>
      <c r="BW331" s="34">
        <v>0.94679999999999997</v>
      </c>
      <c r="BX331" s="41">
        <v>0.84530000000000005</v>
      </c>
      <c r="BY331" s="55"/>
    </row>
    <row r="332" spans="27:77">
      <c r="AA332" s="27"/>
      <c r="BF332" s="30">
        <v>21.1</v>
      </c>
      <c r="BG332" s="31">
        <v>0.92730000000000001</v>
      </c>
      <c r="BH332" s="32">
        <v>926.7</v>
      </c>
      <c r="BJ332" s="30">
        <v>21.1</v>
      </c>
      <c r="BK332" s="34">
        <v>3.4472</v>
      </c>
      <c r="BL332" s="35">
        <v>0.14477999999999999</v>
      </c>
      <c r="BM332" s="36"/>
      <c r="BN332" s="30">
        <v>21.1</v>
      </c>
      <c r="BO332" s="34">
        <v>3.5024999999999999</v>
      </c>
      <c r="BP332" s="35">
        <v>0.14710000000000001</v>
      </c>
      <c r="BR332" s="37">
        <v>861</v>
      </c>
      <c r="BS332" s="38">
        <v>0.86150000000000004</v>
      </c>
      <c r="BT332" s="39">
        <v>32.76</v>
      </c>
      <c r="BV332" s="40">
        <v>861</v>
      </c>
      <c r="BW332" s="34">
        <v>0.94789999999999996</v>
      </c>
      <c r="BX332" s="41">
        <v>0.84630000000000005</v>
      </c>
      <c r="BY332" s="55"/>
    </row>
    <row r="333" spans="27:77">
      <c r="AA333" s="27"/>
      <c r="BF333" s="30">
        <v>21.2</v>
      </c>
      <c r="BG333" s="31">
        <v>0.92669999999999997</v>
      </c>
      <c r="BH333" s="32">
        <v>926.1</v>
      </c>
      <c r="BJ333" s="30">
        <v>21.2</v>
      </c>
      <c r="BK333" s="34">
        <v>3.4449000000000001</v>
      </c>
      <c r="BL333" s="35">
        <v>0.14469000000000001</v>
      </c>
      <c r="BM333" s="36"/>
      <c r="BN333" s="30">
        <v>21.2</v>
      </c>
      <c r="BO333" s="34">
        <v>3.5002</v>
      </c>
      <c r="BP333" s="35">
        <v>0.14701</v>
      </c>
      <c r="BR333" s="37">
        <v>862</v>
      </c>
      <c r="BS333" s="38">
        <v>0.86250000000000004</v>
      </c>
      <c r="BT333" s="39">
        <v>32.57</v>
      </c>
      <c r="BV333" s="40">
        <v>862</v>
      </c>
      <c r="BW333" s="34">
        <v>0.94899999999999995</v>
      </c>
      <c r="BX333" s="41">
        <v>0.84730000000000005</v>
      </c>
      <c r="BY333" s="55"/>
    </row>
    <row r="334" spans="27:77">
      <c r="AA334" s="27"/>
      <c r="BF334" s="30">
        <v>21.3</v>
      </c>
      <c r="BG334" s="31">
        <v>0.92600000000000005</v>
      </c>
      <c r="BH334" s="32">
        <v>925.5</v>
      </c>
      <c r="BJ334" s="30">
        <v>21.3</v>
      </c>
      <c r="BK334" s="34">
        <v>3.4426999999999999</v>
      </c>
      <c r="BL334" s="35">
        <v>0.14459</v>
      </c>
      <c r="BM334" s="36"/>
      <c r="BN334" s="30">
        <v>21.3</v>
      </c>
      <c r="BO334" s="34">
        <v>3.4979</v>
      </c>
      <c r="BP334" s="35">
        <v>0.14691000000000001</v>
      </c>
      <c r="BR334" s="37">
        <v>863</v>
      </c>
      <c r="BS334" s="38">
        <v>0.86350000000000005</v>
      </c>
      <c r="BT334" s="39">
        <v>32.380000000000003</v>
      </c>
      <c r="BV334" s="40">
        <v>863</v>
      </c>
      <c r="BW334" s="34">
        <v>0.95009999999999994</v>
      </c>
      <c r="BX334" s="41">
        <v>0.84830000000000005</v>
      </c>
      <c r="BY334" s="55"/>
    </row>
    <row r="335" spans="27:77">
      <c r="AA335" s="27"/>
      <c r="BF335" s="30">
        <v>21.4</v>
      </c>
      <c r="BG335" s="31">
        <v>0.9254</v>
      </c>
      <c r="BH335" s="32">
        <v>924.9</v>
      </c>
      <c r="BJ335" s="30">
        <v>21.4</v>
      </c>
      <c r="BK335" s="34">
        <v>3.4403999999999999</v>
      </c>
      <c r="BL335" s="35">
        <v>0.14449999999999999</v>
      </c>
      <c r="BM335" s="36"/>
      <c r="BN335" s="30">
        <v>21.4</v>
      </c>
      <c r="BO335" s="34">
        <v>3.4956</v>
      </c>
      <c r="BP335" s="35">
        <v>0.14682000000000001</v>
      </c>
      <c r="BR335" s="37">
        <v>864</v>
      </c>
      <c r="BS335" s="38">
        <v>0.86450000000000005</v>
      </c>
      <c r="BT335" s="39">
        <v>32.19</v>
      </c>
      <c r="BV335" s="40">
        <v>864</v>
      </c>
      <c r="BW335" s="34">
        <v>0.95120000000000005</v>
      </c>
      <c r="BX335" s="41">
        <v>0.84930000000000005</v>
      </c>
      <c r="BY335" s="55"/>
    </row>
    <row r="336" spans="27:77">
      <c r="AA336" s="27"/>
      <c r="BF336" s="30">
        <v>21.5</v>
      </c>
      <c r="BG336" s="31">
        <v>0.92479999999999996</v>
      </c>
      <c r="BH336" s="32">
        <v>924.3</v>
      </c>
      <c r="BJ336" s="30">
        <v>21.5</v>
      </c>
      <c r="BK336" s="34">
        <v>3.4382000000000001</v>
      </c>
      <c r="BL336" s="35">
        <v>0.1444</v>
      </c>
      <c r="BM336" s="36"/>
      <c r="BN336" s="30">
        <v>21.5</v>
      </c>
      <c r="BO336" s="34">
        <v>3.4933000000000001</v>
      </c>
      <c r="BP336" s="35">
        <v>0.14671999999999999</v>
      </c>
      <c r="BR336" s="37">
        <v>865</v>
      </c>
      <c r="BS336" s="38">
        <v>0.86550000000000005</v>
      </c>
      <c r="BT336" s="39">
        <v>32</v>
      </c>
      <c r="BV336" s="40">
        <v>865</v>
      </c>
      <c r="BW336" s="34">
        <v>0.95230000000000004</v>
      </c>
      <c r="BX336" s="41">
        <v>0.85029999999999994</v>
      </c>
      <c r="BY336" s="55"/>
    </row>
    <row r="337" spans="27:77">
      <c r="AA337" s="27"/>
      <c r="BF337" s="30">
        <v>21.6</v>
      </c>
      <c r="BG337" s="31">
        <v>0.92420000000000002</v>
      </c>
      <c r="BH337" s="32">
        <v>923.7</v>
      </c>
      <c r="BJ337" s="30">
        <v>21.6</v>
      </c>
      <c r="BK337" s="34">
        <v>3.4359000000000002</v>
      </c>
      <c r="BL337" s="35">
        <v>0.14430999999999999</v>
      </c>
      <c r="BM337" s="36"/>
      <c r="BN337" s="30">
        <v>21.6</v>
      </c>
      <c r="BO337" s="34">
        <v>3.4910000000000001</v>
      </c>
      <c r="BP337" s="35">
        <v>0.14662</v>
      </c>
      <c r="BR337" s="37">
        <v>866</v>
      </c>
      <c r="BS337" s="38">
        <v>0.86650000000000005</v>
      </c>
      <c r="BT337" s="39">
        <v>31.81</v>
      </c>
      <c r="BV337" s="40">
        <v>866</v>
      </c>
      <c r="BW337" s="34">
        <v>0.95340000000000003</v>
      </c>
      <c r="BX337" s="41">
        <v>0.85129999999999995</v>
      </c>
      <c r="BY337" s="55"/>
    </row>
    <row r="338" spans="27:77">
      <c r="AA338" s="27"/>
      <c r="BF338" s="30">
        <v>21.7</v>
      </c>
      <c r="BG338" s="31">
        <v>0.92359999999999998</v>
      </c>
      <c r="BH338" s="32">
        <v>923.1</v>
      </c>
      <c r="BJ338" s="30">
        <v>21.7</v>
      </c>
      <c r="BK338" s="34">
        <v>3.4337</v>
      </c>
      <c r="BL338" s="35">
        <v>0.14421</v>
      </c>
      <c r="BM338" s="36"/>
      <c r="BN338" s="30">
        <v>21.7</v>
      </c>
      <c r="BO338" s="34">
        <v>3.4887999999999999</v>
      </c>
      <c r="BP338" s="35">
        <v>0.14652999999999999</v>
      </c>
      <c r="BR338" s="37">
        <v>867</v>
      </c>
      <c r="BS338" s="38">
        <v>0.86750000000000005</v>
      </c>
      <c r="BT338" s="39">
        <v>31.62</v>
      </c>
      <c r="BV338" s="40">
        <v>867</v>
      </c>
      <c r="BW338" s="34">
        <v>0.95450000000000002</v>
      </c>
      <c r="BX338" s="41">
        <v>0.85219999999999996</v>
      </c>
      <c r="BY338" s="55"/>
    </row>
    <row r="339" spans="27:77">
      <c r="AA339" s="27"/>
      <c r="BF339" s="30">
        <v>21.8</v>
      </c>
      <c r="BG339" s="31">
        <v>0.92300000000000004</v>
      </c>
      <c r="BH339" s="32">
        <v>922.5</v>
      </c>
      <c r="BJ339" s="30">
        <v>21.8</v>
      </c>
      <c r="BK339" s="34">
        <v>3.4314</v>
      </c>
      <c r="BL339" s="35">
        <v>0.14412</v>
      </c>
      <c r="BM339" s="36"/>
      <c r="BN339" s="30">
        <v>21.8</v>
      </c>
      <c r="BO339" s="34">
        <v>3.4864999999999999</v>
      </c>
      <c r="BP339" s="35">
        <v>0.14643</v>
      </c>
      <c r="BR339" s="37">
        <v>868</v>
      </c>
      <c r="BS339" s="38">
        <v>0.86850000000000005</v>
      </c>
      <c r="BT339" s="39">
        <v>31.43</v>
      </c>
      <c r="BV339" s="40">
        <v>868</v>
      </c>
      <c r="BW339" s="34">
        <v>0.9556</v>
      </c>
      <c r="BX339" s="41">
        <v>0.85319999999999996</v>
      </c>
      <c r="BY339" s="55"/>
    </row>
    <row r="340" spans="27:77">
      <c r="AA340" s="27"/>
      <c r="BF340" s="30">
        <v>21.9</v>
      </c>
      <c r="BG340" s="31">
        <v>0.9224</v>
      </c>
      <c r="BH340" s="32">
        <v>921.9</v>
      </c>
      <c r="BJ340" s="30">
        <v>21.9</v>
      </c>
      <c r="BK340" s="34">
        <v>3.4291999999999998</v>
      </c>
      <c r="BL340" s="35">
        <v>0.14402999999999999</v>
      </c>
      <c r="BM340" s="36"/>
      <c r="BN340" s="30">
        <v>21.9</v>
      </c>
      <c r="BO340" s="34">
        <v>3.4842</v>
      </c>
      <c r="BP340" s="35">
        <v>0.14634</v>
      </c>
      <c r="BR340" s="37">
        <v>869</v>
      </c>
      <c r="BS340" s="38">
        <v>0.86950000000000005</v>
      </c>
      <c r="BT340" s="39">
        <v>31.24</v>
      </c>
      <c r="BV340" s="40">
        <v>869</v>
      </c>
      <c r="BW340" s="34">
        <v>0.95669999999999999</v>
      </c>
      <c r="BX340" s="41">
        <v>0.85419999999999996</v>
      </c>
      <c r="BY340" s="55"/>
    </row>
    <row r="341" spans="27:77">
      <c r="AA341" s="27"/>
      <c r="BF341" s="30">
        <v>22</v>
      </c>
      <c r="BG341" s="31">
        <v>0.92179999999999995</v>
      </c>
      <c r="BH341" s="32">
        <v>921.3</v>
      </c>
      <c r="BJ341" s="30">
        <v>22</v>
      </c>
      <c r="BK341" s="34">
        <v>3.4268999999999998</v>
      </c>
      <c r="BL341" s="35">
        <v>0.14393</v>
      </c>
      <c r="BM341" s="36"/>
      <c r="BN341" s="30">
        <v>22</v>
      </c>
      <c r="BO341" s="34">
        <v>3.4819</v>
      </c>
      <c r="BP341" s="35">
        <v>0.14624000000000001</v>
      </c>
      <c r="BR341" s="37">
        <v>870</v>
      </c>
      <c r="BS341" s="38">
        <v>0.87050000000000005</v>
      </c>
      <c r="BT341" s="39">
        <v>31.06</v>
      </c>
      <c r="BV341" s="40">
        <v>870</v>
      </c>
      <c r="BW341" s="34">
        <v>0.95779999999999998</v>
      </c>
      <c r="BX341" s="41">
        <v>0.85519999999999996</v>
      </c>
      <c r="BY341" s="55"/>
    </row>
    <row r="342" spans="27:77">
      <c r="AA342" s="27"/>
      <c r="BF342" s="30">
        <v>22.1</v>
      </c>
      <c r="BG342" s="31">
        <v>0.92120000000000002</v>
      </c>
      <c r="BH342" s="32">
        <v>920.7</v>
      </c>
      <c r="BJ342" s="30">
        <v>22.1</v>
      </c>
      <c r="BK342" s="34">
        <v>3.4247000000000001</v>
      </c>
      <c r="BL342" s="35">
        <v>0.14384</v>
      </c>
      <c r="BM342" s="36"/>
      <c r="BN342" s="30">
        <v>22.1</v>
      </c>
      <c r="BO342" s="34">
        <v>3.4796999999999998</v>
      </c>
      <c r="BP342" s="35">
        <v>0.14615</v>
      </c>
      <c r="BR342" s="37">
        <v>871</v>
      </c>
      <c r="BS342" s="38">
        <v>0.87150000000000005</v>
      </c>
      <c r="BT342" s="39">
        <v>30.87</v>
      </c>
      <c r="BV342" s="40">
        <v>871</v>
      </c>
      <c r="BW342" s="34">
        <v>0.95889999999999997</v>
      </c>
      <c r="BX342" s="41">
        <v>0.85619999999999996</v>
      </c>
      <c r="BY342" s="55"/>
    </row>
    <row r="343" spans="27:77">
      <c r="AA343" s="27"/>
      <c r="BF343" s="30">
        <v>22.2</v>
      </c>
      <c r="BG343" s="31">
        <v>0.92059999999999997</v>
      </c>
      <c r="BH343" s="32">
        <v>920.1</v>
      </c>
      <c r="BJ343" s="30">
        <v>22.2</v>
      </c>
      <c r="BK343" s="34">
        <v>3.4224999999999999</v>
      </c>
      <c r="BL343" s="35">
        <v>0.14374000000000001</v>
      </c>
      <c r="BM343" s="36"/>
      <c r="BN343" s="30">
        <v>22.2</v>
      </c>
      <c r="BO343" s="34">
        <v>3.4773999999999998</v>
      </c>
      <c r="BP343" s="35">
        <v>0.14605000000000001</v>
      </c>
      <c r="BR343" s="37">
        <v>872</v>
      </c>
      <c r="BS343" s="38">
        <v>0.87250000000000005</v>
      </c>
      <c r="BT343" s="39">
        <v>30.68</v>
      </c>
      <c r="BV343" s="40">
        <v>872</v>
      </c>
      <c r="BW343" s="34">
        <v>0.96</v>
      </c>
      <c r="BX343" s="41">
        <v>0.85719999999999996</v>
      </c>
      <c r="BY343" s="55"/>
    </row>
    <row r="344" spans="27:77">
      <c r="AA344" s="27"/>
      <c r="BF344" s="30">
        <v>22.3</v>
      </c>
      <c r="BG344" s="31">
        <v>0.92</v>
      </c>
      <c r="BH344" s="32">
        <v>919.5</v>
      </c>
      <c r="BJ344" s="30">
        <v>22.3</v>
      </c>
      <c r="BK344" s="34">
        <v>3.4201999999999999</v>
      </c>
      <c r="BL344" s="35">
        <v>0.14365</v>
      </c>
      <c r="BM344" s="36"/>
      <c r="BN344" s="30">
        <v>22.3</v>
      </c>
      <c r="BO344" s="34">
        <v>3.4750999999999999</v>
      </c>
      <c r="BP344" s="35">
        <v>0.14596000000000001</v>
      </c>
      <c r="BR344" s="37">
        <v>873</v>
      </c>
      <c r="BS344" s="38">
        <v>0.87350000000000005</v>
      </c>
      <c r="BT344" s="39">
        <v>30.5</v>
      </c>
      <c r="BV344" s="40">
        <v>873</v>
      </c>
      <c r="BW344" s="34">
        <v>0.96109999999999995</v>
      </c>
      <c r="BX344" s="41">
        <v>0.85809999999999997</v>
      </c>
      <c r="BY344" s="55"/>
    </row>
    <row r="345" spans="27:77">
      <c r="AA345" s="27"/>
      <c r="BF345" s="30">
        <v>22.4</v>
      </c>
      <c r="BG345" s="31">
        <v>0.9194</v>
      </c>
      <c r="BH345" s="32">
        <v>918.9</v>
      </c>
      <c r="BJ345" s="30">
        <v>22.4</v>
      </c>
      <c r="BK345" s="34">
        <v>3.4180000000000001</v>
      </c>
      <c r="BL345" s="35">
        <v>0.14355999999999999</v>
      </c>
      <c r="BM345" s="36"/>
      <c r="BN345" s="30">
        <v>22.4</v>
      </c>
      <c r="BO345" s="34">
        <v>3.4729000000000001</v>
      </c>
      <c r="BP345" s="35">
        <v>0.14585999999999999</v>
      </c>
      <c r="BR345" s="37">
        <v>874</v>
      </c>
      <c r="BS345" s="38">
        <v>0.87450000000000006</v>
      </c>
      <c r="BT345" s="39">
        <v>30.31</v>
      </c>
      <c r="BV345" s="40">
        <v>874</v>
      </c>
      <c r="BW345" s="34">
        <v>0.96220000000000006</v>
      </c>
      <c r="BX345" s="41">
        <v>0.85909999999999997</v>
      </c>
      <c r="BY345" s="55"/>
    </row>
    <row r="346" spans="27:77">
      <c r="AA346" s="27"/>
      <c r="BF346" s="30">
        <v>22.5</v>
      </c>
      <c r="BG346" s="31">
        <v>0.91879999999999995</v>
      </c>
      <c r="BH346" s="32">
        <v>918.3</v>
      </c>
      <c r="BJ346" s="30">
        <v>22.5</v>
      </c>
      <c r="BK346" s="34">
        <v>3.4157999999999999</v>
      </c>
      <c r="BL346" s="35">
        <v>0.14346</v>
      </c>
      <c r="BM346" s="36"/>
      <c r="BN346" s="30">
        <v>22.5</v>
      </c>
      <c r="BO346" s="34">
        <v>3.4706000000000001</v>
      </c>
      <c r="BP346" s="35">
        <v>0.14577000000000001</v>
      </c>
      <c r="BR346" s="37">
        <v>875</v>
      </c>
      <c r="BS346" s="38">
        <v>0.87549999999999994</v>
      </c>
      <c r="BT346" s="39">
        <v>30.13</v>
      </c>
      <c r="BV346" s="40">
        <v>875</v>
      </c>
      <c r="BW346" s="34">
        <v>0.96330000000000005</v>
      </c>
      <c r="BX346" s="41">
        <v>0.86009999999999998</v>
      </c>
      <c r="BY346" s="55"/>
    </row>
    <row r="347" spans="27:77">
      <c r="AA347" s="27"/>
      <c r="BF347" s="30">
        <v>22.6</v>
      </c>
      <c r="BG347" s="31">
        <v>0.91820000000000002</v>
      </c>
      <c r="BH347" s="32">
        <v>917.7</v>
      </c>
      <c r="BJ347" s="30">
        <v>22.6</v>
      </c>
      <c r="BK347" s="34">
        <v>3.4136000000000002</v>
      </c>
      <c r="BL347" s="35">
        <v>0.14337</v>
      </c>
      <c r="BM347" s="36"/>
      <c r="BN347" s="30">
        <v>22.6</v>
      </c>
      <c r="BO347" s="34">
        <v>3.4683999999999999</v>
      </c>
      <c r="BP347" s="35">
        <v>0.14566999999999999</v>
      </c>
      <c r="BR347" s="37">
        <v>876</v>
      </c>
      <c r="BS347" s="38">
        <v>0.87649999999999995</v>
      </c>
      <c r="BT347" s="39">
        <v>29.94</v>
      </c>
      <c r="BV347" s="40">
        <v>876</v>
      </c>
      <c r="BW347" s="34">
        <v>0.96440000000000003</v>
      </c>
      <c r="BX347" s="41">
        <v>0.86109999999999998</v>
      </c>
      <c r="BY347" s="55"/>
    </row>
    <row r="348" spans="27:77">
      <c r="AA348" s="27"/>
      <c r="BF348" s="30">
        <v>22.7</v>
      </c>
      <c r="BG348" s="31">
        <v>0.91759999999999997</v>
      </c>
      <c r="BH348" s="32">
        <v>917.1</v>
      </c>
      <c r="BJ348" s="30">
        <v>22.7</v>
      </c>
      <c r="BK348" s="34">
        <v>3.4114</v>
      </c>
      <c r="BL348" s="35">
        <v>0.14327999999999999</v>
      </c>
      <c r="BM348" s="36"/>
      <c r="BN348" s="30">
        <v>22.7</v>
      </c>
      <c r="BO348" s="34">
        <v>3.4661</v>
      </c>
      <c r="BP348" s="35">
        <v>0.14557999999999999</v>
      </c>
      <c r="BR348" s="37">
        <v>877</v>
      </c>
      <c r="BS348" s="38">
        <v>0.87749999999999995</v>
      </c>
      <c r="BT348" s="39">
        <v>29.76</v>
      </c>
      <c r="BV348" s="40">
        <v>877</v>
      </c>
      <c r="BW348" s="34">
        <v>0.96550000000000002</v>
      </c>
      <c r="BX348" s="41">
        <v>0.86209999999999998</v>
      </c>
      <c r="BY348" s="55"/>
    </row>
    <row r="349" spans="27:77">
      <c r="AA349" s="27"/>
      <c r="BF349" s="30">
        <v>22.8</v>
      </c>
      <c r="BG349" s="31">
        <v>0.91700000000000004</v>
      </c>
      <c r="BH349" s="32">
        <v>916.5</v>
      </c>
      <c r="BJ349" s="30">
        <v>22.8</v>
      </c>
      <c r="BK349" s="34">
        <v>3.4091999999999998</v>
      </c>
      <c r="BL349" s="35">
        <v>0.14318</v>
      </c>
      <c r="BM349" s="36"/>
      <c r="BN349" s="30">
        <v>22.8</v>
      </c>
      <c r="BO349" s="34">
        <v>3.4639000000000002</v>
      </c>
      <c r="BP349" s="35">
        <v>0.14548</v>
      </c>
      <c r="BR349" s="37">
        <v>878</v>
      </c>
      <c r="BS349" s="38">
        <v>0.87849999999999995</v>
      </c>
      <c r="BT349" s="39">
        <v>29.57</v>
      </c>
      <c r="BV349" s="40">
        <v>878</v>
      </c>
      <c r="BW349" s="34">
        <v>0.96660000000000001</v>
      </c>
      <c r="BX349" s="41">
        <v>0.86309999999999998</v>
      </c>
      <c r="BY349" s="55"/>
    </row>
    <row r="350" spans="27:77">
      <c r="AA350" s="27"/>
      <c r="BF350" s="30">
        <v>22.9</v>
      </c>
      <c r="BG350" s="31">
        <v>0.91649999999999998</v>
      </c>
      <c r="BH350" s="32">
        <v>915.9</v>
      </c>
      <c r="BJ350" s="30">
        <v>22.9</v>
      </c>
      <c r="BK350" s="34">
        <v>3.4068999999999998</v>
      </c>
      <c r="BL350" s="35">
        <v>0.14308999999999999</v>
      </c>
      <c r="BM350" s="36"/>
      <c r="BN350" s="30">
        <v>22.9</v>
      </c>
      <c r="BO350" s="34">
        <v>3.4615999999999998</v>
      </c>
      <c r="BP350" s="35">
        <v>0.14538999999999999</v>
      </c>
      <c r="BR350" s="37">
        <v>879</v>
      </c>
      <c r="BS350" s="38">
        <v>0.87949999999999995</v>
      </c>
      <c r="BT350" s="39">
        <v>29.39</v>
      </c>
      <c r="BV350" s="40">
        <v>879</v>
      </c>
      <c r="BW350" s="34">
        <v>0.9677</v>
      </c>
      <c r="BX350" s="41">
        <v>0.86399999999999999</v>
      </c>
      <c r="BY350" s="55"/>
    </row>
    <row r="351" spans="27:77">
      <c r="AA351" s="27"/>
      <c r="BF351" s="30">
        <v>23</v>
      </c>
      <c r="BG351" s="31">
        <v>0.91590000000000005</v>
      </c>
      <c r="BH351" s="32">
        <v>915.3</v>
      </c>
      <c r="BJ351" s="30">
        <v>23</v>
      </c>
      <c r="BK351" s="34">
        <v>3.4047000000000001</v>
      </c>
      <c r="BL351" s="35">
        <v>0.14299999999999999</v>
      </c>
      <c r="BM351" s="36"/>
      <c r="BN351" s="30">
        <v>23</v>
      </c>
      <c r="BO351" s="34">
        <v>3.4594</v>
      </c>
      <c r="BP351" s="35">
        <v>0.14529</v>
      </c>
      <c r="BR351" s="37">
        <v>880</v>
      </c>
      <c r="BS351" s="38">
        <v>0.88049999999999995</v>
      </c>
      <c r="BT351" s="39">
        <v>29.21</v>
      </c>
      <c r="BV351" s="40">
        <v>880</v>
      </c>
      <c r="BW351" s="34">
        <v>0.96879999999999999</v>
      </c>
      <c r="BX351" s="41">
        <v>0.86499999999999999</v>
      </c>
      <c r="BY351" s="55"/>
    </row>
    <row r="352" spans="27:77">
      <c r="AA352" s="27"/>
      <c r="BF352" s="30">
        <v>23.1</v>
      </c>
      <c r="BG352" s="31">
        <v>0.9153</v>
      </c>
      <c r="BH352" s="32">
        <v>914.7</v>
      </c>
      <c r="BJ352" s="30">
        <v>23.1</v>
      </c>
      <c r="BK352" s="34">
        <v>3.4024999999999999</v>
      </c>
      <c r="BL352" s="35">
        <v>0.14291000000000001</v>
      </c>
      <c r="BM352" s="36"/>
      <c r="BN352" s="30">
        <v>23.1</v>
      </c>
      <c r="BO352" s="34">
        <v>3.4571000000000001</v>
      </c>
      <c r="BP352" s="35">
        <v>0.1452</v>
      </c>
      <c r="BR352" s="37">
        <v>881</v>
      </c>
      <c r="BS352" s="38">
        <v>0.88149999999999995</v>
      </c>
      <c r="BT352" s="39">
        <v>29.02</v>
      </c>
      <c r="BV352" s="40">
        <v>881</v>
      </c>
      <c r="BW352" s="34">
        <v>0.96989999999999998</v>
      </c>
      <c r="BX352" s="41">
        <v>0.86599999999999999</v>
      </c>
      <c r="BY352" s="55"/>
    </row>
    <row r="353" spans="27:77">
      <c r="AA353" s="27"/>
      <c r="BF353" s="30">
        <v>23.2</v>
      </c>
      <c r="BG353" s="31">
        <v>0.91469999999999996</v>
      </c>
      <c r="BH353" s="32">
        <v>914.2</v>
      </c>
      <c r="BJ353" s="30">
        <v>23.2</v>
      </c>
      <c r="BK353" s="34">
        <v>3.4003000000000001</v>
      </c>
      <c r="BL353" s="35">
        <v>0.14280999999999999</v>
      </c>
      <c r="BM353" s="36"/>
      <c r="BN353" s="30">
        <v>23.2</v>
      </c>
      <c r="BO353" s="34">
        <v>3.4548999999999999</v>
      </c>
      <c r="BP353" s="35">
        <v>0.14510999999999999</v>
      </c>
      <c r="BR353" s="37">
        <v>882</v>
      </c>
      <c r="BS353" s="38">
        <v>0.88249999999999995</v>
      </c>
      <c r="BT353" s="39">
        <v>28.84</v>
      </c>
      <c r="BV353" s="40">
        <v>882</v>
      </c>
      <c r="BW353" s="34">
        <v>0.97099999999999997</v>
      </c>
      <c r="BX353" s="41">
        <v>0.86699999999999999</v>
      </c>
      <c r="BY353" s="55"/>
    </row>
    <row r="354" spans="27:77">
      <c r="AA354" s="27"/>
      <c r="BF354" s="30">
        <v>23.3</v>
      </c>
      <c r="BG354" s="31">
        <v>0.91410000000000002</v>
      </c>
      <c r="BH354" s="32">
        <v>913.6</v>
      </c>
      <c r="BJ354" s="30">
        <v>23.3</v>
      </c>
      <c r="BK354" s="34">
        <v>3.3980999999999999</v>
      </c>
      <c r="BL354" s="35">
        <v>0.14272000000000001</v>
      </c>
      <c r="BM354" s="36"/>
      <c r="BN354" s="30">
        <v>23.3</v>
      </c>
      <c r="BO354" s="34">
        <v>3.4527000000000001</v>
      </c>
      <c r="BP354" s="35">
        <v>0.14501</v>
      </c>
      <c r="BR354" s="37">
        <v>883</v>
      </c>
      <c r="BS354" s="38">
        <v>0.88349999999999995</v>
      </c>
      <c r="BT354" s="39">
        <v>28.66</v>
      </c>
      <c r="BV354" s="40">
        <v>883</v>
      </c>
      <c r="BW354" s="34">
        <v>0.97209999999999996</v>
      </c>
      <c r="BX354" s="41">
        <v>0.86799999999999999</v>
      </c>
      <c r="BY354" s="55"/>
    </row>
    <row r="355" spans="27:77">
      <c r="AA355" s="27"/>
      <c r="BF355" s="30">
        <v>23.4</v>
      </c>
      <c r="BG355" s="31">
        <v>0.91349999999999998</v>
      </c>
      <c r="BH355" s="32">
        <v>913</v>
      </c>
      <c r="BJ355" s="30">
        <v>23.4</v>
      </c>
      <c r="BK355" s="34">
        <v>3.3959000000000001</v>
      </c>
      <c r="BL355" s="35">
        <v>0.14263000000000001</v>
      </c>
      <c r="BM355" s="36"/>
      <c r="BN355" s="30">
        <v>23.4</v>
      </c>
      <c r="BO355" s="34">
        <v>3.4504000000000001</v>
      </c>
      <c r="BP355" s="35">
        <v>0.14491999999999999</v>
      </c>
      <c r="BR355" s="37">
        <v>884</v>
      </c>
      <c r="BS355" s="38">
        <v>0.88449999999999995</v>
      </c>
      <c r="BT355" s="39">
        <v>28.48</v>
      </c>
      <c r="BV355" s="40">
        <v>884</v>
      </c>
      <c r="BW355" s="34">
        <v>0.97319999999999995</v>
      </c>
      <c r="BX355" s="41">
        <v>0.86899999999999999</v>
      </c>
      <c r="BY355" s="55"/>
    </row>
    <row r="356" spans="27:77">
      <c r="AA356" s="27"/>
      <c r="BF356" s="30">
        <v>23.5</v>
      </c>
      <c r="BG356" s="31">
        <v>0.91290000000000004</v>
      </c>
      <c r="BH356" s="32">
        <v>912.4</v>
      </c>
      <c r="BJ356" s="30">
        <v>23.5</v>
      </c>
      <c r="BK356" s="34">
        <v>3.3936999999999999</v>
      </c>
      <c r="BL356" s="35">
        <v>0.14254</v>
      </c>
      <c r="BM356" s="36"/>
      <c r="BN356" s="30">
        <v>23.5</v>
      </c>
      <c r="BO356" s="34">
        <v>3.4481999999999999</v>
      </c>
      <c r="BP356" s="35">
        <v>0.14482</v>
      </c>
      <c r="BR356" s="37">
        <v>885</v>
      </c>
      <c r="BS356" s="38">
        <v>0.88549999999999995</v>
      </c>
      <c r="BT356" s="39">
        <v>28.3</v>
      </c>
      <c r="BV356" s="40">
        <v>885</v>
      </c>
      <c r="BW356" s="34">
        <v>0.97430000000000005</v>
      </c>
      <c r="BX356" s="41">
        <v>0.87</v>
      </c>
      <c r="BY356" s="55"/>
    </row>
    <row r="357" spans="27:77">
      <c r="AA357" s="27"/>
      <c r="BF357" s="30">
        <v>23.6</v>
      </c>
      <c r="BG357" s="31">
        <v>0.9123</v>
      </c>
      <c r="BH357" s="32">
        <v>911.8</v>
      </c>
      <c r="BJ357" s="30">
        <v>23.6</v>
      </c>
      <c r="BK357" s="34">
        <v>3.3915000000000002</v>
      </c>
      <c r="BL357" s="35">
        <v>0.14244000000000001</v>
      </c>
      <c r="BM357" s="36"/>
      <c r="BN357" s="30">
        <v>23.6</v>
      </c>
      <c r="BO357" s="34">
        <v>3.4460000000000002</v>
      </c>
      <c r="BP357" s="35">
        <v>0.14473</v>
      </c>
      <c r="BR357" s="37">
        <v>886</v>
      </c>
      <c r="BS357" s="38">
        <v>0.88649999999999995</v>
      </c>
      <c r="BT357" s="39">
        <v>28.12</v>
      </c>
      <c r="BV357" s="40">
        <v>886</v>
      </c>
      <c r="BW357" s="34">
        <v>0.97540000000000004</v>
      </c>
      <c r="BX357" s="41">
        <v>0.87090000000000001</v>
      </c>
      <c r="BY357" s="55"/>
    </row>
    <row r="358" spans="27:77">
      <c r="AA358" s="27"/>
      <c r="BF358" s="30">
        <v>23.7</v>
      </c>
      <c r="BG358" s="31">
        <v>0.91169999999999995</v>
      </c>
      <c r="BH358" s="32">
        <v>911.2</v>
      </c>
      <c r="BJ358" s="30">
        <v>23.7</v>
      </c>
      <c r="BK358" s="34">
        <v>3.3894000000000002</v>
      </c>
      <c r="BL358" s="35">
        <v>0.14235</v>
      </c>
      <c r="BM358" s="36"/>
      <c r="BN358" s="30">
        <v>23.7</v>
      </c>
      <c r="BO358" s="34">
        <v>3.4437000000000002</v>
      </c>
      <c r="BP358" s="35">
        <v>0.14463999999999999</v>
      </c>
      <c r="BR358" s="37">
        <v>887</v>
      </c>
      <c r="BS358" s="38">
        <v>0.88749999999999996</v>
      </c>
      <c r="BT358" s="39">
        <v>27.94</v>
      </c>
      <c r="BV358" s="40">
        <v>887</v>
      </c>
      <c r="BW358" s="34">
        <v>0.97660000000000002</v>
      </c>
      <c r="BX358" s="41">
        <v>0.87190000000000001</v>
      </c>
      <c r="BY358" s="55"/>
    </row>
    <row r="359" spans="27:77">
      <c r="AA359" s="27"/>
      <c r="BF359" s="30">
        <v>23.8</v>
      </c>
      <c r="BG359" s="31">
        <v>0.91110000000000002</v>
      </c>
      <c r="BH359" s="32">
        <v>910.6</v>
      </c>
      <c r="BJ359" s="30">
        <v>23.8</v>
      </c>
      <c r="BK359" s="34">
        <v>3.3872</v>
      </c>
      <c r="BL359" s="35">
        <v>0.14226</v>
      </c>
      <c r="BM359" s="36"/>
      <c r="BN359" s="30">
        <v>23.8</v>
      </c>
      <c r="BO359" s="34">
        <v>3.4415</v>
      </c>
      <c r="BP359" s="35">
        <v>0.14454</v>
      </c>
      <c r="BR359" s="37">
        <v>888</v>
      </c>
      <c r="BS359" s="38">
        <v>0.88849999999999996</v>
      </c>
      <c r="BT359" s="39">
        <v>27.76</v>
      </c>
      <c r="BV359" s="40">
        <v>888</v>
      </c>
      <c r="BW359" s="34">
        <v>0.97770000000000001</v>
      </c>
      <c r="BX359" s="41">
        <v>0.87290000000000001</v>
      </c>
      <c r="BY359" s="55"/>
    </row>
    <row r="360" spans="27:77">
      <c r="AA360" s="27"/>
      <c r="BF360" s="30">
        <v>23.9</v>
      </c>
      <c r="BG360" s="31">
        <v>0.91059999999999997</v>
      </c>
      <c r="BH360" s="32">
        <v>910</v>
      </c>
      <c r="BJ360" s="30">
        <v>23.9</v>
      </c>
      <c r="BK360" s="34">
        <v>3.3849999999999998</v>
      </c>
      <c r="BL360" s="35">
        <v>0.14216999999999999</v>
      </c>
      <c r="BM360" s="36"/>
      <c r="BN360" s="30">
        <v>23.9</v>
      </c>
      <c r="BO360" s="34">
        <v>3.4392999999999998</v>
      </c>
      <c r="BP360" s="35">
        <v>0.14445</v>
      </c>
      <c r="BR360" s="37">
        <v>889</v>
      </c>
      <c r="BS360" s="38">
        <v>0.88949999999999996</v>
      </c>
      <c r="BT360" s="39">
        <v>27.58</v>
      </c>
      <c r="BV360" s="40">
        <v>889</v>
      </c>
      <c r="BW360" s="34">
        <v>0.9788</v>
      </c>
      <c r="BX360" s="41">
        <v>0.87390000000000001</v>
      </c>
      <c r="BY360" s="55"/>
    </row>
    <row r="361" spans="27:77">
      <c r="AA361" s="27"/>
      <c r="BF361" s="30">
        <v>24</v>
      </c>
      <c r="BG361" s="31">
        <v>0.91</v>
      </c>
      <c r="BH361" s="32">
        <v>909.5</v>
      </c>
      <c r="BJ361" s="30">
        <v>24</v>
      </c>
      <c r="BK361" s="34">
        <v>3.3828</v>
      </c>
      <c r="BL361" s="35">
        <v>0.14208000000000001</v>
      </c>
      <c r="BM361" s="36"/>
      <c r="BN361" s="30">
        <v>24</v>
      </c>
      <c r="BO361" s="34">
        <v>3.4371</v>
      </c>
      <c r="BP361" s="35">
        <v>0.14435999999999999</v>
      </c>
      <c r="BR361" s="37">
        <v>890</v>
      </c>
      <c r="BS361" s="38">
        <v>0.89049999999999996</v>
      </c>
      <c r="BT361" s="39">
        <v>27.4</v>
      </c>
      <c r="BV361" s="40">
        <v>890</v>
      </c>
      <c r="BW361" s="34">
        <v>0.97989999999999999</v>
      </c>
      <c r="BX361" s="41">
        <v>0.87490000000000001</v>
      </c>
      <c r="BY361" s="55"/>
    </row>
    <row r="362" spans="27:77">
      <c r="AA362" s="27"/>
      <c r="BF362" s="30">
        <v>24.1</v>
      </c>
      <c r="BG362" s="31">
        <v>0.90939999999999999</v>
      </c>
      <c r="BH362" s="32">
        <v>908.9</v>
      </c>
      <c r="BJ362" s="30">
        <v>24.1</v>
      </c>
      <c r="BK362" s="34">
        <v>3.3805999999999998</v>
      </c>
      <c r="BL362" s="35">
        <v>0.14199000000000001</v>
      </c>
      <c r="BM362" s="36"/>
      <c r="BN362" s="30">
        <v>24.1</v>
      </c>
      <c r="BO362" s="34">
        <v>3.4348999999999998</v>
      </c>
      <c r="BP362" s="35">
        <v>0.14426</v>
      </c>
      <c r="BR362" s="37">
        <v>891</v>
      </c>
      <c r="BS362" s="38">
        <v>0.89149999999999996</v>
      </c>
      <c r="BT362" s="39">
        <v>27.22</v>
      </c>
      <c r="BV362" s="40">
        <v>891</v>
      </c>
      <c r="BW362" s="34">
        <v>0.98099999999999998</v>
      </c>
      <c r="BX362" s="41">
        <v>0.87590000000000001</v>
      </c>
      <c r="BY362" s="55"/>
    </row>
    <row r="363" spans="27:77">
      <c r="AA363" s="27"/>
      <c r="BF363" s="30">
        <v>24.2</v>
      </c>
      <c r="BG363" s="31">
        <v>0.90880000000000005</v>
      </c>
      <c r="BH363" s="32">
        <v>908.3</v>
      </c>
      <c r="BJ363" s="30">
        <v>24.2</v>
      </c>
      <c r="BK363" s="34">
        <v>3.3784999999999998</v>
      </c>
      <c r="BL363" s="35">
        <v>0.1419</v>
      </c>
      <c r="BM363" s="36"/>
      <c r="BN363" s="30">
        <v>24.2</v>
      </c>
      <c r="BO363" s="34">
        <v>3.4327000000000001</v>
      </c>
      <c r="BP363" s="35">
        <v>0.14416999999999999</v>
      </c>
      <c r="BR363" s="37">
        <v>892</v>
      </c>
      <c r="BS363" s="38">
        <v>0.89249999999999996</v>
      </c>
      <c r="BT363" s="39">
        <v>27.04</v>
      </c>
      <c r="BV363" s="40">
        <v>892</v>
      </c>
      <c r="BW363" s="34">
        <v>0.98209999999999997</v>
      </c>
      <c r="BX363" s="41">
        <v>0.87680000000000002</v>
      </c>
      <c r="BY363" s="55"/>
    </row>
    <row r="364" spans="27:77">
      <c r="AA364" s="27"/>
      <c r="BF364" s="30">
        <v>24.3</v>
      </c>
      <c r="BG364" s="31">
        <v>0.90820000000000001</v>
      </c>
      <c r="BH364" s="32">
        <v>907.7</v>
      </c>
      <c r="BJ364" s="30">
        <v>24.3</v>
      </c>
      <c r="BK364" s="34">
        <v>3.3763000000000001</v>
      </c>
      <c r="BL364" s="35">
        <v>0.14180000000000001</v>
      </c>
      <c r="BM364" s="36"/>
      <c r="BN364" s="30">
        <v>24.3</v>
      </c>
      <c r="BO364" s="34">
        <v>3.4304999999999999</v>
      </c>
      <c r="BP364" s="35">
        <v>0.14408000000000001</v>
      </c>
      <c r="BR364" s="37">
        <v>893</v>
      </c>
      <c r="BS364" s="38">
        <v>0.89349999999999996</v>
      </c>
      <c r="BT364" s="39">
        <v>26.87</v>
      </c>
      <c r="BV364" s="40">
        <v>893</v>
      </c>
      <c r="BW364" s="34">
        <v>0.98319999999999996</v>
      </c>
      <c r="BX364" s="41">
        <v>0.87780000000000002</v>
      </c>
      <c r="BY364" s="55"/>
    </row>
    <row r="365" spans="27:77">
      <c r="AA365" s="27"/>
      <c r="BF365" s="30">
        <v>24.4</v>
      </c>
      <c r="BG365" s="31">
        <v>0.90759999999999996</v>
      </c>
      <c r="BH365" s="32">
        <v>907.1</v>
      </c>
      <c r="BJ365" s="30">
        <v>24.4</v>
      </c>
      <c r="BK365" s="34">
        <v>3.3740999999999999</v>
      </c>
      <c r="BL365" s="35">
        <v>0.14171</v>
      </c>
      <c r="BM365" s="36"/>
      <c r="BN365" s="30">
        <v>24.4</v>
      </c>
      <c r="BO365" s="34">
        <v>3.4283000000000001</v>
      </c>
      <c r="BP365" s="35">
        <v>0.14399000000000001</v>
      </c>
      <c r="BR365" s="37">
        <v>894</v>
      </c>
      <c r="BS365" s="38">
        <v>0.89449999999999996</v>
      </c>
      <c r="BT365" s="39">
        <v>26.69</v>
      </c>
      <c r="BV365" s="40">
        <v>894</v>
      </c>
      <c r="BW365" s="34">
        <v>0.98429999999999995</v>
      </c>
      <c r="BX365" s="41">
        <v>0.87880000000000003</v>
      </c>
      <c r="BY365" s="55"/>
    </row>
    <row r="366" spans="27:77">
      <c r="AA366" s="27"/>
      <c r="BF366" s="30">
        <v>24.5</v>
      </c>
      <c r="BG366" s="31">
        <v>0.90710000000000002</v>
      </c>
      <c r="BH366" s="32">
        <v>906.5</v>
      </c>
      <c r="BJ366" s="30">
        <v>24.5</v>
      </c>
      <c r="BK366" s="34">
        <v>3.3719999999999999</v>
      </c>
      <c r="BL366" s="35">
        <v>0.14162</v>
      </c>
      <c r="BM366" s="36"/>
      <c r="BN366" s="30">
        <v>24.5</v>
      </c>
      <c r="BO366" s="34">
        <v>3.4260999999999999</v>
      </c>
      <c r="BP366" s="35">
        <v>0.14388999999999999</v>
      </c>
      <c r="BR366" s="37">
        <v>895</v>
      </c>
      <c r="BS366" s="38">
        <v>0.89549999999999996</v>
      </c>
      <c r="BT366" s="39">
        <v>26.51</v>
      </c>
      <c r="BV366" s="40">
        <v>895</v>
      </c>
      <c r="BW366" s="34">
        <v>0.98540000000000005</v>
      </c>
      <c r="BX366" s="41">
        <v>0.87980000000000003</v>
      </c>
      <c r="BY366" s="55"/>
    </row>
    <row r="367" spans="27:77">
      <c r="AA367" s="27"/>
      <c r="BF367" s="30">
        <v>24.6</v>
      </c>
      <c r="BG367" s="31">
        <v>0.90649999999999997</v>
      </c>
      <c r="BH367" s="32">
        <v>906</v>
      </c>
      <c r="BJ367" s="30">
        <v>24.6</v>
      </c>
      <c r="BK367" s="34">
        <v>3.3698000000000001</v>
      </c>
      <c r="BL367" s="35">
        <v>0.14152999999999999</v>
      </c>
      <c r="BM367" s="36"/>
      <c r="BN367" s="30">
        <v>24.6</v>
      </c>
      <c r="BO367" s="34">
        <v>3.4239000000000002</v>
      </c>
      <c r="BP367" s="35">
        <v>0.14380000000000001</v>
      </c>
      <c r="BR367" s="37">
        <v>896</v>
      </c>
      <c r="BS367" s="38">
        <v>0.89649999999999996</v>
      </c>
      <c r="BT367" s="39">
        <v>26.34</v>
      </c>
      <c r="BV367" s="40">
        <v>896</v>
      </c>
      <c r="BW367" s="34">
        <v>0.98650000000000004</v>
      </c>
      <c r="BX367" s="41">
        <v>0.88080000000000003</v>
      </c>
      <c r="BY367" s="55"/>
    </row>
    <row r="368" spans="27:77">
      <c r="AA368" s="27"/>
      <c r="BF368" s="30">
        <v>24.7</v>
      </c>
      <c r="BG368" s="31">
        <v>0.90590000000000004</v>
      </c>
      <c r="BH368" s="32">
        <v>905.4</v>
      </c>
      <c r="BJ368" s="30">
        <v>24.7</v>
      </c>
      <c r="BK368" s="34">
        <v>3.3675999999999999</v>
      </c>
      <c r="BL368" s="35">
        <v>0.14144000000000001</v>
      </c>
      <c r="BM368" s="36"/>
      <c r="BN368" s="30">
        <v>24.7</v>
      </c>
      <c r="BO368" s="34">
        <v>3.4217</v>
      </c>
      <c r="BP368" s="35">
        <v>0.14371</v>
      </c>
      <c r="BR368" s="37">
        <v>897</v>
      </c>
      <c r="BS368" s="38">
        <v>0.89749999999999996</v>
      </c>
      <c r="BT368" s="39">
        <v>26.16</v>
      </c>
      <c r="BV368" s="40">
        <v>897</v>
      </c>
      <c r="BW368" s="34">
        <v>0.98760000000000003</v>
      </c>
      <c r="BX368" s="41">
        <v>0.88180000000000003</v>
      </c>
      <c r="BY368" s="55"/>
    </row>
    <row r="369" spans="27:77">
      <c r="AA369" s="27"/>
      <c r="BF369" s="30">
        <v>24.8</v>
      </c>
      <c r="BG369" s="31">
        <v>0.90529999999999999</v>
      </c>
      <c r="BH369" s="32">
        <v>904.8</v>
      </c>
      <c r="BJ369" s="30">
        <v>24.8</v>
      </c>
      <c r="BK369" s="34">
        <v>3.3654999999999999</v>
      </c>
      <c r="BL369" s="35">
        <v>0.14135</v>
      </c>
      <c r="BM369" s="36"/>
      <c r="BN369" s="30">
        <v>24.8</v>
      </c>
      <c r="BO369" s="34">
        <v>3.4195000000000002</v>
      </c>
      <c r="BP369" s="35">
        <v>0.14362</v>
      </c>
      <c r="BR369" s="37">
        <v>898</v>
      </c>
      <c r="BS369" s="38">
        <v>0.89849999999999997</v>
      </c>
      <c r="BT369" s="39">
        <v>25.98</v>
      </c>
      <c r="BV369" s="40">
        <v>898</v>
      </c>
      <c r="BW369" s="34">
        <v>0.98870000000000002</v>
      </c>
      <c r="BX369" s="41">
        <v>0.88270000000000004</v>
      </c>
      <c r="BY369" s="55"/>
    </row>
    <row r="370" spans="27:77">
      <c r="AA370" s="27"/>
      <c r="BF370" s="30">
        <v>24.9</v>
      </c>
      <c r="BG370" s="31">
        <v>0.90469999999999995</v>
      </c>
      <c r="BH370" s="32">
        <v>904.2</v>
      </c>
      <c r="BJ370" s="30">
        <v>24.9</v>
      </c>
      <c r="BK370" s="34">
        <v>3.3633000000000002</v>
      </c>
      <c r="BL370" s="35">
        <v>0.14126</v>
      </c>
      <c r="BM370" s="36"/>
      <c r="BN370" s="30">
        <v>24.9</v>
      </c>
      <c r="BO370" s="34">
        <v>3.4173</v>
      </c>
      <c r="BP370" s="35">
        <v>0.14352999999999999</v>
      </c>
      <c r="BR370" s="37">
        <v>899</v>
      </c>
      <c r="BS370" s="38">
        <v>0.89949999999999997</v>
      </c>
      <c r="BT370" s="39">
        <v>25.81</v>
      </c>
      <c r="BV370" s="40">
        <v>899</v>
      </c>
      <c r="BW370" s="34">
        <v>0.98980000000000001</v>
      </c>
      <c r="BX370" s="41">
        <v>0.88370000000000004</v>
      </c>
      <c r="BY370" s="55"/>
    </row>
    <row r="371" spans="27:77">
      <c r="AA371" s="27"/>
      <c r="BF371" s="30">
        <v>25</v>
      </c>
      <c r="BG371" s="31">
        <v>0.9042</v>
      </c>
      <c r="BH371" s="32">
        <v>903.6</v>
      </c>
      <c r="BJ371" s="30">
        <v>25</v>
      </c>
      <c r="BK371" s="34">
        <v>3.3612000000000002</v>
      </c>
      <c r="BL371" s="35">
        <v>0.14116999999999999</v>
      </c>
      <c r="BM371" s="36"/>
      <c r="BN371" s="30">
        <v>25</v>
      </c>
      <c r="BO371" s="34">
        <v>3.4150999999999998</v>
      </c>
      <c r="BP371" s="35">
        <v>0.14343</v>
      </c>
      <c r="BR371" s="37">
        <v>900</v>
      </c>
      <c r="BS371" s="38">
        <v>0.90049999999999997</v>
      </c>
      <c r="BT371" s="39">
        <v>25.63</v>
      </c>
      <c r="BV371" s="40">
        <v>900</v>
      </c>
      <c r="BW371" s="34">
        <v>0.9909</v>
      </c>
      <c r="BX371" s="41">
        <v>0.88470000000000004</v>
      </c>
      <c r="BY371" s="55"/>
    </row>
    <row r="372" spans="27:77">
      <c r="AA372" s="27"/>
      <c r="BF372" s="30">
        <v>25.1</v>
      </c>
      <c r="BG372" s="31">
        <v>0.90359999999999996</v>
      </c>
      <c r="BH372" s="32">
        <v>903.1</v>
      </c>
      <c r="BJ372" s="30">
        <v>25.1</v>
      </c>
      <c r="BK372" s="34">
        <v>3.359</v>
      </c>
      <c r="BL372" s="35">
        <v>0.14108000000000001</v>
      </c>
      <c r="BM372" s="36"/>
      <c r="BN372" s="30">
        <v>25.1</v>
      </c>
      <c r="BO372" s="34">
        <v>3.4129</v>
      </c>
      <c r="BP372" s="35">
        <v>0.14334</v>
      </c>
      <c r="BR372" s="37">
        <v>901</v>
      </c>
      <c r="BS372" s="38">
        <v>0.90149999999999997</v>
      </c>
      <c r="BT372" s="39">
        <v>25.46</v>
      </c>
      <c r="BV372" s="40">
        <v>901</v>
      </c>
      <c r="BW372" s="34">
        <v>0.99199999999999999</v>
      </c>
      <c r="BX372" s="41">
        <v>0.88570000000000004</v>
      </c>
      <c r="BY372" s="55"/>
    </row>
    <row r="373" spans="27:77">
      <c r="AA373" s="27"/>
      <c r="BF373" s="30">
        <v>25.2</v>
      </c>
      <c r="BG373" s="31">
        <v>0.90300000000000002</v>
      </c>
      <c r="BH373" s="32">
        <v>902.5</v>
      </c>
      <c r="BJ373" s="30">
        <v>25.2</v>
      </c>
      <c r="BK373" s="34">
        <v>3.3569</v>
      </c>
      <c r="BL373" s="35">
        <v>0.14099</v>
      </c>
      <c r="BM373" s="36"/>
      <c r="BN373" s="30">
        <v>25.2</v>
      </c>
      <c r="BO373" s="34">
        <v>3.4106999999999998</v>
      </c>
      <c r="BP373" s="35">
        <v>0.14324999999999999</v>
      </c>
      <c r="BR373" s="37">
        <v>902</v>
      </c>
      <c r="BS373" s="38">
        <v>0.90249999999999997</v>
      </c>
      <c r="BT373" s="39">
        <v>25.29</v>
      </c>
      <c r="BV373" s="40">
        <v>902</v>
      </c>
      <c r="BW373" s="34">
        <v>0.99309999999999998</v>
      </c>
      <c r="BX373" s="41">
        <v>0.88670000000000004</v>
      </c>
      <c r="BY373" s="55"/>
    </row>
    <row r="374" spans="27:77">
      <c r="AA374" s="27"/>
      <c r="BF374" s="30">
        <v>25.3</v>
      </c>
      <c r="BG374" s="31">
        <v>0.90239999999999998</v>
      </c>
      <c r="BH374" s="32">
        <v>901.9</v>
      </c>
      <c r="BJ374" s="30">
        <v>25.3</v>
      </c>
      <c r="BK374" s="34">
        <v>3.3546999999999998</v>
      </c>
      <c r="BL374" s="35">
        <v>0.1409</v>
      </c>
      <c r="BM374" s="36"/>
      <c r="BN374" s="30">
        <v>25.3</v>
      </c>
      <c r="BO374" s="34">
        <v>3.4085999999999999</v>
      </c>
      <c r="BP374" s="35">
        <v>0.14316000000000001</v>
      </c>
      <c r="BR374" s="37">
        <v>903</v>
      </c>
      <c r="BS374" s="38">
        <v>0.90349999999999997</v>
      </c>
      <c r="BT374" s="39">
        <v>25.11</v>
      </c>
      <c r="BV374" s="40">
        <v>903</v>
      </c>
      <c r="BW374" s="34">
        <v>0.99419999999999997</v>
      </c>
      <c r="BX374" s="41">
        <v>0.88770000000000004</v>
      </c>
      <c r="BY374" s="55"/>
    </row>
    <row r="375" spans="27:77">
      <c r="AA375" s="27"/>
      <c r="BF375" s="30">
        <v>25.4</v>
      </c>
      <c r="BG375" s="31">
        <v>0.90180000000000005</v>
      </c>
      <c r="BH375" s="32">
        <v>901.3</v>
      </c>
      <c r="BJ375" s="30">
        <v>25.4</v>
      </c>
      <c r="BK375" s="34">
        <v>3.3525999999999998</v>
      </c>
      <c r="BL375" s="35">
        <v>0.14080999999999999</v>
      </c>
      <c r="BM375" s="36"/>
      <c r="BN375" s="30">
        <v>25.4</v>
      </c>
      <c r="BO375" s="34">
        <v>3.4064000000000001</v>
      </c>
      <c r="BP375" s="35">
        <v>0.14307</v>
      </c>
      <c r="BR375" s="37">
        <v>904</v>
      </c>
      <c r="BS375" s="38">
        <v>0.90449999999999997</v>
      </c>
      <c r="BT375" s="39">
        <v>24.94</v>
      </c>
      <c r="BV375" s="40">
        <v>904</v>
      </c>
      <c r="BW375" s="34">
        <v>0.99529999999999996</v>
      </c>
      <c r="BX375" s="41">
        <v>0.88870000000000005</v>
      </c>
      <c r="BY375" s="55"/>
    </row>
    <row r="376" spans="27:77">
      <c r="AA376" s="27"/>
      <c r="BF376" s="30">
        <v>25.5</v>
      </c>
      <c r="BG376" s="31">
        <v>0.90129999999999999</v>
      </c>
      <c r="BH376" s="32">
        <v>900.8</v>
      </c>
      <c r="BJ376" s="30">
        <v>25.5</v>
      </c>
      <c r="BK376" s="34">
        <v>3.3504</v>
      </c>
      <c r="BL376" s="35">
        <v>0.14072000000000001</v>
      </c>
      <c r="BM376" s="36"/>
      <c r="BN376" s="30">
        <v>25.5</v>
      </c>
      <c r="BO376" s="34">
        <v>3.4041999999999999</v>
      </c>
      <c r="BP376" s="35">
        <v>0.14298</v>
      </c>
      <c r="BR376" s="37">
        <v>905</v>
      </c>
      <c r="BS376" s="38">
        <v>0.90549999999999997</v>
      </c>
      <c r="BT376" s="39">
        <v>24.77</v>
      </c>
      <c r="BV376" s="40">
        <v>905</v>
      </c>
      <c r="BW376" s="34">
        <v>0.99639999999999995</v>
      </c>
      <c r="BX376" s="41">
        <v>0.88959999999999995</v>
      </c>
      <c r="BY376" s="55"/>
    </row>
    <row r="377" spans="27:77">
      <c r="AA377" s="27"/>
      <c r="BF377" s="30">
        <v>25.6</v>
      </c>
      <c r="BG377" s="31">
        <v>0.90069999999999995</v>
      </c>
      <c r="BH377" s="32">
        <v>900.2</v>
      </c>
      <c r="BJ377" s="30">
        <v>25.6</v>
      </c>
      <c r="BK377" s="34">
        <v>3.3483000000000001</v>
      </c>
      <c r="BL377" s="35">
        <v>0.14063000000000001</v>
      </c>
      <c r="BM377" s="36"/>
      <c r="BN377" s="30">
        <v>25.6</v>
      </c>
      <c r="BO377" s="34">
        <v>3.4020000000000001</v>
      </c>
      <c r="BP377" s="35">
        <v>0.14288999999999999</v>
      </c>
      <c r="BR377" s="37">
        <v>906</v>
      </c>
      <c r="BS377" s="38">
        <v>0.90649999999999997</v>
      </c>
      <c r="BT377" s="39">
        <v>24.59</v>
      </c>
      <c r="BV377" s="40">
        <v>906</v>
      </c>
      <c r="BW377" s="34">
        <v>0.99750000000000005</v>
      </c>
      <c r="BX377" s="41">
        <v>0.89059999999999995</v>
      </c>
      <c r="BY377" s="55"/>
    </row>
    <row r="378" spans="27:77">
      <c r="AA378" s="27"/>
      <c r="BF378" s="30">
        <v>25.7</v>
      </c>
      <c r="BG378" s="31">
        <v>0.90010000000000001</v>
      </c>
      <c r="BH378" s="32">
        <v>899.6</v>
      </c>
      <c r="BJ378" s="30">
        <v>25.7</v>
      </c>
      <c r="BK378" s="34">
        <v>3.3462000000000001</v>
      </c>
      <c r="BL378" s="35">
        <v>0.14054</v>
      </c>
      <c r="BM378" s="36"/>
      <c r="BN378" s="30">
        <v>25.7</v>
      </c>
      <c r="BO378" s="34">
        <v>3.3999000000000001</v>
      </c>
      <c r="BP378" s="35">
        <v>0.14279</v>
      </c>
      <c r="BR378" s="37">
        <v>907</v>
      </c>
      <c r="BS378" s="38">
        <v>0.90749999999999997</v>
      </c>
      <c r="BT378" s="39">
        <v>24.42</v>
      </c>
      <c r="BV378" s="40">
        <v>907</v>
      </c>
      <c r="BW378" s="34">
        <v>0.99860000000000004</v>
      </c>
      <c r="BX378" s="41">
        <v>0.89159999999999995</v>
      </c>
      <c r="BY378" s="55"/>
    </row>
    <row r="379" spans="27:77">
      <c r="AA379" s="27"/>
      <c r="BF379" s="30">
        <v>25.8</v>
      </c>
      <c r="BG379" s="31">
        <v>0.89959999999999996</v>
      </c>
      <c r="BH379" s="32">
        <v>899.1</v>
      </c>
      <c r="BJ379" s="30">
        <v>25.8</v>
      </c>
      <c r="BK379" s="34">
        <v>3.3439999999999999</v>
      </c>
      <c r="BL379" s="35">
        <v>0.14044999999999999</v>
      </c>
      <c r="BM379" s="36"/>
      <c r="BN379" s="30">
        <v>25.8</v>
      </c>
      <c r="BO379" s="34">
        <v>3.3976999999999999</v>
      </c>
      <c r="BP379" s="35">
        <v>0.14269999999999999</v>
      </c>
      <c r="BR379" s="37">
        <v>908</v>
      </c>
      <c r="BS379" s="38">
        <v>0.90849999999999997</v>
      </c>
      <c r="BT379" s="39">
        <v>24.25</v>
      </c>
      <c r="BV379" s="40">
        <v>908</v>
      </c>
      <c r="BW379" s="34">
        <v>0.99970000000000003</v>
      </c>
      <c r="BX379" s="41">
        <v>0.89259999999999995</v>
      </c>
      <c r="BY379" s="55"/>
    </row>
    <row r="380" spans="27:77">
      <c r="AA380" s="27"/>
      <c r="BF380" s="30">
        <v>25.9</v>
      </c>
      <c r="BG380" s="31">
        <v>0.89900000000000002</v>
      </c>
      <c r="BH380" s="32">
        <v>898.5</v>
      </c>
      <c r="BJ380" s="30">
        <v>25.9</v>
      </c>
      <c r="BK380" s="34">
        <v>3.3418999999999999</v>
      </c>
      <c r="BL380" s="35">
        <v>0.14036000000000001</v>
      </c>
      <c r="BM380" s="36"/>
      <c r="BN380" s="30">
        <v>25.9</v>
      </c>
      <c r="BO380" s="34">
        <v>3.3955000000000002</v>
      </c>
      <c r="BP380" s="35">
        <v>0.14260999999999999</v>
      </c>
      <c r="BR380" s="37">
        <v>909</v>
      </c>
      <c r="BS380" s="38">
        <v>0.90949999999999998</v>
      </c>
      <c r="BT380" s="39">
        <v>24.08</v>
      </c>
      <c r="BV380" s="40">
        <v>909</v>
      </c>
      <c r="BW380" s="34">
        <v>1.0007999999999999</v>
      </c>
      <c r="BX380" s="41">
        <v>0.89359999999999995</v>
      </c>
      <c r="BY380" s="55"/>
    </row>
    <row r="381" spans="27:77">
      <c r="AA381" s="27"/>
      <c r="BF381" s="30">
        <v>26</v>
      </c>
      <c r="BG381" s="31">
        <v>0.89839999999999998</v>
      </c>
      <c r="BH381" s="32">
        <v>897.9</v>
      </c>
      <c r="BJ381" s="30">
        <v>26</v>
      </c>
      <c r="BK381" s="34">
        <v>3.3397999999999999</v>
      </c>
      <c r="BL381" s="35">
        <v>0.14027000000000001</v>
      </c>
      <c r="BM381" s="36"/>
      <c r="BN381" s="30">
        <v>26</v>
      </c>
      <c r="BO381" s="34">
        <v>3.3934000000000002</v>
      </c>
      <c r="BP381" s="35">
        <v>0.14252000000000001</v>
      </c>
      <c r="BR381" s="37">
        <v>910</v>
      </c>
      <c r="BS381" s="38">
        <v>0.91049999999999998</v>
      </c>
      <c r="BT381" s="39">
        <v>23.91</v>
      </c>
      <c r="BV381" s="40">
        <v>910</v>
      </c>
      <c r="BW381" s="34">
        <v>1.0019</v>
      </c>
      <c r="BX381" s="41">
        <v>0.89459999999999995</v>
      </c>
      <c r="BY381" s="55"/>
    </row>
    <row r="382" spans="27:77">
      <c r="AA382" s="27"/>
      <c r="BF382" s="30">
        <v>26.1</v>
      </c>
      <c r="BG382" s="31">
        <v>0.89780000000000004</v>
      </c>
      <c r="BH382" s="32">
        <v>897.3</v>
      </c>
      <c r="BJ382" s="30">
        <v>26.1</v>
      </c>
      <c r="BK382" s="34">
        <v>3.3376999999999999</v>
      </c>
      <c r="BL382" s="35">
        <v>0.14018</v>
      </c>
      <c r="BM382" s="36"/>
      <c r="BN382" s="30">
        <v>26.1</v>
      </c>
      <c r="BO382" s="34">
        <v>3.3912</v>
      </c>
      <c r="BP382" s="35">
        <v>0.14243</v>
      </c>
      <c r="BR382" s="37">
        <v>911</v>
      </c>
      <c r="BS382" s="38">
        <v>0.91149999999999998</v>
      </c>
      <c r="BT382" s="39">
        <v>23.74</v>
      </c>
      <c r="BV382" s="40">
        <v>911</v>
      </c>
      <c r="BW382" s="34">
        <v>1.0029999999999999</v>
      </c>
      <c r="BX382" s="41">
        <v>0.89549999999999996</v>
      </c>
      <c r="BY382" s="55"/>
    </row>
    <row r="383" spans="27:77">
      <c r="AA383" s="27"/>
      <c r="BF383" s="30">
        <v>26.2</v>
      </c>
      <c r="BG383" s="31">
        <v>0.89729999999999999</v>
      </c>
      <c r="BH383" s="32">
        <v>896.8</v>
      </c>
      <c r="BJ383" s="30">
        <v>26.2</v>
      </c>
      <c r="BK383" s="34">
        <v>3.3355999999999999</v>
      </c>
      <c r="BL383" s="35">
        <v>0.14008999999999999</v>
      </c>
      <c r="BM383" s="36"/>
      <c r="BN383" s="30">
        <v>26.2</v>
      </c>
      <c r="BO383" s="34">
        <v>3.3891</v>
      </c>
      <c r="BP383" s="35">
        <v>0.14233999999999999</v>
      </c>
      <c r="BR383" s="37">
        <v>912</v>
      </c>
      <c r="BS383" s="38">
        <v>0.91249999999999998</v>
      </c>
      <c r="BT383" s="39">
        <v>23.57</v>
      </c>
      <c r="BV383" s="40">
        <v>912</v>
      </c>
      <c r="BW383" s="34">
        <v>1.0041</v>
      </c>
      <c r="BX383" s="41">
        <v>0.89649999999999996</v>
      </c>
      <c r="BY383" s="55"/>
    </row>
    <row r="384" spans="27:77">
      <c r="AA384" s="27"/>
      <c r="BF384" s="30">
        <v>26.3</v>
      </c>
      <c r="BG384" s="31">
        <v>0.89670000000000005</v>
      </c>
      <c r="BH384" s="32">
        <v>896.2</v>
      </c>
      <c r="BJ384" s="30">
        <v>26.3</v>
      </c>
      <c r="BK384" s="34">
        <v>3.3334000000000001</v>
      </c>
      <c r="BL384" s="35">
        <v>0.14000000000000001</v>
      </c>
      <c r="BM384" s="36"/>
      <c r="BN384" s="30">
        <v>26.3</v>
      </c>
      <c r="BO384" s="34">
        <v>3.3868999999999998</v>
      </c>
      <c r="BP384" s="35">
        <v>0.14224999999999999</v>
      </c>
      <c r="BR384" s="37">
        <v>913</v>
      </c>
      <c r="BS384" s="38">
        <v>0.91349999999999998</v>
      </c>
      <c r="BT384" s="39">
        <v>23.4</v>
      </c>
      <c r="BV384" s="40">
        <v>913</v>
      </c>
      <c r="BW384" s="34">
        <v>1.0052000000000001</v>
      </c>
      <c r="BX384" s="41">
        <v>0.89749999999999996</v>
      </c>
      <c r="BY384" s="55"/>
    </row>
    <row r="385" spans="27:77">
      <c r="AA385" s="27"/>
      <c r="BF385" s="30">
        <v>26.4</v>
      </c>
      <c r="BG385" s="31">
        <v>0.89610000000000001</v>
      </c>
      <c r="BH385" s="32">
        <v>895.6</v>
      </c>
      <c r="BJ385" s="30">
        <v>26.4</v>
      </c>
      <c r="BK385" s="34">
        <v>3.3313000000000001</v>
      </c>
      <c r="BL385" s="35">
        <v>0.13991999999999999</v>
      </c>
      <c r="BM385" s="36"/>
      <c r="BN385" s="30">
        <v>26.4</v>
      </c>
      <c r="BO385" s="34">
        <v>3.3847999999999998</v>
      </c>
      <c r="BP385" s="35">
        <v>0.14216000000000001</v>
      </c>
      <c r="BR385" s="37">
        <v>914</v>
      </c>
      <c r="BS385" s="38">
        <v>0.91449999999999998</v>
      </c>
      <c r="BT385" s="39">
        <v>23.23</v>
      </c>
      <c r="BV385" s="40">
        <v>914</v>
      </c>
      <c r="BW385" s="34">
        <v>1.0063</v>
      </c>
      <c r="BX385" s="41">
        <v>0.89849999999999997</v>
      </c>
      <c r="BY385" s="55"/>
    </row>
    <row r="386" spans="27:77">
      <c r="AA386" s="27"/>
      <c r="BF386" s="30">
        <v>26.5</v>
      </c>
      <c r="BG386" s="31">
        <v>0.89559999999999995</v>
      </c>
      <c r="BH386" s="32">
        <v>895.1</v>
      </c>
      <c r="BJ386" s="30">
        <v>26.5</v>
      </c>
      <c r="BK386" s="34">
        <v>3.3292000000000002</v>
      </c>
      <c r="BL386" s="35">
        <v>0.13983000000000001</v>
      </c>
      <c r="BM386" s="36"/>
      <c r="BN386" s="30">
        <v>26.5</v>
      </c>
      <c r="BO386" s="34">
        <v>3.3826000000000001</v>
      </c>
      <c r="BP386" s="35">
        <v>0.14207</v>
      </c>
      <c r="BR386" s="37">
        <v>915</v>
      </c>
      <c r="BS386" s="38">
        <v>0.91549999999999998</v>
      </c>
      <c r="BT386" s="39">
        <v>23.06</v>
      </c>
      <c r="BV386" s="40">
        <v>915</v>
      </c>
      <c r="BW386" s="34">
        <v>1.0074000000000001</v>
      </c>
      <c r="BX386" s="41">
        <v>0.89949999999999997</v>
      </c>
      <c r="BY386" s="55"/>
    </row>
    <row r="387" spans="27:77">
      <c r="AA387" s="27"/>
      <c r="BF387" s="30">
        <v>26.6</v>
      </c>
      <c r="BG387" s="31">
        <v>0.89500000000000002</v>
      </c>
      <c r="BH387" s="32">
        <v>894.5</v>
      </c>
      <c r="BJ387" s="30">
        <v>26.6</v>
      </c>
      <c r="BK387" s="34">
        <v>3.3271000000000002</v>
      </c>
      <c r="BL387" s="35">
        <v>0.13974</v>
      </c>
      <c r="BM387" s="36"/>
      <c r="BN387" s="30">
        <v>26.6</v>
      </c>
      <c r="BO387" s="34">
        <v>3.3805000000000001</v>
      </c>
      <c r="BP387" s="35">
        <v>0.14198</v>
      </c>
      <c r="BR387" s="37">
        <v>916</v>
      </c>
      <c r="BS387" s="38">
        <v>0.91649999999999998</v>
      </c>
      <c r="BT387" s="39">
        <v>22.89</v>
      </c>
      <c r="BV387" s="40">
        <v>916</v>
      </c>
      <c r="BW387" s="34">
        <v>1.0085</v>
      </c>
      <c r="BX387" s="41">
        <v>0.90049999999999997</v>
      </c>
      <c r="BY387" s="55"/>
    </row>
    <row r="388" spans="27:77">
      <c r="AA388" s="27"/>
      <c r="BF388" s="30">
        <v>26.7</v>
      </c>
      <c r="BG388" s="31">
        <v>0.89439999999999997</v>
      </c>
      <c r="BH388" s="32">
        <v>893.9</v>
      </c>
      <c r="BJ388" s="30">
        <v>26.7</v>
      </c>
      <c r="BK388" s="34">
        <v>3.3250000000000002</v>
      </c>
      <c r="BL388" s="35">
        <v>0.13965</v>
      </c>
      <c r="BM388" s="36"/>
      <c r="BN388" s="30">
        <v>26.7</v>
      </c>
      <c r="BO388" s="34">
        <v>3.3784000000000001</v>
      </c>
      <c r="BP388" s="35">
        <v>0.14188999999999999</v>
      </c>
      <c r="BR388" s="37">
        <v>917</v>
      </c>
      <c r="BS388" s="38">
        <v>0.91749999999999998</v>
      </c>
      <c r="BT388" s="39">
        <v>22.72</v>
      </c>
      <c r="BV388" s="40">
        <v>917</v>
      </c>
      <c r="BW388" s="34">
        <v>1.0096000000000001</v>
      </c>
      <c r="BX388" s="41">
        <v>0.90149999999999997</v>
      </c>
      <c r="BY388" s="55"/>
    </row>
    <row r="389" spans="27:77">
      <c r="AA389" s="27"/>
      <c r="BF389" s="30">
        <v>26.8</v>
      </c>
      <c r="BG389" s="31">
        <v>0.89390000000000003</v>
      </c>
      <c r="BH389" s="32">
        <v>893.4</v>
      </c>
      <c r="BJ389" s="30">
        <v>26.8</v>
      </c>
      <c r="BK389" s="34">
        <v>3.3229000000000002</v>
      </c>
      <c r="BL389" s="35">
        <v>0.13955999999999999</v>
      </c>
      <c r="BM389" s="36"/>
      <c r="BN389" s="30">
        <v>26.8</v>
      </c>
      <c r="BO389" s="34">
        <v>3.3761999999999999</v>
      </c>
      <c r="BP389" s="35">
        <v>0.14180000000000001</v>
      </c>
      <c r="BR389" s="37">
        <v>918</v>
      </c>
      <c r="BS389" s="38">
        <v>0.91849999999999998</v>
      </c>
      <c r="BT389" s="39">
        <v>22.55</v>
      </c>
      <c r="BV389" s="40">
        <v>918</v>
      </c>
      <c r="BW389" s="34">
        <v>1.0106999999999999</v>
      </c>
      <c r="BX389" s="41">
        <v>0.90239999999999998</v>
      </c>
      <c r="BY389" s="55"/>
    </row>
    <row r="390" spans="27:77">
      <c r="AA390" s="27"/>
      <c r="BF390" s="30">
        <v>26.9</v>
      </c>
      <c r="BG390" s="31">
        <v>0.89329999999999998</v>
      </c>
      <c r="BH390" s="32">
        <v>892.8</v>
      </c>
      <c r="BJ390" s="30">
        <v>26.9</v>
      </c>
      <c r="BK390" s="34">
        <v>3.3208000000000002</v>
      </c>
      <c r="BL390" s="35">
        <v>0.13947000000000001</v>
      </c>
      <c r="BM390" s="36"/>
      <c r="BN390" s="30">
        <v>26.9</v>
      </c>
      <c r="BO390" s="34">
        <v>3.3740999999999999</v>
      </c>
      <c r="BP390" s="35">
        <v>0.14171</v>
      </c>
      <c r="BR390" s="37">
        <v>919</v>
      </c>
      <c r="BS390" s="38">
        <v>0.91949999999999998</v>
      </c>
      <c r="BT390" s="39">
        <v>22.38</v>
      </c>
      <c r="BV390" s="40">
        <v>919</v>
      </c>
      <c r="BW390" s="34">
        <v>1.0118</v>
      </c>
      <c r="BX390" s="41">
        <v>0.90339999999999998</v>
      </c>
      <c r="BY390" s="55"/>
    </row>
    <row r="391" spans="27:77">
      <c r="AA391" s="27"/>
      <c r="BF391" s="30">
        <v>27</v>
      </c>
      <c r="BG391" s="31">
        <v>0.89270000000000005</v>
      </c>
      <c r="BH391" s="32">
        <v>892.2</v>
      </c>
      <c r="BJ391" s="30">
        <v>27</v>
      </c>
      <c r="BK391" s="34">
        <v>3.3187000000000002</v>
      </c>
      <c r="BL391" s="35">
        <v>0.13938999999999999</v>
      </c>
      <c r="BM391" s="36"/>
      <c r="BN391" s="30">
        <v>27</v>
      </c>
      <c r="BO391" s="34">
        <v>3.3719000000000001</v>
      </c>
      <c r="BP391" s="35">
        <v>0.14162</v>
      </c>
      <c r="BR391" s="37">
        <v>920</v>
      </c>
      <c r="BS391" s="38">
        <v>0.92049999999999998</v>
      </c>
      <c r="BT391" s="39">
        <v>22.22</v>
      </c>
      <c r="BV391" s="40">
        <v>920</v>
      </c>
      <c r="BW391" s="34">
        <v>1.0128999999999999</v>
      </c>
      <c r="BX391" s="41">
        <v>0.90439999999999998</v>
      </c>
      <c r="BY391" s="55"/>
    </row>
    <row r="392" spans="27:77">
      <c r="AA392" s="27"/>
      <c r="BF392" s="30">
        <v>27.1</v>
      </c>
      <c r="BG392" s="31">
        <v>0.89219999999999999</v>
      </c>
      <c r="BH392" s="32">
        <v>891.7</v>
      </c>
      <c r="BJ392" s="30">
        <v>27.1</v>
      </c>
      <c r="BK392" s="34">
        <v>3.3166000000000002</v>
      </c>
      <c r="BL392" s="35">
        <v>0.13930000000000001</v>
      </c>
      <c r="BM392" s="36"/>
      <c r="BN392" s="30">
        <v>27.1</v>
      </c>
      <c r="BO392" s="34">
        <v>3.3698000000000001</v>
      </c>
      <c r="BP392" s="35">
        <v>0.14152999999999999</v>
      </c>
      <c r="BR392" s="37">
        <v>921</v>
      </c>
      <c r="BS392" s="38">
        <v>0.92149999999999999</v>
      </c>
      <c r="BT392" s="39">
        <v>22.05</v>
      </c>
      <c r="BV392" s="40">
        <v>921</v>
      </c>
      <c r="BW392" s="34">
        <v>1.014</v>
      </c>
      <c r="BX392" s="41">
        <v>0.90539999999999998</v>
      </c>
      <c r="BY392" s="55"/>
    </row>
    <row r="393" spans="27:77">
      <c r="AA393" s="27"/>
      <c r="BF393" s="30">
        <v>27.2</v>
      </c>
      <c r="BG393" s="31">
        <v>0.89159999999999995</v>
      </c>
      <c r="BH393" s="32">
        <v>891.1</v>
      </c>
      <c r="BJ393" s="30">
        <v>27.2</v>
      </c>
      <c r="BK393" s="34">
        <v>3.3144999999999998</v>
      </c>
      <c r="BL393" s="35">
        <v>0.13921</v>
      </c>
      <c r="BM393" s="36"/>
      <c r="BN393" s="30">
        <v>27.2</v>
      </c>
      <c r="BO393" s="34">
        <v>3.3677000000000001</v>
      </c>
      <c r="BP393" s="35">
        <v>0.14144000000000001</v>
      </c>
      <c r="BR393" s="37">
        <v>922</v>
      </c>
      <c r="BS393" s="38">
        <v>0.92249999999999999</v>
      </c>
      <c r="BT393" s="39">
        <v>21.88</v>
      </c>
      <c r="BV393" s="40">
        <v>922</v>
      </c>
      <c r="BW393" s="34">
        <v>1.0150999999999999</v>
      </c>
      <c r="BX393" s="41">
        <v>0.90639999999999998</v>
      </c>
      <c r="BY393" s="55"/>
    </row>
    <row r="394" spans="27:77">
      <c r="AA394" s="27"/>
      <c r="BF394" s="30">
        <v>27.3</v>
      </c>
      <c r="BG394" s="31">
        <v>0.8911</v>
      </c>
      <c r="BH394" s="32">
        <v>890.6</v>
      </c>
      <c r="BJ394" s="30">
        <v>27.3</v>
      </c>
      <c r="BK394" s="34">
        <v>3.3123999999999998</v>
      </c>
      <c r="BL394" s="35">
        <v>0.13911999999999999</v>
      </c>
      <c r="BM394" s="36"/>
      <c r="BN394" s="30">
        <v>27.3</v>
      </c>
      <c r="BO394" s="34">
        <v>3.3656000000000001</v>
      </c>
      <c r="BP394" s="35">
        <v>0.14135</v>
      </c>
      <c r="BR394" s="37">
        <v>923</v>
      </c>
      <c r="BS394" s="38">
        <v>0.92349999999999999</v>
      </c>
      <c r="BT394" s="39">
        <v>21.72</v>
      </c>
      <c r="BV394" s="40">
        <v>923</v>
      </c>
      <c r="BW394" s="34">
        <v>1.0162</v>
      </c>
      <c r="BX394" s="41">
        <v>0.90739999999999998</v>
      </c>
      <c r="BY394" s="55"/>
    </row>
    <row r="395" spans="27:77">
      <c r="AA395" s="27"/>
      <c r="BF395" s="30">
        <v>27.4</v>
      </c>
      <c r="BG395" s="31">
        <v>0.89049999999999996</v>
      </c>
      <c r="BH395" s="32">
        <v>890</v>
      </c>
      <c r="BJ395" s="30">
        <v>27.4</v>
      </c>
      <c r="BK395" s="34">
        <v>3.3102999999999998</v>
      </c>
      <c r="BL395" s="35">
        <v>0.13902999999999999</v>
      </c>
      <c r="BM395" s="36"/>
      <c r="BN395" s="30">
        <v>27.4</v>
      </c>
      <c r="BO395" s="34">
        <v>3.3633999999999999</v>
      </c>
      <c r="BP395" s="35">
        <v>0.14126</v>
      </c>
      <c r="BR395" s="37">
        <v>924</v>
      </c>
      <c r="BS395" s="38">
        <v>0.92449999999999999</v>
      </c>
      <c r="BT395" s="39">
        <v>21.55</v>
      </c>
      <c r="BV395" s="40">
        <v>924</v>
      </c>
      <c r="BW395" s="34">
        <v>1.0173000000000001</v>
      </c>
      <c r="BX395" s="41">
        <v>0.9083</v>
      </c>
      <c r="BY395" s="55"/>
    </row>
    <row r="396" spans="27:77">
      <c r="AA396" s="27"/>
      <c r="BF396" s="30">
        <v>27.5</v>
      </c>
      <c r="BG396" s="31">
        <v>0.88990000000000002</v>
      </c>
      <c r="BH396" s="32">
        <v>889.4</v>
      </c>
      <c r="BJ396" s="30">
        <v>27.5</v>
      </c>
      <c r="BK396" s="34">
        <v>3.3081999999999998</v>
      </c>
      <c r="BL396" s="35">
        <v>0.13894999999999999</v>
      </c>
      <c r="BM396" s="36"/>
      <c r="BN396" s="30">
        <v>27.5</v>
      </c>
      <c r="BO396" s="34">
        <v>3.3613</v>
      </c>
      <c r="BP396" s="35">
        <v>0.14118</v>
      </c>
      <c r="BR396" s="37">
        <v>925</v>
      </c>
      <c r="BS396" s="38">
        <v>0.92549999999999999</v>
      </c>
      <c r="BT396" s="39">
        <v>21.39</v>
      </c>
      <c r="BV396" s="40">
        <v>925</v>
      </c>
      <c r="BW396" s="34">
        <v>1.0184</v>
      </c>
      <c r="BX396" s="41">
        <v>0.9093</v>
      </c>
      <c r="BY396" s="55"/>
    </row>
    <row r="397" spans="27:77">
      <c r="AA397" s="27"/>
      <c r="BF397" s="30">
        <v>27.6</v>
      </c>
      <c r="BG397" s="31">
        <v>0.88939999999999997</v>
      </c>
      <c r="BH397" s="32">
        <v>888.9</v>
      </c>
      <c r="BJ397" s="30">
        <v>27.6</v>
      </c>
      <c r="BK397" s="34">
        <v>3.3062</v>
      </c>
      <c r="BL397" s="35">
        <v>0.13886000000000001</v>
      </c>
      <c r="BM397" s="36"/>
      <c r="BN397" s="30">
        <v>27.6</v>
      </c>
      <c r="BO397" s="34">
        <v>3.3592</v>
      </c>
      <c r="BP397" s="35">
        <v>0.14108999999999999</v>
      </c>
      <c r="BR397" s="37">
        <v>926</v>
      </c>
      <c r="BS397" s="38">
        <v>0.92649999999999999</v>
      </c>
      <c r="BT397" s="39">
        <v>21.22</v>
      </c>
      <c r="BV397" s="40">
        <v>926</v>
      </c>
      <c r="BW397" s="34">
        <v>1.0195000000000001</v>
      </c>
      <c r="BX397" s="41">
        <v>0.9103</v>
      </c>
      <c r="BY397" s="55"/>
    </row>
    <row r="398" spans="27:77">
      <c r="AA398" s="27"/>
      <c r="BF398" s="30">
        <v>27.7</v>
      </c>
      <c r="BG398" s="31">
        <v>0.88880000000000003</v>
      </c>
      <c r="BH398" s="32">
        <v>888.3</v>
      </c>
      <c r="BJ398" s="30">
        <v>27.7</v>
      </c>
      <c r="BK398" s="34">
        <v>3.3041</v>
      </c>
      <c r="BL398" s="35">
        <v>0.13877</v>
      </c>
      <c r="BM398" s="36"/>
      <c r="BN398" s="30">
        <v>27.7</v>
      </c>
      <c r="BO398" s="34">
        <v>3.3571</v>
      </c>
      <c r="BP398" s="35">
        <v>0.14099999999999999</v>
      </c>
      <c r="BR398" s="37">
        <v>927</v>
      </c>
      <c r="BS398" s="38">
        <v>0.92749999999999999</v>
      </c>
      <c r="BT398" s="39">
        <v>21.06</v>
      </c>
      <c r="BV398" s="40">
        <v>927</v>
      </c>
      <c r="BW398" s="34">
        <v>1.0206999999999999</v>
      </c>
      <c r="BX398" s="41">
        <v>0.9113</v>
      </c>
      <c r="BY398" s="55"/>
    </row>
    <row r="399" spans="27:77">
      <c r="AA399" s="27"/>
      <c r="BF399" s="30">
        <v>27.8</v>
      </c>
      <c r="BG399" s="31">
        <v>0.88829999999999998</v>
      </c>
      <c r="BH399" s="32">
        <v>887.8</v>
      </c>
      <c r="BJ399" s="30">
        <v>27.8</v>
      </c>
      <c r="BK399" s="34">
        <v>3.302</v>
      </c>
      <c r="BL399" s="35">
        <v>0.13868</v>
      </c>
      <c r="BM399" s="36"/>
      <c r="BN399" s="30">
        <v>27.8</v>
      </c>
      <c r="BO399" s="34">
        <v>3.355</v>
      </c>
      <c r="BP399" s="35">
        <v>0.14091000000000001</v>
      </c>
      <c r="BR399" s="37">
        <v>928</v>
      </c>
      <c r="BS399" s="38">
        <v>0.92849999999999999</v>
      </c>
      <c r="BT399" s="39">
        <v>20.89</v>
      </c>
      <c r="BV399" s="40">
        <v>928</v>
      </c>
      <c r="BW399" s="34">
        <v>1.0218</v>
      </c>
      <c r="BX399" s="41">
        <v>0.9123</v>
      </c>
      <c r="BY399" s="55"/>
    </row>
    <row r="400" spans="27:77">
      <c r="AA400" s="27"/>
      <c r="BF400" s="30">
        <v>27.9</v>
      </c>
      <c r="BG400" s="31">
        <v>0.88770000000000004</v>
      </c>
      <c r="BH400" s="32">
        <v>887.2</v>
      </c>
      <c r="BJ400" s="30">
        <v>27.9</v>
      </c>
      <c r="BK400" s="34">
        <v>3.2999000000000001</v>
      </c>
      <c r="BL400" s="35">
        <v>0.1386</v>
      </c>
      <c r="BM400" s="36"/>
      <c r="BN400" s="30">
        <v>27.9</v>
      </c>
      <c r="BO400" s="34">
        <v>3.3529</v>
      </c>
      <c r="BP400" s="35">
        <v>0.14082</v>
      </c>
      <c r="BR400" s="37">
        <v>929</v>
      </c>
      <c r="BS400" s="38">
        <v>0.92949999999999999</v>
      </c>
      <c r="BT400" s="39">
        <v>20.73</v>
      </c>
      <c r="BV400" s="40">
        <v>929</v>
      </c>
      <c r="BW400" s="34">
        <v>1.0228999999999999</v>
      </c>
      <c r="BX400" s="41">
        <v>0.9133</v>
      </c>
      <c r="BY400" s="55"/>
    </row>
    <row r="401" spans="27:77">
      <c r="AA401" s="27"/>
      <c r="BF401" s="30">
        <v>28</v>
      </c>
      <c r="BG401" s="31">
        <v>0.8871</v>
      </c>
      <c r="BH401" s="32">
        <v>886.7</v>
      </c>
      <c r="BJ401" s="30">
        <v>28</v>
      </c>
      <c r="BK401" s="34">
        <v>3.2978999999999998</v>
      </c>
      <c r="BL401" s="35">
        <v>0.13850999999999999</v>
      </c>
      <c r="BM401" s="36"/>
      <c r="BN401" s="30">
        <v>28</v>
      </c>
      <c r="BO401" s="34">
        <v>3.3508</v>
      </c>
      <c r="BP401" s="35">
        <v>0.14072999999999999</v>
      </c>
      <c r="BR401" s="37">
        <v>930</v>
      </c>
      <c r="BS401" s="38">
        <v>0.93049999999999999</v>
      </c>
      <c r="BT401" s="39">
        <v>20.56</v>
      </c>
      <c r="BV401" s="40">
        <v>930</v>
      </c>
      <c r="BW401" s="34">
        <v>1.024</v>
      </c>
      <c r="BX401" s="41">
        <v>0.91420000000000001</v>
      </c>
      <c r="BY401" s="55"/>
    </row>
    <row r="402" spans="27:77">
      <c r="AA402" s="27"/>
      <c r="BF402" s="30">
        <v>28.1</v>
      </c>
      <c r="BG402" s="31">
        <v>0.88660000000000005</v>
      </c>
      <c r="BH402" s="32">
        <v>886.1</v>
      </c>
      <c r="BJ402" s="30">
        <v>28.1</v>
      </c>
      <c r="BK402" s="34">
        <v>3.2957999999999998</v>
      </c>
      <c r="BL402" s="35">
        <v>0.13841999999999999</v>
      </c>
      <c r="BM402" s="36"/>
      <c r="BN402" s="30">
        <v>28.1</v>
      </c>
      <c r="BO402" s="34">
        <v>3.3487</v>
      </c>
      <c r="BP402" s="35">
        <v>0.14063999999999999</v>
      </c>
      <c r="BR402" s="37">
        <v>931</v>
      </c>
      <c r="BS402" s="38">
        <v>0.93149999999999999</v>
      </c>
      <c r="BT402" s="39">
        <v>20.399999999999999</v>
      </c>
      <c r="BV402" s="40">
        <v>931</v>
      </c>
      <c r="BW402" s="34">
        <v>1.0250999999999999</v>
      </c>
      <c r="BX402" s="41">
        <v>0.91520000000000001</v>
      </c>
      <c r="BY402" s="55"/>
    </row>
    <row r="403" spans="27:77">
      <c r="AA403" s="27"/>
      <c r="BF403" s="30">
        <v>28.2</v>
      </c>
      <c r="BG403" s="31">
        <v>0.88600000000000001</v>
      </c>
      <c r="BH403" s="32">
        <v>885.5</v>
      </c>
      <c r="BJ403" s="30">
        <v>28.2</v>
      </c>
      <c r="BK403" s="34">
        <v>3.2936999999999999</v>
      </c>
      <c r="BL403" s="35">
        <v>0.13833999999999999</v>
      </c>
      <c r="BM403" s="36"/>
      <c r="BN403" s="30">
        <v>28.2</v>
      </c>
      <c r="BO403" s="34">
        <v>3.3466</v>
      </c>
      <c r="BP403" s="35">
        <v>0.14055999999999999</v>
      </c>
      <c r="BR403" s="37">
        <v>932</v>
      </c>
      <c r="BS403" s="38">
        <v>0.9325</v>
      </c>
      <c r="BT403" s="39">
        <v>20.239999999999998</v>
      </c>
      <c r="BV403" s="40">
        <v>932</v>
      </c>
      <c r="BW403" s="34">
        <v>1.0262</v>
      </c>
      <c r="BX403" s="41">
        <v>0.91620000000000001</v>
      </c>
      <c r="BY403" s="55"/>
    </row>
    <row r="404" spans="27:77">
      <c r="AA404" s="27"/>
      <c r="BF404" s="30">
        <v>28.3</v>
      </c>
      <c r="BG404" s="31">
        <v>0.88549999999999995</v>
      </c>
      <c r="BH404" s="32">
        <v>885</v>
      </c>
      <c r="BJ404" s="30">
        <v>28.3</v>
      </c>
      <c r="BK404" s="34">
        <v>3.2917000000000001</v>
      </c>
      <c r="BL404" s="35">
        <v>0.13825000000000001</v>
      </c>
      <c r="BM404" s="36"/>
      <c r="BN404" s="30">
        <v>28.3</v>
      </c>
      <c r="BO404" s="34">
        <v>3.3445</v>
      </c>
      <c r="BP404" s="35">
        <v>0.14047000000000001</v>
      </c>
      <c r="BR404" s="37">
        <v>933</v>
      </c>
      <c r="BS404" s="38">
        <v>0.9335</v>
      </c>
      <c r="BT404" s="39">
        <v>20.07</v>
      </c>
      <c r="BV404" s="40">
        <v>933</v>
      </c>
      <c r="BW404" s="34">
        <v>1.0273000000000001</v>
      </c>
      <c r="BX404" s="41">
        <v>0.91720000000000002</v>
      </c>
      <c r="BY404" s="55"/>
    </row>
    <row r="405" spans="27:77">
      <c r="AA405" s="27"/>
      <c r="BF405" s="30">
        <v>28.4</v>
      </c>
      <c r="BG405" s="31">
        <v>0.88490000000000002</v>
      </c>
      <c r="BH405" s="32">
        <v>884.4</v>
      </c>
      <c r="BJ405" s="30">
        <v>28.4</v>
      </c>
      <c r="BK405" s="34">
        <v>3.2896000000000001</v>
      </c>
      <c r="BL405" s="35">
        <v>0.13816000000000001</v>
      </c>
      <c r="BM405" s="36"/>
      <c r="BN405" s="30">
        <v>28.4</v>
      </c>
      <c r="BO405" s="34">
        <v>3.3424</v>
      </c>
      <c r="BP405" s="35">
        <v>0.14038</v>
      </c>
      <c r="BR405" s="37">
        <v>934</v>
      </c>
      <c r="BS405" s="38">
        <v>0.9345</v>
      </c>
      <c r="BT405" s="39">
        <v>19.91</v>
      </c>
      <c r="BV405" s="40">
        <v>934</v>
      </c>
      <c r="BW405" s="34">
        <v>1.0284</v>
      </c>
      <c r="BX405" s="41">
        <v>0.91820000000000002</v>
      </c>
      <c r="BY405" s="55"/>
    </row>
    <row r="406" spans="27:77">
      <c r="AA406" s="27"/>
      <c r="BF406" s="30">
        <v>28.5</v>
      </c>
      <c r="BG406" s="31">
        <v>0.88439999999999996</v>
      </c>
      <c r="BH406" s="32">
        <v>883.9</v>
      </c>
      <c r="BJ406" s="30">
        <v>28.5</v>
      </c>
      <c r="BK406" s="34">
        <v>3.2875000000000001</v>
      </c>
      <c r="BL406" s="35">
        <v>0.13808000000000001</v>
      </c>
      <c r="BM406" s="36"/>
      <c r="BN406" s="30">
        <v>28.5</v>
      </c>
      <c r="BO406" s="34">
        <v>3.3403</v>
      </c>
      <c r="BP406" s="35">
        <v>0.14029</v>
      </c>
      <c r="BR406" s="37">
        <v>935</v>
      </c>
      <c r="BS406" s="38">
        <v>0.9355</v>
      </c>
      <c r="BT406" s="39">
        <v>19.75</v>
      </c>
      <c r="BV406" s="40">
        <v>935</v>
      </c>
      <c r="BW406" s="34">
        <v>1.0295000000000001</v>
      </c>
      <c r="BX406" s="41">
        <v>0.91920000000000002</v>
      </c>
      <c r="BY406" s="55"/>
    </row>
    <row r="407" spans="27:77">
      <c r="AA407" s="27"/>
      <c r="BF407" s="30">
        <v>28.6</v>
      </c>
      <c r="BG407" s="31">
        <v>0.88380000000000003</v>
      </c>
      <c r="BH407" s="32">
        <v>883.3</v>
      </c>
      <c r="BJ407" s="30">
        <v>28.6</v>
      </c>
      <c r="BK407" s="34">
        <v>3.2854999999999999</v>
      </c>
      <c r="BL407" s="35">
        <v>0.13799</v>
      </c>
      <c r="BM407" s="36"/>
      <c r="BN407" s="30">
        <v>28.6</v>
      </c>
      <c r="BO407" s="34">
        <v>3.3382000000000001</v>
      </c>
      <c r="BP407" s="35">
        <v>0.14019999999999999</v>
      </c>
      <c r="BR407" s="37">
        <v>936</v>
      </c>
      <c r="BS407" s="38">
        <v>0.9365</v>
      </c>
      <c r="BT407" s="39">
        <v>19.59</v>
      </c>
      <c r="BV407" s="40">
        <v>936</v>
      </c>
      <c r="BW407" s="34">
        <v>1.0306</v>
      </c>
      <c r="BX407" s="41">
        <v>0.92020000000000002</v>
      </c>
      <c r="BY407" s="55"/>
    </row>
    <row r="408" spans="27:77">
      <c r="AA408" s="27"/>
      <c r="BF408" s="30">
        <v>28.7</v>
      </c>
      <c r="BG408" s="31">
        <v>0.88329999999999997</v>
      </c>
      <c r="BH408" s="32">
        <v>882.8</v>
      </c>
      <c r="BJ408" s="30">
        <v>28.7</v>
      </c>
      <c r="BK408" s="34">
        <v>3.2833999999999999</v>
      </c>
      <c r="BL408" s="35">
        <v>0.13789999999999999</v>
      </c>
      <c r="BM408" s="36"/>
      <c r="BN408" s="30">
        <v>28.7</v>
      </c>
      <c r="BO408" s="34">
        <v>3.3361000000000001</v>
      </c>
      <c r="BP408" s="35">
        <v>0.14011999999999999</v>
      </c>
      <c r="BR408" s="37">
        <v>937</v>
      </c>
      <c r="BS408" s="38">
        <v>0.9375</v>
      </c>
      <c r="BT408" s="39">
        <v>19.43</v>
      </c>
      <c r="BV408" s="40">
        <v>937</v>
      </c>
      <c r="BW408" s="34">
        <v>1.0317000000000001</v>
      </c>
      <c r="BX408" s="41">
        <v>0.92110000000000003</v>
      </c>
      <c r="BY408" s="55"/>
    </row>
    <row r="409" spans="27:77">
      <c r="AA409" s="27"/>
      <c r="BF409" s="30">
        <v>28.8</v>
      </c>
      <c r="BG409" s="31">
        <v>0.88270000000000004</v>
      </c>
      <c r="BH409" s="32">
        <v>882.2</v>
      </c>
      <c r="BJ409" s="30">
        <v>28.8</v>
      </c>
      <c r="BK409" s="34">
        <v>3.2814000000000001</v>
      </c>
      <c r="BL409" s="35">
        <v>0.13782</v>
      </c>
      <c r="BM409" s="36"/>
      <c r="BN409" s="30">
        <v>28.8</v>
      </c>
      <c r="BO409" s="34">
        <v>3.3340000000000001</v>
      </c>
      <c r="BP409" s="35">
        <v>0.14002999999999999</v>
      </c>
      <c r="BR409" s="37">
        <v>938</v>
      </c>
      <c r="BS409" s="38">
        <v>0.9385</v>
      </c>
      <c r="BT409" s="39">
        <v>19.27</v>
      </c>
      <c r="BV409" s="40">
        <v>938</v>
      </c>
      <c r="BW409" s="34">
        <v>1.0327999999999999</v>
      </c>
      <c r="BX409" s="41">
        <v>0.92210000000000003</v>
      </c>
      <c r="BY409" s="55"/>
    </row>
    <row r="410" spans="27:77">
      <c r="AA410" s="27"/>
      <c r="BF410" s="30">
        <v>28.9</v>
      </c>
      <c r="BG410" s="31">
        <v>0.88219999999999998</v>
      </c>
      <c r="BH410" s="32">
        <v>881.7</v>
      </c>
      <c r="BJ410" s="30">
        <v>28.9</v>
      </c>
      <c r="BK410" s="34">
        <v>3.2793000000000001</v>
      </c>
      <c r="BL410" s="35">
        <v>0.13772999999999999</v>
      </c>
      <c r="BM410" s="36"/>
      <c r="BN410" s="30">
        <v>28.9</v>
      </c>
      <c r="BO410" s="34">
        <v>3.3319999999999999</v>
      </c>
      <c r="BP410" s="35">
        <v>0.13994000000000001</v>
      </c>
      <c r="BR410" s="37">
        <v>939</v>
      </c>
      <c r="BS410" s="38">
        <v>0.9395</v>
      </c>
      <c r="BT410" s="39">
        <v>19.100000000000001</v>
      </c>
      <c r="BV410" s="40">
        <v>939</v>
      </c>
      <c r="BW410" s="34">
        <v>1.0339</v>
      </c>
      <c r="BX410" s="41">
        <v>0.92310000000000003</v>
      </c>
      <c r="BY410" s="55"/>
    </row>
    <row r="411" spans="27:77">
      <c r="AA411" s="27"/>
      <c r="BF411" s="30">
        <v>29</v>
      </c>
      <c r="BG411" s="31">
        <v>0.88160000000000005</v>
      </c>
      <c r="BH411" s="32">
        <v>881.1</v>
      </c>
      <c r="BJ411" s="30">
        <v>29</v>
      </c>
      <c r="BK411" s="34">
        <v>3.2772999999999999</v>
      </c>
      <c r="BL411" s="35">
        <v>0.13764999999999999</v>
      </c>
      <c r="BM411" s="36"/>
      <c r="BN411" s="30">
        <v>29</v>
      </c>
      <c r="BO411" s="34">
        <v>3.3298999999999999</v>
      </c>
      <c r="BP411" s="35">
        <v>0.13985</v>
      </c>
      <c r="BR411" s="37">
        <v>940</v>
      </c>
      <c r="BS411" s="38">
        <v>0.9405</v>
      </c>
      <c r="BT411" s="39">
        <v>18.940000000000001</v>
      </c>
      <c r="BV411" s="40">
        <v>940</v>
      </c>
      <c r="BW411" s="34">
        <v>1.0349999999999999</v>
      </c>
      <c r="BX411" s="41">
        <v>0.92410000000000003</v>
      </c>
      <c r="BY411" s="55"/>
    </row>
    <row r="412" spans="27:77">
      <c r="AA412" s="27"/>
      <c r="BF412" s="30">
        <v>29.1</v>
      </c>
      <c r="BG412" s="31">
        <v>0.88109999999999999</v>
      </c>
      <c r="BH412" s="32">
        <v>880.6</v>
      </c>
      <c r="BJ412" s="30">
        <v>29.1</v>
      </c>
      <c r="BK412" s="34">
        <v>3.2751999999999999</v>
      </c>
      <c r="BL412" s="35">
        <v>0.13755999999999999</v>
      </c>
      <c r="BM412" s="36"/>
      <c r="BN412" s="30">
        <v>29.1</v>
      </c>
      <c r="BO412" s="34">
        <v>3.3277999999999999</v>
      </c>
      <c r="BP412" s="35">
        <v>0.13977000000000001</v>
      </c>
      <c r="BR412" s="37">
        <v>941</v>
      </c>
      <c r="BS412" s="38">
        <v>0.9415</v>
      </c>
      <c r="BT412" s="39">
        <v>18.78</v>
      </c>
      <c r="BV412" s="40">
        <v>941</v>
      </c>
      <c r="BW412" s="34">
        <v>1.0361</v>
      </c>
      <c r="BX412" s="41">
        <v>0.92510000000000003</v>
      </c>
      <c r="BY412" s="55"/>
    </row>
    <row r="413" spans="27:77">
      <c r="AA413" s="27"/>
      <c r="BF413" s="30">
        <v>29.2</v>
      </c>
      <c r="BG413" s="31">
        <v>0.88049999999999995</v>
      </c>
      <c r="BH413" s="32">
        <v>880</v>
      </c>
      <c r="BJ413" s="30">
        <v>29.2</v>
      </c>
      <c r="BK413" s="34">
        <v>3.2732000000000001</v>
      </c>
      <c r="BL413" s="35">
        <v>0.13747000000000001</v>
      </c>
      <c r="BM413" s="36"/>
      <c r="BN413" s="30">
        <v>29.2</v>
      </c>
      <c r="BO413" s="34">
        <v>3.3256999999999999</v>
      </c>
      <c r="BP413" s="35">
        <v>0.13968</v>
      </c>
      <c r="BR413" s="37">
        <v>942</v>
      </c>
      <c r="BS413" s="38">
        <v>0.94259999999999999</v>
      </c>
      <c r="BT413" s="39">
        <v>18.62</v>
      </c>
      <c r="BV413" s="40">
        <v>942</v>
      </c>
      <c r="BW413" s="34">
        <v>1.0371999999999999</v>
      </c>
      <c r="BX413" s="41">
        <v>0.92610000000000003</v>
      </c>
      <c r="BY413" s="55"/>
    </row>
    <row r="414" spans="27:77">
      <c r="AA414" s="27"/>
      <c r="BF414" s="30">
        <v>29.3</v>
      </c>
      <c r="BG414" s="31">
        <v>0.88</v>
      </c>
      <c r="BH414" s="32">
        <v>879.5</v>
      </c>
      <c r="BJ414" s="30">
        <v>29.3</v>
      </c>
      <c r="BK414" s="34">
        <v>3.2711999999999999</v>
      </c>
      <c r="BL414" s="35">
        <v>0.13739000000000001</v>
      </c>
      <c r="BM414" s="36"/>
      <c r="BN414" s="30">
        <v>29.3</v>
      </c>
      <c r="BO414" s="34">
        <v>3.3237000000000001</v>
      </c>
      <c r="BP414" s="35">
        <v>0.13958999999999999</v>
      </c>
      <c r="BR414" s="37">
        <v>943</v>
      </c>
      <c r="BS414" s="38">
        <v>0.94359999999999999</v>
      </c>
      <c r="BT414" s="39">
        <v>18.47</v>
      </c>
      <c r="BV414" s="40">
        <v>943</v>
      </c>
      <c r="BW414" s="34">
        <v>1.0383</v>
      </c>
      <c r="BX414" s="41">
        <v>0.92700000000000005</v>
      </c>
      <c r="BY414" s="55"/>
    </row>
    <row r="415" spans="27:77">
      <c r="AA415" s="27"/>
      <c r="BF415" s="30">
        <v>29.4</v>
      </c>
      <c r="BG415" s="31">
        <v>0.87939999999999996</v>
      </c>
      <c r="BH415" s="32">
        <v>878.9</v>
      </c>
      <c r="BJ415" s="30">
        <v>29.4</v>
      </c>
      <c r="BK415" s="34">
        <v>3.2690999999999999</v>
      </c>
      <c r="BL415" s="35">
        <v>0.13730000000000001</v>
      </c>
      <c r="BM415" s="36"/>
      <c r="BN415" s="30">
        <v>29.4</v>
      </c>
      <c r="BO415" s="34">
        <v>3.3216000000000001</v>
      </c>
      <c r="BP415" s="35">
        <v>0.13951</v>
      </c>
      <c r="BR415" s="37">
        <v>944</v>
      </c>
      <c r="BS415" s="38">
        <v>0.9446</v>
      </c>
      <c r="BT415" s="39">
        <v>18.309999999999999</v>
      </c>
      <c r="BV415" s="40">
        <v>944</v>
      </c>
      <c r="BW415" s="34">
        <v>1.0394000000000001</v>
      </c>
      <c r="BX415" s="41">
        <v>0.92800000000000005</v>
      </c>
      <c r="BY415" s="55"/>
    </row>
    <row r="416" spans="27:77">
      <c r="AA416" s="27"/>
      <c r="BF416" s="30">
        <v>29.5</v>
      </c>
      <c r="BG416" s="31">
        <v>0.87890000000000001</v>
      </c>
      <c r="BH416" s="32">
        <v>878.4</v>
      </c>
      <c r="BJ416" s="30">
        <v>29.5</v>
      </c>
      <c r="BK416" s="34">
        <v>3.2671000000000001</v>
      </c>
      <c r="BL416" s="35">
        <v>0.13722000000000001</v>
      </c>
      <c r="BM416" s="36"/>
      <c r="BN416" s="30">
        <v>29.5</v>
      </c>
      <c r="BO416" s="34">
        <v>3.3195000000000001</v>
      </c>
      <c r="BP416" s="35">
        <v>0.13941999999999999</v>
      </c>
      <c r="BR416" s="37">
        <v>945</v>
      </c>
      <c r="BS416" s="38">
        <v>0.9456</v>
      </c>
      <c r="BT416" s="39">
        <v>18.149999999999999</v>
      </c>
      <c r="BV416" s="40">
        <v>945</v>
      </c>
      <c r="BW416" s="34">
        <v>1.0405</v>
      </c>
      <c r="BX416" s="41">
        <v>0.92900000000000005</v>
      </c>
      <c r="BY416" s="55"/>
    </row>
    <row r="417" spans="27:77">
      <c r="AA417" s="27"/>
      <c r="BF417" s="30">
        <v>29.6</v>
      </c>
      <c r="BG417" s="31">
        <v>0.87829999999999997</v>
      </c>
      <c r="BH417" s="32">
        <v>877.9</v>
      </c>
      <c r="BJ417" s="30">
        <v>29.6</v>
      </c>
      <c r="BK417" s="34">
        <v>3.2650999999999999</v>
      </c>
      <c r="BL417" s="35">
        <v>0.13713</v>
      </c>
      <c r="BM417" s="36"/>
      <c r="BN417" s="30">
        <v>29.6</v>
      </c>
      <c r="BO417" s="34">
        <v>3.3174999999999999</v>
      </c>
      <c r="BP417" s="35">
        <v>0.13933000000000001</v>
      </c>
      <c r="BR417" s="37">
        <v>946</v>
      </c>
      <c r="BS417" s="38">
        <v>0.9466</v>
      </c>
      <c r="BT417" s="39">
        <v>17.989999999999998</v>
      </c>
      <c r="BV417" s="40">
        <v>946</v>
      </c>
      <c r="BW417" s="34">
        <v>1.0416000000000001</v>
      </c>
      <c r="BX417" s="41">
        <v>0.93</v>
      </c>
      <c r="BY417" s="55"/>
    </row>
    <row r="418" spans="27:77">
      <c r="AA418" s="27"/>
      <c r="BF418" s="30">
        <v>29.7</v>
      </c>
      <c r="BG418" s="31">
        <v>0.87780000000000002</v>
      </c>
      <c r="BH418" s="32">
        <v>877.3</v>
      </c>
      <c r="BJ418" s="30">
        <v>29.7</v>
      </c>
      <c r="BK418" s="34">
        <v>3.2629999999999999</v>
      </c>
      <c r="BL418" s="35">
        <v>0.13705000000000001</v>
      </c>
      <c r="BM418" s="36"/>
      <c r="BN418" s="30">
        <v>29.7</v>
      </c>
      <c r="BO418" s="34">
        <v>3.3153999999999999</v>
      </c>
      <c r="BP418" s="35">
        <v>0.13925000000000001</v>
      </c>
      <c r="BR418" s="37">
        <v>947</v>
      </c>
      <c r="BS418" s="38">
        <v>0.9476</v>
      </c>
      <c r="BT418" s="39">
        <v>17.829999999999998</v>
      </c>
      <c r="BV418" s="40">
        <v>947</v>
      </c>
      <c r="BW418" s="34">
        <v>1.0427</v>
      </c>
      <c r="BX418" s="41">
        <v>0.93100000000000005</v>
      </c>
      <c r="BY418" s="55"/>
    </row>
    <row r="419" spans="27:77">
      <c r="AA419" s="27"/>
      <c r="BF419" s="30">
        <v>29.8</v>
      </c>
      <c r="BG419" s="31">
        <v>0.87719999999999998</v>
      </c>
      <c r="BH419" s="32">
        <v>876.8</v>
      </c>
      <c r="BJ419" s="30">
        <v>29.8</v>
      </c>
      <c r="BK419" s="34">
        <v>3.2610000000000001</v>
      </c>
      <c r="BL419" s="35">
        <v>0.13696</v>
      </c>
      <c r="BM419" s="36"/>
      <c r="BN419" s="30">
        <v>29.8</v>
      </c>
      <c r="BO419" s="34">
        <v>3.3132999999999999</v>
      </c>
      <c r="BP419" s="35">
        <v>0.13916000000000001</v>
      </c>
      <c r="BR419" s="37">
        <v>948</v>
      </c>
      <c r="BS419" s="38">
        <v>0.9486</v>
      </c>
      <c r="BT419" s="39">
        <v>17.670000000000002</v>
      </c>
      <c r="BV419" s="40">
        <v>948</v>
      </c>
      <c r="BW419" s="34">
        <v>1.0438000000000001</v>
      </c>
      <c r="BX419" s="41">
        <v>0.93200000000000005</v>
      </c>
      <c r="BY419" s="55"/>
    </row>
    <row r="420" spans="27:77">
      <c r="AA420" s="27"/>
      <c r="BF420" s="30">
        <v>29.9</v>
      </c>
      <c r="BG420" s="31">
        <v>0.87670000000000003</v>
      </c>
      <c r="BH420" s="32">
        <v>876.2</v>
      </c>
      <c r="BJ420" s="30">
        <v>29.9</v>
      </c>
      <c r="BK420" s="34">
        <v>3.2589999999999999</v>
      </c>
      <c r="BL420" s="35">
        <v>0.13688</v>
      </c>
      <c r="BM420" s="36"/>
      <c r="BN420" s="30">
        <v>29.9</v>
      </c>
      <c r="BO420" s="34">
        <v>3.3113000000000001</v>
      </c>
      <c r="BP420" s="35">
        <v>0.13907</v>
      </c>
      <c r="BR420" s="37">
        <v>949</v>
      </c>
      <c r="BS420" s="38">
        <v>0.9496</v>
      </c>
      <c r="BT420" s="39">
        <v>17.52</v>
      </c>
      <c r="BV420" s="40">
        <v>949</v>
      </c>
      <c r="BW420" s="34">
        <v>1.0448999999999999</v>
      </c>
      <c r="BX420" s="41">
        <v>0.93300000000000005</v>
      </c>
      <c r="BY420" s="55"/>
    </row>
    <row r="421" spans="27:77">
      <c r="AA421" s="27"/>
      <c r="BF421" s="30">
        <v>30</v>
      </c>
      <c r="BG421" s="31">
        <v>0.87619999999999998</v>
      </c>
      <c r="BH421" s="32">
        <v>875.7</v>
      </c>
      <c r="BJ421" s="30">
        <v>30</v>
      </c>
      <c r="BK421" s="34">
        <v>3.2570000000000001</v>
      </c>
      <c r="BL421" s="35">
        <v>0.13678999999999999</v>
      </c>
      <c r="BM421" s="36"/>
      <c r="BN421" s="30">
        <v>30</v>
      </c>
      <c r="BO421" s="34">
        <v>3.3092000000000001</v>
      </c>
      <c r="BP421" s="35">
        <v>0.13899</v>
      </c>
      <c r="BR421" s="37">
        <v>950</v>
      </c>
      <c r="BS421" s="38">
        <v>0.9506</v>
      </c>
      <c r="BT421" s="39">
        <v>17.36</v>
      </c>
      <c r="BV421" s="40">
        <v>950</v>
      </c>
      <c r="BW421" s="34">
        <v>1.046</v>
      </c>
      <c r="BX421" s="41">
        <v>0.93389999999999995</v>
      </c>
      <c r="BY421" s="55"/>
    </row>
    <row r="422" spans="27:77">
      <c r="AA422" s="27"/>
      <c r="BF422" s="30">
        <v>30.1</v>
      </c>
      <c r="BG422" s="31">
        <v>0.87560000000000004</v>
      </c>
      <c r="BH422" s="32">
        <v>875.1</v>
      </c>
      <c r="BJ422" s="30">
        <v>30.1</v>
      </c>
      <c r="BK422" s="34">
        <v>3.2549000000000001</v>
      </c>
      <c r="BL422" s="35">
        <v>0.13671</v>
      </c>
      <c r="BM422" s="36"/>
      <c r="BN422" s="30">
        <v>30.1</v>
      </c>
      <c r="BO422" s="34">
        <v>3.3071999999999999</v>
      </c>
      <c r="BP422" s="35">
        <v>0.1389</v>
      </c>
      <c r="BR422" s="37">
        <v>951</v>
      </c>
      <c r="BS422" s="38">
        <v>0.9516</v>
      </c>
      <c r="BT422" s="39">
        <v>17.2</v>
      </c>
      <c r="BV422" s="40">
        <v>951</v>
      </c>
      <c r="BW422" s="34">
        <v>1.0470999999999999</v>
      </c>
      <c r="BX422" s="41">
        <v>0.93489999999999995</v>
      </c>
      <c r="BY422" s="55"/>
    </row>
    <row r="423" spans="27:77">
      <c r="AA423" s="27"/>
      <c r="BF423" s="30">
        <v>30.2</v>
      </c>
      <c r="BG423" s="31">
        <v>0.87509999999999999</v>
      </c>
      <c r="BH423" s="32">
        <v>874.6</v>
      </c>
      <c r="BJ423" s="30">
        <v>30.2</v>
      </c>
      <c r="BK423" s="34">
        <v>3.2528999999999999</v>
      </c>
      <c r="BL423" s="35">
        <v>0.13661999999999999</v>
      </c>
      <c r="BM423" s="36"/>
      <c r="BN423" s="30">
        <v>30.2</v>
      </c>
      <c r="BO423" s="34">
        <v>3.3050999999999999</v>
      </c>
      <c r="BP423" s="35">
        <v>0.13882</v>
      </c>
      <c r="BR423" s="37">
        <v>952</v>
      </c>
      <c r="BS423" s="38">
        <v>0.9526</v>
      </c>
      <c r="BT423" s="39">
        <v>17.05</v>
      </c>
      <c r="BV423" s="40">
        <v>952</v>
      </c>
      <c r="BW423" s="34">
        <v>1.0482</v>
      </c>
      <c r="BX423" s="41">
        <v>0.93589999999999995</v>
      </c>
      <c r="BY423" s="55"/>
    </row>
    <row r="424" spans="27:77">
      <c r="AA424" s="27"/>
      <c r="BF424" s="30">
        <v>30.3</v>
      </c>
      <c r="BG424" s="31">
        <v>0.87450000000000006</v>
      </c>
      <c r="BH424" s="32">
        <v>874.1</v>
      </c>
      <c r="BJ424" s="30">
        <v>30.3</v>
      </c>
      <c r="BK424" s="34">
        <v>3.2509000000000001</v>
      </c>
      <c r="BL424" s="35">
        <v>0.13653999999999999</v>
      </c>
      <c r="BM424" s="36"/>
      <c r="BN424" s="30">
        <v>30.3</v>
      </c>
      <c r="BO424" s="34">
        <v>3.3031000000000001</v>
      </c>
      <c r="BP424" s="35">
        <v>0.13872999999999999</v>
      </c>
      <c r="BR424" s="37">
        <v>953</v>
      </c>
      <c r="BS424" s="38">
        <v>0.9536</v>
      </c>
      <c r="BT424" s="39">
        <v>16.89</v>
      </c>
      <c r="BV424" s="40">
        <v>953</v>
      </c>
      <c r="BW424" s="34">
        <v>1.0492999999999999</v>
      </c>
      <c r="BX424" s="41">
        <v>0.93689999999999996</v>
      </c>
      <c r="BY424" s="55"/>
    </row>
    <row r="425" spans="27:77">
      <c r="AA425" s="27"/>
      <c r="BF425" s="30">
        <v>30.4</v>
      </c>
      <c r="BG425" s="31">
        <v>0.874</v>
      </c>
      <c r="BH425" s="32">
        <v>873.5</v>
      </c>
      <c r="BJ425" s="30">
        <v>30.4</v>
      </c>
      <c r="BK425" s="34">
        <v>3.2488999999999999</v>
      </c>
      <c r="BL425" s="35">
        <v>0.13644999999999999</v>
      </c>
      <c r="BM425" s="36"/>
      <c r="BN425" s="30">
        <v>30.4</v>
      </c>
      <c r="BO425" s="34">
        <v>3.3010000000000002</v>
      </c>
      <c r="BP425" s="35">
        <v>0.13864000000000001</v>
      </c>
      <c r="BR425" s="37">
        <v>954</v>
      </c>
      <c r="BS425" s="38">
        <v>0.9546</v>
      </c>
      <c r="BT425" s="39">
        <v>16.739999999999998</v>
      </c>
      <c r="BV425" s="40">
        <v>954</v>
      </c>
      <c r="BW425" s="34">
        <v>1.0504</v>
      </c>
      <c r="BX425" s="41">
        <v>0.93789999999999996</v>
      </c>
      <c r="BY425" s="55"/>
    </row>
    <row r="426" spans="27:77">
      <c r="AA426" s="27"/>
      <c r="BF426" s="30">
        <v>30.5</v>
      </c>
      <c r="BG426" s="31">
        <v>0.87350000000000005</v>
      </c>
      <c r="BH426" s="32">
        <v>873</v>
      </c>
      <c r="BJ426" s="30">
        <v>30.5</v>
      </c>
      <c r="BK426" s="34">
        <v>3.2469000000000001</v>
      </c>
      <c r="BL426" s="35">
        <v>0.13636999999999999</v>
      </c>
      <c r="BM426" s="36"/>
      <c r="BN426" s="30">
        <v>30.5</v>
      </c>
      <c r="BO426" s="34">
        <v>3.2989999999999999</v>
      </c>
      <c r="BP426" s="35">
        <v>0.13855999999999999</v>
      </c>
      <c r="BR426" s="37">
        <v>955</v>
      </c>
      <c r="BS426" s="38">
        <v>0.9556</v>
      </c>
      <c r="BT426" s="39">
        <v>16.579999999999998</v>
      </c>
      <c r="BV426" s="40">
        <v>955</v>
      </c>
      <c r="BW426" s="34">
        <v>1.0515000000000001</v>
      </c>
      <c r="BX426" s="41">
        <v>0.93889999999999996</v>
      </c>
      <c r="BY426" s="55"/>
    </row>
    <row r="427" spans="27:77">
      <c r="AA427" s="27"/>
      <c r="BF427" s="30">
        <v>30.6</v>
      </c>
      <c r="BG427" s="31">
        <v>0.87290000000000001</v>
      </c>
      <c r="BH427" s="32">
        <v>872.4</v>
      </c>
      <c r="BJ427" s="30">
        <v>30.6</v>
      </c>
      <c r="BK427" s="34">
        <v>3.2448999999999999</v>
      </c>
      <c r="BL427" s="35">
        <v>0.13628999999999999</v>
      </c>
      <c r="BM427" s="36"/>
      <c r="BN427" s="30">
        <v>30.6</v>
      </c>
      <c r="BO427" s="34">
        <v>3.2970000000000002</v>
      </c>
      <c r="BP427" s="35">
        <v>0.13847000000000001</v>
      </c>
      <c r="BR427" s="37">
        <v>956</v>
      </c>
      <c r="BS427" s="38">
        <v>0.95660000000000001</v>
      </c>
      <c r="BT427" s="39">
        <v>16.420000000000002</v>
      </c>
      <c r="BV427" s="40">
        <v>956</v>
      </c>
      <c r="BW427" s="34">
        <v>1.0526</v>
      </c>
      <c r="BX427" s="41">
        <v>0.93979999999999997</v>
      </c>
      <c r="BY427" s="55"/>
    </row>
    <row r="428" spans="27:77">
      <c r="AA428" s="27"/>
      <c r="BF428" s="30">
        <v>30.7</v>
      </c>
      <c r="BG428" s="31">
        <v>0.87239999999999995</v>
      </c>
      <c r="BH428" s="32">
        <v>871.9</v>
      </c>
      <c r="BJ428" s="30">
        <v>30.7</v>
      </c>
      <c r="BK428" s="34">
        <v>3.2429000000000001</v>
      </c>
      <c r="BL428" s="35">
        <v>0.13619999999999999</v>
      </c>
      <c r="BM428" s="36"/>
      <c r="BN428" s="30">
        <v>30.7</v>
      </c>
      <c r="BO428" s="34">
        <v>3.2949000000000002</v>
      </c>
      <c r="BP428" s="35">
        <v>0.13839000000000001</v>
      </c>
      <c r="BR428" s="37">
        <v>957</v>
      </c>
      <c r="BS428" s="38">
        <v>0.95760000000000001</v>
      </c>
      <c r="BT428" s="39">
        <v>16.27</v>
      </c>
      <c r="BV428" s="40">
        <v>957</v>
      </c>
      <c r="BW428" s="34">
        <v>1.0537000000000001</v>
      </c>
      <c r="BX428" s="41">
        <v>0.94079999999999997</v>
      </c>
      <c r="BY428" s="55"/>
    </row>
    <row r="429" spans="27:77">
      <c r="AA429" s="27"/>
      <c r="BF429" s="30">
        <v>30.8</v>
      </c>
      <c r="BG429" s="31">
        <v>0.87180000000000002</v>
      </c>
      <c r="BH429" s="32">
        <v>871.4</v>
      </c>
      <c r="BJ429" s="30">
        <v>30.8</v>
      </c>
      <c r="BK429" s="34">
        <v>3.2408999999999999</v>
      </c>
      <c r="BL429" s="35">
        <v>0.13611999999999999</v>
      </c>
      <c r="BM429" s="36"/>
      <c r="BN429" s="30">
        <v>30.8</v>
      </c>
      <c r="BO429" s="34">
        <v>3.2928999999999999</v>
      </c>
      <c r="BP429" s="35">
        <v>0.13830000000000001</v>
      </c>
      <c r="BR429" s="37">
        <v>958</v>
      </c>
      <c r="BS429" s="38">
        <v>0.95860000000000001</v>
      </c>
      <c r="BT429" s="39">
        <v>16.12</v>
      </c>
      <c r="BV429" s="40">
        <v>958</v>
      </c>
      <c r="BW429" s="34">
        <v>1.0548</v>
      </c>
      <c r="BX429" s="41">
        <v>0.94179999999999997</v>
      </c>
      <c r="BY429" s="55"/>
    </row>
    <row r="430" spans="27:77">
      <c r="AA430" s="27"/>
      <c r="BF430" s="30">
        <v>30.9</v>
      </c>
      <c r="BG430" s="31">
        <v>0.87129999999999996</v>
      </c>
      <c r="BH430" s="32">
        <v>870.8</v>
      </c>
      <c r="BJ430" s="30">
        <v>30.9</v>
      </c>
      <c r="BK430" s="34">
        <v>3.2389000000000001</v>
      </c>
      <c r="BL430" s="35">
        <v>0.13603000000000001</v>
      </c>
      <c r="BM430" s="36"/>
      <c r="BN430" s="30">
        <v>30.9</v>
      </c>
      <c r="BO430" s="34">
        <v>3.2909000000000002</v>
      </c>
      <c r="BP430" s="35">
        <v>0.13822000000000001</v>
      </c>
      <c r="BR430" s="37">
        <v>959</v>
      </c>
      <c r="BS430" s="38">
        <v>0.95960000000000001</v>
      </c>
      <c r="BT430" s="39">
        <v>15.96</v>
      </c>
      <c r="BV430" s="40">
        <v>959</v>
      </c>
      <c r="BW430" s="34">
        <v>1.0559000000000001</v>
      </c>
      <c r="BX430" s="41">
        <v>0.94279999999999997</v>
      </c>
      <c r="BY430" s="55"/>
    </row>
    <row r="431" spans="27:77">
      <c r="AA431" s="27"/>
      <c r="BF431" s="30">
        <v>31</v>
      </c>
      <c r="BG431" s="31">
        <v>0.87080000000000002</v>
      </c>
      <c r="BH431" s="32">
        <v>870.3</v>
      </c>
      <c r="BJ431" s="30">
        <v>31</v>
      </c>
      <c r="BK431" s="34">
        <v>3.2368999999999999</v>
      </c>
      <c r="BL431" s="35">
        <v>0.13594999999999999</v>
      </c>
      <c r="BM431" s="36"/>
      <c r="BN431" s="30">
        <v>31</v>
      </c>
      <c r="BO431" s="34">
        <v>3.2888000000000002</v>
      </c>
      <c r="BP431" s="35">
        <v>0.13813</v>
      </c>
      <c r="BR431" s="37">
        <v>960</v>
      </c>
      <c r="BS431" s="38">
        <v>0.96060000000000001</v>
      </c>
      <c r="BT431" s="39">
        <v>15.81</v>
      </c>
      <c r="BV431" s="40">
        <v>960</v>
      </c>
      <c r="BW431" s="34">
        <v>1.0569999999999999</v>
      </c>
      <c r="BX431" s="41">
        <v>0.94379999999999997</v>
      </c>
      <c r="BY431" s="55"/>
    </row>
    <row r="432" spans="27:77">
      <c r="AA432" s="27"/>
      <c r="BF432" s="30">
        <v>31.1</v>
      </c>
      <c r="BG432" s="31">
        <v>0.87019999999999997</v>
      </c>
      <c r="BH432" s="32">
        <v>869.8</v>
      </c>
      <c r="BJ432" s="30">
        <v>31.1</v>
      </c>
      <c r="BK432" s="34">
        <v>3.2349000000000001</v>
      </c>
      <c r="BL432" s="35">
        <v>0.13586999999999999</v>
      </c>
      <c r="BM432" s="36"/>
      <c r="BN432" s="30">
        <v>31.1</v>
      </c>
      <c r="BO432" s="34">
        <v>3.2867999999999999</v>
      </c>
      <c r="BP432" s="35">
        <v>0.13805000000000001</v>
      </c>
      <c r="BR432" s="37">
        <v>961</v>
      </c>
      <c r="BS432" s="38">
        <v>0.96160000000000001</v>
      </c>
      <c r="BT432" s="39">
        <v>15.65</v>
      </c>
      <c r="BV432" s="40">
        <v>961</v>
      </c>
      <c r="BW432" s="34">
        <v>1.0581</v>
      </c>
      <c r="BX432" s="41">
        <v>0.94479999999999997</v>
      </c>
      <c r="BY432" s="55"/>
    </row>
    <row r="433" spans="27:77">
      <c r="AA433" s="27"/>
      <c r="BF433" s="30">
        <v>31.2</v>
      </c>
      <c r="BG433" s="31">
        <v>0.86970000000000003</v>
      </c>
      <c r="BH433" s="32">
        <v>869.2</v>
      </c>
      <c r="BJ433" s="30">
        <v>31.2</v>
      </c>
      <c r="BK433" s="34">
        <v>3.2328999999999999</v>
      </c>
      <c r="BL433" s="35">
        <v>0.13578000000000001</v>
      </c>
      <c r="BM433" s="36"/>
      <c r="BN433" s="30">
        <v>31.2</v>
      </c>
      <c r="BO433" s="34">
        <v>3.2848000000000002</v>
      </c>
      <c r="BP433" s="35">
        <v>0.13796</v>
      </c>
      <c r="BR433" s="37">
        <v>962</v>
      </c>
      <c r="BS433" s="38">
        <v>0.96260000000000001</v>
      </c>
      <c r="BT433" s="39">
        <v>15.5</v>
      </c>
      <c r="BV433" s="40">
        <v>962</v>
      </c>
      <c r="BW433" s="34">
        <v>1.0591999999999999</v>
      </c>
      <c r="BX433" s="41">
        <v>0.94569999999999999</v>
      </c>
      <c r="BY433" s="55"/>
    </row>
    <row r="434" spans="27:77">
      <c r="AA434" s="27"/>
      <c r="BF434" s="30">
        <v>31.3</v>
      </c>
      <c r="BG434" s="31">
        <v>0.86919999999999997</v>
      </c>
      <c r="BH434" s="32">
        <v>868.7</v>
      </c>
      <c r="BJ434" s="30">
        <v>31.3</v>
      </c>
      <c r="BK434" s="34">
        <v>3.2309000000000001</v>
      </c>
      <c r="BL434" s="35">
        <v>0.13569999999999999</v>
      </c>
      <c r="BM434" s="36"/>
      <c r="BN434" s="30">
        <v>31.3</v>
      </c>
      <c r="BO434" s="34">
        <v>3.2827999999999999</v>
      </c>
      <c r="BP434" s="35">
        <v>0.13788</v>
      </c>
      <c r="BR434" s="37">
        <v>963</v>
      </c>
      <c r="BS434" s="38">
        <v>0.96360000000000001</v>
      </c>
      <c r="BT434" s="39">
        <v>15.35</v>
      </c>
      <c r="BV434" s="40">
        <v>963</v>
      </c>
      <c r="BW434" s="34">
        <v>1.0603</v>
      </c>
      <c r="BX434" s="41">
        <v>0.94669999999999999</v>
      </c>
      <c r="BY434" s="55"/>
    </row>
    <row r="435" spans="27:77">
      <c r="AA435" s="27"/>
      <c r="BF435" s="30">
        <v>31.4</v>
      </c>
      <c r="BG435" s="31">
        <v>0.86860000000000004</v>
      </c>
      <c r="BH435" s="32">
        <v>868.2</v>
      </c>
      <c r="BJ435" s="30">
        <v>31.4</v>
      </c>
      <c r="BK435" s="34">
        <v>3.2288999999999999</v>
      </c>
      <c r="BL435" s="35">
        <v>0.13561999999999999</v>
      </c>
      <c r="BM435" s="36"/>
      <c r="BN435" s="30">
        <v>31.4</v>
      </c>
      <c r="BO435" s="34">
        <v>3.2806999999999999</v>
      </c>
      <c r="BP435" s="35">
        <v>0.13779</v>
      </c>
      <c r="BR435" s="37">
        <v>964</v>
      </c>
      <c r="BS435" s="38">
        <v>0.96460000000000001</v>
      </c>
      <c r="BT435" s="39">
        <v>15.2</v>
      </c>
      <c r="BV435" s="40">
        <v>964</v>
      </c>
      <c r="BW435" s="34">
        <v>1.0613999999999999</v>
      </c>
      <c r="BX435" s="41">
        <v>0.94769999999999999</v>
      </c>
      <c r="BY435" s="55"/>
    </row>
    <row r="436" spans="27:77">
      <c r="AA436" s="27"/>
      <c r="BF436" s="30">
        <v>31.5</v>
      </c>
      <c r="BG436" s="31">
        <v>0.86809999999999998</v>
      </c>
      <c r="BH436" s="32">
        <v>867.6</v>
      </c>
      <c r="BJ436" s="30">
        <v>31.5</v>
      </c>
      <c r="BK436" s="34">
        <v>3.2269000000000001</v>
      </c>
      <c r="BL436" s="35">
        <v>0.13553000000000001</v>
      </c>
      <c r="BM436" s="36"/>
      <c r="BN436" s="30">
        <v>31.5</v>
      </c>
      <c r="BO436" s="34">
        <v>3.2787000000000002</v>
      </c>
      <c r="BP436" s="35">
        <v>0.13771</v>
      </c>
      <c r="BR436" s="37">
        <v>965</v>
      </c>
      <c r="BS436" s="38">
        <v>0.96560000000000001</v>
      </c>
      <c r="BT436" s="39">
        <v>15.04</v>
      </c>
      <c r="BV436" s="40">
        <v>965</v>
      </c>
      <c r="BW436" s="34">
        <v>1.0625</v>
      </c>
      <c r="BX436" s="41">
        <v>0.94869999999999999</v>
      </c>
      <c r="BY436" s="55"/>
    </row>
    <row r="437" spans="27:77">
      <c r="AA437" s="27"/>
      <c r="BF437" s="30">
        <v>31.6</v>
      </c>
      <c r="BG437" s="31">
        <v>0.86760000000000004</v>
      </c>
      <c r="BH437" s="32">
        <v>867.1</v>
      </c>
      <c r="BJ437" s="30">
        <v>31.6</v>
      </c>
      <c r="BK437" s="34">
        <v>3.2250000000000001</v>
      </c>
      <c r="BL437" s="35">
        <v>0.13544999999999999</v>
      </c>
      <c r="BM437" s="36"/>
      <c r="BN437" s="30">
        <v>31.6</v>
      </c>
      <c r="BO437" s="34">
        <v>3.2766999999999999</v>
      </c>
      <c r="BP437" s="35">
        <v>0.13761999999999999</v>
      </c>
      <c r="BR437" s="37">
        <v>966</v>
      </c>
      <c r="BS437" s="38">
        <v>0.96660000000000001</v>
      </c>
      <c r="BT437" s="39">
        <v>14.89</v>
      </c>
      <c r="BV437" s="40">
        <v>966</v>
      </c>
      <c r="BW437" s="34">
        <v>1.0636000000000001</v>
      </c>
      <c r="BX437" s="41">
        <v>0.94969999999999999</v>
      </c>
      <c r="BY437" s="55"/>
    </row>
    <row r="438" spans="27:77">
      <c r="AA438" s="27"/>
      <c r="BF438" s="30">
        <v>31.7</v>
      </c>
      <c r="BG438" s="31">
        <v>0.86699999999999999</v>
      </c>
      <c r="BH438" s="32">
        <v>866.6</v>
      </c>
      <c r="BJ438" s="30">
        <v>31.7</v>
      </c>
      <c r="BK438" s="34">
        <v>3.2229999999999999</v>
      </c>
      <c r="BL438" s="35">
        <v>0.13536999999999999</v>
      </c>
      <c r="BM438" s="36"/>
      <c r="BN438" s="30">
        <v>31.7</v>
      </c>
      <c r="BO438" s="34">
        <v>3.2747000000000002</v>
      </c>
      <c r="BP438" s="35">
        <v>0.13754</v>
      </c>
      <c r="BR438" s="37">
        <v>967</v>
      </c>
      <c r="BS438" s="38">
        <v>0.96760000000000002</v>
      </c>
      <c r="BT438" s="39">
        <v>14.74</v>
      </c>
      <c r="BV438" s="40">
        <v>967</v>
      </c>
      <c r="BW438" s="34">
        <v>1.0648</v>
      </c>
      <c r="BX438" s="41">
        <v>0.95069999999999999</v>
      </c>
      <c r="BY438" s="55"/>
    </row>
    <row r="439" spans="27:77">
      <c r="AA439" s="27"/>
      <c r="BF439" s="30">
        <v>31.8</v>
      </c>
      <c r="BG439" s="31">
        <v>0.86650000000000005</v>
      </c>
      <c r="BH439" s="32">
        <v>866</v>
      </c>
      <c r="BJ439" s="30">
        <v>31.8</v>
      </c>
      <c r="BK439" s="34">
        <v>3.2210000000000001</v>
      </c>
      <c r="BL439" s="35">
        <v>0.13528000000000001</v>
      </c>
      <c r="BM439" s="36"/>
      <c r="BN439" s="30">
        <v>31.8</v>
      </c>
      <c r="BO439" s="34">
        <v>3.2726999999999999</v>
      </c>
      <c r="BP439" s="35">
        <v>0.13744999999999999</v>
      </c>
      <c r="BR439" s="37">
        <v>968</v>
      </c>
      <c r="BS439" s="38">
        <v>0.96860000000000002</v>
      </c>
      <c r="BT439" s="39">
        <v>14.59</v>
      </c>
      <c r="BV439" s="40">
        <v>968</v>
      </c>
      <c r="BW439" s="34">
        <v>1.0659000000000001</v>
      </c>
      <c r="BX439" s="41">
        <v>0.95169999999999999</v>
      </c>
      <c r="BY439" s="55"/>
    </row>
    <row r="440" spans="27:77">
      <c r="AA440" s="27"/>
      <c r="BF440" s="30">
        <v>31.9</v>
      </c>
      <c r="BG440" s="31">
        <v>0.86599999999999999</v>
      </c>
      <c r="BH440" s="32">
        <v>865.5</v>
      </c>
      <c r="BJ440" s="30">
        <v>31.9</v>
      </c>
      <c r="BK440" s="34">
        <v>3.2189999999999999</v>
      </c>
      <c r="BL440" s="35">
        <v>0.13519999999999999</v>
      </c>
      <c r="BM440" s="36"/>
      <c r="BN440" s="30">
        <v>31.9</v>
      </c>
      <c r="BO440" s="34">
        <v>3.2707000000000002</v>
      </c>
      <c r="BP440" s="35">
        <v>0.13736999999999999</v>
      </c>
      <c r="BR440" s="37">
        <v>969</v>
      </c>
      <c r="BS440" s="38">
        <v>0.96960000000000002</v>
      </c>
      <c r="BT440" s="39">
        <v>14.44</v>
      </c>
      <c r="BV440" s="40">
        <v>969</v>
      </c>
      <c r="BW440" s="34">
        <v>1.0669999999999999</v>
      </c>
      <c r="BX440" s="41">
        <v>0.9526</v>
      </c>
      <c r="BY440" s="55"/>
    </row>
    <row r="441" spans="27:77">
      <c r="AA441" s="27"/>
      <c r="BF441" s="30">
        <v>32</v>
      </c>
      <c r="BG441" s="31">
        <v>0.86539999999999995</v>
      </c>
      <c r="BH441" s="32">
        <v>865</v>
      </c>
      <c r="BJ441" s="30">
        <v>32</v>
      </c>
      <c r="BK441" s="34">
        <v>3.2170999999999998</v>
      </c>
      <c r="BL441" s="35">
        <v>0.13511999999999999</v>
      </c>
      <c r="BM441" s="36"/>
      <c r="BN441" s="30">
        <v>32</v>
      </c>
      <c r="BO441" s="34">
        <v>3.2686999999999999</v>
      </c>
      <c r="BP441" s="35">
        <v>0.13728000000000001</v>
      </c>
      <c r="BR441" s="37">
        <v>970</v>
      </c>
      <c r="BS441" s="38">
        <v>0.97060000000000002</v>
      </c>
      <c r="BT441" s="39">
        <v>14.29</v>
      </c>
      <c r="BV441" s="40">
        <v>970</v>
      </c>
      <c r="BW441" s="34">
        <v>1.0681</v>
      </c>
      <c r="BX441" s="41">
        <v>0.9536</v>
      </c>
      <c r="BY441" s="55"/>
    </row>
    <row r="442" spans="27:77">
      <c r="AA442" s="27"/>
      <c r="BF442" s="30">
        <v>32.1</v>
      </c>
      <c r="BG442" s="31">
        <v>0.8649</v>
      </c>
      <c r="BH442" s="32">
        <v>864.5</v>
      </c>
      <c r="BJ442" s="30">
        <v>32.1</v>
      </c>
      <c r="BK442" s="34">
        <v>3.2151000000000001</v>
      </c>
      <c r="BL442" s="35">
        <v>0.13503000000000001</v>
      </c>
      <c r="BM442" s="36"/>
      <c r="BN442" s="30">
        <v>32.1</v>
      </c>
      <c r="BO442" s="34">
        <v>3.2667000000000002</v>
      </c>
      <c r="BP442" s="35">
        <v>0.13719999999999999</v>
      </c>
      <c r="BR442" s="37">
        <v>971</v>
      </c>
      <c r="BS442" s="38">
        <v>0.97160000000000002</v>
      </c>
      <c r="BT442" s="39">
        <v>14.14</v>
      </c>
      <c r="BV442" s="40">
        <v>971</v>
      </c>
      <c r="BW442" s="34">
        <v>1.0691999999999999</v>
      </c>
      <c r="BX442" s="41">
        <v>0.9546</v>
      </c>
      <c r="BY442" s="55"/>
    </row>
    <row r="443" spans="27:77">
      <c r="AA443" s="27"/>
      <c r="BF443" s="30">
        <v>32.200000000000003</v>
      </c>
      <c r="BG443" s="31">
        <v>0.86439999999999995</v>
      </c>
      <c r="BH443" s="32">
        <v>863.9</v>
      </c>
      <c r="BJ443" s="30">
        <v>32.200000000000003</v>
      </c>
      <c r="BK443" s="34">
        <v>3.2130999999999998</v>
      </c>
      <c r="BL443" s="35">
        <v>0.13494999999999999</v>
      </c>
      <c r="BM443" s="36"/>
      <c r="BN443" s="30">
        <v>32.200000000000003</v>
      </c>
      <c r="BO443" s="34">
        <v>3.2646999999999999</v>
      </c>
      <c r="BP443" s="35">
        <v>0.13711999999999999</v>
      </c>
      <c r="BR443" s="37">
        <v>972</v>
      </c>
      <c r="BS443" s="38">
        <v>0.97260000000000002</v>
      </c>
      <c r="BT443" s="39">
        <v>13.99</v>
      </c>
      <c r="BV443" s="40">
        <v>972</v>
      </c>
      <c r="BW443" s="34">
        <v>1.0703</v>
      </c>
      <c r="BX443" s="41">
        <v>0.9556</v>
      </c>
      <c r="BY443" s="55"/>
    </row>
    <row r="444" spans="27:77">
      <c r="AA444" s="27"/>
      <c r="BF444" s="30">
        <v>32.299999999999997</v>
      </c>
      <c r="BG444" s="31">
        <v>0.8639</v>
      </c>
      <c r="BH444" s="32">
        <v>863.4</v>
      </c>
      <c r="BJ444" s="30">
        <v>32.299999999999997</v>
      </c>
      <c r="BK444" s="34">
        <v>3.2111999999999998</v>
      </c>
      <c r="BL444" s="35">
        <v>0.13486999999999999</v>
      </c>
      <c r="BM444" s="36"/>
      <c r="BN444" s="30">
        <v>32.299999999999997</v>
      </c>
      <c r="BO444" s="34">
        <v>3.2627000000000002</v>
      </c>
      <c r="BP444" s="35">
        <v>0.13703000000000001</v>
      </c>
      <c r="BR444" s="37">
        <v>973</v>
      </c>
      <c r="BS444" s="38">
        <v>0.97360000000000002</v>
      </c>
      <c r="BT444" s="39">
        <v>13.84</v>
      </c>
      <c r="BV444" s="40">
        <v>973</v>
      </c>
      <c r="BW444" s="34">
        <v>1.0713999999999999</v>
      </c>
      <c r="BX444" s="41">
        <v>0.95660000000000001</v>
      </c>
      <c r="BY444" s="55"/>
    </row>
    <row r="445" spans="27:77">
      <c r="AA445" s="27"/>
      <c r="BF445" s="30">
        <v>32.4</v>
      </c>
      <c r="BG445" s="31">
        <v>0.86329999999999996</v>
      </c>
      <c r="BH445" s="32">
        <v>862.9</v>
      </c>
      <c r="BJ445" s="30">
        <v>32.4</v>
      </c>
      <c r="BK445" s="34">
        <v>3.2092000000000001</v>
      </c>
      <c r="BL445" s="35">
        <v>0.13478999999999999</v>
      </c>
      <c r="BM445" s="36"/>
      <c r="BN445" s="30">
        <v>32.4</v>
      </c>
      <c r="BO445" s="34">
        <v>3.2606999999999999</v>
      </c>
      <c r="BP445" s="35">
        <v>0.13694999999999999</v>
      </c>
      <c r="BR445" s="37">
        <v>974</v>
      </c>
      <c r="BS445" s="38">
        <v>0.97460000000000002</v>
      </c>
      <c r="BT445" s="39">
        <v>13.69</v>
      </c>
      <c r="BV445" s="40">
        <v>974</v>
      </c>
      <c r="BW445" s="34">
        <v>1.0725</v>
      </c>
      <c r="BX445" s="41">
        <v>0.95760000000000001</v>
      </c>
      <c r="BY445" s="55"/>
    </row>
    <row r="446" spans="27:77">
      <c r="AA446" s="27"/>
      <c r="BF446" s="30">
        <v>32.5</v>
      </c>
      <c r="BG446" s="31">
        <v>0.86280000000000001</v>
      </c>
      <c r="BH446" s="32">
        <v>862.3</v>
      </c>
      <c r="BJ446" s="30">
        <v>32.5</v>
      </c>
      <c r="BK446" s="34">
        <v>3.2071999999999998</v>
      </c>
      <c r="BL446" s="35">
        <v>0.13469999999999999</v>
      </c>
      <c r="BM446" s="36"/>
      <c r="BN446" s="30">
        <v>32.5</v>
      </c>
      <c r="BO446" s="34">
        <v>3.2587000000000002</v>
      </c>
      <c r="BP446" s="35">
        <v>0.13686999999999999</v>
      </c>
      <c r="BR446" s="37">
        <v>975</v>
      </c>
      <c r="BS446" s="38">
        <v>0.97560000000000002</v>
      </c>
      <c r="BT446" s="39">
        <v>13.54</v>
      </c>
      <c r="BV446" s="40">
        <v>975</v>
      </c>
      <c r="BW446" s="34">
        <v>1.0736000000000001</v>
      </c>
      <c r="BX446" s="41">
        <v>0.95850000000000002</v>
      </c>
      <c r="BY446" s="55"/>
    </row>
    <row r="447" spans="27:77">
      <c r="AA447" s="27"/>
      <c r="BF447" s="30">
        <v>32.6</v>
      </c>
      <c r="BG447" s="31">
        <v>0.86229999999999996</v>
      </c>
      <c r="BH447" s="32">
        <v>861.8</v>
      </c>
      <c r="BJ447" s="30">
        <v>32.6</v>
      </c>
      <c r="BK447" s="34">
        <v>3.2052999999999998</v>
      </c>
      <c r="BL447" s="35">
        <v>0.13461999999999999</v>
      </c>
      <c r="BM447" s="36"/>
      <c r="BN447" s="30">
        <v>32.6</v>
      </c>
      <c r="BO447" s="34">
        <v>3.2566999999999999</v>
      </c>
      <c r="BP447" s="35">
        <v>0.13678000000000001</v>
      </c>
      <c r="BR447" s="37">
        <v>976</v>
      </c>
      <c r="BS447" s="38">
        <v>0.97660000000000002</v>
      </c>
      <c r="BT447" s="39">
        <v>13.39</v>
      </c>
      <c r="BV447" s="40">
        <v>976</v>
      </c>
      <c r="BW447" s="34">
        <v>1.0747</v>
      </c>
      <c r="BX447" s="41" t="s">
        <v>37</v>
      </c>
      <c r="BY447" s="55"/>
    </row>
    <row r="448" spans="27:77">
      <c r="AA448" s="27"/>
      <c r="BF448" s="30">
        <v>32.700000000000003</v>
      </c>
      <c r="BG448" s="31">
        <v>0.86180000000000001</v>
      </c>
      <c r="BH448" s="32">
        <v>861.3</v>
      </c>
      <c r="BJ448" s="30">
        <v>32.700000000000003</v>
      </c>
      <c r="BK448" s="34">
        <v>3.2033</v>
      </c>
      <c r="BL448" s="35">
        <v>0.13453999999999999</v>
      </c>
      <c r="BM448" s="36"/>
      <c r="BN448" s="30">
        <v>32.700000000000003</v>
      </c>
      <c r="BO448" s="34">
        <v>3.2547000000000001</v>
      </c>
      <c r="BP448" s="35">
        <v>0.13669999999999999</v>
      </c>
      <c r="BR448" s="37">
        <v>977</v>
      </c>
      <c r="BS448" s="38">
        <v>0.97760000000000002</v>
      </c>
      <c r="BT448" s="39">
        <v>13.24</v>
      </c>
      <c r="BV448" s="40">
        <v>977</v>
      </c>
      <c r="BW448" s="34">
        <v>1.0758000000000001</v>
      </c>
      <c r="BX448" s="41">
        <v>0.96050000000000002</v>
      </c>
      <c r="BY448" s="55"/>
    </row>
    <row r="449" spans="27:77">
      <c r="AA449" s="27"/>
      <c r="BF449" s="30">
        <v>32.799999999999997</v>
      </c>
      <c r="BG449" s="31">
        <v>0.86119999999999997</v>
      </c>
      <c r="BH449" s="32">
        <v>860.8</v>
      </c>
      <c r="BJ449" s="30">
        <v>32.799999999999997</v>
      </c>
      <c r="BK449" s="34">
        <v>3.2014</v>
      </c>
      <c r="BL449" s="35">
        <v>0.13446</v>
      </c>
      <c r="BM449" s="36"/>
      <c r="BN449" s="30">
        <v>32.799999999999997</v>
      </c>
      <c r="BO449" s="34">
        <v>3.2528000000000001</v>
      </c>
      <c r="BP449" s="35">
        <v>0.13661999999999999</v>
      </c>
      <c r="BR449" s="37">
        <v>978</v>
      </c>
      <c r="BS449" s="38">
        <v>0.97860000000000003</v>
      </c>
      <c r="BT449" s="39">
        <v>13.1</v>
      </c>
      <c r="BV449" s="40">
        <v>978</v>
      </c>
      <c r="BW449" s="34">
        <v>1.0769</v>
      </c>
      <c r="BX449" s="41">
        <v>0.96150000000000002</v>
      </c>
      <c r="BY449" s="55"/>
    </row>
    <row r="450" spans="27:77">
      <c r="AA450" s="27"/>
      <c r="BF450" s="30">
        <v>32.9</v>
      </c>
      <c r="BG450" s="31">
        <v>0.86070000000000002</v>
      </c>
      <c r="BH450" s="32">
        <v>860.2</v>
      </c>
      <c r="BJ450" s="30">
        <v>32.9</v>
      </c>
      <c r="BK450" s="34">
        <v>3.1993999999999998</v>
      </c>
      <c r="BL450" s="35">
        <v>0.13438</v>
      </c>
      <c r="BM450" s="36"/>
      <c r="BN450" s="30">
        <v>32.9</v>
      </c>
      <c r="BO450" s="34">
        <v>3.2507999999999999</v>
      </c>
      <c r="BP450" s="35">
        <v>0.13653000000000001</v>
      </c>
      <c r="BR450" s="37">
        <v>979</v>
      </c>
      <c r="BS450" s="38">
        <v>0.97960000000000003</v>
      </c>
      <c r="BT450" s="39">
        <v>12.95</v>
      </c>
      <c r="BV450" s="40">
        <v>979</v>
      </c>
      <c r="BW450" s="34">
        <v>1.0780000000000001</v>
      </c>
      <c r="BX450" s="41">
        <v>0.96250000000000002</v>
      </c>
      <c r="BY450" s="55"/>
    </row>
    <row r="451" spans="27:77">
      <c r="AA451" s="27"/>
      <c r="BF451" s="30">
        <v>33</v>
      </c>
      <c r="BG451" s="31">
        <v>0.86019999999999996</v>
      </c>
      <c r="BH451" s="32">
        <v>859.7</v>
      </c>
      <c r="BJ451" s="30">
        <v>33</v>
      </c>
      <c r="BK451" s="34">
        <v>3.1974999999999998</v>
      </c>
      <c r="BL451" s="35">
        <v>0.13428999999999999</v>
      </c>
      <c r="BM451" s="36"/>
      <c r="BN451" s="30">
        <v>33</v>
      </c>
      <c r="BO451" s="34">
        <v>3.2488000000000001</v>
      </c>
      <c r="BP451" s="35">
        <v>0.13644999999999999</v>
      </c>
      <c r="BR451" s="37">
        <v>980</v>
      </c>
      <c r="BS451" s="38">
        <v>0.98060000000000003</v>
      </c>
      <c r="BT451" s="39">
        <v>12.8</v>
      </c>
      <c r="BV451" s="40">
        <v>980</v>
      </c>
      <c r="BW451" s="34">
        <v>1.0790999999999999</v>
      </c>
      <c r="BX451" s="41">
        <v>0.96350000000000002</v>
      </c>
      <c r="BY451" s="55"/>
    </row>
    <row r="452" spans="27:77">
      <c r="AA452" s="27"/>
      <c r="BF452" s="30">
        <v>33.1</v>
      </c>
      <c r="BG452" s="31">
        <v>0.85970000000000002</v>
      </c>
      <c r="BH452" s="32">
        <v>859.2</v>
      </c>
      <c r="BJ452" s="30">
        <v>33.1</v>
      </c>
      <c r="BK452" s="34">
        <v>3.1955</v>
      </c>
      <c r="BL452" s="35">
        <v>0.13421</v>
      </c>
      <c r="BM452" s="36"/>
      <c r="BN452" s="30">
        <v>33.1</v>
      </c>
      <c r="BO452" s="34">
        <v>3.2467999999999999</v>
      </c>
      <c r="BP452" s="35">
        <v>0.13636999999999999</v>
      </c>
      <c r="BR452" s="37">
        <v>981</v>
      </c>
      <c r="BS452" s="38">
        <v>0.98160000000000003</v>
      </c>
      <c r="BT452" s="39">
        <v>12.65</v>
      </c>
      <c r="BV452" s="40">
        <v>981</v>
      </c>
      <c r="BW452" s="34">
        <v>1.0802</v>
      </c>
      <c r="BX452" s="41">
        <v>0.96450000000000002</v>
      </c>
      <c r="BY452" s="55"/>
    </row>
    <row r="453" spans="27:77">
      <c r="AA453" s="27"/>
      <c r="BF453" s="30">
        <v>33.200000000000003</v>
      </c>
      <c r="BG453" s="31">
        <v>0.85909999999999997</v>
      </c>
      <c r="BH453" s="32">
        <v>858.7</v>
      </c>
      <c r="BJ453" s="30">
        <v>33.200000000000003</v>
      </c>
      <c r="BK453" s="34">
        <v>3.1936</v>
      </c>
      <c r="BL453" s="35">
        <v>0.13413</v>
      </c>
      <c r="BM453" s="36"/>
      <c r="BN453" s="30">
        <v>33.200000000000003</v>
      </c>
      <c r="BO453" s="34">
        <v>3.2448000000000001</v>
      </c>
      <c r="BP453" s="35">
        <v>0.13628000000000001</v>
      </c>
      <c r="BR453" s="37">
        <v>982</v>
      </c>
      <c r="BS453" s="38">
        <v>0.98260000000000003</v>
      </c>
      <c r="BT453" s="39">
        <v>12.51</v>
      </c>
      <c r="BV453" s="40">
        <v>982</v>
      </c>
      <c r="BW453" s="34">
        <v>1.0812999999999999</v>
      </c>
      <c r="BX453" s="41">
        <v>0.96540000000000004</v>
      </c>
      <c r="BY453" s="55"/>
    </row>
    <row r="454" spans="27:77">
      <c r="AA454" s="27"/>
      <c r="BF454" s="30">
        <v>33.299999999999997</v>
      </c>
      <c r="BG454" s="31">
        <v>0.85860000000000003</v>
      </c>
      <c r="BH454" s="32">
        <v>858.2</v>
      </c>
      <c r="BJ454" s="30">
        <v>33.299999999999997</v>
      </c>
      <c r="BK454" s="34">
        <v>3.1917</v>
      </c>
      <c r="BL454" s="35">
        <v>0.13405</v>
      </c>
      <c r="BM454" s="36"/>
      <c r="BN454" s="30">
        <v>33.299999999999997</v>
      </c>
      <c r="BO454" s="34">
        <v>3.2429000000000001</v>
      </c>
      <c r="BP454" s="35">
        <v>0.13619999999999999</v>
      </c>
      <c r="BR454" s="37">
        <v>983</v>
      </c>
      <c r="BS454" s="38">
        <v>0.98360000000000003</v>
      </c>
      <c r="BT454" s="39">
        <v>12.36</v>
      </c>
      <c r="BV454" s="40">
        <v>983</v>
      </c>
      <c r="BW454" s="34">
        <v>1.0824</v>
      </c>
      <c r="BX454" s="41">
        <v>0.96640000000000004</v>
      </c>
      <c r="BY454" s="55"/>
    </row>
    <row r="455" spans="27:77">
      <c r="AA455" s="27"/>
      <c r="BF455" s="30">
        <v>33.4</v>
      </c>
      <c r="BG455" s="31">
        <v>0.85809999999999997</v>
      </c>
      <c r="BH455" s="32">
        <v>857.6</v>
      </c>
      <c r="BJ455" s="30">
        <v>33.4</v>
      </c>
      <c r="BK455" s="34">
        <v>3.1897000000000002</v>
      </c>
      <c r="BL455" s="35">
        <v>0.13397000000000001</v>
      </c>
      <c r="BM455" s="36"/>
      <c r="BN455" s="30">
        <v>33.4</v>
      </c>
      <c r="BO455" s="34">
        <v>3.2408999999999999</v>
      </c>
      <c r="BP455" s="35">
        <v>0.13611999999999999</v>
      </c>
      <c r="BR455" s="37">
        <v>984</v>
      </c>
      <c r="BS455" s="38">
        <v>0.98460000000000003</v>
      </c>
      <c r="BT455" s="39">
        <v>12.21</v>
      </c>
      <c r="BV455" s="40">
        <v>984</v>
      </c>
      <c r="BW455" s="34">
        <v>1.0834999999999999</v>
      </c>
      <c r="BX455" s="41">
        <v>0.96740000000000004</v>
      </c>
      <c r="BY455" s="55"/>
    </row>
    <row r="456" spans="27:77">
      <c r="AA456" s="27"/>
      <c r="BF456" s="30">
        <v>33.5</v>
      </c>
      <c r="BG456" s="31">
        <v>0.85760000000000003</v>
      </c>
      <c r="BH456" s="32">
        <v>857.1</v>
      </c>
      <c r="BJ456" s="30">
        <v>33.5</v>
      </c>
      <c r="BK456" s="34">
        <v>3.1878000000000002</v>
      </c>
      <c r="BL456" s="35">
        <v>0.13389000000000001</v>
      </c>
      <c r="BM456" s="36"/>
      <c r="BN456" s="30">
        <v>33.5</v>
      </c>
      <c r="BO456" s="34">
        <v>3.2389000000000001</v>
      </c>
      <c r="BP456" s="35">
        <v>0.13603999999999999</v>
      </c>
      <c r="BR456" s="37">
        <v>985</v>
      </c>
      <c r="BS456" s="38">
        <v>0.98560000000000003</v>
      </c>
      <c r="BT456" s="39">
        <v>12.07</v>
      </c>
      <c r="BV456" s="40">
        <v>985</v>
      </c>
      <c r="BW456" s="34">
        <v>1.0846</v>
      </c>
      <c r="BX456" s="41">
        <v>0.96840000000000004</v>
      </c>
      <c r="BY456" s="55"/>
    </row>
    <row r="457" spans="27:77">
      <c r="AA457" s="27"/>
      <c r="BF457" s="30">
        <v>33.6</v>
      </c>
      <c r="BG457" s="31">
        <v>0.85709999999999997</v>
      </c>
      <c r="BH457" s="32">
        <v>856.6</v>
      </c>
      <c r="BJ457" s="30">
        <v>33.6</v>
      </c>
      <c r="BK457" s="34">
        <v>3.1858</v>
      </c>
      <c r="BL457" s="35">
        <v>0.13381000000000001</v>
      </c>
      <c r="BM457" s="36"/>
      <c r="BN457" s="30">
        <v>33.6</v>
      </c>
      <c r="BO457" s="34">
        <v>3.2370000000000001</v>
      </c>
      <c r="BP457" s="35">
        <v>0.13594999999999999</v>
      </c>
      <c r="BR457" s="37">
        <v>986</v>
      </c>
      <c r="BS457" s="38">
        <v>0.98660000000000003</v>
      </c>
      <c r="BT457" s="39">
        <v>11.92</v>
      </c>
      <c r="BV457" s="40">
        <v>986</v>
      </c>
      <c r="BW457" s="34">
        <v>1.0857000000000001</v>
      </c>
      <c r="BX457" s="41">
        <v>0.96940000000000004</v>
      </c>
      <c r="BY457" s="55"/>
    </row>
    <row r="458" spans="27:77">
      <c r="AA458" s="27"/>
      <c r="BF458" s="30">
        <v>33.700000000000003</v>
      </c>
      <c r="BG458" s="31">
        <v>0.85650000000000004</v>
      </c>
      <c r="BH458" s="32">
        <v>856.1</v>
      </c>
      <c r="BJ458" s="30">
        <v>33.700000000000003</v>
      </c>
      <c r="BK458" s="34">
        <v>3.1839</v>
      </c>
      <c r="BL458" s="35">
        <v>0.13372000000000001</v>
      </c>
      <c r="BM458" s="36"/>
      <c r="BN458" s="30">
        <v>33.700000000000003</v>
      </c>
      <c r="BO458" s="34">
        <v>3.2349999999999999</v>
      </c>
      <c r="BP458" s="35">
        <v>0.13586999999999999</v>
      </c>
      <c r="BR458" s="37">
        <v>987</v>
      </c>
      <c r="BS458" s="38">
        <v>0.98760000000000003</v>
      </c>
      <c r="BT458" s="39">
        <v>11.78</v>
      </c>
      <c r="BV458" s="40">
        <v>987</v>
      </c>
      <c r="BW458" s="34">
        <v>1.0868</v>
      </c>
      <c r="BX458" s="41">
        <v>0.97040000000000004</v>
      </c>
      <c r="BY458" s="55"/>
    </row>
    <row r="459" spans="27:77">
      <c r="AA459" s="27"/>
      <c r="BF459" s="30">
        <v>33.799999999999997</v>
      </c>
      <c r="BG459" s="31">
        <v>0.85599999999999998</v>
      </c>
      <c r="BH459" s="32">
        <v>855.6</v>
      </c>
      <c r="BJ459" s="30">
        <v>33.799999999999997</v>
      </c>
      <c r="BK459" s="34">
        <v>3.1819999999999999</v>
      </c>
      <c r="BL459" s="35">
        <v>0.13364000000000001</v>
      </c>
      <c r="BM459" s="36"/>
      <c r="BN459" s="30">
        <v>33.799999999999997</v>
      </c>
      <c r="BO459" s="34">
        <v>3.2330000000000001</v>
      </c>
      <c r="BP459" s="35">
        <v>0.13578999999999999</v>
      </c>
      <c r="BR459" s="37">
        <v>988</v>
      </c>
      <c r="BS459" s="38">
        <v>0.98860000000000003</v>
      </c>
      <c r="BT459" s="39">
        <v>11.63</v>
      </c>
      <c r="BV459" s="40">
        <v>988</v>
      </c>
      <c r="BW459" s="34">
        <v>1.0879000000000001</v>
      </c>
      <c r="BX459" s="41">
        <v>0.97130000000000005</v>
      </c>
      <c r="BY459" s="55"/>
    </row>
    <row r="460" spans="27:77">
      <c r="AA460" s="27"/>
      <c r="BF460" s="30">
        <v>33.9</v>
      </c>
      <c r="BG460" s="31">
        <v>0.85550000000000004</v>
      </c>
      <c r="BH460" s="32">
        <v>855</v>
      </c>
      <c r="BJ460" s="30">
        <v>33.9</v>
      </c>
      <c r="BK460" s="34">
        <v>3.1800999999999999</v>
      </c>
      <c r="BL460" s="35">
        <v>0.13356000000000001</v>
      </c>
      <c r="BM460" s="36"/>
      <c r="BN460" s="30">
        <v>33.9</v>
      </c>
      <c r="BO460" s="34">
        <v>3.2311000000000001</v>
      </c>
      <c r="BP460" s="35">
        <v>0.13571</v>
      </c>
      <c r="BR460" s="37">
        <v>989</v>
      </c>
      <c r="BS460" s="38">
        <v>0.98960000000000004</v>
      </c>
      <c r="BT460" s="39">
        <v>11.49</v>
      </c>
      <c r="BV460" s="40">
        <v>989</v>
      </c>
      <c r="BW460" s="34">
        <v>1.089</v>
      </c>
      <c r="BX460" s="41">
        <v>0.97230000000000005</v>
      </c>
      <c r="BY460" s="55"/>
    </row>
    <row r="461" spans="27:77">
      <c r="AA461" s="27"/>
      <c r="BF461" s="30">
        <v>34</v>
      </c>
      <c r="BG461" s="31">
        <v>0.85499999999999998</v>
      </c>
      <c r="BH461" s="32">
        <v>854.5</v>
      </c>
      <c r="BJ461" s="30">
        <v>34</v>
      </c>
      <c r="BK461" s="34">
        <v>3.1781000000000001</v>
      </c>
      <c r="BL461" s="35">
        <v>0.13347999999999999</v>
      </c>
      <c r="BM461" s="36"/>
      <c r="BN461" s="30">
        <v>34</v>
      </c>
      <c r="BO461" s="34">
        <v>3.2290999999999999</v>
      </c>
      <c r="BP461" s="35">
        <v>0.13561999999999999</v>
      </c>
      <c r="BR461" s="37">
        <v>990</v>
      </c>
      <c r="BS461" s="38">
        <v>0.99060000000000004</v>
      </c>
      <c r="BT461" s="39">
        <v>11.34</v>
      </c>
      <c r="BV461" s="40">
        <v>990</v>
      </c>
      <c r="BW461" s="34">
        <v>1.0901000000000001</v>
      </c>
      <c r="BX461" s="41">
        <v>0.97330000000000005</v>
      </c>
      <c r="BY461" s="55"/>
    </row>
    <row r="462" spans="27:77">
      <c r="AA462" s="27"/>
      <c r="BF462" s="30">
        <v>34.1</v>
      </c>
      <c r="BG462" s="31">
        <v>0.85450000000000004</v>
      </c>
      <c r="BH462" s="32">
        <v>854</v>
      </c>
      <c r="BJ462" s="30">
        <v>34.1</v>
      </c>
      <c r="BK462" s="34">
        <v>3.1762000000000001</v>
      </c>
      <c r="BL462" s="35">
        <v>0.13339999999999999</v>
      </c>
      <c r="BM462" s="36"/>
      <c r="BN462" s="30">
        <v>34.1</v>
      </c>
      <c r="BO462" s="34">
        <v>3.2271999999999998</v>
      </c>
      <c r="BP462" s="35">
        <v>0.13553999999999999</v>
      </c>
      <c r="BR462" s="37">
        <v>991</v>
      </c>
      <c r="BS462" s="38">
        <v>0.99160000000000004</v>
      </c>
      <c r="BT462" s="39">
        <v>11.2</v>
      </c>
      <c r="BV462" s="40">
        <v>991</v>
      </c>
      <c r="BW462" s="34">
        <v>1.0911999999999999</v>
      </c>
      <c r="BX462" s="41">
        <v>0.97430000000000005</v>
      </c>
      <c r="BY462" s="55"/>
    </row>
    <row r="463" spans="27:77">
      <c r="AA463" s="27"/>
      <c r="BF463" s="30">
        <v>34.200000000000003</v>
      </c>
      <c r="BG463" s="31">
        <v>0.85399999999999998</v>
      </c>
      <c r="BH463" s="32">
        <v>853.5</v>
      </c>
      <c r="BJ463" s="30">
        <v>34.200000000000003</v>
      </c>
      <c r="BK463" s="34">
        <v>3.1743000000000001</v>
      </c>
      <c r="BL463" s="35">
        <v>0.13331999999999999</v>
      </c>
      <c r="BM463" s="36"/>
      <c r="BN463" s="30">
        <v>34.200000000000003</v>
      </c>
      <c r="BO463" s="34">
        <v>3.2252000000000001</v>
      </c>
      <c r="BP463" s="35">
        <v>0.13546</v>
      </c>
      <c r="BR463" s="37">
        <v>992</v>
      </c>
      <c r="BS463" s="38">
        <v>0.99260000000000004</v>
      </c>
      <c r="BT463" s="39">
        <v>11.05</v>
      </c>
      <c r="BV463" s="40">
        <v>992</v>
      </c>
      <c r="BW463" s="34">
        <v>1.0923</v>
      </c>
      <c r="BX463" s="41">
        <v>0.97529999999999994</v>
      </c>
      <c r="BY463" s="55"/>
    </row>
    <row r="464" spans="27:77">
      <c r="AA464" s="27"/>
      <c r="BF464" s="30">
        <v>34.299999999999997</v>
      </c>
      <c r="BG464" s="31">
        <v>0.85340000000000005</v>
      </c>
      <c r="BH464" s="32">
        <v>853</v>
      </c>
      <c r="BJ464" s="30">
        <v>34.299999999999997</v>
      </c>
      <c r="BK464" s="34">
        <v>3.1724000000000001</v>
      </c>
      <c r="BL464" s="35">
        <v>0.13324</v>
      </c>
      <c r="BM464" s="36"/>
      <c r="BN464" s="30">
        <v>34.299999999999997</v>
      </c>
      <c r="BO464" s="34">
        <v>3.2233000000000001</v>
      </c>
      <c r="BP464" s="35">
        <v>0.13538</v>
      </c>
      <c r="BR464" s="37">
        <v>993</v>
      </c>
      <c r="BS464" s="38">
        <v>0.99360000000000004</v>
      </c>
      <c r="BT464" s="39">
        <v>10.91</v>
      </c>
      <c r="BV464" s="40">
        <v>993</v>
      </c>
      <c r="BW464" s="34">
        <v>1.0933999999999999</v>
      </c>
      <c r="BX464" s="41">
        <v>0.97629999999999995</v>
      </c>
      <c r="BY464" s="55"/>
    </row>
    <row r="465" spans="27:77">
      <c r="AA465" s="27"/>
      <c r="BF465" s="30">
        <v>34.4</v>
      </c>
      <c r="BG465" s="31">
        <v>0.85289999999999999</v>
      </c>
      <c r="BH465" s="32">
        <v>852.5</v>
      </c>
      <c r="BJ465" s="30">
        <v>34.4</v>
      </c>
      <c r="BK465" s="34">
        <v>3.1705000000000001</v>
      </c>
      <c r="BL465" s="35">
        <v>0.13316</v>
      </c>
      <c r="BM465" s="36"/>
      <c r="BN465" s="30">
        <v>34.4</v>
      </c>
      <c r="BO465" s="34">
        <v>3.2212999999999998</v>
      </c>
      <c r="BP465" s="35">
        <v>0.1353</v>
      </c>
      <c r="BR465" s="37">
        <v>994</v>
      </c>
      <c r="BS465" s="38">
        <v>0.99460000000000004</v>
      </c>
      <c r="BT465" s="39">
        <v>10.77</v>
      </c>
      <c r="BV465" s="40">
        <v>994</v>
      </c>
      <c r="BW465" s="34">
        <v>1.0945</v>
      </c>
      <c r="BX465" s="41">
        <v>0.97719999999999996</v>
      </c>
      <c r="BY465" s="55"/>
    </row>
    <row r="466" spans="27:77">
      <c r="AA466" s="27"/>
      <c r="BF466" s="30">
        <v>34.5</v>
      </c>
      <c r="BG466" s="31">
        <v>0.85240000000000005</v>
      </c>
      <c r="BH466" s="32">
        <v>852</v>
      </c>
      <c r="BJ466" s="30">
        <v>34.5</v>
      </c>
      <c r="BK466" s="34">
        <v>3.1684999999999999</v>
      </c>
      <c r="BL466" s="35">
        <v>0.13308</v>
      </c>
      <c r="BM466" s="36"/>
      <c r="BN466" s="30">
        <v>34.5</v>
      </c>
      <c r="BO466" s="34">
        <v>3.2193999999999998</v>
      </c>
      <c r="BP466" s="35">
        <v>0.13521</v>
      </c>
      <c r="BR466" s="37">
        <v>995</v>
      </c>
      <c r="BS466" s="38">
        <v>0.99560000000000004</v>
      </c>
      <c r="BT466" s="39">
        <v>10.62</v>
      </c>
      <c r="BV466" s="40">
        <v>995</v>
      </c>
      <c r="BW466" s="34">
        <v>1.0955999999999999</v>
      </c>
      <c r="BX466" s="41">
        <v>0.97819999999999996</v>
      </c>
      <c r="BY466" s="55"/>
    </row>
    <row r="467" spans="27:77">
      <c r="AA467" s="27"/>
      <c r="BF467" s="30">
        <v>34.6</v>
      </c>
      <c r="BG467" s="31">
        <v>0.85189999999999999</v>
      </c>
      <c r="BH467" s="32">
        <v>851.4</v>
      </c>
      <c r="BJ467" s="30">
        <v>34.6</v>
      </c>
      <c r="BK467" s="34">
        <v>3.1665999999999999</v>
      </c>
      <c r="BL467" s="35">
        <v>0.13300000000000001</v>
      </c>
      <c r="BM467" s="36"/>
      <c r="BN467" s="30">
        <v>34.6</v>
      </c>
      <c r="BO467" s="34">
        <v>3.2174999999999998</v>
      </c>
      <c r="BP467" s="35">
        <v>0.13513</v>
      </c>
      <c r="BR467" s="37">
        <v>996</v>
      </c>
      <c r="BS467" s="38">
        <v>0.99660000000000004</v>
      </c>
      <c r="BT467" s="39">
        <v>10.48</v>
      </c>
      <c r="BV467" s="40">
        <v>996</v>
      </c>
      <c r="BW467" s="34">
        <v>1.0967</v>
      </c>
      <c r="BX467" s="41">
        <v>0.97919999999999996</v>
      </c>
      <c r="BY467" s="55"/>
    </row>
    <row r="468" spans="27:77">
      <c r="AA468" s="27"/>
      <c r="BF468" s="30">
        <v>34.700000000000003</v>
      </c>
      <c r="BG468" s="31">
        <v>0.85140000000000005</v>
      </c>
      <c r="BH468" s="32">
        <v>850.9</v>
      </c>
      <c r="BJ468" s="30">
        <v>34.700000000000003</v>
      </c>
      <c r="BK468" s="34">
        <v>3.1646999999999998</v>
      </c>
      <c r="BL468" s="35">
        <v>0.13292000000000001</v>
      </c>
      <c r="BM468" s="36"/>
      <c r="BN468" s="30">
        <v>34.700000000000003</v>
      </c>
      <c r="BO468" s="34">
        <v>3.2155</v>
      </c>
      <c r="BP468" s="35">
        <v>0.13505</v>
      </c>
      <c r="BR468" s="37">
        <v>997</v>
      </c>
      <c r="BS468" s="38">
        <v>0.99760000000000004</v>
      </c>
      <c r="BT468" s="39">
        <v>10.34</v>
      </c>
      <c r="BV468" s="40">
        <v>997</v>
      </c>
      <c r="BW468" s="34">
        <v>1.0978000000000001</v>
      </c>
      <c r="BX468" s="41">
        <v>0.98019999999999996</v>
      </c>
      <c r="BY468" s="55"/>
    </row>
    <row r="469" spans="27:77">
      <c r="AA469" s="27"/>
      <c r="BF469" s="30">
        <v>34.799999999999997</v>
      </c>
      <c r="BG469" s="31">
        <v>0.85089999999999999</v>
      </c>
      <c r="BH469" s="32">
        <v>850.4</v>
      </c>
      <c r="BJ469" s="30">
        <v>34.799999999999997</v>
      </c>
      <c r="BK469" s="34">
        <v>3.1627999999999998</v>
      </c>
      <c r="BL469" s="35">
        <v>0.13284000000000001</v>
      </c>
      <c r="BM469" s="36"/>
      <c r="BN469" s="30">
        <v>34.799999999999997</v>
      </c>
      <c r="BO469" s="34">
        <v>3.2136</v>
      </c>
      <c r="BP469" s="35">
        <v>0.13497000000000001</v>
      </c>
      <c r="BR469" s="37">
        <v>998</v>
      </c>
      <c r="BS469" s="38">
        <v>0.99860000000000004</v>
      </c>
      <c r="BT469" s="39">
        <v>10.199999999999999</v>
      </c>
      <c r="BV469" s="40">
        <v>998</v>
      </c>
      <c r="BW469" s="34">
        <v>1.0989</v>
      </c>
      <c r="BX469" s="41">
        <v>0.98119999999999996</v>
      </c>
      <c r="BY469" s="55"/>
    </row>
    <row r="470" spans="27:77">
      <c r="AA470" s="27"/>
      <c r="BF470" s="30">
        <v>34.9</v>
      </c>
      <c r="BG470" s="31">
        <v>0.85040000000000004</v>
      </c>
      <c r="BH470" s="32">
        <v>849.9</v>
      </c>
      <c r="BJ470" s="30">
        <v>34.9</v>
      </c>
      <c r="BK470" s="34">
        <v>3.1608999999999998</v>
      </c>
      <c r="BL470" s="35">
        <v>0.13275999999999999</v>
      </c>
      <c r="BM470" s="36"/>
      <c r="BN470" s="30">
        <v>34.9</v>
      </c>
      <c r="BO470" s="34">
        <v>3.2115999999999998</v>
      </c>
      <c r="BP470" s="35">
        <v>0.13489000000000001</v>
      </c>
      <c r="BR470" s="37">
        <v>999</v>
      </c>
      <c r="BS470" s="38">
        <v>0.99960000000000004</v>
      </c>
      <c r="BT470" s="39">
        <v>10.050000000000001</v>
      </c>
      <c r="BV470" s="40">
        <v>999</v>
      </c>
      <c r="BW470" s="34">
        <v>1.1000000000000001</v>
      </c>
      <c r="BX470" s="41">
        <v>0.98219999999999996</v>
      </c>
      <c r="BY470" s="55"/>
    </row>
    <row r="471" spans="27:77">
      <c r="AA471" s="27"/>
      <c r="BF471" s="30">
        <v>35</v>
      </c>
      <c r="BG471" s="31">
        <v>0.8498</v>
      </c>
      <c r="BH471" s="32">
        <v>849.4</v>
      </c>
      <c r="BJ471" s="30">
        <v>35</v>
      </c>
      <c r="BK471" s="34">
        <v>3.1589999999999998</v>
      </c>
      <c r="BL471" s="35">
        <v>0.13267999999999999</v>
      </c>
      <c r="BM471" s="36"/>
      <c r="BN471" s="30">
        <v>35</v>
      </c>
      <c r="BO471" s="34">
        <v>3.2097000000000002</v>
      </c>
      <c r="BP471" s="35">
        <v>0.13481000000000001</v>
      </c>
      <c r="BR471" s="37">
        <v>1000</v>
      </c>
      <c r="BS471" s="38">
        <v>1.0005999999999999</v>
      </c>
      <c r="BT471" s="39">
        <v>9.91</v>
      </c>
      <c r="BV471" s="40">
        <v>1000</v>
      </c>
      <c r="BW471" s="34">
        <v>1.1011</v>
      </c>
      <c r="BX471" s="41">
        <v>0.98319999999999996</v>
      </c>
      <c r="BY471" s="55"/>
    </row>
    <row r="472" spans="27:77">
      <c r="AA472" s="27"/>
      <c r="BF472" s="30">
        <v>35.1</v>
      </c>
      <c r="BG472" s="31">
        <v>0.84930000000000005</v>
      </c>
      <c r="BH472" s="32">
        <v>848.9</v>
      </c>
      <c r="BJ472" s="30">
        <v>35.1</v>
      </c>
      <c r="BK472" s="34">
        <v>3.1570999999999998</v>
      </c>
      <c r="BL472" s="35">
        <v>0.1326</v>
      </c>
      <c r="BM472" s="36"/>
      <c r="BN472" s="30">
        <v>35.1</v>
      </c>
      <c r="BO472" s="34">
        <v>3.2078000000000002</v>
      </c>
      <c r="BP472" s="35">
        <v>0.13472999999999999</v>
      </c>
      <c r="BR472" s="37">
        <v>1001</v>
      </c>
      <c r="BS472" s="38">
        <v>1.0016</v>
      </c>
      <c r="BT472" s="39">
        <v>9.77</v>
      </c>
      <c r="BV472" s="40">
        <v>1001</v>
      </c>
      <c r="BW472" s="34">
        <v>1.1022000000000001</v>
      </c>
      <c r="BX472" s="41">
        <v>0.98409999999999997</v>
      </c>
      <c r="BY472" s="55"/>
    </row>
    <row r="473" spans="27:77">
      <c r="AA473" s="27"/>
      <c r="BF473" s="30">
        <v>35.200000000000003</v>
      </c>
      <c r="BG473" s="31">
        <v>0.8488</v>
      </c>
      <c r="BH473" s="32">
        <v>848.4</v>
      </c>
      <c r="BJ473" s="30">
        <v>35.200000000000003</v>
      </c>
      <c r="BK473" s="34">
        <v>3.1551999999999998</v>
      </c>
      <c r="BL473" s="35">
        <v>0.13252</v>
      </c>
      <c r="BM473" s="36"/>
      <c r="BN473" s="30">
        <v>35.200000000000003</v>
      </c>
      <c r="BO473" s="34">
        <v>3.2059000000000002</v>
      </c>
      <c r="BP473" s="35">
        <v>0.13464999999999999</v>
      </c>
      <c r="BR473" s="37">
        <v>1002</v>
      </c>
      <c r="BS473" s="38">
        <v>1.0025999999999999</v>
      </c>
      <c r="BT473" s="39">
        <v>9.6300000000000008</v>
      </c>
      <c r="BV473" s="40">
        <v>1002</v>
      </c>
      <c r="BW473" s="34">
        <v>1.1032999999999999</v>
      </c>
      <c r="BX473" s="41">
        <v>0.98509999999999998</v>
      </c>
      <c r="BY473" s="55"/>
    </row>
    <row r="474" spans="27:77">
      <c r="AA474" s="27"/>
      <c r="BF474" s="30">
        <v>35.299999999999997</v>
      </c>
      <c r="BG474" s="31">
        <v>0.84830000000000005</v>
      </c>
      <c r="BH474" s="32">
        <v>847.9</v>
      </c>
      <c r="BJ474" s="30">
        <v>35.299999999999997</v>
      </c>
      <c r="BK474" s="34">
        <v>3.1533000000000002</v>
      </c>
      <c r="BL474" s="35">
        <v>0.13244</v>
      </c>
      <c r="BM474" s="36"/>
      <c r="BN474" s="30">
        <v>35.299999999999997</v>
      </c>
      <c r="BO474" s="34">
        <v>3.2039</v>
      </c>
      <c r="BP474" s="35">
        <v>0.13457</v>
      </c>
      <c r="BR474" s="37">
        <v>1003</v>
      </c>
      <c r="BS474" s="38">
        <v>1.0036</v>
      </c>
      <c r="BT474" s="39">
        <v>9.49</v>
      </c>
      <c r="BV474" s="40">
        <v>1003</v>
      </c>
      <c r="BW474" s="34">
        <v>1.1044</v>
      </c>
      <c r="BX474" s="41">
        <v>0.98609999999999998</v>
      </c>
      <c r="BY474" s="55"/>
    </row>
    <row r="475" spans="27:77">
      <c r="AA475" s="27"/>
      <c r="BF475" s="30">
        <v>35.4</v>
      </c>
      <c r="BG475" s="31">
        <v>0.8478</v>
      </c>
      <c r="BH475" s="32">
        <v>847.4</v>
      </c>
      <c r="BJ475" s="30">
        <v>35.4</v>
      </c>
      <c r="BK475" s="34">
        <v>3.1514000000000002</v>
      </c>
      <c r="BL475" s="35">
        <v>0.13236000000000001</v>
      </c>
      <c r="BM475" s="36"/>
      <c r="BN475" s="30">
        <v>35.4</v>
      </c>
      <c r="BO475" s="34">
        <v>3.202</v>
      </c>
      <c r="BP475" s="35">
        <v>0.13447999999999999</v>
      </c>
      <c r="BR475" s="37">
        <v>1004</v>
      </c>
      <c r="BS475" s="38">
        <v>1.0045999999999999</v>
      </c>
      <c r="BT475" s="39">
        <v>9.35</v>
      </c>
      <c r="BV475" s="40">
        <v>1004</v>
      </c>
      <c r="BW475" s="34">
        <v>1.1054999999999999</v>
      </c>
      <c r="BX475" s="41">
        <v>0.98709999999999998</v>
      </c>
      <c r="BY475" s="55"/>
    </row>
    <row r="476" spans="27:77">
      <c r="AA476" s="27"/>
      <c r="BF476" s="30">
        <v>35.5</v>
      </c>
      <c r="BG476" s="31">
        <v>0.84730000000000005</v>
      </c>
      <c r="BH476" s="32">
        <v>846.9</v>
      </c>
      <c r="BJ476" s="30">
        <v>35.5</v>
      </c>
      <c r="BK476" s="34">
        <v>3.1495000000000002</v>
      </c>
      <c r="BL476" s="35">
        <v>0.13228000000000001</v>
      </c>
      <c r="BM476" s="36"/>
      <c r="BN476" s="30">
        <v>35.5</v>
      </c>
      <c r="BO476" s="34">
        <v>3.2000999999999999</v>
      </c>
      <c r="BP476" s="35">
        <v>0.13439999999999999</v>
      </c>
      <c r="BR476" s="37">
        <v>1005</v>
      </c>
      <c r="BS476" s="38">
        <v>1.0056</v>
      </c>
      <c r="BT476" s="39">
        <v>9.2100000000000009</v>
      </c>
      <c r="BV476" s="40">
        <v>1005</v>
      </c>
      <c r="BW476" s="34">
        <v>1.1066</v>
      </c>
      <c r="BX476" s="41">
        <v>0.98809999999999998</v>
      </c>
      <c r="BY476" s="55"/>
    </row>
    <row r="477" spans="27:77">
      <c r="AA477" s="27"/>
      <c r="BF477" s="30">
        <v>35.6</v>
      </c>
      <c r="BG477" s="31">
        <v>0.8468</v>
      </c>
      <c r="BH477" s="32">
        <v>846.4</v>
      </c>
      <c r="BJ477" s="30">
        <v>35.6</v>
      </c>
      <c r="BK477" s="34">
        <v>3.1476999999999999</v>
      </c>
      <c r="BL477" s="35">
        <v>0.13220000000000001</v>
      </c>
      <c r="BM477" s="36"/>
      <c r="BN477" s="30">
        <v>35.6</v>
      </c>
      <c r="BO477" s="34">
        <v>3.1981999999999999</v>
      </c>
      <c r="BP477" s="35">
        <v>0.13431999999999999</v>
      </c>
      <c r="BR477" s="37">
        <v>1006</v>
      </c>
      <c r="BS477" s="38">
        <v>1.0065999999999999</v>
      </c>
      <c r="BT477" s="39">
        <v>9.07</v>
      </c>
      <c r="BV477" s="40">
        <v>1006</v>
      </c>
      <c r="BW477" s="34">
        <v>1.1076999999999999</v>
      </c>
      <c r="BX477" s="41">
        <v>0.98909999999999998</v>
      </c>
      <c r="BY477" s="55"/>
    </row>
    <row r="478" spans="27:77">
      <c r="AA478" s="27"/>
      <c r="BF478" s="30">
        <v>35.700000000000003</v>
      </c>
      <c r="BG478" s="31">
        <v>0.84630000000000005</v>
      </c>
      <c r="BH478" s="32">
        <v>845.8</v>
      </c>
      <c r="BJ478" s="30">
        <v>35.700000000000003</v>
      </c>
      <c r="BK478" s="34">
        <v>3.1457999999999999</v>
      </c>
      <c r="BL478" s="35">
        <v>0.13211999999999999</v>
      </c>
      <c r="BM478" s="36"/>
      <c r="BN478" s="30">
        <v>35.700000000000003</v>
      </c>
      <c r="BO478" s="34">
        <v>3.1962999999999999</v>
      </c>
      <c r="BP478" s="35">
        <v>0.13424</v>
      </c>
      <c r="BR478" s="37">
        <v>1007</v>
      </c>
      <c r="BS478" s="38">
        <v>1.0076000000000001</v>
      </c>
      <c r="BT478" s="39">
        <v>8.93</v>
      </c>
      <c r="BV478" s="40">
        <v>1007</v>
      </c>
      <c r="BW478" s="34">
        <v>1.1088</v>
      </c>
      <c r="BX478" s="41">
        <v>0.99</v>
      </c>
      <c r="BY478" s="55"/>
    </row>
    <row r="479" spans="27:77">
      <c r="AA479" s="27"/>
      <c r="BF479" s="30">
        <v>35.799999999999997</v>
      </c>
      <c r="BG479" s="31">
        <v>0.8458</v>
      </c>
      <c r="BH479" s="32">
        <v>845.3</v>
      </c>
      <c r="BJ479" s="30">
        <v>35.799999999999997</v>
      </c>
      <c r="BK479" s="34">
        <v>3.1438999999999999</v>
      </c>
      <c r="BL479" s="35">
        <v>0.13203999999999999</v>
      </c>
      <c r="BM479" s="36"/>
      <c r="BN479" s="30">
        <v>35.799999999999997</v>
      </c>
      <c r="BO479" s="34">
        <v>3.1943000000000001</v>
      </c>
      <c r="BP479" s="35">
        <v>0.13416</v>
      </c>
      <c r="BR479" s="37">
        <v>1008</v>
      </c>
      <c r="BS479" s="38">
        <v>1.0085999999999999</v>
      </c>
      <c r="BT479" s="39">
        <v>8.7899999999999991</v>
      </c>
      <c r="BV479" s="40">
        <v>1008</v>
      </c>
      <c r="BW479" s="34">
        <v>1.1100000000000001</v>
      </c>
      <c r="BX479" s="41">
        <v>0.99099999999999999</v>
      </c>
      <c r="BY479" s="55"/>
    </row>
    <row r="480" spans="27:77">
      <c r="AA480" s="27"/>
      <c r="BF480" s="30">
        <v>35.9</v>
      </c>
      <c r="BG480" s="31">
        <v>0.84530000000000005</v>
      </c>
      <c r="BH480" s="32">
        <v>844.8</v>
      </c>
      <c r="BJ480" s="30">
        <v>35.9</v>
      </c>
      <c r="BK480" s="34">
        <v>3.1419999999999999</v>
      </c>
      <c r="BL480" s="35">
        <v>0.13195999999999999</v>
      </c>
      <c r="BM480" s="36"/>
      <c r="BN480" s="30">
        <v>35.9</v>
      </c>
      <c r="BO480" s="34">
        <v>3.1924000000000001</v>
      </c>
      <c r="BP480" s="35">
        <v>0.13408</v>
      </c>
      <c r="BR480" s="37">
        <v>1009</v>
      </c>
      <c r="BS480" s="38">
        <v>1.0096000000000001</v>
      </c>
      <c r="BT480" s="39">
        <v>8.65</v>
      </c>
      <c r="BV480" s="40">
        <v>1009</v>
      </c>
      <c r="BW480" s="34">
        <v>1.1111</v>
      </c>
      <c r="BX480" s="41">
        <v>0.99199999999999999</v>
      </c>
      <c r="BY480" s="55"/>
    </row>
    <row r="481" spans="27:77">
      <c r="AA481" s="27"/>
      <c r="BF481" s="30">
        <v>36</v>
      </c>
      <c r="BG481" s="31">
        <v>0.8448</v>
      </c>
      <c r="BH481" s="32">
        <v>844.3</v>
      </c>
      <c r="BJ481" s="30">
        <v>36</v>
      </c>
      <c r="BK481" s="34">
        <v>3.1400999999999999</v>
      </c>
      <c r="BL481" s="35">
        <v>0.13189000000000001</v>
      </c>
      <c r="BM481" s="36"/>
      <c r="BN481" s="30">
        <v>36</v>
      </c>
      <c r="BO481" s="34">
        <v>3.1905000000000001</v>
      </c>
      <c r="BP481" s="35">
        <v>0.13400000000000001</v>
      </c>
      <c r="BR481" s="37">
        <v>1010</v>
      </c>
      <c r="BS481" s="38">
        <v>1.0105999999999999</v>
      </c>
      <c r="BT481" s="39">
        <v>8.51</v>
      </c>
      <c r="BV481" s="40">
        <v>1010</v>
      </c>
      <c r="BW481" s="34">
        <v>1.1122000000000001</v>
      </c>
      <c r="BX481" s="41">
        <v>0.99299999999999999</v>
      </c>
      <c r="BY481" s="55"/>
    </row>
    <row r="482" spans="27:77">
      <c r="AA482" s="27"/>
      <c r="BF482" s="30">
        <v>36.1</v>
      </c>
      <c r="BG482" s="31">
        <v>0.84430000000000005</v>
      </c>
      <c r="BH482" s="32">
        <v>843.8</v>
      </c>
      <c r="BJ482" s="30">
        <v>36.1</v>
      </c>
      <c r="BK482" s="34">
        <v>3.1383000000000001</v>
      </c>
      <c r="BL482" s="35">
        <v>0.13181000000000001</v>
      </c>
      <c r="BM482" s="36"/>
      <c r="BN482" s="30">
        <v>36.1</v>
      </c>
      <c r="BO482" s="34">
        <v>3.1886000000000001</v>
      </c>
      <c r="BP482" s="35">
        <v>0.13392000000000001</v>
      </c>
      <c r="BR482" s="37">
        <v>1011</v>
      </c>
      <c r="BS482" s="38">
        <v>1.0116000000000001</v>
      </c>
      <c r="BT482" s="39">
        <v>8.3699999999999992</v>
      </c>
      <c r="BV482" s="40">
        <v>1011</v>
      </c>
      <c r="BW482" s="34">
        <v>1.1133</v>
      </c>
      <c r="BX482" s="41">
        <v>0.99399999999999999</v>
      </c>
      <c r="BY482" s="55"/>
    </row>
    <row r="483" spans="27:77">
      <c r="AA483" s="27"/>
      <c r="BF483" s="30">
        <v>36.200000000000003</v>
      </c>
      <c r="BG483" s="31">
        <v>0.84379999999999999</v>
      </c>
      <c r="BH483" s="32">
        <v>843.3</v>
      </c>
      <c r="BJ483" s="30">
        <v>36.200000000000003</v>
      </c>
      <c r="BK483" s="34">
        <v>3.1364000000000001</v>
      </c>
      <c r="BL483" s="35">
        <v>0.13173000000000001</v>
      </c>
      <c r="BM483" s="36"/>
      <c r="BN483" s="30">
        <v>36.200000000000003</v>
      </c>
      <c r="BO483" s="34">
        <v>3.1867000000000001</v>
      </c>
      <c r="BP483" s="35">
        <v>0.13383999999999999</v>
      </c>
      <c r="BR483" s="37">
        <v>1012</v>
      </c>
      <c r="BS483" s="38">
        <v>1.0125999999999999</v>
      </c>
      <c r="BT483" s="39">
        <v>8.24</v>
      </c>
      <c r="BV483" s="40">
        <v>1012</v>
      </c>
      <c r="BW483" s="34">
        <v>1.1144000000000001</v>
      </c>
      <c r="BX483" s="41">
        <v>0.995</v>
      </c>
      <c r="BY483" s="55"/>
    </row>
    <row r="484" spans="27:77">
      <c r="AA484" s="27"/>
      <c r="BF484" s="30">
        <v>36.299999999999997</v>
      </c>
      <c r="BG484" s="31">
        <v>0.84330000000000005</v>
      </c>
      <c r="BH484" s="32">
        <v>842.8</v>
      </c>
      <c r="BJ484" s="30">
        <v>36.299999999999997</v>
      </c>
      <c r="BK484" s="34">
        <v>3.1345000000000001</v>
      </c>
      <c r="BL484" s="35">
        <v>0.13164999999999999</v>
      </c>
      <c r="BM484" s="36"/>
      <c r="BN484" s="30">
        <v>36.299999999999997</v>
      </c>
      <c r="BO484" s="34">
        <v>3.1848000000000001</v>
      </c>
      <c r="BP484" s="35">
        <v>0.13375999999999999</v>
      </c>
      <c r="BR484" s="37">
        <v>1013</v>
      </c>
      <c r="BS484" s="38">
        <v>1.0136000000000001</v>
      </c>
      <c r="BT484" s="39">
        <v>8.1</v>
      </c>
      <c r="BV484" s="40">
        <v>1013</v>
      </c>
      <c r="BW484" s="34">
        <v>1.1154999999999999</v>
      </c>
      <c r="BX484" s="41">
        <v>0.996</v>
      </c>
      <c r="BY484" s="55"/>
    </row>
    <row r="485" spans="27:77">
      <c r="AA485" s="27"/>
      <c r="BF485" s="30">
        <v>36.4</v>
      </c>
      <c r="BG485" s="31">
        <v>0.84279999999999999</v>
      </c>
      <c r="BH485" s="32">
        <v>842.3</v>
      </c>
      <c r="BJ485" s="30">
        <v>36.4</v>
      </c>
      <c r="BK485" s="34">
        <v>3.1326000000000001</v>
      </c>
      <c r="BL485" s="35">
        <v>0.13156999999999999</v>
      </c>
      <c r="BM485" s="36"/>
      <c r="BN485" s="30">
        <v>36.4</v>
      </c>
      <c r="BO485" s="34">
        <v>3.1829000000000001</v>
      </c>
      <c r="BP485" s="35">
        <v>0.13367999999999999</v>
      </c>
      <c r="BR485" s="37">
        <v>1014</v>
      </c>
      <c r="BS485" s="38">
        <v>1.0145999999999999</v>
      </c>
      <c r="BT485" s="39">
        <v>7.96</v>
      </c>
      <c r="BV485" s="40">
        <v>1014</v>
      </c>
      <c r="BW485" s="34">
        <v>1.1166</v>
      </c>
      <c r="BX485" s="41">
        <v>0.99690000000000001</v>
      </c>
      <c r="BY485" s="55"/>
    </row>
    <row r="486" spans="27:77">
      <c r="AA486" s="27"/>
      <c r="BF486" s="30">
        <v>36.5</v>
      </c>
      <c r="BG486" s="31">
        <v>0.84230000000000005</v>
      </c>
      <c r="BH486" s="32">
        <v>841.8</v>
      </c>
      <c r="BJ486" s="30">
        <v>36.5</v>
      </c>
      <c r="BK486" s="34">
        <v>3.1307999999999998</v>
      </c>
      <c r="BL486" s="35">
        <v>0.13149</v>
      </c>
      <c r="BM486" s="36"/>
      <c r="BN486" s="30">
        <v>36.5</v>
      </c>
      <c r="BO486" s="34">
        <v>3.181</v>
      </c>
      <c r="BP486" s="35">
        <v>0.1336</v>
      </c>
      <c r="BR486" s="37">
        <v>1015</v>
      </c>
      <c r="BS486" s="38">
        <v>1.0156000000000001</v>
      </c>
      <c r="BT486" s="39">
        <v>7.82</v>
      </c>
      <c r="BV486" s="40">
        <v>1015</v>
      </c>
      <c r="BW486" s="34">
        <v>1.1176999999999999</v>
      </c>
      <c r="BX486" s="41">
        <v>0.99790000000000001</v>
      </c>
      <c r="BY486" s="55"/>
    </row>
    <row r="487" spans="27:77">
      <c r="AA487" s="27"/>
      <c r="BF487" s="30">
        <v>36.6</v>
      </c>
      <c r="BG487" s="31">
        <v>0.84179999999999999</v>
      </c>
      <c r="BH487" s="32">
        <v>841.3</v>
      </c>
      <c r="BJ487" s="30">
        <v>36.6</v>
      </c>
      <c r="BK487" s="34">
        <v>3.1288999999999998</v>
      </c>
      <c r="BL487" s="35">
        <v>0.13141</v>
      </c>
      <c r="BM487" s="36"/>
      <c r="BN487" s="30">
        <v>36.6</v>
      </c>
      <c r="BO487" s="34">
        <v>3.1791</v>
      </c>
      <c r="BP487" s="35">
        <v>0.13352</v>
      </c>
      <c r="BR487" s="37">
        <v>1016</v>
      </c>
      <c r="BS487" s="38">
        <v>1.0165999999999999</v>
      </c>
      <c r="BT487" s="39">
        <v>7.69</v>
      </c>
      <c r="BV487" s="40">
        <v>1016</v>
      </c>
      <c r="BW487" s="34">
        <v>1.1188</v>
      </c>
      <c r="BX487" s="41">
        <v>0.99890000000000001</v>
      </c>
      <c r="BY487" s="55"/>
    </row>
    <row r="488" spans="27:77">
      <c r="AA488" s="27"/>
      <c r="BF488" s="30">
        <v>36.700000000000003</v>
      </c>
      <c r="BG488" s="31">
        <v>0.84130000000000005</v>
      </c>
      <c r="BH488" s="32">
        <v>840.8</v>
      </c>
      <c r="BJ488" s="30">
        <v>36.700000000000003</v>
      </c>
      <c r="BK488" s="34">
        <v>3.1269999999999998</v>
      </c>
      <c r="BL488" s="35">
        <v>0.13134000000000001</v>
      </c>
      <c r="BM488" s="36"/>
      <c r="BN488" s="30">
        <v>36.700000000000003</v>
      </c>
      <c r="BO488" s="34">
        <v>3.1772</v>
      </c>
      <c r="BP488" s="35">
        <v>0.13344</v>
      </c>
      <c r="BR488" s="37">
        <v>1017</v>
      </c>
      <c r="BS488" s="38">
        <v>1.0176000000000001</v>
      </c>
      <c r="BT488" s="39">
        <v>7.55</v>
      </c>
      <c r="BV488" s="40">
        <v>1017</v>
      </c>
      <c r="BW488" s="34">
        <v>1.1198999999999999</v>
      </c>
      <c r="BX488" s="41">
        <v>0.99990000000000001</v>
      </c>
      <c r="BY488" s="55"/>
    </row>
    <row r="489" spans="27:77">
      <c r="AA489" s="27"/>
      <c r="BF489" s="30">
        <v>36.799999999999997</v>
      </c>
      <c r="BG489" s="31">
        <v>0.84079999999999999</v>
      </c>
      <c r="BH489" s="32">
        <v>840.3</v>
      </c>
      <c r="BJ489" s="30">
        <v>36.799999999999997</v>
      </c>
      <c r="BK489" s="34">
        <v>3.1252</v>
      </c>
      <c r="BL489" s="35">
        <v>0.13125999999999999</v>
      </c>
      <c r="BM489" s="36"/>
      <c r="BN489" s="30">
        <v>36.799999999999997</v>
      </c>
      <c r="BO489" s="34">
        <v>3.1753</v>
      </c>
      <c r="BP489" s="35">
        <v>0.13336000000000001</v>
      </c>
      <c r="BR489" s="37">
        <v>1018</v>
      </c>
      <c r="BS489" s="38">
        <v>1.0185999999999999</v>
      </c>
      <c r="BT489" s="39">
        <v>7.41</v>
      </c>
      <c r="BV489" s="40">
        <v>1018</v>
      </c>
      <c r="BW489" s="34">
        <v>1.121</v>
      </c>
      <c r="BX489" s="41">
        <v>1.0008999999999999</v>
      </c>
      <c r="BY489" s="55"/>
    </row>
    <row r="490" spans="27:77">
      <c r="AA490" s="27"/>
      <c r="BF490" s="30">
        <v>36.9</v>
      </c>
      <c r="BG490" s="31">
        <v>0.84030000000000005</v>
      </c>
      <c r="BH490" s="32">
        <v>839.8</v>
      </c>
      <c r="BJ490" s="30">
        <v>36.9</v>
      </c>
      <c r="BK490" s="34">
        <v>3.1233</v>
      </c>
      <c r="BL490" s="35">
        <v>0.13117999999999999</v>
      </c>
      <c r="BM490" s="36"/>
      <c r="BN490" s="30">
        <v>36.9</v>
      </c>
      <c r="BO490" s="34">
        <v>3.1734</v>
      </c>
      <c r="BP490" s="35">
        <v>0.13328000000000001</v>
      </c>
      <c r="BR490" s="37">
        <v>1019</v>
      </c>
      <c r="BS490" s="38">
        <v>1.0196000000000001</v>
      </c>
      <c r="BT490" s="39">
        <v>7.28</v>
      </c>
      <c r="BV490" s="40">
        <v>1019</v>
      </c>
      <c r="BW490" s="34">
        <v>1.1221000000000001</v>
      </c>
      <c r="BX490" s="41">
        <v>1.0019</v>
      </c>
      <c r="BY490" s="55"/>
    </row>
    <row r="491" spans="27:77">
      <c r="AA491" s="27"/>
      <c r="BF491" s="30">
        <v>37</v>
      </c>
      <c r="BG491" s="31">
        <v>0.83979999999999999</v>
      </c>
      <c r="BH491" s="32">
        <v>839.3</v>
      </c>
      <c r="BJ491" s="30">
        <v>37</v>
      </c>
      <c r="BK491" s="34">
        <v>3.1215000000000002</v>
      </c>
      <c r="BL491" s="35">
        <v>0.13109999999999999</v>
      </c>
      <c r="BM491" s="36"/>
      <c r="BN491" s="30">
        <v>37</v>
      </c>
      <c r="BO491" s="34">
        <v>3.1716000000000002</v>
      </c>
      <c r="BP491" s="35">
        <v>0.13321</v>
      </c>
      <c r="BR491" s="37">
        <v>1020</v>
      </c>
      <c r="BS491" s="38">
        <v>1.0206</v>
      </c>
      <c r="BT491" s="39">
        <v>7.14</v>
      </c>
      <c r="BV491" s="40">
        <v>1020</v>
      </c>
      <c r="BW491" s="34">
        <v>1.1232</v>
      </c>
      <c r="BX491" s="41">
        <v>1.0027999999999999</v>
      </c>
      <c r="BY491" s="55"/>
    </row>
    <row r="492" spans="27:77">
      <c r="AA492" s="27"/>
      <c r="BF492" s="30">
        <v>37.1</v>
      </c>
      <c r="BG492" s="31">
        <v>0.83930000000000005</v>
      </c>
      <c r="BH492" s="32">
        <v>838.8</v>
      </c>
      <c r="BJ492" s="30">
        <v>37.1</v>
      </c>
      <c r="BK492" s="34">
        <v>3.1196000000000002</v>
      </c>
      <c r="BL492" s="35">
        <v>0.13102</v>
      </c>
      <c r="BM492" s="36"/>
      <c r="BN492" s="30">
        <v>37.1</v>
      </c>
      <c r="BO492" s="34">
        <v>3.1697000000000002</v>
      </c>
      <c r="BP492" s="35">
        <v>0.13313</v>
      </c>
      <c r="BR492" s="37">
        <v>1021</v>
      </c>
      <c r="BS492" s="38">
        <v>1.0216000000000001</v>
      </c>
      <c r="BT492" s="39">
        <v>7</v>
      </c>
      <c r="BV492" s="40">
        <v>1021</v>
      </c>
      <c r="BW492" s="34">
        <v>1.1243000000000001</v>
      </c>
      <c r="BX492" s="41">
        <v>1.0038</v>
      </c>
      <c r="BY492" s="55"/>
    </row>
    <row r="493" spans="27:77">
      <c r="AA493" s="27"/>
      <c r="BF493" s="30">
        <v>37.200000000000003</v>
      </c>
      <c r="BG493" s="31">
        <v>0.83879999999999999</v>
      </c>
      <c r="BH493" s="32">
        <v>838.3</v>
      </c>
      <c r="BJ493" s="30">
        <v>37.200000000000003</v>
      </c>
      <c r="BK493" s="34">
        <v>3.1177999999999999</v>
      </c>
      <c r="BL493" s="35">
        <v>0.13095000000000001</v>
      </c>
      <c r="BM493" s="36"/>
      <c r="BN493" s="30">
        <v>37.200000000000003</v>
      </c>
      <c r="BO493" s="34">
        <v>3.1678000000000002</v>
      </c>
      <c r="BP493" s="35">
        <v>0.13305</v>
      </c>
      <c r="BR493" s="37">
        <v>1022</v>
      </c>
      <c r="BS493" s="38">
        <v>1.0226</v>
      </c>
      <c r="BT493" s="39">
        <v>6.87</v>
      </c>
      <c r="BV493" s="40">
        <v>1022</v>
      </c>
      <c r="BW493" s="34">
        <v>1.1254</v>
      </c>
      <c r="BX493" s="41">
        <v>1.0047999999999999</v>
      </c>
      <c r="BY493" s="55"/>
    </row>
    <row r="494" spans="27:77">
      <c r="AA494" s="27"/>
      <c r="BF494" s="30">
        <v>37.299999999999997</v>
      </c>
      <c r="BG494" s="31">
        <v>0.83830000000000005</v>
      </c>
      <c r="BH494" s="32">
        <v>837.8</v>
      </c>
      <c r="BJ494" s="30">
        <v>37.299999999999997</v>
      </c>
      <c r="BK494" s="34">
        <v>3.1158999999999999</v>
      </c>
      <c r="BL494" s="35">
        <v>0.13086999999999999</v>
      </c>
      <c r="BM494" s="36"/>
      <c r="BN494" s="30">
        <v>37.299999999999997</v>
      </c>
      <c r="BO494" s="34">
        <v>3.1659000000000002</v>
      </c>
      <c r="BP494" s="35">
        <v>0.13297</v>
      </c>
      <c r="BR494" s="37">
        <v>1023</v>
      </c>
      <c r="BS494" s="38">
        <v>1.0236000000000001</v>
      </c>
      <c r="BT494" s="39">
        <v>6.73</v>
      </c>
      <c r="BV494" s="40">
        <v>1023</v>
      </c>
      <c r="BW494" s="34">
        <v>1.1265000000000001</v>
      </c>
      <c r="BX494" s="41">
        <v>1.0058</v>
      </c>
      <c r="BY494" s="55"/>
    </row>
    <row r="495" spans="27:77">
      <c r="AA495" s="27"/>
      <c r="BF495" s="30">
        <v>37.4</v>
      </c>
      <c r="BG495" s="31">
        <v>0.83779999999999999</v>
      </c>
      <c r="BH495" s="32">
        <v>837.3</v>
      </c>
      <c r="BJ495" s="30">
        <v>37.4</v>
      </c>
      <c r="BK495" s="34">
        <v>3.1141000000000001</v>
      </c>
      <c r="BL495" s="35">
        <v>0.13078999999999999</v>
      </c>
      <c r="BM495" s="36"/>
      <c r="BN495" s="30">
        <v>37.4</v>
      </c>
      <c r="BO495" s="34">
        <v>3.1640000000000001</v>
      </c>
      <c r="BP495" s="35">
        <v>0.13289000000000001</v>
      </c>
      <c r="BR495" s="37">
        <v>1024</v>
      </c>
      <c r="BS495" s="38">
        <v>1.0246</v>
      </c>
      <c r="BT495" s="39">
        <v>6.6</v>
      </c>
      <c r="BV495" s="40">
        <v>1024</v>
      </c>
      <c r="BW495" s="34">
        <v>1.1275999999999999</v>
      </c>
      <c r="BX495" s="41">
        <v>1.0067999999999999</v>
      </c>
      <c r="BY495" s="55"/>
    </row>
    <row r="496" spans="27:77">
      <c r="AA496" s="27"/>
      <c r="BF496" s="30">
        <v>37.5</v>
      </c>
      <c r="BG496" s="31">
        <v>0.83730000000000004</v>
      </c>
      <c r="BH496" s="32">
        <v>836.8</v>
      </c>
      <c r="BJ496" s="30">
        <v>37.5</v>
      </c>
      <c r="BK496" s="34">
        <v>3.1122000000000001</v>
      </c>
      <c r="BL496" s="35">
        <v>0.13070999999999999</v>
      </c>
      <c r="BM496" s="36"/>
      <c r="BN496" s="30">
        <v>37.5</v>
      </c>
      <c r="BO496" s="34">
        <v>3.1621999999999999</v>
      </c>
      <c r="BP496" s="35">
        <v>0.13281000000000001</v>
      </c>
      <c r="BR496" s="37">
        <v>1025</v>
      </c>
      <c r="BS496" s="38">
        <v>1.0256000000000001</v>
      </c>
      <c r="BT496" s="39">
        <v>6.46</v>
      </c>
      <c r="BV496" s="40">
        <v>1025</v>
      </c>
      <c r="BW496" s="34">
        <v>1.1287</v>
      </c>
      <c r="BX496" s="41">
        <v>1.0078</v>
      </c>
      <c r="BY496" s="55"/>
    </row>
    <row r="497" spans="27:77">
      <c r="AA497" s="27"/>
      <c r="BF497" s="30">
        <v>37.6</v>
      </c>
      <c r="BG497" s="31">
        <v>0.83679999999999999</v>
      </c>
      <c r="BH497" s="32">
        <v>836.4</v>
      </c>
      <c r="BJ497" s="30">
        <v>37.6</v>
      </c>
      <c r="BK497" s="34">
        <v>3.1103999999999998</v>
      </c>
      <c r="BL497" s="35">
        <v>0.13064000000000001</v>
      </c>
      <c r="BM497" s="36"/>
      <c r="BN497" s="30">
        <v>37.6</v>
      </c>
      <c r="BO497" s="34">
        <v>3.1602999999999999</v>
      </c>
      <c r="BP497" s="35">
        <v>0.13272999999999999</v>
      </c>
      <c r="BR497" s="37">
        <v>1026</v>
      </c>
      <c r="BS497" s="38">
        <v>1.0266</v>
      </c>
      <c r="BT497" s="39">
        <v>6.33</v>
      </c>
      <c r="BV497" s="40">
        <v>1026</v>
      </c>
      <c r="BW497" s="34">
        <v>1.1297999999999999</v>
      </c>
      <c r="BX497" s="41">
        <v>1.0086999999999999</v>
      </c>
      <c r="BY497" s="55"/>
    </row>
    <row r="498" spans="27:77">
      <c r="AA498" s="27"/>
      <c r="BF498" s="30">
        <v>37.700000000000003</v>
      </c>
      <c r="BG498" s="31">
        <v>0.83630000000000004</v>
      </c>
      <c r="BH498" s="32">
        <v>835.9</v>
      </c>
      <c r="BJ498" s="30">
        <v>37.700000000000003</v>
      </c>
      <c r="BK498" s="34">
        <v>3.1084999999999998</v>
      </c>
      <c r="BL498" s="35">
        <v>0.13056000000000001</v>
      </c>
      <c r="BM498" s="36"/>
      <c r="BN498" s="30">
        <v>37.700000000000003</v>
      </c>
      <c r="BO498" s="34">
        <v>3.1583999999999999</v>
      </c>
      <c r="BP498" s="35">
        <v>0.13264999999999999</v>
      </c>
      <c r="BR498" s="37">
        <v>1027</v>
      </c>
      <c r="BS498" s="38">
        <v>1.0276000000000001</v>
      </c>
      <c r="BT498" s="39">
        <v>6.19</v>
      </c>
      <c r="BV498" s="40">
        <v>1027</v>
      </c>
      <c r="BW498" s="34">
        <v>1.1309</v>
      </c>
      <c r="BX498" s="41">
        <v>1.0097</v>
      </c>
      <c r="BY498" s="55"/>
    </row>
    <row r="499" spans="27:77">
      <c r="AA499" s="27"/>
      <c r="BF499" s="30">
        <v>37.799999999999997</v>
      </c>
      <c r="BG499" s="31">
        <v>0.83579999999999999</v>
      </c>
      <c r="BH499" s="32">
        <v>835.4</v>
      </c>
      <c r="BJ499" s="30">
        <v>37.799999999999997</v>
      </c>
      <c r="BK499" s="34">
        <v>3.1067</v>
      </c>
      <c r="BL499" s="35">
        <v>0.13048000000000001</v>
      </c>
      <c r="BM499" s="36"/>
      <c r="BN499" s="30">
        <v>37.799999999999997</v>
      </c>
      <c r="BO499" s="34">
        <v>3.1566000000000001</v>
      </c>
      <c r="BP499" s="35">
        <v>0.13258</v>
      </c>
      <c r="BR499" s="37">
        <v>1028</v>
      </c>
      <c r="BS499" s="38">
        <v>1.0286</v>
      </c>
      <c r="BT499" s="39">
        <v>6.06</v>
      </c>
      <c r="BV499" s="40">
        <v>1028</v>
      </c>
      <c r="BW499" s="34">
        <v>1.1319999999999999</v>
      </c>
      <c r="BX499" s="41">
        <v>1.0106999999999999</v>
      </c>
      <c r="BY499" s="55"/>
    </row>
    <row r="500" spans="27:77">
      <c r="AA500" s="27"/>
      <c r="BF500" s="30">
        <v>37.9</v>
      </c>
      <c r="BG500" s="31">
        <v>0.83530000000000004</v>
      </c>
      <c r="BH500" s="32">
        <v>834.9</v>
      </c>
      <c r="BJ500" s="30">
        <v>37.9</v>
      </c>
      <c r="BK500" s="34">
        <v>3.1049000000000002</v>
      </c>
      <c r="BL500" s="35">
        <v>0.13039999999999999</v>
      </c>
      <c r="BM500" s="36"/>
      <c r="BN500" s="30">
        <v>37.9</v>
      </c>
      <c r="BO500" s="34">
        <v>3.1547000000000001</v>
      </c>
      <c r="BP500" s="35">
        <v>0.13250000000000001</v>
      </c>
      <c r="BR500" s="37">
        <v>1029</v>
      </c>
      <c r="BS500" s="38">
        <v>1.0296000000000001</v>
      </c>
      <c r="BT500" s="39">
        <v>5.93</v>
      </c>
      <c r="BV500" s="40">
        <v>1029</v>
      </c>
      <c r="BW500" s="34">
        <v>1.1331</v>
      </c>
      <c r="BX500" s="41">
        <v>1.0117</v>
      </c>
      <c r="BY500" s="55"/>
    </row>
    <row r="501" spans="27:77">
      <c r="AA501" s="27"/>
      <c r="BF501" s="30">
        <v>38</v>
      </c>
      <c r="BG501" s="31">
        <v>0.83479999999999999</v>
      </c>
      <c r="BH501" s="32">
        <v>834.4</v>
      </c>
      <c r="BJ501" s="30">
        <v>38</v>
      </c>
      <c r="BK501" s="34">
        <v>3.1030000000000002</v>
      </c>
      <c r="BL501" s="35">
        <v>0.13033</v>
      </c>
      <c r="BM501" s="36"/>
      <c r="BN501" s="30">
        <v>38</v>
      </c>
      <c r="BO501" s="34">
        <v>3.1528</v>
      </c>
      <c r="BP501" s="35">
        <v>0.13242000000000001</v>
      </c>
      <c r="BR501" s="37">
        <v>1030</v>
      </c>
      <c r="BS501" s="38">
        <v>1.0306</v>
      </c>
      <c r="BT501" s="39">
        <v>5.79</v>
      </c>
      <c r="BV501" s="40">
        <v>1030</v>
      </c>
      <c r="BW501" s="34">
        <v>1.1342000000000001</v>
      </c>
      <c r="BX501" s="41">
        <v>1.0126999999999999</v>
      </c>
      <c r="BY501" s="55"/>
    </row>
    <row r="502" spans="27:77">
      <c r="AA502" s="27"/>
      <c r="BF502" s="30">
        <v>38.1</v>
      </c>
      <c r="BG502" s="31">
        <v>0.83430000000000004</v>
      </c>
      <c r="BH502" s="32">
        <v>833.9</v>
      </c>
      <c r="BJ502" s="30">
        <v>38.1</v>
      </c>
      <c r="BK502" s="34">
        <v>3.1012</v>
      </c>
      <c r="BL502" s="35">
        <v>0.13025</v>
      </c>
      <c r="BM502" s="36"/>
      <c r="BN502" s="30">
        <v>38.1</v>
      </c>
      <c r="BO502" s="34">
        <v>3.1509999999999998</v>
      </c>
      <c r="BP502" s="35">
        <v>0.13234000000000001</v>
      </c>
      <c r="BR502" s="37">
        <v>1031</v>
      </c>
      <c r="BS502" s="38">
        <v>1.0316000000000001</v>
      </c>
      <c r="BT502" s="39">
        <v>5.66</v>
      </c>
      <c r="BV502" s="40">
        <v>1031</v>
      </c>
      <c r="BW502" s="34">
        <v>1.1353</v>
      </c>
      <c r="BX502" s="41">
        <v>1.0137</v>
      </c>
      <c r="BY502" s="55"/>
    </row>
    <row r="503" spans="27:77">
      <c r="AA503" s="27"/>
      <c r="BF503" s="30">
        <v>38.200000000000003</v>
      </c>
      <c r="BG503" s="31">
        <v>0.83379999999999999</v>
      </c>
      <c r="BH503" s="32">
        <v>833.4</v>
      </c>
      <c r="BJ503" s="30">
        <v>38.200000000000003</v>
      </c>
      <c r="BK503" s="34">
        <v>3.0994000000000002</v>
      </c>
      <c r="BL503" s="35">
        <v>0.13017000000000001</v>
      </c>
      <c r="BM503" s="36"/>
      <c r="BN503" s="30">
        <v>38.200000000000003</v>
      </c>
      <c r="BO503" s="34">
        <v>3.1490999999999998</v>
      </c>
      <c r="BP503" s="35">
        <v>0.13225999999999999</v>
      </c>
      <c r="BR503" s="37">
        <v>1032</v>
      </c>
      <c r="BS503" s="38">
        <v>1.0326</v>
      </c>
      <c r="BT503" s="39">
        <v>5.53</v>
      </c>
      <c r="BV503" s="40">
        <v>1032</v>
      </c>
      <c r="BW503" s="34">
        <v>1.1364000000000001</v>
      </c>
      <c r="BX503" s="41">
        <v>1.0146999999999999</v>
      </c>
      <c r="BY503" s="55"/>
    </row>
    <row r="504" spans="27:77">
      <c r="AA504" s="27"/>
      <c r="BF504" s="30">
        <v>38.299999999999997</v>
      </c>
      <c r="BG504" s="31">
        <v>0.83330000000000004</v>
      </c>
      <c r="BH504" s="32">
        <v>832.9</v>
      </c>
      <c r="BJ504" s="30">
        <v>38.299999999999997</v>
      </c>
      <c r="BK504" s="34">
        <v>3.0975000000000001</v>
      </c>
      <c r="BL504" s="35">
        <v>0.13009999999999999</v>
      </c>
      <c r="BM504" s="36"/>
      <c r="BN504" s="30">
        <v>38.299999999999997</v>
      </c>
      <c r="BO504" s="34">
        <v>3.1472000000000002</v>
      </c>
      <c r="BP504" s="35">
        <v>0.13217999999999999</v>
      </c>
      <c r="BR504" s="37">
        <v>1033</v>
      </c>
      <c r="BS504" s="38">
        <v>1.0337000000000001</v>
      </c>
      <c r="BT504" s="39">
        <v>5.39</v>
      </c>
      <c r="BV504" s="40">
        <v>1033</v>
      </c>
      <c r="BW504" s="34">
        <v>1.1375</v>
      </c>
      <c r="BX504" s="41">
        <v>1.0156000000000001</v>
      </c>
      <c r="BY504" s="55"/>
    </row>
    <row r="505" spans="27:77">
      <c r="AA505" s="27"/>
      <c r="BF505" s="30">
        <v>38.4</v>
      </c>
      <c r="BG505" s="31">
        <v>0.83279999999999998</v>
      </c>
      <c r="BH505" s="32">
        <v>832.4</v>
      </c>
      <c r="BJ505" s="30">
        <v>38.4</v>
      </c>
      <c r="BK505" s="34">
        <v>3.0956999999999999</v>
      </c>
      <c r="BL505" s="35">
        <v>0.13002</v>
      </c>
      <c r="BM505" s="36"/>
      <c r="BN505" s="30">
        <v>38.4</v>
      </c>
      <c r="BO505" s="34">
        <v>3.1454</v>
      </c>
      <c r="BP505" s="35">
        <v>0.13211000000000001</v>
      </c>
      <c r="BR505" s="37">
        <v>1034</v>
      </c>
      <c r="BS505" s="38">
        <v>1.0347</v>
      </c>
      <c r="BT505" s="39">
        <v>5.26</v>
      </c>
      <c r="BV505" s="40">
        <v>1034</v>
      </c>
      <c r="BW505" s="34">
        <v>1.1386000000000001</v>
      </c>
      <c r="BX505" s="41">
        <v>1.0165999999999999</v>
      </c>
      <c r="BY505" s="55"/>
    </row>
    <row r="506" spans="27:77">
      <c r="AA506" s="27"/>
      <c r="BF506" s="30">
        <v>38.5</v>
      </c>
      <c r="BG506" s="31">
        <v>0.83240000000000003</v>
      </c>
      <c r="BH506" s="32">
        <v>831.9</v>
      </c>
      <c r="BJ506" s="30">
        <v>38.5</v>
      </c>
      <c r="BK506" s="34">
        <v>3.0939000000000001</v>
      </c>
      <c r="BL506" s="35">
        <v>0.12994</v>
      </c>
      <c r="BM506" s="36"/>
      <c r="BN506" s="30">
        <v>38.5</v>
      </c>
      <c r="BO506" s="34">
        <v>3.1435</v>
      </c>
      <c r="BP506" s="35">
        <v>0.13203000000000001</v>
      </c>
      <c r="BR506" s="37">
        <v>1035</v>
      </c>
      <c r="BS506" s="38">
        <v>1.0357000000000001</v>
      </c>
      <c r="BT506" s="39">
        <v>5.13</v>
      </c>
      <c r="BV506" s="40">
        <v>1035</v>
      </c>
      <c r="BW506" s="34">
        <v>1.1396999999999999</v>
      </c>
      <c r="BX506" s="41">
        <v>1.0176000000000001</v>
      </c>
      <c r="BY506" s="55"/>
    </row>
    <row r="507" spans="27:77">
      <c r="AA507" s="27"/>
      <c r="BF507" s="30">
        <v>38.6</v>
      </c>
      <c r="BG507" s="31">
        <v>0.83189999999999997</v>
      </c>
      <c r="BH507" s="32">
        <v>831.4</v>
      </c>
      <c r="BJ507" s="30">
        <v>38.6</v>
      </c>
      <c r="BK507" s="34">
        <v>3.0920999999999998</v>
      </c>
      <c r="BL507" s="35">
        <v>0.12987000000000001</v>
      </c>
      <c r="BM507" s="36"/>
      <c r="BN507" s="30">
        <v>38.6</v>
      </c>
      <c r="BO507" s="34">
        <v>3.1417000000000002</v>
      </c>
      <c r="BP507" s="35">
        <v>0.13195000000000001</v>
      </c>
      <c r="BR507" s="37">
        <v>1036</v>
      </c>
      <c r="BS507" s="38">
        <v>1.0367</v>
      </c>
      <c r="BT507" s="39">
        <v>5</v>
      </c>
      <c r="BV507" s="40">
        <v>1036</v>
      </c>
      <c r="BW507" s="34">
        <v>1.1408</v>
      </c>
      <c r="BX507" s="41">
        <v>1.0185999999999999</v>
      </c>
      <c r="BY507" s="55"/>
    </row>
    <row r="508" spans="27:77">
      <c r="AA508" s="27"/>
      <c r="BF508" s="30">
        <v>38.700000000000003</v>
      </c>
      <c r="BG508" s="31">
        <v>0.83140000000000003</v>
      </c>
      <c r="BH508" s="32">
        <v>831</v>
      </c>
      <c r="BJ508" s="30">
        <v>38.700000000000003</v>
      </c>
      <c r="BK508" s="34">
        <v>3.0901999999999998</v>
      </c>
      <c r="BL508" s="35">
        <v>0.12978999999999999</v>
      </c>
      <c r="BM508" s="36"/>
      <c r="BN508" s="30">
        <v>38.700000000000003</v>
      </c>
      <c r="BO508" s="34">
        <v>3.1398000000000001</v>
      </c>
      <c r="BP508" s="35">
        <v>0.13186999999999999</v>
      </c>
      <c r="BR508" s="37">
        <v>1037</v>
      </c>
      <c r="BS508" s="38">
        <v>1.0377000000000001</v>
      </c>
      <c r="BT508" s="39">
        <v>4.87</v>
      </c>
      <c r="BV508" s="40">
        <v>1037</v>
      </c>
      <c r="BW508" s="34">
        <v>1.1418999999999999</v>
      </c>
      <c r="BX508" s="41">
        <v>1.0196000000000001</v>
      </c>
      <c r="BY508" s="55"/>
    </row>
    <row r="509" spans="27:77">
      <c r="AA509" s="27"/>
      <c r="BF509" s="30">
        <v>38.799999999999997</v>
      </c>
      <c r="BG509" s="31">
        <v>0.83089999999999997</v>
      </c>
      <c r="BH509" s="32">
        <v>830.5</v>
      </c>
      <c r="BJ509" s="30">
        <v>38.799999999999997</v>
      </c>
      <c r="BK509" s="34">
        <v>3.0884</v>
      </c>
      <c r="BL509" s="35">
        <v>0.12970999999999999</v>
      </c>
      <c r="BM509" s="36"/>
      <c r="BN509" s="30">
        <v>38.799999999999997</v>
      </c>
      <c r="BO509" s="34">
        <v>3.1379999999999999</v>
      </c>
      <c r="BP509" s="35">
        <v>0.1318</v>
      </c>
      <c r="BR509" s="37">
        <v>1038</v>
      </c>
      <c r="BS509" s="38">
        <v>1.0387</v>
      </c>
      <c r="BT509" s="39">
        <v>4.7300000000000004</v>
      </c>
      <c r="BV509" s="40">
        <v>1038</v>
      </c>
      <c r="BW509" s="34">
        <v>1.143</v>
      </c>
      <c r="BX509" s="41">
        <v>1.0206</v>
      </c>
      <c r="BY509" s="55"/>
    </row>
    <row r="510" spans="27:77">
      <c r="AA510" s="27"/>
      <c r="BF510" s="30">
        <v>38.9</v>
      </c>
      <c r="BG510" s="31">
        <v>0.83040000000000003</v>
      </c>
      <c r="BH510" s="32">
        <v>830</v>
      </c>
      <c r="BJ510" s="30">
        <v>38.9</v>
      </c>
      <c r="BK510" s="34">
        <v>3.0865999999999998</v>
      </c>
      <c r="BL510" s="35">
        <v>0.12964000000000001</v>
      </c>
      <c r="BM510" s="36"/>
      <c r="BN510" s="30">
        <v>38.9</v>
      </c>
      <c r="BO510" s="34">
        <v>3.1360999999999999</v>
      </c>
      <c r="BP510" s="35">
        <v>0.13172</v>
      </c>
      <c r="BR510" s="37">
        <v>1039</v>
      </c>
      <c r="BS510" s="38">
        <v>1.0397000000000001</v>
      </c>
      <c r="BT510" s="39">
        <v>4.5999999999999996</v>
      </c>
      <c r="BV510" s="40">
        <v>1039</v>
      </c>
      <c r="BW510" s="34">
        <v>1.1440999999999999</v>
      </c>
      <c r="BX510" s="41">
        <v>1.0215000000000001</v>
      </c>
      <c r="BY510" s="55"/>
    </row>
    <row r="511" spans="27:77">
      <c r="AA511" s="27"/>
      <c r="BF511" s="30">
        <v>39</v>
      </c>
      <c r="BG511" s="31">
        <v>0.82989999999999997</v>
      </c>
      <c r="BH511" s="32">
        <v>829.5</v>
      </c>
      <c r="BJ511" s="30">
        <v>39</v>
      </c>
      <c r="BK511" s="34">
        <v>3.0848</v>
      </c>
      <c r="BL511" s="35">
        <v>0.12956000000000001</v>
      </c>
      <c r="BM511" s="36"/>
      <c r="BN511" s="30">
        <v>39</v>
      </c>
      <c r="BO511" s="34">
        <v>3.1343000000000001</v>
      </c>
      <c r="BP511" s="35">
        <v>0.13164000000000001</v>
      </c>
      <c r="BR511" s="37">
        <v>1040</v>
      </c>
      <c r="BS511" s="38">
        <v>1.0407</v>
      </c>
      <c r="BT511" s="39">
        <v>4.47</v>
      </c>
      <c r="BV511" s="40">
        <v>1040</v>
      </c>
      <c r="BW511" s="34">
        <v>1.1452</v>
      </c>
      <c r="BX511" s="41">
        <v>1.0225</v>
      </c>
      <c r="BY511" s="55"/>
    </row>
    <row r="512" spans="27:77">
      <c r="AA512" s="27"/>
      <c r="BF512" s="30">
        <v>39.1</v>
      </c>
      <c r="BG512" s="31">
        <v>0.82940000000000003</v>
      </c>
      <c r="BH512" s="32">
        <v>829</v>
      </c>
      <c r="BJ512" s="30">
        <v>39.1</v>
      </c>
      <c r="BK512" s="34">
        <v>3.0830000000000002</v>
      </c>
      <c r="BL512" s="35">
        <v>0.12948999999999999</v>
      </c>
      <c r="BM512" s="36"/>
      <c r="BN512" s="30">
        <v>39.1</v>
      </c>
      <c r="BO512" s="34">
        <v>3.1324999999999998</v>
      </c>
      <c r="BP512" s="35">
        <v>0.13156000000000001</v>
      </c>
      <c r="BR512" s="37">
        <v>1041</v>
      </c>
      <c r="BS512" s="38">
        <v>1.0417000000000001</v>
      </c>
      <c r="BT512" s="39">
        <v>4.34</v>
      </c>
      <c r="BV512" s="40">
        <v>1041</v>
      </c>
      <c r="BW512" s="34">
        <v>1.1463000000000001</v>
      </c>
      <c r="BX512" s="41">
        <v>1.0235000000000001</v>
      </c>
      <c r="BY512" s="55"/>
    </row>
    <row r="513" spans="27:77">
      <c r="AA513" s="27"/>
      <c r="BF513" s="30">
        <v>39.200000000000003</v>
      </c>
      <c r="BG513" s="31">
        <v>0.82889999999999997</v>
      </c>
      <c r="BH513" s="32">
        <v>828.5</v>
      </c>
      <c r="BJ513" s="30">
        <v>39.200000000000003</v>
      </c>
      <c r="BK513" s="34">
        <v>3.0811999999999999</v>
      </c>
      <c r="BL513" s="35">
        <v>0.12941</v>
      </c>
      <c r="BM513" s="36"/>
      <c r="BN513" s="30">
        <v>39.200000000000003</v>
      </c>
      <c r="BO513" s="34">
        <v>3.1305999999999998</v>
      </c>
      <c r="BP513" s="35">
        <v>0.13149</v>
      </c>
      <c r="BR513" s="37">
        <v>1042</v>
      </c>
      <c r="BS513" s="38">
        <v>1.0427</v>
      </c>
      <c r="BT513" s="39">
        <v>4.21</v>
      </c>
      <c r="BV513" s="40">
        <v>1042</v>
      </c>
      <c r="BW513" s="34">
        <v>1.1474</v>
      </c>
      <c r="BX513" s="41">
        <v>1.0245</v>
      </c>
      <c r="BY513" s="55"/>
    </row>
    <row r="514" spans="27:77">
      <c r="AA514" s="27"/>
      <c r="BF514" s="30">
        <v>39.299999999999997</v>
      </c>
      <c r="BG514" s="31">
        <v>0.82850000000000001</v>
      </c>
      <c r="BH514" s="32">
        <v>828</v>
      </c>
      <c r="BJ514" s="30">
        <v>39.299999999999997</v>
      </c>
      <c r="BK514" s="34">
        <v>3.0794000000000001</v>
      </c>
      <c r="BL514" s="35">
        <v>0.12933</v>
      </c>
      <c r="BM514" s="36"/>
      <c r="BN514" s="30">
        <v>39.299999999999997</v>
      </c>
      <c r="BO514" s="34">
        <v>3.1288</v>
      </c>
      <c r="BP514" s="35">
        <v>0.13141</v>
      </c>
      <c r="BR514" s="37">
        <v>1043</v>
      </c>
      <c r="BS514" s="38">
        <v>1.0437000000000001</v>
      </c>
      <c r="BT514" s="39">
        <v>4.08</v>
      </c>
      <c r="BV514" s="40">
        <v>1043</v>
      </c>
      <c r="BW514" s="34">
        <v>1.1485000000000001</v>
      </c>
      <c r="BX514" s="41">
        <v>1.0255000000000001</v>
      </c>
      <c r="BY514" s="55"/>
    </row>
    <row r="515" spans="27:77">
      <c r="AA515" s="27"/>
      <c r="BF515" s="30">
        <v>39.4</v>
      </c>
      <c r="BG515" s="31">
        <v>0.82799999999999996</v>
      </c>
      <c r="BH515" s="32">
        <v>827.6</v>
      </c>
      <c r="BJ515" s="30">
        <v>39.4</v>
      </c>
      <c r="BK515" s="34">
        <v>3.0775999999999999</v>
      </c>
      <c r="BL515" s="35">
        <v>0.12926000000000001</v>
      </c>
      <c r="BM515" s="36"/>
      <c r="BN515" s="30">
        <v>39.4</v>
      </c>
      <c r="BO515" s="34">
        <v>3.1269999999999998</v>
      </c>
      <c r="BP515" s="35">
        <v>0.13133</v>
      </c>
      <c r="BR515" s="37">
        <v>1044</v>
      </c>
      <c r="BS515" s="38">
        <v>1.0447</v>
      </c>
      <c r="BT515" s="39">
        <v>3.95</v>
      </c>
      <c r="BV515" s="40">
        <v>1044</v>
      </c>
      <c r="BW515" s="34">
        <v>1.1496</v>
      </c>
      <c r="BX515" s="41">
        <v>1.0265</v>
      </c>
      <c r="BY515" s="55"/>
    </row>
    <row r="516" spans="27:77">
      <c r="AA516" s="27"/>
      <c r="BF516" s="30">
        <v>39.5</v>
      </c>
      <c r="BG516" s="31">
        <v>0.82750000000000001</v>
      </c>
      <c r="BH516" s="32">
        <v>827.13</v>
      </c>
      <c r="BJ516" s="30">
        <v>39.5</v>
      </c>
      <c r="BK516" s="34">
        <v>3.0758000000000001</v>
      </c>
      <c r="BL516" s="35">
        <v>0.12917999999999999</v>
      </c>
      <c r="BM516" s="36"/>
      <c r="BN516" s="30">
        <v>39.5</v>
      </c>
      <c r="BO516" s="34">
        <v>3.1251000000000002</v>
      </c>
      <c r="BP516" s="35">
        <v>0.13125999999999999</v>
      </c>
      <c r="BR516" s="37">
        <v>1045</v>
      </c>
      <c r="BS516" s="38">
        <v>1.0457000000000001</v>
      </c>
      <c r="BT516" s="39">
        <v>3.82</v>
      </c>
      <c r="BV516" s="40">
        <v>1045</v>
      </c>
      <c r="BW516" s="34">
        <v>1.1507000000000001</v>
      </c>
      <c r="BX516" s="41">
        <v>1.0274000000000001</v>
      </c>
      <c r="BY516" s="55"/>
    </row>
    <row r="517" spans="27:77">
      <c r="AA517" s="27"/>
      <c r="BF517" s="30">
        <v>39.6</v>
      </c>
      <c r="BG517" s="31">
        <v>0.82699999999999996</v>
      </c>
      <c r="BH517" s="32">
        <v>826.6</v>
      </c>
      <c r="BJ517" s="30">
        <v>39.6</v>
      </c>
      <c r="BK517" s="34">
        <v>3.0739999999999998</v>
      </c>
      <c r="BL517" s="35">
        <v>0.12911</v>
      </c>
      <c r="BM517" s="36"/>
      <c r="BN517" s="30">
        <v>39.6</v>
      </c>
      <c r="BO517" s="34">
        <v>3.1233</v>
      </c>
      <c r="BP517" s="35">
        <v>0.13117999999999999</v>
      </c>
      <c r="BR517" s="37">
        <v>1046</v>
      </c>
      <c r="BS517" s="38">
        <v>1.0467</v>
      </c>
      <c r="BT517" s="39">
        <v>3.69</v>
      </c>
      <c r="BV517" s="40">
        <v>1046</v>
      </c>
      <c r="BW517" s="34">
        <v>1.1517999999999999</v>
      </c>
      <c r="BX517" s="41">
        <v>1.0284</v>
      </c>
      <c r="BY517" s="55"/>
    </row>
    <row r="518" spans="27:77">
      <c r="AA518" s="27"/>
      <c r="BF518" s="30">
        <v>39.700000000000003</v>
      </c>
      <c r="BG518" s="31">
        <v>0.82650000000000001</v>
      </c>
      <c r="BH518" s="32">
        <v>826.1</v>
      </c>
      <c r="BJ518" s="30">
        <v>39.700000000000003</v>
      </c>
      <c r="BK518" s="34">
        <v>3.0722</v>
      </c>
      <c r="BL518" s="35">
        <v>0.12903000000000001</v>
      </c>
      <c r="BM518" s="36"/>
      <c r="BN518" s="30">
        <v>39.700000000000003</v>
      </c>
      <c r="BO518" s="34">
        <v>3.1215000000000002</v>
      </c>
      <c r="BP518" s="35">
        <v>0.13109999999999999</v>
      </c>
      <c r="BR518" s="37">
        <v>1047</v>
      </c>
      <c r="BS518" s="38">
        <v>1.0477000000000001</v>
      </c>
      <c r="BT518" s="39">
        <v>3.56</v>
      </c>
      <c r="BV518" s="40">
        <v>1047</v>
      </c>
      <c r="BW518" s="34">
        <v>1.1529</v>
      </c>
      <c r="BX518" s="41">
        <v>1.0294000000000001</v>
      </c>
      <c r="BY518" s="55"/>
    </row>
    <row r="519" spans="27:77">
      <c r="AA519" s="27"/>
      <c r="BF519" s="30">
        <v>39.799999999999997</v>
      </c>
      <c r="BG519" s="31">
        <v>0.82599999999999996</v>
      </c>
      <c r="BH519" s="32">
        <v>825.6</v>
      </c>
      <c r="BJ519" s="30">
        <v>39.799999999999997</v>
      </c>
      <c r="BK519" s="34">
        <v>3.0703999999999998</v>
      </c>
      <c r="BL519" s="35">
        <v>0.12895999999999999</v>
      </c>
      <c r="BM519" s="36"/>
      <c r="BN519" s="30">
        <v>39.799999999999997</v>
      </c>
      <c r="BO519" s="34">
        <v>3.1196000000000002</v>
      </c>
      <c r="BP519" s="35">
        <v>0.13103000000000001</v>
      </c>
      <c r="BR519" s="37">
        <v>1048</v>
      </c>
      <c r="BS519" s="38">
        <v>1.0487</v>
      </c>
      <c r="BT519" s="39">
        <v>3.43</v>
      </c>
      <c r="BV519" s="40">
        <v>1048</v>
      </c>
      <c r="BW519" s="34">
        <v>1.1540999999999999</v>
      </c>
      <c r="BX519" s="41">
        <v>1.0304</v>
      </c>
      <c r="BY519" s="55"/>
    </row>
    <row r="520" spans="27:77">
      <c r="AA520" s="27"/>
      <c r="BF520" s="30">
        <v>39.9</v>
      </c>
      <c r="BG520" s="31">
        <v>0.8256</v>
      </c>
      <c r="BH520" s="32">
        <v>825.1</v>
      </c>
      <c r="BJ520" s="30">
        <v>39.9</v>
      </c>
      <c r="BK520" s="34">
        <v>3.0686</v>
      </c>
      <c r="BL520" s="35">
        <v>0.12887999999999999</v>
      </c>
      <c r="BM520" s="36"/>
      <c r="BN520" s="30">
        <v>39.9</v>
      </c>
      <c r="BO520" s="34">
        <v>3.1177999999999999</v>
      </c>
      <c r="BP520" s="35">
        <v>0.13095000000000001</v>
      </c>
      <c r="BR520" s="37">
        <v>1049</v>
      </c>
      <c r="BS520" s="38">
        <v>1.0497000000000001</v>
      </c>
      <c r="BT520" s="39">
        <v>3.3</v>
      </c>
      <c r="BV520" s="40">
        <v>1049</v>
      </c>
      <c r="BW520" s="34">
        <v>1.1552</v>
      </c>
      <c r="BX520" s="41">
        <v>1.0314000000000001</v>
      </c>
      <c r="BY520" s="55"/>
    </row>
    <row r="521" spans="27:77">
      <c r="AA521" s="27"/>
      <c r="BF521" s="30">
        <v>40</v>
      </c>
      <c r="BG521" s="31">
        <v>0.82509999999999994</v>
      </c>
      <c r="BH521" s="32">
        <v>824.7</v>
      </c>
      <c r="BJ521" s="30">
        <v>40</v>
      </c>
      <c r="BK521" s="34">
        <v>3.0668000000000002</v>
      </c>
      <c r="BL521" s="35">
        <v>0.12881000000000001</v>
      </c>
      <c r="BM521" s="36"/>
      <c r="BN521" s="30">
        <v>40</v>
      </c>
      <c r="BO521" s="34">
        <v>3.1160000000000001</v>
      </c>
      <c r="BP521" s="35">
        <v>0.13086999999999999</v>
      </c>
      <c r="BR521" s="37">
        <v>1050</v>
      </c>
      <c r="BS521" s="38">
        <v>1.0507</v>
      </c>
      <c r="BT521" s="39">
        <v>3.18</v>
      </c>
      <c r="BV521" s="40">
        <v>1050</v>
      </c>
      <c r="BW521" s="34">
        <v>1.1563000000000001</v>
      </c>
      <c r="BX521" s="41">
        <v>1.0324</v>
      </c>
      <c r="BY521" s="55"/>
    </row>
    <row r="522" spans="27:77">
      <c r="AA522" s="27"/>
      <c r="BF522" s="30">
        <v>40.1</v>
      </c>
      <c r="BG522" s="31">
        <v>0.8246</v>
      </c>
      <c r="BH522" s="32">
        <v>824.2</v>
      </c>
      <c r="BJ522" s="30">
        <v>40.1</v>
      </c>
      <c r="BK522" s="34">
        <v>3.0649999999999999</v>
      </c>
      <c r="BL522" s="35">
        <v>0.12873000000000001</v>
      </c>
      <c r="BM522" s="36"/>
      <c r="BN522" s="30">
        <v>40.1</v>
      </c>
      <c r="BO522" s="34">
        <v>3.1141999999999999</v>
      </c>
      <c r="BP522" s="35">
        <v>0.1308</v>
      </c>
      <c r="BR522" s="37">
        <v>1051</v>
      </c>
      <c r="BS522" s="38">
        <v>1.0517000000000001</v>
      </c>
      <c r="BT522" s="39">
        <v>3.05</v>
      </c>
      <c r="BV522" s="40">
        <v>1051</v>
      </c>
      <c r="BW522" s="34">
        <v>1.1574</v>
      </c>
      <c r="BX522" s="41">
        <v>1.0334000000000001</v>
      </c>
      <c r="BY522" s="55"/>
    </row>
    <row r="523" spans="27:77">
      <c r="AA523" s="27"/>
      <c r="BF523" s="30">
        <v>40.200000000000003</v>
      </c>
      <c r="BG523" s="31">
        <v>0.82410000000000005</v>
      </c>
      <c r="BH523" s="32">
        <v>823.7</v>
      </c>
      <c r="BJ523" s="30">
        <v>40.200000000000003</v>
      </c>
      <c r="BK523" s="34">
        <v>3.0632000000000001</v>
      </c>
      <c r="BL523" s="35">
        <v>0.12864999999999999</v>
      </c>
      <c r="BM523" s="36"/>
      <c r="BN523" s="30">
        <v>40.200000000000003</v>
      </c>
      <c r="BO523" s="34">
        <v>3.1124000000000001</v>
      </c>
      <c r="BP523" s="35">
        <v>0.13072</v>
      </c>
      <c r="BR523" s="37">
        <v>1052</v>
      </c>
      <c r="BS523" s="38">
        <v>1.0527</v>
      </c>
      <c r="BT523" s="39">
        <v>2.92</v>
      </c>
      <c r="BV523" s="40">
        <v>1052</v>
      </c>
      <c r="BW523" s="34">
        <v>1.1585000000000001</v>
      </c>
      <c r="BX523" s="41">
        <v>1.0343</v>
      </c>
      <c r="BY523" s="55"/>
    </row>
    <row r="524" spans="27:77">
      <c r="AA524" s="27"/>
      <c r="BF524" s="30">
        <v>40.299999999999997</v>
      </c>
      <c r="BG524" s="31">
        <v>0.8236</v>
      </c>
      <c r="BH524" s="32">
        <v>823.2</v>
      </c>
      <c r="BJ524" s="30">
        <v>40.299999999999997</v>
      </c>
      <c r="BK524" s="34">
        <v>3.0613999999999999</v>
      </c>
      <c r="BL524" s="35">
        <v>0.12858</v>
      </c>
      <c r="BM524" s="36"/>
      <c r="BN524" s="30">
        <v>40.299999999999997</v>
      </c>
      <c r="BO524" s="34">
        <v>3.1105999999999998</v>
      </c>
      <c r="BP524" s="35">
        <v>0.13064000000000001</v>
      </c>
      <c r="BR524" s="37">
        <v>1053</v>
      </c>
      <c r="BS524" s="38">
        <v>1.0537000000000001</v>
      </c>
      <c r="BT524" s="39">
        <v>2.79</v>
      </c>
      <c r="BV524" s="40">
        <v>1053</v>
      </c>
      <c r="BW524" s="34">
        <v>1.1596</v>
      </c>
      <c r="BX524" s="41">
        <v>1.0353000000000001</v>
      </c>
      <c r="BY524" s="55"/>
    </row>
    <row r="525" spans="27:77">
      <c r="AA525" s="27"/>
      <c r="BF525" s="30">
        <v>40.4</v>
      </c>
      <c r="BG525" s="31">
        <v>0.82320000000000004</v>
      </c>
      <c r="BH525" s="32">
        <v>822.7</v>
      </c>
      <c r="BJ525" s="30">
        <v>40.4</v>
      </c>
      <c r="BK525" s="34">
        <v>3.0596000000000001</v>
      </c>
      <c r="BL525" s="35">
        <v>0.1285</v>
      </c>
      <c r="BM525" s="36"/>
      <c r="BN525" s="30">
        <v>40.4</v>
      </c>
      <c r="BO525" s="34">
        <v>3.1086999999999998</v>
      </c>
      <c r="BP525" s="35">
        <v>0.13056999999999999</v>
      </c>
      <c r="BR525" s="37">
        <v>1054</v>
      </c>
      <c r="BS525" s="38">
        <v>1.0547</v>
      </c>
      <c r="BT525" s="39">
        <v>2.66</v>
      </c>
      <c r="BV525" s="40">
        <v>1054</v>
      </c>
      <c r="BW525" s="34">
        <v>1.1607000000000001</v>
      </c>
      <c r="BX525" s="41">
        <v>1.0363</v>
      </c>
      <c r="BY525" s="55"/>
    </row>
    <row r="526" spans="27:77">
      <c r="AA526" s="27"/>
      <c r="BF526" s="30">
        <v>40.5</v>
      </c>
      <c r="BG526" s="31">
        <v>0.82269999999999999</v>
      </c>
      <c r="BH526" s="32">
        <v>822.3</v>
      </c>
      <c r="BJ526" s="30">
        <v>40.5</v>
      </c>
      <c r="BK526" s="34">
        <v>3.0579000000000001</v>
      </c>
      <c r="BL526" s="35">
        <v>0.12842999999999999</v>
      </c>
      <c r="BM526" s="36"/>
      <c r="BN526" s="30">
        <v>40.5</v>
      </c>
      <c r="BO526" s="34">
        <v>3.1069</v>
      </c>
      <c r="BP526" s="35">
        <v>0.13048999999999999</v>
      </c>
      <c r="BR526" s="37">
        <v>1055</v>
      </c>
      <c r="BS526" s="38">
        <v>1.0557000000000001</v>
      </c>
      <c r="BT526" s="39">
        <v>2.54</v>
      </c>
      <c r="BV526" s="40">
        <v>1055</v>
      </c>
      <c r="BW526" s="34">
        <v>1.1617999999999999</v>
      </c>
      <c r="BX526" s="41">
        <v>1.0373000000000001</v>
      </c>
      <c r="BY526" s="55"/>
    </row>
    <row r="527" spans="27:77">
      <c r="AA527" s="27"/>
      <c r="BF527" s="30">
        <v>40.6</v>
      </c>
      <c r="BG527" s="31">
        <v>0.82220000000000004</v>
      </c>
      <c r="BH527" s="32">
        <v>821.8</v>
      </c>
      <c r="BJ527" s="30">
        <v>40.6</v>
      </c>
      <c r="BK527" s="34">
        <v>3.0560999999999998</v>
      </c>
      <c r="BL527" s="35">
        <v>0.12836</v>
      </c>
      <c r="BM527" s="36"/>
      <c r="BN527" s="30">
        <v>40.6</v>
      </c>
      <c r="BO527" s="34">
        <v>3.1051000000000002</v>
      </c>
      <c r="BP527" s="35">
        <v>0.13042000000000001</v>
      </c>
      <c r="BR527" s="37">
        <v>1056</v>
      </c>
      <c r="BS527" s="38">
        <v>1.0567</v>
      </c>
      <c r="BT527" s="39">
        <v>2.41</v>
      </c>
      <c r="BV527" s="40">
        <v>1056</v>
      </c>
      <c r="BW527" s="34">
        <v>1.1629</v>
      </c>
      <c r="BX527" s="41">
        <v>1.0383</v>
      </c>
      <c r="BY527" s="55"/>
    </row>
    <row r="528" spans="27:77">
      <c r="AA528" s="27"/>
      <c r="BF528" s="30">
        <v>40.700000000000003</v>
      </c>
      <c r="BG528" s="31">
        <v>0.82169999999999999</v>
      </c>
      <c r="BH528" s="32">
        <v>821.3</v>
      </c>
      <c r="BJ528" s="30">
        <v>40.700000000000003</v>
      </c>
      <c r="BK528" s="34">
        <v>3.0543</v>
      </c>
      <c r="BL528" s="35">
        <v>0.12828000000000001</v>
      </c>
      <c r="BM528" s="36"/>
      <c r="BN528" s="30">
        <v>40.700000000000003</v>
      </c>
      <c r="BO528" s="34">
        <v>3.1032999999999999</v>
      </c>
      <c r="BP528" s="35">
        <v>0.13034000000000001</v>
      </c>
      <c r="BR528" s="37">
        <v>1057</v>
      </c>
      <c r="BS528" s="38">
        <v>1.0577000000000001</v>
      </c>
      <c r="BT528" s="39">
        <v>2.2799999999999998</v>
      </c>
      <c r="BV528" s="40">
        <v>1057</v>
      </c>
      <c r="BW528" s="34">
        <v>1.1639999999999999</v>
      </c>
      <c r="BX528" s="41">
        <v>1.0392999999999999</v>
      </c>
      <c r="BY528" s="55"/>
    </row>
    <row r="529" spans="27:77">
      <c r="AA529" s="27"/>
      <c r="BF529" s="30">
        <v>40.799999999999997</v>
      </c>
      <c r="BG529" s="31">
        <v>0.82120000000000004</v>
      </c>
      <c r="BH529" s="32">
        <v>820.8</v>
      </c>
      <c r="BJ529" s="30">
        <v>40.799999999999997</v>
      </c>
      <c r="BK529" s="34">
        <v>3.0525000000000002</v>
      </c>
      <c r="BL529" s="35">
        <v>0.12820999999999999</v>
      </c>
      <c r="BM529" s="36"/>
      <c r="BN529" s="30">
        <v>40.799999999999997</v>
      </c>
      <c r="BO529" s="34">
        <v>3.1015000000000001</v>
      </c>
      <c r="BP529" s="35">
        <v>0.13025999999999999</v>
      </c>
      <c r="BR529" s="37">
        <v>1058</v>
      </c>
      <c r="BS529" s="38">
        <v>1.0587</v>
      </c>
      <c r="BT529" s="39">
        <v>2.16</v>
      </c>
      <c r="BV529" s="40">
        <v>1058</v>
      </c>
      <c r="BW529" s="34">
        <v>1.1651</v>
      </c>
      <c r="BX529" s="41">
        <v>1.0402</v>
      </c>
      <c r="BY529" s="55"/>
    </row>
    <row r="530" spans="27:77">
      <c r="AA530" s="27"/>
      <c r="BF530" s="30">
        <v>40.9</v>
      </c>
      <c r="BG530" s="31">
        <v>0.82079999999999997</v>
      </c>
      <c r="BH530" s="32">
        <v>820.4</v>
      </c>
      <c r="BJ530" s="30">
        <v>40.9</v>
      </c>
      <c r="BK530" s="34">
        <v>3.0508000000000002</v>
      </c>
      <c r="BL530" s="35">
        <v>0.12812999999999999</v>
      </c>
      <c r="BM530" s="36"/>
      <c r="BN530" s="30">
        <v>40.9</v>
      </c>
      <c r="BO530" s="34">
        <v>3.0996999999999999</v>
      </c>
      <c r="BP530" s="35">
        <v>0.13019</v>
      </c>
      <c r="BR530" s="37">
        <v>1059</v>
      </c>
      <c r="BS530" s="38">
        <v>1.0597000000000001</v>
      </c>
      <c r="BT530" s="39">
        <v>2.0299999999999998</v>
      </c>
      <c r="BV530" s="40">
        <v>1059</v>
      </c>
      <c r="BW530" s="34">
        <v>1.1661999999999999</v>
      </c>
      <c r="BX530" s="41">
        <v>1.0411999999999999</v>
      </c>
      <c r="BY530" s="55"/>
    </row>
    <row r="531" spans="27:77">
      <c r="AA531" s="27"/>
      <c r="BF531" s="30">
        <v>41</v>
      </c>
      <c r="BG531" s="31">
        <v>0.82030000000000003</v>
      </c>
      <c r="BH531" s="32">
        <v>819.9</v>
      </c>
      <c r="BJ531" s="30">
        <v>41</v>
      </c>
      <c r="BK531" s="34">
        <v>3.0489999999999999</v>
      </c>
      <c r="BL531" s="35">
        <v>0.12806000000000001</v>
      </c>
      <c r="BM531" s="36"/>
      <c r="BN531" s="30">
        <v>41</v>
      </c>
      <c r="BO531" s="34">
        <v>3.0979000000000001</v>
      </c>
      <c r="BP531" s="35">
        <v>0.13011</v>
      </c>
      <c r="BR531" s="37">
        <v>1060</v>
      </c>
      <c r="BS531" s="38">
        <v>1.0607</v>
      </c>
      <c r="BT531" s="39">
        <v>1.91</v>
      </c>
      <c r="BV531" s="40">
        <v>1060</v>
      </c>
      <c r="BW531" s="34">
        <v>1.1673</v>
      </c>
      <c r="BX531" s="41">
        <v>1.0422</v>
      </c>
      <c r="BY531" s="55"/>
    </row>
    <row r="532" spans="27:77">
      <c r="AA532" s="27"/>
      <c r="BF532" s="30">
        <v>41.1</v>
      </c>
      <c r="BG532" s="31">
        <v>0.81979999999999997</v>
      </c>
      <c r="BH532" s="32">
        <v>819.4</v>
      </c>
      <c r="BJ532" s="30">
        <v>41.1</v>
      </c>
      <c r="BK532" s="34">
        <v>3.0472000000000001</v>
      </c>
      <c r="BL532" s="35">
        <v>0.12798000000000001</v>
      </c>
      <c r="BM532" s="36"/>
      <c r="BN532" s="30">
        <v>41.1</v>
      </c>
      <c r="BO532" s="34">
        <v>3.0960999999999999</v>
      </c>
      <c r="BP532" s="35">
        <v>0.13003999999999999</v>
      </c>
      <c r="BR532" s="37">
        <v>1061</v>
      </c>
      <c r="BS532" s="38">
        <v>1.0617000000000001</v>
      </c>
      <c r="BT532" s="39">
        <v>1.78</v>
      </c>
      <c r="BV532" s="40">
        <v>1061</v>
      </c>
      <c r="BW532" s="34">
        <v>1.1684000000000001</v>
      </c>
      <c r="BX532" s="41">
        <v>1.0431999999999999</v>
      </c>
      <c r="BY532" s="55"/>
    </row>
    <row r="533" spans="27:77">
      <c r="AA533" s="27"/>
      <c r="BF533" s="30">
        <v>41.2</v>
      </c>
      <c r="BG533" s="31">
        <v>0.81930000000000003</v>
      </c>
      <c r="BH533" s="32">
        <v>818.9</v>
      </c>
      <c r="BJ533" s="30">
        <v>41.2</v>
      </c>
      <c r="BK533" s="34">
        <v>3.0453999999999999</v>
      </c>
      <c r="BL533" s="35">
        <v>0.12791</v>
      </c>
      <c r="BM533" s="36"/>
      <c r="BN533" s="30">
        <v>41.2</v>
      </c>
      <c r="BO533" s="34">
        <v>3.0943000000000001</v>
      </c>
      <c r="BP533" s="35">
        <v>0.12995999999999999</v>
      </c>
      <c r="BR533" s="37">
        <v>1062</v>
      </c>
      <c r="BS533" s="38">
        <v>1.0627</v>
      </c>
      <c r="BT533" s="39">
        <v>1.65</v>
      </c>
      <c r="BV533" s="40">
        <v>1062</v>
      </c>
      <c r="BW533" s="34">
        <v>1.1695</v>
      </c>
      <c r="BX533" s="41">
        <v>1.0442</v>
      </c>
      <c r="BY533" s="55"/>
    </row>
    <row r="534" spans="27:77">
      <c r="AA534" s="27"/>
      <c r="BF534" s="30">
        <v>41.3</v>
      </c>
      <c r="BG534" s="31">
        <v>0.81889999999999996</v>
      </c>
      <c r="BH534" s="32">
        <v>818.5</v>
      </c>
      <c r="BJ534" s="30">
        <v>41.3</v>
      </c>
      <c r="BK534" s="34">
        <v>3.0436999999999999</v>
      </c>
      <c r="BL534" s="35">
        <v>0.12783</v>
      </c>
      <c r="BM534" s="36"/>
      <c r="BN534" s="30">
        <v>41.3</v>
      </c>
      <c r="BO534" s="34">
        <v>3.0924999999999998</v>
      </c>
      <c r="BP534" s="35">
        <v>0.12989000000000001</v>
      </c>
      <c r="BR534" s="37">
        <v>1063</v>
      </c>
      <c r="BS534" s="38">
        <v>1.0637000000000001</v>
      </c>
      <c r="BT534" s="39">
        <v>1.53</v>
      </c>
      <c r="BV534" s="40">
        <v>1063</v>
      </c>
      <c r="BW534" s="34">
        <v>1.1706000000000001</v>
      </c>
      <c r="BX534" s="41">
        <v>1.0451999999999999</v>
      </c>
      <c r="BY534" s="55"/>
    </row>
    <row r="535" spans="27:77">
      <c r="AA535" s="27"/>
      <c r="BF535" s="30">
        <v>41.4</v>
      </c>
      <c r="BG535" s="31">
        <v>0.81840000000000002</v>
      </c>
      <c r="BH535" s="32">
        <v>818</v>
      </c>
      <c r="BJ535" s="30">
        <v>41.4</v>
      </c>
      <c r="BK535" s="34">
        <v>3.0419</v>
      </c>
      <c r="BL535" s="35">
        <v>0.12776000000000001</v>
      </c>
      <c r="BM535" s="36"/>
      <c r="BN535" s="30">
        <v>41.4</v>
      </c>
      <c r="BO535" s="34">
        <v>3.0907</v>
      </c>
      <c r="BP535" s="35">
        <v>0.12981000000000001</v>
      </c>
      <c r="BR535" s="37">
        <v>1064</v>
      </c>
      <c r="BS535" s="38">
        <v>1.0647</v>
      </c>
      <c r="BT535" s="39">
        <v>1.4</v>
      </c>
      <c r="BV535" s="40">
        <v>1064</v>
      </c>
      <c r="BW535" s="34">
        <v>1.1717</v>
      </c>
      <c r="BX535" s="41">
        <v>1.0462</v>
      </c>
      <c r="BY535" s="55"/>
    </row>
    <row r="536" spans="27:77">
      <c r="AA536" s="27"/>
      <c r="BF536" s="30">
        <v>41.5</v>
      </c>
      <c r="BG536" s="31">
        <v>0.81789999999999996</v>
      </c>
      <c r="BH536" s="32">
        <v>817.5</v>
      </c>
      <c r="BJ536" s="30">
        <v>41.5</v>
      </c>
      <c r="BK536" s="34">
        <v>3.0402</v>
      </c>
      <c r="BL536" s="35">
        <v>0.12769</v>
      </c>
      <c r="BM536" s="36"/>
      <c r="BN536" s="30">
        <v>41.5</v>
      </c>
      <c r="BO536" s="34">
        <v>3.0889000000000002</v>
      </c>
      <c r="BP536" s="35">
        <v>0.12973999999999999</v>
      </c>
      <c r="BR536" s="37">
        <v>1065</v>
      </c>
      <c r="BS536" s="38">
        <v>1.0657000000000001</v>
      </c>
      <c r="BT536" s="39">
        <v>1.28</v>
      </c>
      <c r="BV536" s="40">
        <v>1065</v>
      </c>
      <c r="BW536" s="34">
        <v>1.1728000000000001</v>
      </c>
      <c r="BX536" s="41">
        <v>1.0470999999999999</v>
      </c>
      <c r="BY536" s="55"/>
    </row>
    <row r="537" spans="27:77">
      <c r="AA537" s="27"/>
      <c r="BF537" s="30">
        <v>41.6</v>
      </c>
      <c r="BG537" s="31">
        <v>0.81740000000000002</v>
      </c>
      <c r="BH537" s="32">
        <v>817</v>
      </c>
      <c r="BJ537" s="30">
        <v>41.6</v>
      </c>
      <c r="BK537" s="34">
        <v>3.0384000000000002</v>
      </c>
      <c r="BL537" s="35">
        <v>0.12761</v>
      </c>
      <c r="BM537" s="36"/>
      <c r="BN537" s="30">
        <v>41.6</v>
      </c>
      <c r="BO537" s="34">
        <v>3.0872000000000002</v>
      </c>
      <c r="BP537" s="35">
        <v>0.12966</v>
      </c>
      <c r="BR537" s="37">
        <v>1066</v>
      </c>
      <c r="BS537" s="38">
        <v>1.0667</v>
      </c>
      <c r="BT537" s="39">
        <v>1.1499999999999999</v>
      </c>
      <c r="BV537" s="40">
        <v>1066</v>
      </c>
      <c r="BW537" s="34">
        <v>1.1738999999999999</v>
      </c>
      <c r="BX537" s="41">
        <v>1.0481</v>
      </c>
      <c r="BY537" s="55"/>
    </row>
    <row r="538" spans="27:77">
      <c r="AA538" s="27"/>
      <c r="BF538" s="30">
        <v>41.7</v>
      </c>
      <c r="BG538" s="31">
        <v>0.81699999999999995</v>
      </c>
      <c r="BH538" s="32">
        <v>816.6</v>
      </c>
      <c r="BJ538" s="30">
        <v>41.7</v>
      </c>
      <c r="BK538" s="34">
        <v>3.0366</v>
      </c>
      <c r="BL538" s="35">
        <v>0.12753999999999999</v>
      </c>
      <c r="BM538" s="36"/>
      <c r="BN538" s="30">
        <v>41.7</v>
      </c>
      <c r="BO538" s="34">
        <v>3.0853999999999999</v>
      </c>
      <c r="BP538" s="35">
        <v>0.12959000000000001</v>
      </c>
      <c r="BR538" s="37">
        <v>1067</v>
      </c>
      <c r="BS538" s="38">
        <v>1.0677000000000001</v>
      </c>
      <c r="BT538" s="39">
        <v>1.03</v>
      </c>
      <c r="BV538" s="40">
        <v>1067</v>
      </c>
      <c r="BW538" s="34">
        <v>1.175</v>
      </c>
      <c r="BX538" s="41">
        <v>1.0490999999999999</v>
      </c>
      <c r="BY538" s="55"/>
    </row>
    <row r="539" spans="27:77">
      <c r="AA539" s="27"/>
      <c r="BF539" s="30">
        <v>41.8</v>
      </c>
      <c r="BG539" s="31">
        <v>0.8165</v>
      </c>
      <c r="BH539" s="32">
        <v>816.1</v>
      </c>
      <c r="BJ539" s="30">
        <v>41.8</v>
      </c>
      <c r="BK539" s="34">
        <v>3.0348999999999999</v>
      </c>
      <c r="BL539" s="35">
        <v>0.12747</v>
      </c>
      <c r="BM539" s="36"/>
      <c r="BN539" s="30">
        <v>41.8</v>
      </c>
      <c r="BO539" s="34">
        <v>3.0836000000000001</v>
      </c>
      <c r="BP539" s="35">
        <v>0.12950999999999999</v>
      </c>
      <c r="BR539" s="37">
        <v>1068</v>
      </c>
      <c r="BS539" s="38">
        <v>1.0687</v>
      </c>
      <c r="BT539" s="39">
        <v>0.91</v>
      </c>
      <c r="BV539" s="40">
        <v>1068</v>
      </c>
      <c r="BW539" s="34">
        <v>1.1760999999999999</v>
      </c>
      <c r="BX539" s="41">
        <v>1.0501</v>
      </c>
      <c r="BY539" s="55"/>
    </row>
    <row r="540" spans="27:77">
      <c r="AA540" s="27"/>
      <c r="BF540" s="30">
        <v>41.9</v>
      </c>
      <c r="BG540" s="31">
        <v>0.81599999999999995</v>
      </c>
      <c r="BH540" s="32">
        <v>815.6</v>
      </c>
      <c r="BJ540" s="30">
        <v>41.9</v>
      </c>
      <c r="BK540" s="34">
        <v>3.0331000000000001</v>
      </c>
      <c r="BL540" s="35">
        <v>0.12739</v>
      </c>
      <c r="BM540" s="36"/>
      <c r="BN540" s="30">
        <v>41.9</v>
      </c>
      <c r="BO540" s="34">
        <v>3.0817999999999999</v>
      </c>
      <c r="BP540" s="35">
        <v>0.12944</v>
      </c>
      <c r="BR540" s="37">
        <v>1069</v>
      </c>
      <c r="BS540" s="38">
        <v>1.0697000000000001</v>
      </c>
      <c r="BT540" s="39">
        <v>0.78</v>
      </c>
      <c r="BV540" s="40">
        <v>1069</v>
      </c>
      <c r="BW540" s="34">
        <v>1.1772</v>
      </c>
      <c r="BX540" s="41">
        <v>1.0510999999999999</v>
      </c>
      <c r="BY540" s="55"/>
    </row>
    <row r="541" spans="27:77">
      <c r="AA541" s="27"/>
      <c r="BF541" s="30">
        <v>42</v>
      </c>
      <c r="BG541" s="31">
        <v>0.81559999999999999</v>
      </c>
      <c r="BH541" s="32">
        <v>815.2</v>
      </c>
      <c r="BJ541" s="30">
        <v>42</v>
      </c>
      <c r="BK541" s="34">
        <v>3.0314000000000001</v>
      </c>
      <c r="BL541" s="35">
        <v>0.12731999999999999</v>
      </c>
      <c r="BM541" s="36"/>
      <c r="BN541" s="30">
        <v>42</v>
      </c>
      <c r="BO541" s="34">
        <v>3.08</v>
      </c>
      <c r="BP541" s="35">
        <v>0.12936</v>
      </c>
      <c r="BR541" s="37">
        <v>1070</v>
      </c>
      <c r="BS541" s="38">
        <v>1.0707</v>
      </c>
      <c r="BT541" s="39">
        <v>0.66</v>
      </c>
      <c r="BV541" s="40">
        <v>1070</v>
      </c>
      <c r="BW541" s="34">
        <v>1.1782999999999999</v>
      </c>
      <c r="BX541" s="41">
        <v>1.0521</v>
      </c>
      <c r="BY541" s="55"/>
    </row>
    <row r="542" spans="27:77">
      <c r="AA542" s="27"/>
      <c r="BF542" s="30">
        <v>42.1</v>
      </c>
      <c r="BG542" s="31">
        <v>0.81510000000000005</v>
      </c>
      <c r="BH542" s="32">
        <v>814.7</v>
      </c>
      <c r="BJ542" s="30">
        <v>42.1</v>
      </c>
      <c r="BK542" s="34">
        <v>3.0295999999999998</v>
      </c>
      <c r="BL542" s="35">
        <v>0.12723999999999999</v>
      </c>
      <c r="BM542" s="36"/>
      <c r="BN542" s="30">
        <v>42.1</v>
      </c>
      <c r="BO542" s="34">
        <v>3.0783</v>
      </c>
      <c r="BP542" s="35">
        <v>0.12928999999999999</v>
      </c>
      <c r="BR542" s="37">
        <v>1071</v>
      </c>
      <c r="BS542" s="38">
        <v>1.0717000000000001</v>
      </c>
      <c r="BT542" s="39">
        <v>0.53</v>
      </c>
      <c r="BV542" s="40">
        <v>1071</v>
      </c>
      <c r="BW542" s="34">
        <v>1.1794</v>
      </c>
      <c r="BX542" s="41">
        <v>1.0529999999999999</v>
      </c>
      <c r="BY542" s="55"/>
    </row>
    <row r="543" spans="27:77">
      <c r="AA543" s="27"/>
      <c r="BF543" s="30">
        <v>42.2</v>
      </c>
      <c r="BG543" s="31">
        <v>0.81459999999999999</v>
      </c>
      <c r="BH543" s="32">
        <v>814.2</v>
      </c>
      <c r="BJ543" s="30">
        <v>42.2</v>
      </c>
      <c r="BK543" s="34">
        <v>3.0278999999999998</v>
      </c>
      <c r="BL543" s="35">
        <v>0.12717000000000001</v>
      </c>
      <c r="BM543" s="36"/>
      <c r="BN543" s="30">
        <v>42.2</v>
      </c>
      <c r="BO543" s="34">
        <v>3.0764999999999998</v>
      </c>
      <c r="BP543" s="35">
        <v>0.12920999999999999</v>
      </c>
      <c r="BR543" s="37">
        <v>1072</v>
      </c>
      <c r="BS543" s="38">
        <v>1.0727</v>
      </c>
      <c r="BT543" s="39">
        <v>0.41</v>
      </c>
      <c r="BV543" s="40">
        <v>1072</v>
      </c>
      <c r="BW543" s="34">
        <v>1.1805000000000001</v>
      </c>
      <c r="BX543" s="41">
        <v>1.054</v>
      </c>
      <c r="BY543" s="55"/>
    </row>
    <row r="544" spans="27:77">
      <c r="AA544" s="27"/>
      <c r="BF544" s="30">
        <v>42.3</v>
      </c>
      <c r="BG544" s="31">
        <v>0.81420000000000003</v>
      </c>
      <c r="BH544" s="32">
        <v>813.8</v>
      </c>
      <c r="BJ544" s="30">
        <v>42.3</v>
      </c>
      <c r="BK544" s="34">
        <v>3.0261</v>
      </c>
      <c r="BL544" s="35">
        <v>0.12709999999999999</v>
      </c>
      <c r="BM544" s="36"/>
      <c r="BN544" s="30">
        <v>42.3</v>
      </c>
      <c r="BO544" s="34">
        <v>3.0747</v>
      </c>
      <c r="BP544" s="35">
        <v>0.12914</v>
      </c>
      <c r="BR544" s="37">
        <v>1073</v>
      </c>
      <c r="BS544" s="38">
        <v>1.0737000000000001</v>
      </c>
      <c r="BT544" s="39">
        <v>0.28999999999999998</v>
      </c>
      <c r="BV544" s="40">
        <v>1073</v>
      </c>
      <c r="BW544" s="34">
        <v>1.1816</v>
      </c>
      <c r="BX544" s="41">
        <v>1.0549999999999999</v>
      </c>
      <c r="BY544" s="55"/>
    </row>
    <row r="545" spans="27:77">
      <c r="AA545" s="27"/>
      <c r="BF545" s="30">
        <v>42.4</v>
      </c>
      <c r="BG545" s="31">
        <v>0.81369999999999998</v>
      </c>
      <c r="BH545" s="32">
        <v>813.3</v>
      </c>
      <c r="BJ545" s="30">
        <v>42.4</v>
      </c>
      <c r="BK545" s="34">
        <v>3.0244</v>
      </c>
      <c r="BL545" s="35">
        <v>0.12701999999999999</v>
      </c>
      <c r="BM545" s="36"/>
      <c r="BN545" s="30">
        <v>42.4</v>
      </c>
      <c r="BO545" s="34">
        <v>3.0729000000000002</v>
      </c>
      <c r="BP545" s="35">
        <v>0.12906000000000001</v>
      </c>
      <c r="BR545" s="37">
        <v>1074</v>
      </c>
      <c r="BS545" s="38">
        <v>1.0747</v>
      </c>
      <c r="BT545" s="39">
        <v>0.17</v>
      </c>
      <c r="BV545" s="40">
        <v>1074</v>
      </c>
      <c r="BW545" s="34">
        <v>1.1827000000000001</v>
      </c>
      <c r="BX545" s="41">
        <v>1.056</v>
      </c>
      <c r="BY545" s="55"/>
    </row>
    <row r="546" spans="27:77">
      <c r="AA546" s="27"/>
      <c r="BF546" s="30">
        <v>42.5</v>
      </c>
      <c r="BG546" s="31">
        <v>0.81320000000000003</v>
      </c>
      <c r="BH546" s="32">
        <v>812.8</v>
      </c>
      <c r="BJ546" s="30">
        <v>42.5</v>
      </c>
      <c r="BK546" s="34">
        <v>3.0226999999999999</v>
      </c>
      <c r="BL546" s="35">
        <v>0.12695000000000001</v>
      </c>
      <c r="BM546" s="36"/>
      <c r="BN546" s="30">
        <v>42.5</v>
      </c>
      <c r="BO546" s="34">
        <v>3.0712000000000002</v>
      </c>
      <c r="BP546" s="35">
        <v>0.12898999999999999</v>
      </c>
      <c r="BR546" s="1726">
        <v>1075</v>
      </c>
      <c r="BS546" s="47">
        <v>1.0757000000000001</v>
      </c>
      <c r="BT546" s="48">
        <v>0.04</v>
      </c>
      <c r="BV546" s="1727">
        <v>1075</v>
      </c>
      <c r="BW546" s="52">
        <v>1.1838</v>
      </c>
      <c r="BX546" s="51">
        <v>1.0569999999999999</v>
      </c>
      <c r="BY546" s="55"/>
    </row>
    <row r="547" spans="27:77">
      <c r="AA547" s="27"/>
      <c r="BF547" s="30">
        <v>42.6</v>
      </c>
      <c r="BG547" s="31">
        <v>0.81279999999999997</v>
      </c>
      <c r="BH547" s="32">
        <v>812.4</v>
      </c>
      <c r="BJ547" s="30">
        <v>42.6</v>
      </c>
      <c r="BK547" s="34">
        <v>3.0209000000000001</v>
      </c>
      <c r="BL547" s="35">
        <v>0.12687999999999999</v>
      </c>
      <c r="BM547" s="36"/>
      <c r="BN547" s="30">
        <v>42.6</v>
      </c>
      <c r="BO547" s="34">
        <v>3.0693999999999999</v>
      </c>
      <c r="BP547" s="35">
        <v>0.12891</v>
      </c>
      <c r="BY547" s="55"/>
    </row>
    <row r="548" spans="27:77">
      <c r="AA548" s="27"/>
      <c r="BF548" s="30">
        <v>42.7</v>
      </c>
      <c r="BG548" s="31">
        <v>0.81230000000000002</v>
      </c>
      <c r="BH548" s="32">
        <v>811.9</v>
      </c>
      <c r="BJ548" s="30">
        <v>42.7</v>
      </c>
      <c r="BK548" s="34">
        <v>3.0192000000000001</v>
      </c>
      <c r="BL548" s="35">
        <v>0.12681000000000001</v>
      </c>
      <c r="BM548" s="36"/>
      <c r="BN548" s="30">
        <v>42.7</v>
      </c>
      <c r="BO548" s="34">
        <v>3.0676000000000001</v>
      </c>
      <c r="BP548" s="35">
        <v>0.12884000000000001</v>
      </c>
      <c r="BY548" s="55"/>
    </row>
    <row r="549" spans="27:77">
      <c r="AA549" s="27"/>
      <c r="BF549" s="30">
        <v>42.8</v>
      </c>
      <c r="BG549" s="31">
        <v>0.81179999999999997</v>
      </c>
      <c r="BH549" s="32">
        <v>811.4</v>
      </c>
      <c r="BJ549" s="30">
        <v>42.8</v>
      </c>
      <c r="BK549" s="34">
        <v>3.0173999999999999</v>
      </c>
      <c r="BL549" s="35">
        <v>0.12673000000000001</v>
      </c>
      <c r="BM549" s="36"/>
      <c r="BN549" s="30">
        <v>42.8</v>
      </c>
      <c r="BO549" s="34">
        <v>3.0659000000000001</v>
      </c>
      <c r="BP549" s="35">
        <v>0.12877</v>
      </c>
      <c r="BY549" s="55"/>
    </row>
    <row r="550" spans="27:77">
      <c r="AA550" s="27"/>
      <c r="BF550" s="30">
        <v>42.9</v>
      </c>
      <c r="BG550" s="31">
        <v>0.81140000000000001</v>
      </c>
      <c r="BH550" s="32">
        <v>811</v>
      </c>
      <c r="BJ550" s="30">
        <v>42.9</v>
      </c>
      <c r="BK550" s="34">
        <v>3.0156999999999998</v>
      </c>
      <c r="BL550" s="35">
        <v>0.12665999999999999</v>
      </c>
      <c r="BM550" s="36"/>
      <c r="BN550" s="30">
        <v>42.9</v>
      </c>
      <c r="BO550" s="34">
        <v>3.0640999999999998</v>
      </c>
      <c r="BP550" s="35">
        <v>0.12869</v>
      </c>
      <c r="BY550" s="55"/>
    </row>
    <row r="551" spans="27:77">
      <c r="AA551" s="27"/>
      <c r="BF551" s="30">
        <v>43</v>
      </c>
      <c r="BG551" s="31">
        <v>0.81089999999999995</v>
      </c>
      <c r="BH551" s="32">
        <v>810.5</v>
      </c>
      <c r="BJ551" s="30">
        <v>43</v>
      </c>
      <c r="BK551" s="34">
        <v>3.0139999999999998</v>
      </c>
      <c r="BL551" s="35">
        <v>0.12659000000000001</v>
      </c>
      <c r="BM551" s="36"/>
      <c r="BN551" s="30">
        <v>43</v>
      </c>
      <c r="BO551" s="34">
        <v>3.0623999999999998</v>
      </c>
      <c r="BP551" s="35">
        <v>0.12862000000000001</v>
      </c>
      <c r="BY551" s="55"/>
    </row>
    <row r="552" spans="27:77">
      <c r="AA552" s="27"/>
      <c r="BF552" s="30">
        <v>43.1</v>
      </c>
      <c r="BG552" s="31">
        <v>0.81040000000000001</v>
      </c>
      <c r="BH552" s="32">
        <v>810</v>
      </c>
      <c r="BJ552" s="30">
        <v>43.1</v>
      </c>
      <c r="BK552" s="34">
        <v>3.0123000000000002</v>
      </c>
      <c r="BL552" s="35">
        <v>0.12651000000000001</v>
      </c>
      <c r="BM552" s="36"/>
      <c r="BN552" s="30">
        <v>43.1</v>
      </c>
      <c r="BO552" s="34">
        <v>3.0606</v>
      </c>
      <c r="BP552" s="35">
        <v>0.12853999999999999</v>
      </c>
      <c r="BY552" s="55"/>
    </row>
    <row r="553" spans="27:77">
      <c r="AA553" s="27"/>
      <c r="BF553" s="30">
        <v>43.2</v>
      </c>
      <c r="BG553" s="31">
        <v>0.81</v>
      </c>
      <c r="BH553" s="32">
        <v>809.6</v>
      </c>
      <c r="BJ553" s="30">
        <v>43.2</v>
      </c>
      <c r="BK553" s="34">
        <v>3.0105</v>
      </c>
      <c r="BL553" s="35">
        <v>0.12644</v>
      </c>
      <c r="BM553" s="36"/>
      <c r="BN553" s="30">
        <v>43.2</v>
      </c>
      <c r="BO553" s="34">
        <v>3.0588000000000002</v>
      </c>
      <c r="BP553" s="35">
        <v>0.12847</v>
      </c>
      <c r="BY553" s="55"/>
    </row>
    <row r="554" spans="27:77">
      <c r="AA554" s="27"/>
      <c r="BF554" s="30">
        <v>43.3</v>
      </c>
      <c r="BG554" s="31">
        <v>0.8095</v>
      </c>
      <c r="BH554" s="32">
        <v>809.1</v>
      </c>
      <c r="BJ554" s="30">
        <v>43.3</v>
      </c>
      <c r="BK554" s="34">
        <v>3.0087999999999999</v>
      </c>
      <c r="BL554" s="35">
        <v>0.12637000000000001</v>
      </c>
      <c r="BM554" s="36"/>
      <c r="BN554" s="30">
        <v>43.3</v>
      </c>
      <c r="BO554" s="34">
        <v>3.0571000000000002</v>
      </c>
      <c r="BP554" s="35">
        <v>0.12839999999999999</v>
      </c>
      <c r="BY554" s="55"/>
    </row>
    <row r="555" spans="27:77">
      <c r="AA555" s="27"/>
      <c r="BF555" s="30">
        <v>43.4</v>
      </c>
      <c r="BG555" s="31">
        <v>0.80900000000000005</v>
      </c>
      <c r="BH555" s="32">
        <v>808.6</v>
      </c>
      <c r="BJ555" s="30">
        <v>43.4</v>
      </c>
      <c r="BK555" s="34">
        <v>3.0070999999999999</v>
      </c>
      <c r="BL555" s="35">
        <v>0.1263</v>
      </c>
      <c r="BM555" s="36"/>
      <c r="BN555" s="30">
        <v>43.4</v>
      </c>
      <c r="BO555" s="34">
        <v>3.0552999999999999</v>
      </c>
      <c r="BP555" s="35">
        <v>0.12831999999999999</v>
      </c>
      <c r="BY555" s="55"/>
    </row>
    <row r="556" spans="27:77">
      <c r="AA556" s="27"/>
      <c r="BF556" s="30">
        <v>43.5</v>
      </c>
      <c r="BG556" s="31">
        <v>0.80859999999999999</v>
      </c>
      <c r="BH556" s="32">
        <v>808.2</v>
      </c>
      <c r="BJ556" s="30">
        <v>43.5</v>
      </c>
      <c r="BK556" s="34">
        <v>3.0053999999999998</v>
      </c>
      <c r="BL556" s="35">
        <v>0.12623000000000001</v>
      </c>
      <c r="BM556" s="36"/>
      <c r="BN556" s="30">
        <v>43.5</v>
      </c>
      <c r="BO556" s="34">
        <v>3.0535999999999999</v>
      </c>
      <c r="BP556" s="35">
        <v>0.12825</v>
      </c>
      <c r="BY556" s="55"/>
    </row>
    <row r="557" spans="27:77">
      <c r="AA557" s="27"/>
      <c r="BF557" s="30">
        <v>43.6</v>
      </c>
      <c r="BG557" s="31">
        <v>0.80810000000000004</v>
      </c>
      <c r="BH557" s="32">
        <v>807.7</v>
      </c>
      <c r="BJ557" s="30">
        <v>43.6</v>
      </c>
      <c r="BK557" s="34">
        <v>3.0036</v>
      </c>
      <c r="BL557" s="35">
        <v>0.12615000000000001</v>
      </c>
      <c r="BM557" s="36"/>
      <c r="BN557" s="30">
        <v>43.6</v>
      </c>
      <c r="BO557" s="34">
        <v>3.0518000000000001</v>
      </c>
      <c r="BP557" s="35">
        <v>0.12817999999999999</v>
      </c>
      <c r="BY557" s="55"/>
    </row>
    <row r="558" spans="27:77">
      <c r="AA558" s="27"/>
      <c r="BF558" s="30">
        <v>43.7</v>
      </c>
      <c r="BG558" s="31">
        <v>0.80759999999999998</v>
      </c>
      <c r="BH558" s="32">
        <v>807.3</v>
      </c>
      <c r="BJ558" s="30">
        <v>43.7</v>
      </c>
      <c r="BK558" s="34">
        <v>3.0019</v>
      </c>
      <c r="BL558" s="35">
        <v>0.12608</v>
      </c>
      <c r="BM558" s="36"/>
      <c r="BN558" s="30">
        <v>43.7</v>
      </c>
      <c r="BO558" s="34">
        <v>3.0501</v>
      </c>
      <c r="BP558" s="35">
        <v>0.12809999999999999</v>
      </c>
      <c r="BY558" s="55"/>
    </row>
    <row r="559" spans="27:77">
      <c r="AA559" s="27"/>
      <c r="BF559" s="30">
        <v>43.8</v>
      </c>
      <c r="BG559" s="31">
        <v>0.80720000000000003</v>
      </c>
      <c r="BH559" s="32">
        <v>806.8</v>
      </c>
      <c r="BJ559" s="30">
        <v>43.8</v>
      </c>
      <c r="BK559" s="34">
        <v>3.0002</v>
      </c>
      <c r="BL559" s="35">
        <v>0.12601000000000001</v>
      </c>
      <c r="BM559" s="36"/>
      <c r="BN559" s="30">
        <v>43.8</v>
      </c>
      <c r="BO559" s="34">
        <v>3.0484</v>
      </c>
      <c r="BP559" s="35">
        <v>0.12803</v>
      </c>
      <c r="BY559" s="55"/>
    </row>
    <row r="560" spans="27:77">
      <c r="AA560" s="27"/>
      <c r="BF560" s="30">
        <v>43.9</v>
      </c>
      <c r="BG560" s="31">
        <v>0.80669999999999997</v>
      </c>
      <c r="BH560" s="32">
        <v>806.3</v>
      </c>
      <c r="BJ560" s="30">
        <v>43.9</v>
      </c>
      <c r="BK560" s="34">
        <v>2.9984999999999999</v>
      </c>
      <c r="BL560" s="35">
        <v>0.12594</v>
      </c>
      <c r="BM560" s="36"/>
      <c r="BN560" s="30">
        <v>43.9</v>
      </c>
      <c r="BO560" s="34">
        <v>3.0466000000000002</v>
      </c>
      <c r="BP560" s="35">
        <v>0.12795999999999999</v>
      </c>
      <c r="BY560" s="55"/>
    </row>
    <row r="561" spans="27:77">
      <c r="AA561" s="27"/>
      <c r="BF561" s="30">
        <v>44</v>
      </c>
      <c r="BG561" s="31">
        <v>0.80630000000000002</v>
      </c>
      <c r="BH561" s="32">
        <v>805.9</v>
      </c>
      <c r="BJ561" s="30">
        <v>44</v>
      </c>
      <c r="BK561" s="34">
        <v>2.9967999999999999</v>
      </c>
      <c r="BL561" s="35">
        <v>0.12586</v>
      </c>
      <c r="BM561" s="36"/>
      <c r="BN561" s="30">
        <v>44</v>
      </c>
      <c r="BO561" s="34">
        <v>3.0449000000000002</v>
      </c>
      <c r="BP561" s="35">
        <v>0.12787999999999999</v>
      </c>
      <c r="BY561" s="55"/>
    </row>
    <row r="562" spans="27:77">
      <c r="AA562" s="27"/>
      <c r="BF562" s="30">
        <v>44.1</v>
      </c>
      <c r="BG562" s="31">
        <v>0.80579999999999996</v>
      </c>
      <c r="BH562" s="32">
        <v>805.4</v>
      </c>
      <c r="BJ562" s="30">
        <v>44.1</v>
      </c>
      <c r="BK562" s="34">
        <v>2.9950999999999999</v>
      </c>
      <c r="BL562" s="35">
        <v>0.12579000000000001</v>
      </c>
      <c r="BM562" s="36"/>
      <c r="BN562" s="30">
        <v>44.1</v>
      </c>
      <c r="BO562" s="34">
        <v>3.0430999999999999</v>
      </c>
      <c r="BP562" s="35">
        <v>0.12781000000000001</v>
      </c>
      <c r="BY562" s="55"/>
    </row>
    <row r="563" spans="27:77">
      <c r="AA563" s="27"/>
      <c r="BF563" s="30">
        <v>44.2</v>
      </c>
      <c r="BG563" s="31">
        <v>0.8054</v>
      </c>
      <c r="BH563" s="32">
        <v>805</v>
      </c>
      <c r="BJ563" s="30">
        <v>44.2</v>
      </c>
      <c r="BK563" s="34">
        <v>2.9933999999999998</v>
      </c>
      <c r="BL563" s="35">
        <v>0.12572</v>
      </c>
      <c r="BM563" s="36"/>
      <c r="BN563" s="30">
        <v>44.2</v>
      </c>
      <c r="BO563" s="34">
        <v>3.0413999999999999</v>
      </c>
      <c r="BP563" s="35">
        <v>0.12773999999999999</v>
      </c>
      <c r="BY563" s="55"/>
    </row>
    <row r="564" spans="27:77">
      <c r="AA564" s="27"/>
      <c r="BF564" s="30">
        <v>44.3</v>
      </c>
      <c r="BG564" s="31">
        <v>0.80489999999999995</v>
      </c>
      <c r="BH564" s="32">
        <v>804.5</v>
      </c>
      <c r="BJ564" s="30">
        <v>44.3</v>
      </c>
      <c r="BK564" s="34">
        <v>2.9916999999999998</v>
      </c>
      <c r="BL564" s="35">
        <v>0.12565000000000001</v>
      </c>
      <c r="BM564" s="36"/>
      <c r="BN564" s="30">
        <v>44.3</v>
      </c>
      <c r="BO564" s="34">
        <v>3.0396999999999998</v>
      </c>
      <c r="BP564" s="35">
        <v>0.12767000000000001</v>
      </c>
      <c r="BY564" s="55"/>
    </row>
    <row r="565" spans="27:77">
      <c r="AA565" s="27"/>
      <c r="BF565" s="30">
        <v>44.4</v>
      </c>
      <c r="BG565" s="31">
        <v>0.8044</v>
      </c>
      <c r="BH565" s="32">
        <v>804.1</v>
      </c>
      <c r="BJ565" s="30">
        <v>44.4</v>
      </c>
      <c r="BK565" s="34">
        <v>2.99</v>
      </c>
      <c r="BL565" s="35">
        <v>0.12558</v>
      </c>
      <c r="BM565" s="36"/>
      <c r="BN565" s="30">
        <v>44.4</v>
      </c>
      <c r="BO565" s="34">
        <v>3.0379</v>
      </c>
      <c r="BP565" s="35">
        <v>0.12759000000000001</v>
      </c>
      <c r="BY565" s="55"/>
    </row>
    <row r="566" spans="27:77">
      <c r="AA566" s="27"/>
      <c r="BF566" s="30">
        <v>44.5</v>
      </c>
      <c r="BG566" s="31">
        <v>0.80400000000000005</v>
      </c>
      <c r="BH566" s="32">
        <v>803.6</v>
      </c>
      <c r="BJ566" s="30">
        <v>44.5</v>
      </c>
      <c r="BK566" s="34">
        <v>2.9883000000000002</v>
      </c>
      <c r="BL566" s="35">
        <v>0.12551000000000001</v>
      </c>
      <c r="BM566" s="36"/>
      <c r="BN566" s="30">
        <v>44.5</v>
      </c>
      <c r="BO566" s="34">
        <v>3.0362</v>
      </c>
      <c r="BP566" s="35">
        <v>0.12751999999999999</v>
      </c>
      <c r="BY566" s="55"/>
    </row>
    <row r="567" spans="27:77">
      <c r="AA567" s="27"/>
      <c r="BF567" s="30">
        <v>44.6</v>
      </c>
      <c r="BG567" s="31">
        <v>0.80349999999999999</v>
      </c>
      <c r="BH567" s="32">
        <v>803.1</v>
      </c>
      <c r="BJ567" s="30">
        <v>44.6</v>
      </c>
      <c r="BK567" s="34">
        <v>2.9866000000000001</v>
      </c>
      <c r="BL567" s="35">
        <v>0.12544</v>
      </c>
      <c r="BM567" s="36"/>
      <c r="BN567" s="30">
        <v>44.6</v>
      </c>
      <c r="BO567" s="34">
        <v>3.0345</v>
      </c>
      <c r="BP567" s="35">
        <v>0.12745000000000001</v>
      </c>
      <c r="BY567" s="55"/>
    </row>
    <row r="568" spans="27:77">
      <c r="AA568" s="27"/>
      <c r="BF568" s="30">
        <v>44.7</v>
      </c>
      <c r="BG568" s="31">
        <v>0.80310000000000004</v>
      </c>
      <c r="BH568" s="32">
        <v>802.7</v>
      </c>
      <c r="BJ568" s="30">
        <v>44.7</v>
      </c>
      <c r="BK568" s="34">
        <v>2.9849000000000001</v>
      </c>
      <c r="BL568" s="35">
        <v>0.12536</v>
      </c>
      <c r="BM568" s="36"/>
      <c r="BN568" s="30">
        <v>44.7</v>
      </c>
      <c r="BO568" s="34">
        <v>3.0327999999999999</v>
      </c>
      <c r="BP568" s="35">
        <v>0.12737999999999999</v>
      </c>
      <c r="BY568" s="55"/>
    </row>
    <row r="569" spans="27:77">
      <c r="AA569" s="27"/>
      <c r="BF569" s="30">
        <v>44.8</v>
      </c>
      <c r="BG569" s="31">
        <v>0.80259999999999998</v>
      </c>
      <c r="BH569" s="32">
        <v>802.2</v>
      </c>
      <c r="BJ569" s="30">
        <v>44.8</v>
      </c>
      <c r="BK569" s="34">
        <v>2.9832000000000001</v>
      </c>
      <c r="BL569" s="35">
        <v>0.12529000000000001</v>
      </c>
      <c r="BM569" s="36"/>
      <c r="BN569" s="30">
        <v>44.8</v>
      </c>
      <c r="BO569" s="34">
        <v>3.0310000000000001</v>
      </c>
      <c r="BP569" s="35">
        <v>0.1273</v>
      </c>
      <c r="BY569" s="55"/>
    </row>
    <row r="570" spans="27:77">
      <c r="AA570" s="27"/>
      <c r="BF570" s="30">
        <v>44.9</v>
      </c>
      <c r="BG570" s="31">
        <v>0.80220000000000002</v>
      </c>
      <c r="BH570" s="32">
        <v>801.8</v>
      </c>
      <c r="BJ570" s="30">
        <v>44.9</v>
      </c>
      <c r="BK570" s="34">
        <v>2.9815</v>
      </c>
      <c r="BL570" s="35">
        <v>0.12522</v>
      </c>
      <c r="BM570" s="36"/>
      <c r="BN570" s="30">
        <v>44.9</v>
      </c>
      <c r="BO570" s="34">
        <v>3.0293000000000001</v>
      </c>
      <c r="BP570" s="35">
        <v>0.12723000000000001</v>
      </c>
      <c r="BY570" s="55"/>
    </row>
    <row r="571" spans="27:77">
      <c r="AA571" s="27"/>
      <c r="BF571" s="30">
        <v>45</v>
      </c>
      <c r="BG571" s="31">
        <v>0.80169999999999997</v>
      </c>
      <c r="BH571" s="32">
        <v>801.3</v>
      </c>
      <c r="BJ571" s="30">
        <v>45</v>
      </c>
      <c r="BK571" s="34">
        <v>2.9798</v>
      </c>
      <c r="BL571" s="35">
        <v>0.12515000000000001</v>
      </c>
      <c r="BM571" s="36"/>
      <c r="BN571" s="30">
        <v>45</v>
      </c>
      <c r="BO571" s="34">
        <v>3.0276000000000001</v>
      </c>
      <c r="BP571" s="35">
        <v>0.12716</v>
      </c>
      <c r="BY571" s="55"/>
    </row>
    <row r="572" spans="27:77">
      <c r="AA572" s="27"/>
      <c r="BF572" s="30">
        <v>45.1</v>
      </c>
      <c r="BG572" s="31">
        <v>0.80120000000000002</v>
      </c>
      <c r="BH572" s="32">
        <v>800.9</v>
      </c>
      <c r="BJ572" s="30">
        <v>45.1</v>
      </c>
      <c r="BK572" s="34">
        <v>2.9781</v>
      </c>
      <c r="BL572" s="35">
        <v>0.12508</v>
      </c>
      <c r="BM572" s="36"/>
      <c r="BN572" s="30">
        <v>45.1</v>
      </c>
      <c r="BO572" s="34">
        <v>3.0259</v>
      </c>
      <c r="BP572" s="35">
        <v>0.12709000000000001</v>
      </c>
      <c r="BY572" s="55"/>
    </row>
    <row r="573" spans="27:77">
      <c r="AA573" s="27"/>
      <c r="BF573" s="30">
        <v>45.2</v>
      </c>
      <c r="BG573" s="31">
        <v>0.80079999999999996</v>
      </c>
      <c r="BH573" s="32">
        <v>800.4</v>
      </c>
      <c r="BJ573" s="30">
        <v>45.2</v>
      </c>
      <c r="BK573" s="34">
        <v>2.9763999999999999</v>
      </c>
      <c r="BL573" s="35">
        <v>0.12501000000000001</v>
      </c>
      <c r="BM573" s="36"/>
      <c r="BN573" s="30">
        <v>45.2</v>
      </c>
      <c r="BO573" s="34">
        <v>3.0242</v>
      </c>
      <c r="BP573" s="35">
        <v>0.12701000000000001</v>
      </c>
      <c r="BY573" s="55"/>
    </row>
    <row r="574" spans="27:77">
      <c r="AA574" s="27"/>
      <c r="BF574" s="30">
        <v>45.3</v>
      </c>
      <c r="BG574" s="31">
        <v>0.80030000000000001</v>
      </c>
      <c r="BH574" s="32">
        <v>800</v>
      </c>
      <c r="BJ574" s="30">
        <v>45.3</v>
      </c>
      <c r="BK574" s="34">
        <v>2.9746999999999999</v>
      </c>
      <c r="BL574" s="35">
        <v>0.12494</v>
      </c>
      <c r="BM574" s="36"/>
      <c r="BN574" s="30">
        <v>45.3</v>
      </c>
      <c r="BO574" s="34">
        <v>3.0225</v>
      </c>
      <c r="BP574" s="35">
        <v>0.12694</v>
      </c>
      <c r="BY574" s="55"/>
    </row>
    <row r="575" spans="27:77">
      <c r="AA575" s="27"/>
      <c r="BF575" s="30">
        <v>45.4</v>
      </c>
      <c r="BG575" s="31">
        <v>0.79990000000000006</v>
      </c>
      <c r="BH575" s="32">
        <v>799.5</v>
      </c>
      <c r="BJ575" s="30">
        <v>45.4</v>
      </c>
      <c r="BK575" s="34">
        <v>2.9729999999999999</v>
      </c>
      <c r="BL575" s="35">
        <v>0.12486999999999999</v>
      </c>
      <c r="BM575" s="36"/>
      <c r="BN575" s="30">
        <v>45.4</v>
      </c>
      <c r="BO575" s="34">
        <v>3.0207000000000002</v>
      </c>
      <c r="BP575" s="35">
        <v>0.12687000000000001</v>
      </c>
      <c r="BY575" s="55"/>
    </row>
    <row r="576" spans="27:77">
      <c r="AA576" s="27"/>
      <c r="BF576" s="30">
        <v>45.5</v>
      </c>
      <c r="BG576" s="31">
        <v>0.7994</v>
      </c>
      <c r="BH576" s="32">
        <v>799.1</v>
      </c>
      <c r="BJ576" s="30">
        <v>45.5</v>
      </c>
      <c r="BK576" s="34">
        <v>2.9714</v>
      </c>
      <c r="BL576" s="35">
        <v>0.12479999999999999</v>
      </c>
      <c r="BM576" s="36"/>
      <c r="BN576" s="30">
        <v>45.5</v>
      </c>
      <c r="BO576" s="34">
        <v>3.0190000000000001</v>
      </c>
      <c r="BP576" s="35">
        <v>0.1268</v>
      </c>
      <c r="BY576" s="55"/>
    </row>
    <row r="577" spans="27:77">
      <c r="AA577" s="27"/>
      <c r="BF577" s="30">
        <v>45.6</v>
      </c>
      <c r="BG577" s="31">
        <v>0.79900000000000004</v>
      </c>
      <c r="BH577" s="32">
        <v>798.6</v>
      </c>
      <c r="BJ577" s="30">
        <v>45.6</v>
      </c>
      <c r="BK577" s="34">
        <v>2.9697</v>
      </c>
      <c r="BL577" s="35">
        <v>0.12472999999999999</v>
      </c>
      <c r="BM577" s="36"/>
      <c r="BN577" s="30">
        <v>45.6</v>
      </c>
      <c r="BO577" s="34">
        <v>3.0173000000000001</v>
      </c>
      <c r="BP577" s="35">
        <v>0.12673000000000001</v>
      </c>
      <c r="BY577" s="55"/>
    </row>
    <row r="578" spans="27:77">
      <c r="AA578" s="27"/>
      <c r="BF578" s="30">
        <v>45.7</v>
      </c>
      <c r="BG578" s="31">
        <v>0.79849999999999999</v>
      </c>
      <c r="BH578" s="32">
        <v>798.2</v>
      </c>
      <c r="BJ578" s="30">
        <v>45.7</v>
      </c>
      <c r="BK578" s="34">
        <v>2.968</v>
      </c>
      <c r="BL578" s="35">
        <v>0.12466000000000001</v>
      </c>
      <c r="BM578" s="36"/>
      <c r="BN578" s="30">
        <v>45.7</v>
      </c>
      <c r="BO578" s="34">
        <v>3.0156000000000001</v>
      </c>
      <c r="BP578" s="35">
        <v>0.12665999999999999</v>
      </c>
      <c r="BY578" s="55"/>
    </row>
    <row r="579" spans="27:77">
      <c r="AA579" s="27"/>
      <c r="BF579" s="30">
        <v>45.8</v>
      </c>
      <c r="BG579" s="31">
        <v>0.79810000000000003</v>
      </c>
      <c r="BH579" s="32">
        <v>797.7</v>
      </c>
      <c r="BJ579" s="30">
        <v>45.8</v>
      </c>
      <c r="BK579" s="34">
        <v>2.9662999999999999</v>
      </c>
      <c r="BL579" s="35">
        <v>0.12459000000000001</v>
      </c>
      <c r="BM579" s="36"/>
      <c r="BN579" s="30">
        <v>45.8</v>
      </c>
      <c r="BO579" s="34">
        <v>3.0139</v>
      </c>
      <c r="BP579" s="35">
        <v>0.12658</v>
      </c>
      <c r="BY579" s="55"/>
    </row>
    <row r="580" spans="27:77">
      <c r="AA580" s="27"/>
      <c r="BF580" s="30">
        <v>45.9</v>
      </c>
      <c r="BG580" s="31">
        <v>0.79759999999999998</v>
      </c>
      <c r="BH580" s="32">
        <v>797.3</v>
      </c>
      <c r="BJ580" s="30">
        <v>45.9</v>
      </c>
      <c r="BK580" s="34">
        <v>2.9645999999999999</v>
      </c>
      <c r="BL580" s="35">
        <v>0.12451</v>
      </c>
      <c r="BM580" s="36"/>
      <c r="BN580" s="30">
        <v>45.9</v>
      </c>
      <c r="BO580" s="34">
        <v>3.0122</v>
      </c>
      <c r="BP580" s="35">
        <v>0.12651000000000001</v>
      </c>
      <c r="BY580" s="55"/>
    </row>
    <row r="581" spans="27:77">
      <c r="AA581" s="27"/>
      <c r="BF581" s="30">
        <v>46</v>
      </c>
      <c r="BG581" s="31">
        <v>0.79720000000000002</v>
      </c>
      <c r="BH581" s="32">
        <v>796.8</v>
      </c>
      <c r="BJ581" s="30">
        <v>46</v>
      </c>
      <c r="BK581" s="34">
        <v>2.9630000000000001</v>
      </c>
      <c r="BL581" s="35">
        <v>0.12444</v>
      </c>
      <c r="BM581" s="36"/>
      <c r="BN581" s="30">
        <v>46</v>
      </c>
      <c r="BO581" s="34">
        <v>3.0105</v>
      </c>
      <c r="BP581" s="35">
        <v>0.12644</v>
      </c>
      <c r="BY581" s="55"/>
    </row>
    <row r="582" spans="27:77">
      <c r="AA582" s="27"/>
      <c r="BF582" s="30">
        <v>46.1</v>
      </c>
      <c r="BG582" s="31">
        <v>0.79669999999999996</v>
      </c>
      <c r="BH582" s="32">
        <v>796.4</v>
      </c>
      <c r="BJ582" s="30">
        <v>46.1</v>
      </c>
      <c r="BK582" s="34">
        <v>2.9613</v>
      </c>
      <c r="BL582" s="35">
        <v>0.12436999999999999</v>
      </c>
      <c r="BM582" s="36"/>
      <c r="BN582" s="30">
        <v>46.1</v>
      </c>
      <c r="BO582" s="34">
        <v>3.0087999999999999</v>
      </c>
      <c r="BP582" s="35">
        <v>0.12637000000000001</v>
      </c>
      <c r="BY582" s="55"/>
    </row>
    <row r="583" spans="27:77">
      <c r="AA583" s="27"/>
      <c r="BF583" s="30">
        <v>46.2</v>
      </c>
      <c r="BG583" s="31">
        <v>0.79630000000000001</v>
      </c>
      <c r="BH583" s="32">
        <v>795.9</v>
      </c>
      <c r="BJ583" s="30">
        <v>46.2</v>
      </c>
      <c r="BK583" s="34">
        <v>2.9596</v>
      </c>
      <c r="BL583" s="35">
        <v>0.12429999999999999</v>
      </c>
      <c r="BM583" s="36"/>
      <c r="BN583" s="30">
        <v>46.2</v>
      </c>
      <c r="BO583" s="34">
        <v>3.0070999999999999</v>
      </c>
      <c r="BP583" s="35">
        <v>0.1263</v>
      </c>
      <c r="BY583" s="55"/>
    </row>
    <row r="584" spans="27:77">
      <c r="AA584" s="27"/>
      <c r="BF584" s="30">
        <v>46.3</v>
      </c>
      <c r="BG584" s="31">
        <v>0.79579999999999995</v>
      </c>
      <c r="BH584" s="32">
        <v>795.5</v>
      </c>
      <c r="BJ584" s="30">
        <v>46.3</v>
      </c>
      <c r="BK584" s="34">
        <v>2.9580000000000002</v>
      </c>
      <c r="BL584" s="35">
        <v>0.12422999999999999</v>
      </c>
      <c r="BM584" s="36"/>
      <c r="BN584" s="30">
        <v>46.3</v>
      </c>
      <c r="BO584" s="34">
        <v>3.0053999999999998</v>
      </c>
      <c r="BP584" s="35">
        <v>0.12623000000000001</v>
      </c>
      <c r="BY584" s="55"/>
    </row>
    <row r="585" spans="27:77">
      <c r="AA585" s="27"/>
      <c r="BF585" s="30">
        <v>46.4</v>
      </c>
      <c r="BG585" s="31">
        <v>0.7954</v>
      </c>
      <c r="BH585" s="32">
        <v>795</v>
      </c>
      <c r="BJ585" s="30">
        <v>46.4</v>
      </c>
      <c r="BK585" s="34">
        <v>2.9563000000000001</v>
      </c>
      <c r="BL585" s="35">
        <v>0.12416000000000001</v>
      </c>
      <c r="BM585" s="36"/>
      <c r="BN585" s="30">
        <v>46.4</v>
      </c>
      <c r="BO585" s="34">
        <v>3.0036999999999998</v>
      </c>
      <c r="BP585" s="35">
        <v>0.12615999999999999</v>
      </c>
      <c r="BY585" s="55"/>
    </row>
    <row r="586" spans="27:77">
      <c r="AA586" s="27"/>
      <c r="BF586" s="30">
        <v>46.5</v>
      </c>
      <c r="BG586" s="31">
        <v>0.79490000000000005</v>
      </c>
      <c r="BH586" s="32">
        <v>794.6</v>
      </c>
      <c r="BJ586" s="30">
        <v>46.5</v>
      </c>
      <c r="BK586" s="34">
        <v>2.9546000000000001</v>
      </c>
      <c r="BL586" s="35">
        <v>0.12409000000000001</v>
      </c>
      <c r="BM586" s="36"/>
      <c r="BN586" s="30">
        <v>46.5</v>
      </c>
      <c r="BO586" s="34">
        <v>3.0019999999999998</v>
      </c>
      <c r="BP586" s="35">
        <v>0.12609000000000001</v>
      </c>
      <c r="BY586" s="55"/>
    </row>
    <row r="587" spans="27:77">
      <c r="AA587" s="27"/>
      <c r="BF587" s="30">
        <v>46.6</v>
      </c>
      <c r="BG587" s="31">
        <v>0.79449999999999998</v>
      </c>
      <c r="BH587" s="32">
        <v>794.1</v>
      </c>
      <c r="BJ587" s="30">
        <v>46.6</v>
      </c>
      <c r="BK587" s="34">
        <v>2.9529999999999998</v>
      </c>
      <c r="BL587" s="35">
        <v>0.12402000000000001</v>
      </c>
      <c r="BM587" s="36"/>
      <c r="BN587" s="30">
        <v>46.6</v>
      </c>
      <c r="BO587" s="34">
        <v>3.0004</v>
      </c>
      <c r="BP587" s="35">
        <v>0.12601000000000001</v>
      </c>
      <c r="BY587" s="55"/>
    </row>
    <row r="588" spans="27:77">
      <c r="AA588" s="27"/>
      <c r="BF588" s="30">
        <v>46.7</v>
      </c>
      <c r="BG588" s="31">
        <v>0.79410000000000003</v>
      </c>
      <c r="BH588" s="32">
        <v>793.7</v>
      </c>
      <c r="BJ588" s="30">
        <v>46.7</v>
      </c>
      <c r="BK588" s="34">
        <v>2.9512999999999998</v>
      </c>
      <c r="BL588" s="35">
        <v>0.12396</v>
      </c>
      <c r="BM588" s="36"/>
      <c r="BN588" s="30">
        <v>46.7</v>
      </c>
      <c r="BO588" s="34">
        <v>2.9986999999999999</v>
      </c>
      <c r="BP588" s="35">
        <v>0.12594</v>
      </c>
      <c r="BY588" s="55"/>
    </row>
    <row r="589" spans="27:77">
      <c r="AA589" s="27"/>
      <c r="BF589" s="30">
        <v>46.8</v>
      </c>
      <c r="BG589" s="31">
        <v>0.79359999999999997</v>
      </c>
      <c r="BH589" s="32">
        <v>793.2</v>
      </c>
      <c r="BJ589" s="30">
        <v>46.8</v>
      </c>
      <c r="BK589" s="34">
        <v>2.9497</v>
      </c>
      <c r="BL589" s="35">
        <v>0.12389</v>
      </c>
      <c r="BM589" s="36"/>
      <c r="BN589" s="30">
        <v>46.8</v>
      </c>
      <c r="BO589" s="34">
        <v>2.9969999999999999</v>
      </c>
      <c r="BP589" s="35">
        <v>0.12587000000000001</v>
      </c>
      <c r="BY589" s="55"/>
    </row>
    <row r="590" spans="27:77">
      <c r="AA590" s="27"/>
      <c r="BF590" s="30">
        <v>46.9</v>
      </c>
      <c r="BG590" s="31">
        <v>0.79320000000000002</v>
      </c>
      <c r="BH590" s="32">
        <v>792.8</v>
      </c>
      <c r="BJ590" s="30">
        <v>46.9</v>
      </c>
      <c r="BK590" s="34">
        <v>2.948</v>
      </c>
      <c r="BL590" s="35">
        <v>0.12382</v>
      </c>
      <c r="BM590" s="36"/>
      <c r="BN590" s="30">
        <v>46.9</v>
      </c>
      <c r="BO590" s="34">
        <v>2.9952999999999999</v>
      </c>
      <c r="BP590" s="35">
        <v>0.1258</v>
      </c>
      <c r="BY590" s="55"/>
    </row>
    <row r="591" spans="27:77">
      <c r="AA591" s="27"/>
      <c r="BF591" s="30">
        <v>47</v>
      </c>
      <c r="BG591" s="31">
        <v>0.79269999999999996</v>
      </c>
      <c r="BH591" s="32">
        <v>792.4</v>
      </c>
      <c r="BJ591" s="30">
        <v>47</v>
      </c>
      <c r="BK591" s="34">
        <v>2.9462999999999999</v>
      </c>
      <c r="BL591" s="35">
        <v>0.12375</v>
      </c>
      <c r="BM591" s="36"/>
      <c r="BN591" s="30">
        <v>47</v>
      </c>
      <c r="BO591" s="34">
        <v>2.9935999999999998</v>
      </c>
      <c r="BP591" s="35">
        <v>0.12573000000000001</v>
      </c>
      <c r="BY591" s="55"/>
    </row>
    <row r="592" spans="27:77">
      <c r="AA592" s="27"/>
      <c r="BF592" s="30">
        <v>47.1</v>
      </c>
      <c r="BG592" s="31">
        <v>0.7923</v>
      </c>
      <c r="BH592" s="32">
        <v>791.9</v>
      </c>
      <c r="BJ592" s="30">
        <v>47.1</v>
      </c>
      <c r="BK592" s="34">
        <v>2.9447000000000001</v>
      </c>
      <c r="BL592" s="35">
        <v>0.12368</v>
      </c>
      <c r="BM592" s="36"/>
      <c r="BN592" s="30">
        <v>47.1</v>
      </c>
      <c r="BO592" s="34">
        <v>2.9918999999999998</v>
      </c>
      <c r="BP592" s="35">
        <v>0.12565999999999999</v>
      </c>
      <c r="BY592" s="55"/>
    </row>
    <row r="593" spans="27:77">
      <c r="AA593" s="27"/>
      <c r="BF593" s="30">
        <v>47.2</v>
      </c>
      <c r="BG593" s="31">
        <v>0.79179999999999995</v>
      </c>
      <c r="BH593" s="32">
        <v>791.5</v>
      </c>
      <c r="BJ593" s="30">
        <v>47.2</v>
      </c>
      <c r="BK593" s="34">
        <v>2.9430000000000001</v>
      </c>
      <c r="BL593" s="35">
        <v>0.12361</v>
      </c>
      <c r="BM593" s="36"/>
      <c r="BN593" s="30">
        <v>47.2</v>
      </c>
      <c r="BO593" s="34">
        <v>2.9903</v>
      </c>
      <c r="BP593" s="35">
        <v>0.12559000000000001</v>
      </c>
      <c r="BY593" s="55"/>
    </row>
    <row r="594" spans="27:77">
      <c r="AA594" s="27"/>
      <c r="BF594" s="30">
        <v>47.3</v>
      </c>
      <c r="BG594" s="31">
        <v>0.79139999999999999</v>
      </c>
      <c r="BH594" s="32">
        <v>791</v>
      </c>
      <c r="BJ594" s="30">
        <v>47.3</v>
      </c>
      <c r="BK594" s="34">
        <v>2.9413999999999998</v>
      </c>
      <c r="BL594" s="35">
        <v>0.12354</v>
      </c>
      <c r="BM594" s="36"/>
      <c r="BN594" s="30">
        <v>47.3</v>
      </c>
      <c r="BO594" s="34">
        <v>2.9885999999999999</v>
      </c>
      <c r="BP594" s="35">
        <v>0.12551999999999999</v>
      </c>
      <c r="BY594" s="55"/>
    </row>
    <row r="595" spans="27:77">
      <c r="AA595" s="27"/>
      <c r="BF595" s="30">
        <v>47.4</v>
      </c>
      <c r="BG595" s="31">
        <v>0.79090000000000005</v>
      </c>
      <c r="BH595" s="32">
        <v>790.6</v>
      </c>
      <c r="BJ595" s="30">
        <v>47.4</v>
      </c>
      <c r="BK595" s="34">
        <v>2.9397000000000002</v>
      </c>
      <c r="BL595" s="35">
        <v>0.12347</v>
      </c>
      <c r="BM595" s="36"/>
      <c r="BN595" s="30">
        <v>47.4</v>
      </c>
      <c r="BO595" s="34">
        <v>2.9868999999999999</v>
      </c>
      <c r="BP595" s="35">
        <v>0.12545000000000001</v>
      </c>
      <c r="BY595" s="55"/>
    </row>
    <row r="596" spans="27:77">
      <c r="AA596" s="27"/>
      <c r="BF596" s="30">
        <v>47.5</v>
      </c>
      <c r="BG596" s="31">
        <v>0.79049999999999998</v>
      </c>
      <c r="BH596" s="32">
        <v>790.1</v>
      </c>
      <c r="BJ596" s="30">
        <v>47.5</v>
      </c>
      <c r="BK596" s="34">
        <v>2.9380999999999999</v>
      </c>
      <c r="BL596" s="35">
        <v>0.1234</v>
      </c>
      <c r="BM596" s="36"/>
      <c r="BN596" s="30">
        <v>47.5</v>
      </c>
      <c r="BO596" s="34">
        <v>2.9851999999999999</v>
      </c>
      <c r="BP596" s="35">
        <v>0.12537999999999999</v>
      </c>
      <c r="BY596" s="55"/>
    </row>
    <row r="597" spans="27:77">
      <c r="AA597" s="27"/>
      <c r="BF597" s="30">
        <v>47.6</v>
      </c>
      <c r="BG597" s="31">
        <v>0.79010000000000002</v>
      </c>
      <c r="BH597" s="32">
        <v>789.7</v>
      </c>
      <c r="BJ597" s="30">
        <v>47.6</v>
      </c>
      <c r="BK597" s="34">
        <v>2.9365000000000001</v>
      </c>
      <c r="BL597" s="35">
        <v>0.12333</v>
      </c>
      <c r="BM597" s="36"/>
      <c r="BN597" s="30">
        <v>47.6</v>
      </c>
      <c r="BO597" s="34">
        <v>2.9836</v>
      </c>
      <c r="BP597" s="35">
        <v>0.12531</v>
      </c>
      <c r="BY597" s="55"/>
    </row>
    <row r="598" spans="27:77">
      <c r="AA598" s="27"/>
      <c r="BF598" s="30">
        <v>47.7</v>
      </c>
      <c r="BG598" s="31">
        <v>0.78959999999999997</v>
      </c>
      <c r="BH598" s="32">
        <v>789.3</v>
      </c>
      <c r="BJ598" s="30">
        <v>47.7</v>
      </c>
      <c r="BK598" s="34">
        <v>2.9348000000000001</v>
      </c>
      <c r="BL598" s="35">
        <v>0.12325999999999999</v>
      </c>
      <c r="BM598" s="36"/>
      <c r="BN598" s="30">
        <v>47.7</v>
      </c>
      <c r="BO598" s="34">
        <v>2.9819</v>
      </c>
      <c r="BP598" s="35">
        <v>0.12523999999999999</v>
      </c>
      <c r="BY598" s="55"/>
    </row>
    <row r="599" spans="27:77">
      <c r="AA599" s="27"/>
      <c r="BF599" s="30">
        <v>47.8</v>
      </c>
      <c r="BG599" s="31">
        <v>0.78920000000000001</v>
      </c>
      <c r="BH599" s="32">
        <v>788.8</v>
      </c>
      <c r="BJ599" s="30">
        <v>47.8</v>
      </c>
      <c r="BK599" s="34">
        <v>2.9331999999999998</v>
      </c>
      <c r="BL599" s="35">
        <v>0.12318999999999999</v>
      </c>
      <c r="BM599" s="36"/>
      <c r="BN599" s="30">
        <v>47.8</v>
      </c>
      <c r="BO599" s="34">
        <v>2.9802</v>
      </c>
      <c r="BP599" s="35">
        <v>0.12517</v>
      </c>
      <c r="BY599" s="55"/>
    </row>
    <row r="600" spans="27:77">
      <c r="AA600" s="27"/>
      <c r="BF600" s="30">
        <v>47.9</v>
      </c>
      <c r="BG600" s="31">
        <v>0.78869999999999996</v>
      </c>
      <c r="BH600" s="32">
        <v>788.4</v>
      </c>
      <c r="BJ600" s="30">
        <v>47.9</v>
      </c>
      <c r="BK600" s="34">
        <v>2.9315000000000002</v>
      </c>
      <c r="BL600" s="35">
        <v>0.12311999999999999</v>
      </c>
      <c r="BM600" s="36"/>
      <c r="BN600" s="30">
        <v>47.9</v>
      </c>
      <c r="BO600" s="34">
        <v>2.9786000000000001</v>
      </c>
      <c r="BP600" s="35">
        <v>0.12509999999999999</v>
      </c>
      <c r="BY600" s="55"/>
    </row>
    <row r="601" spans="27:77">
      <c r="AA601" s="27"/>
      <c r="BF601" s="30">
        <v>48</v>
      </c>
      <c r="BG601" s="31">
        <v>0.7883</v>
      </c>
      <c r="BH601" s="32">
        <v>787.9</v>
      </c>
      <c r="BJ601" s="30">
        <v>48</v>
      </c>
      <c r="BK601" s="34">
        <v>2.9298999999999999</v>
      </c>
      <c r="BL601" s="35">
        <v>0.12306</v>
      </c>
      <c r="BM601" s="36"/>
      <c r="BN601" s="30">
        <v>48</v>
      </c>
      <c r="BO601" s="34">
        <v>2.9769000000000001</v>
      </c>
      <c r="BP601" s="35">
        <v>0.12503</v>
      </c>
      <c r="BY601" s="55"/>
    </row>
    <row r="602" spans="27:77">
      <c r="AA602" s="27"/>
      <c r="BF602" s="30">
        <v>48.1</v>
      </c>
      <c r="BG602" s="31">
        <v>0.78790000000000004</v>
      </c>
      <c r="BH602" s="32">
        <v>787.5</v>
      </c>
      <c r="BJ602" s="30">
        <v>48.1</v>
      </c>
      <c r="BK602" s="34">
        <v>2.9283000000000001</v>
      </c>
      <c r="BL602" s="35">
        <v>0.12299</v>
      </c>
      <c r="BM602" s="36"/>
      <c r="BN602" s="30">
        <v>48.1</v>
      </c>
      <c r="BO602" s="34">
        <v>2.9752999999999998</v>
      </c>
      <c r="BP602" s="35">
        <v>0.12496</v>
      </c>
      <c r="BY602" s="55"/>
    </row>
    <row r="603" spans="27:77">
      <c r="AA603" s="27"/>
      <c r="BF603" s="30">
        <v>48.2</v>
      </c>
      <c r="BG603" s="31">
        <v>0.78739999999999999</v>
      </c>
      <c r="BH603" s="32">
        <v>787.13</v>
      </c>
      <c r="BJ603" s="30">
        <v>48.2</v>
      </c>
      <c r="BK603" s="34">
        <v>2.9266000000000001</v>
      </c>
      <c r="BL603" s="35">
        <v>0.12292</v>
      </c>
      <c r="BM603" s="36"/>
      <c r="BN603" s="30">
        <v>48.2</v>
      </c>
      <c r="BO603" s="34">
        <v>2.9735999999999998</v>
      </c>
      <c r="BP603" s="35">
        <v>0.12489</v>
      </c>
      <c r="BY603" s="55"/>
    </row>
    <row r="604" spans="27:77">
      <c r="AA604" s="27"/>
      <c r="BF604" s="30">
        <v>48.3</v>
      </c>
      <c r="BG604" s="31">
        <v>0.78700000000000003</v>
      </c>
      <c r="BH604" s="32">
        <v>786.6</v>
      </c>
      <c r="BJ604" s="30">
        <v>48.3</v>
      </c>
      <c r="BK604" s="34">
        <v>2.9249999999999998</v>
      </c>
      <c r="BL604" s="35">
        <v>0.12285</v>
      </c>
      <c r="BM604" s="36"/>
      <c r="BN604" s="30">
        <v>48.3</v>
      </c>
      <c r="BO604" s="34">
        <v>2.9719000000000002</v>
      </c>
      <c r="BP604" s="35">
        <v>0.12482</v>
      </c>
      <c r="BY604" s="55"/>
    </row>
    <row r="605" spans="27:77">
      <c r="AA605" s="27"/>
      <c r="BF605" s="30">
        <v>48.4</v>
      </c>
      <c r="BG605" s="31">
        <v>0.78649999999999998</v>
      </c>
      <c r="BH605" s="32">
        <v>786.2</v>
      </c>
      <c r="BJ605" s="30">
        <v>48.4</v>
      </c>
      <c r="BK605" s="34">
        <v>2.9234</v>
      </c>
      <c r="BL605" s="35">
        <v>0.12278</v>
      </c>
      <c r="BM605" s="36"/>
      <c r="BN605" s="30">
        <v>48.4</v>
      </c>
      <c r="BO605" s="34">
        <v>2.9702999999999999</v>
      </c>
      <c r="BP605" s="35">
        <v>0.12475</v>
      </c>
      <c r="BY605" s="55"/>
    </row>
    <row r="606" spans="27:77">
      <c r="AA606" s="27"/>
      <c r="BF606" s="30">
        <v>48.5</v>
      </c>
      <c r="BG606" s="31">
        <v>0.78610000000000002</v>
      </c>
      <c r="BH606" s="32">
        <v>785.8</v>
      </c>
      <c r="BJ606" s="30">
        <v>48.5</v>
      </c>
      <c r="BK606" s="34">
        <v>2.9218000000000002</v>
      </c>
      <c r="BL606" s="35">
        <v>0.12271</v>
      </c>
      <c r="BM606" s="36"/>
      <c r="BN606" s="30">
        <v>48.5</v>
      </c>
      <c r="BO606" s="34">
        <v>2.9685999999999999</v>
      </c>
      <c r="BP606" s="35">
        <v>0.12468</v>
      </c>
      <c r="BY606" s="55"/>
    </row>
    <row r="607" spans="27:77">
      <c r="AA607" s="27"/>
      <c r="BF607" s="30">
        <v>48.6</v>
      </c>
      <c r="BG607" s="31">
        <v>0.78569999999999995</v>
      </c>
      <c r="BH607" s="32">
        <v>785.3</v>
      </c>
      <c r="BJ607" s="30">
        <v>48.6</v>
      </c>
      <c r="BK607" s="34">
        <v>2.9201000000000001</v>
      </c>
      <c r="BL607" s="35">
        <v>0.12265</v>
      </c>
      <c r="BM607" s="36"/>
      <c r="BN607" s="30">
        <v>48.6</v>
      </c>
      <c r="BO607" s="34">
        <v>2.9670000000000001</v>
      </c>
      <c r="BP607" s="35">
        <v>0.12461</v>
      </c>
      <c r="BY607" s="55"/>
    </row>
    <row r="608" spans="27:77">
      <c r="AA608" s="27"/>
      <c r="BF608" s="30">
        <v>48.7</v>
      </c>
      <c r="BG608" s="31">
        <v>0.78520000000000001</v>
      </c>
      <c r="BH608" s="32">
        <v>784.9</v>
      </c>
      <c r="BJ608" s="30">
        <v>48.7</v>
      </c>
      <c r="BK608" s="34">
        <v>2.9184999999999999</v>
      </c>
      <c r="BL608" s="35">
        <v>0.12257999999999999</v>
      </c>
      <c r="BM608" s="36"/>
      <c r="BN608" s="30">
        <v>48.7</v>
      </c>
      <c r="BO608" s="34">
        <v>2.9653</v>
      </c>
      <c r="BP608" s="35">
        <v>0.12454</v>
      </c>
      <c r="BY608" s="55"/>
    </row>
    <row r="609" spans="27:77">
      <c r="AA609" s="27"/>
      <c r="BF609" s="30">
        <v>48.8</v>
      </c>
      <c r="BG609" s="31">
        <v>0.78480000000000005</v>
      </c>
      <c r="BH609" s="32">
        <v>784.5</v>
      </c>
      <c r="BJ609" s="30">
        <v>48.8</v>
      </c>
      <c r="BK609" s="34">
        <v>2.9169</v>
      </c>
      <c r="BL609" s="35">
        <v>0.12250999999999999</v>
      </c>
      <c r="BM609" s="36"/>
      <c r="BN609" s="30">
        <v>48.8</v>
      </c>
      <c r="BO609" s="34">
        <v>2.9636999999999998</v>
      </c>
      <c r="BP609" s="35">
        <v>0.12447999999999999</v>
      </c>
      <c r="BY609" s="55"/>
    </row>
    <row r="610" spans="27:77">
      <c r="AA610" s="27"/>
      <c r="BF610" s="30">
        <v>48.9</v>
      </c>
      <c r="BG610" s="31">
        <v>0.78439999999999999</v>
      </c>
      <c r="BH610" s="32">
        <v>784</v>
      </c>
      <c r="BJ610" s="30">
        <v>48.9</v>
      </c>
      <c r="BK610" s="34">
        <v>2.9152999999999998</v>
      </c>
      <c r="BL610" s="35">
        <v>0.12243999999999999</v>
      </c>
      <c r="BM610" s="36"/>
      <c r="BN610" s="30">
        <v>48.9</v>
      </c>
      <c r="BO610" s="34">
        <v>2.9620000000000002</v>
      </c>
      <c r="BP610" s="35">
        <v>0.12441000000000001</v>
      </c>
      <c r="BY610" s="55"/>
    </row>
    <row r="611" spans="27:77">
      <c r="AA611" s="27"/>
      <c r="BF611" s="30">
        <v>49</v>
      </c>
      <c r="BG611" s="31">
        <v>0.78390000000000004</v>
      </c>
      <c r="BH611" s="32">
        <v>783.6</v>
      </c>
      <c r="BJ611" s="30">
        <v>49</v>
      </c>
      <c r="BK611" s="34">
        <v>2.9136000000000002</v>
      </c>
      <c r="BL611" s="35">
        <v>0.12237000000000001</v>
      </c>
      <c r="BM611" s="36"/>
      <c r="BN611" s="30">
        <v>49</v>
      </c>
      <c r="BO611" s="34">
        <v>2.9603999999999999</v>
      </c>
      <c r="BP611" s="35">
        <v>0.12434000000000001</v>
      </c>
      <c r="BY611" s="55"/>
    </row>
    <row r="612" spans="27:77">
      <c r="AA612" s="27"/>
      <c r="BF612" s="30">
        <v>49.1</v>
      </c>
      <c r="BG612" s="31">
        <v>0.78349999999999997</v>
      </c>
      <c r="BH612" s="32">
        <v>783.2</v>
      </c>
      <c r="BJ612" s="30">
        <v>49.1</v>
      </c>
      <c r="BK612" s="34">
        <v>2.9119999999999999</v>
      </c>
      <c r="BL612" s="35">
        <v>0.12231</v>
      </c>
      <c r="BM612" s="36"/>
      <c r="BN612" s="30">
        <v>49.1</v>
      </c>
      <c r="BO612" s="34">
        <v>2.9588000000000001</v>
      </c>
      <c r="BP612" s="35">
        <v>0.12427000000000001</v>
      </c>
      <c r="BY612" s="55"/>
    </row>
    <row r="613" spans="27:77">
      <c r="AA613" s="27"/>
      <c r="BF613" s="30">
        <v>49.2</v>
      </c>
      <c r="BG613" s="31">
        <v>0.78310000000000002</v>
      </c>
      <c r="BH613" s="32">
        <v>782.7</v>
      </c>
      <c r="BJ613" s="30">
        <v>49.2</v>
      </c>
      <c r="BK613" s="34">
        <v>2.9104000000000001</v>
      </c>
      <c r="BL613" s="35">
        <v>0.12224</v>
      </c>
      <c r="BM613" s="36"/>
      <c r="BN613" s="30">
        <v>49.2</v>
      </c>
      <c r="BO613" s="34">
        <v>2.9571000000000001</v>
      </c>
      <c r="BP613" s="35">
        <v>0.1242</v>
      </c>
      <c r="BY613" s="55"/>
    </row>
    <row r="614" spans="27:77">
      <c r="AA614" s="27"/>
      <c r="BF614" s="30">
        <v>49.3</v>
      </c>
      <c r="BG614" s="31">
        <v>0.78259999999999996</v>
      </c>
      <c r="BH614" s="32">
        <v>782.3</v>
      </c>
      <c r="BJ614" s="30">
        <v>49.3</v>
      </c>
      <c r="BK614" s="34">
        <v>2.9087999999999998</v>
      </c>
      <c r="BL614" s="35">
        <v>0.12217</v>
      </c>
      <c r="BM614" s="36"/>
      <c r="BN614" s="30">
        <v>49.3</v>
      </c>
      <c r="BO614" s="34">
        <v>2.9554999999999998</v>
      </c>
      <c r="BP614" s="35">
        <v>0.12413</v>
      </c>
      <c r="BY614" s="55"/>
    </row>
    <row r="615" spans="27:77">
      <c r="AA615" s="27"/>
      <c r="BF615" s="30">
        <v>49.4</v>
      </c>
      <c r="BG615" s="31">
        <v>0.78220000000000001</v>
      </c>
      <c r="BH615" s="32">
        <v>781.9</v>
      </c>
      <c r="BJ615" s="30">
        <v>49.4</v>
      </c>
      <c r="BK615" s="34">
        <v>2.9072</v>
      </c>
      <c r="BL615" s="35">
        <v>0.1221</v>
      </c>
      <c r="BM615" s="36"/>
      <c r="BN615" s="30">
        <v>49.4</v>
      </c>
      <c r="BO615" s="34">
        <v>2.9538000000000002</v>
      </c>
      <c r="BP615" s="35">
        <v>0.12406</v>
      </c>
      <c r="BY615" s="55"/>
    </row>
    <row r="616" spans="27:77">
      <c r="AA616" s="27"/>
      <c r="BF616" s="30">
        <v>49.5</v>
      </c>
      <c r="BG616" s="31">
        <v>0.78180000000000005</v>
      </c>
      <c r="BH616" s="32">
        <v>781.4</v>
      </c>
      <c r="BJ616" s="30">
        <v>49.5</v>
      </c>
      <c r="BK616" s="34">
        <v>2.9056000000000002</v>
      </c>
      <c r="BL616" s="35">
        <v>0.12203</v>
      </c>
      <c r="BM616" s="36"/>
      <c r="BN616" s="30">
        <v>49.5</v>
      </c>
      <c r="BO616" s="34">
        <v>2.9521999999999999</v>
      </c>
      <c r="BP616" s="35">
        <v>0.12399</v>
      </c>
      <c r="BY616" s="55"/>
    </row>
    <row r="617" spans="27:77">
      <c r="AA617" s="27"/>
      <c r="BF617" s="30">
        <v>49.6</v>
      </c>
      <c r="BG617" s="31">
        <v>0.78129999999999999</v>
      </c>
      <c r="BH617" s="32">
        <v>781</v>
      </c>
      <c r="BJ617" s="30">
        <v>49.6</v>
      </c>
      <c r="BK617" s="34">
        <v>2.9039999999999999</v>
      </c>
      <c r="BL617" s="35">
        <v>0.12197</v>
      </c>
      <c r="BM617" s="36"/>
      <c r="BN617" s="30">
        <v>49.6</v>
      </c>
      <c r="BO617" s="34">
        <v>2.9506000000000001</v>
      </c>
      <c r="BP617" s="35">
        <v>0.12392</v>
      </c>
      <c r="BY617" s="55"/>
    </row>
    <row r="618" spans="27:77">
      <c r="AA618" s="27"/>
      <c r="BF618" s="30">
        <v>49.7</v>
      </c>
      <c r="BG618" s="31">
        <v>0.78090000000000004</v>
      </c>
      <c r="BH618" s="32">
        <v>780.6</v>
      </c>
      <c r="BJ618" s="30">
        <v>49.7</v>
      </c>
      <c r="BK618" s="34">
        <v>2.9024000000000001</v>
      </c>
      <c r="BL618" s="35">
        <v>0.12189999999999999</v>
      </c>
      <c r="BM618" s="36"/>
      <c r="BN618" s="30">
        <v>49.7</v>
      </c>
      <c r="BO618" s="34">
        <v>2.9489000000000001</v>
      </c>
      <c r="BP618" s="35">
        <v>0.12386</v>
      </c>
      <c r="BY618" s="55"/>
    </row>
    <row r="619" spans="27:77">
      <c r="AA619" s="27"/>
      <c r="BF619" s="30">
        <v>49.8</v>
      </c>
      <c r="BG619" s="31">
        <v>0.78049999999999997</v>
      </c>
      <c r="BH619" s="32">
        <v>780.2</v>
      </c>
      <c r="BJ619" s="30">
        <v>49.8</v>
      </c>
      <c r="BK619" s="34">
        <v>2.9007999999999998</v>
      </c>
      <c r="BL619" s="35">
        <v>0.12182999999999999</v>
      </c>
      <c r="BM619" s="36"/>
      <c r="BN619" s="30">
        <v>49.8</v>
      </c>
      <c r="BO619" s="34">
        <v>2.9472999999999998</v>
      </c>
      <c r="BP619" s="35">
        <v>0.12379</v>
      </c>
      <c r="BY619" s="55"/>
    </row>
    <row r="620" spans="27:77">
      <c r="AA620" s="27"/>
      <c r="BF620" s="30">
        <v>49.9</v>
      </c>
      <c r="BG620" s="31">
        <v>0.78</v>
      </c>
      <c r="BH620" s="32">
        <v>779.7</v>
      </c>
      <c r="BJ620" s="30">
        <v>49.9</v>
      </c>
      <c r="BK620" s="34">
        <v>2.8992</v>
      </c>
      <c r="BL620" s="35">
        <v>0.12177</v>
      </c>
      <c r="BM620" s="36"/>
      <c r="BN620" s="30">
        <v>49.9</v>
      </c>
      <c r="BO620" s="34">
        <v>2.9457</v>
      </c>
      <c r="BP620" s="35">
        <v>0.12372</v>
      </c>
      <c r="BY620" s="55"/>
    </row>
    <row r="621" spans="27:77">
      <c r="AA621" s="27"/>
      <c r="BF621" s="30">
        <v>50</v>
      </c>
      <c r="BG621" s="31">
        <v>0.77959999999999996</v>
      </c>
      <c r="BH621" s="32">
        <v>779.3</v>
      </c>
      <c r="BJ621" s="30">
        <v>50</v>
      </c>
      <c r="BK621" s="34">
        <v>2.8976000000000002</v>
      </c>
      <c r="BL621" s="35">
        <v>0.1217</v>
      </c>
      <c r="BM621" s="36"/>
      <c r="BN621" s="30">
        <v>50</v>
      </c>
      <c r="BO621" s="34">
        <v>2.9441000000000002</v>
      </c>
      <c r="BP621" s="35">
        <v>0.12365</v>
      </c>
      <c r="BY621" s="55"/>
    </row>
    <row r="622" spans="27:77">
      <c r="AA622" s="27"/>
      <c r="BF622" s="30">
        <v>50.1</v>
      </c>
      <c r="BG622" s="31">
        <v>0.7792</v>
      </c>
      <c r="BH622" s="32">
        <v>778.9</v>
      </c>
      <c r="BJ622" s="30">
        <v>50.1</v>
      </c>
      <c r="BK622" s="34">
        <v>2.8959999999999999</v>
      </c>
      <c r="BL622" s="35">
        <v>0.12163</v>
      </c>
      <c r="BM622" s="36"/>
      <c r="BN622" s="30">
        <v>50.1</v>
      </c>
      <c r="BO622" s="34">
        <v>2.9424000000000001</v>
      </c>
      <c r="BP622" s="35">
        <v>0.12358</v>
      </c>
      <c r="BY622" s="55"/>
    </row>
    <row r="623" spans="27:77">
      <c r="AA623" s="27"/>
      <c r="BF623" s="30">
        <v>50.2</v>
      </c>
      <c r="BG623" s="31">
        <v>0.77880000000000005</v>
      </c>
      <c r="BH623" s="32">
        <v>778.4</v>
      </c>
      <c r="BJ623" s="30">
        <v>50.2</v>
      </c>
      <c r="BK623" s="34">
        <v>2.8944000000000001</v>
      </c>
      <c r="BL623" s="35">
        <v>0.12156</v>
      </c>
      <c r="BM623" s="36"/>
      <c r="BN623" s="30">
        <v>50.2</v>
      </c>
      <c r="BO623" s="34">
        <v>2.9407999999999999</v>
      </c>
      <c r="BP623" s="35">
        <v>0.12350999999999999</v>
      </c>
      <c r="BY623" s="55"/>
    </row>
    <row r="624" spans="27:77">
      <c r="AA624" s="27"/>
      <c r="BF624" s="30">
        <v>50.3</v>
      </c>
      <c r="BG624" s="31">
        <v>0.77829999999999999</v>
      </c>
      <c r="BH624" s="32">
        <v>778</v>
      </c>
      <c r="BJ624" s="30">
        <v>50.3</v>
      </c>
      <c r="BK624" s="34">
        <v>2.8927999999999998</v>
      </c>
      <c r="BL624" s="35">
        <v>0.1215</v>
      </c>
      <c r="BM624" s="36"/>
      <c r="BN624" s="30">
        <v>50.3</v>
      </c>
      <c r="BO624" s="34">
        <v>2.9392</v>
      </c>
      <c r="BP624" s="35">
        <v>0.12345</v>
      </c>
      <c r="BY624" s="55"/>
    </row>
    <row r="625" spans="27:77">
      <c r="AA625" s="27"/>
      <c r="BF625" s="30">
        <v>50.4</v>
      </c>
      <c r="BG625" s="31">
        <v>0.77790000000000004</v>
      </c>
      <c r="BH625" s="32">
        <v>777.6</v>
      </c>
      <c r="BJ625" s="30">
        <v>50.4</v>
      </c>
      <c r="BK625" s="34">
        <v>2.8912</v>
      </c>
      <c r="BL625" s="35">
        <v>0.12143</v>
      </c>
      <c r="BM625" s="36"/>
      <c r="BN625" s="30">
        <v>50.4</v>
      </c>
      <c r="BO625" s="34">
        <v>2.9376000000000002</v>
      </c>
      <c r="BP625" s="35">
        <v>0.12338</v>
      </c>
      <c r="BY625" s="55"/>
    </row>
    <row r="626" spans="27:77">
      <c r="AA626" s="27"/>
      <c r="BF626" s="30">
        <v>50.5</v>
      </c>
      <c r="BG626" s="31">
        <v>0.77749999999999997</v>
      </c>
      <c r="BH626" s="32">
        <v>777.2</v>
      </c>
      <c r="BJ626" s="30">
        <v>50.5</v>
      </c>
      <c r="BK626" s="34">
        <v>2.8896000000000002</v>
      </c>
      <c r="BL626" s="35">
        <v>0.12136</v>
      </c>
      <c r="BM626" s="36"/>
      <c r="BN626" s="30">
        <v>50.5</v>
      </c>
      <c r="BO626" s="34">
        <v>2.9359999999999999</v>
      </c>
      <c r="BP626" s="35">
        <v>0.12331</v>
      </c>
      <c r="BY626" s="55"/>
    </row>
    <row r="627" spans="27:77">
      <c r="AA627" s="27"/>
      <c r="BF627" s="30">
        <v>50.6</v>
      </c>
      <c r="BG627" s="31">
        <v>0.77700000000000002</v>
      </c>
      <c r="BH627" s="32">
        <v>776.7</v>
      </c>
      <c r="BJ627" s="30">
        <v>50.6</v>
      </c>
      <c r="BK627" s="34">
        <v>2.8879999999999999</v>
      </c>
      <c r="BL627" s="35">
        <v>0.12130000000000001</v>
      </c>
      <c r="BM627" s="36"/>
      <c r="BN627" s="30">
        <v>50.6</v>
      </c>
      <c r="BO627" s="34">
        <v>2.9342999999999999</v>
      </c>
      <c r="BP627" s="35">
        <v>0.12324</v>
      </c>
      <c r="BY627" s="55"/>
    </row>
    <row r="628" spans="27:77">
      <c r="AA628" s="27"/>
      <c r="BF628" s="30">
        <v>50.7</v>
      </c>
      <c r="BG628" s="31">
        <v>0.77659999999999996</v>
      </c>
      <c r="BH628" s="32">
        <v>776.3</v>
      </c>
      <c r="BJ628" s="30">
        <v>50.7</v>
      </c>
      <c r="BK628" s="34">
        <v>2.8864000000000001</v>
      </c>
      <c r="BL628" s="35">
        <v>0.12123</v>
      </c>
      <c r="BM628" s="36"/>
      <c r="BN628" s="30">
        <v>50.7</v>
      </c>
      <c r="BO628" s="34">
        <v>2.9327000000000001</v>
      </c>
      <c r="BP628" s="35">
        <v>0.12317</v>
      </c>
      <c r="BY628" s="55"/>
    </row>
    <row r="629" spans="27:77">
      <c r="AA629" s="27"/>
      <c r="BF629" s="30">
        <v>50.8</v>
      </c>
      <c r="BG629" s="31">
        <v>0.7762</v>
      </c>
      <c r="BH629" s="32">
        <v>775.9</v>
      </c>
      <c r="BJ629" s="30">
        <v>50.8</v>
      </c>
      <c r="BK629" s="34">
        <v>2.8847999999999998</v>
      </c>
      <c r="BL629" s="35">
        <v>0.12116</v>
      </c>
      <c r="BM629" s="36"/>
      <c r="BN629" s="30">
        <v>50.8</v>
      </c>
      <c r="BO629" s="34">
        <v>2.9310999999999998</v>
      </c>
      <c r="BP629" s="35">
        <v>0.12311</v>
      </c>
      <c r="BY629" s="55"/>
    </row>
    <row r="630" spans="27:77">
      <c r="AA630" s="27"/>
      <c r="BF630" s="30">
        <v>50.9</v>
      </c>
      <c r="BG630" s="31">
        <v>0.77580000000000005</v>
      </c>
      <c r="BH630" s="32">
        <v>775.5</v>
      </c>
      <c r="BJ630" s="30">
        <v>50.9</v>
      </c>
      <c r="BK630" s="34">
        <v>2.8832</v>
      </c>
      <c r="BL630" s="35">
        <v>0.1211</v>
      </c>
      <c r="BM630" s="36"/>
      <c r="BN630" s="30">
        <v>50.9</v>
      </c>
      <c r="BO630" s="34">
        <v>2.9295</v>
      </c>
      <c r="BP630" s="35">
        <v>0.12304</v>
      </c>
      <c r="BY630" s="55"/>
    </row>
    <row r="631" spans="27:77">
      <c r="AA631" s="27"/>
      <c r="BF631" s="30">
        <v>51</v>
      </c>
      <c r="BG631" s="31">
        <v>0.77529999999999999</v>
      </c>
      <c r="BH631" s="32">
        <v>775.1</v>
      </c>
      <c r="BJ631" s="30">
        <v>51</v>
      </c>
      <c r="BK631" s="34">
        <v>2.8816999999999999</v>
      </c>
      <c r="BL631" s="35">
        <v>0.12103</v>
      </c>
      <c r="BM631" s="36"/>
      <c r="BN631" s="30">
        <v>51</v>
      </c>
      <c r="BO631" s="34">
        <v>2.9279000000000002</v>
      </c>
      <c r="BP631" s="35">
        <v>0.12297</v>
      </c>
      <c r="BY631" s="55"/>
    </row>
    <row r="632" spans="27:77">
      <c r="AA632" s="27"/>
      <c r="BF632" s="30">
        <v>51.1</v>
      </c>
      <c r="BG632" s="31">
        <v>0.77490000000000003</v>
      </c>
      <c r="BH632" s="32">
        <v>774.6</v>
      </c>
      <c r="BJ632" s="30">
        <v>51.1</v>
      </c>
      <c r="BK632" s="34">
        <v>2.8801000000000001</v>
      </c>
      <c r="BL632" s="35">
        <v>0.12096</v>
      </c>
      <c r="BM632" s="36"/>
      <c r="BN632" s="30">
        <v>51.1</v>
      </c>
      <c r="BO632" s="34">
        <v>2.9262999999999999</v>
      </c>
      <c r="BP632" s="35">
        <v>0.1229</v>
      </c>
      <c r="BY632" s="55"/>
    </row>
    <row r="633" spans="27:77">
      <c r="AA633" s="27"/>
      <c r="BF633" s="30">
        <v>51.2</v>
      </c>
      <c r="BG633" s="31">
        <v>0.77449999999999997</v>
      </c>
      <c r="BH633" s="32">
        <v>774.2</v>
      </c>
      <c r="BJ633" s="30">
        <v>51.2</v>
      </c>
      <c r="BK633" s="34">
        <v>2.8784999999999998</v>
      </c>
      <c r="BL633" s="35">
        <v>0.12089999999999999</v>
      </c>
      <c r="BM633" s="36"/>
      <c r="BN633" s="30">
        <v>51.2</v>
      </c>
      <c r="BO633" s="34">
        <v>2.9247000000000001</v>
      </c>
      <c r="BP633" s="35">
        <v>0.12284</v>
      </c>
      <c r="BY633" s="55"/>
    </row>
    <row r="634" spans="27:77">
      <c r="AA634" s="27"/>
      <c r="BF634" s="30">
        <v>51.3</v>
      </c>
      <c r="BG634" s="31">
        <v>0.77410000000000001</v>
      </c>
      <c r="BH634" s="32">
        <v>773.8</v>
      </c>
      <c r="BJ634" s="30">
        <v>51.3</v>
      </c>
      <c r="BK634" s="34">
        <v>2.8769</v>
      </c>
      <c r="BL634" s="35">
        <v>0.12083000000000001</v>
      </c>
      <c r="BM634" s="36"/>
      <c r="BN634" s="30">
        <v>51.3</v>
      </c>
      <c r="BO634" s="34">
        <v>2.9230999999999998</v>
      </c>
      <c r="BP634" s="35">
        <v>0.12277</v>
      </c>
      <c r="BY634" s="55"/>
    </row>
    <row r="635" spans="27:77">
      <c r="AA635" s="27"/>
      <c r="BF635" s="30">
        <v>51.4</v>
      </c>
      <c r="BG635" s="31">
        <v>0.77359999999999995</v>
      </c>
      <c r="BH635" s="32">
        <v>773.4</v>
      </c>
      <c r="BJ635" s="30">
        <v>51.4</v>
      </c>
      <c r="BK635" s="34">
        <v>2.8754</v>
      </c>
      <c r="BL635" s="35">
        <v>0.12076000000000001</v>
      </c>
      <c r="BM635" s="36"/>
      <c r="BN635" s="30">
        <v>51.4</v>
      </c>
      <c r="BO635" s="34">
        <v>2.9215</v>
      </c>
      <c r="BP635" s="35">
        <v>0.1227</v>
      </c>
      <c r="BY635" s="55"/>
    </row>
    <row r="636" spans="27:77">
      <c r="AA636" s="27"/>
      <c r="BF636" s="30">
        <v>51.5</v>
      </c>
      <c r="BG636" s="31">
        <v>0.7732</v>
      </c>
      <c r="BH636" s="32">
        <v>772.9</v>
      </c>
      <c r="BJ636" s="30">
        <v>51.5</v>
      </c>
      <c r="BK636" s="34">
        <v>2.8738000000000001</v>
      </c>
      <c r="BL636" s="35">
        <v>0.1207</v>
      </c>
      <c r="BM636" s="36"/>
      <c r="BN636" s="30">
        <v>51.5</v>
      </c>
      <c r="BO636" s="34">
        <v>2.9199000000000002</v>
      </c>
      <c r="BP636" s="35">
        <v>0.12264</v>
      </c>
      <c r="BY636" s="55"/>
    </row>
    <row r="637" spans="27:77">
      <c r="AA637" s="27"/>
      <c r="BF637" s="30">
        <v>51.6</v>
      </c>
      <c r="BG637" s="31">
        <v>0.77280000000000004</v>
      </c>
      <c r="BH637" s="32">
        <v>772.5</v>
      </c>
      <c r="BJ637" s="30">
        <v>51.6</v>
      </c>
      <c r="BK637" s="34">
        <v>2.8721999999999999</v>
      </c>
      <c r="BL637" s="35">
        <v>0.12063</v>
      </c>
      <c r="BM637" s="36"/>
      <c r="BN637" s="30">
        <v>51.6</v>
      </c>
      <c r="BO637" s="34">
        <v>2.9182999999999999</v>
      </c>
      <c r="BP637" s="35">
        <v>0.12257</v>
      </c>
      <c r="BY637" s="55"/>
    </row>
    <row r="638" spans="27:77">
      <c r="AA638" s="27"/>
      <c r="BF638" s="30">
        <v>51.7</v>
      </c>
      <c r="BG638" s="31">
        <v>0.77239999999999998</v>
      </c>
      <c r="BH638" s="32">
        <v>772.1</v>
      </c>
      <c r="BJ638" s="30">
        <v>51.7</v>
      </c>
      <c r="BK638" s="34">
        <v>2.8706</v>
      </c>
      <c r="BL638" s="35">
        <v>0.12057</v>
      </c>
      <c r="BM638" s="36"/>
      <c r="BN638" s="30">
        <v>51.7</v>
      </c>
      <c r="BO638" s="34">
        <v>2.9167000000000001</v>
      </c>
      <c r="BP638" s="35">
        <v>0.1225</v>
      </c>
      <c r="BY638" s="55"/>
    </row>
    <row r="639" spans="27:77">
      <c r="AA639" s="27"/>
      <c r="BF639" s="30">
        <v>51.8</v>
      </c>
      <c r="BG639" s="31">
        <v>0.77200000000000002</v>
      </c>
      <c r="BH639" s="32">
        <v>771.7</v>
      </c>
      <c r="BJ639" s="30">
        <v>51.8</v>
      </c>
      <c r="BK639" s="34">
        <v>2.8691</v>
      </c>
      <c r="BL639" s="35">
        <v>0.1205</v>
      </c>
      <c r="BM639" s="36"/>
      <c r="BN639" s="30">
        <v>51.8</v>
      </c>
      <c r="BO639" s="34">
        <v>2.9150999999999998</v>
      </c>
      <c r="BP639" s="35">
        <v>0.12243</v>
      </c>
      <c r="BY639" s="55"/>
    </row>
    <row r="640" spans="27:77">
      <c r="AA640" s="27"/>
      <c r="BF640" s="30">
        <v>51.9</v>
      </c>
      <c r="BG640" s="31">
        <v>0.77149999999999996</v>
      </c>
      <c r="BH640" s="32">
        <v>771.3</v>
      </c>
      <c r="BJ640" s="30">
        <v>51.9</v>
      </c>
      <c r="BK640" s="34">
        <v>2.8675000000000002</v>
      </c>
      <c r="BL640" s="35">
        <v>0.12044000000000001</v>
      </c>
      <c r="BM640" s="36"/>
      <c r="BN640" s="30">
        <v>51.9</v>
      </c>
      <c r="BO640" s="34">
        <v>2.9135</v>
      </c>
      <c r="BP640" s="35">
        <v>0.12237000000000001</v>
      </c>
      <c r="BY640" s="55"/>
    </row>
    <row r="641" spans="27:77">
      <c r="AA641" s="27"/>
      <c r="BF641" s="30">
        <v>52</v>
      </c>
      <c r="BG641" s="31">
        <v>0.77110000000000001</v>
      </c>
      <c r="BH641" s="32">
        <v>770.8</v>
      </c>
      <c r="BJ641" s="30">
        <v>52</v>
      </c>
      <c r="BK641" s="34">
        <v>2.8658999999999999</v>
      </c>
      <c r="BL641" s="35">
        <v>0.12037</v>
      </c>
      <c r="BM641" s="36"/>
      <c r="BN641" s="30">
        <v>52</v>
      </c>
      <c r="BO641" s="34">
        <v>2.9119000000000002</v>
      </c>
      <c r="BP641" s="35">
        <v>0.12230000000000001</v>
      </c>
      <c r="BY641" s="55"/>
    </row>
    <row r="642" spans="27:77">
      <c r="AA642" s="27"/>
      <c r="BF642" s="30">
        <v>52.1</v>
      </c>
      <c r="BG642" s="31">
        <v>0.77070000000000005</v>
      </c>
      <c r="BH642" s="32">
        <v>770.4</v>
      </c>
      <c r="BJ642" s="30">
        <v>52.1</v>
      </c>
      <c r="BK642" s="34">
        <v>2.8643999999999998</v>
      </c>
      <c r="BL642" s="35">
        <v>0.1203</v>
      </c>
      <c r="BM642" s="36"/>
      <c r="BN642" s="30">
        <v>52.1</v>
      </c>
      <c r="BO642" s="34">
        <v>2.9102999999999999</v>
      </c>
      <c r="BP642" s="35">
        <v>0.12223000000000001</v>
      </c>
      <c r="BY642" s="55"/>
    </row>
    <row r="643" spans="27:77">
      <c r="AA643" s="27"/>
      <c r="BF643" s="30">
        <v>52.2</v>
      </c>
      <c r="BG643" s="31">
        <v>0.77029999999999998</v>
      </c>
      <c r="BH643" s="32">
        <v>770</v>
      </c>
      <c r="BJ643" s="30">
        <v>52.2</v>
      </c>
      <c r="BK643" s="34">
        <v>2.8628</v>
      </c>
      <c r="BL643" s="35">
        <v>0.12024</v>
      </c>
      <c r="BM643" s="36"/>
      <c r="BN643" s="30">
        <v>52.2</v>
      </c>
      <c r="BO643" s="34">
        <v>2.9087999999999998</v>
      </c>
      <c r="BP643" s="35">
        <v>0.12217</v>
      </c>
      <c r="BY643" s="55"/>
    </row>
    <row r="644" spans="27:77">
      <c r="AA644" s="27"/>
      <c r="BF644" s="30">
        <v>52.3</v>
      </c>
      <c r="BG644" s="31">
        <v>0.76990000000000003</v>
      </c>
      <c r="BH644" s="32">
        <v>769.6</v>
      </c>
      <c r="BJ644" s="30">
        <v>52.3</v>
      </c>
      <c r="BK644" s="34">
        <v>2.8613</v>
      </c>
      <c r="BL644" s="35">
        <v>0.12017</v>
      </c>
      <c r="BM644" s="36"/>
      <c r="BN644" s="30">
        <v>52.3</v>
      </c>
      <c r="BO644" s="34">
        <v>2.9072</v>
      </c>
      <c r="BP644" s="35">
        <v>0.1221</v>
      </c>
      <c r="BY644" s="55"/>
    </row>
    <row r="645" spans="27:77">
      <c r="AA645" s="27"/>
      <c r="BF645" s="30">
        <v>52.4</v>
      </c>
      <c r="BG645" s="31">
        <v>0.76939999999999997</v>
      </c>
      <c r="BH645" s="32">
        <v>769.2</v>
      </c>
      <c r="BJ645" s="30">
        <v>52.4</v>
      </c>
      <c r="BK645" s="34">
        <v>2.8597000000000001</v>
      </c>
      <c r="BL645" s="35">
        <v>0.12010999999999999</v>
      </c>
      <c r="BM645" s="36"/>
      <c r="BN645" s="30">
        <v>52.4</v>
      </c>
      <c r="BO645" s="34">
        <v>2.9056000000000002</v>
      </c>
      <c r="BP645" s="35">
        <v>0.12203</v>
      </c>
      <c r="BY645" s="55"/>
    </row>
    <row r="646" spans="27:77">
      <c r="AA646" s="27"/>
      <c r="BF646" s="30">
        <v>52.5</v>
      </c>
      <c r="BG646" s="31">
        <v>0.76900000000000002</v>
      </c>
      <c r="BH646" s="32">
        <v>768.8</v>
      </c>
      <c r="BJ646" s="30">
        <v>52.5</v>
      </c>
      <c r="BK646" s="34">
        <v>2.8580999999999999</v>
      </c>
      <c r="BL646" s="35">
        <v>0.12003999999999999</v>
      </c>
      <c r="BM646" s="36"/>
      <c r="BN646" s="30">
        <v>52.5</v>
      </c>
      <c r="BO646" s="34">
        <v>2.9039999999999999</v>
      </c>
      <c r="BP646" s="35">
        <v>0.12197</v>
      </c>
      <c r="BY646" s="55"/>
    </row>
    <row r="647" spans="27:77">
      <c r="AA647" s="27"/>
      <c r="BF647" s="30">
        <v>52.6</v>
      </c>
      <c r="BG647" s="31">
        <v>0.76859999999999995</v>
      </c>
      <c r="BH647" s="32">
        <v>768.3</v>
      </c>
      <c r="BJ647" s="30">
        <v>52.6</v>
      </c>
      <c r="BK647" s="34">
        <v>2.8565999999999998</v>
      </c>
      <c r="BL647" s="35">
        <v>0.11998</v>
      </c>
      <c r="BM647" s="36"/>
      <c r="BN647" s="30">
        <v>52.6</v>
      </c>
      <c r="BO647" s="34">
        <v>2.9024000000000001</v>
      </c>
      <c r="BP647" s="35">
        <v>0.12189999999999999</v>
      </c>
      <c r="BY647" s="55"/>
    </row>
    <row r="648" spans="27:77">
      <c r="AA648" s="27"/>
      <c r="BF648" s="30">
        <v>52.7</v>
      </c>
      <c r="BG648" s="31">
        <v>0.76819999999999999</v>
      </c>
      <c r="BH648" s="32">
        <v>767.9</v>
      </c>
      <c r="BJ648" s="30">
        <v>52.7</v>
      </c>
      <c r="BK648" s="34">
        <v>2.855</v>
      </c>
      <c r="BL648" s="35">
        <v>0.11991</v>
      </c>
      <c r="BM648" s="36"/>
      <c r="BN648" s="30">
        <v>52.7</v>
      </c>
      <c r="BO648" s="34">
        <v>2.9007999999999998</v>
      </c>
      <c r="BP648" s="35">
        <v>0.12184</v>
      </c>
      <c r="BY648" s="55"/>
    </row>
    <row r="649" spans="27:77">
      <c r="AA649" s="27"/>
      <c r="BF649" s="30">
        <v>52.8</v>
      </c>
      <c r="BG649" s="31">
        <v>0.76780000000000004</v>
      </c>
      <c r="BH649" s="32">
        <v>767.5</v>
      </c>
      <c r="BJ649" s="30">
        <v>52.8</v>
      </c>
      <c r="BK649" s="34">
        <v>2.8534999999999999</v>
      </c>
      <c r="BL649" s="35">
        <v>0.11985</v>
      </c>
      <c r="BM649" s="36"/>
      <c r="BN649" s="30">
        <v>52.8</v>
      </c>
      <c r="BO649" s="34">
        <v>2.8993000000000002</v>
      </c>
      <c r="BP649" s="35">
        <v>0.12177</v>
      </c>
      <c r="BY649" s="55"/>
    </row>
    <row r="650" spans="27:77">
      <c r="AA650" s="27"/>
      <c r="BF650" s="30">
        <v>52.9</v>
      </c>
      <c r="BG650" s="31">
        <v>0.76739999999999997</v>
      </c>
      <c r="BH650" s="32">
        <v>767.1</v>
      </c>
      <c r="BJ650" s="30">
        <v>52.9</v>
      </c>
      <c r="BK650" s="34">
        <v>2.8519000000000001</v>
      </c>
      <c r="BL650" s="35">
        <v>0.11978</v>
      </c>
      <c r="BM650" s="36"/>
      <c r="BN650" s="30">
        <v>52.9</v>
      </c>
      <c r="BO650" s="34">
        <v>2.8976999999999999</v>
      </c>
      <c r="BP650" s="35">
        <v>0.1217</v>
      </c>
      <c r="BY650" s="55"/>
    </row>
    <row r="651" spans="27:77">
      <c r="AA651" s="27"/>
      <c r="BF651" s="30">
        <v>53</v>
      </c>
      <c r="BG651" s="31">
        <v>0.76690000000000003</v>
      </c>
      <c r="BH651" s="32">
        <v>766.7</v>
      </c>
      <c r="BJ651" s="30">
        <v>53</v>
      </c>
      <c r="BK651" s="34">
        <v>2.8504</v>
      </c>
      <c r="BL651" s="35">
        <v>0.11971999999999999</v>
      </c>
      <c r="BM651" s="36"/>
      <c r="BN651" s="30">
        <v>53</v>
      </c>
      <c r="BO651" s="34">
        <v>2.8961000000000001</v>
      </c>
      <c r="BP651" s="35">
        <v>0.12164</v>
      </c>
      <c r="BY651" s="55"/>
    </row>
    <row r="652" spans="27:77">
      <c r="AA652" s="27"/>
      <c r="BF652" s="30">
        <v>53.1</v>
      </c>
      <c r="BG652" s="31">
        <v>0.76649999999999996</v>
      </c>
      <c r="BH652" s="32">
        <v>766.3</v>
      </c>
      <c r="BJ652" s="30">
        <v>53.1</v>
      </c>
      <c r="BK652" s="34">
        <v>2.8488000000000002</v>
      </c>
      <c r="BL652" s="35">
        <v>0.11965000000000001</v>
      </c>
      <c r="BM652" s="36"/>
      <c r="BN652" s="30">
        <v>53.1</v>
      </c>
      <c r="BO652" s="34">
        <v>2.8944999999999999</v>
      </c>
      <c r="BP652" s="35">
        <v>0.12157</v>
      </c>
      <c r="BY652" s="55"/>
    </row>
    <row r="653" spans="27:77">
      <c r="AA653" s="27"/>
      <c r="BF653" s="30">
        <v>53.2</v>
      </c>
      <c r="BG653" s="31">
        <v>0.7661</v>
      </c>
      <c r="BH653" s="32">
        <v>765.8</v>
      </c>
      <c r="BJ653" s="30">
        <v>53.2</v>
      </c>
      <c r="BK653" s="34">
        <v>2.8473000000000002</v>
      </c>
      <c r="BL653" s="35">
        <v>0.11959</v>
      </c>
      <c r="BM653" s="36"/>
      <c r="BN653" s="30">
        <v>53.2</v>
      </c>
      <c r="BO653" s="34">
        <v>2.8929999999999998</v>
      </c>
      <c r="BP653" s="35">
        <v>0.12151000000000001</v>
      </c>
      <c r="BY653" s="55"/>
    </row>
    <row r="654" spans="27:77">
      <c r="AA654" s="27"/>
      <c r="BF654" s="30">
        <v>53.3</v>
      </c>
      <c r="BG654" s="31">
        <v>0.76570000000000005</v>
      </c>
      <c r="BH654" s="32">
        <v>765.4</v>
      </c>
      <c r="BJ654" s="30">
        <v>53.3</v>
      </c>
      <c r="BK654" s="34">
        <v>2.8456999999999999</v>
      </c>
      <c r="BL654" s="35">
        <v>0.11952</v>
      </c>
      <c r="BM654" s="36"/>
      <c r="BN654" s="30">
        <v>53.3</v>
      </c>
      <c r="BO654" s="34">
        <v>2.8914</v>
      </c>
      <c r="BP654" s="35">
        <v>0.12144000000000001</v>
      </c>
      <c r="BY654" s="55"/>
    </row>
    <row r="655" spans="27:77">
      <c r="AA655" s="27"/>
      <c r="BF655" s="30">
        <v>53.4</v>
      </c>
      <c r="BG655" s="31">
        <v>0.76529999999999998</v>
      </c>
      <c r="BH655" s="32">
        <v>765</v>
      </c>
      <c r="BJ655" s="30">
        <v>53.4</v>
      </c>
      <c r="BK655" s="34">
        <v>2.8441999999999998</v>
      </c>
      <c r="BL655" s="35">
        <v>0.11946</v>
      </c>
      <c r="BM655" s="36"/>
      <c r="BN655" s="30">
        <v>53.4</v>
      </c>
      <c r="BO655" s="34">
        <v>2.8898000000000001</v>
      </c>
      <c r="BP655" s="35">
        <v>0.12137000000000001</v>
      </c>
      <c r="BY655" s="55"/>
    </row>
    <row r="656" spans="27:77">
      <c r="AA656" s="27"/>
      <c r="BF656" s="30">
        <v>53.5</v>
      </c>
      <c r="BG656" s="31">
        <v>0.76490000000000002</v>
      </c>
      <c r="BH656" s="32">
        <v>764.6</v>
      </c>
      <c r="BJ656" s="30">
        <v>53.5</v>
      </c>
      <c r="BK656" s="34">
        <v>2.8426999999999998</v>
      </c>
      <c r="BL656" s="35">
        <v>0.11939</v>
      </c>
      <c r="BM656" s="36"/>
      <c r="BN656" s="30">
        <v>53.5</v>
      </c>
      <c r="BO656" s="34">
        <v>2.8883000000000001</v>
      </c>
      <c r="BP656" s="35">
        <v>0.12131</v>
      </c>
      <c r="BY656" s="55"/>
    </row>
    <row r="657" spans="27:77">
      <c r="AA657" s="27"/>
      <c r="BF657" s="30">
        <v>53.6</v>
      </c>
      <c r="BG657" s="31">
        <v>0.76449999999999996</v>
      </c>
      <c r="BH657" s="32">
        <v>764.2</v>
      </c>
      <c r="BJ657" s="30">
        <v>53.6</v>
      </c>
      <c r="BK657" s="34">
        <v>2.8411</v>
      </c>
      <c r="BL657" s="35">
        <v>0.11933000000000001</v>
      </c>
      <c r="BM657" s="36"/>
      <c r="BN657" s="30">
        <v>53.6</v>
      </c>
      <c r="BO657" s="34">
        <v>2.8866999999999998</v>
      </c>
      <c r="BP657" s="35">
        <v>0.12124</v>
      </c>
      <c r="BY657" s="55"/>
    </row>
    <row r="658" spans="27:77">
      <c r="AA658" s="27"/>
      <c r="BF658" s="30">
        <v>53.7</v>
      </c>
      <c r="BG658" s="31">
        <v>0.76400000000000001</v>
      </c>
      <c r="BH658" s="32">
        <v>763.8</v>
      </c>
      <c r="BJ658" s="30">
        <v>53.7</v>
      </c>
      <c r="BK658" s="34">
        <v>2.8395999999999999</v>
      </c>
      <c r="BL658" s="35">
        <v>0.11926</v>
      </c>
      <c r="BM658" s="36"/>
      <c r="BN658" s="30">
        <v>53.7</v>
      </c>
      <c r="BO658" s="34">
        <v>2.8852000000000002</v>
      </c>
      <c r="BP658" s="35">
        <v>0.12118</v>
      </c>
      <c r="BY658" s="55"/>
    </row>
    <row r="659" spans="27:77">
      <c r="AA659" s="27"/>
      <c r="BF659" s="30">
        <v>53.8</v>
      </c>
      <c r="BG659" s="31">
        <v>0.76359999999999995</v>
      </c>
      <c r="BH659" s="32">
        <v>763.4</v>
      </c>
      <c r="BJ659" s="30">
        <v>53.8</v>
      </c>
      <c r="BK659" s="34">
        <v>2.8380999999999998</v>
      </c>
      <c r="BL659" s="35">
        <v>0.1192</v>
      </c>
      <c r="BM659" s="36"/>
      <c r="BN659" s="30">
        <v>53.8</v>
      </c>
      <c r="BO659" s="34">
        <v>2.8835999999999999</v>
      </c>
      <c r="BP659" s="35">
        <v>0.12111</v>
      </c>
      <c r="BY659" s="55"/>
    </row>
    <row r="660" spans="27:77">
      <c r="AA660" s="27"/>
      <c r="BF660" s="30">
        <v>53.9</v>
      </c>
      <c r="BG660" s="31">
        <v>0.76319999999999999</v>
      </c>
      <c r="BH660" s="32">
        <v>763</v>
      </c>
      <c r="BJ660" s="30">
        <v>53.9</v>
      </c>
      <c r="BK660" s="34">
        <v>2.8365</v>
      </c>
      <c r="BL660" s="35">
        <v>0.11913</v>
      </c>
      <c r="BM660" s="36"/>
      <c r="BN660" s="30">
        <v>53.9</v>
      </c>
      <c r="BO660" s="34">
        <v>2.8820000000000001</v>
      </c>
      <c r="BP660" s="35">
        <v>0.12105</v>
      </c>
      <c r="BY660" s="55"/>
    </row>
    <row r="661" spans="27:77">
      <c r="AA661" s="27"/>
      <c r="BF661" s="30">
        <v>54</v>
      </c>
      <c r="BG661" s="31">
        <v>0.76280000000000003</v>
      </c>
      <c r="BH661" s="32">
        <v>762.5</v>
      </c>
      <c r="BJ661" s="30">
        <v>54</v>
      </c>
      <c r="BK661" s="34">
        <v>2.835</v>
      </c>
      <c r="BL661" s="35">
        <v>0.11907</v>
      </c>
      <c r="BM661" s="36"/>
      <c r="BN661" s="30">
        <v>54</v>
      </c>
      <c r="BO661" s="34">
        <v>2.8805000000000001</v>
      </c>
      <c r="BP661" s="35">
        <v>0.12098</v>
      </c>
      <c r="BY661" s="55"/>
    </row>
    <row r="662" spans="27:77">
      <c r="AA662" s="27"/>
      <c r="BF662" s="30">
        <v>54.1</v>
      </c>
      <c r="BG662" s="31">
        <v>0.76239999999999997</v>
      </c>
      <c r="BH662" s="32">
        <v>762.1</v>
      </c>
      <c r="BJ662" s="30">
        <v>54.1</v>
      </c>
      <c r="BK662" s="34">
        <v>2.8334999999999999</v>
      </c>
      <c r="BL662" s="35">
        <v>0.11901</v>
      </c>
      <c r="BM662" s="36"/>
      <c r="BN662" s="30">
        <v>54.1</v>
      </c>
      <c r="BO662" s="34">
        <v>2.8788999999999998</v>
      </c>
      <c r="BP662" s="35">
        <v>0.12091</v>
      </c>
      <c r="BY662" s="55"/>
    </row>
    <row r="663" spans="27:77">
      <c r="AA663" s="27"/>
      <c r="BF663" s="30">
        <v>54.2</v>
      </c>
      <c r="BG663" s="31">
        <v>0.76200000000000001</v>
      </c>
      <c r="BH663" s="32">
        <v>761.7</v>
      </c>
      <c r="BJ663" s="30">
        <v>54.2</v>
      </c>
      <c r="BK663" s="34">
        <v>2.8319000000000001</v>
      </c>
      <c r="BL663" s="35">
        <v>0.11894</v>
      </c>
      <c r="BM663" s="36"/>
      <c r="BN663" s="30">
        <v>54.2</v>
      </c>
      <c r="BO663" s="34">
        <v>2.8774000000000002</v>
      </c>
      <c r="BP663" s="35">
        <v>0.12085</v>
      </c>
      <c r="BY663" s="55"/>
    </row>
    <row r="664" spans="27:77">
      <c r="AA664" s="27"/>
      <c r="BF664" s="30">
        <v>54.3</v>
      </c>
      <c r="BG664" s="31">
        <v>0.76160000000000005</v>
      </c>
      <c r="BH664" s="32">
        <v>761.3</v>
      </c>
      <c r="BJ664" s="30">
        <v>54.3</v>
      </c>
      <c r="BK664" s="34">
        <v>2.8304</v>
      </c>
      <c r="BL664" s="35">
        <v>0.11888</v>
      </c>
      <c r="BM664" s="36"/>
      <c r="BN664" s="30">
        <v>54.3</v>
      </c>
      <c r="BO664" s="34">
        <v>2.8757999999999999</v>
      </c>
      <c r="BP664" s="35">
        <v>0.12078</v>
      </c>
      <c r="BY664" s="55"/>
    </row>
    <row r="665" spans="27:77">
      <c r="AA665" s="27"/>
      <c r="BF665" s="30">
        <v>54.4</v>
      </c>
      <c r="BG665" s="31">
        <v>0.76119999999999999</v>
      </c>
      <c r="BH665" s="32">
        <v>760.9</v>
      </c>
      <c r="BJ665" s="30">
        <v>54.4</v>
      </c>
      <c r="BK665" s="34">
        <v>2.8289</v>
      </c>
      <c r="BL665" s="35">
        <v>0.11881</v>
      </c>
      <c r="BM665" s="36"/>
      <c r="BN665" s="30">
        <v>54.4</v>
      </c>
      <c r="BO665" s="34">
        <v>2.8742999999999999</v>
      </c>
      <c r="BP665" s="35">
        <v>0.12071999999999999</v>
      </c>
      <c r="BY665" s="55"/>
    </row>
    <row r="666" spans="27:77">
      <c r="AA666" s="27"/>
      <c r="BF666" s="30">
        <v>54.5</v>
      </c>
      <c r="BG666" s="31">
        <v>0.76080000000000003</v>
      </c>
      <c r="BH666" s="32">
        <v>760.5</v>
      </c>
      <c r="BJ666" s="30">
        <v>54.5</v>
      </c>
      <c r="BK666" s="34">
        <v>2.8273999999999999</v>
      </c>
      <c r="BL666" s="35">
        <v>0.11874999999999999</v>
      </c>
      <c r="BM666" s="36"/>
      <c r="BN666" s="30">
        <v>54.5</v>
      </c>
      <c r="BO666" s="34">
        <v>2.8727</v>
      </c>
      <c r="BP666" s="35">
        <v>0.12064999999999999</v>
      </c>
      <c r="BY666" s="55"/>
    </row>
    <row r="667" spans="27:77">
      <c r="AA667" s="27"/>
      <c r="BF667" s="30">
        <v>54.6</v>
      </c>
      <c r="BG667" s="31">
        <v>0.76029999999999998</v>
      </c>
      <c r="BH667" s="32">
        <v>760.1</v>
      </c>
      <c r="BJ667" s="30">
        <v>54.6</v>
      </c>
      <c r="BK667" s="34">
        <v>2.8258000000000001</v>
      </c>
      <c r="BL667" s="35">
        <v>0.11869</v>
      </c>
      <c r="BM667" s="36"/>
      <c r="BN667" s="30">
        <v>54.6</v>
      </c>
      <c r="BO667" s="34">
        <v>2.8712</v>
      </c>
      <c r="BP667" s="35">
        <v>0.12059</v>
      </c>
      <c r="BY667" s="55"/>
    </row>
    <row r="668" spans="27:77">
      <c r="AA668" s="27"/>
      <c r="BF668" s="30">
        <v>54.7</v>
      </c>
      <c r="BG668" s="31">
        <v>0.75990000000000002</v>
      </c>
      <c r="BH668" s="32">
        <v>759.7</v>
      </c>
      <c r="BJ668" s="30">
        <v>54.7</v>
      </c>
      <c r="BK668" s="34">
        <v>2.8243</v>
      </c>
      <c r="BL668" s="35">
        <v>0.11862</v>
      </c>
      <c r="BM668" s="36"/>
      <c r="BN668" s="30">
        <v>54.7</v>
      </c>
      <c r="BO668" s="34">
        <v>2.8696000000000002</v>
      </c>
      <c r="BP668" s="35">
        <v>0.12052</v>
      </c>
      <c r="BY668" s="55"/>
    </row>
    <row r="669" spans="27:77">
      <c r="AA669" s="27"/>
      <c r="BF669" s="30">
        <v>54.8</v>
      </c>
      <c r="BG669" s="31">
        <v>0.75949999999999995</v>
      </c>
      <c r="BH669" s="32">
        <v>759.3</v>
      </c>
      <c r="BJ669" s="30">
        <v>54.8</v>
      </c>
      <c r="BK669" s="34">
        <v>2.8228</v>
      </c>
      <c r="BL669" s="35">
        <v>0.11856</v>
      </c>
      <c r="BM669" s="36"/>
      <c r="BN669" s="30">
        <v>54.8</v>
      </c>
      <c r="BO669" s="34">
        <v>2.8681000000000001</v>
      </c>
      <c r="BP669" s="35">
        <v>0.12046</v>
      </c>
      <c r="BY669" s="55"/>
    </row>
    <row r="670" spans="27:77">
      <c r="AA670" s="27"/>
      <c r="BF670" s="30">
        <v>54.9</v>
      </c>
      <c r="BG670" s="31">
        <v>0.7591</v>
      </c>
      <c r="BH670" s="32">
        <v>758.9</v>
      </c>
      <c r="BJ670" s="30">
        <v>54.9</v>
      </c>
      <c r="BK670" s="34">
        <v>2.8212999999999999</v>
      </c>
      <c r="BL670" s="35">
        <v>0.11849</v>
      </c>
      <c r="BM670" s="36"/>
      <c r="BN670" s="30">
        <v>54.9</v>
      </c>
      <c r="BO670" s="34">
        <v>2.8666</v>
      </c>
      <c r="BP670" s="35">
        <v>0.12039999999999999</v>
      </c>
      <c r="BY670" s="55"/>
    </row>
    <row r="671" spans="27:77">
      <c r="AA671" s="27"/>
      <c r="BF671" s="30">
        <v>55</v>
      </c>
      <c r="BG671" s="31">
        <v>0.75870000000000004</v>
      </c>
      <c r="BH671" s="32">
        <v>758.5</v>
      </c>
      <c r="BJ671" s="30">
        <v>55</v>
      </c>
      <c r="BK671" s="34">
        <v>2.8197999999999999</v>
      </c>
      <c r="BL671" s="35">
        <v>0.11842999999999999</v>
      </c>
      <c r="BM671" s="36"/>
      <c r="BN671" s="30">
        <v>55</v>
      </c>
      <c r="BO671" s="34">
        <v>2.8650000000000002</v>
      </c>
      <c r="BP671" s="35">
        <v>0.12033000000000001</v>
      </c>
      <c r="BY671" s="55"/>
    </row>
    <row r="672" spans="27:77">
      <c r="AA672" s="27"/>
      <c r="BF672" s="30">
        <v>55.1</v>
      </c>
      <c r="BG672" s="31">
        <v>0.75829999999999997</v>
      </c>
      <c r="BH672" s="32">
        <v>758.1</v>
      </c>
      <c r="BJ672" s="30">
        <v>55.1</v>
      </c>
      <c r="BK672" s="34">
        <v>2.8182999999999998</v>
      </c>
      <c r="BL672" s="35">
        <v>0.11837</v>
      </c>
      <c r="BM672" s="36"/>
      <c r="BN672" s="30">
        <v>55.1</v>
      </c>
      <c r="BO672" s="34">
        <v>2.8635000000000002</v>
      </c>
      <c r="BP672" s="35">
        <v>0.12027</v>
      </c>
      <c r="BY672" s="55"/>
    </row>
    <row r="673" spans="27:77">
      <c r="AA673" s="27"/>
      <c r="BF673" s="30">
        <v>55.2</v>
      </c>
      <c r="BG673" s="31">
        <v>0.75790000000000002</v>
      </c>
      <c r="BH673" s="32">
        <v>757.6</v>
      </c>
      <c r="BJ673" s="30">
        <v>55.2</v>
      </c>
      <c r="BK673" s="34">
        <v>2.8167</v>
      </c>
      <c r="BL673" s="35">
        <v>0.1183</v>
      </c>
      <c r="BM673" s="36"/>
      <c r="BN673" s="30">
        <v>55.2</v>
      </c>
      <c r="BO673" s="34">
        <v>2.8618999999999999</v>
      </c>
      <c r="BP673" s="35">
        <v>0.1202</v>
      </c>
      <c r="BY673" s="55"/>
    </row>
    <row r="674" spans="27:77">
      <c r="AA674" s="27"/>
      <c r="BF674" s="30">
        <v>55.3</v>
      </c>
      <c r="BG674" s="31">
        <v>0.75749999999999995</v>
      </c>
      <c r="BH674" s="32">
        <v>757.2</v>
      </c>
      <c r="BJ674" s="30">
        <v>55.3</v>
      </c>
      <c r="BK674" s="34">
        <v>2.8151999999999999</v>
      </c>
      <c r="BL674" s="35">
        <v>0.11824</v>
      </c>
      <c r="BM674" s="36"/>
      <c r="BN674" s="30">
        <v>55.3</v>
      </c>
      <c r="BO674" s="34">
        <v>2.8603999999999998</v>
      </c>
      <c r="BP674" s="35">
        <v>0.12014</v>
      </c>
      <c r="BY674" s="55"/>
    </row>
    <row r="675" spans="27:77">
      <c r="AA675" s="27"/>
      <c r="BF675" s="30">
        <v>55.4</v>
      </c>
      <c r="BG675" s="31">
        <v>0.7571</v>
      </c>
      <c r="BH675" s="32">
        <v>756.8</v>
      </c>
      <c r="BJ675" s="30">
        <v>55.4</v>
      </c>
      <c r="BK675" s="34">
        <v>2.8136999999999999</v>
      </c>
      <c r="BL675" s="35">
        <v>0.11817999999999999</v>
      </c>
      <c r="BM675" s="36"/>
      <c r="BN675" s="30">
        <v>55.4</v>
      </c>
      <c r="BO675" s="34">
        <v>2.8589000000000002</v>
      </c>
      <c r="BP675" s="35">
        <v>0.12007</v>
      </c>
      <c r="BY675" s="55"/>
    </row>
    <row r="676" spans="27:77">
      <c r="AA676" s="27"/>
      <c r="BF676" s="30">
        <v>55.5</v>
      </c>
      <c r="BG676" s="31">
        <v>0.75670000000000004</v>
      </c>
      <c r="BH676" s="32">
        <v>756.4</v>
      </c>
      <c r="BJ676" s="30">
        <v>55.5</v>
      </c>
      <c r="BK676" s="34">
        <v>2.8121999999999998</v>
      </c>
      <c r="BL676" s="35">
        <v>0.11811000000000001</v>
      </c>
      <c r="BM676" s="36"/>
      <c r="BN676" s="30">
        <v>55.5</v>
      </c>
      <c r="BO676" s="34">
        <v>2.8573</v>
      </c>
      <c r="BP676" s="35">
        <v>0.12001000000000001</v>
      </c>
      <c r="BY676" s="55"/>
    </row>
    <row r="677" spans="27:77">
      <c r="AA677" s="27"/>
      <c r="BF677" s="30">
        <v>55.6</v>
      </c>
      <c r="BG677" s="31">
        <v>0.75629999999999997</v>
      </c>
      <c r="BH677" s="32">
        <v>756</v>
      </c>
      <c r="BJ677" s="30">
        <v>55.6</v>
      </c>
      <c r="BK677" s="34">
        <v>2.8107000000000002</v>
      </c>
      <c r="BL677" s="35">
        <v>0.11805</v>
      </c>
      <c r="BM677" s="36"/>
      <c r="BN677" s="30">
        <v>55.6</v>
      </c>
      <c r="BO677" s="34">
        <v>2.8557999999999999</v>
      </c>
      <c r="BP677" s="35">
        <v>0.11994</v>
      </c>
      <c r="BY677" s="55"/>
    </row>
    <row r="678" spans="27:77">
      <c r="AA678" s="27"/>
      <c r="BF678" s="30">
        <v>55.7</v>
      </c>
      <c r="BG678" s="31">
        <v>0.75590000000000002</v>
      </c>
      <c r="BH678" s="32">
        <v>755.6</v>
      </c>
      <c r="BJ678" s="30">
        <v>55.7</v>
      </c>
      <c r="BK678" s="34">
        <v>2.8092000000000001</v>
      </c>
      <c r="BL678" s="35">
        <v>0.11799</v>
      </c>
      <c r="BM678" s="36"/>
      <c r="BN678" s="30">
        <v>55.7</v>
      </c>
      <c r="BO678" s="34">
        <v>2.8542999999999998</v>
      </c>
      <c r="BP678" s="35">
        <v>0.11988</v>
      </c>
      <c r="BY678" s="55"/>
    </row>
    <row r="679" spans="27:77">
      <c r="AA679" s="27"/>
      <c r="BF679" s="30">
        <v>55.8</v>
      </c>
      <c r="BG679" s="31">
        <v>0.75549999999999995</v>
      </c>
      <c r="BH679" s="32">
        <v>755.2</v>
      </c>
      <c r="BJ679" s="30">
        <v>55.8</v>
      </c>
      <c r="BK679" s="34">
        <v>2.8077000000000001</v>
      </c>
      <c r="BL679" s="35">
        <v>0.11792</v>
      </c>
      <c r="BM679" s="36"/>
      <c r="BN679" s="30">
        <v>55.8</v>
      </c>
      <c r="BO679" s="34">
        <v>2.8527999999999998</v>
      </c>
      <c r="BP679" s="35">
        <v>0.11982</v>
      </c>
      <c r="BY679" s="55"/>
    </row>
    <row r="680" spans="27:77">
      <c r="AA680" s="27"/>
      <c r="BF680" s="30">
        <v>55.9</v>
      </c>
      <c r="BG680" s="31">
        <v>0.75509999999999999</v>
      </c>
      <c r="BH680" s="32">
        <v>754.8</v>
      </c>
      <c r="BJ680" s="30">
        <v>55.9</v>
      </c>
      <c r="BK680" s="34">
        <v>2.8062</v>
      </c>
      <c r="BL680" s="35">
        <v>0.11786000000000001</v>
      </c>
      <c r="BM680" s="36"/>
      <c r="BN680" s="30">
        <v>55.9</v>
      </c>
      <c r="BO680" s="34">
        <v>2.8512</v>
      </c>
      <c r="BP680" s="35">
        <v>0.11975</v>
      </c>
      <c r="BY680" s="55"/>
    </row>
    <row r="681" spans="27:77">
      <c r="AA681" s="27"/>
      <c r="BF681" s="30">
        <v>56</v>
      </c>
      <c r="BG681" s="31">
        <v>0.75470000000000004</v>
      </c>
      <c r="BH681" s="32">
        <v>754.4</v>
      </c>
      <c r="BJ681" s="30">
        <v>56</v>
      </c>
      <c r="BK681" s="34">
        <v>2.8047</v>
      </c>
      <c r="BL681" s="35">
        <v>0.1178</v>
      </c>
      <c r="BM681" s="36"/>
      <c r="BN681" s="30">
        <v>56</v>
      </c>
      <c r="BO681" s="34">
        <v>2.8496999999999999</v>
      </c>
      <c r="BP681" s="35">
        <v>0.11969</v>
      </c>
      <c r="BY681" s="55"/>
    </row>
    <row r="682" spans="27:77">
      <c r="AA682" s="27"/>
      <c r="BF682" s="30">
        <v>56.1</v>
      </c>
      <c r="BG682" s="31">
        <v>0.75429999999999997</v>
      </c>
      <c r="BH682" s="32">
        <v>754</v>
      </c>
      <c r="BJ682" s="30">
        <v>56.1</v>
      </c>
      <c r="BK682" s="34">
        <v>2.8031999999999999</v>
      </c>
      <c r="BL682" s="35">
        <v>0.11773</v>
      </c>
      <c r="BM682" s="36"/>
      <c r="BN682" s="30">
        <v>56.1</v>
      </c>
      <c r="BO682" s="34">
        <v>2.8481999999999998</v>
      </c>
      <c r="BP682" s="35">
        <v>0.11962</v>
      </c>
      <c r="BY682" s="55"/>
    </row>
    <row r="683" spans="27:77">
      <c r="AA683" s="27"/>
      <c r="BF683" s="30">
        <v>56.2</v>
      </c>
      <c r="BG683" s="31">
        <v>0.75390000000000001</v>
      </c>
      <c r="BH683" s="32">
        <v>753.6</v>
      </c>
      <c r="BJ683" s="30">
        <v>56.2</v>
      </c>
      <c r="BK683" s="34">
        <v>2.8016999999999999</v>
      </c>
      <c r="BL683" s="35">
        <v>0.11767</v>
      </c>
      <c r="BM683" s="36"/>
      <c r="BN683" s="30">
        <v>56.2</v>
      </c>
      <c r="BO683" s="34">
        <v>2.8466999999999998</v>
      </c>
      <c r="BP683" s="35">
        <v>0.11956</v>
      </c>
      <c r="BY683" s="55"/>
    </row>
    <row r="684" spans="27:77">
      <c r="AA684" s="27"/>
      <c r="BF684" s="30">
        <v>56.3</v>
      </c>
      <c r="BG684" s="31">
        <v>0.75349999999999995</v>
      </c>
      <c r="BH684" s="32">
        <v>753.2</v>
      </c>
      <c r="BJ684" s="30">
        <v>56.3</v>
      </c>
      <c r="BK684" s="34">
        <v>2.8001999999999998</v>
      </c>
      <c r="BL684" s="35">
        <v>0.11761000000000001</v>
      </c>
      <c r="BM684" s="36"/>
      <c r="BN684" s="30">
        <v>56.3</v>
      </c>
      <c r="BO684" s="34">
        <v>2.8451</v>
      </c>
      <c r="BP684" s="35">
        <v>0.1195</v>
      </c>
      <c r="BY684" s="55"/>
    </row>
    <row r="685" spans="27:77">
      <c r="AA685" s="27"/>
      <c r="BF685" s="30">
        <v>56.4</v>
      </c>
      <c r="BG685" s="31">
        <v>0.75309999999999999</v>
      </c>
      <c r="BH685" s="32">
        <v>752.8</v>
      </c>
      <c r="BJ685" s="30">
        <v>56.4</v>
      </c>
      <c r="BK685" s="34">
        <v>2.7987000000000002</v>
      </c>
      <c r="BL685" s="35">
        <v>0.11755</v>
      </c>
      <c r="BM685" s="36"/>
      <c r="BN685" s="30">
        <v>56.4</v>
      </c>
      <c r="BO685" s="34">
        <v>2.8435999999999999</v>
      </c>
      <c r="BP685" s="35">
        <v>0.11942999999999999</v>
      </c>
      <c r="BY685" s="55"/>
    </row>
    <row r="686" spans="27:77">
      <c r="AA686" s="27"/>
      <c r="BF686" s="30">
        <v>56.5</v>
      </c>
      <c r="BG686" s="31">
        <v>0.75270000000000004</v>
      </c>
      <c r="BH686" s="32">
        <v>752.4</v>
      </c>
      <c r="BJ686" s="30">
        <v>56.5</v>
      </c>
      <c r="BK686" s="34">
        <v>2.7972000000000001</v>
      </c>
      <c r="BL686" s="35">
        <v>0.11748</v>
      </c>
      <c r="BM686" s="36"/>
      <c r="BN686" s="30">
        <v>56.5</v>
      </c>
      <c r="BO686" s="34">
        <v>2.8420999999999998</v>
      </c>
      <c r="BP686" s="35">
        <v>0.11937</v>
      </c>
      <c r="BY686" s="55"/>
    </row>
    <row r="687" spans="27:77">
      <c r="AA687" s="27"/>
      <c r="BF687" s="30">
        <v>56.6</v>
      </c>
      <c r="BG687" s="31">
        <v>0.75229999999999997</v>
      </c>
      <c r="BH687" s="32">
        <v>752</v>
      </c>
      <c r="BJ687" s="30">
        <v>56.6</v>
      </c>
      <c r="BK687" s="34">
        <v>2.7957000000000001</v>
      </c>
      <c r="BL687" s="35">
        <v>0.11742</v>
      </c>
      <c r="BM687" s="36"/>
      <c r="BN687" s="30">
        <v>56.6</v>
      </c>
      <c r="BO687" s="34">
        <v>2.8405999999999998</v>
      </c>
      <c r="BP687" s="35">
        <v>0.11931</v>
      </c>
      <c r="BY687" s="55"/>
    </row>
    <row r="688" spans="27:77">
      <c r="AA688" s="27"/>
      <c r="BF688" s="30">
        <v>56.7</v>
      </c>
      <c r="BG688" s="31">
        <v>0.75190000000000001</v>
      </c>
      <c r="BH688" s="32">
        <v>751.6</v>
      </c>
      <c r="BJ688" s="30">
        <v>56.7</v>
      </c>
      <c r="BK688" s="34">
        <v>2.7942999999999998</v>
      </c>
      <c r="BL688" s="35">
        <v>0.11736000000000001</v>
      </c>
      <c r="BM688" s="36"/>
      <c r="BN688" s="30">
        <v>56.7</v>
      </c>
      <c r="BO688" s="34">
        <v>2.8391000000000002</v>
      </c>
      <c r="BP688" s="35">
        <v>0.11924</v>
      </c>
      <c r="BY688" s="55"/>
    </row>
    <row r="689" spans="27:77">
      <c r="AA689" s="27"/>
      <c r="BF689" s="30">
        <v>56.8</v>
      </c>
      <c r="BG689" s="31">
        <v>0.75149999999999995</v>
      </c>
      <c r="BH689" s="32">
        <v>751.2</v>
      </c>
      <c r="BJ689" s="30">
        <v>56.8</v>
      </c>
      <c r="BK689" s="34">
        <v>2.7928000000000002</v>
      </c>
      <c r="BL689" s="35">
        <v>0.1173</v>
      </c>
      <c r="BM689" s="36"/>
      <c r="BN689" s="30">
        <v>56.8</v>
      </c>
      <c r="BO689" s="34">
        <v>2.8376000000000001</v>
      </c>
      <c r="BP689" s="35">
        <v>0.11917999999999999</v>
      </c>
      <c r="BY689" s="55"/>
    </row>
    <row r="690" spans="27:77">
      <c r="AA690" s="27"/>
      <c r="BF690" s="30">
        <v>56.9</v>
      </c>
      <c r="BG690" s="31">
        <v>0.75109999999999999</v>
      </c>
      <c r="BH690" s="32">
        <v>750.8</v>
      </c>
      <c r="BJ690" s="30">
        <v>56.9</v>
      </c>
      <c r="BK690" s="34">
        <v>2.7913000000000001</v>
      </c>
      <c r="BL690" s="35">
        <v>0.11723</v>
      </c>
      <c r="BM690" s="36"/>
      <c r="BN690" s="30">
        <v>56.9</v>
      </c>
      <c r="BO690" s="34">
        <v>2.8361000000000001</v>
      </c>
      <c r="BP690" s="35">
        <v>0.11912</v>
      </c>
      <c r="BY690" s="55"/>
    </row>
    <row r="691" spans="27:77">
      <c r="AA691" s="27"/>
      <c r="BF691" s="30">
        <v>57</v>
      </c>
      <c r="BG691" s="31">
        <v>0.75070000000000003</v>
      </c>
      <c r="BH691" s="32">
        <v>750.4</v>
      </c>
      <c r="BJ691" s="30">
        <v>57</v>
      </c>
      <c r="BK691" s="34">
        <v>2.7898000000000001</v>
      </c>
      <c r="BL691" s="35">
        <v>0.11717</v>
      </c>
      <c r="BM691" s="36"/>
      <c r="BN691" s="30">
        <v>57</v>
      </c>
      <c r="BO691" s="34">
        <v>2.8346</v>
      </c>
      <c r="BP691" s="35">
        <v>0.11905</v>
      </c>
      <c r="BY691" s="55"/>
    </row>
    <row r="692" spans="27:77">
      <c r="AA692" s="27"/>
      <c r="BF692" s="30">
        <v>57.1</v>
      </c>
      <c r="BG692" s="31">
        <v>0.75029999999999997</v>
      </c>
      <c r="BH692" s="32">
        <v>750</v>
      </c>
      <c r="BJ692" s="30">
        <v>57.1</v>
      </c>
      <c r="BK692" s="34">
        <v>2.7883</v>
      </c>
      <c r="BL692" s="35">
        <v>0.11711000000000001</v>
      </c>
      <c r="BM692" s="36"/>
      <c r="BN692" s="30">
        <v>57.1</v>
      </c>
      <c r="BO692" s="34">
        <v>2.8331</v>
      </c>
      <c r="BP692" s="35">
        <v>0.11899</v>
      </c>
      <c r="BY692" s="55"/>
    </row>
    <row r="693" spans="27:77">
      <c r="AA693" s="27"/>
      <c r="BF693" s="30">
        <v>57.2</v>
      </c>
      <c r="BG693" s="31">
        <v>0.74990000000000001</v>
      </c>
      <c r="BH693" s="32">
        <v>749.6</v>
      </c>
      <c r="BJ693" s="30">
        <v>57.2</v>
      </c>
      <c r="BK693" s="34">
        <v>2.7867999999999999</v>
      </c>
      <c r="BL693" s="35">
        <v>0.11705</v>
      </c>
      <c r="BM693" s="36"/>
      <c r="BN693" s="30">
        <v>57.2</v>
      </c>
      <c r="BO693" s="34">
        <v>2.8315999999999999</v>
      </c>
      <c r="BP693" s="35">
        <v>0.11892999999999999</v>
      </c>
      <c r="BY693" s="55"/>
    </row>
    <row r="694" spans="27:77">
      <c r="AA694" s="27"/>
      <c r="BF694" s="30">
        <v>57.3</v>
      </c>
      <c r="BG694" s="31">
        <v>0.74950000000000006</v>
      </c>
      <c r="BH694" s="32">
        <v>749.2</v>
      </c>
      <c r="BJ694" s="30">
        <v>57.3</v>
      </c>
      <c r="BK694" s="34">
        <v>2.7854000000000001</v>
      </c>
      <c r="BL694" s="35">
        <v>0.11699</v>
      </c>
      <c r="BM694" s="36"/>
      <c r="BN694" s="30">
        <v>57.3</v>
      </c>
      <c r="BO694" s="34">
        <v>2.8300999999999998</v>
      </c>
      <c r="BP694" s="35">
        <v>0.11885999999999999</v>
      </c>
      <c r="BY694" s="55"/>
    </row>
    <row r="695" spans="27:77">
      <c r="AA695" s="27"/>
      <c r="BF695" s="30">
        <v>57.4</v>
      </c>
      <c r="BG695" s="31">
        <v>0.74909999999999999</v>
      </c>
      <c r="BH695" s="32">
        <v>748.8</v>
      </c>
      <c r="BJ695" s="30">
        <v>57.4</v>
      </c>
      <c r="BK695" s="34">
        <v>2.7839</v>
      </c>
      <c r="BL695" s="35">
        <v>0.11692</v>
      </c>
      <c r="BM695" s="36"/>
      <c r="BN695" s="30">
        <v>57.4</v>
      </c>
      <c r="BO695" s="34">
        <v>2.8285999999999998</v>
      </c>
      <c r="BP695" s="35">
        <v>0.1188</v>
      </c>
      <c r="BY695" s="55"/>
    </row>
    <row r="696" spans="27:77">
      <c r="AA696" s="27"/>
      <c r="BF696" s="30">
        <v>57.5</v>
      </c>
      <c r="BG696" s="31">
        <v>0.74870000000000003</v>
      </c>
      <c r="BH696" s="32">
        <v>748.4</v>
      </c>
      <c r="BJ696" s="30">
        <v>57.5</v>
      </c>
      <c r="BK696" s="34">
        <v>2.7824</v>
      </c>
      <c r="BL696" s="35">
        <v>0.11686000000000001</v>
      </c>
      <c r="BM696" s="36"/>
      <c r="BN696" s="30">
        <v>57.5</v>
      </c>
      <c r="BO696" s="34">
        <v>2.8271000000000002</v>
      </c>
      <c r="BP696" s="35">
        <v>0.11874</v>
      </c>
      <c r="BY696" s="55"/>
    </row>
    <row r="697" spans="27:77">
      <c r="AA697" s="27"/>
      <c r="BF697" s="30">
        <v>57.6</v>
      </c>
      <c r="BG697" s="31">
        <v>0.74829999999999997</v>
      </c>
      <c r="BH697" s="32">
        <v>748</v>
      </c>
      <c r="BJ697" s="30">
        <v>57.6</v>
      </c>
      <c r="BK697" s="34">
        <v>2.7808999999999999</v>
      </c>
      <c r="BL697" s="35">
        <v>0.1168</v>
      </c>
      <c r="BM697" s="36"/>
      <c r="BN697" s="30">
        <v>57.6</v>
      </c>
      <c r="BO697" s="34">
        <v>2.8256000000000001</v>
      </c>
      <c r="BP697" s="35">
        <v>0.11867</v>
      </c>
      <c r="BY697" s="55"/>
    </row>
    <row r="698" spans="27:77">
      <c r="AA698" s="27"/>
      <c r="BF698" s="30">
        <v>57.7</v>
      </c>
      <c r="BG698" s="31">
        <v>0.74790000000000001</v>
      </c>
      <c r="BH698" s="32">
        <v>747.6</v>
      </c>
      <c r="BJ698" s="30">
        <v>57.7</v>
      </c>
      <c r="BK698" s="34">
        <v>2.7795000000000001</v>
      </c>
      <c r="BL698" s="35">
        <v>0.11674</v>
      </c>
      <c r="BM698" s="36"/>
      <c r="BN698" s="30">
        <v>57.7</v>
      </c>
      <c r="BO698" s="34">
        <v>2.8241000000000001</v>
      </c>
      <c r="BP698" s="35">
        <v>0.11860999999999999</v>
      </c>
      <c r="BY698" s="55"/>
    </row>
    <row r="699" spans="27:77">
      <c r="AA699" s="27"/>
      <c r="BF699" s="30">
        <v>57.8</v>
      </c>
      <c r="BG699" s="31">
        <v>0.74750000000000005</v>
      </c>
      <c r="BH699" s="32">
        <v>747.3</v>
      </c>
      <c r="BJ699" s="30">
        <v>57.8</v>
      </c>
      <c r="BK699" s="34">
        <v>2.778</v>
      </c>
      <c r="BL699" s="35">
        <v>0.11668000000000001</v>
      </c>
      <c r="BM699" s="36"/>
      <c r="BN699" s="30">
        <v>57.8</v>
      </c>
      <c r="BO699" s="34">
        <v>2.8226</v>
      </c>
      <c r="BP699" s="35">
        <v>0.11855</v>
      </c>
      <c r="BY699" s="55"/>
    </row>
    <row r="700" spans="27:77">
      <c r="AA700" s="27"/>
      <c r="BF700" s="30">
        <v>57.9</v>
      </c>
      <c r="BG700" s="31">
        <v>0.74709999999999999</v>
      </c>
      <c r="BH700" s="32">
        <v>746.9</v>
      </c>
      <c r="BJ700" s="30">
        <v>57.9</v>
      </c>
      <c r="BK700" s="34">
        <v>2.7765</v>
      </c>
      <c r="BL700" s="35">
        <v>0.11661000000000001</v>
      </c>
      <c r="BM700" s="36"/>
      <c r="BN700" s="30">
        <v>57.9</v>
      </c>
      <c r="BO700" s="34">
        <v>2.8210999999999999</v>
      </c>
      <c r="BP700" s="35">
        <v>0.11849</v>
      </c>
      <c r="BY700" s="55"/>
    </row>
    <row r="701" spans="27:77">
      <c r="AA701" s="27"/>
      <c r="BF701" s="30">
        <v>58</v>
      </c>
      <c r="BG701" s="31">
        <v>0.74670000000000003</v>
      </c>
      <c r="BH701" s="32">
        <v>746.5</v>
      </c>
      <c r="BJ701" s="30">
        <v>58</v>
      </c>
      <c r="BK701" s="34">
        <v>2.7751000000000001</v>
      </c>
      <c r="BL701" s="35">
        <v>0.11655</v>
      </c>
      <c r="BM701" s="36"/>
      <c r="BN701" s="30">
        <v>58</v>
      </c>
      <c r="BO701" s="34">
        <v>2.8195999999999999</v>
      </c>
      <c r="BP701" s="35">
        <v>0.11842</v>
      </c>
      <c r="BY701" s="55"/>
    </row>
    <row r="702" spans="27:77">
      <c r="AA702" s="27"/>
      <c r="BF702" s="30">
        <v>58.1</v>
      </c>
      <c r="BG702" s="31">
        <v>0.74629999999999996</v>
      </c>
      <c r="BH702" s="32">
        <v>746.1</v>
      </c>
      <c r="BJ702" s="30">
        <v>58.1</v>
      </c>
      <c r="BK702" s="34">
        <v>2.7736000000000001</v>
      </c>
      <c r="BL702" s="35">
        <v>0.11649</v>
      </c>
      <c r="BM702" s="36"/>
      <c r="BN702" s="30">
        <v>58.1</v>
      </c>
      <c r="BO702" s="34">
        <v>2.8180999999999998</v>
      </c>
      <c r="BP702" s="35">
        <v>0.11836000000000001</v>
      </c>
      <c r="BY702" s="55"/>
    </row>
    <row r="703" spans="27:77">
      <c r="AA703" s="27"/>
      <c r="BF703" s="30">
        <v>58.2</v>
      </c>
      <c r="BG703" s="31">
        <v>0.74590000000000001</v>
      </c>
      <c r="BH703" s="32">
        <v>745.7</v>
      </c>
      <c r="BJ703" s="30">
        <v>58.2</v>
      </c>
      <c r="BK703" s="34">
        <v>2.7721</v>
      </c>
      <c r="BL703" s="35">
        <v>0.11643000000000001</v>
      </c>
      <c r="BM703" s="36"/>
      <c r="BN703" s="30">
        <v>58.2</v>
      </c>
      <c r="BO703" s="34">
        <v>2.8166000000000002</v>
      </c>
      <c r="BP703" s="35">
        <v>0.1183</v>
      </c>
      <c r="BY703" s="55"/>
    </row>
    <row r="704" spans="27:77">
      <c r="AA704" s="27"/>
      <c r="BF704" s="30">
        <v>58.3</v>
      </c>
      <c r="BG704" s="31">
        <v>0.74550000000000005</v>
      </c>
      <c r="BH704" s="32">
        <v>745.3</v>
      </c>
      <c r="BJ704" s="30">
        <v>58.3</v>
      </c>
      <c r="BK704" s="34">
        <v>2.7707000000000002</v>
      </c>
      <c r="BL704" s="35">
        <v>0.11637</v>
      </c>
      <c r="BM704" s="36"/>
      <c r="BN704" s="30">
        <v>58.3</v>
      </c>
      <c r="BO704" s="34">
        <v>2.8151000000000002</v>
      </c>
      <c r="BP704" s="35">
        <v>0.11824</v>
      </c>
      <c r="BY704" s="55"/>
    </row>
    <row r="705" spans="27:77">
      <c r="AA705" s="27"/>
      <c r="BF705" s="30">
        <v>58.4</v>
      </c>
      <c r="BG705" s="31">
        <v>0.74509999999999998</v>
      </c>
      <c r="BH705" s="32">
        <v>744.9</v>
      </c>
      <c r="BJ705" s="30">
        <v>58.4</v>
      </c>
      <c r="BK705" s="34">
        <v>2.7692000000000001</v>
      </c>
      <c r="BL705" s="35">
        <v>0.11631</v>
      </c>
      <c r="BM705" s="36"/>
      <c r="BN705" s="30">
        <v>58.4</v>
      </c>
      <c r="BO705" s="34">
        <v>2.8136000000000001</v>
      </c>
      <c r="BP705" s="35">
        <v>0.11817</v>
      </c>
      <c r="BY705" s="55"/>
    </row>
    <row r="706" spans="27:77">
      <c r="AA706" s="27"/>
      <c r="BF706" s="30">
        <v>58.5</v>
      </c>
      <c r="BG706" s="31">
        <v>0.74470000000000003</v>
      </c>
      <c r="BH706" s="32">
        <v>744.5</v>
      </c>
      <c r="BJ706" s="30">
        <v>58.5</v>
      </c>
      <c r="BK706" s="34">
        <v>2.7677</v>
      </c>
      <c r="BL706" s="35">
        <v>0.11624</v>
      </c>
      <c r="BM706" s="36"/>
      <c r="BN706" s="30">
        <v>58.5</v>
      </c>
      <c r="BO706" s="34">
        <v>2.8121999999999998</v>
      </c>
      <c r="BP706" s="35">
        <v>0.11811000000000001</v>
      </c>
      <c r="BY706" s="55"/>
    </row>
    <row r="707" spans="27:77">
      <c r="AA707" s="27"/>
      <c r="BF707" s="30">
        <v>58.6</v>
      </c>
      <c r="BG707" s="31">
        <v>0.74429999999999996</v>
      </c>
      <c r="BH707" s="32">
        <v>744.13</v>
      </c>
      <c r="BJ707" s="30">
        <v>58.6</v>
      </c>
      <c r="BK707" s="34">
        <v>2.7663000000000002</v>
      </c>
      <c r="BL707" s="35">
        <v>0.11618000000000001</v>
      </c>
      <c r="BM707" s="36"/>
      <c r="BN707" s="30">
        <v>58.6</v>
      </c>
      <c r="BO707" s="34">
        <v>2.8107000000000002</v>
      </c>
      <c r="BP707" s="35">
        <v>0.11805</v>
      </c>
      <c r="BY707" s="55"/>
    </row>
    <row r="708" spans="27:77">
      <c r="AA708" s="27"/>
      <c r="BF708" s="30">
        <v>58.7</v>
      </c>
      <c r="BG708" s="31">
        <v>0.74399999999999999</v>
      </c>
      <c r="BH708" s="32">
        <v>743.7</v>
      </c>
      <c r="BJ708" s="30">
        <v>58.7</v>
      </c>
      <c r="BK708" s="34">
        <v>2.7648000000000001</v>
      </c>
      <c r="BL708" s="35">
        <v>0.11612</v>
      </c>
      <c r="BM708" s="36"/>
      <c r="BN708" s="30">
        <v>58.7</v>
      </c>
      <c r="BO708" s="34">
        <v>2.8092000000000001</v>
      </c>
      <c r="BP708" s="35">
        <v>0.11799</v>
      </c>
      <c r="BY708" s="55"/>
    </row>
    <row r="709" spans="27:77">
      <c r="AA709" s="27"/>
      <c r="BF709" s="30">
        <v>58.8</v>
      </c>
      <c r="BG709" s="31">
        <v>0.74360000000000004</v>
      </c>
      <c r="BH709" s="32">
        <v>743.3</v>
      </c>
      <c r="BJ709" s="30">
        <v>58.8</v>
      </c>
      <c r="BK709" s="34">
        <v>2.7633999999999999</v>
      </c>
      <c r="BL709" s="35">
        <v>0.11606</v>
      </c>
      <c r="BM709" s="36"/>
      <c r="BN709" s="30">
        <v>58.8</v>
      </c>
      <c r="BO709" s="34">
        <v>2.8077000000000001</v>
      </c>
      <c r="BP709" s="35">
        <v>0.11792</v>
      </c>
      <c r="BY709" s="55"/>
    </row>
    <row r="710" spans="27:77">
      <c r="AA710" s="27"/>
      <c r="BF710" s="30">
        <v>58.9</v>
      </c>
      <c r="BG710" s="31">
        <v>0.74319999999999997</v>
      </c>
      <c r="BH710" s="32">
        <v>742.9</v>
      </c>
      <c r="BJ710" s="30">
        <v>58.9</v>
      </c>
      <c r="BK710" s="34">
        <v>2.7618999999999998</v>
      </c>
      <c r="BL710" s="35">
        <v>0.11600000000000001</v>
      </c>
      <c r="BM710" s="36"/>
      <c r="BN710" s="30">
        <v>58.9</v>
      </c>
      <c r="BO710" s="34">
        <v>2.8062</v>
      </c>
      <c r="BP710" s="35">
        <v>0.11786000000000001</v>
      </c>
      <c r="BY710" s="55"/>
    </row>
    <row r="711" spans="27:77">
      <c r="AA711" s="27"/>
      <c r="BF711" s="30">
        <v>59</v>
      </c>
      <c r="BG711" s="31">
        <v>0.74280000000000002</v>
      </c>
      <c r="BH711" s="32">
        <v>742.6</v>
      </c>
      <c r="BJ711" s="30">
        <v>59</v>
      </c>
      <c r="BK711" s="34">
        <v>2.7605</v>
      </c>
      <c r="BL711" s="35">
        <v>0.11594</v>
      </c>
      <c r="BM711" s="36"/>
      <c r="BN711" s="30">
        <v>59</v>
      </c>
      <c r="BO711" s="34">
        <v>2.8048000000000002</v>
      </c>
      <c r="BP711" s="35">
        <v>0.1178</v>
      </c>
      <c r="BY711" s="55"/>
    </row>
    <row r="712" spans="27:77">
      <c r="AA712" s="27"/>
      <c r="BF712" s="30">
        <v>59.1</v>
      </c>
      <c r="BG712" s="31">
        <v>0.74239999999999995</v>
      </c>
      <c r="BH712" s="32">
        <v>742.2</v>
      </c>
      <c r="BJ712" s="30">
        <v>59.1</v>
      </c>
      <c r="BK712" s="34">
        <v>2.7589999999999999</v>
      </c>
      <c r="BL712" s="35">
        <v>0.11588</v>
      </c>
      <c r="BM712" s="36"/>
      <c r="BN712" s="30">
        <v>59.1</v>
      </c>
      <c r="BO712" s="34">
        <v>2.8033000000000001</v>
      </c>
      <c r="BP712" s="35">
        <v>0.11774</v>
      </c>
      <c r="BY712" s="55"/>
    </row>
    <row r="713" spans="27:77">
      <c r="AA713" s="27"/>
      <c r="BF713" s="30">
        <v>59.2</v>
      </c>
      <c r="BG713" s="31">
        <v>0.74199999999999999</v>
      </c>
      <c r="BH713" s="32">
        <v>741.8</v>
      </c>
      <c r="BJ713" s="30">
        <v>59.2</v>
      </c>
      <c r="BK713" s="34">
        <v>2.7576000000000001</v>
      </c>
      <c r="BL713" s="35">
        <v>0.11582000000000001</v>
      </c>
      <c r="BM713" s="36"/>
      <c r="BN713" s="30">
        <v>59.2</v>
      </c>
      <c r="BO713" s="34">
        <v>2.8018000000000001</v>
      </c>
      <c r="BP713" s="35">
        <v>0.11768000000000001</v>
      </c>
      <c r="BY713" s="55"/>
    </row>
    <row r="714" spans="27:77">
      <c r="AA714" s="27"/>
      <c r="BF714" s="30">
        <v>59.3</v>
      </c>
      <c r="BG714" s="31">
        <v>0.74160000000000004</v>
      </c>
      <c r="BH714" s="32">
        <v>741.4</v>
      </c>
      <c r="BJ714" s="30">
        <v>59.3</v>
      </c>
      <c r="BK714" s="34">
        <v>2.7561</v>
      </c>
      <c r="BL714" s="35">
        <v>0.11576</v>
      </c>
      <c r="BM714" s="36"/>
      <c r="BN714" s="30">
        <v>59.3</v>
      </c>
      <c r="BO714" s="34">
        <v>2.8003</v>
      </c>
      <c r="BP714" s="35">
        <v>0.11761000000000001</v>
      </c>
      <c r="BY714" s="55"/>
    </row>
    <row r="715" spans="27:77">
      <c r="AA715" s="27"/>
      <c r="BF715" s="30">
        <v>59.4</v>
      </c>
      <c r="BG715" s="31">
        <v>0.74119999999999997</v>
      </c>
      <c r="BH715" s="32">
        <v>741</v>
      </c>
      <c r="BJ715" s="30">
        <v>59.4</v>
      </c>
      <c r="BK715" s="34">
        <v>2.7547000000000001</v>
      </c>
      <c r="BL715" s="35">
        <v>0.1157</v>
      </c>
      <c r="BM715" s="36"/>
      <c r="BN715" s="30">
        <v>59.4</v>
      </c>
      <c r="BO715" s="34">
        <v>2.7988</v>
      </c>
      <c r="BP715" s="35">
        <v>0.11755</v>
      </c>
      <c r="BY715" s="55"/>
    </row>
    <row r="716" spans="27:77">
      <c r="AA716" s="27"/>
      <c r="BF716" s="30">
        <v>59.5</v>
      </c>
      <c r="BG716" s="31">
        <v>0.74080000000000001</v>
      </c>
      <c r="BH716" s="32">
        <v>740.6</v>
      </c>
      <c r="BJ716" s="30">
        <v>59.5</v>
      </c>
      <c r="BK716" s="34">
        <v>2.7532000000000001</v>
      </c>
      <c r="BL716" s="35">
        <v>0.11564000000000001</v>
      </c>
      <c r="BM716" s="36"/>
      <c r="BN716" s="30">
        <v>59.5</v>
      </c>
      <c r="BO716" s="34">
        <v>2.7974000000000001</v>
      </c>
      <c r="BP716" s="35">
        <v>0.11749</v>
      </c>
      <c r="BY716" s="55"/>
    </row>
    <row r="717" spans="27:77">
      <c r="AA717" s="27"/>
      <c r="BF717" s="30">
        <v>59.6</v>
      </c>
      <c r="BG717" s="31">
        <v>0.74050000000000005</v>
      </c>
      <c r="BH717" s="32">
        <v>740.2</v>
      </c>
      <c r="BJ717" s="30">
        <v>59.6</v>
      </c>
      <c r="BK717" s="34">
        <v>2.7517999999999998</v>
      </c>
      <c r="BL717" s="35">
        <v>0.11557000000000001</v>
      </c>
      <c r="BM717" s="36"/>
      <c r="BN717" s="30">
        <v>59.6</v>
      </c>
      <c r="BO717" s="34">
        <v>2.7959000000000001</v>
      </c>
      <c r="BP717" s="35">
        <v>0.11743000000000001</v>
      </c>
      <c r="BY717" s="55"/>
    </row>
    <row r="718" spans="27:77">
      <c r="AA718" s="27"/>
      <c r="BF718" s="30">
        <v>59.7</v>
      </c>
      <c r="BG718" s="31">
        <v>0.74009999999999998</v>
      </c>
      <c r="BH718" s="32">
        <v>739.8</v>
      </c>
      <c r="BJ718" s="30">
        <v>59.7</v>
      </c>
      <c r="BK718" s="34">
        <v>2.7503000000000002</v>
      </c>
      <c r="BL718" s="35">
        <v>0.11551</v>
      </c>
      <c r="BM718" s="36"/>
      <c r="BN718" s="30">
        <v>59.7</v>
      </c>
      <c r="BO718" s="34">
        <v>2.7945000000000002</v>
      </c>
      <c r="BP718" s="35">
        <v>0.11737</v>
      </c>
      <c r="BY718" s="55"/>
    </row>
    <row r="719" spans="27:77">
      <c r="AA719" s="27"/>
      <c r="BF719" s="30">
        <v>59.8</v>
      </c>
      <c r="BG719" s="31">
        <v>0.73970000000000002</v>
      </c>
      <c r="BH719" s="32">
        <v>739.4</v>
      </c>
      <c r="BJ719" s="30">
        <v>59.8</v>
      </c>
      <c r="BK719" s="34">
        <v>2.7488999999999999</v>
      </c>
      <c r="BL719" s="35">
        <v>0.11545</v>
      </c>
      <c r="BM719" s="36"/>
      <c r="BN719" s="30">
        <v>59.8</v>
      </c>
      <c r="BO719" s="34">
        <v>2.7930000000000001</v>
      </c>
      <c r="BP719" s="35">
        <v>0.11731</v>
      </c>
      <c r="BY719" s="55"/>
    </row>
    <row r="720" spans="27:77">
      <c r="AA720" s="27"/>
      <c r="BF720" s="30">
        <v>59.9</v>
      </c>
      <c r="BG720" s="31">
        <v>0.73929999999999996</v>
      </c>
      <c r="BH720" s="32">
        <v>739.1</v>
      </c>
      <c r="BJ720" s="30">
        <v>59.9</v>
      </c>
      <c r="BK720" s="34">
        <v>2.7475000000000001</v>
      </c>
      <c r="BL720" s="35">
        <v>0.11539000000000001</v>
      </c>
      <c r="BM720" s="36"/>
      <c r="BN720" s="30">
        <v>59.9</v>
      </c>
      <c r="BO720" s="34">
        <v>2.7915000000000001</v>
      </c>
      <c r="BP720" s="35">
        <v>0.11724999999999999</v>
      </c>
      <c r="BY720" s="55"/>
    </row>
    <row r="721" spans="27:77">
      <c r="AA721" s="27"/>
      <c r="BF721" s="30">
        <v>60</v>
      </c>
      <c r="BG721" s="31">
        <v>0.7389</v>
      </c>
      <c r="BH721" s="32">
        <v>738.7</v>
      </c>
      <c r="BJ721" s="30">
        <v>60</v>
      </c>
      <c r="BK721" s="34">
        <v>2.746</v>
      </c>
      <c r="BL721" s="35">
        <v>0.11533</v>
      </c>
      <c r="BM721" s="36"/>
      <c r="BN721" s="30">
        <v>60</v>
      </c>
      <c r="BO721" s="34">
        <v>2.7900999999999998</v>
      </c>
      <c r="BP721" s="35">
        <v>0.11718000000000001</v>
      </c>
      <c r="BY721" s="55"/>
    </row>
    <row r="722" spans="27:77">
      <c r="AA722" s="27"/>
      <c r="BF722" s="30">
        <v>60.1</v>
      </c>
      <c r="BG722" s="31">
        <v>0.73850000000000005</v>
      </c>
      <c r="BH722" s="32">
        <v>738.3</v>
      </c>
      <c r="BJ722" s="30">
        <v>60.1</v>
      </c>
      <c r="BK722" s="34">
        <v>2.7446000000000002</v>
      </c>
      <c r="BL722" s="35">
        <v>0.11527</v>
      </c>
      <c r="BM722" s="36"/>
      <c r="BN722" s="30">
        <v>60.1</v>
      </c>
      <c r="BO722" s="34">
        <v>2.7886000000000002</v>
      </c>
      <c r="BP722" s="35">
        <v>0.11712</v>
      </c>
      <c r="BY722" s="55"/>
    </row>
    <row r="723" spans="27:77">
      <c r="AA723" s="27"/>
      <c r="BF723" s="30">
        <v>60.2</v>
      </c>
      <c r="BG723" s="31">
        <v>0.73809999999999998</v>
      </c>
      <c r="BH723" s="32">
        <v>737.9</v>
      </c>
      <c r="BJ723" s="30">
        <v>60.2</v>
      </c>
      <c r="BK723" s="34">
        <v>2.7431999999999999</v>
      </c>
      <c r="BL723" s="35">
        <v>0.11521000000000001</v>
      </c>
      <c r="BM723" s="36"/>
      <c r="BN723" s="30">
        <v>60.2</v>
      </c>
      <c r="BO723" s="34">
        <v>2.7871999999999999</v>
      </c>
      <c r="BP723" s="35">
        <v>0.11706</v>
      </c>
      <c r="BY723" s="55"/>
    </row>
    <row r="724" spans="27:77">
      <c r="AA724" s="27"/>
      <c r="BF724" s="30">
        <v>60.3</v>
      </c>
      <c r="BG724" s="31">
        <v>0.73770000000000002</v>
      </c>
      <c r="BH724" s="32">
        <v>737.5</v>
      </c>
      <c r="BJ724" s="30">
        <v>60.3</v>
      </c>
      <c r="BK724" s="34">
        <v>2.7416999999999998</v>
      </c>
      <c r="BL724" s="35">
        <v>0.11515</v>
      </c>
      <c r="BM724" s="36"/>
      <c r="BN724" s="30">
        <v>60.3</v>
      </c>
      <c r="BO724" s="34">
        <v>2.7856999999999998</v>
      </c>
      <c r="BP724" s="35">
        <v>0.11700000000000001</v>
      </c>
      <c r="BY724" s="55"/>
    </row>
    <row r="725" spans="27:77">
      <c r="AA725" s="27"/>
      <c r="BF725" s="30">
        <v>60.4</v>
      </c>
      <c r="BG725" s="31">
        <v>0.73740000000000006</v>
      </c>
      <c r="BH725" s="32">
        <v>737.1</v>
      </c>
      <c r="BJ725" s="30">
        <v>60.4</v>
      </c>
      <c r="BK725" s="34">
        <v>2.7403</v>
      </c>
      <c r="BL725" s="35">
        <v>0.11509</v>
      </c>
      <c r="BM725" s="36"/>
      <c r="BN725" s="30">
        <v>60.4</v>
      </c>
      <c r="BO725" s="34">
        <v>2.7843</v>
      </c>
      <c r="BP725" s="35">
        <v>0.11694</v>
      </c>
      <c r="BY725" s="55"/>
    </row>
    <row r="726" spans="27:77">
      <c r="AA726" s="27"/>
      <c r="BF726" s="30">
        <v>60.5</v>
      </c>
      <c r="BG726" s="31">
        <v>0.73699999999999999</v>
      </c>
      <c r="BH726" s="32">
        <v>736.8</v>
      </c>
      <c r="BJ726" s="30">
        <v>60.5</v>
      </c>
      <c r="BK726" s="34">
        <v>2.7389000000000001</v>
      </c>
      <c r="BL726" s="35">
        <v>0.11502999999999999</v>
      </c>
      <c r="BM726" s="36"/>
      <c r="BN726" s="30">
        <v>60.5</v>
      </c>
      <c r="BO726" s="34">
        <v>2.7827999999999999</v>
      </c>
      <c r="BP726" s="35">
        <v>0.11688</v>
      </c>
      <c r="BY726" s="55"/>
    </row>
    <row r="727" spans="27:77">
      <c r="AA727" s="27"/>
      <c r="BF727" s="30">
        <v>60.6</v>
      </c>
      <c r="BG727" s="31">
        <v>0.73660000000000003</v>
      </c>
      <c r="BH727" s="32">
        <v>736.4</v>
      </c>
      <c r="BJ727" s="30">
        <v>60.6</v>
      </c>
      <c r="BK727" s="34">
        <v>2.7374000000000001</v>
      </c>
      <c r="BL727" s="35">
        <v>0.11497</v>
      </c>
      <c r="BM727" s="36"/>
      <c r="BN727" s="30">
        <v>60.6</v>
      </c>
      <c r="BO727" s="34">
        <v>2.7814000000000001</v>
      </c>
      <c r="BP727" s="35">
        <v>0.11681999999999999</v>
      </c>
      <c r="BY727" s="55"/>
    </row>
    <row r="728" spans="27:77">
      <c r="AA728" s="27"/>
      <c r="BF728" s="30">
        <v>60.7</v>
      </c>
      <c r="BG728" s="31">
        <v>0.73619999999999997</v>
      </c>
      <c r="BH728" s="32">
        <v>736</v>
      </c>
      <c r="BJ728" s="30">
        <v>60.7</v>
      </c>
      <c r="BK728" s="34">
        <v>2.7360000000000002</v>
      </c>
      <c r="BL728" s="35">
        <v>0.11491</v>
      </c>
      <c r="BM728" s="36"/>
      <c r="BN728" s="30">
        <v>60.7</v>
      </c>
      <c r="BO728" s="34">
        <v>2.7799</v>
      </c>
      <c r="BP728" s="35">
        <v>0.11676</v>
      </c>
      <c r="BY728" s="55"/>
    </row>
    <row r="729" spans="27:77">
      <c r="AA729" s="27"/>
      <c r="BF729" s="30">
        <v>60.8</v>
      </c>
      <c r="BG729" s="31">
        <v>0.73580000000000001</v>
      </c>
      <c r="BH729" s="32">
        <v>735.6</v>
      </c>
      <c r="BJ729" s="30">
        <v>60.8</v>
      </c>
      <c r="BK729" s="34">
        <v>2.7345999999999999</v>
      </c>
      <c r="BL729" s="35">
        <v>0.11484999999999999</v>
      </c>
      <c r="BM729" s="36"/>
      <c r="BN729" s="30">
        <v>60.8</v>
      </c>
      <c r="BO729" s="34">
        <v>2.7785000000000002</v>
      </c>
      <c r="BP729" s="35">
        <v>0.1167</v>
      </c>
      <c r="BY729" s="55"/>
    </row>
    <row r="730" spans="27:77">
      <c r="AA730" s="27"/>
      <c r="BF730" s="30">
        <v>60.9</v>
      </c>
      <c r="BG730" s="31">
        <v>0.73540000000000005</v>
      </c>
      <c r="BH730" s="32">
        <v>735.2</v>
      </c>
      <c r="BJ730" s="30">
        <v>60.9</v>
      </c>
      <c r="BK730" s="34">
        <v>2.7332000000000001</v>
      </c>
      <c r="BL730" s="35">
        <v>0.11479</v>
      </c>
      <c r="BM730" s="36"/>
      <c r="BN730" s="30">
        <v>60.9</v>
      </c>
      <c r="BO730" s="34">
        <v>2.7770000000000001</v>
      </c>
      <c r="BP730" s="35">
        <v>0.11663</v>
      </c>
      <c r="BY730" s="55"/>
    </row>
    <row r="731" spans="27:77">
      <c r="AA731" s="27"/>
      <c r="BF731" s="30">
        <v>61</v>
      </c>
      <c r="BG731" s="31">
        <v>0.73509999999999998</v>
      </c>
      <c r="BH731" s="32">
        <v>734.8</v>
      </c>
      <c r="BJ731" s="30">
        <v>61</v>
      </c>
      <c r="BK731" s="34">
        <v>2.7317</v>
      </c>
      <c r="BL731" s="35">
        <v>0.11473</v>
      </c>
      <c r="BM731" s="36"/>
      <c r="BN731" s="30">
        <v>61</v>
      </c>
      <c r="BO731" s="34">
        <v>2.7755999999999998</v>
      </c>
      <c r="BP731" s="35">
        <v>0.11656999999999999</v>
      </c>
      <c r="BY731" s="55"/>
    </row>
    <row r="732" spans="27:77">
      <c r="AA732" s="27"/>
      <c r="BF732" s="30">
        <v>61.1</v>
      </c>
      <c r="BG732" s="31">
        <v>0.73470000000000002</v>
      </c>
      <c r="BH732" s="32">
        <v>734.5</v>
      </c>
      <c r="BJ732" s="30">
        <v>61.1</v>
      </c>
      <c r="BK732" s="34">
        <v>2.7303000000000002</v>
      </c>
      <c r="BL732" s="35">
        <v>0.11466999999999999</v>
      </c>
      <c r="BM732" s="36"/>
      <c r="BN732" s="30">
        <v>61.1</v>
      </c>
      <c r="BO732" s="34">
        <v>2.7740999999999998</v>
      </c>
      <c r="BP732" s="35">
        <v>0.11651</v>
      </c>
      <c r="BY732" s="55"/>
    </row>
    <row r="733" spans="27:77">
      <c r="AA733" s="27"/>
      <c r="BF733" s="30">
        <v>61.2</v>
      </c>
      <c r="BG733" s="31">
        <v>0.73429999999999995</v>
      </c>
      <c r="BH733" s="32">
        <v>734.1</v>
      </c>
      <c r="BJ733" s="30">
        <v>61.2</v>
      </c>
      <c r="BK733" s="34">
        <v>2.7288999999999999</v>
      </c>
      <c r="BL733" s="35">
        <v>0.11461</v>
      </c>
      <c r="BM733" s="36"/>
      <c r="BN733" s="30">
        <v>61.2</v>
      </c>
      <c r="BO733" s="34">
        <v>2.7726999999999999</v>
      </c>
      <c r="BP733" s="35">
        <v>0.11645</v>
      </c>
      <c r="BY733" s="55"/>
    </row>
    <row r="734" spans="27:77">
      <c r="AA734" s="27"/>
      <c r="BF734" s="30">
        <v>61.3</v>
      </c>
      <c r="BG734" s="31">
        <v>0.7339</v>
      </c>
      <c r="BH734" s="32">
        <v>733.7</v>
      </c>
      <c r="BJ734" s="30">
        <v>61.3</v>
      </c>
      <c r="BK734" s="34">
        <v>2.7275</v>
      </c>
      <c r="BL734" s="35">
        <v>0.11455</v>
      </c>
      <c r="BM734" s="36"/>
      <c r="BN734" s="30">
        <v>61.3</v>
      </c>
      <c r="BO734" s="34">
        <v>2.7711999999999999</v>
      </c>
      <c r="BP734" s="35">
        <v>0.11638999999999999</v>
      </c>
      <c r="BY734" s="55"/>
    </row>
    <row r="735" spans="27:77">
      <c r="AA735" s="27"/>
      <c r="BF735" s="30">
        <v>61.4</v>
      </c>
      <c r="BG735" s="31">
        <v>0.73350000000000004</v>
      </c>
      <c r="BH735" s="32">
        <v>733.3</v>
      </c>
      <c r="BJ735" s="30">
        <v>61.4</v>
      </c>
      <c r="BK735" s="34">
        <v>2.7261000000000002</v>
      </c>
      <c r="BL735" s="35">
        <v>0.11448999999999999</v>
      </c>
      <c r="BM735" s="36"/>
      <c r="BN735" s="30">
        <v>61.4</v>
      </c>
      <c r="BO735" s="34">
        <v>2.7698</v>
      </c>
      <c r="BP735" s="35">
        <v>0.11633</v>
      </c>
      <c r="BY735" s="55"/>
    </row>
    <row r="736" spans="27:77">
      <c r="AA736" s="27"/>
      <c r="BF736" s="30">
        <v>61.5</v>
      </c>
      <c r="BG736" s="31">
        <v>0.73319999999999996</v>
      </c>
      <c r="BH736" s="32">
        <v>732.9</v>
      </c>
      <c r="BJ736" s="30">
        <v>61.5</v>
      </c>
      <c r="BK736" s="34">
        <v>2.7246000000000001</v>
      </c>
      <c r="BL736" s="35">
        <v>0.11444</v>
      </c>
      <c r="BM736" s="36"/>
      <c r="BN736" s="30">
        <v>61.5</v>
      </c>
      <c r="BO736" s="34">
        <v>2.7684000000000002</v>
      </c>
      <c r="BP736" s="35">
        <v>0.11627</v>
      </c>
      <c r="BY736" s="55"/>
    </row>
    <row r="737" spans="27:77">
      <c r="AA737" s="27"/>
      <c r="BF737" s="30">
        <v>61.6</v>
      </c>
      <c r="BG737" s="31">
        <v>0.73280000000000001</v>
      </c>
      <c r="BH737" s="32">
        <v>732.6</v>
      </c>
      <c r="BJ737" s="30">
        <v>61.6</v>
      </c>
      <c r="BK737" s="34">
        <v>2.7231999999999998</v>
      </c>
      <c r="BL737" s="35">
        <v>0.11438</v>
      </c>
      <c r="BM737" s="36"/>
      <c r="BN737" s="30">
        <v>61.6</v>
      </c>
      <c r="BO737" s="34">
        <v>2.7669000000000001</v>
      </c>
      <c r="BP737" s="35">
        <v>0.11620999999999999</v>
      </c>
      <c r="BY737" s="55"/>
    </row>
    <row r="738" spans="27:77">
      <c r="AA738" s="27"/>
      <c r="BF738" s="30">
        <v>61.7</v>
      </c>
      <c r="BG738" s="31">
        <v>0.73240000000000005</v>
      </c>
      <c r="BH738" s="32">
        <v>732.2</v>
      </c>
      <c r="BJ738" s="30">
        <v>61.7</v>
      </c>
      <c r="BK738" s="34">
        <v>2.7218</v>
      </c>
      <c r="BL738" s="35">
        <v>0.11432</v>
      </c>
      <c r="BM738" s="36"/>
      <c r="BN738" s="30">
        <v>61.7</v>
      </c>
      <c r="BO738" s="34">
        <v>2.7654999999999998</v>
      </c>
      <c r="BP738" s="35">
        <v>0.11615</v>
      </c>
      <c r="BY738" s="55"/>
    </row>
    <row r="739" spans="27:77">
      <c r="AA739" s="27"/>
      <c r="BF739" s="30">
        <v>61.8</v>
      </c>
      <c r="BG739" s="31">
        <v>0.73199999999999998</v>
      </c>
      <c r="BH739" s="32">
        <v>731.8</v>
      </c>
      <c r="BJ739" s="30">
        <v>61.8</v>
      </c>
      <c r="BK739" s="34">
        <v>2.7204000000000002</v>
      </c>
      <c r="BL739" s="35">
        <v>0.11426</v>
      </c>
      <c r="BM739" s="36"/>
      <c r="BN739" s="30">
        <v>61.8</v>
      </c>
      <c r="BO739" s="34">
        <v>2.7641</v>
      </c>
      <c r="BP739" s="35">
        <v>0.11609</v>
      </c>
      <c r="BY739" s="55"/>
    </row>
    <row r="740" spans="27:77">
      <c r="AA740" s="27"/>
      <c r="BF740" s="30">
        <v>61.9</v>
      </c>
      <c r="BG740" s="31">
        <v>0.73160000000000003</v>
      </c>
      <c r="BH740" s="32">
        <v>731.4</v>
      </c>
      <c r="BJ740" s="30">
        <v>61.9</v>
      </c>
      <c r="BK740" s="34">
        <v>2.7189999999999999</v>
      </c>
      <c r="BL740" s="35">
        <v>0.1142</v>
      </c>
      <c r="BM740" s="36"/>
      <c r="BN740" s="30">
        <v>61.9</v>
      </c>
      <c r="BO740" s="34">
        <v>2.7625999999999999</v>
      </c>
      <c r="BP740" s="35">
        <v>0.11602999999999999</v>
      </c>
      <c r="BY740" s="55"/>
    </row>
    <row r="741" spans="27:77">
      <c r="AA741" s="27"/>
      <c r="BF741" s="30">
        <v>62</v>
      </c>
      <c r="BG741" s="31">
        <v>0.73129999999999995</v>
      </c>
      <c r="BH741" s="32">
        <v>731.1</v>
      </c>
      <c r="BJ741" s="30">
        <v>62</v>
      </c>
      <c r="BK741" s="34">
        <v>2.7176</v>
      </c>
      <c r="BL741" s="35">
        <v>0.11414000000000001</v>
      </c>
      <c r="BM741" s="36"/>
      <c r="BN741" s="30">
        <v>62</v>
      </c>
      <c r="BO741" s="34">
        <v>2.7612000000000001</v>
      </c>
      <c r="BP741" s="35">
        <v>0.11597</v>
      </c>
      <c r="BY741" s="55"/>
    </row>
    <row r="742" spans="27:77">
      <c r="AA742" s="27"/>
      <c r="BF742" s="30">
        <v>62.1</v>
      </c>
      <c r="BG742" s="31">
        <v>0.73089999999999999</v>
      </c>
      <c r="BH742" s="32">
        <v>730.7</v>
      </c>
      <c r="BJ742" s="30">
        <v>62.1</v>
      </c>
      <c r="BK742" s="34">
        <v>2.7162000000000002</v>
      </c>
      <c r="BL742" s="35">
        <v>0.11408</v>
      </c>
      <c r="BM742" s="36"/>
      <c r="BN742" s="30">
        <v>62.1</v>
      </c>
      <c r="BO742" s="34">
        <v>2.7597999999999998</v>
      </c>
      <c r="BP742" s="35">
        <v>0.11591</v>
      </c>
      <c r="BY742" s="55"/>
    </row>
    <row r="743" spans="27:77">
      <c r="AA743" s="27"/>
      <c r="BF743" s="30">
        <v>62.2</v>
      </c>
      <c r="BG743" s="31">
        <v>0.73050000000000004</v>
      </c>
      <c r="BH743" s="32">
        <v>730.3</v>
      </c>
      <c r="BJ743" s="30">
        <v>62.2</v>
      </c>
      <c r="BK743" s="34">
        <v>2.7147999999999999</v>
      </c>
      <c r="BL743" s="35">
        <v>0.11402</v>
      </c>
      <c r="BM743" s="36"/>
      <c r="BN743" s="30">
        <v>62.2</v>
      </c>
      <c r="BO743" s="34">
        <v>2.7583000000000002</v>
      </c>
      <c r="BP743" s="35">
        <v>0.11584999999999999</v>
      </c>
      <c r="BY743" s="55"/>
    </row>
    <row r="744" spans="27:77">
      <c r="AA744" s="27"/>
      <c r="BF744" s="30">
        <v>62.3</v>
      </c>
      <c r="BG744" s="31">
        <v>0.73009999999999997</v>
      </c>
      <c r="BH744" s="32">
        <v>729.9</v>
      </c>
      <c r="BJ744" s="30">
        <v>62.3</v>
      </c>
      <c r="BK744" s="34">
        <v>2.7134</v>
      </c>
      <c r="BL744" s="35">
        <v>0.11396000000000001</v>
      </c>
      <c r="BM744" s="36"/>
      <c r="BN744" s="30">
        <v>62.3</v>
      </c>
      <c r="BO744" s="34">
        <v>2.7568999999999999</v>
      </c>
      <c r="BP744" s="35">
        <v>0.11579</v>
      </c>
      <c r="BY744" s="55"/>
    </row>
    <row r="745" spans="27:77">
      <c r="AA745" s="27"/>
      <c r="BF745" s="30">
        <v>62.4</v>
      </c>
      <c r="BG745" s="31">
        <v>0.7298</v>
      </c>
      <c r="BH745" s="32">
        <v>729.5</v>
      </c>
      <c r="BJ745" s="30">
        <v>62.4</v>
      </c>
      <c r="BK745" s="34">
        <v>2.7120000000000002</v>
      </c>
      <c r="BL745" s="35">
        <v>0.1139</v>
      </c>
      <c r="BM745" s="36"/>
      <c r="BN745" s="30">
        <v>62.4</v>
      </c>
      <c r="BO745" s="34">
        <v>2.7555000000000001</v>
      </c>
      <c r="BP745" s="35">
        <v>0.11573</v>
      </c>
      <c r="BY745" s="55"/>
    </row>
    <row r="746" spans="27:77">
      <c r="AA746" s="27"/>
      <c r="BF746" s="30">
        <v>62.5</v>
      </c>
      <c r="BG746" s="31">
        <v>0.72940000000000005</v>
      </c>
      <c r="BH746" s="32">
        <v>729.2</v>
      </c>
      <c r="BJ746" s="30">
        <v>62.5</v>
      </c>
      <c r="BK746" s="34">
        <v>2.7105999999999999</v>
      </c>
      <c r="BL746" s="35">
        <v>0.11384</v>
      </c>
      <c r="BM746" s="36"/>
      <c r="BN746" s="30">
        <v>62.5</v>
      </c>
      <c r="BO746" s="34">
        <v>2.7541000000000002</v>
      </c>
      <c r="BP746" s="35">
        <v>0.11567</v>
      </c>
      <c r="BY746" s="55"/>
    </row>
    <row r="747" spans="27:77">
      <c r="AA747" s="27"/>
      <c r="BF747" s="30">
        <v>62.6</v>
      </c>
      <c r="BG747" s="31">
        <v>0.72899999999999998</v>
      </c>
      <c r="BH747" s="32">
        <v>728.8</v>
      </c>
      <c r="BJ747" s="30">
        <v>62.6</v>
      </c>
      <c r="BK747" s="34">
        <v>2.7092000000000001</v>
      </c>
      <c r="BL747" s="35">
        <v>0.11379</v>
      </c>
      <c r="BM747" s="36"/>
      <c r="BN747" s="30">
        <v>62.6</v>
      </c>
      <c r="BO747" s="34">
        <v>2.7526999999999999</v>
      </c>
      <c r="BP747" s="35">
        <v>0.11561</v>
      </c>
      <c r="BY747" s="55"/>
    </row>
    <row r="748" spans="27:77">
      <c r="AA748" s="27"/>
      <c r="BF748" s="30">
        <v>62.7</v>
      </c>
      <c r="BG748" s="31">
        <v>0.72860000000000003</v>
      </c>
      <c r="BH748" s="32">
        <v>728.4</v>
      </c>
      <c r="BJ748" s="30">
        <v>62.7</v>
      </c>
      <c r="BK748" s="34">
        <v>2.7078000000000002</v>
      </c>
      <c r="BL748" s="35">
        <v>0.11373</v>
      </c>
      <c r="BM748" s="36"/>
      <c r="BN748" s="30">
        <v>62.7</v>
      </c>
      <c r="BO748" s="34">
        <v>2.7511999999999999</v>
      </c>
      <c r="BP748" s="35">
        <v>0.11555</v>
      </c>
      <c r="BY748" s="55"/>
    </row>
    <row r="749" spans="27:77">
      <c r="AA749" s="27"/>
      <c r="BF749" s="30">
        <v>62.8</v>
      </c>
      <c r="BG749" s="31">
        <v>0.72829999999999995</v>
      </c>
      <c r="BH749" s="32">
        <v>728</v>
      </c>
      <c r="BJ749" s="30">
        <v>62.8</v>
      </c>
      <c r="BK749" s="34">
        <v>2.7063999999999999</v>
      </c>
      <c r="BL749" s="35">
        <v>0.11366999999999999</v>
      </c>
      <c r="BM749" s="36"/>
      <c r="BN749" s="30">
        <v>62.8</v>
      </c>
      <c r="BO749" s="34">
        <v>2.7498</v>
      </c>
      <c r="BP749" s="35">
        <v>0.11549</v>
      </c>
      <c r="BY749" s="55"/>
    </row>
    <row r="750" spans="27:77">
      <c r="AA750" s="27"/>
      <c r="BF750" s="30">
        <v>62.9</v>
      </c>
      <c r="BG750" s="31">
        <v>0.72789999999999999</v>
      </c>
      <c r="BH750" s="32">
        <v>727.7</v>
      </c>
      <c r="BJ750" s="30">
        <v>62.9</v>
      </c>
      <c r="BK750" s="34">
        <v>2.7050000000000001</v>
      </c>
      <c r="BL750" s="35">
        <v>0.11361</v>
      </c>
      <c r="BM750" s="36"/>
      <c r="BN750" s="30">
        <v>62.9</v>
      </c>
      <c r="BO750" s="34">
        <v>2.7484000000000002</v>
      </c>
      <c r="BP750" s="35">
        <v>0.11543</v>
      </c>
      <c r="BY750" s="55"/>
    </row>
    <row r="751" spans="27:77">
      <c r="AA751" s="27"/>
      <c r="BF751" s="30">
        <v>63</v>
      </c>
      <c r="BG751" s="31">
        <v>0.72750000000000004</v>
      </c>
      <c r="BH751" s="32">
        <v>727.3</v>
      </c>
      <c r="BJ751" s="30">
        <v>63</v>
      </c>
      <c r="BK751" s="34">
        <v>2.7035999999999998</v>
      </c>
      <c r="BL751" s="35">
        <v>0.11355</v>
      </c>
      <c r="BM751" s="36"/>
      <c r="BN751" s="30">
        <v>63</v>
      </c>
      <c r="BO751" s="34">
        <v>2.7469999999999999</v>
      </c>
      <c r="BP751" s="35">
        <v>0.11537</v>
      </c>
      <c r="BY751" s="55"/>
    </row>
    <row r="752" spans="27:77">
      <c r="AA752" s="27"/>
      <c r="BF752" s="30">
        <v>63.1</v>
      </c>
      <c r="BG752" s="31">
        <v>0.72709999999999997</v>
      </c>
      <c r="BH752" s="32">
        <v>726.9</v>
      </c>
      <c r="BJ752" s="30">
        <v>63.1</v>
      </c>
      <c r="BK752" s="34">
        <v>2.7021999999999999</v>
      </c>
      <c r="BL752" s="35">
        <v>0.11348999999999999</v>
      </c>
      <c r="BM752" s="36"/>
      <c r="BN752" s="30">
        <v>63.1</v>
      </c>
      <c r="BO752" s="34">
        <v>2.7456</v>
      </c>
      <c r="BP752" s="35">
        <v>0.11531</v>
      </c>
      <c r="BY752" s="55"/>
    </row>
    <row r="753" spans="27:77">
      <c r="AA753" s="27"/>
      <c r="BF753" s="30">
        <v>63.2</v>
      </c>
      <c r="BG753" s="31">
        <v>0.7268</v>
      </c>
      <c r="BH753" s="32">
        <v>726.5</v>
      </c>
      <c r="BJ753" s="30">
        <v>63.2</v>
      </c>
      <c r="BK753" s="34">
        <v>2.7008000000000001</v>
      </c>
      <c r="BL753" s="35">
        <v>0.11343</v>
      </c>
      <c r="BM753" s="36"/>
      <c r="BN753" s="30">
        <v>63.2</v>
      </c>
      <c r="BO753" s="34">
        <v>2.7442000000000002</v>
      </c>
      <c r="BP753" s="35">
        <v>0.11525000000000001</v>
      </c>
      <c r="BY753" s="55"/>
    </row>
    <row r="754" spans="27:77">
      <c r="AA754" s="27"/>
      <c r="BF754" s="30">
        <v>63.3</v>
      </c>
      <c r="BG754" s="31">
        <v>0.72640000000000005</v>
      </c>
      <c r="BH754" s="32">
        <v>726.2</v>
      </c>
      <c r="BJ754" s="30">
        <v>63.3</v>
      </c>
      <c r="BK754" s="34">
        <v>2.6993999999999998</v>
      </c>
      <c r="BL754" s="35">
        <v>0.11337999999999999</v>
      </c>
      <c r="BM754" s="36"/>
      <c r="BN754" s="30">
        <v>63.3</v>
      </c>
      <c r="BO754" s="34">
        <v>2.7427000000000001</v>
      </c>
      <c r="BP754" s="35">
        <v>0.1152</v>
      </c>
      <c r="BY754" s="55"/>
    </row>
    <row r="755" spans="27:77">
      <c r="AA755" s="27"/>
      <c r="BF755" s="30">
        <v>63.4</v>
      </c>
      <c r="BG755" s="31">
        <v>0.72599999999999998</v>
      </c>
      <c r="BH755" s="32">
        <v>725.8</v>
      </c>
      <c r="BJ755" s="30">
        <v>63.4</v>
      </c>
      <c r="BK755" s="34">
        <v>2.698</v>
      </c>
      <c r="BL755" s="35">
        <v>0.11332</v>
      </c>
      <c r="BM755" s="36"/>
      <c r="BN755" s="30">
        <v>63.4</v>
      </c>
      <c r="BO755" s="34">
        <v>2.7412999999999998</v>
      </c>
      <c r="BP755" s="35">
        <v>0.11514000000000001</v>
      </c>
      <c r="BY755" s="55"/>
    </row>
    <row r="756" spans="27:77">
      <c r="AA756" s="27"/>
      <c r="BF756" s="30">
        <v>63.5</v>
      </c>
      <c r="BG756" s="31">
        <v>0.72560000000000002</v>
      </c>
      <c r="BH756" s="32">
        <v>725.4</v>
      </c>
      <c r="BJ756" s="30">
        <v>63.5</v>
      </c>
      <c r="BK756" s="34">
        <v>2.6966999999999999</v>
      </c>
      <c r="BL756" s="35">
        <v>0.11326</v>
      </c>
      <c r="BM756" s="36"/>
      <c r="BN756" s="30">
        <v>63.5</v>
      </c>
      <c r="BO756" s="34">
        <v>2.7399</v>
      </c>
      <c r="BP756" s="35">
        <v>0.11508</v>
      </c>
      <c r="BY756" s="55"/>
    </row>
    <row r="757" spans="27:77">
      <c r="AA757" s="27"/>
      <c r="BF757" s="30">
        <v>63.6</v>
      </c>
      <c r="BG757" s="31">
        <v>0.72529999999999994</v>
      </c>
      <c r="BH757" s="32">
        <v>725.1</v>
      </c>
      <c r="BJ757" s="30">
        <v>63.6</v>
      </c>
      <c r="BK757" s="34">
        <v>2.6953</v>
      </c>
      <c r="BL757" s="35">
        <v>0.1132</v>
      </c>
      <c r="BM757" s="36"/>
      <c r="BN757" s="30">
        <v>63.6</v>
      </c>
      <c r="BO757" s="34">
        <v>2.7385000000000002</v>
      </c>
      <c r="BP757" s="35">
        <v>0.11502</v>
      </c>
      <c r="BY757" s="55"/>
    </row>
    <row r="758" spans="27:77">
      <c r="AA758" s="27"/>
      <c r="BF758" s="30">
        <v>63.7</v>
      </c>
      <c r="BG758" s="31">
        <v>0.72489999999999999</v>
      </c>
      <c r="BH758" s="32">
        <v>724.7</v>
      </c>
      <c r="BJ758" s="30">
        <v>63.7</v>
      </c>
      <c r="BK758" s="34">
        <v>2.6939000000000002</v>
      </c>
      <c r="BL758" s="35">
        <v>0.11314</v>
      </c>
      <c r="BM758" s="36"/>
      <c r="BN758" s="30">
        <v>63.7</v>
      </c>
      <c r="BO758" s="34">
        <v>2.7370999999999999</v>
      </c>
      <c r="BP758" s="35">
        <v>0.11496000000000001</v>
      </c>
      <c r="BY758" s="55"/>
    </row>
    <row r="759" spans="27:77">
      <c r="AA759" s="27"/>
      <c r="BF759" s="30">
        <v>63.8</v>
      </c>
      <c r="BG759" s="31">
        <v>0.72450000000000003</v>
      </c>
      <c r="BH759" s="32">
        <v>724.3</v>
      </c>
      <c r="BJ759" s="30">
        <v>63.8</v>
      </c>
      <c r="BK759" s="34">
        <v>2.6924999999999999</v>
      </c>
      <c r="BL759" s="35">
        <v>0.11309</v>
      </c>
      <c r="BM759" s="36"/>
      <c r="BN759" s="30">
        <v>63.8</v>
      </c>
      <c r="BO759" s="34">
        <v>2.7357</v>
      </c>
      <c r="BP759" s="35">
        <v>0.1149</v>
      </c>
      <c r="BY759" s="55"/>
    </row>
    <row r="760" spans="27:77">
      <c r="AA760" s="27"/>
      <c r="BF760" s="30">
        <v>63.9</v>
      </c>
      <c r="BG760" s="31">
        <v>0.72419999999999995</v>
      </c>
      <c r="BH760" s="32">
        <v>723.9</v>
      </c>
      <c r="BJ760" s="30">
        <v>63.9</v>
      </c>
      <c r="BK760" s="34">
        <v>2.6911</v>
      </c>
      <c r="BL760" s="35">
        <v>0.11303000000000001</v>
      </c>
      <c r="BM760" s="36"/>
      <c r="BN760" s="30">
        <v>63.9</v>
      </c>
      <c r="BO760" s="34">
        <v>2.7343000000000002</v>
      </c>
      <c r="BP760" s="35">
        <v>0.11484</v>
      </c>
      <c r="BY760" s="55"/>
    </row>
    <row r="761" spans="27:77">
      <c r="AA761" s="27"/>
      <c r="BF761" s="30">
        <v>64</v>
      </c>
      <c r="BG761" s="31">
        <v>0.7238</v>
      </c>
      <c r="BH761" s="32">
        <v>723.6</v>
      </c>
      <c r="BJ761" s="30">
        <v>64</v>
      </c>
      <c r="BK761" s="34">
        <v>2.6897000000000002</v>
      </c>
      <c r="BL761" s="35">
        <v>0.11297</v>
      </c>
      <c r="BM761" s="36"/>
      <c r="BN761" s="30">
        <v>64</v>
      </c>
      <c r="BO761" s="34">
        <v>2.7328999999999999</v>
      </c>
      <c r="BP761" s="35">
        <v>0.11477999999999999</v>
      </c>
      <c r="BY761" s="55"/>
    </row>
    <row r="762" spans="27:77">
      <c r="AA762" s="27"/>
      <c r="BF762" s="30">
        <v>64.099999999999994</v>
      </c>
      <c r="BG762" s="31">
        <v>0.72340000000000004</v>
      </c>
      <c r="BH762" s="32">
        <v>723.2</v>
      </c>
      <c r="BJ762" s="30">
        <v>64.099999999999994</v>
      </c>
      <c r="BK762" s="34">
        <v>2.6884000000000001</v>
      </c>
      <c r="BL762" s="35">
        <v>0.11291</v>
      </c>
      <c r="BM762" s="36"/>
      <c r="BN762" s="30">
        <v>64.099999999999994</v>
      </c>
      <c r="BO762" s="34">
        <v>2.7315</v>
      </c>
      <c r="BP762" s="35">
        <v>0.11472</v>
      </c>
      <c r="BY762" s="55"/>
    </row>
    <row r="763" spans="27:77">
      <c r="AA763" s="27"/>
      <c r="BF763" s="30">
        <v>64.2</v>
      </c>
      <c r="BG763" s="31">
        <v>0.72299999999999998</v>
      </c>
      <c r="BH763" s="32">
        <v>722.8</v>
      </c>
      <c r="BJ763" s="30">
        <v>64.2</v>
      </c>
      <c r="BK763" s="34">
        <v>2.6869999999999998</v>
      </c>
      <c r="BL763" s="35">
        <v>0.11285000000000001</v>
      </c>
      <c r="BM763" s="36"/>
      <c r="BN763" s="30">
        <v>64.2</v>
      </c>
      <c r="BO763" s="34">
        <v>2.7301000000000002</v>
      </c>
      <c r="BP763" s="35">
        <v>0.11466</v>
      </c>
      <c r="BY763" s="55"/>
    </row>
    <row r="764" spans="27:77">
      <c r="AA764" s="27"/>
      <c r="BF764" s="30">
        <v>64.3</v>
      </c>
      <c r="BG764" s="31">
        <v>0.72270000000000001</v>
      </c>
      <c r="BH764" s="32">
        <v>722.5</v>
      </c>
      <c r="BJ764" s="30">
        <v>64.3</v>
      </c>
      <c r="BK764" s="34">
        <v>2.6856</v>
      </c>
      <c r="BL764" s="35">
        <v>0.1128</v>
      </c>
      <c r="BM764" s="36"/>
      <c r="BN764" s="30">
        <v>64.3</v>
      </c>
      <c r="BO764" s="34">
        <v>2.7286999999999999</v>
      </c>
      <c r="BP764" s="35">
        <v>0.11461</v>
      </c>
      <c r="BY764" s="55"/>
    </row>
    <row r="765" spans="27:77">
      <c r="AA765" s="27"/>
      <c r="BF765" s="30">
        <v>64.400000000000006</v>
      </c>
      <c r="BG765" s="31">
        <v>0.72230000000000005</v>
      </c>
      <c r="BH765" s="32">
        <v>722.1</v>
      </c>
      <c r="BJ765" s="30">
        <v>64.400000000000006</v>
      </c>
      <c r="BK765" s="34">
        <v>2.6842000000000001</v>
      </c>
      <c r="BL765" s="35">
        <v>0.11274000000000001</v>
      </c>
      <c r="BM765" s="36"/>
      <c r="BN765" s="30">
        <v>64.400000000000006</v>
      </c>
      <c r="BO765" s="34">
        <v>2.7273000000000001</v>
      </c>
      <c r="BP765" s="35">
        <v>0.11455</v>
      </c>
      <c r="BY765" s="55"/>
    </row>
    <row r="766" spans="27:77">
      <c r="AA766" s="27"/>
      <c r="BF766" s="30">
        <v>64.5</v>
      </c>
      <c r="BG766" s="31">
        <v>0.72189999999999999</v>
      </c>
      <c r="BH766" s="32">
        <v>721.7</v>
      </c>
      <c r="BJ766" s="30">
        <v>64.5</v>
      </c>
      <c r="BK766" s="34">
        <v>2.6829000000000001</v>
      </c>
      <c r="BL766" s="35">
        <v>0.11268</v>
      </c>
      <c r="BM766" s="36"/>
      <c r="BN766" s="30">
        <v>64.5</v>
      </c>
      <c r="BO766" s="34">
        <v>2.7259000000000002</v>
      </c>
      <c r="BP766" s="35">
        <v>0.11448999999999999</v>
      </c>
      <c r="BY766" s="55"/>
    </row>
    <row r="767" spans="27:77">
      <c r="AA767" s="27"/>
      <c r="BF767" s="30">
        <v>64.599999999999994</v>
      </c>
      <c r="BG767" s="31">
        <v>0.72160000000000002</v>
      </c>
      <c r="BH767" s="32">
        <v>721.4</v>
      </c>
      <c r="BJ767" s="30">
        <v>64.599999999999994</v>
      </c>
      <c r="BK767" s="34">
        <v>2.6815000000000002</v>
      </c>
      <c r="BL767" s="35">
        <v>0.11262</v>
      </c>
      <c r="BM767" s="36"/>
      <c r="BN767" s="30">
        <v>64.599999999999994</v>
      </c>
      <c r="BO767" s="34">
        <v>2.7244999999999999</v>
      </c>
      <c r="BP767" s="35">
        <v>0.11443</v>
      </c>
      <c r="BY767" s="55"/>
    </row>
    <row r="768" spans="27:77">
      <c r="AA768" s="27"/>
      <c r="BF768" s="30">
        <v>64.7</v>
      </c>
      <c r="BG768" s="31">
        <v>0.72119999999999995</v>
      </c>
      <c r="BH768" s="32">
        <v>721</v>
      </c>
      <c r="BJ768" s="30">
        <v>64.7</v>
      </c>
      <c r="BK768" s="34">
        <v>2.6800999999999999</v>
      </c>
      <c r="BL768" s="35">
        <v>0.11257</v>
      </c>
      <c r="BM768" s="36"/>
      <c r="BN768" s="30">
        <v>64.7</v>
      </c>
      <c r="BO768" s="34">
        <v>2.7231000000000001</v>
      </c>
      <c r="BP768" s="35">
        <v>0.11437</v>
      </c>
      <c r="BY768" s="55"/>
    </row>
    <row r="769" spans="27:77">
      <c r="AA769" s="27"/>
      <c r="BF769" s="30">
        <v>64.8</v>
      </c>
      <c r="BG769" s="31">
        <v>0.7208</v>
      </c>
      <c r="BH769" s="32">
        <v>720.6</v>
      </c>
      <c r="BJ769" s="30">
        <v>64.8</v>
      </c>
      <c r="BK769" s="34">
        <v>2.6787999999999998</v>
      </c>
      <c r="BL769" s="35">
        <v>0.11251</v>
      </c>
      <c r="BM769" s="36"/>
      <c r="BN769" s="30">
        <v>64.8</v>
      </c>
      <c r="BO769" s="34">
        <v>2.7218</v>
      </c>
      <c r="BP769" s="35">
        <v>0.11430999999999999</v>
      </c>
      <c r="BY769" s="55"/>
    </row>
    <row r="770" spans="27:77">
      <c r="AA770" s="27"/>
      <c r="BF770" s="30">
        <v>64.900000000000006</v>
      </c>
      <c r="BG770" s="31">
        <v>0.72050000000000003</v>
      </c>
      <c r="BH770" s="32">
        <v>720.3</v>
      </c>
      <c r="BJ770" s="30">
        <v>64.900000000000006</v>
      </c>
      <c r="BK770" s="34">
        <v>2.6774</v>
      </c>
      <c r="BL770" s="35">
        <v>0.11244999999999999</v>
      </c>
      <c r="BM770" s="36"/>
      <c r="BN770" s="30">
        <v>64.900000000000006</v>
      </c>
      <c r="BO770" s="34">
        <v>2.7204000000000002</v>
      </c>
      <c r="BP770" s="35">
        <v>0.11426</v>
      </c>
      <c r="BY770" s="55"/>
    </row>
    <row r="771" spans="27:77">
      <c r="AA771" s="27"/>
      <c r="BF771" s="30">
        <v>65</v>
      </c>
      <c r="BG771" s="31">
        <v>0.72009999999999996</v>
      </c>
      <c r="BH771" s="32">
        <v>719.9</v>
      </c>
      <c r="BJ771" s="30">
        <v>65</v>
      </c>
      <c r="BK771" s="34">
        <v>2.6760000000000002</v>
      </c>
      <c r="BL771" s="35">
        <v>0.11239</v>
      </c>
      <c r="BM771" s="36"/>
      <c r="BN771" s="30">
        <v>65</v>
      </c>
      <c r="BO771" s="34">
        <v>2.7189999999999999</v>
      </c>
      <c r="BP771" s="35">
        <v>0.1142</v>
      </c>
      <c r="BY771" s="55"/>
    </row>
    <row r="772" spans="27:77">
      <c r="AA772" s="27"/>
      <c r="BF772" s="30">
        <v>65.099999999999994</v>
      </c>
      <c r="BG772" s="31">
        <v>0.71970000000000001</v>
      </c>
      <c r="BH772" s="32">
        <v>719.5</v>
      </c>
      <c r="BJ772" s="30">
        <v>65.099999999999994</v>
      </c>
      <c r="BK772" s="34">
        <v>2.6747000000000001</v>
      </c>
      <c r="BL772" s="35">
        <v>0.11234</v>
      </c>
      <c r="BM772" s="36"/>
      <c r="BN772" s="30">
        <v>65.099999999999994</v>
      </c>
      <c r="BO772" s="34">
        <v>2.7176</v>
      </c>
      <c r="BP772" s="35">
        <v>0.11414000000000001</v>
      </c>
      <c r="BY772" s="55"/>
    </row>
    <row r="773" spans="27:77">
      <c r="AA773" s="27"/>
      <c r="BF773" s="30">
        <v>65.2</v>
      </c>
      <c r="BG773" s="31">
        <v>0.71940000000000004</v>
      </c>
      <c r="BH773" s="32">
        <v>719.2</v>
      </c>
      <c r="BJ773" s="30">
        <v>65.2</v>
      </c>
      <c r="BK773" s="34">
        <v>2.6732999999999998</v>
      </c>
      <c r="BL773" s="35">
        <v>0.11228</v>
      </c>
      <c r="BM773" s="36"/>
      <c r="BN773" s="30">
        <v>65.2</v>
      </c>
      <c r="BO773" s="34">
        <v>2.7162000000000002</v>
      </c>
      <c r="BP773" s="35">
        <v>0.11408</v>
      </c>
      <c r="BY773" s="55"/>
    </row>
    <row r="774" spans="27:77">
      <c r="AA774" s="27"/>
      <c r="BF774" s="30">
        <v>65.3</v>
      </c>
      <c r="BG774" s="31">
        <v>0.71899999999999997</v>
      </c>
      <c r="BH774" s="32">
        <v>718.8</v>
      </c>
      <c r="BJ774" s="30">
        <v>65.3</v>
      </c>
      <c r="BK774" s="34">
        <v>2.6718999999999999</v>
      </c>
      <c r="BL774" s="35">
        <v>0.11222</v>
      </c>
      <c r="BM774" s="36"/>
      <c r="BN774" s="30">
        <v>65.3</v>
      </c>
      <c r="BO774" s="34">
        <v>2.7147999999999999</v>
      </c>
      <c r="BP774" s="35">
        <v>0.11402</v>
      </c>
      <c r="BY774" s="55"/>
    </row>
    <row r="775" spans="27:77">
      <c r="AA775" s="27"/>
      <c r="BF775" s="30">
        <v>65.400000000000006</v>
      </c>
      <c r="BG775" s="31">
        <v>0.71860000000000002</v>
      </c>
      <c r="BH775" s="32">
        <v>718.4</v>
      </c>
      <c r="BJ775" s="30">
        <v>65.400000000000006</v>
      </c>
      <c r="BK775" s="34">
        <v>2.6705999999999999</v>
      </c>
      <c r="BL775" s="35">
        <v>0.11216</v>
      </c>
      <c r="BM775" s="36"/>
      <c r="BN775" s="30">
        <v>65.400000000000006</v>
      </c>
      <c r="BO775" s="34">
        <v>2.7134</v>
      </c>
      <c r="BP775" s="35">
        <v>0.11396000000000001</v>
      </c>
      <c r="BY775" s="55"/>
    </row>
    <row r="776" spans="27:77">
      <c r="AA776" s="27"/>
      <c r="BF776" s="30">
        <v>65.5</v>
      </c>
      <c r="BG776" s="31">
        <v>0.71830000000000005</v>
      </c>
      <c r="BH776" s="32">
        <v>718.1</v>
      </c>
      <c r="BJ776" s="30">
        <v>65.5</v>
      </c>
      <c r="BK776" s="34">
        <v>2.6692</v>
      </c>
      <c r="BL776" s="35">
        <v>0.11211</v>
      </c>
      <c r="BM776" s="36"/>
      <c r="BN776" s="30">
        <v>65.5</v>
      </c>
      <c r="BO776" s="34">
        <v>2.7121</v>
      </c>
      <c r="BP776" s="35">
        <v>0.11391</v>
      </c>
      <c r="BY776" s="55"/>
    </row>
    <row r="777" spans="27:77">
      <c r="AA777" s="27"/>
      <c r="BF777" s="30">
        <v>65.599999999999994</v>
      </c>
      <c r="BG777" s="31">
        <v>0.71789999999999998</v>
      </c>
      <c r="BH777" s="32">
        <v>717.7</v>
      </c>
      <c r="BJ777" s="30">
        <v>65.599999999999994</v>
      </c>
      <c r="BK777" s="34">
        <v>2.6678999999999999</v>
      </c>
      <c r="BL777" s="35">
        <v>0.11205</v>
      </c>
      <c r="BM777" s="36"/>
      <c r="BN777" s="30">
        <v>65.599999999999994</v>
      </c>
      <c r="BO777" s="34">
        <v>2.7107000000000001</v>
      </c>
      <c r="BP777" s="35">
        <v>0.11385000000000001</v>
      </c>
      <c r="BY777" s="55"/>
    </row>
    <row r="778" spans="27:77">
      <c r="AA778" s="27"/>
      <c r="BF778" s="30">
        <v>65.7</v>
      </c>
      <c r="BG778" s="31">
        <v>0.71750000000000003</v>
      </c>
      <c r="BH778" s="32">
        <v>717.3</v>
      </c>
      <c r="BJ778" s="30">
        <v>65.7</v>
      </c>
      <c r="BK778" s="34">
        <v>2.6665000000000001</v>
      </c>
      <c r="BL778" s="35">
        <v>0.11199000000000001</v>
      </c>
      <c r="BM778" s="36"/>
      <c r="BN778" s="30">
        <v>65.7</v>
      </c>
      <c r="BO778" s="34">
        <v>2.7092999999999998</v>
      </c>
      <c r="BP778" s="35">
        <v>0.11379</v>
      </c>
      <c r="BY778" s="55"/>
    </row>
    <row r="779" spans="27:77">
      <c r="AA779" s="27"/>
      <c r="BF779" s="30">
        <v>65.8</v>
      </c>
      <c r="BG779" s="31">
        <v>0.71719999999999995</v>
      </c>
      <c r="BH779" s="32">
        <v>717</v>
      </c>
      <c r="BJ779" s="30">
        <v>65.8</v>
      </c>
      <c r="BK779" s="34">
        <v>2.6652</v>
      </c>
      <c r="BL779" s="35">
        <v>0.11194</v>
      </c>
      <c r="BM779" s="36"/>
      <c r="BN779" s="30">
        <v>65.8</v>
      </c>
      <c r="BO779" s="34">
        <v>2.7079</v>
      </c>
      <c r="BP779" s="35">
        <v>0.11373</v>
      </c>
      <c r="BY779" s="55"/>
    </row>
    <row r="780" spans="27:77">
      <c r="AA780" s="27"/>
      <c r="BF780" s="30">
        <v>65.900000000000006</v>
      </c>
      <c r="BG780" s="31">
        <v>0.71679999999999999</v>
      </c>
      <c r="BH780" s="32">
        <v>716.6</v>
      </c>
      <c r="BJ780" s="30">
        <v>65.900000000000006</v>
      </c>
      <c r="BK780" s="34">
        <v>2.6638000000000002</v>
      </c>
      <c r="BL780" s="35">
        <v>0.11187999999999999</v>
      </c>
      <c r="BM780" s="36"/>
      <c r="BN780" s="30">
        <v>65.900000000000006</v>
      </c>
      <c r="BO780" s="34">
        <v>2.7065999999999999</v>
      </c>
      <c r="BP780" s="35">
        <v>0.11368</v>
      </c>
      <c r="BY780" s="55"/>
    </row>
    <row r="781" spans="27:77">
      <c r="AA781" s="27"/>
      <c r="BF781" s="30">
        <v>66</v>
      </c>
      <c r="BG781" s="31">
        <v>0.71650000000000003</v>
      </c>
      <c r="BH781" s="32">
        <v>716.3</v>
      </c>
      <c r="BJ781" s="30">
        <v>66</v>
      </c>
      <c r="BK781" s="34">
        <v>2.6625000000000001</v>
      </c>
      <c r="BL781" s="35">
        <v>0.11182</v>
      </c>
      <c r="BM781" s="36"/>
      <c r="BN781" s="30">
        <v>66</v>
      </c>
      <c r="BO781" s="34">
        <v>2.7052</v>
      </c>
      <c r="BP781" s="35">
        <v>0.11362</v>
      </c>
      <c r="BY781" s="55"/>
    </row>
    <row r="782" spans="27:77">
      <c r="AA782" s="27"/>
      <c r="BF782" s="30">
        <v>66.099999999999994</v>
      </c>
      <c r="BG782" s="31">
        <v>0.71609999999999996</v>
      </c>
      <c r="BH782" s="32">
        <v>715.9</v>
      </c>
      <c r="BJ782" s="30">
        <v>66.099999999999994</v>
      </c>
      <c r="BK782" s="34">
        <v>2.6610999999999998</v>
      </c>
      <c r="BL782" s="35">
        <v>0.11176999999999999</v>
      </c>
      <c r="BM782" s="36"/>
      <c r="BN782" s="30">
        <v>66.099999999999994</v>
      </c>
      <c r="BO782" s="34">
        <v>2.7038000000000002</v>
      </c>
      <c r="BP782" s="35">
        <v>0.11355999999999999</v>
      </c>
      <c r="BY782" s="55"/>
    </row>
    <row r="783" spans="27:77">
      <c r="AA783" s="27"/>
      <c r="BF783" s="30">
        <v>66.2</v>
      </c>
      <c r="BG783" s="31">
        <v>0.7157</v>
      </c>
      <c r="BH783" s="32">
        <v>715.5</v>
      </c>
      <c r="BJ783" s="30">
        <v>66.2</v>
      </c>
      <c r="BK783" s="34">
        <v>2.6598000000000002</v>
      </c>
      <c r="BL783" s="35">
        <v>0.11171</v>
      </c>
      <c r="BM783" s="36"/>
      <c r="BN783" s="30">
        <v>66.2</v>
      </c>
      <c r="BO783" s="34">
        <v>2.7023999999999999</v>
      </c>
      <c r="BP783" s="35">
        <v>0.1135</v>
      </c>
      <c r="BY783" s="55"/>
    </row>
    <row r="784" spans="27:77">
      <c r="AA784" s="27"/>
      <c r="BF784" s="30">
        <v>66.3</v>
      </c>
      <c r="BG784" s="31">
        <v>0.71540000000000004</v>
      </c>
      <c r="BH784" s="32">
        <v>715.2</v>
      </c>
      <c r="BJ784" s="30">
        <v>66.3</v>
      </c>
      <c r="BK784" s="34">
        <v>2.6583999999999999</v>
      </c>
      <c r="BL784" s="35">
        <v>0.11165</v>
      </c>
      <c r="BM784" s="36"/>
      <c r="BN784" s="30">
        <v>66.3</v>
      </c>
      <c r="BO784" s="34">
        <v>2.7010999999999998</v>
      </c>
      <c r="BP784" s="35">
        <v>0.11345</v>
      </c>
      <c r="BY784" s="55"/>
    </row>
    <row r="785" spans="27:77">
      <c r="AA785" s="27"/>
      <c r="BF785" s="30">
        <v>66.400000000000006</v>
      </c>
      <c r="BG785" s="31">
        <v>0.71499999999999997</v>
      </c>
      <c r="BH785" s="32">
        <v>714.8</v>
      </c>
      <c r="BJ785" s="30">
        <v>66.400000000000006</v>
      </c>
      <c r="BK785" s="34">
        <v>2.6570999999999998</v>
      </c>
      <c r="BL785" s="35">
        <v>0.1116</v>
      </c>
      <c r="BM785" s="36"/>
      <c r="BN785" s="30">
        <v>66.400000000000006</v>
      </c>
      <c r="BO785" s="34">
        <v>2.6997</v>
      </c>
      <c r="BP785" s="35">
        <v>0.11339</v>
      </c>
      <c r="BY785" s="55"/>
    </row>
    <row r="786" spans="27:77">
      <c r="AA786" s="27"/>
      <c r="BF786" s="30">
        <v>66.5</v>
      </c>
      <c r="BG786" s="31">
        <v>0.71460000000000001</v>
      </c>
      <c r="BH786" s="32">
        <v>714.5</v>
      </c>
      <c r="BJ786" s="30">
        <v>66.5</v>
      </c>
      <c r="BK786" s="34">
        <v>2.6556999999999999</v>
      </c>
      <c r="BL786" s="35">
        <v>0.11154</v>
      </c>
      <c r="BM786" s="36"/>
      <c r="BN786" s="30">
        <v>66.5</v>
      </c>
      <c r="BO786" s="34">
        <v>2.6983000000000001</v>
      </c>
      <c r="BP786" s="35">
        <v>0.11333</v>
      </c>
      <c r="BY786" s="55"/>
    </row>
    <row r="787" spans="27:77">
      <c r="AA787" s="27"/>
      <c r="BF787" s="30">
        <v>66.599999999999994</v>
      </c>
      <c r="BG787" s="31">
        <v>0.71430000000000005</v>
      </c>
      <c r="BH787" s="32">
        <v>714.1</v>
      </c>
      <c r="BJ787" s="30">
        <v>66.599999999999994</v>
      </c>
      <c r="BK787" s="34">
        <v>2.6543999999999999</v>
      </c>
      <c r="BL787" s="35">
        <v>0.11148</v>
      </c>
      <c r="BM787" s="36"/>
      <c r="BN787" s="30">
        <v>66.599999999999994</v>
      </c>
      <c r="BO787" s="34">
        <v>2.6970000000000001</v>
      </c>
      <c r="BP787" s="35">
        <v>0.11327</v>
      </c>
      <c r="BY787" s="55"/>
    </row>
    <row r="788" spans="27:77">
      <c r="AA788" s="27"/>
      <c r="BF788" s="30">
        <v>66.7</v>
      </c>
      <c r="BG788" s="31">
        <v>0.71389999999999998</v>
      </c>
      <c r="BH788" s="32">
        <v>713.7</v>
      </c>
      <c r="BJ788" s="30">
        <v>66.7</v>
      </c>
      <c r="BK788" s="34">
        <v>2.653</v>
      </c>
      <c r="BL788" s="35">
        <v>0.11143</v>
      </c>
      <c r="BM788" s="36"/>
      <c r="BN788" s="30">
        <v>66.7</v>
      </c>
      <c r="BO788" s="34">
        <v>2.6956000000000002</v>
      </c>
      <c r="BP788" s="35">
        <v>0.11322</v>
      </c>
      <c r="BY788" s="55"/>
    </row>
    <row r="789" spans="27:77">
      <c r="AA789" s="27"/>
      <c r="BF789" s="30">
        <v>66.8</v>
      </c>
      <c r="BG789" s="31">
        <v>0.71360000000000001</v>
      </c>
      <c r="BH789" s="32">
        <v>713.4</v>
      </c>
      <c r="BJ789" s="30">
        <v>66.8</v>
      </c>
      <c r="BK789" s="34">
        <v>2.6516999999999999</v>
      </c>
      <c r="BL789" s="35">
        <v>0.11137</v>
      </c>
      <c r="BM789" s="36"/>
      <c r="BN789" s="30">
        <v>66.8</v>
      </c>
      <c r="BO789" s="34">
        <v>2.6943000000000001</v>
      </c>
      <c r="BP789" s="35">
        <v>0.11316</v>
      </c>
      <c r="BY789" s="55"/>
    </row>
    <row r="790" spans="27:77">
      <c r="AA790" s="27"/>
      <c r="BF790" s="30">
        <v>66.900000000000006</v>
      </c>
      <c r="BG790" s="31">
        <v>0.71319999999999995</v>
      </c>
      <c r="BH790" s="32">
        <v>713</v>
      </c>
      <c r="BJ790" s="30">
        <v>66.900000000000006</v>
      </c>
      <c r="BK790" s="34">
        <v>2.6503999999999999</v>
      </c>
      <c r="BL790" s="35">
        <v>0.11132</v>
      </c>
      <c r="BM790" s="36"/>
      <c r="BN790" s="30">
        <v>66.900000000000006</v>
      </c>
      <c r="BO790" s="34">
        <v>2.6928999999999998</v>
      </c>
      <c r="BP790" s="35">
        <v>0.11310000000000001</v>
      </c>
      <c r="BY790" s="55"/>
    </row>
    <row r="791" spans="27:77">
      <c r="AA791" s="27"/>
      <c r="BF791" s="30">
        <v>67</v>
      </c>
      <c r="BG791" s="31">
        <v>0.71279999999999999</v>
      </c>
      <c r="BH791" s="32">
        <v>712.7</v>
      </c>
      <c r="BJ791" s="30">
        <v>67</v>
      </c>
      <c r="BK791" s="34">
        <v>2.649</v>
      </c>
      <c r="BL791" s="35">
        <v>0.11126</v>
      </c>
      <c r="BM791" s="36"/>
      <c r="BN791" s="30">
        <v>67</v>
      </c>
      <c r="BO791" s="34">
        <v>2.6915</v>
      </c>
      <c r="BP791" s="35">
        <v>0.11304</v>
      </c>
      <c r="BY791" s="55"/>
    </row>
    <row r="792" spans="27:77">
      <c r="AA792" s="27"/>
      <c r="BF792" s="30">
        <v>67.099999999999994</v>
      </c>
      <c r="BG792" s="31">
        <v>0.71250000000000002</v>
      </c>
      <c r="BH792" s="32">
        <v>712.3</v>
      </c>
      <c r="BJ792" s="30">
        <v>67.099999999999994</v>
      </c>
      <c r="BK792" s="34">
        <v>2.6476999999999999</v>
      </c>
      <c r="BL792" s="35">
        <v>0.11119999999999999</v>
      </c>
      <c r="BM792" s="36"/>
      <c r="BN792" s="30">
        <v>67.099999999999994</v>
      </c>
      <c r="BO792" s="34">
        <v>2.6901999999999999</v>
      </c>
      <c r="BP792" s="35">
        <v>0.11298999999999999</v>
      </c>
      <c r="BY792" s="55"/>
    </row>
    <row r="793" spans="27:77">
      <c r="AA793" s="27"/>
      <c r="BF793" s="30">
        <v>67.2</v>
      </c>
      <c r="BG793" s="31">
        <v>0.71209999999999996</v>
      </c>
      <c r="BH793" s="32">
        <v>711.9</v>
      </c>
      <c r="BJ793" s="30">
        <v>67.2</v>
      </c>
      <c r="BK793" s="34">
        <v>2.6463999999999999</v>
      </c>
      <c r="BL793" s="35">
        <v>0.11115</v>
      </c>
      <c r="BM793" s="36"/>
      <c r="BN793" s="30">
        <v>67.2</v>
      </c>
      <c r="BO793" s="34">
        <v>2.6888000000000001</v>
      </c>
      <c r="BP793" s="35">
        <v>0.11293</v>
      </c>
      <c r="BY793" s="55"/>
    </row>
    <row r="794" spans="27:77">
      <c r="AA794" s="27"/>
      <c r="BF794" s="30">
        <v>67.3</v>
      </c>
      <c r="BG794" s="31">
        <v>0.71179999999999999</v>
      </c>
      <c r="BH794" s="32">
        <v>711.6</v>
      </c>
      <c r="BJ794" s="30">
        <v>67.3</v>
      </c>
      <c r="BK794" s="34">
        <v>2.645</v>
      </c>
      <c r="BL794" s="35">
        <v>0.11108999999999999</v>
      </c>
      <c r="BM794" s="36"/>
      <c r="BN794" s="30">
        <v>67.3</v>
      </c>
      <c r="BO794" s="34">
        <v>2.6875</v>
      </c>
      <c r="BP794" s="35">
        <v>0.11287</v>
      </c>
      <c r="BY794" s="55"/>
    </row>
    <row r="795" spans="27:77">
      <c r="AA795" s="27"/>
      <c r="BF795" s="30">
        <v>67.400000000000006</v>
      </c>
      <c r="BG795" s="31">
        <v>0.71140000000000003</v>
      </c>
      <c r="BH795" s="32">
        <v>711.2</v>
      </c>
      <c r="BJ795" s="30">
        <v>67.400000000000006</v>
      </c>
      <c r="BK795" s="34">
        <v>2.6436999999999999</v>
      </c>
      <c r="BL795" s="35">
        <v>0.11103</v>
      </c>
      <c r="BM795" s="36"/>
      <c r="BN795" s="30">
        <v>67.400000000000006</v>
      </c>
      <c r="BO795" s="34">
        <v>2.6861000000000002</v>
      </c>
      <c r="BP795" s="35">
        <v>0.11282</v>
      </c>
      <c r="BY795" s="55"/>
    </row>
    <row r="796" spans="27:77">
      <c r="AA796" s="27"/>
      <c r="BF796" s="30">
        <v>67.5</v>
      </c>
      <c r="BG796" s="31">
        <v>0.71109999999999995</v>
      </c>
      <c r="BH796" s="32">
        <v>710.9</v>
      </c>
      <c r="BJ796" s="30">
        <v>67.5</v>
      </c>
      <c r="BK796" s="34">
        <v>2.6423999999999999</v>
      </c>
      <c r="BL796" s="35">
        <v>0.11098</v>
      </c>
      <c r="BM796" s="36"/>
      <c r="BN796" s="30">
        <v>67.5</v>
      </c>
      <c r="BO796" s="34">
        <v>2.6848000000000001</v>
      </c>
      <c r="BP796" s="35">
        <v>0.11276</v>
      </c>
      <c r="BY796" s="55"/>
    </row>
    <row r="797" spans="27:77">
      <c r="AA797" s="27"/>
      <c r="BF797" s="30">
        <v>67.599999999999994</v>
      </c>
      <c r="BG797" s="31">
        <v>0.7107</v>
      </c>
      <c r="BH797" s="32">
        <v>710.5</v>
      </c>
      <c r="BJ797" s="30">
        <v>67.599999999999994</v>
      </c>
      <c r="BK797" s="34">
        <v>2.641</v>
      </c>
      <c r="BL797" s="35">
        <v>0.11092</v>
      </c>
      <c r="BM797" s="36"/>
      <c r="BN797" s="30">
        <v>67.599999999999994</v>
      </c>
      <c r="BO797" s="34">
        <v>2.6833999999999998</v>
      </c>
      <c r="BP797" s="35">
        <v>0.11269999999999999</v>
      </c>
      <c r="BY797" s="55"/>
    </row>
    <row r="798" spans="27:77">
      <c r="AA798" s="27"/>
      <c r="BF798" s="30">
        <v>67.7</v>
      </c>
      <c r="BG798" s="31">
        <v>0.71030000000000004</v>
      </c>
      <c r="BH798" s="32">
        <v>710.2</v>
      </c>
      <c r="BJ798" s="30">
        <v>67.7</v>
      </c>
      <c r="BK798" s="34">
        <v>2.6396999999999999</v>
      </c>
      <c r="BL798" s="35">
        <v>0.11087</v>
      </c>
      <c r="BM798" s="36"/>
      <c r="BN798" s="30">
        <v>67.7</v>
      </c>
      <c r="BO798" s="34">
        <v>2.6821000000000002</v>
      </c>
      <c r="BP798" s="35">
        <v>0.11265</v>
      </c>
      <c r="BY798" s="55"/>
    </row>
    <row r="799" spans="27:77">
      <c r="AA799" s="27"/>
      <c r="BF799" s="30">
        <v>67.8</v>
      </c>
      <c r="BG799" s="31">
        <v>0.71</v>
      </c>
      <c r="BH799" s="32">
        <v>709.8</v>
      </c>
      <c r="BJ799" s="30">
        <v>67.8</v>
      </c>
      <c r="BK799" s="34">
        <v>2.6383999999999999</v>
      </c>
      <c r="BL799" s="35">
        <v>0.11081000000000001</v>
      </c>
      <c r="BM799" s="36"/>
      <c r="BN799" s="30">
        <v>67.8</v>
      </c>
      <c r="BO799" s="34">
        <v>2.6806999999999999</v>
      </c>
      <c r="BP799" s="35">
        <v>0.11259</v>
      </c>
      <c r="BY799" s="55"/>
    </row>
    <row r="800" spans="27:77">
      <c r="AA800" s="27"/>
      <c r="BF800" s="30">
        <v>67.900000000000006</v>
      </c>
      <c r="BG800" s="31">
        <v>0.70960000000000001</v>
      </c>
      <c r="BH800" s="32">
        <v>709.4</v>
      </c>
      <c r="BJ800" s="30">
        <v>67.900000000000006</v>
      </c>
      <c r="BK800" s="34">
        <v>2.637</v>
      </c>
      <c r="BL800" s="35">
        <v>0.11076</v>
      </c>
      <c r="BM800" s="36"/>
      <c r="BN800" s="30">
        <v>67.900000000000006</v>
      </c>
      <c r="BO800" s="34">
        <v>2.6793999999999998</v>
      </c>
      <c r="BP800" s="35">
        <v>0.11253000000000001</v>
      </c>
      <c r="BY800" s="55"/>
    </row>
    <row r="801" spans="27:77">
      <c r="AA801" s="27"/>
      <c r="BF801" s="30">
        <v>68</v>
      </c>
      <c r="BG801" s="31">
        <v>0.70930000000000004</v>
      </c>
      <c r="BH801" s="32">
        <v>709.1</v>
      </c>
      <c r="BJ801" s="30">
        <v>68</v>
      </c>
      <c r="BK801" s="34">
        <v>2.6356999999999999</v>
      </c>
      <c r="BL801" s="35">
        <v>0.11070000000000001</v>
      </c>
      <c r="BM801" s="36"/>
      <c r="BN801" s="30">
        <v>68</v>
      </c>
      <c r="BO801" s="34">
        <v>2.6779999999999999</v>
      </c>
      <c r="BP801" s="35">
        <v>0.11248</v>
      </c>
      <c r="BY801" s="55"/>
    </row>
    <row r="802" spans="27:77">
      <c r="AA802" s="27"/>
      <c r="BF802" s="30">
        <v>68.099999999999994</v>
      </c>
      <c r="BG802" s="31">
        <v>0.70889999999999997</v>
      </c>
      <c r="BH802" s="32">
        <v>708.7</v>
      </c>
      <c r="BJ802" s="30">
        <v>68.099999999999994</v>
      </c>
      <c r="BK802" s="34">
        <v>2.6343999999999999</v>
      </c>
      <c r="BL802" s="35">
        <v>0.11064</v>
      </c>
      <c r="BM802" s="36"/>
      <c r="BN802" s="30">
        <v>68.099999999999994</v>
      </c>
      <c r="BO802" s="34">
        <v>2.6766999999999999</v>
      </c>
      <c r="BP802" s="35">
        <v>0.11242000000000001</v>
      </c>
      <c r="BY802" s="55"/>
    </row>
    <row r="803" spans="27:77">
      <c r="AA803" s="27"/>
      <c r="BF803" s="30">
        <v>68.2</v>
      </c>
      <c r="BG803" s="31">
        <v>0.70860000000000001</v>
      </c>
      <c r="BH803" s="32">
        <v>708.4</v>
      </c>
      <c r="BJ803" s="30">
        <v>68.2</v>
      </c>
      <c r="BK803" s="34">
        <v>2.6331000000000002</v>
      </c>
      <c r="BL803" s="35">
        <v>0.11058999999999999</v>
      </c>
      <c r="BM803" s="36"/>
      <c r="BN803" s="30">
        <v>68.2</v>
      </c>
      <c r="BO803" s="34">
        <v>2.6753</v>
      </c>
      <c r="BP803" s="35">
        <v>0.11236</v>
      </c>
      <c r="BY803" s="55"/>
    </row>
    <row r="804" spans="27:77">
      <c r="AA804" s="27"/>
      <c r="BF804" s="30">
        <v>68.3</v>
      </c>
      <c r="BG804" s="31">
        <v>0.70820000000000005</v>
      </c>
      <c r="BH804" s="32">
        <v>708</v>
      </c>
      <c r="BJ804" s="30">
        <v>68.3</v>
      </c>
      <c r="BK804" s="34">
        <v>2.6318000000000001</v>
      </c>
      <c r="BL804" s="35">
        <v>0.11053</v>
      </c>
      <c r="BM804" s="36"/>
      <c r="BN804" s="30">
        <v>68.3</v>
      </c>
      <c r="BO804" s="34">
        <v>2.6739999999999999</v>
      </c>
      <c r="BP804" s="35">
        <v>0.11230999999999999</v>
      </c>
      <c r="BY804" s="55"/>
    </row>
    <row r="805" spans="27:77">
      <c r="AA805" s="27"/>
      <c r="BF805" s="30">
        <v>68.400000000000006</v>
      </c>
      <c r="BG805" s="31">
        <v>0.70789999999999997</v>
      </c>
      <c r="BH805" s="32">
        <v>707.7</v>
      </c>
      <c r="BJ805" s="30">
        <v>68.400000000000006</v>
      </c>
      <c r="BK805" s="34">
        <v>2.6303999999999998</v>
      </c>
      <c r="BL805" s="35">
        <v>0.11047999999999999</v>
      </c>
      <c r="BM805" s="36"/>
      <c r="BN805" s="30">
        <v>68.400000000000006</v>
      </c>
      <c r="BO805" s="34">
        <v>2.6726999999999999</v>
      </c>
      <c r="BP805" s="35">
        <v>0.11225</v>
      </c>
      <c r="BY805" s="55"/>
    </row>
    <row r="806" spans="27:77">
      <c r="AA806" s="27"/>
      <c r="BF806" s="30">
        <v>68.5</v>
      </c>
      <c r="BG806" s="31">
        <v>0.70750000000000002</v>
      </c>
      <c r="BH806" s="32">
        <v>707.3</v>
      </c>
      <c r="BJ806" s="30">
        <v>68.5</v>
      </c>
      <c r="BK806" s="34">
        <v>2.6291000000000002</v>
      </c>
      <c r="BL806" s="35">
        <v>0.11042</v>
      </c>
      <c r="BM806" s="36"/>
      <c r="BN806" s="30">
        <v>68.5</v>
      </c>
      <c r="BO806" s="34">
        <v>2.6713</v>
      </c>
      <c r="BP806" s="35">
        <v>0.11219999999999999</v>
      </c>
      <c r="BY806" s="55"/>
    </row>
    <row r="807" spans="27:77">
      <c r="AA807" s="27"/>
      <c r="BF807" s="30">
        <v>68.599999999999994</v>
      </c>
      <c r="BG807" s="31">
        <v>0.70709999999999995</v>
      </c>
      <c r="BH807" s="32">
        <v>707</v>
      </c>
      <c r="BJ807" s="30">
        <v>68.599999999999994</v>
      </c>
      <c r="BK807" s="34">
        <v>2.6278000000000001</v>
      </c>
      <c r="BL807" s="35">
        <v>0.11037</v>
      </c>
      <c r="BM807" s="36"/>
      <c r="BN807" s="30">
        <v>68.599999999999994</v>
      </c>
      <c r="BO807" s="34">
        <v>2.67</v>
      </c>
      <c r="BP807" s="35">
        <v>0.11214</v>
      </c>
      <c r="BY807" s="55"/>
    </row>
    <row r="808" spans="27:77">
      <c r="AA808" s="27"/>
      <c r="BF808" s="30">
        <v>68.7</v>
      </c>
      <c r="BG808" s="31">
        <v>0.70679999999999998</v>
      </c>
      <c r="BH808" s="32">
        <v>706.6</v>
      </c>
      <c r="BJ808" s="30">
        <v>68.7</v>
      </c>
      <c r="BK808" s="34">
        <v>2.6265000000000001</v>
      </c>
      <c r="BL808" s="35">
        <v>0.11031000000000001</v>
      </c>
      <c r="BM808" s="36"/>
      <c r="BN808" s="30">
        <v>68.7</v>
      </c>
      <c r="BO808" s="34">
        <v>2.6686000000000001</v>
      </c>
      <c r="BP808" s="35">
        <v>0.11208</v>
      </c>
      <c r="BY808" s="55"/>
    </row>
    <row r="809" spans="27:77">
      <c r="AA809" s="27"/>
      <c r="BF809" s="30">
        <v>68.8</v>
      </c>
      <c r="BG809" s="31">
        <v>0.70640000000000003</v>
      </c>
      <c r="BH809" s="32">
        <v>706.3</v>
      </c>
      <c r="BJ809" s="30">
        <v>68.8</v>
      </c>
      <c r="BK809" s="34">
        <v>2.6252</v>
      </c>
      <c r="BL809" s="35">
        <v>0.11026</v>
      </c>
      <c r="BM809" s="36"/>
      <c r="BN809" s="30">
        <v>68.8</v>
      </c>
      <c r="BO809" s="34">
        <v>2.6673</v>
      </c>
      <c r="BP809" s="35">
        <v>0.11203</v>
      </c>
      <c r="BY809" s="55"/>
    </row>
    <row r="810" spans="27:77">
      <c r="AA810" s="27"/>
      <c r="BF810" s="30">
        <v>68.900000000000006</v>
      </c>
      <c r="BG810" s="31">
        <v>0.70609999999999995</v>
      </c>
      <c r="BH810" s="32">
        <v>705.9</v>
      </c>
      <c r="BJ810" s="30">
        <v>68.900000000000006</v>
      </c>
      <c r="BK810" s="34">
        <v>2.6238999999999999</v>
      </c>
      <c r="BL810" s="35">
        <v>0.11020000000000001</v>
      </c>
      <c r="BM810" s="36"/>
      <c r="BN810" s="30">
        <v>68.900000000000006</v>
      </c>
      <c r="BO810" s="34">
        <v>2.6659999999999999</v>
      </c>
      <c r="BP810" s="35">
        <v>0.11197</v>
      </c>
      <c r="BY810" s="55"/>
    </row>
    <row r="811" spans="27:77">
      <c r="AA811" s="27"/>
      <c r="BF811" s="30">
        <v>69</v>
      </c>
      <c r="BG811" s="31">
        <v>0.70569999999999999</v>
      </c>
      <c r="BH811" s="32">
        <v>705.6</v>
      </c>
      <c r="BJ811" s="30">
        <v>69</v>
      </c>
      <c r="BK811" s="34">
        <v>2.6225999999999998</v>
      </c>
      <c r="BL811" s="35">
        <v>0.11015</v>
      </c>
      <c r="BM811" s="36"/>
      <c r="BN811" s="30">
        <v>69</v>
      </c>
      <c r="BO811" s="34">
        <v>2.6646000000000001</v>
      </c>
      <c r="BP811" s="35">
        <v>0.11191</v>
      </c>
      <c r="BY811" s="55"/>
    </row>
    <row r="812" spans="27:77">
      <c r="AA812" s="27"/>
      <c r="BF812" s="30">
        <v>69.099999999999994</v>
      </c>
      <c r="BG812" s="31">
        <v>0.70540000000000003</v>
      </c>
      <c r="BH812" s="32">
        <v>705.2</v>
      </c>
      <c r="BJ812" s="30">
        <v>69.099999999999994</v>
      </c>
      <c r="BK812" s="34">
        <v>2.6212</v>
      </c>
      <c r="BL812" s="35">
        <v>0.11008999999999999</v>
      </c>
      <c r="BM812" s="36"/>
      <c r="BN812" s="30">
        <v>69.099999999999994</v>
      </c>
      <c r="BO812" s="34">
        <v>2.6633</v>
      </c>
      <c r="BP812" s="35">
        <v>0.11186</v>
      </c>
      <c r="BY812" s="55"/>
    </row>
    <row r="813" spans="27:77">
      <c r="AA813" s="27"/>
      <c r="BF813" s="30">
        <v>69.2</v>
      </c>
      <c r="BG813" s="31">
        <v>0.70499999999999996</v>
      </c>
      <c r="BH813" s="32">
        <v>704.9</v>
      </c>
      <c r="BJ813" s="30">
        <v>69.2</v>
      </c>
      <c r="BK813" s="34">
        <v>2.6198999999999999</v>
      </c>
      <c r="BL813" s="35">
        <v>0.11004</v>
      </c>
      <c r="BM813" s="36"/>
      <c r="BN813" s="30">
        <v>69.2</v>
      </c>
      <c r="BO813" s="34">
        <v>2.6619999999999999</v>
      </c>
      <c r="BP813" s="35">
        <v>0.1118</v>
      </c>
      <c r="BY813" s="55"/>
    </row>
    <row r="814" spans="27:77">
      <c r="AA814" s="27"/>
      <c r="BF814" s="30">
        <v>69.3</v>
      </c>
      <c r="BG814" s="31">
        <v>0.70469999999999999</v>
      </c>
      <c r="BH814" s="32">
        <v>704.5</v>
      </c>
      <c r="BJ814" s="30">
        <v>69.3</v>
      </c>
      <c r="BK814" s="34">
        <v>2.6185999999999998</v>
      </c>
      <c r="BL814" s="35">
        <v>0.10997999999999999</v>
      </c>
      <c r="BM814" s="36"/>
      <c r="BN814" s="30">
        <v>69.3</v>
      </c>
      <c r="BO814" s="34">
        <v>2.6606999999999998</v>
      </c>
      <c r="BP814" s="35">
        <v>0.11175</v>
      </c>
      <c r="BY814" s="55"/>
    </row>
    <row r="815" spans="27:77">
      <c r="AA815" s="27"/>
      <c r="BF815" s="30">
        <v>69.400000000000006</v>
      </c>
      <c r="BG815" s="31">
        <v>0.70430000000000004</v>
      </c>
      <c r="BH815" s="32">
        <v>704.2</v>
      </c>
      <c r="BJ815" s="30">
        <v>69.400000000000006</v>
      </c>
      <c r="BK815" s="34">
        <v>2.6173000000000002</v>
      </c>
      <c r="BL815" s="35">
        <v>0.10993</v>
      </c>
      <c r="BM815" s="36"/>
      <c r="BN815" s="30">
        <v>69.400000000000006</v>
      </c>
      <c r="BO815" s="34">
        <v>2.6593</v>
      </c>
      <c r="BP815" s="35">
        <v>0.11169</v>
      </c>
      <c r="BY815" s="55"/>
    </row>
    <row r="816" spans="27:77">
      <c r="AA816" s="27"/>
      <c r="BF816" s="30">
        <v>69.5</v>
      </c>
      <c r="BG816" s="31">
        <v>0.70399999999999996</v>
      </c>
      <c r="BH816" s="32">
        <v>703.8</v>
      </c>
      <c r="BJ816" s="30">
        <v>69.5</v>
      </c>
      <c r="BK816" s="34">
        <v>2.6160000000000001</v>
      </c>
      <c r="BL816" s="35">
        <v>0.10987</v>
      </c>
      <c r="BM816" s="36"/>
      <c r="BN816" s="30">
        <v>69.5</v>
      </c>
      <c r="BO816" s="34">
        <v>2.6579999999999999</v>
      </c>
      <c r="BP816" s="35">
        <v>0.11164</v>
      </c>
      <c r="BY816" s="55"/>
    </row>
    <row r="817" spans="27:77">
      <c r="AA817" s="27"/>
      <c r="BF817" s="30">
        <v>69.599999999999994</v>
      </c>
      <c r="BG817" s="31">
        <v>0.7036</v>
      </c>
      <c r="BH817" s="32">
        <v>703.5</v>
      </c>
      <c r="BJ817" s="30">
        <v>69.599999999999994</v>
      </c>
      <c r="BK817" s="34">
        <v>2.6147</v>
      </c>
      <c r="BL817" s="35">
        <v>0.10982</v>
      </c>
      <c r="BM817" s="36"/>
      <c r="BN817" s="30">
        <v>69.599999999999994</v>
      </c>
      <c r="BO817" s="34">
        <v>2.6566999999999998</v>
      </c>
      <c r="BP817" s="35">
        <v>0.11158</v>
      </c>
      <c r="BY817" s="55"/>
    </row>
    <row r="818" spans="27:77">
      <c r="AA818" s="27"/>
      <c r="BF818" s="30">
        <v>69.7</v>
      </c>
      <c r="BG818" s="31">
        <v>0.70330000000000004</v>
      </c>
      <c r="BH818" s="32">
        <v>703.1</v>
      </c>
      <c r="BJ818" s="30">
        <v>69.7</v>
      </c>
      <c r="BK818" s="34">
        <v>2.6133999999999999</v>
      </c>
      <c r="BL818" s="35">
        <v>0.10976</v>
      </c>
      <c r="BM818" s="36"/>
      <c r="BN818" s="30">
        <v>69.7</v>
      </c>
      <c r="BO818" s="34">
        <v>2.6554000000000002</v>
      </c>
      <c r="BP818" s="35">
        <v>0.11151999999999999</v>
      </c>
      <c r="BY818" s="55"/>
    </row>
    <row r="819" spans="27:77">
      <c r="AA819" s="27"/>
      <c r="BF819" s="30">
        <v>69.8</v>
      </c>
      <c r="BG819" s="31">
        <v>0.70289999999999997</v>
      </c>
      <c r="BH819" s="32">
        <v>702.8</v>
      </c>
      <c r="BJ819" s="30">
        <v>69.8</v>
      </c>
      <c r="BK819" s="34">
        <v>2.6120999999999999</v>
      </c>
      <c r="BL819" s="35">
        <v>0.10971</v>
      </c>
      <c r="BM819" s="36"/>
      <c r="BN819" s="30">
        <v>69.8</v>
      </c>
      <c r="BO819" s="34">
        <v>2.6539999999999999</v>
      </c>
      <c r="BP819" s="35">
        <v>0.11147</v>
      </c>
      <c r="BY819" s="55"/>
    </row>
    <row r="820" spans="27:77">
      <c r="AA820" s="27"/>
      <c r="BF820" s="30">
        <v>69.900000000000006</v>
      </c>
      <c r="BG820" s="31">
        <v>0.7026</v>
      </c>
      <c r="BH820" s="32">
        <v>702.4</v>
      </c>
      <c r="BJ820" s="30">
        <v>69.900000000000006</v>
      </c>
      <c r="BK820" s="34">
        <v>2.6107999999999998</v>
      </c>
      <c r="BL820" s="35">
        <v>0.10965</v>
      </c>
      <c r="BM820" s="36"/>
      <c r="BN820" s="30">
        <v>69.900000000000006</v>
      </c>
      <c r="BO820" s="34">
        <v>2.6526999999999998</v>
      </c>
      <c r="BP820" s="35">
        <v>0.11141</v>
      </c>
      <c r="BY820" s="55"/>
    </row>
    <row r="821" spans="27:77">
      <c r="AA821" s="27"/>
      <c r="BF821" s="30">
        <v>70</v>
      </c>
      <c r="BG821" s="31">
        <v>0.70220000000000005</v>
      </c>
      <c r="BH821" s="32">
        <v>702.1</v>
      </c>
      <c r="BJ821" s="30">
        <v>70</v>
      </c>
      <c r="BK821" s="34">
        <v>2.6095000000000002</v>
      </c>
      <c r="BL821" s="35">
        <v>0.1096</v>
      </c>
      <c r="BM821" s="36"/>
      <c r="BN821" s="30">
        <v>70</v>
      </c>
      <c r="BO821" s="34">
        <v>2.6514000000000002</v>
      </c>
      <c r="BP821" s="35">
        <v>0.11136</v>
      </c>
      <c r="BY821" s="55"/>
    </row>
    <row r="822" spans="27:77">
      <c r="AA822" s="27"/>
      <c r="BF822" s="30">
        <v>70.099999999999994</v>
      </c>
      <c r="BG822" s="31">
        <v>0.70189999999999997</v>
      </c>
      <c r="BH822" s="32">
        <v>701.7</v>
      </c>
      <c r="BJ822" s="30">
        <v>70.099999999999994</v>
      </c>
      <c r="BK822" s="34">
        <v>2.6082000000000001</v>
      </c>
      <c r="BL822" s="35">
        <v>0.10954999999999999</v>
      </c>
      <c r="BM822" s="36"/>
      <c r="BN822" s="30">
        <v>70.099999999999994</v>
      </c>
      <c r="BO822" s="34">
        <v>2.6501000000000001</v>
      </c>
      <c r="BP822" s="35">
        <v>0.1113</v>
      </c>
      <c r="BY822" s="55"/>
    </row>
    <row r="823" spans="27:77">
      <c r="AA823" s="27"/>
      <c r="BF823" s="30">
        <v>70.2</v>
      </c>
      <c r="BG823" s="31">
        <v>0.70150000000000001</v>
      </c>
      <c r="BH823" s="32">
        <v>701.4</v>
      </c>
      <c r="BJ823" s="30">
        <v>70.2</v>
      </c>
      <c r="BK823" s="34">
        <v>2.6069</v>
      </c>
      <c r="BL823" s="35">
        <v>0.10949</v>
      </c>
      <c r="BM823" s="36"/>
      <c r="BN823" s="30">
        <v>70.2</v>
      </c>
      <c r="BO823" s="34">
        <v>2.6488</v>
      </c>
      <c r="BP823" s="35">
        <v>0.11125</v>
      </c>
      <c r="BY823" s="55"/>
    </row>
    <row r="824" spans="27:77">
      <c r="AA824" s="27"/>
      <c r="BF824" s="30">
        <v>70.3</v>
      </c>
      <c r="BG824" s="31">
        <v>0.70120000000000005</v>
      </c>
      <c r="BH824" s="32">
        <v>701</v>
      </c>
      <c r="BJ824" s="30">
        <v>70.3</v>
      </c>
      <c r="BK824" s="34">
        <v>2.6055999999999999</v>
      </c>
      <c r="BL824" s="35">
        <v>0.10944</v>
      </c>
      <c r="BM824" s="36"/>
      <c r="BN824" s="30">
        <v>70.3</v>
      </c>
      <c r="BO824" s="34">
        <v>2.6474000000000002</v>
      </c>
      <c r="BP824" s="35">
        <v>0.11119</v>
      </c>
      <c r="BY824" s="55"/>
    </row>
    <row r="825" spans="27:77">
      <c r="AA825" s="27"/>
      <c r="BF825" s="30">
        <v>70.400000000000006</v>
      </c>
      <c r="BG825" s="31">
        <v>0.70079999999999998</v>
      </c>
      <c r="BH825" s="32">
        <v>700.7</v>
      </c>
      <c r="BJ825" s="30">
        <v>70.400000000000006</v>
      </c>
      <c r="BK825" s="34">
        <v>2.6042999999999998</v>
      </c>
      <c r="BL825" s="35">
        <v>0.10938000000000001</v>
      </c>
      <c r="BM825" s="36"/>
      <c r="BN825" s="30">
        <v>70.400000000000006</v>
      </c>
      <c r="BO825" s="34">
        <v>2.6461000000000001</v>
      </c>
      <c r="BP825" s="35">
        <v>0.11114</v>
      </c>
      <c r="BY825" s="55"/>
    </row>
    <row r="826" spans="27:77">
      <c r="AA826" s="27"/>
      <c r="BF826" s="30">
        <v>70.5</v>
      </c>
      <c r="BG826" s="31">
        <v>0.70050000000000001</v>
      </c>
      <c r="BH826" s="32">
        <v>700.3</v>
      </c>
      <c r="BJ826" s="30">
        <v>70.5</v>
      </c>
      <c r="BK826" s="34">
        <v>2.6030000000000002</v>
      </c>
      <c r="BL826" s="35">
        <v>0.10933</v>
      </c>
      <c r="BM826" s="36"/>
      <c r="BN826" s="30">
        <v>70.5</v>
      </c>
      <c r="BO826" s="34">
        <v>2.6448</v>
      </c>
      <c r="BP826" s="35">
        <v>0.11108</v>
      </c>
      <c r="BY826" s="55"/>
    </row>
    <row r="827" spans="27:77">
      <c r="AA827" s="27"/>
      <c r="BF827" s="30">
        <v>70.599999999999994</v>
      </c>
      <c r="BG827" s="31">
        <v>0.70009999999999994</v>
      </c>
      <c r="BH827" s="32">
        <v>700</v>
      </c>
      <c r="BJ827" s="30">
        <v>70.599999999999994</v>
      </c>
      <c r="BK827" s="34">
        <v>2.6017999999999999</v>
      </c>
      <c r="BL827" s="35">
        <v>0.10927000000000001</v>
      </c>
      <c r="BM827" s="36"/>
      <c r="BN827" s="30">
        <v>70.599999999999994</v>
      </c>
      <c r="BO827" s="34">
        <v>2.6435</v>
      </c>
      <c r="BP827" s="35">
        <v>0.11103</v>
      </c>
      <c r="BY827" s="55"/>
    </row>
    <row r="828" spans="27:77">
      <c r="AA828" s="27"/>
      <c r="BF828" s="30">
        <v>70.7</v>
      </c>
      <c r="BG828" s="31">
        <v>0.69979999999999998</v>
      </c>
      <c r="BH828" s="32">
        <v>699.6</v>
      </c>
      <c r="BJ828" s="30">
        <v>70.7</v>
      </c>
      <c r="BK828" s="34">
        <v>2.6004999999999998</v>
      </c>
      <c r="BL828" s="35">
        <v>0.10922</v>
      </c>
      <c r="BM828" s="36"/>
      <c r="BN828" s="30">
        <v>70.7</v>
      </c>
      <c r="BO828" s="34">
        <v>2.6421999999999999</v>
      </c>
      <c r="BP828" s="35">
        <v>0.11097</v>
      </c>
      <c r="BY828" s="55"/>
    </row>
    <row r="829" spans="27:77">
      <c r="AA829" s="27"/>
      <c r="BF829" s="30">
        <v>70.8</v>
      </c>
      <c r="BG829" s="31">
        <v>0.69950000000000001</v>
      </c>
      <c r="BH829" s="32">
        <v>699.3</v>
      </c>
      <c r="BJ829" s="30">
        <v>70.8</v>
      </c>
      <c r="BK829" s="34">
        <v>2.5992000000000002</v>
      </c>
      <c r="BL829" s="35">
        <v>0.10917</v>
      </c>
      <c r="BM829" s="36"/>
      <c r="BN829" s="30">
        <v>70.8</v>
      </c>
      <c r="BO829" s="34">
        <v>2.6408999999999998</v>
      </c>
      <c r="BP829" s="35">
        <v>0.11092</v>
      </c>
      <c r="BY829" s="55"/>
    </row>
    <row r="830" spans="27:77">
      <c r="AA830" s="27"/>
      <c r="BF830" s="30">
        <v>70.900000000000006</v>
      </c>
      <c r="BG830" s="31">
        <v>0.69910000000000005</v>
      </c>
      <c r="BH830" s="32">
        <v>698.9</v>
      </c>
      <c r="BJ830" s="30">
        <v>70.900000000000006</v>
      </c>
      <c r="BK830" s="34">
        <v>2.5979000000000001</v>
      </c>
      <c r="BL830" s="35">
        <v>0.10911</v>
      </c>
      <c r="BM830" s="36"/>
      <c r="BN830" s="30">
        <v>70.900000000000006</v>
      </c>
      <c r="BO830" s="34">
        <v>2.6396000000000002</v>
      </c>
      <c r="BP830" s="35">
        <v>0.11086</v>
      </c>
      <c r="BY830" s="55"/>
    </row>
    <row r="831" spans="27:77">
      <c r="AA831" s="27"/>
      <c r="BF831" s="30">
        <v>71</v>
      </c>
      <c r="BG831" s="31">
        <v>0.69879999999999998</v>
      </c>
      <c r="BH831" s="32">
        <v>698.6</v>
      </c>
      <c r="BJ831" s="30">
        <v>71</v>
      </c>
      <c r="BK831" s="34">
        <v>2.5966</v>
      </c>
      <c r="BL831" s="35">
        <v>0.10906</v>
      </c>
      <c r="BM831" s="36"/>
      <c r="BN831" s="30">
        <v>71</v>
      </c>
      <c r="BO831" s="34">
        <v>2.6383000000000001</v>
      </c>
      <c r="BP831" s="35">
        <v>0.11081000000000001</v>
      </c>
      <c r="BY831" s="55"/>
    </row>
    <row r="832" spans="27:77">
      <c r="AA832" s="27"/>
      <c r="BF832" s="30">
        <v>71.099999999999994</v>
      </c>
      <c r="BG832" s="31">
        <v>0.69840000000000002</v>
      </c>
      <c r="BH832" s="32">
        <v>698.2</v>
      </c>
      <c r="BJ832" s="30">
        <v>71.099999999999994</v>
      </c>
      <c r="BK832" s="34">
        <v>2.5952999999999999</v>
      </c>
      <c r="BL832" s="35">
        <v>0.109</v>
      </c>
      <c r="BM832" s="36"/>
      <c r="BN832" s="30">
        <v>71.099999999999994</v>
      </c>
      <c r="BO832" s="34">
        <v>2.637</v>
      </c>
      <c r="BP832" s="35">
        <v>0.11075</v>
      </c>
      <c r="BY832" s="55"/>
    </row>
    <row r="833" spans="27:77">
      <c r="AA833" s="27"/>
      <c r="BF833" s="30">
        <v>71.2</v>
      </c>
      <c r="BG833" s="31">
        <v>0.69810000000000005</v>
      </c>
      <c r="BH833" s="32">
        <v>697.9</v>
      </c>
      <c r="BJ833" s="30">
        <v>71.2</v>
      </c>
      <c r="BK833" s="34">
        <v>2.5939999999999999</v>
      </c>
      <c r="BL833" s="35">
        <v>0.10895000000000001</v>
      </c>
      <c r="BM833" s="36"/>
      <c r="BN833" s="30">
        <v>71.2</v>
      </c>
      <c r="BO833" s="34">
        <v>2.6356999999999999</v>
      </c>
      <c r="BP833" s="35">
        <v>0.11070000000000001</v>
      </c>
      <c r="BY833" s="55"/>
    </row>
    <row r="834" spans="27:77">
      <c r="AA834" s="27"/>
      <c r="BF834" s="30">
        <v>71.3</v>
      </c>
      <c r="BG834" s="31">
        <v>0.69769999999999999</v>
      </c>
      <c r="BH834" s="32">
        <v>697.6</v>
      </c>
      <c r="BJ834" s="30">
        <v>71.3</v>
      </c>
      <c r="BK834" s="34">
        <v>2.5928</v>
      </c>
      <c r="BL834" s="35">
        <v>0.1089</v>
      </c>
      <c r="BM834" s="36"/>
      <c r="BN834" s="30">
        <v>71.3</v>
      </c>
      <c r="BO834" s="34">
        <v>2.6343999999999999</v>
      </c>
      <c r="BP834" s="35">
        <v>0.11064</v>
      </c>
      <c r="BY834" s="55"/>
    </row>
    <row r="835" spans="27:77">
      <c r="AA835" s="27"/>
      <c r="BF835" s="30">
        <v>71.400000000000006</v>
      </c>
      <c r="BG835" s="31">
        <v>0.69740000000000002</v>
      </c>
      <c r="BH835" s="32">
        <v>697.2</v>
      </c>
      <c r="BJ835" s="30">
        <v>71.400000000000006</v>
      </c>
      <c r="BK835" s="34">
        <v>2.5914999999999999</v>
      </c>
      <c r="BL835" s="35">
        <v>0.10884000000000001</v>
      </c>
      <c r="BM835" s="36"/>
      <c r="BN835" s="30">
        <v>71.400000000000006</v>
      </c>
      <c r="BO835" s="34">
        <v>2.6331000000000002</v>
      </c>
      <c r="BP835" s="35">
        <v>0.11058999999999999</v>
      </c>
      <c r="BY835" s="55"/>
    </row>
    <row r="836" spans="27:77">
      <c r="AA836" s="27"/>
      <c r="BF836" s="30">
        <v>71.5</v>
      </c>
      <c r="BG836" s="31">
        <v>0.69699999999999995</v>
      </c>
      <c r="BH836" s="32">
        <v>696.9</v>
      </c>
      <c r="BJ836" s="30">
        <v>71.5</v>
      </c>
      <c r="BK836" s="34">
        <v>2.5901999999999998</v>
      </c>
      <c r="BL836" s="35">
        <v>0.10879</v>
      </c>
      <c r="BM836" s="36"/>
      <c r="BN836" s="30">
        <v>71.5</v>
      </c>
      <c r="BO836" s="34">
        <v>2.6318000000000001</v>
      </c>
      <c r="BP836" s="35">
        <v>0.11053</v>
      </c>
      <c r="BY836" s="55"/>
    </row>
    <row r="837" spans="27:77">
      <c r="AA837" s="27"/>
      <c r="BF837" s="30">
        <v>71.599999999999994</v>
      </c>
      <c r="BG837" s="31">
        <v>0.69669999999999999</v>
      </c>
      <c r="BH837" s="32">
        <v>696.5</v>
      </c>
      <c r="BJ837" s="30">
        <v>71.599999999999994</v>
      </c>
      <c r="BK837" s="34">
        <v>2.5889000000000002</v>
      </c>
      <c r="BL837" s="35">
        <v>0.10872999999999999</v>
      </c>
      <c r="BM837" s="36"/>
      <c r="BN837" s="30">
        <v>71.599999999999994</v>
      </c>
      <c r="BO837" s="34">
        <v>2.6305000000000001</v>
      </c>
      <c r="BP837" s="35">
        <v>0.11047999999999999</v>
      </c>
      <c r="BY837" s="55"/>
    </row>
    <row r="838" spans="27:77">
      <c r="AA838" s="27"/>
      <c r="BF838" s="30">
        <v>71.7</v>
      </c>
      <c r="BG838" s="31">
        <v>0.69640000000000002</v>
      </c>
      <c r="BH838" s="32">
        <v>696.2</v>
      </c>
      <c r="BJ838" s="30">
        <v>71.7</v>
      </c>
      <c r="BK838" s="34">
        <v>2.5876000000000001</v>
      </c>
      <c r="BL838" s="35">
        <v>0.10868</v>
      </c>
      <c r="BM838" s="36"/>
      <c r="BN838" s="30">
        <v>71.7</v>
      </c>
      <c r="BO838" s="34">
        <v>2.6292</v>
      </c>
      <c r="BP838" s="35">
        <v>0.11043</v>
      </c>
      <c r="BY838" s="55"/>
    </row>
    <row r="839" spans="27:77">
      <c r="AA839" s="27"/>
      <c r="BF839" s="30">
        <v>71.8</v>
      </c>
      <c r="BG839" s="31">
        <v>0.69599999999999995</v>
      </c>
      <c r="BH839" s="32">
        <v>695.8</v>
      </c>
      <c r="BJ839" s="30">
        <v>71.8</v>
      </c>
      <c r="BK839" s="34">
        <v>2.5863999999999998</v>
      </c>
      <c r="BL839" s="35">
        <v>0.10863</v>
      </c>
      <c r="BM839" s="36"/>
      <c r="BN839" s="30">
        <v>71.8</v>
      </c>
      <c r="BO839" s="34">
        <v>2.6278999999999999</v>
      </c>
      <c r="BP839" s="35">
        <v>0.11037</v>
      </c>
      <c r="BY839" s="55"/>
    </row>
    <row r="840" spans="27:77">
      <c r="AA840" s="27"/>
      <c r="BF840" s="30">
        <v>71.900000000000006</v>
      </c>
      <c r="BG840" s="31">
        <v>0.69569999999999999</v>
      </c>
      <c r="BH840" s="32">
        <v>695.5</v>
      </c>
      <c r="BJ840" s="30">
        <v>71.900000000000006</v>
      </c>
      <c r="BK840" s="34">
        <v>2.5851000000000002</v>
      </c>
      <c r="BL840" s="35">
        <v>0.10857</v>
      </c>
      <c r="BM840" s="36"/>
      <c r="BN840" s="30">
        <v>71.900000000000006</v>
      </c>
      <c r="BO840" s="34">
        <v>2.6265999999999998</v>
      </c>
      <c r="BP840" s="35">
        <v>0.11032</v>
      </c>
      <c r="BY840" s="55"/>
    </row>
    <row r="841" spans="27:77">
      <c r="AA841" s="27"/>
      <c r="BF841" s="30">
        <v>72</v>
      </c>
      <c r="BG841" s="31">
        <v>0.69530000000000003</v>
      </c>
      <c r="BH841" s="32">
        <v>695.2</v>
      </c>
      <c r="BJ841" s="30">
        <v>72</v>
      </c>
      <c r="BK841" s="34">
        <v>2.5838000000000001</v>
      </c>
      <c r="BL841" s="35">
        <v>0.10852000000000001</v>
      </c>
      <c r="BM841" s="36"/>
      <c r="BN841" s="30">
        <v>72</v>
      </c>
      <c r="BO841" s="34">
        <v>2.6253000000000002</v>
      </c>
      <c r="BP841" s="35">
        <v>0.11026</v>
      </c>
      <c r="BY841" s="55"/>
    </row>
    <row r="842" spans="27:77">
      <c r="AA842" s="27"/>
      <c r="BF842" s="30">
        <v>72.099999999999994</v>
      </c>
      <c r="BG842" s="31">
        <v>0.69499999999999995</v>
      </c>
      <c r="BH842" s="32">
        <v>694.8</v>
      </c>
      <c r="BJ842" s="30">
        <v>72.099999999999994</v>
      </c>
      <c r="BK842" s="34">
        <v>2.5825999999999998</v>
      </c>
      <c r="BL842" s="35">
        <v>0.10847</v>
      </c>
      <c r="BM842" s="36"/>
      <c r="BN842" s="30">
        <v>72.099999999999994</v>
      </c>
      <c r="BO842" s="34">
        <v>2.6240000000000001</v>
      </c>
      <c r="BP842" s="35">
        <v>0.11021</v>
      </c>
      <c r="BY842" s="55"/>
    </row>
    <row r="843" spans="27:77">
      <c r="AA843" s="27"/>
      <c r="BF843" s="30">
        <v>72.2</v>
      </c>
      <c r="BG843" s="31">
        <v>0.6946</v>
      </c>
      <c r="BH843" s="32">
        <v>694.5</v>
      </c>
      <c r="BJ843" s="30">
        <v>72.2</v>
      </c>
      <c r="BK843" s="34">
        <v>2.5813000000000001</v>
      </c>
      <c r="BL843" s="35">
        <v>0.10841000000000001</v>
      </c>
      <c r="BM843" s="36"/>
      <c r="BN843" s="30">
        <v>72.2</v>
      </c>
      <c r="BO843" s="34">
        <v>2.6227</v>
      </c>
      <c r="BP843" s="35">
        <v>0.11015</v>
      </c>
      <c r="BY843" s="55"/>
    </row>
    <row r="844" spans="27:77">
      <c r="AA844" s="27"/>
      <c r="BF844" s="30">
        <v>72.3</v>
      </c>
      <c r="BG844" s="31">
        <v>0.69430000000000003</v>
      </c>
      <c r="BH844" s="32">
        <v>694.1</v>
      </c>
      <c r="BJ844" s="30">
        <v>72.3</v>
      </c>
      <c r="BK844" s="34">
        <v>2.58</v>
      </c>
      <c r="BL844" s="35">
        <v>0.10836</v>
      </c>
      <c r="BM844" s="36"/>
      <c r="BN844" s="30">
        <v>72.3</v>
      </c>
      <c r="BO844" s="34">
        <v>2.6214</v>
      </c>
      <c r="BP844" s="35">
        <v>0.1101</v>
      </c>
      <c r="BY844" s="55"/>
    </row>
    <row r="845" spans="27:77">
      <c r="AA845" s="27"/>
      <c r="BF845" s="30">
        <v>72.400000000000006</v>
      </c>
      <c r="BG845" s="31">
        <v>0.69399999999999995</v>
      </c>
      <c r="BH845" s="32">
        <v>693.8</v>
      </c>
      <c r="BJ845" s="30">
        <v>72.400000000000006</v>
      </c>
      <c r="BK845" s="34">
        <v>2.5787</v>
      </c>
      <c r="BL845" s="35">
        <v>0.10831</v>
      </c>
      <c r="BM845" s="36"/>
      <c r="BN845" s="30">
        <v>72.400000000000006</v>
      </c>
      <c r="BO845" s="34">
        <v>2.6200999999999999</v>
      </c>
      <c r="BP845" s="35">
        <v>0.11005</v>
      </c>
      <c r="BY845" s="55"/>
    </row>
    <row r="846" spans="27:77">
      <c r="AA846" s="27"/>
      <c r="BF846" s="30">
        <v>72.5</v>
      </c>
      <c r="BG846" s="31">
        <v>0.69359999999999999</v>
      </c>
      <c r="BH846" s="32">
        <v>693.5</v>
      </c>
      <c r="BJ846" s="30">
        <v>72.5</v>
      </c>
      <c r="BK846" s="34">
        <v>2.5775000000000001</v>
      </c>
      <c r="BL846" s="35">
        <v>0.10825</v>
      </c>
      <c r="BM846" s="36"/>
      <c r="BN846" s="30">
        <v>72.5</v>
      </c>
      <c r="BO846" s="34">
        <v>2.6187999999999998</v>
      </c>
      <c r="BP846" s="35">
        <v>0.10999</v>
      </c>
      <c r="BY846" s="55"/>
    </row>
    <row r="847" spans="27:77">
      <c r="AA847" s="27"/>
      <c r="BF847" s="30">
        <v>72.599999999999994</v>
      </c>
      <c r="BG847" s="31">
        <v>0.69330000000000003</v>
      </c>
      <c r="BH847" s="32">
        <v>693.1</v>
      </c>
      <c r="BJ847" s="30">
        <v>72.599999999999994</v>
      </c>
      <c r="BK847" s="34">
        <v>2.5762</v>
      </c>
      <c r="BL847" s="35">
        <v>0.1082</v>
      </c>
      <c r="BM847" s="36"/>
      <c r="BN847" s="30">
        <v>72.599999999999994</v>
      </c>
      <c r="BO847" s="34">
        <v>2.6175999999999999</v>
      </c>
      <c r="BP847" s="35">
        <v>0.10994</v>
      </c>
      <c r="BY847" s="55"/>
    </row>
    <row r="848" spans="27:77">
      <c r="AA848" s="27"/>
      <c r="BF848" s="30">
        <v>72.7</v>
      </c>
      <c r="BG848" s="31">
        <v>0.69289999999999996</v>
      </c>
      <c r="BH848" s="32">
        <v>692.8</v>
      </c>
      <c r="BJ848" s="30">
        <v>72.7</v>
      </c>
      <c r="BK848" s="34">
        <v>2.5750000000000002</v>
      </c>
      <c r="BL848" s="35">
        <v>0.10815</v>
      </c>
      <c r="BM848" s="36"/>
      <c r="BN848" s="30">
        <v>72.7</v>
      </c>
      <c r="BO848" s="34">
        <v>2.6162999999999998</v>
      </c>
      <c r="BP848" s="35">
        <v>0.10988000000000001</v>
      </c>
      <c r="BY848" s="55"/>
    </row>
    <row r="849" spans="27:77">
      <c r="AA849" s="27"/>
      <c r="BF849" s="30">
        <v>72.8</v>
      </c>
      <c r="BG849" s="31">
        <v>0.69259999999999999</v>
      </c>
      <c r="BH849" s="32">
        <v>692.4</v>
      </c>
      <c r="BJ849" s="30">
        <v>72.8</v>
      </c>
      <c r="BK849" s="34">
        <v>2.5737000000000001</v>
      </c>
      <c r="BL849" s="35">
        <v>0.1081</v>
      </c>
      <c r="BM849" s="36"/>
      <c r="BN849" s="30">
        <v>72.8</v>
      </c>
      <c r="BO849" s="34">
        <v>2.6150000000000002</v>
      </c>
      <c r="BP849" s="35">
        <v>0.10983</v>
      </c>
      <c r="BY849" s="55"/>
    </row>
    <row r="850" spans="27:77">
      <c r="AA850" s="27"/>
      <c r="BF850" s="30">
        <v>72.900000000000006</v>
      </c>
      <c r="BG850" s="31">
        <v>0.69230000000000003</v>
      </c>
      <c r="BH850" s="32">
        <v>692.1</v>
      </c>
      <c r="BJ850" s="30">
        <v>72.900000000000006</v>
      </c>
      <c r="BK850" s="34">
        <v>2.5724</v>
      </c>
      <c r="BL850" s="35">
        <v>0.10804</v>
      </c>
      <c r="BM850" s="36"/>
      <c r="BN850" s="30">
        <v>72.900000000000006</v>
      </c>
      <c r="BO850" s="34">
        <v>2.6137000000000001</v>
      </c>
      <c r="BP850" s="35">
        <v>0.10978</v>
      </c>
      <c r="BY850" s="55"/>
    </row>
    <row r="851" spans="27:77">
      <c r="AA851" s="27"/>
      <c r="BF851" s="30">
        <v>73</v>
      </c>
      <c r="BG851" s="31">
        <v>0.69189999999999996</v>
      </c>
      <c r="BH851" s="32">
        <v>691.8</v>
      </c>
      <c r="BJ851" s="30">
        <v>73</v>
      </c>
      <c r="BK851" s="34">
        <v>2.5712000000000002</v>
      </c>
      <c r="BL851" s="35">
        <v>0.10799</v>
      </c>
      <c r="BM851" s="36"/>
      <c r="BN851" s="30">
        <v>73</v>
      </c>
      <c r="BO851" s="34">
        <v>2.6124000000000001</v>
      </c>
      <c r="BP851" s="35">
        <v>0.10972</v>
      </c>
      <c r="BY851" s="55"/>
    </row>
    <row r="852" spans="27:77">
      <c r="AA852" s="27"/>
      <c r="BF852" s="30">
        <v>73.099999999999994</v>
      </c>
      <c r="BG852" s="31">
        <v>0.69159999999999999</v>
      </c>
      <c r="BH852" s="32">
        <v>691.4</v>
      </c>
      <c r="BJ852" s="30">
        <v>73.099999999999994</v>
      </c>
      <c r="BK852" s="34">
        <v>2.5699000000000001</v>
      </c>
      <c r="BL852" s="35">
        <v>0.10793999999999999</v>
      </c>
      <c r="BM852" s="36"/>
      <c r="BN852" s="30">
        <v>73.099999999999994</v>
      </c>
      <c r="BO852" s="34">
        <v>2.6112000000000002</v>
      </c>
      <c r="BP852" s="35">
        <v>0.10967</v>
      </c>
      <c r="BY852" s="55"/>
    </row>
    <row r="853" spans="27:77">
      <c r="AA853" s="27"/>
      <c r="BF853" s="30">
        <v>73.2</v>
      </c>
      <c r="BG853" s="31">
        <v>0.69130000000000003</v>
      </c>
      <c r="BH853" s="32">
        <v>691.1</v>
      </c>
      <c r="BJ853" s="30">
        <v>73.2</v>
      </c>
      <c r="BK853" s="34">
        <v>2.5687000000000002</v>
      </c>
      <c r="BL853" s="35">
        <v>0.10788</v>
      </c>
      <c r="BM853" s="36"/>
      <c r="BN853" s="30">
        <v>73.2</v>
      </c>
      <c r="BO853" s="34">
        <v>2.6099000000000001</v>
      </c>
      <c r="BP853" s="35">
        <v>0.10961</v>
      </c>
      <c r="BY853" s="55"/>
    </row>
    <row r="854" spans="27:77">
      <c r="AA854" s="27"/>
      <c r="BF854" s="30">
        <v>73.3</v>
      </c>
      <c r="BG854" s="31">
        <v>0.69089999999999996</v>
      </c>
      <c r="BH854" s="32">
        <v>690.8</v>
      </c>
      <c r="BJ854" s="30">
        <v>73.3</v>
      </c>
      <c r="BK854" s="34">
        <v>2.5674000000000001</v>
      </c>
      <c r="BL854" s="35">
        <v>0.10783</v>
      </c>
      <c r="BM854" s="36"/>
      <c r="BN854" s="30">
        <v>73.3</v>
      </c>
      <c r="BO854" s="34">
        <v>2.6086</v>
      </c>
      <c r="BP854" s="35">
        <v>0.10956</v>
      </c>
      <c r="BY854" s="55"/>
    </row>
    <row r="855" spans="27:77">
      <c r="AA855" s="27"/>
      <c r="BF855" s="30">
        <v>73.400000000000006</v>
      </c>
      <c r="BG855" s="31">
        <v>0.69059999999999999</v>
      </c>
      <c r="BH855" s="32">
        <v>690.4</v>
      </c>
      <c r="BJ855" s="30">
        <v>73.400000000000006</v>
      </c>
      <c r="BK855" s="34">
        <v>2.5661</v>
      </c>
      <c r="BL855" s="35">
        <v>0.10778</v>
      </c>
      <c r="BM855" s="36"/>
      <c r="BN855" s="30">
        <v>73.400000000000006</v>
      </c>
      <c r="BO855" s="34">
        <v>2.6073</v>
      </c>
      <c r="BP855" s="35">
        <v>0.10951</v>
      </c>
      <c r="BY855" s="55"/>
    </row>
    <row r="856" spans="27:77">
      <c r="AA856" s="27"/>
      <c r="BF856" s="30">
        <v>73.5</v>
      </c>
      <c r="BG856" s="31">
        <v>0.69020000000000004</v>
      </c>
      <c r="BH856" s="32">
        <v>690.1</v>
      </c>
      <c r="BJ856" s="30">
        <v>73.5</v>
      </c>
      <c r="BK856" s="34">
        <v>2.5649000000000002</v>
      </c>
      <c r="BL856" s="35">
        <v>0.10773000000000001</v>
      </c>
      <c r="BM856" s="36"/>
      <c r="BN856" s="30">
        <v>73.5</v>
      </c>
      <c r="BO856" s="34">
        <v>2.6059999999999999</v>
      </c>
      <c r="BP856" s="35">
        <v>0.10945000000000001</v>
      </c>
      <c r="BY856" s="55"/>
    </row>
    <row r="857" spans="27:77">
      <c r="AA857" s="27"/>
      <c r="BF857" s="30">
        <v>73.599999999999994</v>
      </c>
      <c r="BG857" s="31">
        <v>0.68989999999999996</v>
      </c>
      <c r="BH857" s="32">
        <v>689.7</v>
      </c>
      <c r="BJ857" s="30">
        <v>73.599999999999994</v>
      </c>
      <c r="BK857" s="34">
        <v>2.5636000000000001</v>
      </c>
      <c r="BL857" s="35">
        <v>0.10767</v>
      </c>
      <c r="BM857" s="36"/>
      <c r="BN857" s="30">
        <v>73.599999999999994</v>
      </c>
      <c r="BO857" s="34">
        <v>2.6048</v>
      </c>
      <c r="BP857" s="35">
        <v>0.1094</v>
      </c>
      <c r="BY857" s="55"/>
    </row>
    <row r="858" spans="27:77">
      <c r="AA858" s="27"/>
      <c r="BF858" s="30">
        <v>73.7</v>
      </c>
      <c r="BG858" s="31">
        <v>0.68959999999999999</v>
      </c>
      <c r="BH858" s="32">
        <v>689.4</v>
      </c>
      <c r="BJ858" s="30">
        <v>73.7</v>
      </c>
      <c r="BK858" s="34">
        <v>2.5623999999999998</v>
      </c>
      <c r="BL858" s="35">
        <v>0.10761999999999999</v>
      </c>
      <c r="BM858" s="36"/>
      <c r="BN858" s="30">
        <v>73.7</v>
      </c>
      <c r="BO858" s="34">
        <v>2.6034999999999999</v>
      </c>
      <c r="BP858" s="35">
        <v>0.10935</v>
      </c>
      <c r="BY858" s="55"/>
    </row>
    <row r="859" spans="27:77">
      <c r="AA859" s="27"/>
      <c r="BF859" s="30">
        <v>73.8</v>
      </c>
      <c r="BG859" s="31">
        <v>0.68920000000000003</v>
      </c>
      <c r="BH859" s="32">
        <v>689.1</v>
      </c>
      <c r="BJ859" s="30">
        <v>73.8</v>
      </c>
      <c r="BK859" s="34">
        <v>2.5611000000000002</v>
      </c>
      <c r="BL859" s="35">
        <v>0.10757</v>
      </c>
      <c r="BM859" s="36"/>
      <c r="BN859" s="30">
        <v>73.8</v>
      </c>
      <c r="BO859" s="34">
        <v>2.6021999999999998</v>
      </c>
      <c r="BP859" s="35">
        <v>0.10929</v>
      </c>
      <c r="BY859" s="55"/>
    </row>
    <row r="860" spans="27:77">
      <c r="AA860" s="27"/>
      <c r="BF860" s="30">
        <v>73.900000000000006</v>
      </c>
      <c r="BG860" s="31">
        <v>0.68889999999999996</v>
      </c>
      <c r="BH860" s="32">
        <v>688.7</v>
      </c>
      <c r="BJ860" s="30">
        <v>73.900000000000006</v>
      </c>
      <c r="BK860" s="34">
        <v>2.5598999999999998</v>
      </c>
      <c r="BL860" s="35">
        <v>0.10752</v>
      </c>
      <c r="BM860" s="36"/>
      <c r="BN860" s="30">
        <v>73.900000000000006</v>
      </c>
      <c r="BO860" s="34">
        <v>2.601</v>
      </c>
      <c r="BP860" s="35">
        <v>0.10924</v>
      </c>
      <c r="BY860" s="55"/>
    </row>
    <row r="861" spans="27:77">
      <c r="AA861" s="27"/>
      <c r="BF861" s="30">
        <v>74</v>
      </c>
      <c r="BG861" s="31">
        <v>0.68859999999999999</v>
      </c>
      <c r="BH861" s="32">
        <v>688.4</v>
      </c>
      <c r="BJ861" s="30">
        <v>74</v>
      </c>
      <c r="BK861" s="34">
        <v>2.5586000000000002</v>
      </c>
      <c r="BL861" s="35">
        <v>0.10746</v>
      </c>
      <c r="BM861" s="36"/>
      <c r="BN861" s="30">
        <v>74</v>
      </c>
      <c r="BO861" s="34">
        <v>2.5996999999999999</v>
      </c>
      <c r="BP861" s="35">
        <v>0.10919</v>
      </c>
      <c r="BY861" s="55"/>
    </row>
    <row r="862" spans="27:77">
      <c r="AA862" s="27"/>
      <c r="BF862" s="30">
        <v>74.099999999999994</v>
      </c>
      <c r="BG862" s="31">
        <v>0.68820000000000003</v>
      </c>
      <c r="BH862" s="32">
        <v>688.1</v>
      </c>
      <c r="BJ862" s="30">
        <v>74.099999999999994</v>
      </c>
      <c r="BK862" s="34">
        <v>2.5573999999999999</v>
      </c>
      <c r="BL862" s="35">
        <v>0.10741000000000001</v>
      </c>
      <c r="BM862" s="36"/>
      <c r="BN862" s="30">
        <v>74.099999999999994</v>
      </c>
      <c r="BO862" s="34">
        <v>2.5983999999999998</v>
      </c>
      <c r="BP862" s="35">
        <v>0.10913</v>
      </c>
      <c r="BY862" s="55"/>
    </row>
    <row r="863" spans="27:77">
      <c r="AA863" s="27"/>
      <c r="BF863" s="30">
        <v>74.2</v>
      </c>
      <c r="BG863" s="31">
        <v>0.68789999999999996</v>
      </c>
      <c r="BH863" s="32">
        <v>687.7</v>
      </c>
      <c r="BJ863" s="30">
        <v>74.2</v>
      </c>
      <c r="BK863" s="34">
        <v>2.5560999999999998</v>
      </c>
      <c r="BL863" s="35">
        <v>0.10736</v>
      </c>
      <c r="BM863" s="36"/>
      <c r="BN863" s="30">
        <v>74.2</v>
      </c>
      <c r="BO863" s="34">
        <v>2.5972</v>
      </c>
      <c r="BP863" s="35">
        <v>0.10908</v>
      </c>
      <c r="BY863" s="55"/>
    </row>
    <row r="864" spans="27:77">
      <c r="AA864" s="27"/>
      <c r="BF864" s="30">
        <v>74.3</v>
      </c>
      <c r="BG864" s="31">
        <v>0.68759999999999999</v>
      </c>
      <c r="BH864" s="32">
        <v>687.4</v>
      </c>
      <c r="BJ864" s="30">
        <v>74.3</v>
      </c>
      <c r="BK864" s="34">
        <v>2.5548999999999999</v>
      </c>
      <c r="BL864" s="35">
        <v>0.10731</v>
      </c>
      <c r="BM864" s="36"/>
      <c r="BN864" s="30">
        <v>74.3</v>
      </c>
      <c r="BO864" s="34">
        <v>2.5958999999999999</v>
      </c>
      <c r="BP864" s="35">
        <v>0.10903</v>
      </c>
      <c r="BY864" s="55"/>
    </row>
    <row r="865" spans="27:77">
      <c r="AA865" s="27"/>
      <c r="BF865" s="30">
        <v>74.400000000000006</v>
      </c>
      <c r="BG865" s="31">
        <v>0.68720000000000003</v>
      </c>
      <c r="BH865" s="32">
        <v>687.1</v>
      </c>
      <c r="BJ865" s="30">
        <v>74.400000000000006</v>
      </c>
      <c r="BK865" s="34">
        <v>2.5537000000000001</v>
      </c>
      <c r="BL865" s="35">
        <v>0.10725</v>
      </c>
      <c r="BM865" s="36"/>
      <c r="BN865" s="30">
        <v>74.400000000000006</v>
      </c>
      <c r="BO865" s="34">
        <v>2.5945999999999998</v>
      </c>
      <c r="BP865" s="35">
        <v>0.10897</v>
      </c>
      <c r="BY865" s="55"/>
    </row>
    <row r="866" spans="27:77">
      <c r="AA866" s="27"/>
      <c r="BF866" s="30">
        <v>74.5</v>
      </c>
      <c r="BG866" s="31">
        <v>0.68689999999999996</v>
      </c>
      <c r="BH866" s="32">
        <v>686.7</v>
      </c>
      <c r="BJ866" s="30">
        <v>74.5</v>
      </c>
      <c r="BK866" s="34">
        <v>2.5524</v>
      </c>
      <c r="BL866" s="35">
        <v>0.1072</v>
      </c>
      <c r="BM866" s="36"/>
      <c r="BN866" s="30">
        <v>74.5</v>
      </c>
      <c r="BO866" s="34">
        <v>2.5933999999999999</v>
      </c>
      <c r="BP866" s="35">
        <v>0.10892</v>
      </c>
      <c r="BY866" s="55"/>
    </row>
    <row r="867" spans="27:77">
      <c r="AA867" s="27"/>
      <c r="BF867" s="30">
        <v>74.599999999999994</v>
      </c>
      <c r="BG867" s="31">
        <v>0.68659999999999999</v>
      </c>
      <c r="BH867" s="32">
        <v>686.4</v>
      </c>
      <c r="BJ867" s="30">
        <v>74.599999999999994</v>
      </c>
      <c r="BK867" s="34">
        <v>2.5512000000000001</v>
      </c>
      <c r="BL867" s="35">
        <v>0.10715</v>
      </c>
      <c r="BM867" s="36"/>
      <c r="BN867" s="30">
        <v>74.599999999999994</v>
      </c>
      <c r="BO867" s="34">
        <v>2.5920999999999998</v>
      </c>
      <c r="BP867" s="35">
        <v>0.10886999999999999</v>
      </c>
      <c r="BY867" s="55"/>
    </row>
    <row r="868" spans="27:77">
      <c r="AA868" s="27"/>
      <c r="BF868" s="30">
        <v>74.7</v>
      </c>
      <c r="BG868" s="31">
        <v>0.68620000000000003</v>
      </c>
      <c r="BH868" s="32">
        <v>686.1</v>
      </c>
      <c r="BJ868" s="30">
        <v>74.7</v>
      </c>
      <c r="BK868" s="34">
        <v>2.5499000000000001</v>
      </c>
      <c r="BL868" s="35">
        <v>0.1071</v>
      </c>
      <c r="BM868" s="36"/>
      <c r="BN868" s="30">
        <v>74.7</v>
      </c>
      <c r="BO868" s="34">
        <v>2.5909</v>
      </c>
      <c r="BP868" s="35">
        <v>0.10882</v>
      </c>
      <c r="BY868" s="55"/>
    </row>
    <row r="869" spans="27:77">
      <c r="AA869" s="27"/>
      <c r="BF869" s="30">
        <v>74.8</v>
      </c>
      <c r="BG869" s="31">
        <v>0.68589999999999995</v>
      </c>
      <c r="BH869" s="32">
        <v>685.7</v>
      </c>
      <c r="BJ869" s="30">
        <v>74.8</v>
      </c>
      <c r="BK869" s="34">
        <v>2.5487000000000002</v>
      </c>
      <c r="BL869" s="35">
        <v>0.10705000000000001</v>
      </c>
      <c r="BM869" s="36"/>
      <c r="BN869" s="30">
        <v>74.8</v>
      </c>
      <c r="BO869" s="34">
        <v>2.5895999999999999</v>
      </c>
      <c r="BP869" s="35">
        <v>0.10876</v>
      </c>
      <c r="BY869" s="55"/>
    </row>
    <row r="870" spans="27:77">
      <c r="AA870" s="27"/>
      <c r="BF870" s="30">
        <v>74.900000000000006</v>
      </c>
      <c r="BG870" s="31">
        <v>0.68559999999999999</v>
      </c>
      <c r="BH870" s="32">
        <v>685.4</v>
      </c>
      <c r="BJ870" s="30">
        <v>74.900000000000006</v>
      </c>
      <c r="BK870" s="34">
        <v>2.5474999999999999</v>
      </c>
      <c r="BL870" s="35">
        <v>0.10699</v>
      </c>
      <c r="BM870" s="36"/>
      <c r="BN870" s="30">
        <v>74.900000000000006</v>
      </c>
      <c r="BO870" s="34">
        <v>2.5882999999999998</v>
      </c>
      <c r="BP870" s="35">
        <v>0.10871</v>
      </c>
      <c r="BY870" s="55"/>
    </row>
    <row r="871" spans="27:77">
      <c r="AA871" s="27"/>
      <c r="BF871" s="30">
        <v>75</v>
      </c>
      <c r="BG871" s="31">
        <v>0.68520000000000003</v>
      </c>
      <c r="BH871" s="32">
        <v>685.1</v>
      </c>
      <c r="BJ871" s="30">
        <v>75</v>
      </c>
      <c r="BK871" s="34">
        <v>2.5461999999999998</v>
      </c>
      <c r="BL871" s="35">
        <v>0.10693999999999999</v>
      </c>
      <c r="BM871" s="36"/>
      <c r="BN871" s="30">
        <v>75</v>
      </c>
      <c r="BO871" s="34">
        <v>2.5871</v>
      </c>
      <c r="BP871" s="35">
        <v>0.10866000000000001</v>
      </c>
      <c r="BY871" s="55"/>
    </row>
    <row r="872" spans="27:77">
      <c r="AA872" s="27"/>
      <c r="BF872" s="30">
        <v>75.099999999999994</v>
      </c>
      <c r="BG872" s="31">
        <v>0.68489999999999995</v>
      </c>
      <c r="BH872" s="32">
        <v>684.7</v>
      </c>
      <c r="BJ872" s="30">
        <v>75.099999999999994</v>
      </c>
      <c r="BK872" s="34">
        <v>2.5449999999999999</v>
      </c>
      <c r="BL872" s="35">
        <v>0.10689</v>
      </c>
      <c r="BM872" s="36"/>
      <c r="BN872" s="30">
        <v>75.099999999999994</v>
      </c>
      <c r="BO872" s="34">
        <v>2.5857999999999999</v>
      </c>
      <c r="BP872" s="35">
        <v>0.1086</v>
      </c>
      <c r="BY872" s="55"/>
    </row>
    <row r="873" spans="27:77">
      <c r="AA873" s="27"/>
      <c r="BF873" s="30">
        <v>75.2</v>
      </c>
      <c r="BG873" s="31">
        <v>0.68459999999999999</v>
      </c>
      <c r="BH873" s="32">
        <v>684.4</v>
      </c>
      <c r="BJ873" s="30">
        <v>75.2</v>
      </c>
      <c r="BK873" s="34">
        <v>2.5438000000000001</v>
      </c>
      <c r="BL873" s="35">
        <v>0.10684</v>
      </c>
      <c r="BM873" s="36"/>
      <c r="BN873" s="30">
        <v>75.2</v>
      </c>
      <c r="BO873" s="34">
        <v>2.5846</v>
      </c>
      <c r="BP873" s="35">
        <v>0.10854999999999999</v>
      </c>
      <c r="BY873" s="55"/>
    </row>
    <row r="874" spans="27:77">
      <c r="AA874" s="27"/>
      <c r="BF874" s="30">
        <v>75.3</v>
      </c>
      <c r="BG874" s="31">
        <v>0.68420000000000003</v>
      </c>
      <c r="BH874" s="32">
        <v>684.1</v>
      </c>
      <c r="BJ874" s="30">
        <v>75.3</v>
      </c>
      <c r="BK874" s="34">
        <v>2.5425</v>
      </c>
      <c r="BL874" s="35">
        <v>0.10679</v>
      </c>
      <c r="BM874" s="36"/>
      <c r="BN874" s="30">
        <v>75.3</v>
      </c>
      <c r="BO874" s="34">
        <v>2.5832999999999999</v>
      </c>
      <c r="BP874" s="35">
        <v>0.1085</v>
      </c>
      <c r="BY874" s="55"/>
    </row>
    <row r="875" spans="27:77">
      <c r="AA875" s="27"/>
      <c r="BF875" s="30">
        <v>75.400000000000006</v>
      </c>
      <c r="BG875" s="31">
        <v>0.68389999999999995</v>
      </c>
      <c r="BH875" s="32">
        <v>683.8</v>
      </c>
      <c r="BJ875" s="30">
        <v>75.400000000000006</v>
      </c>
      <c r="BK875" s="34">
        <v>2.5413000000000001</v>
      </c>
      <c r="BL875" s="35">
        <v>0.10673000000000001</v>
      </c>
      <c r="BM875" s="36"/>
      <c r="BN875" s="30">
        <v>75.400000000000006</v>
      </c>
      <c r="BO875" s="34">
        <v>2.5821000000000001</v>
      </c>
      <c r="BP875" s="35">
        <v>0.10845</v>
      </c>
      <c r="BY875" s="55"/>
    </row>
    <row r="876" spans="27:77">
      <c r="AA876" s="27"/>
      <c r="BF876" s="30">
        <v>75.5</v>
      </c>
      <c r="BG876" s="31">
        <v>0.68359999999999999</v>
      </c>
      <c r="BH876" s="32">
        <v>683.4</v>
      </c>
      <c r="BJ876" s="30">
        <v>75.5</v>
      </c>
      <c r="BK876" s="34">
        <v>2.5400999999999998</v>
      </c>
      <c r="BL876" s="35">
        <v>0.10668</v>
      </c>
      <c r="BM876" s="36"/>
      <c r="BN876" s="30">
        <v>75.5</v>
      </c>
      <c r="BO876" s="34">
        <v>2.5808</v>
      </c>
      <c r="BP876" s="35">
        <v>0.10839</v>
      </c>
      <c r="BY876" s="55"/>
    </row>
    <row r="877" spans="27:77">
      <c r="AA877" s="27"/>
      <c r="BF877" s="30">
        <v>75.599999999999994</v>
      </c>
      <c r="BG877" s="31">
        <v>0.68320000000000003</v>
      </c>
      <c r="BH877" s="32">
        <v>683.1</v>
      </c>
      <c r="BJ877" s="30">
        <v>75.599999999999994</v>
      </c>
      <c r="BK877" s="34">
        <v>2.5388000000000002</v>
      </c>
      <c r="BL877" s="35">
        <v>0.10663</v>
      </c>
      <c r="BM877" s="36"/>
      <c r="BN877" s="30">
        <v>75.599999999999994</v>
      </c>
      <c r="BO877" s="34">
        <v>2.5796000000000001</v>
      </c>
      <c r="BP877" s="35">
        <v>0.10834000000000001</v>
      </c>
      <c r="BY877" s="55"/>
    </row>
    <row r="878" spans="27:77">
      <c r="AA878" s="27"/>
      <c r="BF878" s="30">
        <v>75.7</v>
      </c>
      <c r="BG878" s="31">
        <v>0.68289999999999995</v>
      </c>
      <c r="BH878" s="32">
        <v>682.8</v>
      </c>
      <c r="BJ878" s="30">
        <v>75.7</v>
      </c>
      <c r="BK878" s="34">
        <v>2.5375999999999999</v>
      </c>
      <c r="BL878" s="35">
        <v>0.10657999999999999</v>
      </c>
      <c r="BM878" s="36"/>
      <c r="BN878" s="30">
        <v>75.7</v>
      </c>
      <c r="BO878" s="34">
        <v>2.5783</v>
      </c>
      <c r="BP878" s="35">
        <v>0.10829</v>
      </c>
      <c r="BY878" s="55"/>
    </row>
    <row r="879" spans="27:77">
      <c r="AA879" s="27"/>
      <c r="BF879" s="30">
        <v>75.8</v>
      </c>
      <c r="BG879" s="31">
        <v>0.68259999999999998</v>
      </c>
      <c r="BH879" s="32">
        <v>682.4</v>
      </c>
      <c r="BJ879" s="30">
        <v>75.8</v>
      </c>
      <c r="BK879" s="34">
        <v>2.5364</v>
      </c>
      <c r="BL879" s="35">
        <v>0.10653</v>
      </c>
      <c r="BM879" s="36"/>
      <c r="BN879" s="30">
        <v>75.8</v>
      </c>
      <c r="BO879" s="34">
        <v>2.5771000000000002</v>
      </c>
      <c r="BP879" s="35">
        <v>0.10824</v>
      </c>
      <c r="BY879" s="55"/>
    </row>
    <row r="880" spans="27:77">
      <c r="AA880" s="27"/>
      <c r="BF880" s="30">
        <v>75.900000000000006</v>
      </c>
      <c r="BG880" s="31">
        <v>0.68230000000000002</v>
      </c>
      <c r="BH880" s="32">
        <v>682.1</v>
      </c>
      <c r="BJ880" s="30">
        <v>75.900000000000006</v>
      </c>
      <c r="BK880" s="34">
        <v>2.5352000000000001</v>
      </c>
      <c r="BL880" s="35">
        <v>0.10648000000000001</v>
      </c>
      <c r="BM880" s="36"/>
      <c r="BN880" s="30">
        <v>75.900000000000006</v>
      </c>
      <c r="BO880" s="34">
        <v>2.5758000000000001</v>
      </c>
      <c r="BP880" s="35">
        <v>0.10818999999999999</v>
      </c>
      <c r="BY880" s="55"/>
    </row>
    <row r="881" spans="27:77">
      <c r="AA881" s="27"/>
      <c r="BF881" s="30">
        <v>76</v>
      </c>
      <c r="BG881" s="31">
        <v>0.68189999999999995</v>
      </c>
      <c r="BH881" s="32">
        <v>681.8</v>
      </c>
      <c r="BJ881" s="30">
        <v>76</v>
      </c>
      <c r="BK881" s="34">
        <v>2.5339</v>
      </c>
      <c r="BL881" s="35">
        <v>0.10643</v>
      </c>
      <c r="BM881" s="36"/>
      <c r="BN881" s="30">
        <v>76</v>
      </c>
      <c r="BO881" s="34">
        <v>2.5746000000000002</v>
      </c>
      <c r="BP881" s="35">
        <v>0.10813</v>
      </c>
      <c r="BY881" s="55"/>
    </row>
    <row r="882" spans="27:77">
      <c r="AA882" s="27"/>
      <c r="BF882" s="30">
        <v>76.099999999999994</v>
      </c>
      <c r="BG882" s="31">
        <v>0.68159999999999998</v>
      </c>
      <c r="BH882" s="32">
        <v>681.5</v>
      </c>
      <c r="BJ882" s="30">
        <v>76.099999999999994</v>
      </c>
      <c r="BK882" s="34">
        <v>2.5327000000000002</v>
      </c>
      <c r="BL882" s="35">
        <v>0.10637000000000001</v>
      </c>
      <c r="BM882" s="36"/>
      <c r="BN882" s="30">
        <v>76.099999999999994</v>
      </c>
      <c r="BO882" s="34">
        <v>2.5733999999999999</v>
      </c>
      <c r="BP882" s="35">
        <v>0.10808</v>
      </c>
      <c r="BY882" s="55"/>
    </row>
    <row r="883" spans="27:77">
      <c r="AA883" s="27"/>
      <c r="BF883" s="30">
        <v>76.2</v>
      </c>
      <c r="BG883" s="31">
        <v>0.68130000000000002</v>
      </c>
      <c r="BH883" s="32">
        <v>681.1</v>
      </c>
      <c r="BJ883" s="30">
        <v>76.2</v>
      </c>
      <c r="BK883" s="34">
        <v>2.5314999999999999</v>
      </c>
      <c r="BL883" s="35">
        <v>0.10632</v>
      </c>
      <c r="BM883" s="36"/>
      <c r="BN883" s="30">
        <v>76.2</v>
      </c>
      <c r="BO883" s="34">
        <v>2.5720999999999998</v>
      </c>
      <c r="BP883" s="35">
        <v>0.10803</v>
      </c>
      <c r="BY883" s="55"/>
    </row>
    <row r="884" spans="27:77">
      <c r="AA884" s="27"/>
      <c r="BF884" s="30">
        <v>76.3</v>
      </c>
      <c r="BG884" s="31">
        <v>0.68089999999999995</v>
      </c>
      <c r="BH884" s="32">
        <v>680.8</v>
      </c>
      <c r="BJ884" s="30">
        <v>76.3</v>
      </c>
      <c r="BK884" s="34">
        <v>2.5303</v>
      </c>
      <c r="BL884" s="35">
        <v>0.10627</v>
      </c>
      <c r="BM884" s="36"/>
      <c r="BN884" s="30">
        <v>76.3</v>
      </c>
      <c r="BO884" s="34">
        <v>2.5709</v>
      </c>
      <c r="BP884" s="35">
        <v>0.10798000000000001</v>
      </c>
      <c r="BY884" s="55"/>
    </row>
    <row r="885" spans="27:77">
      <c r="AA885" s="27"/>
      <c r="BF885" s="30">
        <v>76.400000000000006</v>
      </c>
      <c r="BG885" s="31">
        <v>0.68059999999999998</v>
      </c>
      <c r="BH885" s="32">
        <v>680.5</v>
      </c>
      <c r="BJ885" s="30">
        <v>76.400000000000006</v>
      </c>
      <c r="BK885" s="34">
        <v>2.5289999999999999</v>
      </c>
      <c r="BL885" s="35">
        <v>0.10621999999999999</v>
      </c>
      <c r="BM885" s="36"/>
      <c r="BN885" s="30">
        <v>76.400000000000006</v>
      </c>
      <c r="BO885" s="34">
        <v>2.5695999999999999</v>
      </c>
      <c r="BP885" s="35">
        <v>0.10792</v>
      </c>
      <c r="BY885" s="55"/>
    </row>
    <row r="886" spans="27:77">
      <c r="AA886" s="27"/>
      <c r="BF886" s="30">
        <v>76.5</v>
      </c>
      <c r="BG886" s="31">
        <v>0.68030000000000002</v>
      </c>
      <c r="BH886" s="32">
        <v>680.1</v>
      </c>
      <c r="BJ886" s="30">
        <v>76.5</v>
      </c>
      <c r="BK886" s="34">
        <v>2.5276999999999998</v>
      </c>
      <c r="BL886" s="35">
        <v>0.10617</v>
      </c>
      <c r="BM886" s="36"/>
      <c r="BN886" s="30">
        <v>76.5</v>
      </c>
      <c r="BO886" s="34">
        <v>2.5684</v>
      </c>
      <c r="BP886" s="35">
        <v>0.10786999999999999</v>
      </c>
      <c r="BY886" s="55"/>
    </row>
    <row r="887" spans="27:77">
      <c r="AA887" s="27"/>
      <c r="BF887" s="30">
        <v>76.599999999999994</v>
      </c>
      <c r="BG887" s="31">
        <v>0.68</v>
      </c>
      <c r="BH887" s="32">
        <v>679.8</v>
      </c>
      <c r="BJ887" s="30">
        <v>76.599999999999994</v>
      </c>
      <c r="BK887" s="34">
        <v>2.5266000000000002</v>
      </c>
      <c r="BL887" s="35">
        <v>0.10612000000000001</v>
      </c>
      <c r="BM887" s="36"/>
      <c r="BN887" s="30">
        <v>76.599999999999994</v>
      </c>
      <c r="BO887" s="34">
        <v>2.5672000000000001</v>
      </c>
      <c r="BP887" s="35">
        <v>0.10782</v>
      </c>
      <c r="BY887" s="55"/>
    </row>
    <row r="888" spans="27:77">
      <c r="AA888" s="27"/>
      <c r="BF888" s="30">
        <v>76.7</v>
      </c>
      <c r="BG888" s="31">
        <v>0.67959999999999998</v>
      </c>
      <c r="BH888" s="32">
        <v>679.5</v>
      </c>
      <c r="BJ888" s="30">
        <v>76.7</v>
      </c>
      <c r="BK888" s="34">
        <v>2.5253999999999999</v>
      </c>
      <c r="BL888" s="35">
        <v>0.10607</v>
      </c>
      <c r="BM888" s="36"/>
      <c r="BN888" s="30">
        <v>76.7</v>
      </c>
      <c r="BO888" s="34">
        <v>2.5659000000000001</v>
      </c>
      <c r="BP888" s="35">
        <v>0.10777</v>
      </c>
      <c r="BY888" s="55"/>
    </row>
    <row r="889" spans="27:77">
      <c r="AA889" s="27"/>
      <c r="BF889" s="30">
        <v>76.8</v>
      </c>
      <c r="BG889" s="31">
        <v>0.67930000000000001</v>
      </c>
      <c r="BH889" s="32">
        <v>679.2</v>
      </c>
      <c r="BJ889" s="30">
        <v>76.8</v>
      </c>
      <c r="BK889" s="34">
        <v>2.5242</v>
      </c>
      <c r="BL889" s="35">
        <v>0.10602</v>
      </c>
      <c r="BM889" s="36"/>
      <c r="BN889" s="30">
        <v>76.8</v>
      </c>
      <c r="BO889" s="34">
        <v>2.5647000000000002</v>
      </c>
      <c r="BP889" s="35">
        <v>0.10772</v>
      </c>
      <c r="BY889" s="55"/>
    </row>
    <row r="890" spans="27:77">
      <c r="AA890" s="27"/>
      <c r="BF890" s="30">
        <v>76.900000000000006</v>
      </c>
      <c r="BG890" s="31">
        <v>0.67900000000000005</v>
      </c>
      <c r="BH890" s="32">
        <v>678.8</v>
      </c>
      <c r="BJ890" s="30">
        <v>76.900000000000006</v>
      </c>
      <c r="BK890" s="34">
        <v>2.5230000000000001</v>
      </c>
      <c r="BL890" s="35">
        <v>0.10596</v>
      </c>
      <c r="BM890" s="36"/>
      <c r="BN890" s="30">
        <v>76.900000000000006</v>
      </c>
      <c r="BO890" s="34">
        <v>2.5634999999999999</v>
      </c>
      <c r="BP890" s="35">
        <v>0.10767</v>
      </c>
      <c r="BY890" s="55"/>
    </row>
    <row r="891" spans="27:77">
      <c r="AA891" s="27"/>
      <c r="BF891" s="30">
        <v>77</v>
      </c>
      <c r="BG891" s="31">
        <v>0.67869999999999997</v>
      </c>
      <c r="BH891" s="32">
        <v>678.5</v>
      </c>
      <c r="BJ891" s="30">
        <v>77</v>
      </c>
      <c r="BK891" s="34">
        <v>2.5217999999999998</v>
      </c>
      <c r="BL891" s="35">
        <v>0.10591</v>
      </c>
      <c r="BM891" s="36"/>
      <c r="BN891" s="30">
        <v>77</v>
      </c>
      <c r="BO891" s="34">
        <v>2.5621999999999998</v>
      </c>
      <c r="BP891" s="35">
        <v>0.10761</v>
      </c>
      <c r="BY891" s="55"/>
    </row>
    <row r="892" spans="27:77">
      <c r="AA892" s="27"/>
      <c r="BF892" s="30">
        <v>77.099999999999994</v>
      </c>
      <c r="BG892" s="31">
        <v>0.67830000000000001</v>
      </c>
      <c r="BH892" s="32">
        <v>678.2</v>
      </c>
      <c r="BJ892" s="30">
        <v>77.099999999999994</v>
      </c>
      <c r="BK892" s="34">
        <v>2.5205000000000002</v>
      </c>
      <c r="BL892" s="35">
        <v>0.10586</v>
      </c>
      <c r="BM892" s="36"/>
      <c r="BN892" s="30">
        <v>77.099999999999994</v>
      </c>
      <c r="BO892" s="34">
        <v>2.5609999999999999</v>
      </c>
      <c r="BP892" s="35">
        <v>0.10756</v>
      </c>
      <c r="BY892" s="55"/>
    </row>
    <row r="893" spans="27:77">
      <c r="AA893" s="27"/>
      <c r="BF893" s="30">
        <v>77.2</v>
      </c>
      <c r="BG893" s="31">
        <v>0.67800000000000005</v>
      </c>
      <c r="BH893" s="32">
        <v>677.9</v>
      </c>
      <c r="BJ893" s="30">
        <v>77.2</v>
      </c>
      <c r="BK893" s="34">
        <v>2.5192999999999999</v>
      </c>
      <c r="BL893" s="35">
        <v>0.10581</v>
      </c>
      <c r="BM893" s="36"/>
      <c r="BN893" s="30">
        <v>77.2</v>
      </c>
      <c r="BO893" s="34">
        <v>2.5598000000000001</v>
      </c>
      <c r="BP893" s="35">
        <v>0.10750999999999999</v>
      </c>
      <c r="BY893" s="55"/>
    </row>
    <row r="894" spans="27:77">
      <c r="AA894" s="27"/>
      <c r="BF894" s="30">
        <v>77.3</v>
      </c>
      <c r="BG894" s="31">
        <v>0.67769999999999997</v>
      </c>
      <c r="BH894" s="32">
        <v>677.5</v>
      </c>
      <c r="BJ894" s="30">
        <v>77.3</v>
      </c>
      <c r="BK894" s="34">
        <v>2.5181</v>
      </c>
      <c r="BL894" s="35">
        <v>0.10576000000000001</v>
      </c>
      <c r="BM894" s="36"/>
      <c r="BN894" s="30">
        <v>77.3</v>
      </c>
      <c r="BO894" s="34">
        <v>2.5585</v>
      </c>
      <c r="BP894" s="35">
        <v>0.10746</v>
      </c>
      <c r="BY894" s="55"/>
    </row>
    <row r="895" spans="27:77">
      <c r="AA895" s="27"/>
      <c r="BF895" s="30">
        <v>77.400000000000006</v>
      </c>
      <c r="BG895" s="31">
        <v>0.6774</v>
      </c>
      <c r="BH895" s="32">
        <v>677.2</v>
      </c>
      <c r="BJ895" s="30">
        <v>77.400000000000006</v>
      </c>
      <c r="BK895" s="34">
        <v>2.5169000000000001</v>
      </c>
      <c r="BL895" s="35">
        <v>0.10571</v>
      </c>
      <c r="BM895" s="36"/>
      <c r="BN895" s="30">
        <v>77.400000000000006</v>
      </c>
      <c r="BO895" s="34">
        <v>2.5573000000000001</v>
      </c>
      <c r="BP895" s="35">
        <v>0.10741000000000001</v>
      </c>
      <c r="BY895" s="55"/>
    </row>
    <row r="896" spans="27:77">
      <c r="AA896" s="27"/>
      <c r="BF896" s="30">
        <v>77.5</v>
      </c>
      <c r="BG896" s="31">
        <v>0.67700000000000005</v>
      </c>
      <c r="BH896" s="32">
        <v>676.9</v>
      </c>
      <c r="BJ896" s="30">
        <v>77.5</v>
      </c>
      <c r="BK896" s="34">
        <v>2.5156999999999998</v>
      </c>
      <c r="BL896" s="35">
        <v>0.10566</v>
      </c>
      <c r="BM896" s="36"/>
      <c r="BN896" s="30">
        <v>77.5</v>
      </c>
      <c r="BO896" s="34">
        <v>2.5560999999999998</v>
      </c>
      <c r="BP896" s="35">
        <v>0.10736</v>
      </c>
      <c r="BY896" s="55"/>
    </row>
    <row r="897" spans="27:77">
      <c r="AA897" s="27"/>
      <c r="BF897" s="30">
        <v>77.599999999999994</v>
      </c>
      <c r="BG897" s="31">
        <v>0.67669999999999997</v>
      </c>
      <c r="BH897" s="32">
        <v>676.6</v>
      </c>
      <c r="BJ897" s="30">
        <v>77.599999999999994</v>
      </c>
      <c r="BK897" s="34">
        <v>2.5145</v>
      </c>
      <c r="BL897" s="35">
        <v>0.10561</v>
      </c>
      <c r="BM897" s="36"/>
      <c r="BN897" s="30">
        <v>77.599999999999994</v>
      </c>
      <c r="BO897" s="34">
        <v>2.5548999999999999</v>
      </c>
      <c r="BP897" s="35">
        <v>0.10730000000000001</v>
      </c>
      <c r="BY897" s="55"/>
    </row>
    <row r="898" spans="27:77">
      <c r="AA898" s="27"/>
      <c r="BF898" s="30">
        <v>77.7</v>
      </c>
      <c r="BG898" s="31">
        <v>0.6764</v>
      </c>
      <c r="BH898" s="32">
        <v>676.2</v>
      </c>
      <c r="BJ898" s="30">
        <v>77.7</v>
      </c>
      <c r="BK898" s="34">
        <v>2.5133000000000001</v>
      </c>
      <c r="BL898" s="35">
        <v>0.10556</v>
      </c>
      <c r="BM898" s="36"/>
      <c r="BN898" s="30">
        <v>77.7</v>
      </c>
      <c r="BO898" s="34">
        <v>2.5535999999999999</v>
      </c>
      <c r="BP898" s="35">
        <v>0.10725</v>
      </c>
      <c r="BY898" s="55"/>
    </row>
    <row r="899" spans="27:77">
      <c r="AA899" s="27"/>
      <c r="BF899" s="30">
        <v>77.8</v>
      </c>
      <c r="BG899" s="31">
        <v>0.67610000000000003</v>
      </c>
      <c r="BH899" s="32">
        <v>675.9</v>
      </c>
      <c r="BJ899" s="30">
        <v>77.8</v>
      </c>
      <c r="BK899" s="34">
        <v>2.5121000000000002</v>
      </c>
      <c r="BL899" s="35">
        <v>0.10551000000000001</v>
      </c>
      <c r="BM899" s="36"/>
      <c r="BN899" s="30">
        <v>77.8</v>
      </c>
      <c r="BO899" s="34">
        <v>2.5524</v>
      </c>
      <c r="BP899" s="35">
        <v>0.1072</v>
      </c>
      <c r="BY899" s="55"/>
    </row>
    <row r="900" spans="27:77">
      <c r="AA900" s="27"/>
      <c r="BF900" s="30">
        <v>77.900000000000006</v>
      </c>
      <c r="BG900" s="31">
        <v>0.67569999999999997</v>
      </c>
      <c r="BH900" s="32">
        <v>675.6</v>
      </c>
      <c r="BJ900" s="30">
        <v>77.900000000000006</v>
      </c>
      <c r="BK900" s="34">
        <v>2.5108999999999999</v>
      </c>
      <c r="BL900" s="35">
        <v>0.10546</v>
      </c>
      <c r="BM900" s="36"/>
      <c r="BN900" s="30">
        <v>77.900000000000006</v>
      </c>
      <c r="BO900" s="34">
        <v>2.5512000000000001</v>
      </c>
      <c r="BP900" s="35">
        <v>0.10715</v>
      </c>
      <c r="BY900" s="55"/>
    </row>
    <row r="901" spans="27:77">
      <c r="AA901" s="27"/>
      <c r="BF901" s="30">
        <v>78</v>
      </c>
      <c r="BG901" s="31">
        <v>0.6754</v>
      </c>
      <c r="BH901" s="32">
        <v>675.3</v>
      </c>
      <c r="BJ901" s="30">
        <v>78</v>
      </c>
      <c r="BK901" s="34">
        <v>2.5097</v>
      </c>
      <c r="BL901" s="35">
        <v>0.10541</v>
      </c>
      <c r="BM901" s="36"/>
      <c r="BN901" s="30">
        <v>78</v>
      </c>
      <c r="BO901" s="34">
        <v>2.5499999999999998</v>
      </c>
      <c r="BP901" s="35">
        <v>0.1071</v>
      </c>
      <c r="BY901" s="55"/>
    </row>
    <row r="902" spans="27:77">
      <c r="AA902" s="27"/>
      <c r="BF902" s="30">
        <v>78.099999999999994</v>
      </c>
      <c r="BG902" s="31">
        <v>0.67510000000000003</v>
      </c>
      <c r="BH902" s="32">
        <v>675</v>
      </c>
      <c r="BJ902" s="30">
        <v>78.099999999999994</v>
      </c>
      <c r="BK902" s="34">
        <v>2.5085000000000002</v>
      </c>
      <c r="BL902" s="35">
        <v>0.10536</v>
      </c>
      <c r="BM902" s="36"/>
      <c r="BN902" s="30">
        <v>78.099999999999994</v>
      </c>
      <c r="BO902" s="34">
        <v>2.5488</v>
      </c>
      <c r="BP902" s="35">
        <v>0.10705000000000001</v>
      </c>
      <c r="BY902" s="55"/>
    </row>
    <row r="903" spans="27:77">
      <c r="AA903" s="27"/>
      <c r="BF903" s="30">
        <v>78.2</v>
      </c>
      <c r="BG903" s="31">
        <v>0.67479999999999996</v>
      </c>
      <c r="BH903" s="32">
        <v>674.6</v>
      </c>
      <c r="BJ903" s="30">
        <v>78.2</v>
      </c>
      <c r="BK903" s="34">
        <v>2.5072999999999999</v>
      </c>
      <c r="BL903" s="35">
        <v>0.10531</v>
      </c>
      <c r="BM903" s="36"/>
      <c r="BN903" s="30">
        <v>78.2</v>
      </c>
      <c r="BO903" s="34">
        <v>2.5474999999999999</v>
      </c>
      <c r="BP903" s="35">
        <v>0.107</v>
      </c>
      <c r="BY903" s="55"/>
    </row>
    <row r="904" spans="27:77">
      <c r="AA904" s="27"/>
      <c r="BF904" s="30">
        <v>78.3</v>
      </c>
      <c r="BG904" s="31">
        <v>0.67449999999999999</v>
      </c>
      <c r="BH904" s="32">
        <v>674.3</v>
      </c>
      <c r="BJ904" s="30">
        <v>78.3</v>
      </c>
      <c r="BK904" s="34">
        <v>2.5061</v>
      </c>
      <c r="BL904" s="35">
        <v>0.10526000000000001</v>
      </c>
      <c r="BM904" s="36"/>
      <c r="BN904" s="30">
        <v>78.3</v>
      </c>
      <c r="BO904" s="34">
        <v>2.5463</v>
      </c>
      <c r="BP904" s="35">
        <v>0.10695</v>
      </c>
      <c r="BY904" s="55"/>
    </row>
    <row r="905" spans="27:77">
      <c r="AA905" s="27"/>
      <c r="BF905" s="30">
        <v>78.400000000000006</v>
      </c>
      <c r="BG905" s="31">
        <v>0.67410000000000003</v>
      </c>
      <c r="BH905" s="32">
        <v>674</v>
      </c>
      <c r="BJ905" s="30">
        <v>78.400000000000006</v>
      </c>
      <c r="BK905" s="34">
        <v>2.5049000000000001</v>
      </c>
      <c r="BL905" s="35">
        <v>0.10521</v>
      </c>
      <c r="BM905" s="36"/>
      <c r="BN905" s="30">
        <v>78.400000000000006</v>
      </c>
      <c r="BO905" s="34">
        <v>2.5451000000000001</v>
      </c>
      <c r="BP905" s="35">
        <v>0.10689</v>
      </c>
      <c r="BY905" s="55"/>
    </row>
    <row r="906" spans="27:77">
      <c r="AA906" s="27"/>
      <c r="BF906" s="30">
        <v>78.5</v>
      </c>
      <c r="BG906" s="31">
        <v>0.67379999999999995</v>
      </c>
      <c r="BH906" s="32">
        <v>673.7</v>
      </c>
      <c r="BJ906" s="30">
        <v>78.5</v>
      </c>
      <c r="BK906" s="34">
        <v>2.5036999999999998</v>
      </c>
      <c r="BL906" s="35">
        <v>0.10516</v>
      </c>
      <c r="BM906" s="36"/>
      <c r="BN906" s="30">
        <v>78.5</v>
      </c>
      <c r="BO906" s="34">
        <v>2.5438999999999998</v>
      </c>
      <c r="BP906" s="35">
        <v>0.10684</v>
      </c>
      <c r="BY906" s="55"/>
    </row>
    <row r="907" spans="27:77">
      <c r="AA907" s="27"/>
      <c r="BF907" s="30">
        <v>78.599999999999994</v>
      </c>
      <c r="BG907" s="31">
        <v>0.67349999999999999</v>
      </c>
      <c r="BH907" s="32">
        <v>673.4</v>
      </c>
      <c r="BJ907" s="30">
        <v>78.599999999999994</v>
      </c>
      <c r="BK907" s="34">
        <v>2.5024999999999999</v>
      </c>
      <c r="BL907" s="35">
        <v>0.10511</v>
      </c>
      <c r="BM907" s="36"/>
      <c r="BN907" s="30">
        <v>78.599999999999994</v>
      </c>
      <c r="BO907" s="34">
        <v>2.5427</v>
      </c>
      <c r="BP907" s="35">
        <v>0.10679</v>
      </c>
      <c r="BY907" s="55"/>
    </row>
    <row r="908" spans="27:77">
      <c r="AA908" s="27"/>
      <c r="BF908" s="30">
        <v>78.7</v>
      </c>
      <c r="BG908" s="31">
        <v>0.67320000000000002</v>
      </c>
      <c r="BH908" s="32">
        <v>673</v>
      </c>
      <c r="BJ908" s="30">
        <v>78.7</v>
      </c>
      <c r="BK908" s="34">
        <v>2.5013000000000001</v>
      </c>
      <c r="BL908" s="35">
        <v>0.10506</v>
      </c>
      <c r="BM908" s="36"/>
      <c r="BN908" s="30">
        <v>78.7</v>
      </c>
      <c r="BO908" s="34">
        <v>2.5415000000000001</v>
      </c>
      <c r="BP908" s="35">
        <v>0.10674</v>
      </c>
      <c r="BY908" s="55"/>
    </row>
    <row r="909" spans="27:77">
      <c r="AA909" s="27"/>
      <c r="BF909" s="30">
        <v>78.8</v>
      </c>
      <c r="BG909" s="31">
        <v>0.67279999999999995</v>
      </c>
      <c r="BH909" s="32">
        <v>672.7</v>
      </c>
      <c r="BJ909" s="30">
        <v>78.8</v>
      </c>
      <c r="BK909" s="34">
        <v>2.5001000000000002</v>
      </c>
      <c r="BL909" s="35">
        <v>0.10501000000000001</v>
      </c>
      <c r="BM909" s="36"/>
      <c r="BN909" s="30">
        <v>78.8</v>
      </c>
      <c r="BO909" s="34">
        <v>2.5402999999999998</v>
      </c>
      <c r="BP909" s="35">
        <v>0.10668999999999999</v>
      </c>
      <c r="BY909" s="55"/>
    </row>
    <row r="910" spans="27:77">
      <c r="AA910" s="27"/>
      <c r="BF910" s="30">
        <v>78.900000000000006</v>
      </c>
      <c r="BG910" s="31">
        <v>0.67249999999999999</v>
      </c>
      <c r="BH910" s="32">
        <v>672.4</v>
      </c>
      <c r="BJ910" s="30">
        <v>78.900000000000006</v>
      </c>
      <c r="BK910" s="34">
        <v>2.4988999999999999</v>
      </c>
      <c r="BL910" s="35">
        <v>0.10496</v>
      </c>
      <c r="BM910" s="36"/>
      <c r="BN910" s="30">
        <v>78.900000000000006</v>
      </c>
      <c r="BO910" s="34">
        <v>2.5390000000000001</v>
      </c>
      <c r="BP910" s="35">
        <v>0.10664</v>
      </c>
      <c r="BY910" s="55"/>
    </row>
    <row r="911" spans="27:77">
      <c r="AA911" s="27"/>
      <c r="BF911" s="30">
        <v>79</v>
      </c>
      <c r="BG911" s="31">
        <v>0.67220000000000002</v>
      </c>
      <c r="BH911" s="32">
        <v>672.1</v>
      </c>
      <c r="BJ911" s="30">
        <v>79</v>
      </c>
      <c r="BK911" s="34">
        <v>2.4977999999999998</v>
      </c>
      <c r="BL911" s="35">
        <v>0.10491</v>
      </c>
      <c r="BM911" s="36"/>
      <c r="BN911" s="30">
        <v>79</v>
      </c>
      <c r="BO911" s="34">
        <v>2.5377999999999998</v>
      </c>
      <c r="BP911" s="35">
        <v>0.10659</v>
      </c>
      <c r="BY911" s="55"/>
    </row>
    <row r="912" spans="27:77">
      <c r="AA912" s="27"/>
      <c r="BF912" s="30">
        <v>79.099999999999994</v>
      </c>
      <c r="BG912" s="31">
        <v>0.67190000000000005</v>
      </c>
      <c r="BH912" s="32">
        <v>671.8</v>
      </c>
      <c r="BJ912" s="30">
        <v>79.099999999999994</v>
      </c>
      <c r="BK912" s="34">
        <v>2.4965999999999999</v>
      </c>
      <c r="BL912" s="35">
        <v>0.10485999999999999</v>
      </c>
      <c r="BM912" s="36"/>
      <c r="BN912" s="30">
        <v>79.099999999999994</v>
      </c>
      <c r="BO912" s="34">
        <v>2.5366</v>
      </c>
      <c r="BP912" s="35">
        <v>0.10654</v>
      </c>
      <c r="BY912" s="55"/>
    </row>
    <row r="913" spans="27:77">
      <c r="AA913" s="27"/>
      <c r="BF913" s="30">
        <v>79.2</v>
      </c>
      <c r="BG913" s="31">
        <v>0.67159999999999997</v>
      </c>
      <c r="BH913" s="32">
        <v>671.4</v>
      </c>
      <c r="BJ913" s="30">
        <v>79.2</v>
      </c>
      <c r="BK913" s="34">
        <v>2.4954000000000001</v>
      </c>
      <c r="BL913" s="35">
        <v>0.10481</v>
      </c>
      <c r="BM913" s="36"/>
      <c r="BN913" s="30">
        <v>79.2</v>
      </c>
      <c r="BO913" s="34">
        <v>2.5354000000000001</v>
      </c>
      <c r="BP913" s="35">
        <v>0.10649</v>
      </c>
      <c r="BY913" s="55"/>
    </row>
    <row r="914" spans="27:77">
      <c r="AA914" s="27"/>
      <c r="BF914" s="30">
        <v>79.3</v>
      </c>
      <c r="BG914" s="31">
        <v>0.67130000000000001</v>
      </c>
      <c r="BH914" s="32">
        <v>671.1</v>
      </c>
      <c r="BJ914" s="30">
        <v>79.3</v>
      </c>
      <c r="BK914" s="34">
        <v>2.4942000000000002</v>
      </c>
      <c r="BL914" s="35">
        <v>0.10476000000000001</v>
      </c>
      <c r="BM914" s="36"/>
      <c r="BN914" s="30">
        <v>79.3</v>
      </c>
      <c r="BO914" s="34">
        <v>2.5341999999999998</v>
      </c>
      <c r="BP914" s="35">
        <v>0.10644000000000001</v>
      </c>
      <c r="BY914" s="55"/>
    </row>
    <row r="915" spans="27:77">
      <c r="AA915" s="27"/>
      <c r="BF915" s="30">
        <v>79.400000000000006</v>
      </c>
      <c r="BG915" s="31">
        <v>0.67090000000000005</v>
      </c>
      <c r="BH915" s="32">
        <v>670.8</v>
      </c>
      <c r="BJ915" s="30">
        <v>79.400000000000006</v>
      </c>
      <c r="BK915" s="34">
        <v>2.4929999999999999</v>
      </c>
      <c r="BL915" s="35">
        <v>0.10471</v>
      </c>
      <c r="BM915" s="36"/>
      <c r="BN915" s="30">
        <v>79.400000000000006</v>
      </c>
      <c r="BO915" s="34">
        <v>2.5329999999999999</v>
      </c>
      <c r="BP915" s="35">
        <v>0.10639</v>
      </c>
      <c r="BY915" s="55"/>
    </row>
    <row r="916" spans="27:77">
      <c r="AA916" s="27"/>
      <c r="BF916" s="30">
        <v>79.5</v>
      </c>
      <c r="BG916" s="31">
        <v>0.67059999999999997</v>
      </c>
      <c r="BH916" s="32">
        <v>670.5</v>
      </c>
      <c r="BJ916" s="30">
        <v>79.5</v>
      </c>
      <c r="BK916" s="34">
        <v>2.4918</v>
      </c>
      <c r="BL916" s="35">
        <v>0.10466</v>
      </c>
      <c r="BM916" s="36"/>
      <c r="BN916" s="30">
        <v>79.5</v>
      </c>
      <c r="BO916" s="34">
        <v>2.5318000000000001</v>
      </c>
      <c r="BP916" s="35">
        <v>0.10634</v>
      </c>
      <c r="BY916" s="55"/>
    </row>
    <row r="917" spans="27:77">
      <c r="AA917" s="27"/>
      <c r="BF917" s="30">
        <v>79.599999999999994</v>
      </c>
      <c r="BG917" s="31">
        <v>0.67030000000000001</v>
      </c>
      <c r="BH917" s="32">
        <v>670.2</v>
      </c>
      <c r="BJ917" s="30">
        <v>79.599999999999994</v>
      </c>
      <c r="BK917" s="34">
        <v>2.4906000000000001</v>
      </c>
      <c r="BL917" s="35">
        <v>0.10460999999999999</v>
      </c>
      <c r="BM917" s="36"/>
      <c r="BN917" s="30">
        <v>79.599999999999994</v>
      </c>
      <c r="BO917" s="34">
        <v>2.5306000000000002</v>
      </c>
      <c r="BP917" s="35">
        <v>0.10629</v>
      </c>
      <c r="BY917" s="55"/>
    </row>
    <row r="918" spans="27:77">
      <c r="AA918" s="27"/>
      <c r="BF918" s="30">
        <v>79.7</v>
      </c>
      <c r="BG918" s="31">
        <v>0.67</v>
      </c>
      <c r="BH918" s="32">
        <v>669.9</v>
      </c>
      <c r="BJ918" s="30">
        <v>79.7</v>
      </c>
      <c r="BK918" s="34">
        <v>2.4895</v>
      </c>
      <c r="BL918" s="35">
        <v>0.10456</v>
      </c>
      <c r="BM918" s="36"/>
      <c r="BN918" s="30">
        <v>79.7</v>
      </c>
      <c r="BO918" s="34">
        <v>2.5293999999999999</v>
      </c>
      <c r="BP918" s="35">
        <v>0.10624</v>
      </c>
      <c r="BY918" s="55"/>
    </row>
    <row r="919" spans="27:77">
      <c r="AA919" s="27"/>
      <c r="BF919" s="30">
        <v>79.8</v>
      </c>
      <c r="BG919" s="31">
        <v>0.66969999999999996</v>
      </c>
      <c r="BH919" s="32">
        <v>669.5</v>
      </c>
      <c r="BJ919" s="30">
        <v>79.8</v>
      </c>
      <c r="BK919" s="34">
        <v>2.4883000000000002</v>
      </c>
      <c r="BL919" s="35">
        <v>0.10451000000000001</v>
      </c>
      <c r="BM919" s="36"/>
      <c r="BN919" s="30">
        <v>79.8</v>
      </c>
      <c r="BO919" s="34">
        <v>2.5282</v>
      </c>
      <c r="BP919" s="35">
        <v>0.10618</v>
      </c>
      <c r="BY919" s="55"/>
    </row>
    <row r="920" spans="27:77">
      <c r="AA920" s="27"/>
      <c r="BF920" s="30">
        <v>79.900000000000006</v>
      </c>
      <c r="BG920" s="31">
        <v>0.66930000000000001</v>
      </c>
      <c r="BH920" s="32">
        <v>669.2</v>
      </c>
      <c r="BJ920" s="30">
        <v>79.900000000000006</v>
      </c>
      <c r="BK920" s="34">
        <v>2.4870999999999999</v>
      </c>
      <c r="BL920" s="35">
        <v>0.10446</v>
      </c>
      <c r="BM920" s="36"/>
      <c r="BN920" s="30">
        <v>79.900000000000006</v>
      </c>
      <c r="BO920" s="34">
        <v>2.5270000000000001</v>
      </c>
      <c r="BP920" s="35">
        <v>0.10613</v>
      </c>
      <c r="BY920" s="55"/>
    </row>
    <row r="921" spans="27:77">
      <c r="AA921" s="27"/>
      <c r="BF921" s="30">
        <v>80</v>
      </c>
      <c r="BG921" s="31">
        <v>0.66900000000000004</v>
      </c>
      <c r="BH921" s="32">
        <v>668.9</v>
      </c>
      <c r="BJ921" s="30">
        <v>80</v>
      </c>
      <c r="BK921" s="34">
        <v>2.4859</v>
      </c>
      <c r="BL921" s="35">
        <v>0.10441</v>
      </c>
      <c r="BM921" s="36"/>
      <c r="BN921" s="30">
        <v>80</v>
      </c>
      <c r="BO921" s="34">
        <v>2.5257999999999998</v>
      </c>
      <c r="BP921" s="35">
        <v>0.10607999999999999</v>
      </c>
      <c r="BY921" s="55"/>
    </row>
    <row r="922" spans="27:77">
      <c r="AA922" s="27"/>
      <c r="BF922" s="30">
        <v>80.099999999999994</v>
      </c>
      <c r="BG922" s="31">
        <v>0.66869999999999996</v>
      </c>
      <c r="BH922" s="32">
        <v>668.6</v>
      </c>
      <c r="BJ922" s="30">
        <v>80.099999999999994</v>
      </c>
      <c r="BK922" s="34">
        <v>2.4847000000000001</v>
      </c>
      <c r="BL922" s="35">
        <v>0.10435999999999999</v>
      </c>
      <c r="BM922" s="36"/>
      <c r="BN922" s="30">
        <v>80.099999999999994</v>
      </c>
      <c r="BO922" s="34">
        <v>2.5246</v>
      </c>
      <c r="BP922" s="35">
        <v>0.10603</v>
      </c>
      <c r="BY922" s="55"/>
    </row>
    <row r="923" spans="27:77">
      <c r="AA923" s="27"/>
      <c r="BF923" s="30">
        <v>80.2</v>
      </c>
      <c r="BG923" s="31">
        <v>0.66839999999999999</v>
      </c>
      <c r="BH923" s="32">
        <v>668.3</v>
      </c>
      <c r="BJ923" s="30">
        <v>80.2</v>
      </c>
      <c r="BK923" s="34">
        <v>2.4836</v>
      </c>
      <c r="BL923" s="35">
        <v>0.10431</v>
      </c>
      <c r="BM923" s="36"/>
      <c r="BN923" s="30">
        <v>80.2</v>
      </c>
      <c r="BO923" s="34">
        <v>2.5234000000000001</v>
      </c>
      <c r="BP923" s="35">
        <v>0.10598</v>
      </c>
      <c r="BY923" s="55"/>
    </row>
    <row r="924" spans="27:77">
      <c r="AA924" s="27"/>
      <c r="BF924" s="30">
        <v>80.3</v>
      </c>
      <c r="BG924" s="31">
        <v>0.66810000000000003</v>
      </c>
      <c r="BH924" s="32">
        <v>668</v>
      </c>
      <c r="BJ924" s="30">
        <v>80.3</v>
      </c>
      <c r="BK924" s="34">
        <v>2.4824000000000002</v>
      </c>
      <c r="BL924" s="35">
        <v>0.10426000000000001</v>
      </c>
      <c r="BM924" s="36"/>
      <c r="BN924" s="30">
        <v>80.3</v>
      </c>
      <c r="BO924" s="34">
        <v>2.5222000000000002</v>
      </c>
      <c r="BP924" s="35">
        <v>0.10593</v>
      </c>
      <c r="BY924" s="55"/>
    </row>
    <row r="925" spans="27:77">
      <c r="AA925" s="27"/>
      <c r="BF925" s="30">
        <v>80.400000000000006</v>
      </c>
      <c r="BG925" s="31">
        <v>0.66779999999999995</v>
      </c>
      <c r="BH925" s="32">
        <v>667.6</v>
      </c>
      <c r="BJ925" s="30">
        <v>80.400000000000006</v>
      </c>
      <c r="BK925" s="34">
        <v>2.4811999999999999</v>
      </c>
      <c r="BL925" s="35">
        <v>0.10421</v>
      </c>
      <c r="BM925" s="36"/>
      <c r="BN925" s="30">
        <v>80.400000000000006</v>
      </c>
      <c r="BO925" s="34">
        <v>2.5209999999999999</v>
      </c>
      <c r="BP925" s="35">
        <v>0.10588</v>
      </c>
      <c r="BY925" s="55"/>
    </row>
    <row r="926" spans="27:77">
      <c r="AA926" s="27"/>
      <c r="BF926" s="30">
        <v>80.5</v>
      </c>
      <c r="BG926" s="31">
        <v>0.66749999999999998</v>
      </c>
      <c r="BH926" s="32">
        <v>667.3</v>
      </c>
      <c r="BJ926" s="30">
        <v>80.5</v>
      </c>
      <c r="BK926" s="34">
        <v>2.48</v>
      </c>
      <c r="BL926" s="35">
        <v>0.10416</v>
      </c>
      <c r="BM926" s="36"/>
      <c r="BN926" s="30">
        <v>80.5</v>
      </c>
      <c r="BO926" s="34">
        <v>2.5198</v>
      </c>
      <c r="BP926" s="35">
        <v>0.10582999999999999</v>
      </c>
      <c r="BY926" s="55"/>
    </row>
    <row r="927" spans="27:77">
      <c r="AA927" s="27"/>
      <c r="BF927" s="30">
        <v>80.599999999999994</v>
      </c>
      <c r="BG927" s="31">
        <v>0.66710000000000003</v>
      </c>
      <c r="BH927" s="32">
        <v>667</v>
      </c>
      <c r="BJ927" s="30">
        <v>80.599999999999994</v>
      </c>
      <c r="BK927" s="34">
        <v>2.4788999999999999</v>
      </c>
      <c r="BL927" s="35">
        <v>0.10410999999999999</v>
      </c>
      <c r="BM927" s="36"/>
      <c r="BN927" s="30">
        <v>80.599999999999994</v>
      </c>
      <c r="BO927" s="34">
        <v>2.5186999999999999</v>
      </c>
      <c r="BP927" s="35">
        <v>0.10578</v>
      </c>
      <c r="BY927" s="55"/>
    </row>
    <row r="928" spans="27:77">
      <c r="AA928" s="27"/>
      <c r="BF928" s="30">
        <v>80.7</v>
      </c>
      <c r="BG928" s="31">
        <v>0.66679999999999995</v>
      </c>
      <c r="BH928" s="32">
        <v>666.7</v>
      </c>
      <c r="BJ928" s="30">
        <v>80.7</v>
      </c>
      <c r="BK928" s="34">
        <v>2.4777</v>
      </c>
      <c r="BL928" s="35">
        <v>0.10406</v>
      </c>
      <c r="BM928" s="36"/>
      <c r="BN928" s="30">
        <v>80.7</v>
      </c>
      <c r="BO928" s="34">
        <v>2.5175000000000001</v>
      </c>
      <c r="BP928" s="35">
        <v>0.10573</v>
      </c>
      <c r="BY928" s="55"/>
    </row>
    <row r="929" spans="27:77">
      <c r="AA929" s="27"/>
      <c r="BF929" s="30">
        <v>80.8</v>
      </c>
      <c r="BG929" s="31">
        <v>0.66649999999999998</v>
      </c>
      <c r="BH929" s="32">
        <v>666.4</v>
      </c>
      <c r="BJ929" s="30">
        <v>80.8</v>
      </c>
      <c r="BK929" s="34">
        <v>2.4765000000000001</v>
      </c>
      <c r="BL929" s="35">
        <v>0.10401000000000001</v>
      </c>
      <c r="BM929" s="36"/>
      <c r="BN929" s="30">
        <v>80.8</v>
      </c>
      <c r="BO929" s="34">
        <v>2.5163000000000002</v>
      </c>
      <c r="BP929" s="35">
        <v>0.10568</v>
      </c>
      <c r="BY929" s="55"/>
    </row>
    <row r="930" spans="27:77">
      <c r="AA930" s="27"/>
      <c r="BF930" s="30">
        <v>80.900000000000006</v>
      </c>
      <c r="BG930" s="31">
        <v>0.66620000000000001</v>
      </c>
      <c r="BH930" s="32">
        <v>666.1</v>
      </c>
      <c r="BJ930" s="30">
        <v>80.900000000000006</v>
      </c>
      <c r="BK930" s="34">
        <v>2.4754</v>
      </c>
      <c r="BL930" s="35">
        <v>0.10397000000000001</v>
      </c>
      <c r="BM930" s="36"/>
      <c r="BN930" s="30">
        <v>80.900000000000006</v>
      </c>
      <c r="BO930" s="34">
        <v>2.5150999999999999</v>
      </c>
      <c r="BP930" s="35">
        <v>0.10563</v>
      </c>
      <c r="BY930" s="55"/>
    </row>
    <row r="931" spans="27:77">
      <c r="AA931" s="27"/>
      <c r="BF931" s="30">
        <v>81</v>
      </c>
      <c r="BG931" s="31">
        <v>0.66590000000000005</v>
      </c>
      <c r="BH931" s="32">
        <v>665.8</v>
      </c>
      <c r="BJ931" s="30">
        <v>81</v>
      </c>
      <c r="BK931" s="34">
        <v>2.4742000000000002</v>
      </c>
      <c r="BL931" s="35">
        <v>0.10392</v>
      </c>
      <c r="BM931" s="36"/>
      <c r="BN931" s="30">
        <v>81</v>
      </c>
      <c r="BO931" s="34">
        <v>2.5139</v>
      </c>
      <c r="BP931" s="35">
        <v>0.10557999999999999</v>
      </c>
      <c r="BY931" s="55"/>
    </row>
    <row r="932" spans="27:77">
      <c r="AA932" s="27"/>
      <c r="BF932" s="30">
        <v>81.099999999999994</v>
      </c>
      <c r="BG932" s="31">
        <v>0.66559999999999997</v>
      </c>
      <c r="BH932" s="32">
        <v>665.4</v>
      </c>
      <c r="BJ932" s="30">
        <v>81.099999999999994</v>
      </c>
      <c r="BK932" s="34">
        <v>2.4729999999999999</v>
      </c>
      <c r="BL932" s="35">
        <v>0.10387</v>
      </c>
      <c r="BM932" s="36"/>
      <c r="BN932" s="30">
        <v>81.099999999999994</v>
      </c>
      <c r="BO932" s="34">
        <v>2.5127000000000002</v>
      </c>
      <c r="BP932" s="35">
        <v>0.10553</v>
      </c>
      <c r="BY932" s="55"/>
    </row>
    <row r="933" spans="27:77">
      <c r="AA933" s="27"/>
      <c r="BF933" s="30">
        <v>81.2</v>
      </c>
      <c r="BG933" s="31">
        <v>0.6653</v>
      </c>
      <c r="BH933" s="32">
        <v>665.1</v>
      </c>
      <c r="BJ933" s="30">
        <v>81.2</v>
      </c>
      <c r="BK933" s="34">
        <v>2.4719000000000002</v>
      </c>
      <c r="BL933" s="35">
        <v>0.10382</v>
      </c>
      <c r="BM933" s="36"/>
      <c r="BN933" s="30">
        <v>81.2</v>
      </c>
      <c r="BO933" s="34">
        <v>2.5114999999999998</v>
      </c>
      <c r="BP933" s="35">
        <v>0.10548</v>
      </c>
      <c r="BY933" s="55"/>
    </row>
    <row r="934" spans="27:77">
      <c r="AA934" s="27"/>
      <c r="BF934" s="30">
        <v>81.3</v>
      </c>
      <c r="BG934" s="31">
        <v>0.66490000000000005</v>
      </c>
      <c r="BH934" s="32">
        <v>664.8</v>
      </c>
      <c r="BJ934" s="30">
        <v>81.3</v>
      </c>
      <c r="BK934" s="34">
        <v>2.4706999999999999</v>
      </c>
      <c r="BL934" s="35">
        <v>0.10377</v>
      </c>
      <c r="BM934" s="36"/>
      <c r="BN934" s="30">
        <v>81.3</v>
      </c>
      <c r="BO934" s="34">
        <v>2.5104000000000002</v>
      </c>
      <c r="BP934" s="35">
        <v>0.10543</v>
      </c>
      <c r="BY934" s="55"/>
    </row>
    <row r="935" spans="27:77">
      <c r="AA935" s="27"/>
      <c r="BF935" s="30">
        <v>81.400000000000006</v>
      </c>
      <c r="BG935" s="31">
        <v>0.66459999999999997</v>
      </c>
      <c r="BH935" s="32">
        <v>664.5</v>
      </c>
      <c r="BJ935" s="30">
        <v>81.400000000000006</v>
      </c>
      <c r="BK935" s="34">
        <v>2.4695</v>
      </c>
      <c r="BL935" s="35">
        <v>0.10372000000000001</v>
      </c>
      <c r="BM935" s="36"/>
      <c r="BN935" s="30">
        <v>81.400000000000006</v>
      </c>
      <c r="BO935" s="34">
        <v>2.5091999999999999</v>
      </c>
      <c r="BP935" s="35">
        <v>0.10539</v>
      </c>
      <c r="BY935" s="55"/>
    </row>
    <row r="936" spans="27:77">
      <c r="AA936" s="27"/>
      <c r="BF936" s="30">
        <v>81.5</v>
      </c>
      <c r="BG936" s="31">
        <v>0.6643</v>
      </c>
      <c r="BH936" s="32">
        <v>664.2</v>
      </c>
      <c r="BJ936" s="30">
        <v>81.5</v>
      </c>
      <c r="BK936" s="34">
        <v>2.4683999999999999</v>
      </c>
      <c r="BL936" s="35">
        <v>0.10367</v>
      </c>
      <c r="BM936" s="36"/>
      <c r="BN936" s="30">
        <v>81.5</v>
      </c>
      <c r="BO936" s="34">
        <v>2.508</v>
      </c>
      <c r="BP936" s="35">
        <v>0.10534</v>
      </c>
      <c r="BY936" s="55"/>
    </row>
    <row r="937" spans="27:77">
      <c r="AA937" s="27"/>
      <c r="BF937" s="30">
        <v>81.599999999999994</v>
      </c>
      <c r="BG937" s="31">
        <v>0.66400000000000003</v>
      </c>
      <c r="BH937" s="32">
        <v>663.9</v>
      </c>
      <c r="BJ937" s="30">
        <v>81.599999999999994</v>
      </c>
      <c r="BK937" s="34">
        <v>2.4672000000000001</v>
      </c>
      <c r="BL937" s="35">
        <v>0.10362</v>
      </c>
      <c r="BM937" s="36"/>
      <c r="BN937" s="30">
        <v>81.599999999999994</v>
      </c>
      <c r="BO937" s="34">
        <v>2.5068000000000001</v>
      </c>
      <c r="BP937" s="35">
        <v>0.10528999999999999</v>
      </c>
      <c r="BY937" s="55"/>
    </row>
    <row r="938" spans="27:77">
      <c r="AA938" s="27"/>
      <c r="BF938" s="30">
        <v>81.7</v>
      </c>
      <c r="BG938" s="31">
        <v>0.66369999999999996</v>
      </c>
      <c r="BH938" s="32">
        <v>663.6</v>
      </c>
      <c r="BJ938" s="30">
        <v>81.7</v>
      </c>
      <c r="BK938" s="34">
        <v>2.4661</v>
      </c>
      <c r="BL938" s="35">
        <v>0.10357</v>
      </c>
      <c r="BM938" s="36"/>
      <c r="BN938" s="30">
        <v>81.7</v>
      </c>
      <c r="BO938" s="34">
        <v>2.5055999999999998</v>
      </c>
      <c r="BP938" s="35">
        <v>0.10524</v>
      </c>
      <c r="BY938" s="55"/>
    </row>
    <row r="939" spans="27:77">
      <c r="AA939" s="27"/>
      <c r="BF939" s="30">
        <v>81.8</v>
      </c>
      <c r="BG939" s="31">
        <v>0.66339999999999999</v>
      </c>
      <c r="BH939" s="32">
        <v>663.3</v>
      </c>
      <c r="BJ939" s="30">
        <v>81.8</v>
      </c>
      <c r="BK939" s="34">
        <v>2.4649000000000001</v>
      </c>
      <c r="BL939" s="35">
        <v>0.10353</v>
      </c>
      <c r="BM939" s="36"/>
      <c r="BN939" s="30">
        <v>81.8</v>
      </c>
      <c r="BO939" s="34">
        <v>2.5045000000000002</v>
      </c>
      <c r="BP939" s="35">
        <v>0.10519000000000001</v>
      </c>
      <c r="BY939" s="55"/>
    </row>
    <row r="940" spans="27:77">
      <c r="AA940" s="27"/>
      <c r="BF940" s="30">
        <v>81.900000000000006</v>
      </c>
      <c r="BG940" s="31">
        <v>0.66310000000000002</v>
      </c>
      <c r="BH940" s="32">
        <v>663</v>
      </c>
      <c r="BJ940" s="30">
        <v>81.900000000000006</v>
      </c>
      <c r="BK940" s="34">
        <v>2.4636999999999998</v>
      </c>
      <c r="BL940" s="35">
        <v>0.10348</v>
      </c>
      <c r="BM940" s="36"/>
      <c r="BN940" s="30">
        <v>81.900000000000006</v>
      </c>
      <c r="BO940" s="34">
        <v>2.5032999999999999</v>
      </c>
      <c r="BP940" s="35">
        <v>0.10514</v>
      </c>
      <c r="BY940" s="55"/>
    </row>
    <row r="941" spans="27:77">
      <c r="AA941" s="27"/>
      <c r="BF941" s="30">
        <v>82</v>
      </c>
      <c r="BG941" s="31">
        <v>0.66279999999999994</v>
      </c>
      <c r="BH941" s="32">
        <v>662.6</v>
      </c>
      <c r="BJ941" s="30">
        <v>82</v>
      </c>
      <c r="BK941" s="34">
        <v>2.4626000000000001</v>
      </c>
      <c r="BL941" s="35">
        <v>0.10342999999999999</v>
      </c>
      <c r="BM941" s="36"/>
      <c r="BN941" s="30">
        <v>82</v>
      </c>
      <c r="BO941" s="34">
        <v>2.5021</v>
      </c>
      <c r="BP941" s="35">
        <v>0.10509</v>
      </c>
      <c r="BY941" s="55"/>
    </row>
    <row r="942" spans="27:77">
      <c r="AA942" s="27"/>
      <c r="BF942" s="30">
        <v>82.1</v>
      </c>
      <c r="BG942" s="31">
        <v>0.66249999999999998</v>
      </c>
      <c r="BH942" s="32">
        <v>662.3</v>
      </c>
      <c r="BJ942" s="30">
        <v>82.1</v>
      </c>
      <c r="BK942" s="34">
        <v>2.4613999999999998</v>
      </c>
      <c r="BL942" s="35">
        <v>0.10338</v>
      </c>
      <c r="BM942" s="36"/>
      <c r="BN942" s="30">
        <v>82.1</v>
      </c>
      <c r="BO942" s="34">
        <v>2.5009000000000001</v>
      </c>
      <c r="BP942" s="35">
        <v>0.10503999999999999</v>
      </c>
      <c r="BY942" s="55"/>
    </row>
    <row r="943" spans="27:77">
      <c r="AA943" s="27"/>
      <c r="BF943" s="30">
        <v>82.2</v>
      </c>
      <c r="BG943" s="31">
        <v>0.66210000000000002</v>
      </c>
      <c r="BH943" s="32">
        <v>662</v>
      </c>
      <c r="BJ943" s="30">
        <v>82.2</v>
      </c>
      <c r="BK943" s="34">
        <v>2.4603000000000002</v>
      </c>
      <c r="BL943" s="35">
        <v>0.10333000000000001</v>
      </c>
      <c r="BM943" s="36"/>
      <c r="BN943" s="30">
        <v>82.2</v>
      </c>
      <c r="BO943" s="34">
        <v>2.4998</v>
      </c>
      <c r="BP943" s="35">
        <v>0.10499</v>
      </c>
      <c r="BY943" s="55"/>
    </row>
    <row r="944" spans="27:77">
      <c r="AA944" s="27"/>
      <c r="BF944" s="30">
        <v>82.3</v>
      </c>
      <c r="BG944" s="31">
        <v>0.66180000000000005</v>
      </c>
      <c r="BH944" s="32">
        <v>661.7</v>
      </c>
      <c r="BJ944" s="30">
        <v>82.3</v>
      </c>
      <c r="BK944" s="34">
        <v>2.4590999999999998</v>
      </c>
      <c r="BL944" s="35">
        <v>0.10328</v>
      </c>
      <c r="BM944" s="36"/>
      <c r="BN944" s="30">
        <v>82.3</v>
      </c>
      <c r="BO944" s="34">
        <v>2.4986000000000002</v>
      </c>
      <c r="BP944" s="35">
        <v>0.10494000000000001</v>
      </c>
      <c r="BY944" s="55"/>
    </row>
    <row r="945" spans="27:77">
      <c r="AA945" s="27"/>
      <c r="BF945" s="30">
        <v>82.4</v>
      </c>
      <c r="BG945" s="31">
        <v>0.66149999999999998</v>
      </c>
      <c r="BH945" s="32">
        <v>661.4</v>
      </c>
      <c r="BJ945" s="30">
        <v>82.4</v>
      </c>
      <c r="BK945" s="34">
        <v>2.4580000000000002</v>
      </c>
      <c r="BL945" s="35">
        <v>0.10324</v>
      </c>
      <c r="BM945" s="36"/>
      <c r="BN945" s="30">
        <v>82.4</v>
      </c>
      <c r="BO945" s="34">
        <v>2.4973999999999998</v>
      </c>
      <c r="BP945" s="35">
        <v>0.10489</v>
      </c>
      <c r="BY945" s="55"/>
    </row>
    <row r="946" spans="27:77">
      <c r="AA946" s="27"/>
      <c r="BF946" s="30">
        <v>82.5</v>
      </c>
      <c r="BG946" s="31">
        <v>0.66120000000000001</v>
      </c>
      <c r="BH946" s="32">
        <v>661.1</v>
      </c>
      <c r="BJ946" s="30">
        <v>82.5</v>
      </c>
      <c r="BK946" s="34">
        <v>2.4567999999999999</v>
      </c>
      <c r="BL946" s="35">
        <v>0.10319</v>
      </c>
      <c r="BM946" s="36"/>
      <c r="BN946" s="30">
        <v>82.5</v>
      </c>
      <c r="BO946" s="34">
        <v>2.4963000000000002</v>
      </c>
      <c r="BP946" s="35">
        <v>0.10484</v>
      </c>
      <c r="BY946" s="55"/>
    </row>
    <row r="947" spans="27:77">
      <c r="AA947" s="27"/>
      <c r="BF947" s="30">
        <v>82.6</v>
      </c>
      <c r="BG947" s="31">
        <v>0.66090000000000004</v>
      </c>
      <c r="BH947" s="32">
        <v>660.8</v>
      </c>
      <c r="BJ947" s="30">
        <v>82.6</v>
      </c>
      <c r="BK947" s="34">
        <v>2.4557000000000002</v>
      </c>
      <c r="BL947" s="35">
        <v>0.10314</v>
      </c>
      <c r="BM947" s="36"/>
      <c r="BN947" s="30">
        <v>82.6</v>
      </c>
      <c r="BO947" s="34">
        <v>2.4950999999999999</v>
      </c>
      <c r="BP947" s="35">
        <v>0.10478999999999999</v>
      </c>
      <c r="BY947" s="55"/>
    </row>
    <row r="948" spans="27:77">
      <c r="AA948" s="27"/>
      <c r="BF948" s="30">
        <v>82.7</v>
      </c>
      <c r="BG948" s="31">
        <v>0.66059999999999997</v>
      </c>
      <c r="BH948" s="32">
        <v>660.5</v>
      </c>
      <c r="BJ948" s="30">
        <v>82.7</v>
      </c>
      <c r="BK948" s="34">
        <v>2.4544999999999999</v>
      </c>
      <c r="BL948" s="35">
        <v>0.10309</v>
      </c>
      <c r="BM948" s="36"/>
      <c r="BN948" s="30">
        <v>82.7</v>
      </c>
      <c r="BO948" s="34">
        <v>2.4939</v>
      </c>
      <c r="BP948" s="35">
        <v>0.10474</v>
      </c>
      <c r="BY948" s="55"/>
    </row>
    <row r="949" spans="27:77">
      <c r="AA949" s="27"/>
      <c r="BF949" s="30">
        <v>82.8</v>
      </c>
      <c r="BG949" s="31">
        <v>0.6603</v>
      </c>
      <c r="BH949" s="32">
        <v>660.2</v>
      </c>
      <c r="BJ949" s="30">
        <v>82.8</v>
      </c>
      <c r="BK949" s="34">
        <v>2.4533999999999998</v>
      </c>
      <c r="BL949" s="35">
        <v>0.10304000000000001</v>
      </c>
      <c r="BM949" s="36"/>
      <c r="BN949" s="30">
        <v>82.8</v>
      </c>
      <c r="BO949" s="34">
        <v>2.4927999999999999</v>
      </c>
      <c r="BP949" s="35">
        <v>0.1047</v>
      </c>
      <c r="BY949" s="55"/>
    </row>
    <row r="950" spans="27:77">
      <c r="AA950" s="27"/>
      <c r="BF950" s="30">
        <v>82.9</v>
      </c>
      <c r="BG950" s="31">
        <v>0.66</v>
      </c>
      <c r="BH950" s="32">
        <v>659.9</v>
      </c>
      <c r="BJ950" s="30">
        <v>82.9</v>
      </c>
      <c r="BK950" s="34">
        <v>2.4521999999999999</v>
      </c>
      <c r="BL950" s="35">
        <v>0.10299</v>
      </c>
      <c r="BM950" s="36"/>
      <c r="BN950" s="30">
        <v>82.9</v>
      </c>
      <c r="BO950" s="34">
        <v>2.4916</v>
      </c>
      <c r="BP950" s="35">
        <v>0.10465000000000001</v>
      </c>
      <c r="BY950" s="55"/>
    </row>
    <row r="951" spans="27:77">
      <c r="AA951" s="27"/>
      <c r="BF951" s="30">
        <v>83</v>
      </c>
      <c r="BG951" s="31">
        <v>0.65969999999999995</v>
      </c>
      <c r="BH951" s="32">
        <v>659.6</v>
      </c>
      <c r="BJ951" s="30">
        <v>83</v>
      </c>
      <c r="BK951" s="34">
        <v>2.4510999999999998</v>
      </c>
      <c r="BL951" s="35">
        <v>0.10295</v>
      </c>
      <c r="BM951" s="36"/>
      <c r="BN951" s="30">
        <v>83</v>
      </c>
      <c r="BO951" s="34">
        <v>2.4904000000000002</v>
      </c>
      <c r="BP951" s="35">
        <v>0.1046</v>
      </c>
      <c r="BY951" s="55"/>
    </row>
    <row r="952" spans="27:77">
      <c r="AA952" s="27"/>
      <c r="BF952" s="30">
        <v>83.1</v>
      </c>
      <c r="BG952" s="31">
        <v>0.65939999999999999</v>
      </c>
      <c r="BH952" s="32">
        <v>659.3</v>
      </c>
      <c r="BJ952" s="30">
        <v>83.1</v>
      </c>
      <c r="BK952" s="34">
        <v>2.4499</v>
      </c>
      <c r="BL952" s="35">
        <v>0.10290000000000001</v>
      </c>
      <c r="BM952" s="36"/>
      <c r="BN952" s="30">
        <v>83.1</v>
      </c>
      <c r="BO952" s="34">
        <v>2.4893000000000001</v>
      </c>
      <c r="BP952" s="35">
        <v>0.10455</v>
      </c>
      <c r="BY952" s="55"/>
    </row>
    <row r="953" spans="27:77">
      <c r="AA953" s="27"/>
      <c r="BF953" s="30">
        <v>83.2</v>
      </c>
      <c r="BG953" s="31">
        <v>0.65910000000000002</v>
      </c>
      <c r="BH953" s="32">
        <v>658.9</v>
      </c>
      <c r="BJ953" s="30">
        <v>83.2</v>
      </c>
      <c r="BK953" s="34">
        <v>2.4487999999999999</v>
      </c>
      <c r="BL953" s="35">
        <v>0.10285000000000001</v>
      </c>
      <c r="BM953" s="36"/>
      <c r="BN953" s="30">
        <v>83.2</v>
      </c>
      <c r="BO953" s="34">
        <v>2.4881000000000002</v>
      </c>
      <c r="BP953" s="35">
        <v>0.1045</v>
      </c>
      <c r="BY953" s="55"/>
    </row>
    <row r="954" spans="27:77">
      <c r="AA954" s="27"/>
      <c r="BF954" s="30">
        <v>83.3</v>
      </c>
      <c r="BG954" s="31">
        <v>0.65880000000000005</v>
      </c>
      <c r="BH954" s="32">
        <v>658.6</v>
      </c>
      <c r="BJ954" s="30">
        <v>83.3</v>
      </c>
      <c r="BK954" s="34">
        <v>2.4477000000000002</v>
      </c>
      <c r="BL954" s="35">
        <v>0.10280000000000002</v>
      </c>
      <c r="BM954" s="36"/>
      <c r="BN954" s="30">
        <v>83.3</v>
      </c>
      <c r="BO954" s="34">
        <v>2.4868999999999999</v>
      </c>
      <c r="BP954" s="35">
        <v>0.10445</v>
      </c>
      <c r="BY954" s="55"/>
    </row>
    <row r="955" spans="27:77">
      <c r="AA955" s="27"/>
      <c r="BF955" s="30">
        <v>83.4</v>
      </c>
      <c r="BG955" s="31">
        <v>0.65839999999999999</v>
      </c>
      <c r="BH955" s="32">
        <v>658.3</v>
      </c>
      <c r="BJ955" s="30">
        <v>83.4</v>
      </c>
      <c r="BK955" s="34">
        <v>2.4464999999999999</v>
      </c>
      <c r="BL955" s="35">
        <v>0.10275000000000002</v>
      </c>
      <c r="BM955" s="36"/>
      <c r="BN955" s="30">
        <v>83.4</v>
      </c>
      <c r="BO955" s="34">
        <v>2.4857999999999998</v>
      </c>
      <c r="BP955" s="35">
        <v>0.10440000000000001</v>
      </c>
      <c r="BY955" s="55"/>
    </row>
    <row r="956" spans="27:77">
      <c r="AA956" s="27"/>
      <c r="BF956" s="30">
        <v>83.5</v>
      </c>
      <c r="BG956" s="31">
        <v>0.65810000000000002</v>
      </c>
      <c r="BH956" s="32">
        <v>658</v>
      </c>
      <c r="BJ956" s="30">
        <v>83.5</v>
      </c>
      <c r="BK956" s="34">
        <v>2.4453999999999998</v>
      </c>
      <c r="BL956" s="35">
        <v>0.10271</v>
      </c>
      <c r="BM956" s="36"/>
      <c r="BN956" s="30">
        <v>83.5</v>
      </c>
      <c r="BO956" s="34">
        <v>2.4845999999999999</v>
      </c>
      <c r="BP956" s="35">
        <v>0.10435000000000001</v>
      </c>
      <c r="BY956" s="55"/>
    </row>
    <row r="957" spans="27:77">
      <c r="AA957" s="27"/>
      <c r="BF957" s="30">
        <v>83.6</v>
      </c>
      <c r="BG957" s="31">
        <v>0.65780000000000005</v>
      </c>
      <c r="BH957" s="32">
        <v>657.7</v>
      </c>
      <c r="BJ957" s="30">
        <v>83.6</v>
      </c>
      <c r="BK957" s="34">
        <v>2.4441999999999999</v>
      </c>
      <c r="BL957" s="35">
        <v>0.10266</v>
      </c>
      <c r="BM957" s="36"/>
      <c r="BN957" s="30">
        <v>83.6</v>
      </c>
      <c r="BO957" s="34">
        <v>2.4834999999999998</v>
      </c>
      <c r="BP957" s="35">
        <v>0.10431</v>
      </c>
      <c r="BY957" s="55"/>
    </row>
    <row r="958" spans="27:77">
      <c r="AA958" s="27"/>
      <c r="BF958" s="30">
        <v>83.7</v>
      </c>
      <c r="BG958" s="31">
        <v>0.65749999999999997</v>
      </c>
      <c r="BH958" s="32">
        <v>657.4</v>
      </c>
      <c r="BJ958" s="30">
        <v>83.7</v>
      </c>
      <c r="BK958" s="34">
        <v>2.4430999999999998</v>
      </c>
      <c r="BL958" s="35">
        <v>0.10261000000000001</v>
      </c>
      <c r="BM958" s="36"/>
      <c r="BN958" s="30">
        <v>83.7</v>
      </c>
      <c r="BO958" s="34">
        <v>2.4823</v>
      </c>
      <c r="BP958" s="35">
        <v>0.10426000000000001</v>
      </c>
      <c r="BY958" s="55"/>
    </row>
    <row r="959" spans="27:77">
      <c r="AA959" s="27"/>
      <c r="BF959" s="30">
        <v>83.8</v>
      </c>
      <c r="BG959" s="31">
        <v>0.65720000000000001</v>
      </c>
      <c r="BH959" s="32">
        <v>657.1</v>
      </c>
      <c r="BJ959" s="30">
        <v>83.8</v>
      </c>
      <c r="BK959" s="34">
        <v>2.4420000000000002</v>
      </c>
      <c r="BL959" s="35">
        <v>0.10256</v>
      </c>
      <c r="BM959" s="36"/>
      <c r="BN959" s="30">
        <v>83.8</v>
      </c>
      <c r="BO959" s="34">
        <v>2.4811999999999999</v>
      </c>
      <c r="BP959" s="35">
        <v>0.10421000000000001</v>
      </c>
      <c r="BY959" s="55"/>
    </row>
    <row r="960" spans="27:77">
      <c r="AA960" s="27"/>
      <c r="BF960" s="30">
        <v>83.9</v>
      </c>
      <c r="BG960" s="31">
        <v>0.65690000000000004</v>
      </c>
      <c r="BH960" s="32">
        <v>656.8</v>
      </c>
      <c r="BJ960" s="30">
        <v>83.9</v>
      </c>
      <c r="BK960" s="34">
        <v>2.4407999999999999</v>
      </c>
      <c r="BL960" s="35">
        <v>0.10251</v>
      </c>
      <c r="BM960" s="36"/>
      <c r="BN960" s="30">
        <v>83.9</v>
      </c>
      <c r="BO960" s="34">
        <v>2.48</v>
      </c>
      <c r="BP960" s="35">
        <v>0.10416000000000002</v>
      </c>
      <c r="BY960" s="55"/>
    </row>
    <row r="961" spans="27:77">
      <c r="AA961" s="27"/>
      <c r="BF961" s="30">
        <v>84</v>
      </c>
      <c r="BG961" s="31">
        <v>0.65659999999999996</v>
      </c>
      <c r="BH961" s="32">
        <v>656.5</v>
      </c>
      <c r="BJ961" s="30">
        <v>84</v>
      </c>
      <c r="BK961" s="34">
        <v>2.4397000000000002</v>
      </c>
      <c r="BL961" s="35">
        <v>0.10247000000000001</v>
      </c>
      <c r="BM961" s="36"/>
      <c r="BN961" s="30">
        <v>84</v>
      </c>
      <c r="BO961" s="34">
        <v>2.4788000000000001</v>
      </c>
      <c r="BP961" s="35">
        <v>0.10411000000000002</v>
      </c>
      <c r="BY961" s="55"/>
    </row>
    <row r="962" spans="27:77">
      <c r="AA962" s="27"/>
      <c r="BF962" s="30">
        <v>84.1</v>
      </c>
      <c r="BG962" s="31">
        <v>0.65629999999999999</v>
      </c>
      <c r="BH962" s="32">
        <v>656.2</v>
      </c>
      <c r="BJ962" s="30">
        <v>84.1</v>
      </c>
      <c r="BK962" s="34">
        <v>2.4386000000000001</v>
      </c>
      <c r="BL962" s="35">
        <v>0.10242</v>
      </c>
      <c r="BM962" s="36"/>
      <c r="BN962" s="30">
        <v>84.1</v>
      </c>
      <c r="BO962" s="34">
        <v>2.4777</v>
      </c>
      <c r="BP962" s="35">
        <v>0.10406000000000003</v>
      </c>
      <c r="BY962" s="55"/>
    </row>
    <row r="963" spans="27:77">
      <c r="AA963" s="27"/>
      <c r="BF963" s="30">
        <v>84.2</v>
      </c>
      <c r="BG963" s="31">
        <v>0.65600000000000003</v>
      </c>
      <c r="BH963" s="32">
        <v>655.9</v>
      </c>
      <c r="BJ963" s="30">
        <v>84.2</v>
      </c>
      <c r="BK963" s="34">
        <v>2.4373999999999998</v>
      </c>
      <c r="BL963" s="35">
        <v>0.10237</v>
      </c>
      <c r="BM963" s="36"/>
      <c r="BN963" s="30">
        <v>84.2</v>
      </c>
      <c r="BO963" s="34">
        <v>2.4765000000000001</v>
      </c>
      <c r="BP963" s="35">
        <v>0.10401000000000003</v>
      </c>
      <c r="BY963" s="55"/>
    </row>
    <row r="964" spans="27:77">
      <c r="AA964" s="27"/>
      <c r="BF964" s="30">
        <v>84.3</v>
      </c>
      <c r="BG964" s="31">
        <v>0.65569999999999995</v>
      </c>
      <c r="BH964" s="32">
        <v>655.6</v>
      </c>
      <c r="BJ964" s="30">
        <v>84.3</v>
      </c>
      <c r="BK964" s="34">
        <v>2.4363000000000001</v>
      </c>
      <c r="BL964" s="35">
        <v>0.10231999999999999</v>
      </c>
      <c r="BM964" s="36"/>
      <c r="BN964" s="30">
        <v>84.3</v>
      </c>
      <c r="BO964" s="34">
        <v>2.4754</v>
      </c>
      <c r="BP964" s="35">
        <v>0.10397000000000001</v>
      </c>
      <c r="BY964" s="55"/>
    </row>
    <row r="965" spans="27:77">
      <c r="AA965" s="27"/>
      <c r="BF965" s="30">
        <v>84.4</v>
      </c>
      <c r="BG965" s="31">
        <v>0.65539999999999998</v>
      </c>
      <c r="BH965" s="32">
        <v>655.29999999999995</v>
      </c>
      <c r="BJ965" s="30">
        <v>84.4</v>
      </c>
      <c r="BK965" s="34">
        <v>2.4352</v>
      </c>
      <c r="BL965" s="35">
        <v>0.10228</v>
      </c>
      <c r="BM965" s="36"/>
      <c r="BN965" s="30">
        <v>84.4</v>
      </c>
      <c r="BO965" s="34">
        <v>2.4742000000000002</v>
      </c>
      <c r="BP965" s="35">
        <v>0.10392</v>
      </c>
      <c r="BY965" s="55"/>
    </row>
    <row r="966" spans="27:77">
      <c r="AA966" s="27"/>
      <c r="BF966" s="30">
        <v>84.5</v>
      </c>
      <c r="BG966" s="31">
        <v>0.65510000000000002</v>
      </c>
      <c r="BH966" s="32">
        <v>655</v>
      </c>
      <c r="BJ966" s="30">
        <v>84.5</v>
      </c>
      <c r="BK966" s="34">
        <v>2.4340000000000002</v>
      </c>
      <c r="BL966" s="35">
        <v>0.10223</v>
      </c>
      <c r="BM966" s="36"/>
      <c r="BN966" s="30">
        <v>84.5</v>
      </c>
      <c r="BO966" s="34">
        <v>2.4731000000000001</v>
      </c>
      <c r="BP966" s="35">
        <v>0.10386999999999999</v>
      </c>
      <c r="BY966" s="55"/>
    </row>
    <row r="967" spans="27:77">
      <c r="AA967" s="27"/>
      <c r="BF967" s="30">
        <v>84.6</v>
      </c>
      <c r="BG967" s="31">
        <v>0.65480000000000005</v>
      </c>
      <c r="BH967" s="32">
        <v>654.70000000000005</v>
      </c>
      <c r="BJ967" s="30">
        <v>84.6</v>
      </c>
      <c r="BK967" s="34">
        <v>2.4329000000000001</v>
      </c>
      <c r="BL967" s="35">
        <v>0.10218000000000001</v>
      </c>
      <c r="BM967" s="36"/>
      <c r="BN967" s="30">
        <v>84.6</v>
      </c>
      <c r="BO967" s="34">
        <v>2.472</v>
      </c>
      <c r="BP967" s="35">
        <v>0.10381999999999998</v>
      </c>
      <c r="BY967" s="55"/>
    </row>
    <row r="968" spans="27:77">
      <c r="AA968" s="27"/>
      <c r="BF968" s="30">
        <v>84.7</v>
      </c>
      <c r="BG968" s="31">
        <v>0.65449999999999997</v>
      </c>
      <c r="BH968" s="32">
        <v>654.4</v>
      </c>
      <c r="BJ968" s="30">
        <v>84.7</v>
      </c>
      <c r="BK968" s="34">
        <v>2.4318</v>
      </c>
      <c r="BL968" s="35">
        <v>0.10213</v>
      </c>
      <c r="BM968" s="36"/>
      <c r="BN968" s="30">
        <v>84.7</v>
      </c>
      <c r="BO968" s="34">
        <v>2.4708000000000001</v>
      </c>
      <c r="BP968" s="35">
        <v>0.10376999999999997</v>
      </c>
      <c r="BY968" s="55"/>
    </row>
    <row r="969" spans="27:77">
      <c r="AA969" s="27"/>
      <c r="BF969" s="30">
        <v>84.8</v>
      </c>
      <c r="BG969" s="31">
        <v>0.6542</v>
      </c>
      <c r="BH969" s="32">
        <v>654.1</v>
      </c>
      <c r="BJ969" s="30">
        <v>84.8</v>
      </c>
      <c r="BK969" s="34">
        <v>2.4306999999999999</v>
      </c>
      <c r="BL969" s="35">
        <v>0.10209</v>
      </c>
      <c r="BM969" s="36"/>
      <c r="BN969" s="30">
        <v>84.8</v>
      </c>
      <c r="BO969" s="34">
        <v>2.4697</v>
      </c>
      <c r="BP969" s="35">
        <v>0.10373</v>
      </c>
      <c r="BY969" s="55"/>
    </row>
    <row r="970" spans="27:77">
      <c r="AA970" s="27"/>
      <c r="BF970" s="30">
        <v>84.9</v>
      </c>
      <c r="BG970" s="31">
        <v>0.65390000000000004</v>
      </c>
      <c r="BH970" s="32">
        <v>653.79999999999995</v>
      </c>
      <c r="BJ970" s="30">
        <v>84.9</v>
      </c>
      <c r="BK970" s="34">
        <v>2.4295</v>
      </c>
      <c r="BL970" s="35">
        <v>0.10204000000000001</v>
      </c>
      <c r="BM970" s="36"/>
      <c r="BN970" s="30">
        <v>84.9</v>
      </c>
      <c r="BO970" s="34">
        <v>2.4685000000000001</v>
      </c>
      <c r="BP970" s="35">
        <v>0.10367999999999999</v>
      </c>
      <c r="BY970" s="55"/>
    </row>
    <row r="971" spans="27:77">
      <c r="AA971" s="27"/>
      <c r="BF971" s="1728">
        <v>85</v>
      </c>
      <c r="BG971" s="52">
        <v>0.65359999999999996</v>
      </c>
      <c r="BH971" s="1729">
        <v>653.5</v>
      </c>
      <c r="BJ971" s="30">
        <v>85</v>
      </c>
      <c r="BK971" s="34">
        <v>2.4283999999999999</v>
      </c>
      <c r="BL971" s="35">
        <v>0.10199</v>
      </c>
      <c r="BM971" s="36"/>
      <c r="BN971" s="30">
        <v>85</v>
      </c>
      <c r="BO971" s="34">
        <v>2.4674</v>
      </c>
      <c r="BP971" s="35">
        <v>0.10363</v>
      </c>
      <c r="BY971" s="55"/>
    </row>
    <row r="972" spans="27:77">
      <c r="AA972" s="27"/>
      <c r="BF972" s="1730"/>
      <c r="BG972" s="1730"/>
      <c r="BH972" s="1730"/>
      <c r="BI972" s="1730"/>
      <c r="BJ972" s="2600"/>
      <c r="BK972" s="2600"/>
      <c r="BL972" s="2600"/>
      <c r="BM972" s="1730"/>
      <c r="BN972" s="2600"/>
      <c r="BO972" s="2600"/>
      <c r="BP972" s="2600"/>
      <c r="BQ972" s="1730"/>
      <c r="BR972" s="1730"/>
      <c r="BS972" s="1730"/>
      <c r="BT972" s="1730"/>
      <c r="BU972" s="1730"/>
      <c r="BV972" s="1730"/>
      <c r="BW972" s="1730"/>
      <c r="BX972" s="1730"/>
      <c r="BY972" s="55"/>
    </row>
    <row r="973" spans="27:77">
      <c r="AA973" s="27"/>
      <c r="BY973" s="55"/>
    </row>
    <row r="974" spans="27:77">
      <c r="AA974" s="27"/>
      <c r="AR974" s="1730"/>
      <c r="AS974" s="1730"/>
      <c r="AT974" s="1730"/>
      <c r="AU974" s="1730"/>
      <c r="AV974" s="1730"/>
      <c r="AW974" s="1730"/>
      <c r="AX974" s="1730"/>
      <c r="AY974" s="1730"/>
      <c r="AZ974" s="1730"/>
      <c r="BA974" s="1730"/>
      <c r="BB974" s="1730"/>
      <c r="BC974" s="1730"/>
      <c r="BD974" s="1730"/>
      <c r="BY974" s="55"/>
    </row>
    <row r="975" spans="27:77">
      <c r="AA975" s="27"/>
      <c r="BY975" s="55"/>
    </row>
    <row r="976" spans="27:77">
      <c r="AA976" s="27"/>
      <c r="BY976" s="55"/>
    </row>
    <row r="977" spans="27:77">
      <c r="AA977" s="27"/>
      <c r="BY977" s="55"/>
    </row>
    <row r="978" spans="27:77">
      <c r="AA978" s="1731"/>
      <c r="AB978" s="1730"/>
      <c r="AC978" s="1730"/>
      <c r="AD978" s="1730"/>
      <c r="AE978" s="1730"/>
      <c r="AF978" s="1730"/>
      <c r="AG978" s="1730"/>
      <c r="AH978" s="1730"/>
      <c r="AI978" s="1730"/>
      <c r="AJ978" s="1730"/>
      <c r="AK978" s="1730"/>
      <c r="AL978" s="1730"/>
      <c r="AM978" s="1730"/>
      <c r="AN978" s="1730"/>
      <c r="AO978" s="1730"/>
      <c r="AP978" s="1730"/>
      <c r="AQ978" s="1730"/>
      <c r="BE978" s="1730"/>
      <c r="BY978" s="1732"/>
    </row>
  </sheetData>
  <mergeCells count="11">
    <mergeCell ref="I7:I8"/>
    <mergeCell ref="B2:B3"/>
    <mergeCell ref="E7:E8"/>
    <mergeCell ref="F7:F8"/>
    <mergeCell ref="G7:G8"/>
    <mergeCell ref="H7:H8"/>
    <mergeCell ref="J7:J8"/>
    <mergeCell ref="K7:K8"/>
    <mergeCell ref="M7:M8"/>
    <mergeCell ref="N7:N8"/>
    <mergeCell ref="O7:O8"/>
  </mergeCells>
  <hyperlinks>
    <hyperlink ref="AA100" location="'Blended Cargo Calculator'!A1" display="Go to Back" xr:uid="{5787A57A-B49D-49EB-8FBA-1586C30ADBBB}"/>
    <hyperlink ref="B2:B3" location="Home!A1" display="HOME" xr:uid="{70D1E22A-F5D2-4293-843D-4DC11812EF87}"/>
    <hyperlink ref="O5" location="'Blended Cargo Calculator'!AO120" display="Go to Calc" xr:uid="{8D7945C7-2C86-4A8B-AF78-D93720261FE4}"/>
    <hyperlink ref="AI100" location="'Blended Cargo Calculator'!A1" display="Go to Back" xr:uid="{B00732A0-A70E-43AA-BC87-E65C0D667D8C}"/>
    <hyperlink ref="AR100" location="'Blended Cargo Calculator'!A1" display="Go to Back" xr:uid="{5010AD42-BEF4-417B-9EE1-821B7B630FA4}"/>
    <hyperlink ref="BF100" location="'Blended Cargo Calculator'!A1" display="Go to Back" xr:uid="{42EF3A2F-1CF0-4D92-9999-B5C53C44E797}"/>
    <hyperlink ref="BX100" location="'Blended Cargo Calculator'!A1" display="Go to Back" xr:uid="{A24627B8-A0B1-4BFE-A8BE-D630993CC188}"/>
    <hyperlink ref="B5" location="'Documents Manager'!A1" display="DOCUMENTS MANAGER" xr:uid="{32E7A6EF-053A-4B41-A48F-6F89E2C29E62}"/>
    <hyperlink ref="B25" location="Disclaimer!A1" display="Disclaimer" xr:uid="{E4C2F668-C989-42DD-9768-1A047C8EA3DF}"/>
    <hyperlink ref="B24" location="Help!A1" display="Help" xr:uid="{32094844-C571-412A-88AB-7B2097A621A3}"/>
    <hyperlink ref="B22" location="'Source - Links'!A1" display="SOURCE / LINKS" xr:uid="{389287CE-5A6F-40D6-A6FB-ADC0433E8F72}"/>
    <hyperlink ref="B9" location="'ASTM Calculator V.W.'!A1" display="• Calculator - Volume &amp; Weght" xr:uid="{27F10412-CDF6-4260-BF5F-8FF021BD2562}"/>
    <hyperlink ref="B17" location="'ASTM Calc BL Outturn Compare'!A1" display="• BL Figures &amp; Outturn Compare" xr:uid="{E380D40C-4ED7-42D9-A279-6E9494967887}"/>
    <hyperlink ref="B8" location="'ASTM Calculator V.W.'!A1" display="ASTM - CALCULATORS" xr:uid="{BCB47262-0421-4BB3-97AB-763A3E4CD075}"/>
    <hyperlink ref="B6" location="'ASTM Vol. XI - Tab.1'!A1" display="ASTM TABLES" xr:uid="{7DCEFC1D-BC81-426A-A51A-3F741AE316F3}"/>
    <hyperlink ref="B7" location="'ASTM Converter (Tab.1)'!A1" display="ASTM - CONVERTERS" xr:uid="{767942D3-B0C1-4A0C-8E6B-53CE6BAD0EEA}"/>
    <hyperlink ref="B13" location="'ASTM CP min CARGO Check'!A1" display="• Calculator - C/P min CARGO Check" xr:uid="{BC3B26D4-ECDB-48A5-8FBF-086645DE58A8}"/>
    <hyperlink ref="B18" location="'Initial&amp;Max. Loading Rate'!A1" display="CARGO - CALCULATORS" xr:uid="{AEBB1C6F-8543-45D3-BCA6-FA8282E4D01A}"/>
    <hyperlink ref="B14" location="'ASTM Calculator Blended Cargo'!A1" display="• Calculator - Blended Cargo" xr:uid="{C0905570-E36D-4E01-A4F7-4C72D4C386CB}"/>
    <hyperlink ref="B15" location="'ASTM Blended Cargo Prediction'!A1" display="• Calculator - Blended Cargo Prediction" xr:uid="{B4563FD0-2268-48B6-ACB6-6CA85CEA5860}"/>
    <hyperlink ref="B16" location="'ASTM Shore Line Displacement'!A1" display="• Calculator - Shore Line Displacement" xr:uid="{573AF7F9-1EC6-4060-AEB1-BF394AF55160}"/>
    <hyperlink ref="B10" location="'ASTM Calculator Volume T.E.(1)'!A1" display="• Calculator - Volume (Therm. expansion) " xr:uid="{B656ADC6-C057-42F4-A668-017D17F86263}"/>
    <hyperlink ref="B12" location="'ASTM Calculator Volume T.E.(3)'!A1" display="• Calculator - Volume (Therm. expan. 3) " xr:uid="{71748631-F8D8-4F9B-AE85-759D06D431EC}"/>
    <hyperlink ref="B11" location="'ASTM Calculator Volume T.E.(2)'!A1" display="• Calculator - Volume (Therm. expan. 2) " xr:uid="{D7C8BA8A-F273-498B-A80E-CE01A686FC14}"/>
    <hyperlink ref="B20" location="'Guidelines - Definitions'!A1" display="GUIDELINES" xr:uid="{713337FE-F97B-472E-B192-DE9F368AB045}"/>
    <hyperlink ref="B21" location="'Guidelines - Bottom Lines'!A1" display="GUIDELINES - CARGO" xr:uid="{87023CA5-573D-4901-8C06-BD55E41C7F0A}"/>
  </hyperlinks>
  <pageMargins left="0.75" right="0.75" top="1" bottom="1" header="0.5" footer="0.5"/>
  <pageSetup paperSize="9" orientation="portrait" horizontalDpi="4294967294"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7873" r:id="rId4" name="Option Button 1">
              <controlPr defaultSize="0" autoFill="0" autoLine="0" autoPict="0">
                <anchor moveWithCells="1">
                  <from>
                    <xdr:col>5</xdr:col>
                    <xdr:colOff>609600</xdr:colOff>
                    <xdr:row>3</xdr:row>
                    <xdr:rowOff>28575</xdr:rowOff>
                  </from>
                  <to>
                    <xdr:col>6</xdr:col>
                    <xdr:colOff>409575</xdr:colOff>
                    <xdr:row>3</xdr:row>
                    <xdr:rowOff>257175</xdr:rowOff>
                  </to>
                </anchor>
              </controlPr>
            </control>
          </mc:Choice>
        </mc:AlternateContent>
        <mc:AlternateContent xmlns:mc="http://schemas.openxmlformats.org/markup-compatibility/2006">
          <mc:Choice Requires="x14">
            <control shapeId="207874" r:id="rId5" name="Option Button 2">
              <controlPr defaultSize="0" autoFill="0" autoLine="0" autoPict="0">
                <anchor moveWithCells="1">
                  <from>
                    <xdr:col>6</xdr:col>
                    <xdr:colOff>457200</xdr:colOff>
                    <xdr:row>3</xdr:row>
                    <xdr:rowOff>28575</xdr:rowOff>
                  </from>
                  <to>
                    <xdr:col>6</xdr:col>
                    <xdr:colOff>952500</xdr:colOff>
                    <xdr:row>3</xdr:row>
                    <xdr:rowOff>257175</xdr:rowOff>
                  </to>
                </anchor>
              </controlPr>
            </control>
          </mc:Choice>
        </mc:AlternateContent>
        <mc:AlternateContent xmlns:mc="http://schemas.openxmlformats.org/markup-compatibility/2006">
          <mc:Choice Requires="x14">
            <control shapeId="207875" r:id="rId6" name="Drop Down 3">
              <controlPr defaultSize="0" autoLine="0" autoPict="0">
                <anchor moveWithCells="1">
                  <from>
                    <xdr:col>6</xdr:col>
                    <xdr:colOff>9525</xdr:colOff>
                    <xdr:row>4</xdr:row>
                    <xdr:rowOff>23813</xdr:rowOff>
                  </from>
                  <to>
                    <xdr:col>7</xdr:col>
                    <xdr:colOff>0</xdr:colOff>
                    <xdr:row>4</xdr:row>
                    <xdr:rowOff>238125</xdr:rowOff>
                  </to>
                </anchor>
              </controlPr>
            </control>
          </mc:Choice>
        </mc:AlternateContent>
      </controls>
    </mc:Choice>
  </mc:AlternateContent>
</worksheet>
</file>

<file path=xl/worksheets/sheet23.xml><?xml version="1.0" encoding="UTF-8" standalone="yes"?>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mc:Ignorable="x14ac xr xr2 xr3" xmlns:x14ac="http://schemas.microsoft.com/office/spreadsheetml/2009/9/ac" xmlns:xr="http://schemas.microsoft.com/office/spreadsheetml/2014/revision" xmlns:xr2="http://schemas.microsoft.com/office/spreadsheetml/2015/revision2" xmlns:xr3="http://schemas.microsoft.com/office/spreadsheetml/2016/revision3" xr:uid="{DEC12249-B8B0-4826-821F-8F39CD6F1B12}"><sheetPr><tabColor rgb="FF008080"/></sheetPr><dimension ref="A1:IV972"/><sheetViews><sheetView showGridLines="0" showRowColHeaders="0" topLeftCell="B1" workbookViewId="0"><selection activeCell="B16" sqref="B16"/></sheetView></sheetViews><sheetFormatPr defaultColWidth="9.1328125" defaultRowHeight="12.75"/><cols><col min="1" max="1" width="1.1328125" style="1782" hidden="1" customWidth="1"/><col min="2" max="2" width="36.6640625" style="1767" customWidth="1"/><col min="3" max="3" width="2.6640625" style="1734" customWidth="1"/><col min="4" max="4" width="14.46484375" style="1734" customWidth="1"/><col min="5" max="5" width="10.53125" style="1734" customWidth="1"/><col min="6" max="6" width="9" style="1734" customWidth="1"/><col min="7" max="7" width="14.53125" style="1734" customWidth="1"/><col min="8" max="12" width="11.86328125" style="1734" customWidth="1"/><col min="13" max="13" width="2.53125" style="1734" customWidth="1"/><col min="14" max="16" width="9.53125" style="1734" customWidth="1"/><col min="17" max="20" width="9.1328125" style="1734"/><col min="21" max="27" width="9.86328125" style="1734" customWidth="1"/><col min="28" max="28" width="3.53125" style="1734" bestFit="1" customWidth="1"/><col min="29" max="29" width="18" style="1734" bestFit="1" customWidth="1"/><col min="30" max="30" width="33" style="1734" bestFit="1" customWidth="1"/><col min="31" max="31" width="9.1328125" style="1734" bestFit="1" customWidth="1"/><col min="32" max="32" width="2.53125" style="1734" customWidth="1"/><col min="33" max="33" width="18.1328125" style="1734" bestFit="1" customWidth="1"/><col min="34" max="34" width="14" style="1734" bestFit="1" customWidth="1"/><col min="35" max="35" width="13.46484375" style="1734" customWidth="1"/><col min="36" max="36" width="2.53125" style="1734" customWidth="1"/><col min="37" max="37" width="22.86328125" style="1734" bestFit="1" customWidth="1"/><col min="38" max="38" width="15.86328125" style="1734" bestFit="1" customWidth="1"/><col min="39" max="39" width="9" style="1734" customWidth="1"/><col min="40" max="40" width="14.46484375" style="1734" customWidth="1"/><col min="41" max="41" width="14" style="1734" bestFit="1" customWidth="1"/><col min="42" max="42" width="12" style="1734" bestFit="1" customWidth="1"/><col min="43" max="43" width="14.53125" style="1734" bestFit="1" customWidth="1"/><col min="44" max="44" width="11.1328125" style="1734" customWidth="1"/><col min="45" max="46" width="9.1328125" style="1734"/><col min="47" max="47" width="14" style="1734" bestFit="1" customWidth="1"/><col min="48" max="48" width="12.53125" style="1734" bestFit="1" customWidth="1"/><col min="49" max="49" width="16.53125" style="1734" bestFit="1" customWidth="1"/><col min="50" max="50" width="2.53125" style="1734" customWidth="1"/><col min="51" max="53" width="9.1328125" style="1734"/><col min="54" max="54" width="11.86328125" style="1734" customWidth="1"/><col min="55" max="57" width="9.1328125" style="1734"/><col min="58" max="58" width="2.53125" style="1734" customWidth="1"/><col min="59" max="16384" width="9.1328125" style="1734"/></cols><sheetData><row r="1" spans="1:256" ht="12.75" customHeight="1"><c r="A1" s="1733"/><c r="B1" s="1271"/><c r="C1" s="514"/></row><row r="2" spans="1:256" s="2812" customFormat="1" ht="21" customHeight="1"><c r="A2" s="1733"/><c r="B2" s="3284" t="s"><v>0</v></c><c r="C2" s="514"/><c r="D2" s="2808" t="s"><v>1270</v></c><c r="E2" s="2809"/><c r="F2" s="2809"/><c r="G2" s="2810"/><c r="H2" s="2809"/><c r="I2" s="2809"/><c r="J2" s="2809"/><c r="K2" s="2809"/><c r="L2" s="2809"/><c r="M2" s="2809"/><c r="N2" s="2809"/><c r="O2" s="2809"/><c r="P2" s="2809"/><c r="Q2" s="2811"/><c r="R2" s="2811"/><c r="S2" s="2811"/><c r="T2" s="2811"/><c r="U2" s="2811"/><c r="V2" s="2811"/><c r="W2" s="2811"/><c r="X2" s="2811"/><c r="Y2" s="2811"/><c r="Z2" s="2811"/><c r="AA2" s="2811"/><c r="AB2" s="2811"/><c r="AC2" s="2811"/><c r="AD2" s="2811"/><c r="AE2" s="2811"/><c r="AF2" s="2811"/><c r="AG2" s="2811"/><c r="AH2" s="2811"/><c r="AI2" s="2811"/><c r="AJ2" s="2811"/><c r="AK2" s="2811"/><c r="AL2" s="2811"/><c r="AM2" s="2811"/><c r="AN2" s="2811"/><c r="AO2" s="2811"/><c r="AP2" s="2811"/><c r="AQ2" s="2811"/><c r="AR2" s="2811"/><c r="AS2" s="2811"/><c r="AT2" s="2811"/><c r="AU2" s="2811"/><c r="AV2" s="2811"/><c r="AW2" s="2811"/><c r="AX2" s="2811"/><c r="AY2" s="2811"/><c r="AZ2" s="2811"/><c r="BA2" s="2811"/><c r="BB2" s="2811"/><c r="BC2" s="2811"/><c r="BD2" s="2811"/><c r="BE2" s="2811"/><c r="BF2" s="2811"/><c r="BG2" s="2811"/><c r="BH2" s="2811"/><c r="BI2" s="2811"/><c r="BJ2" s="2811"/><c r="BK2" s="2811"/><c r="BL2" s="2811"/><c r="BM2" s="2811"/><c r="BN2" s="2811"/><c r="BO2" s="2811"/><c r="BP2" s="2811"/><c r="BQ2" s="2811"/><c r="BR2" s="2811"/><c r="BS2" s="2811"/><c r="BT2" s="2811"/><c r="BU2" s="2811"/><c r="BV2" s="2811"/><c r="BW2" s="2811"/><c r="BX2" s="2811"/><c r="BY2" s="2811"/><c r="BZ2" s="2811"/><c r="CA2" s="2811"/><c r="CB2" s="2811"/><c r="CC2" s="2811"/><c r="CD2" s="2811"/><c r="CE2" s="2811"/><c r="CF2" s="2811"/><c r="CG2" s="2811"/><c r="CH2" s="2811"/><c r="CI2" s="2811"/><c r="CJ2" s="2811"/><c r="CK2" s="2811"/><c r="CL2" s="2811"/><c r="CM2" s="2811"/><c r="CN2" s="2811"/><c r="CO2" s="2811"/><c r="CP2" s="2811"/><c r="CQ2" s="2811"/><c r="CR2" s="2811"/><c r="CS2" s="2811"/><c r="CT2" s="2811"/><c r="CU2" s="2811"/><c r="CV2" s="2811"/><c r="CW2" s="2811"/><c r="CX2" s="2811"/><c r="CY2" s="2811"/><c r="CZ2" s="2811"/><c r="DA2" s="2811"/><c r="DB2" s="2811"/><c r="DC2" s="2811"/><c r="DD2" s="2811"/><c r="DE2" s="2811"/><c r="DF2" s="2811"/><c r="DG2" s="2811"/><c r="DH2" s="2811"/><c r="DI2" s="2811"/><c r="DJ2" s="2811"/><c r="DK2" s="2811"/><c r="DL2" s="2811"/><c r="DM2" s="2811"/><c r="DN2" s="2811"/><c r="DO2" s="2811"/><c r="DP2" s="2811"/><c r="DQ2" s="2811"/><c r="DR2" s="2811"/><c r="DS2" s="2811"/><c r="DT2" s="2811"/><c r="DU2" s="2811"/><c r="DV2" s="2811"/><c r="DW2" s="2811"/><c r="DX2" s="2811"/><c r="DY2" s="2811"/><c r="DZ2" s="2811"/><c r="EA2" s="2811"/><c r="EB2" s="2811"/><c r="EC2" s="2811"/><c r="ED2" s="2811"/><c r="EE2" s="2811"/><c r="EF2" s="2811"/><c r="EG2" s="2811"/><c r="EH2" s="2811"/><c r="EI2" s="2811"/><c r="EJ2" s="2811"/><c r="EK2" s="2811"/><c r="EL2" s="2811"/><c r="EM2" s="2811"/><c r="EN2" s="2811"/><c r="EO2" s="2811"/><c r="EP2" s="2811"/><c r="EQ2" s="2811"/><c r="ER2" s="2811"/><c r="ES2" s="2811"/><c r="ET2" s="2811"/><c r="EU2" s="2811"/><c r="EV2" s="2811"/><c r="EW2" s="2811"/><c r="EX2" s="2811"/><c r="EY2" s="2811"/><c r="EZ2" s="2811"/><c r="FA2" s="2811"/><c r="FB2" s="2811"/><c r="FC2" s="2811"/><c r="FD2" s="2811"/><c r="FE2" s="2811"/><c r="FF2" s="2811"/><c r="FG2" s="2811"/><c r="FH2" s="2811"/><c r="FI2" s="2811"/><c r="FJ2" s="2811"/><c r="FK2" s="2811"/><c r="FL2" s="2811"/><c r="FM2" s="2811"/><c r="FN2" s="2811"/><c r="FO2" s="2811"/><c r="FP2" s="2811"/><c r="FQ2" s="2811"/><c r="FR2" s="2811"/><c r="FS2" s="2811"/><c r="FT2" s="2811"/><c r="FU2" s="2811"/><c r="FV2" s="2811"/><c r="FW2" s="2811"/><c r="FX2" s="2811"/><c r="FY2" s="2811"/><c r="FZ2" s="2811"/><c r="GA2" s="2811"/><c r="GB2" s="2811"/><c r="GC2" s="2811"/><c r="GD2" s="2811"/><c r="GE2" s="2811"/><c r="GF2" s="2811"/><c r="GG2" s="2811"/><c r="GH2" s="2811"/><c r="GI2" s="2811"/><c r="GJ2" s="2811"/><c r="GK2" s="2811"/><c r="GL2" s="2811"/><c r="GM2" s="2811"/><c r="GN2" s="2811"/><c r="GO2" s="2811"/><c r="GP2" s="2811"/><c r="GQ2" s="2811"/><c r="GR2" s="2811"/><c r="GS2" s="2811"/><c r="GT2" s="2811"/><c r="GU2" s="2811"/><c r="GV2" s="2811"/><c r="GW2" s="2811"/><c r="GX2" s="2811"/><c r="GY2" s="2811"/><c r="GZ2" s="2811"/><c r="HA2" s="2811"/><c r="HB2" s="2811"/><c r="HC2" s="2811"/><c r="HD2" s="2811"/><c r="HE2" s="2811"/><c r="HF2" s="2811"/><c r="HG2" s="2811"/><c r="HH2" s="2811"/><c r="HI2" s="2811"/><c r="HJ2" s="2811"/><c r="HK2" s="2811"/><c r="HL2" s="2811"/><c r="HM2" s="2811"/><c r="HN2" s="2811"/><c r="HO2" s="2811"/><c r="HP2" s="2811"/><c r="HQ2" s="2811"/><c r="HR2" s="2811"/><c r="HS2" s="2811"/><c r="HT2" s="2811"/><c r="HU2" s="2811"/><c r="HV2" s="2811"/><c r="HW2" s="2811"/><c r="HX2" s="2811"/><c r="HY2" s="2811"/><c r="HZ2" s="2811"/><c r="IA2" s="2811"/><c r="IB2" s="2811"/><c r="IC2" s="2811"/><c r="ID2" s="2811"/><c r="IE2" s="2811"/><c r="IF2" s="2811"/><c r="IG2" s="2811"/><c r="IH2" s="2811"/><c r="II2" s="2811"/><c r="IJ2" s="2811"/><c r="IK2" s="2811"/><c r="IL2" s="2811"/><c r="IM2" s="2811"/><c r="IN2" s="2811"/><c r="IO2" s="2811"/><c r="IP2" s="2811"/><c r="IQ2" s="2811"/><c r="IR2" s="2811"/><c r="IS2" s="2811"/><c r="IT2" s="2811"/><c r="IU2" s="2811"/><c r="IV2" s="2811"/></row><row r="3" spans="1:256" ht="21" customHeight="1"><c r="A3" s="1735"/><c r="B3" s="3284"/><c r="C3" s="514"/><c r="D3" s="1098"/><c r="E3" s="1098"/><c r="F3" s="1098"/><c r="G3" s="1098"/><c r="H3" s="1098"/><c r="I3" s="1098"/><c r="J3" s="1098"/><c r="K3" s="1098"/><c r="L3" s="1098"/></row><row r="4" spans="1:256" ht="21" customHeight="1"><c r="A4" s="1736"/><c r="B4" s="1280"/><c r="D4" s="1098"/><c r="E4" s="1098"/><c r="F4" s="1544" t="s"><v>941</v></c><c r="G4" s="1098"/><c r="H4" s="1098"/><c r="I4" s="1098"/><c r="J4" s="1098"/><c r="K4" s="1098"/><c r="L4" s="1098"/><c r="O4" s="1098"/></row><row r="5" spans="1:256" ht="21" customHeight="1"><c r="A5" s="1736"/><c r="B5" s="62" t="s"><v>1</v></c><c r="E5" s="1098"/><c r="F5" s="1544" t="s"><v>942</v></c><c r="G5" s="1098"/><c r="H5" s="1098"/><c r="I5" s="1098"/><c r="J5" s="1098"/><c r="K5" s="1098"/><c r="L5" s="1098"/><c r="M5" s="1737"/><c r="N5" s="1738"/><c r="O5" s="1098"/></row><row r="6" spans="1:256" ht="21" customHeight="1"><c r="A6" s="1736"/><c r="B6" s="62" t="s"><v>452</v></c><c r="D6" s="1098"/><c r="E6" s="1098"/><c r="F6" s="1544" t="s"><v>1001</v></c><c r="G6" s="1739"><v>173738.1</v></c><c r="H6" s="1740" t="s"><v>570</v></c><c r="I6" s="1740"/><c r="J6" s="1544"/><c r="K6" s="1544" t="str"><f>CONCATENATE("Volume of Tanks for Loading (",ROUND((L6*100)/G6,1)," %) : ")</f><v xml:space="preserve">Volume of Tanks for Loading (98 %) : </v></c><c r="L6" s="3313"><v>170263.4</v></c><c r="M6" s="3314"/><c r="N6" s="1740" t="s"><v>570</v></c><c r="O6" s="1098"/><c r="Q6" s="2459" t="s"><v>1186</v></c></row><row r="7" spans="1:256" ht="21" customHeight="1"><c r="A7" s="1736"/><c r="B7" s="62" t="s"><v>239</v></c><c r="F7" s="1544" t="str"><f>IF($AG$93=1,"Volume of Tanks (100%) : ","")</f><v xml:space="preserve">Volume of Tanks (100%) : </v></c><c r="G7" s="2460"><f>IF($AG$93=1,G6*6.28981,"")</f><v>1092779.638761</v></c><c r="H7" s="2458" t="str"><f>IF($AG$93=1," Bbls","")</f><v xml:space="preserve"> Bbls</v></c><c r="I7" s="2458"/><c r="J7" s="1098"/><c r="K7" s="1544" t="str"><f>IF($AG$93=1,CONCATENATE("Volume of Tanks for Loading (",ROUND((L7*100)/G7,1)," %) : "),"")</f><v xml:space="preserve">Volume of Tanks for Loading (98 %) : </v></c><c r="L7" s="3315"><f>IF($AG$93=1,L6*6.28981,"")</f><v>1070924.4359539999</v></c><c r="M7" s="3315"/><c r="N7" s="2458" t="str"><f>IF($AG$93=1," Bbls","")</f><v xml:space="preserve"> Bbls</v></c></row><row r="8" spans="1:256" ht="21" customHeight="1"><c r="A8" s="1736"/><c r="B8" s="146" t="s"><v>1263</v></c><c r="D8" s="1761" t="s"><v>1069</v></c></row><row r="9" spans="1:256" ht="21" customHeight="1"><c r="A9" s="1736"/><c r="B9" s="145" t="s"><v>486</v></c><c r="D9" s="1098"/><c r="G9" s="1545" t="s"><v>1002</v></c><c r="H9" s="1742" t="s"><v>944</v></c><c r="I9" s="1742" t="s"><v>944</v></c><c r="J9" s="1742" t="s"><v>945</v></c><c r="K9" s="1545" t="s"><v>946</v></c><c r="L9" s="1742" t="s"><v>944</v></c><c r="N9" s="1742" t="s"><v>944</v></c><c r="O9" s="1742" t="s"><v>945</v></c><c r="P9" s="1545" t="s"><v>946</v></c></row><row r="10" spans="1:256" ht="21" customHeight="1"><c r="A10" s="1736"/><c r="B10" s="145" t="s"><v>487</v></c><c r="D10" s="1098"/><c r="E10" s="1545" t="str"><f>AH93</f><v>API</v></c><c r="F10" s="1742" t="s"><v>1003</v></c><c r="G10" s="1545" t="str"><f>IF(AG145=3,"MT","VOLUME")</f><v>MT</v></c><c r="H10" s="1743" t="s"><v>1004</v></c><c r="I10" s="1743" t="str"><f>CONCATENATE("@",F14,F11)</f><v>@15° F</v></c><c r="J10" s="1743" t="str"><f>IF($AG$93=1,"@60°F","@15°C")</f><v>@60°F</v></c><c r="K10" s="1744"/><c r="L10" s="1743" t="str"><f>CONCATENATE("@",F14,F11)</f><v>@15° F</v></c><c r="N10" s="1745" t="s"><v>947</v></c><c r="O10" s="1745" t="s"><v>947</v></c><c r="P10" s="1745" t="s"><v>947</v></c></row><row r="11" spans="1:256" ht="21" customHeight="1"><c r="A11" s="1736"/><c r="B11" s="145" t="s"><v>1273</v></c><c r="D11" s="1098"/><c r="E11" s="1746" t="str"><f>IF(AG93=1,"","( kg/m³ )")</f><v/></c><c r="F11" s="1747" t="str"><f>IF(AG93=1,"° F","° C")</f><v>° F</v></c><c r="G11" s="1746"/><c r="H11" s="1743" t="str"><f>IF($AG$93=1,"(Bbls)","(m3)")</f><v>(Bbls)</v></c><c r="I11" s="1743" t="str"><f>IF($AG$93=1,"(Bbls)","(m3)")</f><v>(Bbls)</v></c><c r="J11" s="1743" t="str"><f>IF($AG$93=1,"(Bbls)","(m3)")</f><v>(Bbls)</v></c><c r="K11" s="1748"/><c r="L11" s="1743" t="s"><v>1005</v></c><c r="N11" s="1749"/><c r="O11" s="1749"/><c r="P11" s="1749"/></row><row r="12" spans="1:256" ht="21" customHeight="1"><c r="A12" s="1736"/><c r="B12" s="145" t="s"><v>1276</v></c><c r="D12" s="1547" t="s"><v>948</v></c><c r="E12" s="1548"><v>27</v></c><c r="F12" s="1750"><v>15</v></c><c r="G12" s="1751"><v>205242</v></c><c r="H12" s="1741"><f>IF($AG$93=1,AO142,AO153)</f><v>1449244</v></c><c r="I12" s="1741"><f t="shared" ref="I12:L13" si="0">IF($AG$93=1,AO144,AO155)</f><v>1421943.1907378335</v></c><c r="J12" s="1741"><f t="shared" si="0"/><v>1449244.5</v></c><c r="K12" s="1752"><f t="shared" si="0"/><v>205242</v></c><c r="L12" s="1753"><f t="shared" si="0"/><v>130.1</v></c><c r="N12" s="1552"><f>(I12*100)/I14</f><v>19.277104755166082</v></c><c r="O12" s="1552"><f>(J12*100)/J14</f><v>19.252707043175104</v></c><c r="P12" s="1552"><f>(K12*100)/K14</f><v>19.876003765209003</v></c></row><row r="13" spans="1:256" ht="21" customHeight="1"><c r="A13" s="1736"/><c r="B13" s="145" t="s"><v>1264</v></c><c r="D13" s="1547" t="s"><v>949</v></c><c r="E13" s="1548"><v>33.4</v></c><c r="F13" s="1750"><v>15</v></c><c r="G13" s="1751"><v>827370</v></c><c r="H13" s="1741"><f>IF($AG$93=1,AO143,AO154)</f><v>6078240</v></c><c r="I13" s="1741"><f t="shared" si="0"/><v>5954388.5188087774</v></c><c r="J13" s="1741"><f t="shared" si="0"/><v>6078239.7999999998</v></c><c r="K13" s="1752"><f t="shared" si="0"/><v>827370</v></c><c r="L13" s="1753"><f t="shared" si="0"/><v>544.9</v></c><c r="N13" s="1552"><f>(I13*100)/I14</f><v>80.722895244833921</v></c><c r="O13" s="1552"><f>(J13*100)/J14</f><v>80.747292956824907</v></c><c r="P13" s="1552"><f>(K13*100)/K14</f><v>80.123996234790994</v></c></row><row r="14" spans="1:256" ht="21" customHeight="1"><c r="A14" s="1736"/><c r="B14" s="145" t="s"><v>1265</v></c><c r="D14" s="1754" t="s"><v>950</v></c><c r="E14" s="1755"><f>IF($AG$93=1,AH153,AI153)</f><v>32.17</v></c><c r="F14" s="1756"><f>IF($AG$93=1,AH158,AI158)</f><v>15</v></c><c r="G14" s="1757"><f t="shared" ref="G14:L14" si="1">SUM(G12:G13)</f><v>1032612</v></c><c r="H14" s="1758"><f t="shared" si="1"/><v>7527484</v></c><c r="I14" s="1758"><f t="shared" si="1"/><v>7376331.7095466107</v></c><c r="J14" s="1758"><f t="shared" si="1"/><v>7527484.2999999998</v></c><c r="K14" s="1759"><f t="shared" si="1"/><v>1032612</v></c><c r="L14" s="1760"><f t="shared" si="1"/><v>675</v></c></row><row r="15" spans="1:256" ht="21" customHeight="1"><c r="A15" s="1736"/><c r="B15" s="147" t="s"><v>1266</v></c><c r="D15" s="1761" t="s"><v>1069</v></c></row><row r="16" spans="1:256" ht="21" customHeight="1"><c r="A16" s="1736"/><c r="B16" s="145" t="s"><v>1267</v></c><c r="D16" s="1098"/><c r="G16" s="1545" t="s"><v>947</v></c><c r="H16" s="1742" t="s"><v>944</v></c><c r="I16" s="1742" t="s"><v>944</v></c><c r="J16" s="1742" t="s"><v>945</v></c><c r="K16" s="1545" t="s"><v>946</v></c><c r="L16" s="1742" t="s"><v>944</v></c><c r="N16" s="1742" t="s"><v>944</v></c><c r="O16" s="1742" t="s"><v>945</v></c><c r="P16" s="1545" t="s"><v>946</v></c></row><row r="17" spans="1:16" ht="21" customHeight="1"><c r="A17" s="1736"/><c r="B17" s="145" t="s"><v>556</v></c><c r="D17" s="1098"/><c r="E17" s="1545" t="str"><f>AH100</f><v>Tab. 6B</v></c><c r="F17" s="1742" t="s"><v>1003</v></c><c r="G17" s="1762" t="str"><f>G10</f><v>MT</v></c><c r="H17" s="1743" t="s"><v>1004</v></c><c r="I17" s="1743" t="str"><f>CONCATENATE("@",F21,F18)</f><v>@15° F</v></c><c r="J17" s="1743" t="str"><f>IF($AG$93=1,"@60°F","@15°C")</f><v>@60°F</v></c><c r="K17" s="1744"/><c r="L17" s="1743" t="str"><f>CONCATENATE("@",F21,F18)</f><v>@15° F</v></c><c r="N17" s="1745" t="s"><v>947</v></c><c r="O17" s="1745" t="s"><v>947</v></c><c r="P17" s="1745" t="s"><v>947</v></c></row><row r="18" spans="1:16" ht="21" customHeight="1"><c r="A18" s="1736"/><c r="B18" s="62" t="s"><v>557</v></c><c r="D18" s="1098"/><c r="E18" s="1746" t="str"><f>IF(AG93=1,"","( kg/m³ )")</f><v/></c><c r="F18" s="1747" t="str"><f>IF(AG93=1,"° F","° C")</f><v>° F</v></c><c r="G18" s="1746" t="str"><f>AH169</f><v>% (MT)</v></c><c r="H18" s="1743" t="str"><f>IF($AG$93=1,"(Bbls)","(m3)")</f><v>(Bbls)</v></c><c r="I18" s="1743" t="str"><f>IF($AG$93=1,"(Bbls)","(m3)")</f><v>(Bbls)</v></c><c r="J18" s="1743" t="str"><f>IF($AG$93=1,"(Bbls)","(m3)")</f><v>(Bbls)</v></c><c r="K18" s="1748"/><c r="L18" s="1743" t="s"><v>1005</v></c><c r="N18" s="1763" t="str"><f>L17</f><v>@15° F</v></c><c r="O18" s="1749"/><c r="P18" s="1749"/></row><row r="19" spans="1:16" ht="21" customHeight="1"><c r="A19" s="1736"/><c r="B19" s="62" t="s"><v>238</v></c><c r="D19" s="1547" t="s"><v>948</v></c><c r="E19" s="1764"><f>E12</f><v>27</v></c><c r="F19" s="1765"><f>F12</f><v>15</v></c><c r="G19" s="1766"><v>20</v></c><c r="H19" s="1741"><f>IF($AG$93=1,AO166,AO177)</f><v>207714</v></c><c r="I19" s="1741"><f t="shared" ref="I19:L20" si="2">IF($AG$93=1,AO168,AO179)</f><v>207713.8932496075</v></c><c r="J19" s="1741"><f t="shared" si="2"/><v>211702</v></c><c r="K19" s="1752"><f t="shared" si="2"/><v>29981.3</v></c><c r="L19" s="1753"><f t="shared" si="2"/><v>19</v></c><c r="N19" s="1552"><f>(I19*100)/I21</f><v>19.39824619190151</v></c><c r="O19" s="1552"><f>(J19*100)/J21</f><v>19.37373195683826</v></c><c r="P19" s="1552"><f>(K19*100)/K21</f><v>20.00001334165853</v></c></row><row r="20" spans="1:16" ht="21" customHeight="1"><c r="A20" s="1736"/><c r="B20" s="62" t="s"><v>1652</v></c><c r="D20" s="1547" t="s"><v>949</v></c><c r="E20" s="1764"><f>E13</f><v>33.4</v></c><c r="F20" s="1765"><f>F13</f><v>15</v></c><c r="G20" s="1766"><v>80</v></c><c r="H20" s="1741"><f>IF($AG$93=1,AO167,AO178)</f><v>863073</v></c><c r="I20" s="1741"><f t="shared" si="2"/><v>863073.07993730414</v></c><c r="J20" s="1741"><f t="shared" si="2"/><v>881025</v></c><c r="K20" s="1752"><f t="shared" si="2"/><v>119925.1</v></c><c r="L20" s="1753"><f t="shared" si="2"/><v>79</v></c><c r="N20" s="1552"><f>(I20*100)/I21</f><v>80.601753808098493</v></c><c r="O20" s="1552"><f>(J20*100)/J21</f><v>80.626268043161744</v></c><c r="P20" s="1552"><f>(K20*100)/K21</f><v>79.99998665834147</v></c></row><row r="21" spans="1:16" ht="21" customHeight="1"><c r="A21" s="1736"/><c r="B21" s="62" t="s"><v>1653</v></c><c r="D21" s="1754" t="s"><v>950</v></c><c r="E21" s="1755"><f>IF($AG$93=1,AH177,AI177)</f><v>32.119999999999997</v></c><c r="F21" s="1756"><f>IF($AG$93=1,AH182,AI182)</f><v>15</v></c><c r="G21" s="1757"/><c r="H21" s="1758"><f>SUM(H19:H20)</f><v>1070787</v></c><c r="I21" s="1758"><f>SUM(I19:I20)</f><v>1070786.9731869115</v></c><c r="J21" s="1758"><f>SUM(J19:J20)</f><v>1092727</v></c><c r="K21" s="1759"><f>SUM(K19:K20)</f><v>149906.4</v></c><c r="L21" s="1760"><f>SUM(L19:L20)</f><v>98</v></c></row><row r="22" spans="1:16" ht="21" customHeight="1"><c r="A22" s="1736"/><c r="B22" s="62" t="s"><v>40</v></c><c r="D22" s="1761" t="s"><v>1069</v></c></row><row r="23" spans="1:16" ht="21" customHeight="1"><c r="A23" s="1736"/><c r="B23" s="62" t="s"><v>238</v></c></row><row r="24" spans="1:16" ht="21" customHeight="1"><c r="A24" s="1736"/><c r="B24" s="62" t="s"><v>39</v></c></row><row r="25" spans="1:16" ht="21" customHeight="1"><c r="A25" s="1736"/><c r="B25" s="62" t="s"><v>38</v></c></row><row r="26" spans="1:16" ht="21" customHeight="1"><c r="A26" s="1736"/><c r="B26" s="62"/></row><row r="27" spans="1:16" ht="18.75" customHeight="1"><c r="A27" s="1736"/><c r="B27" s="62"/></row><row r="28" spans="1:16" ht="18.75" customHeight="1"><c r="A28" s="1736"/><c r="B28" s="565"/></row><row r="29" spans="1:16" ht="18.75" customHeight="1"><c r="A29" s="1736"/><c r="B29" s="565"/></row><row r="30" spans="1:16" ht="18.75" customHeight="1"><c r="A30" s="1736"/><c r="B30" s="1577"/></row><row r="31" spans="1:16" ht="18.75" customHeight="1"><c r="A31" s="1736"/></row><row r="32" spans="1:16"><c r="A32" s="1736"/></row><row r="33" spans="1:20"><c r="A33" s="1736"/></row><row r="34" spans="1:20"><c r="A34" s="1736"/></row><row r="35" spans="1:20"><c r="A35" s="1736"/></row><row r="36" spans="1:20"><c r="A36" s="1736"/></row><row r="37" spans="1:20"><c r="A37" s="1736"/></row><row r="38" spans="1:20"><c r="A38" s="1736"/></row><row r="39" spans="1:20"><c r="A39" s="1736"/></row><row r="40" spans="1:20"><c r="A40" s="1736"/><c r="Q40" s="1098"/><c r="R40" s="1098"/><c r="S40" s="1098"/><c r="T40" s="1098"/></row><row r="41" spans="1:20"><c r="A41" s="1736"/><c r="Q41" s="1098"/><c r="R41" s="1098"/><c r="S41" s="1098"/><c r="T41" s="1098"/></row><row r="42" spans="1:20"><c r="A42" s="1736"/><c r="Q42" s="1098"/><c r="R42" s="1098"/><c r="S42" s="1098"/><c r="T42" s="1098"/></row><row r="43" spans="1:20"><c r="A43" s="1736"/><c r="Q43" s="1098"/><c r="R43" s="1098"/><c r="S43" s="1098"/><c r="T43" s="1098"/></row><row r="44" spans="1:20"><c r="A44" s="1736"/><c r="Q44" s="1098"/><c r="R44" s="1098"/><c r="S44" s="1098"/><c r="T44" s="1098"/></row><row r="45" spans="1:20"><c r="A45" s="1736"/><c r="Q45" s="1098"/><c r="R45" s="1098"/><c r="S45" s="1098"/><c r="T45" s="1098"/></row><row r="46" spans="1:20" ht="38.25" customHeight="1"><c r="A46" s="1736"/><c r="Q46" s="1098"/><c r="R46" s="1098"/><c r="S46" s="1098"/><c r="T46" s="1098"/></row><row r="47" spans="1:20"><c r="A47" s="1736"/><c r="Q47" s="1098"/><c r="R47" s="1098"/><c r="S47" s="1098"/><c r="T47" s="1098"/></row><row r="48" spans="1:20"><c r="A48" s="1736"/><c r="Q48" s="1098"/><c r="R48" s="1098"/><c r="S48" s="1098"/><c r="T48" s="1098"/></row><row r="49" spans="1:20"><c r="A49" s="1736"/><c r="Q49" s="1098"/><c r="R49" s="1098"/><c r="S49" s="1098"/><c r="T49" s="1098"/></row><row r="50" spans="1:20"><c r="A50" s="1736"/><c r="E50" s="1098"/><c r="F50" s="1098"/><c r="G50" s="1098"/><c r="H50" s="1098"/><c r="I50" s="1098"/><c r="J50" s="1098"/><c r="K50" s="1098"/><c r="L50" s="1098"/><c r="M50" s="1098"/><c r="N50" s="1098"/><c r="Q50" s="1098"/><c r="R50" s="1098"/><c r="S50" s="1098"/><c r="T50" s="1098"/></row><row r="51" spans="1:20"><c r="A51" s="1736"/><c r="E51" s="1098"/><c r="F51" s="1098"/><c r="G51" s="1098"/><c r="H51" s="1098"/><c r="I51" s="1098"/><c r="J51" s="1098"/><c r="K51" s="1098"/><c r="L51" s="1098"/><c r="M51" s="1098"/><c r="N51" s="1098"/><c r="O51" s="1098"/><c r="P51" s="1098"/><c r="Q51" s="1098"/><c r="R51" s="1098"/><c r="S51" s="1098"/><c r="T51" s="1098"/></row><row r="52" spans="1:20"><c r="A52" s="1736"/><c r="E52" s="1098"/><c r="F52" s="1098"/><c r="G52" s="1098"/><c r="H52" s="1098"/><c r="I52" s="1098"/><c r="J52" s="1098"/><c r="K52" s="1098"/><c r="L52" s="1098"/><c r="M52" s="1098"/><c r="N52" s="1098"/><c r="O52" s="1098"/><c r="P52" s="1098"/><c r="Q52" s="1098"/><c r="R52" s="1098"/><c r="S52" s="1098"/><c r="T52" s="1098"/></row><row r="53" spans="1:20"><c r="A53" s="1736"/><c r="E53" s="1098"/><c r="F53" s="1098"/><c r="G53" s="1098"/><c r="H53" s="1098"/><c r="I53" s="1098"/><c r="J53" s="1098"/><c r="K53" s="1098"/><c r="L53" s="1098"/><c r="M53" s="1098"/><c r="N53" s="1098"/><c r="O53" s="1098"/><c r="P53" s="1098"/><c r="Q53" s="1098"/><c r="R53" s="1098"/><c r="S53" s="1098"/><c r="T53" s="1098"/></row><row r="54" spans="1:20"><c r="A54" s="1736"/><c r="E54" s="1098"/><c r="F54" s="1098"/><c r="G54" s="1098"/><c r="H54" s="1098"/><c r="I54" s="1098"/><c r="J54" s="1098"/><c r="K54" s="1098"/><c r="L54" s="1098"/><c r="M54" s="1098"/><c r="N54" s="1098"/><c r="O54" s="1098"/><c r="P54" s="1098"/><c r="Q54" s="1098"/><c r="R54" s="1098"/><c r="S54" s="1098"/><c r="T54" s="1098"/></row><row r="55" spans="1:20" ht="38.25" customHeight="1"><c r="A55" s="1736"/><c r="E55" s="1098"/><c r="F55" s="1098"/><c r="G55" s="1098"/><c r="H55" s="1098"/><c r="I55" s="1098"/><c r="J55" s="1098"/><c r="K55" s="1098"/><c r="L55" s="1098"/><c r="M55" s="1098"/><c r="N55" s="1098"/><c r="O55" s="1098"/><c r="P55" s="1098"/><c r="Q55" s="1098"/><c r="R55" s="1098"/><c r="S55" s="1098"/><c r="T55" s="1098"/></row><row r="56" spans="1:20"><c r="A56" s="1736"/><c r="O56" s="1098"/><c r="P56" s="1098"/><c r="Q56" s="1098"/><c r="R56" s="1098"/><c r="S56" s="1098"/><c r="T56" s="1098"/></row><row r="57" spans="1:20"><c r="A57" s="1736"/><c r="Q57" s="1098"/><c r="R57" s="1098"/><c r="S57" s="1098"/><c r="T57" s="1098"/></row><row r="58" spans="1:20"><c r="A58" s="1736"/><c r="Q58" s="1098"/><c r="R58" s="1098"/><c r="S58" s="1098"/><c r="T58" s="1098"/></row><row r="59" spans="1:20"><c r="A59" s="1736"/><c r="Q59" s="1098"/><c r="R59" s="1098"/><c r="S59" s="1098"/><c r="T59" s="1098"/></row><row r="60" spans="1:20"><c r="A60" s="1736"/></row><row r="61" spans="1:20"><c r="A61" s="1736"/></row><row r="62" spans="1:20"><c r="A62" s="1736"/></row><row r="63" spans="1:20"><c r="A63" s="1736"/></row><row r="64" spans="1:20"><c r="A64" s="1736"/></row><row r="65" spans="1:1"><c r="A65" s="1736"/></row><row r="66" spans="1:1"><c r="A66" s="1736"/></row><row r="67" spans="1:1"><c r="A67" s="1736"/></row><row r="68" spans="1:1"><c r="A68" s="1736"/></row><row r="69" spans="1:1"><c r="A69" s="1736"/></row><row r="70" spans="1:1"><c r="A70" s="1736"/></row><row r="71" spans="1:1"><c r="A71" s="1736"/></row><row r="72" spans="1:1"><c r="A72" s="1736"/></row><row r="73" spans="1:1"><c r="A73" s="1736"/></row><row r="74" spans="1:1"><c r="A74" s="1736"/></row><row r="75" spans="1:1"><c r="A75" s="1736"/></row><row r="76" spans="1:1"><c r="A76" s="1736"/></row><row r="77" spans="1:1"><c r="A77" s="1736"/></row><row r="78" spans="1:1"><c r="A78" s="1736"/></row><row r="79" spans="1:1"><c r="A79" s="1736"/></row><row r="80" spans="1:1"><c r="A80" s="1736"/></row><row r="81" spans="1:58"><c r="A81" s="1736"/></row><row r="82" spans="1:58"><c r="A82" s="1736"/></row><row r="83" spans="1:58"><c r="A83" s="1736"/></row><row r="84" spans="1:58"><c r="A84" s="1736"/></row><row r="85" spans="1:58"><c r="A85" s="1736"/></row><row r="86" spans="1:58"><c r="A86" s="1736"/></row><row r="87" spans="1:58"><c r="A87" s="1736"/></row><row r="88" spans="1:58"><c r="A88" s="1736"/><c r="AC88" s="566" t="s"><v>952</v></c><c r="AG88" s="566" t="s"><v>952</v></c><c r="AK88" s="566" t="s"><v>952</v></c><c r="AY88" s="566" t="s"><v>952</v></c></row><row r="89" spans="1:58"><c r="A89" s="1736"/></row><row r="90" spans="1:58" ht="13.15"><c r="A90" s="1736"/><c r="AB90" s="1768"/><c r="AC90" s="1769" t="s"><v>632</v></c><c r="AD90" s="1770"/><c r="AE90" s="1770"/><c r="AF90" s="1770"/><c r="AG90" s="1771"/><c r="AH90" s="1769" t="s"><v>632</v></c><c r="AI90" s="1770"/><c r="AJ90" s="1770"/><c r="AK90" s="1770"/><c r="AL90" s="1770"/><c r="AM90" s="1769" t="s"><v>632</v></c><c r="AN90" s="1770"/><c r="AO90" s="1770"/><c r="AP90" s="1770"/><c r="AQ90" s="1770"/><c r="AR90" s="1769" t="s"><v>632</v></c><c r="AS90" s="1770"/><c r="AT90" s="1770"/><c r="AU90" s="1770"/><c r="AV90" s="1770"/><c r="AW90" s="1770"/><c r="AX90" s="1770"/><c r="AY90" s="1770"/><c r="AZ90" s="1769" t="s"><v>632</v></c><c r="BA90" s="1770"/><c r="BB90" s="1770"/><c r="BC90" s="1770"/><c r="BD90" s="1770"/><c r="BE90" s="1770"/><c r="BF90" s="1772"/></row><row r="91" spans="1:58"><c r="A91" s="1736"/><c r="AB91" s="1773"/><c r="AC91" s="1774"/><c r="AD91" s="1774"/><c r="AE91" s="1774"/><c r="AF91" s="1774"/><c r="AG91" s="1774"/><c r="BF91" s="1775"/></row><row r="92" spans="1:58" ht="13.15"><c r="A92" s="1736"/><c r="AB92" s="2472" t="s"><v>1006</v></c><c r="AC92" s="2473"/><c r="AD92" s="2473"/><c r="AE92" s="2474"/><c r="AG92" s="2469" t="s"><v>955</v></c><c r="AH92" s="2470"/><c r="AI92" s="2470"/><c r="AK92" s="2270"/><c r="AL92" s="2271" t="s"><v>576</v></c><c r="AM92" s="2272"/><c r="AN92" s="2271" t="s"><v>203</v></c><c r="AO92" s="2273"/><c r="AP92" s="2274"/><c r="AQ92" s="2275"/><c r="AR92" s="2275"/><c r="AS92" s="2275"/><c r="AT92" s="2275"/><c r="AU92" s="2275"/><c r="AV92" s="2276"/><c r="AW92" s="2277" t="s"><v>204</v></c><c r="AY92" s="1996" t="s"><v>11</v></c><c r="AZ92" s="1997"/><c r="BA92" s="1997"/><c r="BC92" s="1998" t="s"><v>12</v></c><c r="BD92" s="2342"/><c r="BE92" s="1999"/><c r="BF92" s="1775"/></row><row r="93" spans="1:58" ht="13.15"><c r="A93" s="1736"/><c r="AB93" s="1776" t="s"><v>953</v></c><c r="AC93" s="1777" t="s"><v>954</v></c><c r="AD93" s="1777"/><c r="AE93" s="1778"><f>AH151</f><v>27</v></c><c r="AG93" s="1779"><v>1</v></c><c r="AH93" s="1780" t="str"><f>VLOOKUP(AG93,AG94:AH95,2)</f><v>API</v></c><c r="AI93" s="1781"/><c r="AK93" s="2278"/><c r="AL93" s="2279" t="s"><v>18</v></c><c r="AM93" s="2279" t="s"><v>205</v></c><c r="AN93" s="2280" t="s"><v>18</v></c><c r="AO93" s="2281" t="s"><v>205</v></c><c r="AP93" s="2282"/><c r="AQ93" s="2283"/><c r="AR93" s="2283"/><c r="AS93" s="2283"/><c r="AT93" s="2283"/><c r="AU93" s="2283"/><c r="AV93" s="2284"/><c r="AW93" s="2285" t="s"><v>208</v></c><c r="AY93" s="2339" t="s"><v>18</v></c><c r="AZ93" s="2339" t="s"><v>19</v></c><c r="BA93" s="2339" t="s"><v>20</v></c><c r="BC93" s="2339" t="s"><v>20</v></c><c r="BD93" s="2339" t="s"><v>19</v></c><c r="BE93" s="2339" t="s"><v>18</v></c><c r="BF93" s="1775"/></row><row r="94" spans="1:58" ht="13.15"><c r="AB94" s="1599" t="s"><v>958</v></c><c r="AC94" s="1600" t="s"><v>959</v></c><c r="AD94" s="1600"/><c r="AE94" s="1601"><f>AH156</f><v>15</v></c><c r="AG94" s="1612"><v>1</v></c><c r="AH94" s="1783" t="s"><v>18</v></c><c r="AI94" s="1784"/><c r="AK94" s="1785" t="s"><v>948</v></c><c r="AL94" s="1786"><f>AH151</f><v>27</v></c><c r="AM94" s="1787"><f>AH156</f><v>15</v></c><c r="AN94" s="1788"><f t="shared" ref="AN94:AO99" si="3">FLOOR(AL94,1)+IF(MOD(AL94,1)&lt;0.26,0,IF(MOD(AL94,1)&lt;0.76,0.5,1))</f><v>27</v></c><c r="AO94" s="1789"><f t="shared" si="3"/><v>15</v></c><c r="AP94" s="1790"/><c r="AQ94" s="1790"/><c r="AR94" s="1790"/><c r="AS94" s="1790"/><c r="AT94" s="1790"/><c r="AU94" s="1790"/><c r="AV94" s="1790"/><c r="AW94" s="1791"><f t="shared" ref="AW94:AW99" si="4">ROUND(EXP((341.0957/(141.5*999.012/(AN94+131.5))^2)*(AO94-60)*(1+0.8*(341.0957/(141.5*999.012/(AN94+131.5))^2)*(AO94-60))*-1),4)</f><v>1.0192000000000001</v></c><c r="AY94" s="2340" t="s"><v>26</v></c><c r="AZ94" s="2340" t="s"><v>20</v></c><c r="BA94" s="2340" t="s"><v>27</v></c><c r="BC94" s="2340" t="s"><v>27</v></c><c r="BD94" s="2340" t="s"><v>20</v></c><c r="BE94" s="2340" t="s"><v>26</v></c><c r="BF94" s="1775"/></row><row r="95" spans="1:58" ht="13.15"><c r="AB95" s="1599" t="s"><v>960</v></c><c r="AC95" s="1600" t="s"><v>961</v></c><c r="AD95" s="1600"/><c r="AE95" s="1611"><f>AO142</f><v>1449244</v></c><c r="AG95" s="1624"><v>2</v></c><c r="AH95" s="1792" t="s"><v>20</v></c><c r="AI95" s="1793"/><c r="AK95" s="1785" t="s"><v>949</v></c><c r="AL95" s="1786"><f>AH152</f><v>33.4</v></c><c r="AM95" s="1787"><f>AH157</f><v>15</v></c><c r="AN95" s="1788"><f t="shared" si="3"/><v>33.5</v></c><c r="AO95" s="1789"><f t="shared" si="3"/><v>15</v></c><c r="AP95" s="1794"/><c r="AQ95" s="1794"/><c r="AR95" s="1794"/><c r="AS95" s="1794"/><c r="AT95" s="1794"/><c r="AU95" s="1794"/><c r="AV95" s="1794"/><c r="AW95" s="1795"><f t="shared" si="4"/><v>1.0207999999999999</v></c><c r="AY95" s="2340" t="s"><v>27</v></c><c r="AZ95" s="2340" t="s"><v>27</v></c><c r="BA95" s="2340" t="s"><v>27</v></c><c r="BC95" s="2340" t="s"><v>27</v></c><c r="BD95" s="2340" t="s"><v>27</v></c><c r="BE95" s="2340" t="s"><v>27</v></c><c r="BF95" s="1775"/></row><row r="96" spans="1:58" ht="13.15"><c r="AB96" s="1599" t="s"><v>958</v></c><c r="AC96" s="1600" t="s"><v>962</v></c><c r="AD96" s="1600"/><c r="AE96" s="1611"><f>AP142</f><v>1449244.5</v></c><c r="AF96" s="1796"/><c r="AK96" s="1615" t="s"><v>1007</v></c><c r="AL96" s="1786"><f>AH151</f><v>27</v></c><c r="AM96" s="1787"><f>AH158</f><v>15</v></c><c r="AN96" s="1788"><f t="shared" si="3"/><v>27</v></c><c r="AO96" s="1789"><f t="shared" si="3"/><v>15</v></c><c r="AP96" s="1794"/><c r="AQ96" s="1794"/><c r="AR96" s="1794"/><c r="AS96" s="1794"/><c r="AT96" s="1794"/><c r="AU96" s="1794"/><c r="AV96" s="1794"/><c r="AW96" s="1795"><f t="shared" si="4"/><v>1.0192000000000001</v></c><c r="AY96" s="2341" t="s"><v>32</v></c><c r="AZ96" s="2341" t="s"><v>33</v></c><c r="BA96" s="2341" t="s"><v>31</v></c><c r="BC96" s="2341" t="s"><v>34</v></c><c r="BD96" s="2341" t="s"><v>35</v></c><c r="BE96" s="2341" t="s"><v>32</v></c><c r="BF96" s="1775"/></row><row r="97" spans="28:58" ht="13.15"><c r="AB97" s="1599" t="s"><v>964</v></c><c r="AC97" s="1600" t="s"><v>965</v></c><c r="AD97" s="1600"/><c r="AE97" s="1634"><f>AH152</f><v>33.4</v></c><c r="AG97" s="2469" t="s"><v>975</v></c><c r="AH97" s="2471"/><c r="AI97" s="2470"/><c r="AK97" s="1615" t="s"><v>1008</v></c><c r="AL97" s="1786"><f>AH152</f><v>33.4</v></c><c r="AM97" s="1617"><f>AH158</f><v>15</v></c><c r="AN97" s="1788"><f t="shared" si="3"/><v>33.5</v></c><c r="AO97" s="1789"><f t="shared" si="3"/><v>15</v></c><c r="AP97" s="1794"/><c r="AQ97" s="1794"/><c r="AR97" s="1794"/><c r="AS97" s="1794"/><c r="AT97" s="1794"/><c r="AU97" s="1794"/><c r="AV97" s="1794"/><c r="AW97" s="1795"><f t="shared" si="4"/><v>1.0207999999999999</v></c><c r="AY97" s="1797"><f>VLOOKUP(AY98,AY121:AY971,TRUE)</f><v>27</v></c><c r="AZ97" s="1798"><f>VLOOKUP(AY97,AY121:AZ971,2)</f><v>0.89270000000000005</v></c><c r="BA97" s="1799"><f>VLOOKUP(AY97,AY121:BA971,3)</f><v>892.2</v></c><c r="BC97" s="1797"><f>VLOOKUP(BC98,BC121:BC546,TRUE)</f><v>892</v></c><c r="BD97" s="1798"><f>VLOOKUP(BC97,BC121:BD546,2)</f><v>0.89249999999999996</v></c><c r="BE97" s="1800"><f>VLOOKUP(BC97,BC121:BE546,3)</f><v>27.04</v></c><c r="BF97" s="1775"/></row><row r="98" spans="28:58" ht="13.15"><c r="AB98" s="1599" t="s"><v>966</v></c><c r="AC98" s="1600" t="s"><v>967</v></c><c r="AD98" s="1600"/><c r="AE98" s="1601"><f>AH158</f><v>15</v></c><c r="AG98" s="1801"><v>1</v></c><c r="AH98" s="1802" t="str"><f>VLOOKUP(AG98,AG99:AH100,2)</f><v>Tab. 6A</v></c><c r="AI98" s="1781"/><c r="AK98" s="1803" t="s"><v>1009</v></c><c r="AL98" s="1804"><f>AH153</f><v>32.17</v></c><c r="AM98" s="1805"><f>AH158</f><v>15</v></c><c r="AN98" s="1806"><f t="shared" si="3"/><v>32</v></c><c r="AO98" s="1807"><f t="shared" si="3"/><v>15</v></c><c r="AP98" s="1808"/><c r="AQ98" s="1808"/><c r="AR98" s="1808"/><c r="AS98" s="1808"/><c r="AT98" s="1808"/><c r="AU98" s="1808"/><c r="AV98" s="1808"/><c r="AW98" s="1809"><f t="shared" si="4"/><v>1.0204</v></c><c r="AY98" s="1810"><f>IF($AG$93=1,$E$12,BE98)</f><v>27</v></c><c r="AZ98" s="1811"><f>ROUND(AZ97+((AY98-AY97)/(AY99-AY97))*(AZ99-AZ97),4)</f><v>0.89270000000000005</v></c><c r="BA98" s="1812"><f>ROUND(BA97+((AY98-AY97)/(AY99-AY97))*(BA99-BA97),1)</f><v>892.2</v></c><c r="BC98" s="1813"><f>IF($AG$93=2,$E$12,BA98)</f><v>892.2</v></c><c r="BD98" s="1811"><f>ROUND(BD97+((BC98-BC97)/(BC99-BC97))*(BD99-BD97),4)</f><v>0.89270000000000005</v></c><c r="BE98" s="1814"><f>ROUND(BE97+((BC98-BC97)/(BC99-BC97))*(BE99-BE97),2)</f><v>27.01</v></c><c r="BF98" s="1775"/></row><row r="99" spans="28:58" ht="13.15"><c r="AB99" s="1599" t="s"><v>970</v></c><c r="AC99" s="1600" t="s"><v>971</v></c><c r="AD99" s="1600"/><c r="AE99" s="1611"><f>AO146</f><v>7376331.7095466107</v></c><c r="AG99" s="1815"><v>1</v></c><c r="AH99" s="1816" t="str"><f>IF(AG93=1,AH101,AH103)</f><v>Tab. 6A</v></c><c r="AI99" s="1817"/><c r="AK99" s="1803" t="s"><v>1010</v></c><c r="AL99" s="1818"><f>AH177</f><v>32.119999999999997</v></c><c r="AM99" s="1819"><f>AH182</f><v>15</v></c><c r="AN99" s="1806"><f t="shared" si="3"/><v>32</v></c><c r="AO99" s="1807"><f t="shared" si="3"/><v>15</v></c><c r="AP99" s="1808"/><c r="AQ99" s="1808"/><c r="AR99" s="1808"/><c r="AS99" s="1808"/><c r="AT99" s="1808"/><c r="AU99" s="1808"/><c r="AV99" s="1808"/><c r="AW99" s="1809"><f t="shared" si="4"/><v>1.0204</v></c><c r="AY99" s="1797"><f>INDEX(AY121:AY971,(MATCH(AY97,AY121:AY971,1)+1))</f><v>27.1</v></c><c r="AZ99" s="1798"><f>VLOOKUP(AY99,AY121:AZ971,2)</f><v>0.89219999999999999</v></c><c r="BA99" s="1799"><f>VLOOKUP(AY99,AY121:BA971,3)</f><v>891.7</v></c><c r="BC99" s="1797"><f>INDEX(BC121:BC546,(MATCH(BC97,BC121:BC546,1)+1))</f><v>893</v></c><c r="BD99" s="1798"><f>VLOOKUP(BC99,BC121:BD546,2)</f><v>0.89349999999999996</v></c><c r="BE99" s="1800"><f>VLOOKUP(BC99,BC121:BE546,3)</f><v>26.87</v></c><c r="BF99" s="1775"/></row><row r="100" spans="28:58" ht="13.15"><c r="AB100" s="1599" t="s"><v>972</v></c><c r="AC100" s="1600" t="s"><v>973</v></c><c r="AD100" s="1600" t="s"><v>974</v></c><c r="AE100" s="1663"><f>AS144</f><v>1.0192000000000001</v></c><c r="AG100" s="1820"><v>2</v></c><c r="AH100" s="1821" t="str"><f>IF(AG93=1,AH102,AH104)</f><v>Tab. 6B</v></c><c r="AI100" s="1793"/><c r="AY100" s="1822"/><c r="AZ100" s="1823"/><c r="BA100" s="1824"/><c r="BC100" s="1822"/><c r="BD100" s="1823"/><c r="BE100" s="1823"/><c r="BF100" s="1775"/></row><row r="101" spans="28:58" ht="13.15"><c r="AB101" s="1669" t="s"><v>840</v></c><c r="AC101" s="1600" t="s"><v>976</v></c><c r="AD101" s="1600" t="s"><v>977</v></c><c r="AE101" s="1670"><f>AO144</f><v>1421943.1907378335</v></c><c r="AF101" s="1796"/><c r="AG101" s="1825"><v>1</v></c><c r="AH101" s="1826" t="s"><v>194</v></c><c r="AI101" s="1827"/><c r="AK101" s="2286"/><c r="AL101" s="2287" t="s"><v>576</v></c><c r="AM101" s="2288"/><c r="AN101" s="2289" t="s"><v>209</v></c><c r="AO101" s="2290"/><c r="AP101" s="2291" t="s"><v>210</v></c><c r="AQ101" s="2287" t="s"><v>211</v></c><c r="AR101" s="2292"/><c r="AS101" s="2292"/><c r="AT101" s="2288"/><c r="AU101" s="2291" t="s"><v>211</v></c><c r="AV101" s="2291" t="s"><v>212</v></c><c r="AW101" s="2293" t="s"><v>204</v></c><c r="AY101" s="1797"><f>VLOOKUP(AY102,AY121:AY971,TRUE)</f><v>33.4</v></c><c r="AZ101" s="1798"><f>VLOOKUP(AY101,AY121:AZ971,2)</f><v>0.85809999999999997</v></c><c r="BA101" s="1799"><f>VLOOKUP(AY101,AY121:BA971,3)</f><v>857.6</v></c><c r="BC101" s="1797"><f>VLOOKUP(BC102,BC121:BC546,TRUE)</f><v>857</v></c><c r="BD101" s="1798"><f>VLOOKUP(BC101,BC121:BD546,2)</f><v>0.85750000000000004</v></c><c r="BE101" s="1800"><f>VLOOKUP(BC101,BC121:BE546,3)</f><v>33.520000000000003</v></c><c r="BF101" s="1775"/></row><row r="102" spans="28:58" ht="13.15"><c r="AB102" s="1669" t="s"><v>978</v></c><c r="AC102" s="1600" t="s"><v>979</v></c><c r="AD102" s="1600" t="s"><v>980</v></c><c r="AE102" s="1670"><f>AO145</f><v>5954388.5188087774</v></c><c r="AG102" s="1825"><v>2</v></c><c r="AH102" s="1826" t="s"><v>196</v></c><c r="AI102" s="1827"/><c r="AK102" s="2294"/><c r="AL102" s="2295" t="s"><v>18</v></c><c r="AM102" s="2296" t="s"><v>205</v></c><c r="AN102" s="2297" t="s"><v>18</v></c><c r="AO102" s="2298" t="s"><v>205</v></c><c r="AP102" s="2299"/><c r="AQ102" s="2296" t="s"><v>213</v></c><c r="AR102" s="2296" t="s"><v>214</v></c><c r="AS102" s="2296" t="s"><v>215</v></c><c r="AT102" s="2296" t="s"><v>216</v></c><c r="AU102" s="2299"/><c r="AV102" s="2299"/><c r="AW102" s="2300" t="s"><v>217</v></c><c r="AY102" s="1810"><f>IF($AG$93=1,$E$13,BE102)</f><v>33.4</v></c><c r="AZ102" s="1811"><f>AZ101+((AY102-AY101)/(AY103-AY101))*(AZ103-AZ101)</f><v>0.85809999999999997</v></c><c r="BA102" s="1812"><f>BA101+((AY102-AY101)/(AY103-AY101))*(BA103-BA101)</f><v>857.6</v></c><c r="BC102" s="1813"><f>IF($AG$93=2,$E$13,BA102)</f><v>857.6</v></c><c r="BD102" s="1811"><f>BD101+((BC102-BC101)/(BC103-BC101))*(BD103-BD101)</f><v>0.85810000000000008</v></c><c r="BE102" s="1814"><f>BE101+((BC102-BC101)/(BC103-BC101))*(BE103-BE101)</f><v>33.405999999999999</v></c><c r="BF102" s="1775"/></row><row r="103" spans="28:58" ht="13.15"><c r="AB103" s="1828" t="s"><v>981</v></c><c r="AC103" s="1689" t="s"><v>982</v></c><c r="AD103" s="1690" t="s"><v>983</v></c><c r="AE103" s="1691"><f>IF(AE93="","",(AE101*AE93+AE102*AE97)/AE99)</f><v>32.166265295669369</v></c><c r="AG103" s="1699"><v>3</v></c><c r="AH103" s="1826" t="s"><v>988</v></c><c r="AI103" s="1829"/><c r="AK103" s="1785" t="s"><v>948</v></c><c r="AL103" s="1616"><f>AH151</f><v>27</v></c><c r="AM103" s="1617"><f>AH156</f><v>15</v></c><c r="AN103" s="1686"><f t="shared" ref="AN103:AO108" si="5">FLOOR(AL103,1)+IF(MOD(AL103,1)&lt;0.26,0,IF(MOD(AL103,1)&lt;0.76,0.5,1))</f><v>27</v></c><c r="AO103" s="1830"><f t="shared" si="5"/><v>15</v></c><c r="AP103" s="1607"><f t="shared" ref="AP103:AP108" si="6">(141.5*999.012 )/(AN103+131.5)</f><v>891.86244794952688</v></c><c r="AQ103" s="1607"><f t="shared" ref="AQ103:AQ108" si="7">IF(AN103&lt;37,(103.872/AP103^2)+(0.2701/AP103),0)</f><v>4.3343723153406216E-4</v></c><c r="AR103" s="1607"><f t="shared" ref="AR103:AR108" si="8">IF(AND(AN103&gt;=37,AN103&lt;48),330.301/AP103^2,0)</f><v>0</v></c><c r="AS103" s="1607"><f t="shared" ref="AS103:AS108" si="9">IF(AND(AN103&gt;=48,AN103&lt;52),((1489.067/AP103^2)-0.0018684),0)</f><v>0</v></c><c r="AT103" s="1607"><f t="shared" ref="AT103:AT108" si="10">IF(AND(AN103&gt;=52,AN103&lt;85),(192.4571/AP103^2)+(0.2438/AP103),0)</f><v>0</v></c><c r="AU103" s="1687"><f t="shared" ref="AU103:AU108" si="11">MAX(AQ103:AT103)</f><v>4.3343723153406216E-4</v></c><c r="AV103" s="1607"><f t="shared" ref="AV103:AV108" si="12">1+0.8*AU103*(AO103-60)</f><v>0.98439625966477373</v></c><c r="AW103" s="1688"><f t="shared" ref="AW103:AW108" si="13">ROUND(EXP(AU103*(AO103-60)*AV103*-1),4)</f><v>1.0194000000000001</v></c><c r="AY103" s="1797"><f>INDEX(AY121:AY971,(MATCH(AY101,AY121:AY971,1)+1))</f><v>33.5</v></c><c r="AZ103" s="1798"><f>VLOOKUP(AY103,AY121:AZ971,2)</f><v>0.85760000000000003</v></c><c r="BA103" s="1799"><f>VLOOKUP(AY103,AY121:BA971,3)</f><v>857.1</v></c><c r="BC103" s="1797"><f>INDEX(BC121:BC546,(MATCH(BC101,BC121:BC546,1)+1))</f><v>858</v></c><c r="BD103" s="1798"><f>VLOOKUP(BC103,BC121:BD546,2)</f><v>0.85850000000000004</v></c><c r="BE103" s="1800"><f>VLOOKUP(BC103,BC121:BE546,3)</f><v>33.33</v></c><c r="BF103" s="1775"/></row><row r="104" spans="28:58" ht="13.15"><c r="AB104" s="1796"/><c r="AG104" s="1703"><v>4</v></c><c r="AH104" s="1831" t="s"><v>991</v></c><c r="AI104" s="1832"/><c r="AK104" s="1785" t="s"><v>949</v></c><c r="AL104" s="1616"><f>AH152</f><v>33.4</v></c><c r="AM104" s="1617"><f>AH157</f><v>15</v></c><c r="AN104" s="1686"><f t="shared" si="5"/><v>33.5</v></c><c r="AO104" s="1830"><f t="shared" si="5"/><v>15</v></c><c r="AP104" s="1607"><f t="shared" si="6"/><v>856.72847272727279</v></c><c r="AQ104" s="1607"><f t="shared" si="7"/><v>4.5678721673918915E-4</v></c><c r="AR104" s="1607"><f t="shared" si="8"/><v>0</v></c><c r="AS104" s="1607"><f t="shared" si="9"/><v>0</v></c><c r="AT104" s="1607"><f t="shared" si="10"/><v>0</v></c><c r="AU104" s="1687"><f t="shared" si="11"/><v>4.5678721673918915E-4</v></c><c r="AV104" s="1607"><f t="shared" si="12"/><v>0.98355566019738916</v></c><c r="AW104" s="1688"><f t="shared" si="13"/><v>1.0204</v></c><c r="AY104" s="1822"/><c r="AZ104" s="1823"/><c r="BA104" s="1824"/><c r="BC104" s="1822"/><c r="BD104" s="1823"/><c r="BE104" s="1833"/><c r="BF104" s="1775"/></row><row r="105" spans="28:58" ht="13.15"><c r="AB105" s="1796"/><c r="AK105" s="1615" t="s"><v>1007</v></c><c r="AL105" s="1616"><f>AH151</f><v>27</v></c><c r="AM105" s="1617"><f>AH158</f><v>15</v></c><c r="AN105" s="1686"><f t="shared" si="5"/><v>27</v></c><c r="AO105" s="1830"><f t="shared" si="5"/><v>15</v></c><c r="AP105" s="1607"><f t="shared" si="6"/><v>891.86244794952688</v></c><c r="AQ105" s="1607"><f t="shared" si="7"/><v>4.3343723153406216E-4</v></c><c r="AR105" s="1607"><f t="shared" si="8"/><v>0</v></c><c r="AS105" s="1607"><f t="shared" si="9"/><v>0</v></c><c r="AT105" s="1607"><f t="shared" si="10"/><v>0</v></c><c r="AU105" s="1687"><f t="shared" si="11"/><v>4.3343723153406216E-4</v></c><c r="AV105" s="1607"><f t="shared" si="12"/><v>0.98439625966477373</v></c><c r="AW105" s="1688"><f t="shared" si="13"/><v>1.0194000000000001</v></c><c r="AY105" s="1834" t="s"><v>1011</v></c><c r="AZ105" s="1835"/><c r="BA105" s="1836"/><c r="BC105" s="1834" t="s"><v>1011</v></c><c r="BD105" s="1835"/><c r="BE105" s="1836"/><c r="BF105" s="1775"/></row><row r="106" spans="28:58" ht="13.15"><c r="AB106" s="1796"/><c r="AK106" s="1615" t="s"><v>1008</v></c><c r="AL106" s="1616"><f>AH152</f><v>33.4</v></c><c r="AM106" s="1617"><f>AH158</f><v>15</v></c><c r="AN106" s="1686"><f t="shared" si="5"/><v>33.5</v></c><c r="AO106" s="1830"><f t="shared" si="5"/><v>15</v></c><c r="AP106" s="1607"><f t="shared" si="6"/><v>856.72847272727279</v></c><c r="AQ106" s="1607"><f t="shared" si="7"/><v>4.5678721673918915E-4</v></c><c r="AR106" s="1607"><f t="shared" si="8"/><v>0</v></c><c r="AS106" s="1607"><f t="shared" si="9"/><v>0</v></c><c r="AT106" s="1607"><f t="shared" si="10"/><v>0</v></c><c r="AU106" s="1687"><f t="shared" si="11"/><v>4.5678721673918915E-4</v></c><c r="AV106" s="1607"><f t="shared" si="12"/><v>0.98355566019738916</v></c><c r="AW106" s="1688"><f t="shared" si="13"/><v>1.0204</v></c><c r="AY106" s="1797"><f>VLOOKUP(AY107,AY121:AY971,TRUE)</f><v>32.1</v></c><c r="AZ106" s="1798"><f>VLOOKUP(AY106,AY121:AZ971,2)</f><v>0.8649</v></c><c r="BA106" s="1799"><f>VLOOKUP(AY106,AY121:BA971,3)</f><v>864.5</v></c><c r="BC106" s="1797"><f>VLOOKUP(BC107,BC121:BC546,TRUE)</f><v>864</v></c><c r="BD106" s="1798"><f>VLOOKUP(BC106,BC121:BD546,2)</f><v>0.86450000000000005</v></c><c r="BE106" s="1800"><f>VLOOKUP(BC106,BC121:BE546,3)</f><v>32.19</v></c><c r="BF106" s="1775"/></row><row r="107" spans="28:58" ht="13.15"><c r="AB107" s="1796"/><c r="AK107" s="1803" t="s"><v>1009</v></c><c r="AL107" s="1837"><f>AH153</f><v>32.17</v></c><c r="AM107" s="1805"><f>AH158</f><v>15</v></c><c r="AN107" s="1838"><f t="shared" si="5"/><v>32</v></c><c r="AO107" s="1839"><f t="shared" si="5"/><v>15</v></c><c r="AP107" s="1840"><f t="shared" si="6"/><v>864.58836697247705</v></c><c r="AQ107" s="1840"><f t="shared" si="7"/><v>4.5135977290316272E-4</v></c><c r="AR107" s="1840"><f t="shared" si="8"/><v>0</v></c><c r="AS107" s="1840"><f t="shared" si="9"/><v>0</v></c><c r="AT107" s="1840"><f t="shared" si="10"/><v>0</v></c><c r="AU107" s="1841"><f t="shared" si="11"/><v>4.5135977290316272E-4</v></c><c r="AV107" s="1840"><f t="shared" si="12"/><v>0.98375104817548609</v></c><c r="AW107" s="1842"><f t="shared" si="13"/><v>1.0202</v></c><c r="AY107" s="1810"><f>IF($AG$93=1,AH153,BE107)</f><v>32.17</v></c><c r="AZ107" s="1811"><f>AZ106+((AY107-AY106)/(AY108-AY106))*(AZ108-AZ106)</f><v>0.86454999999999993</v></c><c r="BA107" s="1812"><f>BA106+((AY107-AY106)/(AY108-AY106))*(BA108-BA106)</f><v>864.08</v></c><c r="BC107" s="1813"><f>IF($AG$93=2,AI153,BA107)</f><v>864.08</v></c><c r="BD107" s="1811"><f>BD106+((BC107-BC106)/(BC108-BC106))*(BD108-BD106)</f><v>0.86458000000000013</v></c><c r="BE107" s="1814"><f>BE106+((BC107-BC106)/(BC108-BC106))*(BE108-BE106)</f><v>32.174799999999991</v></c><c r="BF107" s="1775"/></row><row r="108" spans="28:58" ht="13.15"><c r="AB108" s="1796"/><c r="AK108" s="1803" t="s"><v>1010</v></c><c r="AL108" s="1843"><f>AH177</f><v>32.119999999999997</v></c><c r="AM108" s="1819"><f>AH182</f><v>15</v></c><c r="AN108" s="1838"><f t="shared" si="5"/><v>32</v></c><c r="AO108" s="1839"><f t="shared" si="5"/><v>15</v></c><c r="AP108" s="1840"><f t="shared" si="6"/><v>864.58836697247705</v></c><c r="AQ108" s="1840"><f t="shared" si="7"/><v>4.5135977290316272E-4</v></c><c r="AR108" s="1840"><f t="shared" si="8"/><v>0</v></c><c r="AS108" s="1840"><f t="shared" si="9"/><v>0</v></c><c r="AT108" s="1840"><f t="shared" si="10"/><v>0</v></c><c r="AU108" s="1841"><f t="shared" si="11"/><v>4.5135977290316272E-4</v></c><c r="AV108" s="1840"><f t="shared" si="12"/><v>0.98375104817548609</v></c><c r="AW108" s="1842"><f t="shared" si="13"/><v>1.0202</v></c><c r="AY108" s="1797"><f>INDEX(AY121:AY971,(MATCH(AY106,AY121:AY971,1)+1))</f><v>32.200000000000003</v></c><c r="AZ108" s="1798"><f>VLOOKUP(AY108,AY121:AZ971,2)</f><v>0.86439999999999995</v></c><c r="BA108" s="1799"><f>VLOOKUP(AY108,AY121:BA971,3)</f><v>863.9</v></c><c r="BC108" s="1797"><f>INDEX(BC121:BC971,(MATCH(BC106,BC121:BC971,1)+1))</f><v>865</v></c><c r="BD108" s="1798"><f>VLOOKUP(BC108,BC121:BD546,2)</f><v>0.86550000000000005</v></c><c r="BE108" s="1800"><f>VLOOKUP(BC108,BC121:BE546,3)</f><v>32</v></c><c r="BF108" s="1775"/></row><row r="109" spans="28:58"><c r="AB109" s="1796"/><c r="AY109" s="1822"/><c r="AZ109" s="1823"/><c r="BA109" s="1824"/><c r="BC109" s="1822"/><c r="BD109" s="1823"/><c r="BE109" s="1833"/><c r="BF109" s="1775"/></row><row r="110" spans="28:58" ht="13.15"><c r="AB110" s="1796"/><c r="AK110" s="2286"/><c r="AL110" s="2287" t="s"><v>576</v></c><c r="AM110" s="2288"/><c r="AN110" s="2301" t="s"><v>218</v></c><c r="AO110" s="2302"/><c r="AP110" s="2303"/><c r="AQ110" s="2304"/><c r="AR110" s="2305"/><c r="AS110" s="2305"/><c r="AT110" s="2305"/><c r="AU110" s="2305"/><c r="AV110" s="2306"/><c r="AW110" s="2307" t="s"><v>204</v></c><c r="AY110" s="1834" t="s"><v>1010</v></c><c r="AZ110" s="1835"/><c r="BA110" s="1836"/><c r="BC110" s="1834" t="s"><v>1010</v></c><c r="BD110" s="1835"/><c r="BE110" s="1836"/><c r="BF110" s="1775"/></row><row r="111" spans="28:58" ht="13.15"><c r="AB111" s="1796"/><c r="AK111" s="2308"/><c r="AL111" s="2296" t="s"><v>219</v></c><c r="AM111" s="2296" t="s"><v>220</v></c><c r="AN111" s="2298" t="s"><v>219</v></c><c r="AO111" s="2309" t="s"><v>220</v></c><c r="AP111" s="2310"/><c r="AQ111" s="2311"/><c r="AR111" s="2312"/><c r="AS111" s="2312"/><c r="AT111" s="2312"/><c r="AU111" s="2312"/><c r="AV111" s="2313"/><c r="AW111" s="2314" t="s"><v>221</v></c><c r="AY111" s="1797"><f>VLOOKUP(AY112,AY121:AY971,TRUE)</f><v>32.1</v></c><c r="AZ111" s="1798"><f>VLOOKUP(AY111,AY121:AZ971,2)</f><v>0.8649</v></c><c r="BA111" s="1799"><f>VLOOKUP(AY111,AY121:BA971,3)</f><v>864.5</v></c><c r="BC111" s="1797"><f>VLOOKUP(BC112,BC121:BC971,TRUE)</f><v>864</v></c><c r="BD111" s="1798"><f>VLOOKUP(BC111,BC121:BD546,2)</f><v>0.86450000000000005</v></c><c r="BE111" s="1800"><f>VLOOKUP(BC111,BC121:BE546,3)</f><v>32.19</v></c><c r="BF111" s="1775"/></row><row r="112" spans="28:58" ht="13.15"><c r="AB112" s="1796"/><c r="AK112" s="1785" t="s"><v>948</v></c><c r="AL112" s="1845"><f>AI151</f><v>892.2</v></c><c r="AM112" s="1846"><f>AI156</f><v>-9.44</v></c><c r="AN112" s="1788"><f t="shared" ref="AN112:AN117" si="14">IF((EVEN(AL112)-AL112)&lt;1,EVEN(AL112),EVEN(AL112)-2)</f><v>892</v></c><c r="AO112" s="1788"><f t="shared" ref="AO112:AO117" si="15">FLOOR(AM112,1)+IF(MOD(AM112,1)&lt;0.125,0,IF(MOD(AM112,1)&lt;0.375,0.25,IF(MOD(AM112,1)&lt;0.625,0.5,IF(MOD(AM112,1)&lt;0.875,0.75,1))))</f><v>-9.5</v></c><c r="AP112" s="1794"/><c r="AQ112" s="1847"/><c r="AR112" s="1794"/><c r="AS112" s="1794"/><c r="AT112" s="1794"/><c r="AU112" s="1794"/><c r="AV112" s="1794"/><c r="AW112" s="1623"><f t="shared" ref="AW112:AW117" si="16">ROUND(EXP((613.9723/AN112^2)*(1+0.8*(613.9723/AN112^2)*(AO112-15))*(AO112-15)*-1),4)</f><v>1.0187999999999999</v></c><c r="AY112" s="1810"><f>IF($AG$93=1,AH177,BE112)</f><v>32.119999999999997</v></c><c r="AZ112" s="1811"><f>AZ111+((AY112-AY111)/(AY113-AY111))*(AZ113-AZ111)</f><v>0.86480000000000001</v></c><c r="BA112" s="1812"><f>BA111+((AY112-AY111)/(AY113-AY111))*(BA113-BA111)</f><v>864.38</v></c><c r="BC112" s="1813"><f>IF($AG$93=2,AI177,BA112)</f><v>864.38</v></c><c r="BD112" s="1811"><f>BD111+((BC112-BC111)/(BC113-BC111))*(BD113-BD111)</f><v>0.86488000000000009</v></c><c r="BE112" s="1814"><f>BE111+((BC112-BC111)/(BC113-BC111))*(BE113-BE111)</f><v>32.117800000000003</v></c><c r="BF112" s="1775"/></row><row r="113" spans="28:58" ht="13.15"><c r="AB113" s="1796"/><c r="AK113" s="1785" t="s"><v>949</v></c><c r="AL113" s="1845"><f>AI152</f><v>857.6</v></c><c r="AM113" s="1846"><f>AI157</f><v>-9.44</v></c><c r="AN113" s="1788"><f t="shared" si="14"/><v>858</v></c><c r="AO113" s="1788"><f t="shared" si="15"/><v>-9.5</v></c><c r="AP113" s="1794"/><c r="AQ113" s="1794"/><c r="AR113" s="1794"/><c r="AS113" s="1794"/><c r="AT113" s="1794"/><c r="AU113" s="1794"/><c r="AV113" s="1794"/><c r="AW113" s="1623"><f t="shared" si="16"/><v>1.0203</v></c><c r="AY113" s="1797"><f>INDEX(AY121:AY971,(MATCH(AY111,AY121:AY971,1)+1))</f><v>32.200000000000003</v></c><c r="AZ113" s="1798"><f>VLOOKUP(AY113,AY121:AZ971,2)</f><v>0.86439999999999995</v></c><c r="BA113" s="1799"><f>VLOOKUP(AY113,AY121:BA971,3)</f><v>863.9</v></c><c r="BC113" s="1797"><f>INDEX(BC121:BC971,(MATCH(BC111,BC121:BC971,1)+1))</f><v>865</v></c><c r="BD113" s="1798"><f>VLOOKUP(BC113,BC121:BD546,2)</f><v>0.86550000000000005</v></c><c r="BE113" s="1800"><f>VLOOKUP(BC113,BC121:BE546,3)</f><v>32</v></c><c r="BF113" s="1775"/></row><row r="114" spans="28:58" ht="13.15"><c r="AB114" s="1796"/><c r="AK114" s="1615" t="s"><v>1007</v></c><c r="AL114" s="1848"><f>AI151</f><v>892.2</v></c><c r="AM114" s="1846"><f>AI158</f><v>-9.44</v></c><c r="AN114" s="1788"><f t="shared" si="14"/><v>892</v></c><c r="AO114" s="1788"><f t="shared" si="15"/><v>-9.5</v></c><c r="AP114" s="1794"/><c r="AQ114" s="1794"/><c r="AR114" s="1794"/><c r="AS114" s="1794"/><c r="AT114" s="1794"/><c r="AU114" s="1794"/><c r="AV114" s="1794"/><c r="AW114" s="1623"><f t="shared" si="16"/><v>1.0187999999999999</v></c><c r="AY114" s="1822"/><c r="AZ114" s="1823"/><c r="BA114" s="1824"/><c r="BC114" s="1822"/><c r="BD114" s="1823"/><c r="BE114" s="1833"/><c r="BF114" s="1775"/></row><row r="115" spans="28:58" ht="13.15"><c r="AB115" s="1796"/><c r="AK115" s="1615" t="s"><v>1008</v></c><c r="AL115" s="1848"><f>AI152</f><v>857.6</v></c><c r="AM115" s="1846"><f>AI158</f><v>-9.44</v></c><c r="AN115" s="1788"><f t="shared" si="14"/><v>858</v></c><c r="AO115" s="1788"><f t="shared" si="15"/><v>-9.5</v></c><c r="AP115" s="1794"/><c r="AQ115" s="1794"/><c r="AR115" s="1794"/><c r="AS115" s="1794"/><c r="AT115" s="1794"/><c r="AU115" s="1794"/><c r="AV115" s="1794"/><c r="AW115" s="1623"><f t="shared" si="16"/><v>1.0203</v></c><c r="AY115" s="1386" t="s"><v>985</v></c><c r="AZ115" s="12"/><c r="BA115" s="12"/><c r="BC115" s="12"/><c r="BD115" s="12"/><c r="BE115" s="12"/><c r="BF115" s="1775"/></row><row r="116" spans="28:58" ht="13.15"><c r="AB116" s="1796"/><c r="AK116" s="1803" t="s"><v>1009</v></c><c r="AL116" s="1849"><f>AI153</f><v>864.08</v></c><c r="AM116" s="1850"><f>AI158</f><v>-9.44</v></c><c r="AN116" s="1806"><f t="shared" si="14"/><v>864</v></c><c r="AO116" s="1806"><f t="shared" si="15"/><v>-9.5</v></c><c r="AP116" s="1808"/><c r="AQ116" s="1808"/><c r="AR116" s="1808"/><c r="AS116" s="1808"/><c r="AT116" s="1808"/><c r="AU116" s="1808"/><c r="AV116" s="1808"/><c r="AW116" s="1851"><f t="shared" si="16"/><v>1.02</v></c><c r="AY116" s="2301" t="s"><v>11</v></c><c r="AZ116" s="2290"/><c r="BA116" s="2290"/><c r="BC116" s="2343" t="s"><v>12</v></c><c r="BD116" s="2344"/><c r="BE116" s="2345"/><c r="BF116" s="1775"/></row><row r="117" spans="28:58" ht="13.15"><c r="AB117" s="1796"/><c r="AK117" s="1803" t="s"><v>1010</v></c><c r="AL117" s="1852"><f>AI177</f><v>864.38</v></c><c r="AM117" s="1853"><f>AI182</f><v>-9.44</v></c><c r="AN117" s="1806"><f t="shared" si="14"/><v>864</v></c><c r="AO117" s="1806"><f t="shared" si="15"/><v>-9.5</v></c><c r="AP117" s="1808"/><c r="AQ117" s="1808"/><c r="AR117" s="1808"/><c r="AS117" s="1808"/><c r="AT117" s="1808"/><c r="AU117" s="1808"/><c r="AV117" s="1808"/><c r="AW117" s="1851"><f t="shared" si="16"/><v>1.02</v></c><c r="AY117" s="2346" t="s"><v>18</v></c><c r="AZ117" s="2347" t="s"><v>19</v></c><c r="BA117" s="2348" t="s"><v>20</v></c><c r="BC117" s="2346" t="s"><v>20</v></c><c r="BD117" s="2347" t="s"><v>19</v></c><c r="BE117" s="2348" t="s"><v>18</v></c><c r="BF117" s="1775"/></row><row r="118" spans="28:58" ht="13.15"><c r="AB118" s="1796"/><c r="AY118" s="2349" t="s"><v>26</v></c><c r="AZ118" s="2355" t="s"><v>20</v></c><c r="BA118" s="2351"/><c r="BC118" s="2349"/><c r="BD118" s="2350" t="s"><v>20</v></c><c r="BE118" s="2351" t="s"><v>26</v></c><c r="BF118" s="1775"/></row><row r="119" spans="28:58" ht="13.15"><c r="AB119" s="1796"/><c r="AK119" s="2286"/><c r="AL119" s="2287" t="s"><v>576</v></c><c r="AM119" s="2288"/><c r="AN119" s="2289" t="s"><v>222</v></c><c r="AO119" s="2290"/><c r="AP119" s="2287" t="s"><v>210</v></c><c r="AQ119" s="2292"/><c r="AR119" s="2292"/><c r="AS119" s="2288"/><c r="AT119" s="2291" t="s"><v>210</v></c><c r="AU119" s="2315" t="s"><v>211</v></c><c r="AV119" s="2286"/><c r="AW119" s="2316" t="s"><v>204</v></c><c r="AY119" s="2349"/><c r="AZ119" s="2355"/><c r="BA119" s="2351"/><c r="BC119" s="2349"/><c r="BD119" s="2350"/><c r="BE119" s="2351"/><c r="BF119" s="1775"/></row><row r="120" spans="28:58" ht="13.15"><c r="AB120" s="1796"/><c r="AK120" s="2294"/><c r="AL120" s="2296" t="s"><v>219</v></c><c r="AM120" s="2296" t="s"><v>220</v></c><c r="AN120" s="2298" t="s"><v>219</v></c><c r="AO120" s="2298" t="s"><v>220</v></c><c r="AP120" s="2296" t="s"><v>223</v></c><c r="AQ120" s="2296" t="s"><v>224</v></c><c r="AR120" s="2296" t="s"><v>225</v></c><c r="AS120" s="2296" t="s"><v>226</v></c><c r="AT120" s="2299"/><c r="AU120" s="2317"/><c r="AV120" s="2308"/><c r="AW120" s="2318" t="s"><v>227</v></c><c r="AY120" s="2352" t="s"><v>32</v></c><c r="AZ120" s="2356" t="s"><v>33</v></c><c r="BA120" s="2354" t="s"><v>31</v></c><c r="BC120" s="2352" t="s"><v>34</v></c><c r="BD120" s="2353" t="s"><v>35</v></c><c r="BE120" s="2354" t="s"><v>32</v></c><c r="BF120" s="1775"/></row><row r="121" spans="28:58" ht="13.15"><c r="AB121" s="1796"/><c r="AK121" s="1785" t="s"><v>948</v></c><c r="AL121" s="1607"><f>AI151</f><v>892.2</v></c><c r="AM121" s="1846"><f>AI156</f><v>-9.44</v></c><c r="AN121" s="1788"><f t="shared" ref="AN121:AN126" si="17">IF((EVEN(AL121)-AL121)&lt;1,EVEN(AL121),EVEN(AL121)-2)</f><v>892</v></c><c r="AO121" s="1788"><f t="shared" ref="AO121:AO126" si="18">FLOOR(AM121,1)+IF(MOD(AM121,1)&lt;0.125,0,IF(MOD(AM121,1)&lt;0.375,0.25,IF(MOD(AM121,1)&lt;0.625,0.5,IF(MOD(AM121,1)&lt;0.875,0.75,1))))</f><v>-9.5</v></c><c r="AP121" s="1607"><f t="shared" ref="AP121:AP126" si="19">IF(AN121&lt;770,(192.4571/AN121^2)+(0.2438/AN121),0)</f><v>0</v></c><c r="AQ121" s="1607"><f t="shared" ref="AQ121:AQ126" si="20">IF(AND(AN121&gt;=770,AN121&lt;787.5),(1489.0671/(AN121^2))-0.0018684,0)</f><v>0</v></c><c r="AR121" s="1607"><f t="shared" ref="AR121:AR126" si="21">IF(AND(AN121&gt;=787.5,AN121&lt;838.5),330.301/AN121^2,0)</f><v>0</v></c><c r="AS121" s="1607"><f t="shared" ref="AS121:AS126" si="22">IF(AND(AN121&gt;=838.5,AN121&lt;1075),(0.2701/AN121)+(103.873/AN121^2),0)</f><v>4.3335151521245148E-4</v></c><c r="AT121" s="1687"><f t="shared" ref="AT121:AT126" si="23">MAX(AP121:AS121)</f><v>4.3335151521245148E-4</v></c><c r="AU121" s="1607"><f t="shared" ref="AU121:AU126" si="24">((AO121+40)*1.8)-99</f><v>-44.1</v></c><c r="AV121" s="1794"/><c r="AW121" s="1854"><f t="shared" ref="AW121:AW126" si="25">ROUND(EXP(-1*AT121*AU121*(1+0.8*AT121*AU121)),4)</f><v>1.0189999999999999</v></c><c r="AY121" s="30"><v>0</v></c><c r="AZ121" s="31"><v>1.0760000000000001</v></c><c r="BA121" s="32"><v>1075.3</v></c><c r="BC121" s="1713"><v>650</v></c><c r="BD121" s="1714"/><c r="BE121" s="1715"/><c r="BF121" s="1775"/></row><row r="122" spans="28:58" ht="13.15"><c r="AB122" s="1796"/><c r="AK122" s="1785" t="s"><v>949</v></c><c r="AL122" s="1607"><f>AI152</f><v>857.6</v></c><c r="AM122" s="1846"><f>AI157</f><v>-9.44</v></c><c r="AN122" s="1788"><f t="shared" si="17"/><v>858</v></c><c r="AO122" s="1788"><f t="shared" si="18"/><v>-9.5</v></c><c r="AP122" s="1607"><f t="shared" si="19"/><v>0</v></c><c r="AQ122" s="1607"><f t="shared" si="20"/><v>0</v></c><c r="AR122" s="1607"><f t="shared" si="21"/><v>0</v></c><c r="AS122" s="1607"><f t="shared" si="22"/><v>4.5590221744067896E-4</v></c><c r="AT122" s="1687"><f t="shared" si="23"/><v>4.5590221744067896E-4</v></c><c r="AU122" s="1607"><f t="shared" si="24"/><v>-44.1</v></c><c r="AV122" s="1794"/><c r="AW122" s="1854"><f t="shared" si="25"/><v>1.02</v></c><c r="AY122" s="30"><v>0.1</v></c><c r="AZ122" s="31"><v>1.0751999999999999</v></c><c r="BA122" s="32"><v>1074.5</v></c><c r="BC122" s="37"><v>651</v></c><c r="BD122" s="38"/><c r="BE122" s="39"/><c r="BF122" s="1775"/></row><row r="123" spans="28:58" ht="13.15"><c r="AB123" s="1796"/><c r="AK123" s="1615" t="s"><v>1007</v></c><c r="AL123" s="1607"><f>AI151</f><v>892.2</v></c><c r="AM123" s="1846"><f>AI158</f><v>-9.44</v></c><c r="AN123" s="1788"><f t="shared" si="17"/><v>892</v></c><c r="AO123" s="1788"><f t="shared" si="18"/><v>-9.5</v></c><c r="AP123" s="1607"><f t="shared" si="19"/><v>0</v></c><c r="AQ123" s="1607"><f t="shared" si="20"/><v>0</v></c><c r="AR123" s="1607"><f t="shared" si="21"/><v>0</v></c><c r="AS123" s="1607"><f t="shared" si="22"/><v>4.3335151521245148E-4</v></c><c r="AT123" s="1687"><f t="shared" si="23"/><v>4.3335151521245148E-4</v></c><c r="AU123" s="1607"><f t="shared" si="24"/><v>-44.1</v></c><c r="AV123" s="1794"/><c r="AW123" s="1854"><f t="shared" si="25"/><v>1.0189999999999999</v></c><c r="AY123" s="30"><v>0.2</v></c><c r="AZ123" s="31"><v>1.0744</v></c><c r="BA123" s="32"><v>1073.7</v></c><c r="BC123" s="37"><v>652</v></c><c r="BD123" s="38"/><c r="BE123" s="39"/><c r="BF123" s="1775"/></row><row r="124" spans="28:58" ht="13.15"><c r="AB124" s="1796"/><c r="AK124" s="1615" t="s"><v>1008</v></c><c r="AL124" s="1607"><f>AI152</f><v>857.6</v></c><c r="AM124" s="1846"><f>AI158</f><v>-9.44</v></c><c r="AN124" s="1788"><f t="shared" si="17"/><v>858</v></c><c r="AO124" s="1788"><f t="shared" si="18"/><v>-9.5</v></c><c r="AP124" s="1607"><f t="shared" si="19"/><v>0</v></c><c r="AQ124" s="1607"><f t="shared" si="20"/><v>0</v></c><c r="AR124" s="1607"><f t="shared" si="21"/><v>0</v></c><c r="AS124" s="1607"><f t="shared" si="22"/><v>4.5590221744067896E-4</v></c><c r="AT124" s="1687"><f t="shared" si="23"/><v>4.5590221744067896E-4</v></c><c r="AU124" s="1607"><f t="shared" si="24"/><v>-44.1</v></c><c r="AV124" s="1794"/><c r="AW124" s="1854"><f t="shared" si="25"/><v>1.02</v></c><c r="AY124" s="30"><v>0.3</v></c><c r="AZ124" s="31"><v>1.0736000000000001</v></c><c r="BA124" s="32"><v>1072.9000000000001</v></c><c r="BC124" s="37"><v>653</v></c><c r="BD124" s="38"/><c r="BE124" s="39"/><c r="BF124" s="1775"/></row><row r="125" spans="28:58" ht="13.15"><c r="AB125" s="1796"/><c r="AK125" s="1803" t="s"><v>1009</v></c><c r="AL125" s="1855"><f>AI153</f><v>864.08</v></c><c r="AM125" s="1850"><f>AI158</f><v>-9.44</v></c><c r="AN125" s="1806"><f t="shared" si="17"/><v>864</v></c><c r="AO125" s="1806"><f t="shared" si="18"/><v>-9.5</v></c><c r="AP125" s="1840"><f t="shared" si="19"/><v>0</v></c><c r="AQ125" s="1840"><f t="shared" si="20"/><v>0</v></c><c r="AR125" s="1840"><f t="shared" si="21"/><v>0</v></c><c r="AS125" s="1840"><f t="shared" si="22"/><v>4.517631708676269E-4</v></c><c r="AT125" s="1841"><f t="shared" si="23"/><v>4.517631708676269E-4</v></c><c r="AU125" s="1840"><f t="shared" si="24"/><v>-44.1</v></c><c r="AV125" s="1808"/><c r="AW125" s="1856"><f t="shared" si="25"/><v>1.0198</v></c><c r="AY125" s="30"><v>0.4</v></c><c r="AZ125" s="31"><v>1.0728</v></c><c r="BA125" s="32"><v>1072.0999999999999</v></c><c r="BC125" s="37"><v>654</v></c><c r="BD125" s="38"><v>0.65410000000000001</v></c><c r="BE125" s="39"><v>84.83</v></c><c r="BF125" s="1775"/></row><row r="126" spans="28:58" ht="13.15"><c r="AB126" s="1796"/><c r="AK126" s="1803" t="s"><v>1010</v></c><c r="AL126" s="1857"><f>AI177</f><v>864.38</v></c><c r="AM126" s="1853"><f>AI182</f><v>-9.44</v></c><c r="AN126" s="1806"><f t="shared" si="17"/><v>864</v></c><c r="AO126" s="1806"><f t="shared" si="18"/><v>-9.5</v></c><c r="AP126" s="1840"><f t="shared" si="19"/><v>0</v></c><c r="AQ126" s="1840"><f t="shared" si="20"/><v>0</v></c><c r="AR126" s="1840"><f t="shared" si="21"/><v>0</v></c><c r="AS126" s="1840"><f t="shared" si="22"/><v>4.517631708676269E-4</v></c><c r="AT126" s="1841"><f t="shared" si="23"/><v>4.517631708676269E-4</v></c><c r="AU126" s="1840"><f t="shared" si="24"/><v>-44.1</v></c><c r="AV126" s="1808"/><c r="AW126" s="1856"><f t="shared" si="25"/><v>1.0198</v></c><c r="AY126" s="30"><v>0.5</v></c><c r="AZ126" s="31"><v>1.0720000000000001</v></c><c r="BA126" s="32"><v>1071.3</v></c><c r="BC126" s="37"><v>655</v></c><c r="BD126" s="38"><v>0.65510000000000002</v></c><c r="BE126" s="39"><v>84.49</v></c><c r="BF126" s="1775"/></row><row r="127" spans="28:58"><c r="AB127" s="1796"/><c r="AY127" s="30"><v>0.6</v></c><c r="AZ127" s="31"><v>1.0711999999999999</v></c><c r="BA127" s="32"><v>1070.5</v></c><c r="BC127" s="37"><v>656</v></c><c r="BD127" s="38"><v>0.65610000000000002</v></c><c r="BE127" s="39"><v>84.16</v></c><c r="BF127" s="1775"/></row><row r="128" spans="28:58" ht="13.15"><c r="AB128" s="1796"/><c r="AK128" s="2319"/><c r="AL128" s="2287" t="s"><v>576</v></c><c r="AM128" s="2288"/><c r="AN128" s="2287" t="s"><v>576</v></c><c r="AO128" s="2288"/><c r="AP128" s="2320" t="s"><v>204</v></c><c r="AQ128" s="2321"/><c r="AR128" s="2321"/><c r="AS128" s="2322"/><c r="AT128" s="2320" t="s"><v>997</v></c><c r="AU128" s="2323"/><c r="AV128" s="2324"/><c r="AW128" s="2324"/><c r="AY128" s="30"><v>0.7</v></c><c r="AZ128" s="31"><v>1.0703</v></c><c r="BA128" s="32"><v>1069.7</v></c><c r="BC128" s="37"><v>657</v></c><c r="BD128" s="38"><v>0.65710000000000002</v></c><c r="BE128" s="39"><v>83.84</v></c><c r="BF128" s="1775"/></row><row r="129" spans="28:58"><c r="AB129" s="1796"/><c r="AK129" s="2325"/><c r="AL129" s="2295" t="s"><v>18</v></c><c r="AM129" s="2296" t="s"><v>205</v></c><c r="AN129" s="2296" t="s"><v>219</v></c><c r="AO129" s="2296" t="s"><v>220</v></c><c r="AP129" s="2326" t="s"><v>194</v></c><c r="AQ129" s="2326" t="s"><v>196</v></c><c r="AR129" s="2326" t="s"><v>988</v></c><c r="AS129" s="2326" t="s"><v>991</v></c><c r="AT129" s="2326" t="s"><v>998</v></c><c r="AU129" s="2326" t="s"><v>999</v></c><c r="AV129" s="2326"/><c r="AW129" s="2326"/><c r="AY129" s="30"><v>0.8</v></c><c r="AZ129" s="31"><v>1.0694999999999999</v></c><c r="BA129" s="32"><v>1068.8</v></c><c r="BC129" s="37"><v>658</v></c><c r="BD129" s="38"><v>0.65810000000000002</v></c><c r="BE129" s="39"><v>83.51</v></c><c r="BF129" s="1775"/></row><row r="130" spans="28:58"><c r="AB130" s="1796"/><c r="AK130" s="1615" t="s"><v>948</v></c><c r="AL130" s="1786"><f>AH151</f><v>27</v></c><c r="AM130" s="1787"><f>AH156</f><v>15</v></c><c r="AN130" s="1858"><f>AI151</f><v>892.2</v></c><c r="AO130" s="1859"><f>AI156</f><v>-9.44</v></c><c r="AP130" s="1860"><f t="shared" ref="AP130:AP135" si="26">AW94</f><v>1.0192000000000001</v></c><c r="AQ130" s="1860"><f t="shared" ref="AQ130:AQ135" si="27">AW103</f><v>1.0194000000000001</v></c><c r="AR130" s="1860"><f t="shared" ref="AR130:AR135" si="28">AW112</f><v>1.0187999999999999</v></c><c r="AS130" s="1860"><f t="shared" ref="AS130:AS135" si="29">AW121</f><v>1.0189999999999999</v></c><c r="AT130" s="1861"><f>ROUND(0.98421*(1.01605*(22.12362536/(AH151+131.502609)-0.0001927941766)),5)</f><v>0.13938999999999999</v></c><c r="AU130" s="1861"><f t="shared" ref="AU130:AU135" si="30">ROUND(((((141.5/(AL130+131.5)*4.169215)-0.0050789)*0.0374996)*1.01605),5)</f><v>0.14162</v></c><c r="AV130" s="1862"/><c r="AW130" s="1862"/><c r="AY130" s="30"><v>0.9</v></c><c r="AZ130" s="31"><v>1.0687</v></c><c r="BA130" s="32"><v>1068</v></c><c r="BC130" s="37"><v>659</v></c><c r="BD130" s="38"><v>0.65910000000000002</v></c><c r="BE130" s="39"><v>83.18</v></c><c r="BF130" s="1775"/></row><row r="131" spans="28:58"><c r="AB131" s="1796"/><c r="AK131" s="1615" t="s"><v>949</v></c><c r="AL131" s="1786"><f>AH152</f><v>33.4</v></c><c r="AM131" s="1787"><f>AH157</f><v>15</v></c><c r="AN131" s="1858"><f>AI152</f><v>857.6</v></c><c r="AO131" s="1859"><f>AI157</f><v>-9.44</v></c><c r="AP131" s="1860"><f t="shared" si="26"/><v>1.0207999999999999</v></c><c r="AQ131" s="1860"><f t="shared" si="27"/><v>1.0204</v></c><c r="AR131" s="1860"><f t="shared" si="28"/><v>1.0203</v></c><c r="AS131" s="1860"><f t="shared" si="29"/><v>1.02</v></c><c r="AT131" s="1861"><f>ROUND(0.98421*(1.01605*(22.12362536/(AH152+131.502609)-0.0001927941766)),5)</f><v>0.13397000000000001</v></c><c r="AU131" s="1861"><f t="shared" si="30"/><v>0.13611999999999999</v></c><c r="AV131" s="1794"/><c r="AW131" s="1794"/><c r="AY131" s="30"><v>1</v></c><c r="AZ131" s="31"><v>1.0679000000000001</v></c><c r="BA131" s="32"><v>1067.2</v></c><c r="BC131" s="37"><v>660</v></c><c r="BD131" s="38"><v>0.66010000000000002</v></c><c r="BE131" s="39"><v>82.86</v></c><c r="BF131" s="1775"/></row><row r="132" spans="28:58"><c r="AB132" s="1796"/><c r="AK132" s="1615" t="s"><v>1007</v></c><c r="AL132" s="1786"><f>AH151</f><v>27</v></c><c r="AM132" s="1787"><f>AH158</f><v>15</v></c><c r="AN132" s="1858"><f>AI151</f><v>892.2</v></c><c r="AO132" s="1859"><f>AI158</f><v>-9.44</v></c><c r="AP132" s="1860"><f t="shared" si="26"/><v>1.0192000000000001</v></c><c r="AQ132" s="1860"><f t="shared" si="27"/><v>1.0194000000000001</v></c><c r="AR132" s="1860"><f t="shared" si="28"/><v>1.0187999999999999</v></c><c r="AS132" s="1860"><f t="shared" si="29"/><v>1.0189999999999999</v></c><c r="AT132" s="1861"><f>ROUND(0.98421*(1.01605*(22.12362536/(AH151+131.502609)-0.0001927941766)),5)</f><v>0.13938999999999999</v></c><c r="AU132" s="1861"><f t="shared" si="30"/><v>0.14162</v></c><c r="AV132" s="1862"/><c r="AW132" s="1862"/><c r="AY132" s="30"><v>1.1000000000000001</v></c><c r="AZ132" s="31"><v>1.0670999999999999</v></c><c r="BA132" s="32"><v>1066.4000000000001</v></c><c r="BC132" s="37"><v>661</v></c><c r="BD132" s="38"><v>0.66110000000000002</v></c><c r="BE132" s="39"><v>82.53</v></c><c r="BF132" s="1775"/></row><row r="133" spans="28:58"><c r="AB133" s="1796"/><c r="AK133" s="1615" t="s"><v>1008</v></c><c r="AL133" s="1786"><f>AH152</f><v>33.4</v></c><c r="AM133" s="1787"><f>AH158</f><v>15</v></c><c r="AN133" s="1858"><f>AI152</f><v>857.6</v></c><c r="AO133" s="1859"><f>AI158</f><v>-9.44</v></c><c r="AP133" s="1860"><f t="shared" si="26"/><v>1.0207999999999999</v></c><c r="AQ133" s="1860"><f t="shared" si="27"/><v>1.0204</v></c><c r="AR133" s="1860"><f t="shared" si="28"/><v>1.0203</v></c><c r="AS133" s="1860"><f t="shared" si="29"/><v>1.02</v></c><c r="AT133" s="1861"><f>ROUND(0.98421*(1.01605*(22.12362536/(AL133+131.502609)-0.0001927941766)),5)</f><v>0.13397000000000001</v></c><c r="AU133" s="1861"><f t="shared" si="30"/><v>0.13611999999999999</v></c><c r="AV133" s="1862"/><c r="AW133" s="1862"/><c r="AY133" s="30"><v>1.2</v></c><c r="AZ133" s="31"><v>1.0663</v></c><c r="BA133" s="32"><v>1065.5999999999999</v></c><c r="BC133" s="37"><v>662</v></c><c r="BD133" s="38"><v>0.66210000000000002</v></c><c r="BE133" s="39"><v>82.21</v></c><c r="BF133" s="1775"/></row><row r="134" spans="28:58" ht="13.15"><c r="AB134" s="1796"/><c r="AK134" s="1803" t="s"><v>1009</v></c><c r="AL134" s="1804"><f>AH153</f><v>32.17</v></c><c r="AM134" s="1850"><f>AH158</f><v>15</v></c><c r="AN134" s="1806"><f>AI153</f><v>864.08</v></c><c r="AO134" s="1863"><f>AI158</f><v>-9.44</v></c><c r="AP134" s="1864"><f t="shared" si="26"/><v>1.0204</v></c><c r="AQ134" s="1864"><f t="shared" si="27"/><v>1.0202</v></c><c r="AR134" s="1864"><f t="shared" si="28"/><v>1.02</v></c><c r="AS134" s="1864"><f t="shared" si="29"/><v>1.0198</v></c><c r="AT134" s="1865"><f>ROUND(0.98421*(1.01605*(22.12362536/(AL134+131.502609)-0.0001927941766)),5)</f><v>0.13497999999999999</v></c><c r="AU134" s="1865"><f t="shared" si="30"/><v>0.13714000000000001</v></c><c r="AV134" s="1808"/><c r="AW134" s="1856"/><c r="AY134" s="30"><v>1.3</v></c><c r="AZ134" s="31"><v>1.0654999999999999</v></c><c r="BA134" s="32"><v>1064.8</v></c><c r="BC134" s="37"><v>663</v></c><c r="BD134" s="38"><v>0.66310000000000002</v></c><c r="BE134" s="39"><v>81.88</v></c><c r="BF134" s="1775"/></row><row r="135" spans="28:58" ht="13.15"><c r="AB135" s="1796"/><c r="AK135" s="1803" t="s"><v>1010</v></c><c r="AL135" s="1818"><f>AH177</f><v>32.119999999999997</v></c><c r="AM135" s="1853"><f>AH182</f><v>15</v></c><c r="AN135" s="1806"><f>AI177</f><v>864.38</v></c><c r="AO135" s="1863"><f>AI182</f><v>-9.44</v></c><c r="AP135" s="1864"><f t="shared" si="26"/><v>1.0204</v></c><c r="AQ135" s="1864"><f t="shared" si="27"/><v>1.0202</v></c><c r="AR135" s="1864"><f t="shared" si="28"/><v>1.02</v></c><c r="AS135" s="1864"><f t="shared" si="29"/><v>1.0198</v></c><c r="AT135" s="1865"><f>ROUND(0.98421*(1.01605*(22.12362536/(AL135+131.502609)-0.0001927941766)),5)</f><v>0.13502</v></c><c r="AU135" s="1865"><f t="shared" si="30"/><v>0.13718</v></c><c r="AV135" s="1808"/><c r="AW135" s="1856"/><c r="AY135" s="30"><v>1.4</v></c><c r="AZ135" s="31"><v>1.0647</v></c><c r="BA135" s="32"><v>1064</v></c><c r="BC135" s="37"><v>664</v></c><c r="BD135" s="38"><v>0.66410000000000002</v></c><c r="BE135" s="39"><v>81.56</v></c><c r="BF135" s="1775"/></row><row r="136" spans="28:58"><c r="AB136" s="1796"/><c r="AY136" s="30"><v>1.5</v></c><c r="AZ136" s="31"><v>1.0639000000000001</v></c><c r="BA136" s="32"><v>1063.2</v></c><c r="BC136" s="37"><v>665</v></c><c r="BD136" s="38"><v>0.66510000000000002</v></c><c r="BE136" s="39"><v>81.239999999999995</v></c><c r="BF136" s="1775"/></row><row r="137" spans="28:58"><c r="AB137" s="1796"/><c r="AG137" s="566" t="s"><v>952</v></c><c r="AY137" s="30"><v>1.6</v></c><c r="AZ137" s="31"><v>1.0630999999999999</v></c><c r="BA137" s="32"><v>1062.4000000000001</v></c><c r="BC137" s="37"><v>666</v></c><c r="BD137" s="38"><v>0.66610000000000003</v></c><c r="BE137" s="39"><v>80.92</v></c><c r="BF137" s="1775"/></row><row r="138" spans="28:58" ht="13.15"><c r="AB138" s="1796"/><c r="AG138" s="1866" t="s"><v>1012</v></c><c r="AH138" s="1867"/><c r="AI138" s="1868" t="s"><v>1013</v></c><c r="AK138" s="2327" t="s"><v>1014</v></c><c r="AL138" s="2328"/><c r="AM138" s="2328"/><c r="AN138" s="2328"/><c r="AO138" s="2328"/><c r="AP138" s="2328"/><c r="AQ138" s="2328"/><c r="AR138" s="2329"/><c r="AS138" s="2328"/><c r="AT138" s="2329"/><c r="AY138" s="30"><v>1.7</v></c><c r="AZ138" s="31"><v>1.0623</v></c><c r="BA138" s="32"><v>1061.5999999999999</v></c><c r="BC138" s="37"><v>667</v></c><c r="BD138" s="38"><v>0.66710000000000003</v></c><c r="BE138" s="39"><v>80.599999999999994</v></c><c r="BF138" s="1775"/></row><row r="139" spans="28:58" ht="13.15"><c r="AB139" s="1796"/><c r="AG139" s="1869"><v>1</v></c><c r="AH139" s="1844"/><c r="AI139" s="1870"><f>(L6*100)/G6</f><v>98.00003568589733</v></c><c r="AK139" s="2286"/><c r="AL139" s="3288" t="s"><v>576</v></c><c r="AM139" s="3289"/><c r="AN139" s="3292" t="str"><f>IF(AG145=1,"Volume (@obs.temp.)",IF(AG145=2,"Volume (@60°F","MT"))</f><v>MT</v></c><c r="AO139" s="2330" t="s"><v>592</v></c><c r="AP139" s="2330" t="s"><v>945</v></c><c r="AQ139" s="2331" t="s"><v>946</v></c><c r="AR139" s="2332" t="s"><v>1015</v></c><c r="AS139" s="2330" t="s"><v>204</v></c><c r="AT139" s="2293" t="s"><v>997</v></c><c r="AY139" s="30"><v>1.8</v></c><c r="AZ139" s="31"><v>1.0615000000000001</v></c><c r="BA139" s="32"><v>1060.8</v></c><c r="BC139" s="37"><v>668</v></c><c r="BD139" s="38"><v>0.66810000000000003</v></c><c r="BE139" s="39"><v>80.290000000000006</v></c><c r="BF139" s="1775"/></row><row r="140" spans="28:58"><c r="AB140" s="1796"/><c r="AG140" s="1871"><f>G6</f><v>173738.1</v></c><c r="AH140" s="1872" t="s"><v>570</v></c><c r="AI140" s="1873"><f>L6</f><v>170263.4</v></c><c r="AK140" s="2333"/><c r="AL140" s="3290"/><c r="AM140" s="3291"/><c r="AN140" s="3293"/><c r="AO140" s="2334" t="s"><v>1004</v></c><c r="AP140" s="2334" t="s"><v>1016</v></c><c r="AQ140" s="2333"/><c r="AR140" s="2334" t="s"><v>1004</v></c><c r="AS140" s="2333"/><c r="AT140" s="2333"/><c r="AY140" s="30"><v>1.9</v></c><c r="AZ140" s="31"><v>1.0607</v></c><c r="BA140" s="32"><v>1060</v></c><c r="BC140" s="37"><v>669</v></c><c r="BD140" s="38"><v>0.66910000000000003</v></c><c r="BE140" s="39"><v>79.97</v></c><c r="BF140" s="1775"/></row><row r="141" spans="28:58" ht="13.15"><c r="AB141" s="1796"/><c r="AG141" s="1871"><f>G7</f><v>1092779.638761</v></c><c r="AH141" s="1872" t="s"><v>567</v></c><c r="AI141" s="1873"><f>L7</f><v>1070924.4359539999</v></c><c r="AK141" s="2308"/><c r="AL141" s="2335" t="s"><v>18</v></c><c r="AM141" s="2296" t="s"><v>205</v></c><c r="AN141" s="3294"/><c r="AO141" s="2336" t="s"><v>1017</v></c><c r="AP141" s="2336" t="s"><v>1017</v></c><c r="AQ141" s="2337"/><c r="AR141" s="2336" t="s"><v>1005</v></c><c r="AS141" s="2336" t="str"><f>IF(AG98=1,"Tab. 6A","Tab. 6B")</f><v>Tab. 6A</v></c><c r="AT141" s="2338" t="s"><v>1018</v></c><c r="AY141" s="30"><v>2</v></c><c r="AZ141" s="31"><v>1.0599000000000001</v></c><c r="BA141" s="32"><v>1059.2</v></c><c r="BC141" s="37"><v>670</v></c><c r="BD141" s="38"><v>0.67010000000000003</v></c><c r="BE141" s="39"><v>79.650000000000006</v></c><c r="BF141" s="1775"/></row><row r="142" spans="28:58"><c r="AB142" s="1796"/><c r="AK142" s="1875" t="s"><v>948</v></c><c r="AL142" s="1876"><f>AL94</f><v>27</v></c><c r="AM142" s="1877"><f>AH156</f><v>15</v></c><c r="AN142" s="1878"><f>IF($AG$93=2,"",G12)</f><v>205242</v></c><c r="AO142" s="1879"><f>IF($AG$93=2,"",ROUND(IF($AG$145=1,AN142,IF($AG$145=2,AN142/AS142,AN142/AT142)),0))</f><v>1449244</v></c><c r="AP142" s="1880"><f>IF($AG$93=2,"",IF($AG$145=1,ROUND(AN142*AS142,0),IF($AG$145=2,AN142,ROUND(AN142/AT142,1))))</f><v>1449244.5</v></c><c r="AQ142" s="1881"><f>IF($AG$93=2,"",IF($AG$145=1,ROUND(AT142*AP142,1),IF($AG$145=2,ROUND(AP142*AT142,1),AN142)))</f><v>205242</v></c><c r="AR142" s="1882"><f>IF($AG$93=2,"",ROUND(AO142*100/$AG$141,1))</f><v>132.6</v></c><c r="AS142" s="1883"><f>IF($AG$93=2,"",IF($AG$98=1,AW94,AW103))</f><v>1.0192000000000001</v></c><c r="AT142" s="1884"><f>IF($AG$93=2,"",AU130)</f><v>0.14162</v></c><c r="AY142" s="30"><v>2.1</v></c><c r="AZ142" s="31"><v>1.0590999999999999</v></c><c r="BA142" s="32"><v>1058.5</v></c><c r="BC142" s="37"><v>671</v></c><c r="BD142" s="38"><v>0.67110000000000003</v></c><c r="BE142" s="39"><v>79.34</v></c><c r="BF142" s="1775"/></row><row r="143" spans="28:58"><c r="AB143" s="1796"/><c r="AG143" s="3303" t="s"><v>1019</v></c><c r="AH143" s="3304"/><c r="AI143" s="3305"/><c r="AK143" s="1885" t="s"><v>949</v></c><c r="AL143" s="1886"><f>AL95</f><v>33.4</v></c><c r="AM143" s="1887"><f>AH157</f><v>15</v></c><c r="AN143" s="1888"><f>IF($AG$93=2,"",G13)</f><v>827370</v></c><c r="AO143" s="1889"><f>IF($AG$93=2,"",ROUND(IF($AG$145=1,AN143,IF($AG$145=2,AN143/AS143,AN143/AT143)),0))</f><v>6078240</v></c><c r="AP143" s="1890"><f>IF($AG$93=2,"",IF($AG$145=1,ROUND(AN143*AS143,0),IF($AG$145=2,AN143,ROUND(AN143/AT143,1))))</f><v>6078239.7999999998</v></c><c r="AQ143" s="1891"><f>IF($AG$93=2,"",IF($AG$145=1,ROUND(AT143*AP143,1),IF($AG$145=2,ROUND(AP143*AT143,1),AN143)))</f><v>827370</v></c><c r="AR143" s="1892"><f>IF($AG$93=2,"",ROUND(AO143*100/$AG$141,1))</f><v>556.20000000000005</v></c><c r="AS143" s="1893"><f>IF($AG$93=2,"",IF($AG$98=1,AW95,AW104))</f><v>1.0207999999999999</v></c><c r="AT143" s="1894"><f>IF($AG$93=2,"",AU131)</f><v>0.13611999999999999</v></c><c r="AY143" s="30"><v>2.2000000000000002</v></c><c r="AZ143" s="31"><v>1.0583</v></c><c r="BA143" s="32"><v>1057.7</v></c><c r="BC143" s="37"><v>672</v></c><c r="BD143" s="38"><v>0.67210000000000003</v></c><c r="BE143" s="39"><v>79.02</v></c><c r="BF143" s="1775"/></row><row r="144" spans="28:58"><c r="AB144" s="1796"/><c r="AG144" s="3306"/><c r="AH144" s="3307"/><c r="AI144" s="3308"/><c r="AK144" s="1875" t="s"><v>948</v></c><c r="AL144" s="1876"><f>AL96</f><v>27</v></c><c r="AM144" s="1895"><f>AH158</f><v>15</v></c><c r="AN144" s="1896"/><c r="AO144" s="1879"><f>IF($AG$93=2,"",AP144/AS144)</f><v>1421943.1907378335</v></c><c r="AP144" s="1897"><f>IF($AG$93=2,"",AP142)</f><v>1449244.5</v></c><c r="AQ144" s="1898"><f>IF($AG$93=2,"",AQ142)</f><v>205242</v></c><c r="AR144" s="1882"><f>IF($AG$93=2,"",ROUND(AO144*100/$AG$141,1))</f><v>130.1</v></c><c r="AS144" s="1883"><f>IF($AG$93=2,"",IF($AG$98=1,AW96,AW105))</f><v>1.0192000000000001</v></c><c r="AT144" s="1884"><f>IF($AG$93=2,"",AU132)</f><v>0.14162</v></c><c r="AY144" s="30"><v>2.2999999999999998</v></c><c r="AZ144" s="31"><v>1.0575000000000001</v></c><c r="BA144" s="32"><v>1056.9000000000001</v></c><c r="BC144" s="37"><v>673</v></c><c r="BD144" s="38"><v>0.67310000000000003</v></c><c r="BE144" s="39"><v>78.709999999999994</v></c><c r="BF144" s="1775"/></row><row r="145" spans="28:58" ht="13.15"><c r="AB145" s="1796"/><c r="AG145" s="1899"><v>3</v></c><c r="AH145" s="1802" t="str"><f>VLOOKUP(AG145,AG146:AH148,2)</f><v>MT</v></c><c r="AI145" s="1900"/><c r="AK145" s="1885" t="s"><v>949</v></c><c r="AL145" s="1886"><f>AL97</f><v>33.4</v></c><c r="AM145" s="1901"><f>AH158</f><v>15</v></c><c r="AN145" s="1828"/><c r="AO145" s="1889"><f>IF($AG$93=2,"",AP145/AS145)</f><v>5954388.5188087774</v></c><c r="AP145" s="1902"><f>IF($AG$93=2,"",AP143)</f><v>6078239.7999999998</v></c><c r="AQ145" s="1903"><f>IF($AG$93=2,"",AQ143)</f><v>827370</v></c><c r="AR145" s="1892"><f>IF($AG$93=2,"",ROUND(AO145*100/$AG$141,1))</f><v>544.9</v></c><c r="AS145" s="1893"><f>IF($AG$93=2,"",IF($AG$98=1,AW97,AW106))</f><v>1.0207999999999999</v></c><c r="AT145" s="1894"><f>IF($AG$93=2,"",AU133)</f><v>0.13611999999999999</v></c><c r="AY145" s="30"><v>2.4</v></c><c r="AZ145" s="31"><v>1.0568</v></c><c r="BA145" s="32"><v>1056.0999999999999</v></c><c r="BC145" s="37"><v>674</v></c><c r="BD145" s="38"><v>0.67410000000000003</v></c><c r="BE145" s="39"><v>78.400000000000006</v></c><c r="BF145" s="1775"/></row><row r="146" spans="28:58"><c r="AB146" s="1796"/><c r="AG146" s="1904"><v>1</v></c><c r="AH146" s="1166" t="s"><v>1020</v></c><c r="AI146" s="1905"/><c r="AK146" s="3295" t="s"><v>1021</v></c><c r="AL146" s="3297"><f>AH153</f><v>32.17</v></c><c r="AM146" s="3299"><f>AM134</f><v>15</v></c><c r="AN146" s="3301"/><c r="AO146" s="1906"><f>IF($AG$93=2,"",AO144+AO145)</f><v>7376331.7095466107</v></c><c r="AP146" s="3309"><f>IF($AG$93=2,"",AP144+AP145)</f><v>7527484.2999999998</v></c><c r="AQ146" s="3311"><f>IF($AG$93=2,"",AQ144+AQ145)</f><v>1032612</v></c><c r="AR146" s="3286"><f>IF($AG$93=2,"",ROUND(AO146*100/$AG$141,1))</f><v>675</v></c><c r="AS146" s="1907"/><c r="AT146" s="1908"/><c r="AY146" s="30"><v>2.5</v></c><c r="AZ146" s="31"><v>1.056</v></c><c r="BA146" s="32"><v>1055.3</v></c><c r="BC146" s="37"><v>675</v></c><c r="BD146" s="38"><v>0.67510000000000003</v></c><c r="BE146" s="39"><v>78.09</v></c><c r="BF146" s="1775"/></row><row r="147" spans="28:58"><c r="AB147" s="1796"/><c r="AG147" s="1904"><v>2</v></c><c r="AH147" s="1166" t="str"><f>IF($AG$93=1,"(@60°F)","(@15°C)")</f><v>(@60°F)</v></c><c r="AI147" s="1905"/><c r="AK147" s="3296"/><c r="AL147" s="3298"/><c r="AM147" s="3300"/><c r="AN147" s="3302"/><c r="AO147" s="1909"><f>IF($AG$93=2,"",AP146/AS147)</f><v>7376993.6299490398</v></c><c r="AP147" s="3310"/><c r="AQ147" s="3312"/><c r="AR147" s="3287"/><c r="AS147" s="1907"><f>IF($AG$93=2,"",IF($AG$98=1,AW98,AW107))</f><v>1.0204</v></c><c r="AT147" s="1908"><f>IF($AG$93=2,"",AU134)</f><v>0.13714000000000001</v></c><c r="AY147" s="30"><v>2.6</v></c><c r="AZ147" s="31"><v>1.0551999999999999</v></c><c r="BA147" s="32"><v>1054.5</v></c><c r="BC147" s="37"><v>676</v></c><c r="BD147" s="38"><v>0.67610000000000003</v></c><c r="BE147" s="39"><v>77.78</v></c><c r="BF147" s="1775"/></row><row r="148" spans="28:58"><c r="AB148" s="1796"/><c r="AG148" s="1910"><v>3</v></c><c r="AH148" s="1911" t="s"><v>946</v></c><c r="AI148" s="1912"/><c r="AY148" s="30"><v>2.7</v></c><c r="AZ148" s="31"><v>1.0544</v></c><c r="BA148" s="32"><v>1053.7</v></c><c r="BC148" s="37"><v>677</v></c><c r="BD148" s="38"><v>0.67710000000000004</v></c><c r="BE148" s="39"><v>77.47</v></c><c r="BF148" s="1775"/></row><row r="149" spans="28:58" ht="13.15"><c r="AB149" s="1796"/><c r="AK149" s="2327" t="s"><v>1022</v></c><c r="AL149" s="2328"/><c r="AM149" s="2328"/><c r="AN149" s="2328"/><c r="AO149" s="2328"/><c r="AP149" s="2328"/><c r="AQ149" s="2328"/><c r="AR149" s="2329"/><c r="AS149" s="2328"/><c r="AT149" s="2329"/><c r="AY149" s="30"><v>2.8</v></c><c r="AZ149" s="31"><v>1.0536000000000001</v></c><c r="BA149" s="32"><v>1052.9000000000001</v></c><c r="BC149" s="37"><v>678</v></c><c r="BD149" s="38"><v>0.67810000000000004</v></c><c r="BE149" s="39"><v>77.16</v></c><c r="BF149" s="1775"/></row><row r="150" spans="28:58" ht="13.15"><c r="AB150" s="1796"/><c r="AG150" s="1913"/><c r="AH150" s="1914" t="s"><v>18</v></c><c r="AI150" s="1914" t="s"><v>20</v></c><c r="AK150" s="2286"/><c r="AL150" s="3288" t="s"><v>576</v></c><c r="AM150" s="3289"/><c r="AN150" s="3292" t="str"><f>IF(AG145=1,"Volume (@obs.temp.)",IF(AG145=2,"Volume (@15°C","MT"))</f><v>MT</v></c><c r="AO150" s="2330" t="s"><v>592</v></c><c r="AP150" s="2330" t="s"><v>945</v></c><c r="AQ150" s="2331" t="s"><v>946</v></c><c r="AR150" s="2332" t="s"><v>1015</v></c><c r="AS150" s="2330" t="s"><v>204</v></c><c r="AT150" s="2293" t="s"><v>997</v></c><c r="AY150" s="30"><v>2.9</v></c><c r="AZ150" s="31"><v>1.0528</v></c><c r="BA150" s="32"><v>1052.2</v></c><c r="BC150" s="37"><v>679</v></c><c r="BD150" s="38"><v>0.67910000000000004</v></c><c r="BE150" s="39"><v>76.849999999999994</v></c><c r="BF150" s="1775"/></row><row r="151" spans="28:58"><c r="AB151" s="1796"/><c r="AG151" s="1615" t="s"><v>948</v></c><c r="AH151" s="1915"><f>AY98</f><v>27</v></c><c r="AI151" s="1916"><f>BC98</f><v>892.2</v></c><c r="AK151" s="2333"/><c r="AL151" s="3290"/><c r="AM151" s="3291"/><c r="AN151" s="3293"/><c r="AO151" s="2334" t="s"><v>1004</v></c><c r="AP151" s="2334" t="s"><v>1023</v></c><c r="AQ151" s="2333"/><c r="AR151" s="2334" t="s"><v>1004</v></c><c r="AS151" s="2333"/><c r="AT151" s="2333"/><c r="AY151" s="30"><v>3</v></c><c r="AZ151" s="31"><v>1.052</v></c><c r="BA151" s="32"><v>1051.4000000000001</v></c><c r="BC151" s="37"><v>680</v></c><c r="BD151" s="38"><v>0.68010000000000004</v></c><c r="BE151" s="39"><v>76.540000000000006</v></c><c r="BF151" s="1775"/></row><row r="152" spans="28:58" ht="13.15"><c r="AB152" s="1796"/><c r="AG152" s="1615" t="s"><v>949</v></c><c r="AH152" s="1915"><f>AY102</f><v>33.4</v></c><c r="AI152" s="1916"><f>BC102</f><v>857.6</v></c><c r="AK152" s="2308"/><c r="AL152" s="2335" t="s"><v>20</v></c><c r="AM152" s="2296" t="s"><v>1024</v></c><c r="AN152" s="3294"/><c r="AO152" s="2336" t="s"><v>1025</v></c><c r="AP152" s="2336" t="s"><v>1025</v></c><c r="AQ152" s="2337"/><c r="AR152" s="2336" t="s"><v>1005</v></c><c r="AS152" s="2336" t="str"><f>IF(AG98=1,"Tab. 54A","Tab. 54B")</f><v>Tab. 54A</v></c><c r="AT152" s="2338"/><c r="AY152" s="30"><v>3.1</v></c><c r="AZ152" s="31"><v>1.0512999999999999</v></c><c r="BA152" s="32"><v>1050.5999999999999</v></c><c r="BC152" s="37"><v>681</v></c><c r="BD152" s="38"><v>0.68110000000000004</v></c><c r="BE152" s="39"><v>76.239999999999995</v></c><c r="BF152" s="1775"/></row><row r="153" spans="28:58"><c r="AB153" s="1796"/><c r="AG153" s="1917" t="s"><v>1026</v></c><c r="AH153" s="1918"><f>IF($AG$93=1,ROUND((AH151*AO144+AH152*AO145)/(AO144+AO145),2),BE107)</f><v>32.17</v></c><c r="AI153" s="1919"><f>IF($AG$93=2,ROUND((AI151*AO155+AI152*AO156)/(AO155+AO156),2),BA107)</f><v>864.08</v></c><c r="AK153" s="1875" t="s"><v>948</v></c><c r="AL153" s="1876"><f>AI151</f><v>892.2</v></c><c r="AM153" s="1877"><f>AI156</f><v>-9.44</v></c><c r="AN153" s="1878" t="str"><f>IF($AG$93=1,"",G12)</f><v/></c><c r="AO153" s="1879" t="str"><f>IF($AG$93=1,"",ROUND(IF($AG$145=1,AN153,IF($AG$145=2,AN153/AS153,AN153/AT153)),0))</f><v/></c><c r="AP153" s="1880" t="str"><f>IF($AG$93=1,"",IF($AG$145=1,ROUND(AN153*AS153,0),IF($AG$145=2,AN153,ROUND(AN153/AT153,1))))</f><v/></c><c r="AQ153" s="1881" t="str"><f>IF($AG$93=1,"",IF($AG$145=1,ROUND(AT153*AP153,1),IF($AG$145=2,ROUND(AP153*AT153,1),AN153)))</f><v/></c><c r="AR153" s="1882" t="str"><f>IF($AG$93=1,"",ROUND(AO153*100/$AG$140,1))</f><v/></c><c r="AS153" s="1883" t="str"><f>IF($AG$93=1,"",IF($AG$98=1,AR130,AS130))</f><v/></c><c r="AT153" s="1884" t="str"><f>IF($AG$93=1,"",AI151/1000)</f><v/></c><c r="AY153" s="30"><v>3.2</v></c><c r="AZ153" s="31"><v>1.0505</v></c><c r="BA153" s="32"><v>1049.8</v></c><c r="BC153" s="37"><v>682</v></c><c r="BD153" s="38"><v>0.68210000000000004</v></c><c r="BE153" s="39"><v>75.930000000000007</v></c><c r="BF153" s="1775"/></row><row r="154" spans="28:58"><c r="AB154" s="1796"/><c r="AD154" s="566"/><c r="AK154" s="1885" t="s"><v>949</v></c><c r="AL154" s="1886"><f>AI152</f><v>857.6</v></c><c r="AM154" s="1887"><f>AI157</f><v>-9.44</v></c><c r="AN154" s="1888" t="str"><f>IF($AG$93=1,"",G13)</f><v/></c><c r="AO154" s="1889" t="str"><f>IF($AG$93=1,"",ROUND(IF($AG$145=1,AN154,IF($AG$145=2,AN154/AS154,AN154/AT154)),0))</f><v/></c><c r="AP154" s="1890" t="str"><f>IF($AG$93=1,"",IF($AG$145=1,ROUND(AN154*AS154,0),IF($AG$145=2,AN154,ROUND(AN154/AT154,1))))</f><v/></c><c r="AQ154" s="1891" t="str"><f>IF($AG$93=1,"",IF($AG$145=1,ROUND(AT154*AP154,1),IF($AG$145=2,ROUND(AP154*AT154,1),AN154)))</f><v/></c><c r="AR154" s="1892" t="str"><f>IF($AG$93=1,"",ROUND(AO154*100/$AG$140,1))</f><v/></c><c r="AS154" s="1893" t="str"><f>IF($AG$93=1,"",IF($AG$98=1,AR131,AS131))</f><v/></c><c r="AT154" s="1894" t="str"><f>IF($AG$93=1,"",AI152/1000)</f><v/></c><c r="AY154" s="30"><v>3.3</v></c><c r="AZ154" s="31"><v>1.0497000000000001</v></c><c r="BA154" s="32"><v>1049</v></c><c r="BC154" s="37"><v>683</v></c><c r="BD154" s="38"><v>0.68310000000000004</v></c><c r="BE154" s="39"><v>75.63</v></c><c r="BF154" s="1775"/></row><row r="155" spans="28:58" ht="13.15"><c r="AB155" s="1796"/><c r="AG155" s="1913"/><c r="AH155" s="1914" t="s"><v>1027</v></c><c r="AI155" s="1914" t="s"><v>1028</v></c><c r="AK155" s="1875" t="s"><v>948</v></c><c r="AL155" s="1876"><f>AI151</f><v>892.2</v></c><c r="AM155" s="1895"><f>AI158</f><v>-9.44</v></c><c r="AN155" s="1896"/><c r="AO155" s="1879" t="str"><f>IF($AG$93=1,"",AP155/AS155)</f><v/></c><c r="AP155" s="1897" t="str"><f>IF($AG$93=1,"",AP153)</f><v/></c><c r="AQ155" s="1898" t="str"><f>IF($AG$93=1,"",AQ153)</f><v/></c><c r="AR155" s="1882" t="str"><f>IF($AG$93=1,"",AO155*100/AG140)</f><v/></c><c r="AS155" s="1883" t="str"><f>IF($AG$93=1,"",IF($AG$98=1,AR132,AS132))</f><v/></c><c r="AT155" s="1884" t="str"><f>IF($AG$93=1,"",AI151/1000)</f><v/></c><c r="AY155" s="30"><v>3.4</v></c><c r="AZ155" s="31"><v>1.0488999999999999</v></c><c r="BA155" s="32"><v>1048.3</v></c><c r="BC155" s="37"><v>684</v></c><c r="BD155" s="38"><v>0.68420000000000003</v></c><c r="BE155" s="39"><v>75.33</v></c><c r="BF155" s="1775"/></row><row r="156" spans="28:58"><c r="AB156" s="1796"/><c r="AG156" s="1615" t="s"><v>1029</v></c><c r="AH156" s="1916"><f>ROUND(IF($AG$93=1,F12,(9/5)*F12+32),1)</f><v>15</v></c><c r="AI156" s="1916"><f>ROUND(IF($AG$93=2,F12,(F12-32)/9*5),2)</f><v>-9.44</v></c><c r="AK156" s="1885" t="s"><v>949</v></c><c r="AL156" s="1886"><f>AI152</f><v>857.6</v></c><c r="AM156" s="1901"><f>AI158</f><v>-9.44</v></c><c r="AN156" s="1828"/><c r="AO156" s="1889" t="str"><f>IF($AG$93=1,"",AP156/AS156)</f><v/></c><c r="AP156" s="1902" t="str"><f>IF($AG$93=1,"",AP154)</f><v/></c><c r="AQ156" s="1903" t="str"><f>IF($AG$93=1,"",AQ154)</f><v/></c><c r="AR156" s="1892" t="str"><f>IF($AG$93=1,"",AO156*100/AG140)</f><v/></c><c r="AS156" s="1893" t="str"><f>IF($AG$93=1,"",IF($AG$98=1,AR133,AS133))</f><v/></c><c r="AT156" s="1894" t="str"><f>IF($AG$93=1,"",AI152/1000)</f><v/></c><c r="AY156" s="30"><v>3.5</v></c><c r="AZ156" s="31"><v>1.0481</v></c><c r="BA156" s="32"><v>1047.5</v></c><c r="BC156" s="37"><v>685</v></c><c r="BD156" s="38"><v>0.68520000000000003</v></c><c r="BE156" s="39"><v>75.02</v></c><c r="BF156" s="1775"/></row><row r="157" spans="28:58"><c r="AB157" s="1796"/><c r="AG157" s="1615" t="s"><v>1030</v></c><c r="AH157" s="1916"><f>ROUND(IF($AG$93=1,F13,(9/5)*F13+32),1)</f><v>15</v></c><c r="AI157" s="1916"><f>ROUND(IF($AG$93=2,F13,(F13-32)/9*5),2)</f><v>-9.44</v></c><c r="AK157" s="3295" t="s"><v>1021</v></c><c r="AL157" s="3297"><f>AI153</f><v>864.08</v></c><c r="AM157" s="3299"><f>AO134</f><v>-9.44</v></c><c r="AN157" s="3301"/><c r="AO157" s="1906" t="str"><f>IF($AG$93=1,"",AO155+AO156)</f><v/></c><c r="AP157" s="3309" t="str"><f>IF($AG$93=1,"",AP155+AP156)</f><v/></c><c r="AQ157" s="3311" t="str"><f>IF($AG$93=1,"",AQ155+AQ156)</f><v/></c><c r="AR157" s="3286" t="str"><f>IF($AG$93=1,"",ROUND(AO157*100/$AG$140,1))</f><v/></c><c r="AS157" s="1907"/><c r="AT157" s="1908"/><c r="AY157" s="30"><v>3.6</v></c><c r="AZ157" s="31"><v>1.0474000000000001</v></c><c r="BA157" s="32"><v>1046.7</v></c><c r="BC157" s="37"><v>686</v></c><c r="BD157" s="38"><v>0.68620000000000003</v></c><c r="BE157" s="39"><v>74.72</v></c><c r="BF157" s="1775"/></row><row r="158" spans="28:58"><c r="AB158" s="1796"/><c r="AG158" s="1917" t="s"><v>1026</v></c><c r="AH158" s="1919"><f>IF($AG$93=1,ROUND(((AH156*AO142)+(AH157*AO143))/(AO142+AO143),1),ROUND((9/5)*AI158+32,1))</f><v>15</v></c><c r="AI158" s="1919"><f>ROUND(IF($AG$93=2,((AI156*AO153)+(AI157*AO154))/(AO153+AO154),(AH158-32)/9*5),2)</f><v>-9.44</v></c><c r="AK158" s="3296"/><c r="AL158" s="3298"/><c r="AM158" s="3300"/><c r="AN158" s="3302"/><c r="AO158" s="1909" t="str"><f>IF($AG$93=1,"",AP157/AS158)</f><v/></c><c r="AP158" s="3310"/><c r="AQ158" s="3312"/><c r="AR158" s="3287"/><c r="AS158" s="1907" t="str"><f>IF($AG$93=1,"",IF($AG$98=1,AW116,AW125))</f><v/></c><c r="AT158" s="1908" t="str"><f>IF($AG$93=1,"",AL157/1000)</f><v/></c><c r="AY158" s="30"><v>3.7</v></c><c r="AZ158" s="31"><v>1.0466</v></c><c r="BA158" s="32"><v>1045.9000000000001</v></c><c r="BC158" s="37"><v>687</v></c><c r="BD158" s="38"><v>0.68720000000000003</v></c><c r="BE158" s="39"><v>74.42</v></c><c r="BF158" s="1775"/></row><row r="159" spans="28:58"><c r="AB159" s="1796"/><c r="AY159" s="30"><v>3.8</v></c><c r="AZ159" s="31"><v>1.0458000000000001</v></c><c r="BA159" s="32"><v>1045.2</v></c><c r="BC159" s="37"><v>688</v></c><c r="BD159" s="38"><v>0.68820000000000003</v></c><c r="BE159" s="39"><v>74.12</v></c><c r="BF159" s="1775"/></row><row r="160" spans="28:58"><c r="AB160" s="1796"/><c r="AY160" s="30"><v>3.9</v></c><c r="AZ160" s="31"><v>1.0450999999999999</v></c><c r="BA160" s="32"><v>1044.4000000000001</v></c><c r="BC160" s="37"><v>689</v></c><c r="BD160" s="38"><v>0.68920000000000003</v></c><c r="BE160" s="39"><v>73.819999999999993</v></c><c r="BF160" s="1775"/></row><row r="161" spans="28:58"><c r="AB161" s="1796"/><c r="AG161" s="566" t="s"><v>952</v></c><c r="AY161" s="30"><v>4</v></c><c r="AZ161" s="31"><v>1.0443</v></c><c r="BA161" s="32"><v>1043.5999999999999</v></c><c r="BC161" s="37"><v>690</v></c><c r="BD161" s="38"><v>0.69020000000000004</v></c><c r="BE161" s="39"><v>73.53</v></c><c r="BF161" s="1775"/></row><row r="162" spans="28:58" ht="13.15"><c r="AB162" s="1796"/><c r="AG162" s="1866" t="s"><v>1012</v></c><c r="AH162" s="1867"/><c r="AI162" s="1868" t="s"><v>1013</v></c><c r="AK162" s="2327" t="s"><v>1014</v></c><c r="AL162" s="2328"/><c r="AM162" s="2328"/><c r="AN162" s="2328"/><c r="AO162" s="2328"/><c r="AP162" s="2328"/><c r="AQ162" s="2328"/><c r="AR162" s="2329"/><c r="AS162" s="2328"/><c r="AT162" s="2329"/><c r="AY162" s="30"><v>4.0999999999999996</v></c><c r="AZ162" s="31"><v>1.0435000000000001</v></c><c r="BA162" s="32"><v>1042.8</v></c><c r="BC162" s="37"><v>691</v></c><c r="BD162" s="38"><v>0.69120000000000004</v></c><c r="BE162" s="39"><v>73.23</v></c><c r="BF162" s="1775"/></row><row r="163" spans="28:58" ht="13.15"><c r="AB163" s="1796"/><c r="AG163" s="1869"><v>1</v></c><c r="AH163" s="1844"/><c r="AI163" s="1870"><f>(L6*100)/G6</f><v>98.00003568589733</v></c><c r="AK163" s="2286"/><c r="AL163" s="3288" t="s"><v>576</v></c><c r="AM163" s="3289"/><c r="AN163" s="3292" t="str"><f>AH169</f><v>% (MT)</v></c><c r="AO163" s="2330" t="s"><v>592</v></c><c r="AP163" s="2330" t="s"><v>945</v></c><c r="AQ163" s="2331" t="s"><v>946</v></c><c r="AR163" s="2332" t="s"><v>1015</v></c><c r="AS163" s="2330" t="s"><v>204</v></c><c r="AT163" s="2293" t="s"><v>997</v></c><c r="AY163" s="30"><v>4.2</v></c><c r="AZ163" s="31"><v>1.0427</v></c><c r="BA163" s="32"><v>1042.0999999999999</v></c><c r="BC163" s="37"><v>692</v></c><c r="BD163" s="38"><v>0.69220000000000004</v></c><c r="BE163" s="39"><v>72.930000000000007</v></c><c r="BF163" s="1775"/></row><row r="164" spans="28:58"><c r="AB164" s="1796"/><c r="AD164" s="1920"/><c r="AG164" s="1874"><f>G6</f><v>173738.1</v></c><c r="AH164" s="1921" t="str"><f>N6</f><v xml:space="preserve"> Cub.m.</v></c><c r="AI164" s="1873"><f>L6</f><v>170263.4</v></c><c r="AK164" s="2333"/><c r="AL164" s="3290"/><c r="AM164" s="3291"/><c r="AN164" s="3293"/><c r="AO164" s="2334" t="s"><v>1004</v></c><c r="AP164" s="2334" t="s"><v>1016</v></c><c r="AQ164" s="2333"/><c r="AR164" s="2334" t="s"><v>1004</v></c><c r="AS164" s="2333"/><c r="AT164" s="2333"/><c r="AV164" s="1920"/><c r="AY164" s="30"><v>4.3</v></c><c r="AZ164" s="31"><v>1.042</v></c><c r="BA164" s="32"><v>1041.3</v></c><c r="BC164" s="37"><v>693</v></c><c r="BD164" s="38"><v>0.69320000000000004</v></c><c r="BE164" s="39"><v>72.64</v></c><c r="BF164" s="1775"/></row><row r="165" spans="28:58" ht="13.15"><c r="AB165" s="1796"/><c r="AG165" s="1874"><f>G7</f><v>1092779.638761</v></c><c r="AH165" s="1921" t="str"><f>N7</f><v xml:space="preserve"> Bbls</v></c><c r="AI165" s="1873"><f>L7</f><v>1070924.4359539999</v></c><c r="AK165" s="2308"/><c r="AL165" s="2335" t="s"><v>18</v></c><c r="AM165" s="2296" t="s"><v>205</v></c><c r="AN165" s="3294"/><c r="AO165" s="2336" t="s"><v>1017</v></c><c r="AP165" s="2336" t="s"><v>1017</v></c><c r="AQ165" s="2337"/><c r="AR165" s="2336" t="s"><v>1005</v></c><c r="AS165" s="2336" t="str"><f>IF(AG98=1,"Tab. 6A","Tab. 6B")</f><v>Tab. 6A</v></c><c r="AT165" s="2338" t="s"><v>1018</v></c><c r="AY165" s="30"><v>4.4000000000000004</v></c><c r="AZ165" s="31"><v>1.0411999999999999</v></c><c r="BA165" s="32"><v>1040.5</v></c><c r="BC165" s="37"><v>694</v></c><c r="BD165" s="38"><v>0.69420000000000004</v></c><c r="BE165" s="39"><v>72.34</v></c><c r="BF165" s="1775"/></row><row r="166" spans="28:58"><c r="AB166" s="1796"/><c r="AK166" s="1875" t="s"><v>948</v></c><c r="AL166" s="1876"><f>AL94</f><v>27</v></c><c r="AM166" s="1877"><f>AH180</f><v>15</v></c><c r="AN166" s="1922"><f>IF($AG$93=2,"",G19)</f><v>20</v></c><c r="AO166" s="1879"><f>IF($AG$93=2,"",ROUND(AP168/AS166,0))</f><v>207714</v></c><c r="AP166" s="1880"/><c r="AQ166" s="1881"/><c r="AR166" s="1882"><f>IF($AG$93=2,"",ROUND(AO166*100/$AG$165,1))</f><v>19</v></c><c r="AS166" s="1883"><f>IF($AG$93=2,"",IF($AG$98=1,AW94,AW103))</f><v>1.0192000000000001</v></c><c r="AT166" s="1884"><f>IF($AG$93=2,"",AU130)</f><v>0.14162</v></c><c r="AU166" s="1920"/><c r="AV166" s="1920"/><c r="AW166" s="1920"/><c r="AY166" s="30"><v>4.5</v></c><c r="AZ166" s="31"><v>1.0404</v></c><c r="BA166" s="32"><v>1039.8</v></c><c r="BC166" s="37"><v>695</v></c><c r="BD166" s="38"><v>0.69520000000000004</v></c><c r="BE166" s="39"><v>72.05</v></c><c r="BF166" s="1775"/></row><row r="167" spans="28:58"><c r="AB167" s="1796"/><c r="AG167" s="3303" t="s"><v>1031</v></c><c r="AH167" s="3304"/><c r="AI167" s="3305"/><c r="AK167" s="1885" t="s"><v>949</v></c><c r="AL167" s="1886"><f>AL95</f><v>33.4</v></c><c r="AM167" s="1887"><f>AH181</f><v>15</v></c><c r="AN167" s="1923"><f>IF($AG$93=2,"",G20)</f><v>80</v></c><c r="AO167" s="1889"><f>IF($AG$93=2,"",ROUND(AP169/AS167,0))</f><v>863073</v></c><c r="AP167" s="1890"/><c r="AQ167" s="1891"/><c r="AR167" s="1892"><f>IF($AG$93=2,"",ROUND(AO167*100/$AG$165,1))</f><v>79</v></c><c r="AS167" s="1893"><f>IF($AG$93=2,"",IF($AG$98=1,AW95,AW104))</f><v>1.0207999999999999</v></c><c r="AT167" s="1894"><f>IF($AG$93=2,"",AU131)</f><v>0.13611999999999999</v></c><c r="AU167" s="1920"/><c r="AV167" s="1920"/><c r="AW167" s="1920"/><c r="AY167" s="30"><v>4.5999999999999996</v></c><c r="AZ167" s="31"><v>1.0397000000000001</v></c><c r="BA167" s="32"><v>1039</v></c><c r="BC167" s="37"><v>696</v></c><c r="BD167" s="38"><v>0.69620000000000004</v></c><c r="BE167" s="39"><v>71.760000000000005</v></c><c r="BF167" s="1775"/></row><row r="168" spans="28:58"><c r="AB168" s="1796"/><c r="AG168" s="3306"/><c r="AH168" s="3307"/><c r="AI168" s="3308"/><c r="AK168" s="1875" t="s"><v>948</v></c><c r="AL168" s="1876"><f>AL96</f><v>27</v></c><c r="AM168" s="1877"><f>AH182</f><v>15</v></c><c r="AN168" s="1922"><f>IF($AG$93=2,"",G19)</f><v>20</v></c><c r="AO168" s="1879"><f>IF($AG$93=2,"",AP168/AS168)</f><v>207713.8932496075</v></c><c r="AP168" s="1880"><f>IF($AG$93=2,"",ROUND(IF($AG$169=1,($AI$165/100)*AN168*AS168,IF($AG$169=2,($AI$165/100)*AN168*AS168,AQ168/AT168)),0))</f><v>211702</v></c><c r="AQ168" s="1881"><f>IF($AG$93=2,"",ROUND(IF($AG$169=1,AP168*AT168,IF($AG$169=2,AP168*AT168,($AQ$171/100)*AN168)),1))</f><v>29981.3</v></c><c r="AR168" s="1882"><f>IF($AG$93=2,"",ROUND(AO168*100/$AG$165,1))</f><v>19</v></c><c r="AS168" s="1883"><f>IF($AG$93=2,"",IF($AG$98=1,AW96,AW105))</f><v>1.0192000000000001</v></c><c r="AT168" s="1884"><f>IF($AG$93=2,"",AU132)</f><v>0.14162</v></c><c r="AU168" s="1920"/><c r="AV168" s="1920"/><c r="AW168" s="1920"/><c r="AY168" s="30"><v>4.7</v></c><c r="AZ168" s="31"><v>1.0388999999999999</v></c><c r="BA168" s="32"><v>1038.3</v></c><c r="BC168" s="37"><v>697</v></c><c r="BD168" s="38"><v>0.69720000000000004</v></c><c r="BE168" s="39"><v>71.459999999999994</v></c><c r="BF168" s="1775"/></row><row r="169" spans="28:58" ht="13.15"><c r="AB169" s="1796"/><c r="AG169" s="1899"><f>AG145</f><v>3</v></c><c r="AH169" s="1802" t="str"><f>VLOOKUP(AG169,AG170:AH172,2)</f><v>% (MT)</v></c><c r="AI169" s="1900"/><c r="AK169" s="1885" t="s"><v>949</v></c><c r="AL169" s="1886"><f>AL97</f><v>33.4</v></c><c r="AM169" s="1887"><f>AH182</f><v>15</v></c><c r="AN169" s="1923"><f>IF($AG$93=2,"",G20)</f><v>80</v></c><c r="AO169" s="1889"><f>IF($AG$93=2,"",AP169/AS169)</f><v>863073.07993730414</v></c><c r="AP169" s="1890"><f>IF($AG$93=2,"",ROUND(IF($AG$169=1,($AI$165/100)*AN169*AS169,IF($AG$169=2,($AI$165/100)*AN169*AS169,AQ169/AT169)),0))</f><v>881025</v></c><c r="AQ169" s="1891"><f>IF($AG$93=2,"",ROUND(IF($AG$169=1,AP169*AT169,IF($AG$169=2,AP169*AT169,($AQ$171/100)*AN169)),1))</f><v>119925.1</v></c><c r="AR169" s="1892"><f>IF($AG$93=2,"",ROUND(AO169*100/$AG$165,1))</f><v>79</v></c><c r="AS169" s="1893"><f>IF($AG$93=2,"",IF($AG$98=1,AW97,AW106))</f><v>1.0207999999999999</v></c><c r="AT169" s="1894"><f>IF($AG$93=2,"",AU133)</f><v>0.13611999999999999</v></c><c r="AU169" s="1924"/><c r="AW169" s="1920"/><c r="AY169" s="30"><v>4.8</v></c><c r="AZ169" s="31"><v>1.0382</v></c><c r="BA169" s="32"><v>1037.5</v></c><c r="BC169" s="37"><v>698</v></c><c r="BD169" s="38"><v>0.69820000000000004</v></c><c r="BE169" s="39"><v>71.17</v></c><c r="BF169" s="1775"/></row><row r="170" spans="28:58"><c r="AB170" s="1796"/><c r="AG170" s="1904"><v>1</v></c><c r="AH170" s="1166" t="s"><v>1032</v></c><c r="AI170" s="1905"/><c r="AK170" s="3295" t="s"><v>1033</v></c><c r="AL170" s="3297"><f>AH177</f><v>32.119999999999997</v></c><c r="AM170" s="3299"><f>AH182</f><v>15</v></c><c r="AN170" s="3301"/><c r="AO170" s="1925"><f>IF($AG$93=2,"",AO168+AO169)</f><v>1070786.9731869115</v></c><c r="AP170" s="1926"><f>IF($AG$93=2,"",AP168+AP169)</f><v>1092727</v></c><c r="AQ170" s="1927"><f>IF($AG$93=2,"",AQ168+AQ169)</f><v>149906.4</v></c><c r="AR170" s="3286"><f>IF($AG$93=2,"",ROUND(AO170*100/$AG$165,1))</f><v>98</v></c><c r="AS170" s="1907"/><c r="AT170" s="1908"/><c r="AY170" s="30"><v>4.9000000000000004</v></c><c r="AZ170" s="31"><v>1.0374000000000001</v></c><c r="BA170" s="32"><v>1036.7</v></c><c r="BC170" s="37"><v>699</v></c><c r="BD170" s="38"><v>0.69920000000000004</v></c><c r="BE170" s="39"><v>70.88</v></c><c r="BF170" s="1775"/></row><row r="171" spans="28:58"><c r="AB171" s="1796"/><c r="AG171" s="1904"><v>2</v></c><c r="AH171" s="1166" t="str"><f>IF($AG$93=1,"% (@60°F)","% (@15°C)")</f><v>% (@60°F)</v></c><c r="AI171" s="1905"/><c r="AK171" s="3296"/><c r="AL171" s="3298"/><c r="AM171" s="3300"/><c r="AN171" s="3302"/><c r="AO171" s="1909"><f>IF($AG$93=2,"",$AI$165)</f><v>1070924.4359539999</v></c><c r="AP171" s="1928"><f>IF($AG$93=2,"",AO171*AS171)</f><v>1092771.2944474614</v></c><c r="AQ171" s="1929"><f>IF($AG$93=2,"",AP171*AT171)</f><v>149906.36617230275</v></c><c r="AR171" s="3287"/><c r="AS171" s="1907"><f>IF($AG$93=2,"",IF($AG$98=1,AP135,AQ135))</f><v>1.0204</v></c><c r="AT171" s="1908"><f>IF($AG$93=2,"",AU135)</f><v>0.13718</v></c><c r="AU171" s="1920"/><c r="AV171" s="1920"/><c r="AW171" s="1920"/><c r="AY171" s="30"><v>5</v></c><c r="AZ171" s="31"><v>1.0366</v></c><c r="BA171" s="32"><v>1036</v></c><c r="BC171" s="37"><v>700</v></c><c r="BD171" s="38"><v>0.70020000000000004</v></c><c r="BE171" s="39"><v>70.59</v></c><c r="BF171" s="1775"/></row><row r="172" spans="28:58"><c r="AB172" s="1796"/><c r="AG172" s="1910"><v>3</v></c><c r="AH172" s="1911" t="s"><v>1034</v></c><c r="AI172" s="1912"/><c r="AY172" s="30"><v>5.0999999999999996</v></c><c r="AZ172" s="31"><v>1.0359</v></c><c r="BA172" s="32"><v>1035.2</v></c><c r="BC172" s="37"><v>701</v></c><c r="BD172" s="38"><v>0.70120000000000005</v></c><c r="BE172" s="39"><v>70.3</v></c><c r="BF172" s="1775"/></row><row r="173" spans="28:58" ht="13.15"><c r="AB173" s="1796"/><c r="AK173" s="2327" t="s"><v>1022</v></c><c r="AL173" s="2328"/><c r="AM173" s="2328"/><c r="AN173" s="2328"/><c r="AO173" s="2328"/><c r="AP173" s="2328"/><c r="AQ173" s="2328"/><c r="AR173" s="2329"/><c r="AS173" s="2328"/><c r="AT173" s="2329"/><c r="AY173" s="30"><v>5.2</v></c><c r="AZ173" s="31"><v>1.0350999999999999</v></c><c r="BA173" s="32"><v>1034.5</v></c><c r="BC173" s="37"><v>702</v></c><c r="BD173" s="38"><v>0.70220000000000005</v></c><c r="BE173" s="39"><v>70.02</v></c><c r="BF173" s="1775"/></row><row r="174" spans="28:58" ht="13.15"><c r="AB174" s="1796"/><c r="AG174" s="1913"/><c r="AH174" s="1914" t="s"><v>18</v></c><c r="AI174" s="1914" t="s"><v>20</v></c><c r="AK174" s="2286"/><c r="AL174" s="3288" t="s"><v>576</v></c><c r="AM174" s="3289"/><c r="AN174" s="3292" t="str"><f>AH169</f><v>% (MT)</v></c><c r="AO174" s="2330" t="s"><v>592</v></c><c r="AP174" s="2330" t="s"><v>945</v></c><c r="AQ174" s="2331" t="s"><v>946</v></c><c r="AR174" s="2332" t="s"><v>1015</v></c><c r="AS174" s="2330" t="s"><v>204</v></c><c r="AT174" s="2293" t="s"><v>997</v></c><c r="AY174" s="30"><v>5.3</v></c><c r="AZ174" s="31"><v>1.0344</v></c><c r="BA174" s="32"><v>1033.7</v></c><c r="BC174" s="37"><v>703</v></c><c r="BD174" s="38"><v>0.70320000000000005</v></c><c r="BE174" s="39"><v>69.73</v></c><c r="BF174" s="1775"/></row><row r="175" spans="28:58"><c r="AB175" s="1796"/><c r="AG175" s="1615" t="s"><v>948</v></c><c r="AH175" s="1915"><f>AH151</f><v>27</v></c><c r="AI175" s="1916"><f>AI151</f><v>892.2</v></c><c r="AK175" s="2333"/><c r="AL175" s="3290"/><c r="AM175" s="3291"/><c r="AN175" s="3293"/><c r="AO175" s="2334" t="s"><v>1004</v></c><c r="AP175" s="2334" t="s"><v>1023</v></c><c r="AQ175" s="2333"/><c r="AR175" s="2334" t="s"><v>1004</v></c><c r="AS175" s="2333"/><c r="AT175" s="2333"/><c r="AY175" s="30"><v>5.4</v></c><c r="AZ175" s="31"><v>1.0336000000000001</v></c><c r="BA175" s="32"><v>1033</v></c><c r="BC175" s="37"><v>704</v></c><c r="BD175" s="38"><v>0.70420000000000005</v></c><c r="BE175" s="39"><v>69.44</v></c><c r="BF175" s="1775"/></row><row r="176" spans="28:58" ht="13.15"><c r="AB176" s="1796"/><c r="AG176" s="1615" t="s"><v>949</v></c><c r="AH176" s="1915"><f>AH152</f><v>33.4</v></c><c r="AI176" s="1916"><f>AI152</f><v>857.6</v></c><c r="AK176" s="2308"/><c r="AL176" s="2335" t="s"><v>20</v></c><c r="AM176" s="2296" t="s"><v>1024</v></c><c r="AN176" s="3294"/><c r="AO176" s="2336" t="s"><v>1025</v></c><c r="AP176" s="2336" t="s"><v>1025</v></c><c r="AQ176" s="2337"/><c r="AR176" s="2336" t="s"><v>1005</v></c><c r="AS176" s="2336" t="str"><f>IF(AG98=1,"Tab. 54A","Tab. 54B")</f><v>Tab. 54A</v></c><c r="AT176" s="2338"/><c r="AY176" s="30"><v>5.5</v></c><c r="AZ176" s="31"><v>1.0327999999999999</v></c><c r="BA176" s="32"><v>1032.2</v></c><c r="BC176" s="37"><v>705</v></c><c r="BD176" s="38"><v>0.70520000000000005</v></c><c r="BE176" s="39"><v>69.16</v></c><c r="BF176" s="1775"/></row><row r="177" spans="28:58"><c r="AB177" s="1796"/><c r="AG177" s="1917" t="s"><v>1035</v></c><c r="AH177" s="1918"><f>IF($AG$93=1,ROUND((AH175*AN166+AH176*AN167)/(AN166+AN167),2),BE112)</f><v>32.119999999999997</v></c><c r="AI177" s="1919"><f>IF($AG$93=2,ROUND((AI175*AN177+AI176*AN178)/(AN177+AN178),2),BA112)</f><v>864.38</v></c><c r="AK177" s="1875" t="s"><v>948</v></c><c r="AL177" s="1876"><f>AI175</f><v>892.2</v></c><c r="AM177" s="1877"><f>AI180</f><v>-9.44</v></c><c r="AN177" s="1922" t="str"><f>IF($AG$93=1,"",G19)</f><v/></c><c r="AO177" s="1879" t="str"><f>IF($AG$93=1,"",ROUND(AP179/AS177,0))</f><v/></c><c r="AP177" s="1880"/><c r="AQ177" s="1881"/><c r="AR177" s="1882" t="str"><f>IF($AG$93=1,"",ROUND(AO177*100/$AG$164,1))</f><v/></c><c r="AS177" s="1883" t="str"><f>IF($AG$93=1,"",IF($AG$98=1,AR130,AS130))</f><v/></c><c r="AT177" s="1884" t="str"><f>IF($AG$93=1,"",AI175/1000)</f><v/></c><c r="AY177" s="30"><v>5.6</v></c><c r="AZ177" s="31"><v>1.0321</v></c><c r="BA177" s="32"><v>1031.4000000000001</v></c><c r="BC177" s="37"><v>706</v></c><c r="BD177" s="38"><v>0.70620000000000005</v></c><c r="BE177" s="39"><v>68.87</v></c><c r="BF177" s="1775"/></row><row r="178" spans="28:58"><c r="AB178" s="1796"/><c r="AK178" s="1885" t="s"><v>949</v></c><c r="AL178" s="1886"><f>AI176</f><v>857.6</v></c><c r="AM178" s="1887"><f>AI181</f><v>-9.44</v></c><c r="AN178" s="1923" t="str"><f>IF($AG$93=1,"",G20)</f><v/></c><c r="AO178" s="1889" t="str"><f>IF($AG$93=1,"",ROUND(AP180/AS178,0))</f><v/></c><c r="AP178" s="1890"/><c r="AQ178" s="1891"/><c r="AR178" s="1892" t="str"><f>IF($AG$93=1,"",ROUND(AO178*100/$AG$164,1))</f><v/></c><c r="AS178" s="1893" t="str"><f>IF($AG$93=1,"",IF($AG$98=1,AR131,AS131))</f><v/></c><c r="AT178" s="1894" t="str"><f>IF($AG$93=1,"",AI176/1000)</f><v/></c><c r="AY178" s="30"><v>5.7</v></c><c r="AZ178" s="31"><v>1.0313000000000001</v></c><c r="BA178" s="32"><v>1030.7</v></c><c r="BC178" s="37"><v>707</v></c><c r="BD178" s="38"><v>0.70720000000000005</v></c><c r="BE178" s="39"><v>68.59</v></c><c r="BF178" s="1775"/></row><row r="179" spans="28:58" ht="13.15"><c r="AB179" s="1796"/><c r="AG179" s="1913"/><c r="AH179" s="1914" t="s"><v>1027</v></c><c r="AI179" s="1914" t="s"><v>1028</v></c><c r="AK179" s="1875" t="s"><v>948</v></c><c r="AL179" s="1876"><f>AI175</f><v>892.2</v></c><c r="AM179" s="1877"><f>AI182</f><v>-9.44</v></c><c r="AN179" s="1922" t="str"><f>IF($AG$93=1,"",G19)</f><v/></c><c r="AO179" s="1879" t="str"><f>IF($AG$93=1,"",AP179/AS179)</f><v/></c><c r="AP179" s="1880" t="str"><f>IF($AG$93=1,"",ROUND(IF($AG$169=1,($AI$164/100)*AN179*AS179,IF($AG$169=2,($AI$164/100)*AN179*AS179,AQ179/AT179)),0))</f><v/></c><c r="AQ179" s="1881" t="str"><f>IF($AG$93=1,"",ROUND(IF($AG$169=1,AP179*AT179,IF($AG$169=2,AP179*AT179,($AQ$171/100)*AN179)),1))</f><v/></c><c r="AR179" s="1882" t="str"><f>IF($AG$93=1,"",AO179*100/$AG$164)</f><v/></c><c r="AS179" s="1883" t="str"><f>IF($AG$93=1,"",IF($AG$98=1,AR132,AS132))</f><v/></c><c r="AT179" s="1884" t="str"><f>IF($AG$93=1,"",AI175/1000)</f><v/></c><c r="AY179" s="30"><v>5.8</v></c><c r="AZ179" s="31"><v>1.0306</v></c><c r="BA179" s="32"><v>1029.9000000000001</v></c><c r="BC179" s="37"><v>708</v></c><c r="BD179" s="38"><v>0.70820000000000005</v></c><c r="BE179" s="39"><v>68.31</v></c><c r="BF179" s="1775"/></row><row r="180" spans="28:58"><c r="AB180" s="1796"/><c r="AG180" s="1615" t="s"><v>1029</v></c><c r="AH180" s="1916"><f>AH156</f><v>15</v></c><c r="AI180" s="1916"><f>AI156</f><v>-9.44</v></c><c r="AK180" s="1885" t="s"><v>949</v></c><c r="AL180" s="1886"><f>AI176</f><v>857.6</v></c><c r="AM180" s="1887"><f>AI182</f><v>-9.44</v></c><c r="AN180" s="1923" t="str"><f>IF($AG$93=1,"",G20)</f><v/></c><c r="AO180" s="1889" t="str"><f>IF($AG$93=1,"",AP180/AS180)</f><v/></c><c r="AP180" s="1890" t="str"><f>IF($AG$93=1,"",ROUND(IF($AG$169=1,($AI$164/100)*AN180*AS180,IF($AG$169=2,($AI$164/100)*AN180*AS180,AQ180/AT180)),0))</f><v/></c><c r="AQ180" s="1891" t="str"><f>IF($AG$93=1,"",ROUND(IF($AG$169=1,AP180*AT180,IF($AG$169=2,AP180*AT180,($AQ$171/100)*AN180)),1))</f><v/></c><c r="AR180" s="1892" t="str"><f>IF($AG$93=1,"",AO180*100/$AG$164)</f><v/></c><c r="AS180" s="1893" t="str"><f>IF($AG$93=1,"",IF($AG$98=1,AR133,AS133))</f><v/></c><c r="AT180" s="1894" t="str"><f>IF($AG$93=1,"",AI176/1000)</f><v/></c><c r="AY180" s="30"><v>5.9</v></c><c r="AZ180" s="31"><v>1.0298</v></c><c r="BA180" s="32"><v>1029.2</v></c><c r="BC180" s="37"><v>709</v></c><c r="BD180" s="38"><v>0.70920000000000005</v></c><c r="BE180" s="39"><v>68.02</v></c><c r="BF180" s="1775"/></row><row r="181" spans="28:58"><c r="AB181" s="1796"/><c r="AG181" s="1615" t="s"><v>1030</v></c><c r="AH181" s="1916"><f>AH157</f><v>15</v></c><c r="AI181" s="1916"><f>AI157</f><v>-9.44</v></c><c r="AK181" s="3295" t="s"><v>1033</v></c><c r="AL181" s="3297"><f>AI177</f><v>864.38</v></c><c r="AM181" s="3299"><f>AI182</f><v>-9.44</v></c><c r="AN181" s="3301"/><c r="AO181" s="1906" t="str"><f>IF($AG$93=1,"",AO179+AO180)</f><v/></c><c r="AP181" s="2461" t="str"><f>IF($AG$93=1,"",AP179+AP180)</f><v/></c><c r="AQ181" s="2462" t="str"><f>IF($AG$93=1,"",AQ179+AQ180)</f><v/></c><c r="AR181" s="3286" t="str"><f>IF($AG$93=1,"",ROUND(AO181*100/$AG$164,1))</f><v/></c><c r="AS181" s="1907"/><c r="AT181" s="1908"/><c r="AY181" s="30"><v>6</v></c><c r="AZ181" s="31"><v>1.0290999999999999</v></c><c r="BA181" s="32"><v>1028.4000000000001</v></c><c r="BC181" s="37"><v>710</v></c><c r="BD181" s="38"><v>0.71020000000000005</v></c><c r="BE181" s="39"><v>67.739999999999995</v></c><c r="BF181" s="1775"/></row><row r="182" spans="28:58"><c r="AB182" s="1796"/><c r="AG182" s="1917" t="s"><v>1035</v></c><c r="AH182" s="1919"><f>IF($AG$93=1,ROUND(((AH180*AN166)+(AH181*AN167))/(AN166+AN167),1),ROUND((9/5)*AI182+32,1))</f><v>15</v></c><c r="AI182" s="1919"><f>ROUND(IF($AG$93=2,((AI180*AN177)+(AI181*AN178))/(AN177+AN178),(AH182-32)/9*5),2)</f><v>-9.44</v></c><c r="AK182" s="3296"/><c r="AL182" s="3298"/><c r="AM182" s="3300"/><c r="AN182" s="3302"/><c r="AO182" s="1909" t="str"><f>IF($AG$93=1,"",$AI$164)</f><v/></c><c r="AP182" s="1928" t="str"><f>IF($AG$93=1,"",AO182*AS182)</f><v/></c><c r="AQ182" s="1929" t="str"><f>IF($AG$93=1,"",AP182*AT182)</f><v/></c><c r="AR182" s="3287"/><c r="AS182" s="1907" t="str"><f>IF($AG$93=1,"",IF($AG$98=1,AR135,AS135))</f><v/></c><c r="AT182" s="1908" t="str"><f>IF($AG$93=1,"",AL181/1000)</f><v/></c><c r="AY182" s="30"><v>6.1</v></c><c r="AZ182" s="31"><v>1.0283</v></c><c r="BA182" s="32"><v>1027.7</v></c><c r="BC182" s="37"><v>711</v></c><c r="BD182" s="38"><v>0.71120000000000005</v></c><c r="BE182" s="39"><v>67.459999999999994</v></c><c r="BF182" s="1775"/></row><row r="183" spans="28:58"><c r="AB183" s="1796"/><c r="AY183" s="30"><v>6.2</v></c><c r="AZ183" s="31"><v>1.0276000000000001</v></c><c r="BA183" s="32"><v>1027</v></c><c r="BC183" s="37"><v>712</v></c><c r="BD183" s="38"><v>0.71220000000000006</v></c><c r="BE183" s="39"><v>67.180000000000007</v></c><c r="BF183" s="1775"/></row><row r="184" spans="28:58"><c r="AB184" s="1796"/><c r="AY184" s="30"><v>6.3</v></c><c r="AZ184" s="31"><v>1.0268999999999999</v></c><c r="BA184" s="32"><v>1026.2</v></c><c r="BC184" s="37"><v>713</v></c><c r="BD184" s="38"><v>0.71319999999999995</v></c><c r="BE184" s="39"><v>66.900000000000006</v></c><c r="BF184" s="1775"/></row><row r="185" spans="28:58"><c r="AB185" s="1796"/><c r="AY185" s="30"><v>6.4</v></c><c r="AZ185" s="31"><v>1.0261</v></c><c r="BA185" s="32"><v>1025.5</v></c><c r="BC185" s="37"><v>714</v></c><c r="BD185" s="38"><v>0.71419999999999995</v></c><c r="BE185" s="39"><v>66.63</v></c><c r="BF185" s="1775"/></row><row r="186" spans="28:58"><c r="AB186" s="1796"/><c r="AY186" s="30"><v>6.5</v></c><c r="AZ186" s="31"><v>1.0254000000000001</v></c><c r="BA186" s="32"><v>1024.7</v></c><c r="BC186" s="37"><v>715</v></c><c r="BD186" s="38"><v>0.71519999999999995</v></c><c r="BE186" s="39"><v>66.349999999999994</v></c><c r="BF186" s="1775"/></row><row r="187" spans="28:58"><c r="AB187" s="1796"/><c r="AY187" s="30"><v>6.6</v></c><c r="AZ187" s="31"><v>1.0246</v></c><c r="BA187" s="32"><v>1024</v></c><c r="BC187" s="37"><v>716</v></c><c r="BD187" s="38"><v>0.71619999999999995</v></c><c r="BE187" s="39"><v>66.069999999999993</v></c><c r="BF187" s="1775"/></row><row r="188" spans="28:58"><c r="AB188" s="1796"/><c r="AY188" s="30"><v>6.7</v></c><c r="AZ188" s="31"><v>1.0239</v></c><c r="BA188" s="32"><v>1023.2</v></c><c r="BC188" s="37"><v>717</v></c><c r="BD188" s="38"><v>0.71719999999999995</v></c><c r="BE188" s="39"><v>65.8</v></c><c r="BF188" s="1775"/></row><row r="189" spans="28:58"><c r="AB189" s="1796"/><c r="AY189" s="30"><v>6.8</v></c><c r="AZ189" s="31"><v>1.0230999999999999</v></c><c r="BA189" s="32"><v>1022.5</v></c><c r="BC189" s="37"><v>718</v></c><c r="BD189" s="38"><v>0.71819999999999995</v></c><c r="BE189" s="39"><v>65.52</v></c><c r="BF189" s="1775"/></row><row r="190" spans="28:58"><c r="AB190" s="1796"/><c r="AY190" s="30"><v>6.9</v></c><c r="AZ190" s="31"><v>1.0224</v></c><c r="BA190" s="32"><v>1021.8</v></c><c r="BC190" s="37"><v>719</v></c><c r="BD190" s="38"><v>0.71919999999999995</v></c><c r="BE190" s="39"><v>65.25</v></c><c r="BF190" s="1775"/></row><row r="191" spans="28:58"><c r="AB191" s="1796"/><c r="AY191" s="30"><v>7</v></c><c r="AZ191" s="31"><v>1.0217000000000001</v></c><c r="BA191" s="32"><v>1021</v></c><c r="BC191" s="37"><v>720</v></c><c r="BD191" s="38"><v>0.72019999999999995</v></c><c r="BE191" s="39"><v>64.97</v></c><c r="BF191" s="1775"/></row><row r="192" spans="28:58"><c r="AB192" s="1796"/><c r="AY192" s="30"><v>7.1</v></c><c r="AZ192" s="31"><v>1.0208999999999999</v></c><c r="BA192" s="32"><v>1020.3</v></c><c r="BC192" s="37"><v>721</v></c><c r="BD192" s="38"><v>0.72119999999999995</v></c><c r="BE192" s="39"><v>64.7</v></c><c r="BF192" s="1775"/></row><row r="193" spans="28:58"><c r="AB193" s="1796"/><c r="AY193" s="30"><v>7.2</v></c><c r="AZ193" s="31"><v>1.0202</v></c><c r="BA193" s="32"><v>1019.6</v></c><c r="BC193" s="37"><v>722</v></c><c r="BD193" s="38"><v>0.72219999999999995</v></c><c r="BE193" s="39"><v>64.430000000000007</v></c><c r="BF193" s="1775"/></row><row r="194" spans="28:58"><c r="AB194" s="1796"/><c r="AY194" s="30"><v>7.3</v></c><c r="AZ194" s="31"><v>1.0195000000000001</v></c><c r="BA194" s="32"><v>1018.8</v></c><c r="BC194" s="37"><v>723</v></c><c r="BD194" s="38"><v>0.72319999999999995</v></c><c r="BE194" s="39"><v>64.16</v></c><c r="BF194" s="1775"/></row><row r="195" spans="28:58"><c r="AB195" s="1796"/><c r="AY195" s="30"><v>7.4</v></c><c r="AZ195" s="31"><v>1.0186999999999999</v></c><c r="BA195" s="32"><v>1018.1</v></c><c r="BC195" s="37"><v>724</v></c><c r="BD195" s="38"><v>0.72419999999999995</v></c><c r="BE195" s="39"><v>63.89</v></c><c r="BF195" s="1775"/></row><row r="196" spans="28:58"><c r="AB196" s="1796"/><c r="AY196" s="30"><v>7.5</v></c><c r="AZ196" s="31"><v>1.018</v></c><c r="BA196" s="32"><v>1017.4</v></c><c r="BC196" s="37"><v>725</v></c><c r="BD196" s="38"><v>0.72519999999999996</v></c><c r="BE196" s="39"><v>63.62</v></c><c r="BF196" s="1775"/></row><row r="197" spans="28:58"><c r="AB197" s="1796"/><c r="AY197" s="30"><v>7.6</v></c><c r="AZ197" s="31"><v>1.0173000000000001</v></c><c r="BA197" s="32"><v>1016.6</v></c><c r="BC197" s="37"><v>726</v></c><c r="BD197" s="38"><v>0.72619999999999996</v></c><c r="BE197" s="39"><v>63.35</v></c><c r="BF197" s="1775"/></row><row r="198" spans="28:58"><c r="AB198" s="1796"/><c r="AY198" s="30"><v>7.7</v></c><c r="AZ198" s="31"><v>1.0165</v></c><c r="BA198" s="32"><v>1015.9</v></c><c r="BC198" s="37"><v>727</v></c><c r="BD198" s="38"><v>0.72719999999999996</v></c><c r="BE198" s="39"><v>63.08</v></c><c r="BF198" s="1775"/></row><row r="199" spans="28:58"><c r="AB199" s="1796"/><c r="AY199" s="30"><v>7.8</v></c><c r="AZ199" s="31"><v>1.0158</v></c><c r="BA199" s="32"><v>1015.2</v></c><c r="BC199" s="37"><v>728</v></c><c r="BD199" s="38"><v>0.72819999999999996</v></c><c r="BE199" s="39"><v>62.81</v></c><c r="BF199" s="1775"/></row><row r="200" spans="28:58" ht="12.75" customHeight="1"><c r="AB200" s="1796"/><c r="AY200" s="30"><v>7.9</v></c><c r="AZ200" s="31"><v>1.0150999999999999</v></c><c r="BA200" s="32"><v>1014.4</v></c><c r="BC200" s="37"><v>729</v></c><c r="BD200" s="38"><v>0.72919999999999996</v></c><c r="BE200" s="39"><v>62.54</v></c><c r="BF200" s="1775"/></row><row r="201" spans="28:58"><c r="AB201" s="1796"/><c r="AY201" s="30"><v>8</v></c><c r="AZ201" s="31"><v>1.0143</v></c><c r="BA201" s="32"><v>1013.7</v></c><c r="BC201" s="37"><v>730</v></c><c r="BD201" s="38"><v>0.73019999999999996</v></c><c r="BE201" s="39"><v>62.28</v></c><c r="BF201" s="1775"/></row><row r="202" spans="28:58"><c r="AB202" s="1796"/><c r="AY202" s="30"><v>8.1</v></c><c r="AZ202" s="31"><v>1.0136000000000001</v></c><c r="BA202" s="32"><v>1013</v></c><c r="BC202" s="37"><v>731</v></c><c r="BD202" s="38"><v>0.73119999999999996</v></c><c r="BE202" s="39"><v>62.01</v></c><c r="BF202" s="1775"/></row><row r="203" spans="28:58"><c r="AB203" s="1796"/><c r="AY203" s="30"><v>8.1999999999999993</v></c><c r="AZ203" s="31"><v>1.0128999999999999</v></c><c r="BA203" s="32"><v>1012.3</v></c><c r="BC203" s="37"><v>732</v></c><c r="BD203" s="38"><v>0.73219999999999996</v></c><c r="BE203" s="39"><v>61.75</v></c><c r="BF203" s="1775"/></row><row r="204" spans="28:58"><c r="AB204" s="1796"/><c r="AY204" s="30"><v>8.3000000000000007</v></c><c r="AZ204" s="31"><v>1.0122</v></c><c r="BA204" s="32"><v>1011.5</v></c><c r="BC204" s="37"><v>733</v></c><c r="BD204" s="38"><v>0.73319999999999996</v></c><c r="BE204" s="39"><v>61.48</v></c><c r="BF204" s="1775"/></row><row r="205" spans="28:58"><c r="AB205" s="1796"/><c r="AY205" s="30"><v>8.4</v></c><c r="AZ205" s="31"><v>1.0114000000000001</v></c><c r="BA205" s="32"><v>1010.8</v></c><c r="BC205" s="37"><v>734</v></c><c r="BD205" s="38"><v>0.73419999999999996</v></c><c r="BE205" s="39"><v>61.22</v></c><c r="BF205" s="1775"/></row><row r="206" spans="28:58"><c r="AB206" s="1796"/><c r="AY206" s="30"><v>8.5</v></c><c r="AZ206" s="31"><v>1.0106999999999999</v></c><c r="BA206" s="32"><v>1010.1</v></c><c r="BC206" s="37"><v>735</v></c><c r="BD206" s="38"><v>0.73519999999999996</v></c><c r="BE206" s="39"><v>60.96</v></c><c r="BF206" s="1775"/></row><row r="207" spans="28:58"><c r="AB207" s="1796"/><c r="AY207" s="30"><v>8.6</v></c><c r="AZ207" s="31"><v>1.01</v></c><c r="BA207" s="32"><v>1009.4</v></c><c r="BC207" s="37"><v>736</v></c><c r="BD207" s="38"><v>0.73619999999999997</v></c><c r="BE207" s="39"><v>60.7</v></c><c r="BF207" s="1775"/></row><row r="208" spans="28:58"><c r="AB208" s="1796"/><c r="AY208" s="30"><v>8.6999999999999993</v></c><c r="AZ208" s="31"><v>1.0093000000000001</v></c><c r="BA208" s="32"><v>1008.6</v></c><c r="BC208" s="37"><v>737</v></c><c r="BD208" s="38"><v>0.73719999999999997</v></c><c r="BE208" s="39"><v>60.44</v></c><c r="BF208" s="1775"/></row><row r="209" spans="28:58"><c r="AB209" s="1796"/><c r="AY209" s="30"><v>8.8000000000000007</v></c><c r="AZ209" s="31"><v>1.0085999999999999</v></c><c r="BA209" s="32"><v>1007.9</v></c><c r="BC209" s="37"><v>738</v></c><c r="BD209" s="38"><v>0.73819999999999997</v></c><c r="BE209" s="39"><v>60.18</v></c><c r="BF209" s="1775"/></row><row r="210" spans="28:58"><c r="AB210" s="1796"/><c r="AY210" s="30"><v>8.9</v></c><c r="AZ210" s="31"><v>1.0078</v></c><c r="BA210" s="32"><v>1007.2</v></c><c r="BC210" s="37"><v>739</v></c><c r="BD210" s="38"><v>0.73919999999999997</v></c><c r="BE210" s="39"><v>59.92</v></c><c r="BF210" s="1775"/></row><row r="211" spans="28:58"><c r="AB211" s="1796"/><c r="AY211" s="30"><v>9</v></c><c r="AZ211" s="31"><v>1.0071000000000001</v></c><c r="BA211" s="32"><v>1006.5</v></c><c r="BC211" s="37"><v>740</v></c><c r="BD211" s="38"><v>0.74019999999999997</v></c><c r="BE211" s="39"><v>59.66</v></c><c r="BF211" s="1775"/></row><row r="212" spans="28:58"><c r="AB212" s="1796"/><c r="AY212" s="30"><v>9.1</v></c><c r="AZ212" s="31"><v>1.0064</v></c><c r="BA212" s="32"><v>1005.8</v></c><c r="BC212" s="37"><v>741</v></c><c r="BD212" s="38"><v>0.74119999999999997</v></c><c r="BE212" s="39"><v>59.4</v></c><c r="BF212" s="1775"/></row><row r="213" spans="28:58"><c r="AB213" s="1796"/><c r="AY213" s="30"><v>9.1999999999999993</v></c><c r="AZ213" s="31"><v>1.0057</v></c><c r="BA213" s="32"><v>1005.1</v></c><c r="BC213" s="37"><v>742</v></c><c r="BD213" s="38"><v>0.74219999999999997</v></c><c r="BE213" s="39"><v>59.14</v></c><c r="BF213" s="1775"/></row><row r="214" spans="28:58"><c r="AB214" s="1796"/><c r="AY214" s="30"><v>9.3000000000000007</v></c><c r="AZ214" s="31"><v>1.0049999999999999</v></c><c r="BA214" s="32"><v>1004.4</v></c><c r="BC214" s="37"><v>743</v></c><c r="BD214" s="38"><v>0.74319999999999997</v></c><c r="BE214" s="39"><v>58.88</v></c><c r="BF214" s="1775"/></row><row r="215" spans="28:58"><c r="AB215" s="1796"/><c r="AY215" s="30"><v>9.4</v></c><c r="AZ215" s="31"><v>1.0043</v></c><c r="BA215" s="32"><v>1003.6</v></c><c r="BC215" s="37"><v>744</v></c><c r="BD215" s="38"><v>0.74419999999999997</v></c><c r="BE215" s="39"><v>58.63</v></c><c r="BF215" s="1775"/></row><row r="216" spans="28:58"><c r="AB216" s="1796"/><c r="AY216" s="30"><v>9.5</v></c><c r="AZ216" s="31"><v>1.0035000000000001</v></c><c r="BA216" s="32"><v>1002.9</v></c><c r="BC216" s="37"><v>745</v></c><c r="BD216" s="38"><v>0.74519999999999997</v></c><c r="BE216" s="39"><v>58.37</v></c><c r="BF216" s="1775"/></row><row r="217" spans="28:58"><c r="AB217" s="1796"/><c r="AY217" s="30"><v>9.6</v></c><c r="AZ217" s="31"><v>1.0027999999999999</v></c><c r="BA217" s="32"><v>1002.2</v></c><c r="BC217" s="37"><v>746</v></c><c r="BD217" s="38"><v>0.74619999999999997</v></c><c r="BE217" s="39"><v>58.12</v></c><c r="BF217" s="1775"/></row><row r="218" spans="28:58"><c r="AB218" s="1796"/><c r="AY218" s="30"><v>9.6999999999999993</v></c><c r="AZ218" s="31"><v>1.0021</v></c><c r="BA218" s="32"><v>1001.5</v></c><c r="BC218" s="37"><v>747</v></c><c r="BD218" s="38"><v>0.74719999999999998</v></c><c r="BE218" s="39"><v>57.86</v></c><c r="BF218" s="1775"/></row><row r="219" spans="28:58"><c r="AB219" s="1796"/><c r="AY219" s="30"><v>9.8000000000000007</v></c><c r="AZ219" s="31"><v>1.0014000000000001</v></c><c r="BA219" s="32"><v>1000.8</v></c><c r="BC219" s="37"><v>748</v></c><c r="BD219" s="38"><v>0.74819999999999998</v></c><c r="BE219" s="39"><v>57.61</v></c><c r="BF219" s="1775"/></row><row r="220" spans="28:58"><c r="AB220" s="1796"/><c r="AY220" s="30"><v>9.9</v></c><c r="AZ220" s="31"><v>1.0006999999999999</v></c><c r="BA220" s="32"><v>1000.1</v></c><c r="BC220" s="37"><v>749</v></c><c r="BD220" s="38"><v>0.74919999999999998</v></c><c r="BE220" s="39"><v>57.36</v></c><c r="BF220" s="1775"/></row><row r="221" spans="28:58"><c r="AB221" s="1796"/><c r="AY221" s="30"><v>10</v></c><c r="AZ221" s="31"><v>1</v></c><c r="BA221" s="32"><v>999.4</v></c><c r="BC221" s="37"><v>750</v></c><c r="BD221" s="38"><v>0.75019999999999998</v></c><c r="BE221" s="39"><v>57.11</v></c><c r="BF221" s="1775"/></row><row r="222" spans="28:58"><c r="AB222" s="1796"/><c r="AY222" s="30"><v>10.1</v></c><c r="AZ222" s="31"><v>0.99929999999999997</v></c><c r="BA222" s="32"><v>998.7</v></c><c r="BC222" s="37"><v>751</v></c><c r="BD222" s="38"><v>0.75119999999999998</v></c><c r="BE222" s="39"><v>56.85</v></c><c r="BF222" s="1775"/></row><row r="223" spans="28:58"><c r="AB223" s="1796"/><c r="AY223" s="30"><v>10.199999999999999</v></c><c r="AZ223" s="31"><v>0.99860000000000004</v></c><c r="BA223" s="32"><v>998</v></c><c r="BC223" s="37"><v>752</v></c><c r="BD223" s="38"><v>0.75219999999999998</v></c><c r="BE223" s="39"><v>56.6</v></c><c r="BF223" s="1775"/></row><row r="224" spans="28:58"><c r="AB224" s="1796"/><c r="AY224" s="30"><v>10.3</v></c><c r="AZ224" s="31"><v>0.99790000000000001</v></c><c r="BA224" s="32"><v>997.3</v></c><c r="BC224" s="37"><v>753</v></c><c r="BD224" s="38"><v>0.75319999999999998</v></c><c r="BE224" s="39"><v>56.35</v></c><c r="BF224" s="1775"/></row><row r="225" spans="28:58"><c r="AB225" s="1796"/><c r="AY225" s="30"><v>10.4</v></c><c r="AZ225" s="31"><v>0.99719999999999998</v></c><c r="BA225" s="32"><v>996.6</v></c><c r="BC225" s="37"><v>754</v></c><c r="BD225" s="38"><v>0.75419999999999998</v></c><c r="BE225" s="39"><v>56.1</v></c><c r="BF225" s="1775"/></row><row r="226" spans="28:58"><c r="AB226" s="1796"/><c r="AY226" s="30"><v>10.5</v></c><c r="AZ226" s="31"><v>0.99650000000000005</v></c><c r="BA226" s="32"><v>995.9</v></c><c r="BC226" s="37"><v>755</v></c><c r="BD226" s="38"><v>0.75519999999999998</v></c><c r="BE226" s="39"><v>55.86</v></c><c r="BF226" s="1775"/></row><row r="227" spans="28:58"><c r="AB227" s="1796"/><c r="AY227" s="30"><v>10.6</v></c><c r="AZ227" s="31"><v>0.99580000000000002</v></c><c r="BA227" s="32"><v>995.2</v></c><c r="BC227" s="37"><v>756</v></c><c r="BD227" s="38"><v>0.75619999999999998</v></c><c r="BE227" s="39"><v>55.61</v></c><c r="BF227" s="1775"/></row><row r="228" spans="28:58"><c r="AB228" s="1796"/><c r="AY228" s="30"><v>10.7</v></c><c r="AZ228" s="31"><v>0.99509999999999998</v></c><c r="BA228" s="32"><v>994.5</v></c><c r="BC228" s="37"><v>757</v></c><c r="BD228" s="38"><v>0.75729999999999997</v></c><c r="BE228" s="39"><v>55.36</v></c><c r="BF228" s="1775"/></row><row r="229" spans="28:58"><c r="AB229" s="1796"/><c r="AY229" s="30"><v>10.8</v></c><c r="AZ229" s="31"><v>0.99439999999999995</v></c><c r="BA229" s="32"><v>993.8</v></c><c r="BC229" s="37"><v>758</v></c><c r="BD229" s="38"><v>0.75829999999999997</v></c><c r="BE229" s="39"><v>55.11</v></c><c r="BF229" s="1775"/></row><row r="230" spans="28:58"><c r="AB230" s="1796"/><c r="AY230" s="30"><v>10.9</v></c><c r="AZ230" s="31"><v>0.99370000000000003</v></c><c r="BA230" s="32"><v>993.1</v></c><c r="BC230" s="37"><v>759</v></c><c r="BD230" s="38"><v>0.75929999999999997</v></c><c r="BE230" s="39"><v>54.87</v></c><c r="BF230" s="1775"/></row><row r="231" spans="28:58"><c r="AB231" s="1796"/><c r="AY231" s="30"><v>11</v></c><c r="AZ231" s="31"><v>0.99299999999999999</v></c><c r="BA231" s="32"><v>992.4</v></c><c r="BC231" s="37"><v>760</v></c><c r="BD231" s="38"><v>0.76029999999999998</v></c><c r="BE231" s="39"><v>54.62</v></c><c r="BF231" s="1775"/></row><row r="232" spans="28:58"><c r="AB232" s="1796"/><c r="AY232" s="30"><v>11.1</v></c><c r="AZ232" s="31"><v>0.99229999999999996</v></c><c r="BA232" s="32"><v>991.7</v></c><c r="BC232" s="37"><v>761</v></c><c r="BD232" s="38"><v>0.76129999999999998</v></c><c r="BE232" s="39"><v>54.38</v></c><c r="BF232" s="1775"/></row><row r="233" spans="28:58"><c r="AB233" s="1796"/><c r="AY233" s="30"><v>11.2</v></c><c r="AZ233" s="31"><v>0.99160000000000004</v></c><c r="BA233" s="32"><v>991</v></c><c r="BC233" s="37"><v>762</v></c><c r="BD233" s="38"><v>0.76229999999999998</v></c><c r="BE233" s="39"><v>54.13</v></c><c r="BF233" s="1775"/></row><row r="234" spans="28:58"><c r="AB234" s="1796"/><c r="AY234" s="30"><v>11.3</v></c><c r="AZ234" s="31"><v>0.9909</v></c><c r="BA234" s="32"><v>990.3</v></c><c r="BC234" s="37"><v>763</v></c><c r="BD234" s="38"><v>0.76329999999999998</v></c><c r="BE234" s="39"><v>53.89</v></c><c r="BF234" s="1775"/></row><row r="235" spans="28:58"><c r="AB235" s="1796"/><c r="AY235" s="30"><v>11.4</v></c><c r="AZ235" s="31"><v>0.99019999999999997</v></c><c r="BA235" s="32"><v>989.6</v></c><c r="BC235" s="37"><v>764</v></c><c r="BD235" s="38"><v>0.76429999999999998</v></c><c r="BE235" s="39"><v>53.65</v></c><c r="BF235" s="1775"/></row><row r="236" spans="28:58"><c r="AB236" s="1796"/><c r="AY236" s="30"><v>11.5</v></c><c r="AZ236" s="31"><v>0.98950000000000005</v></c><c r="BA236" s="32"><v>988.9</v></c><c r="BC236" s="37"><v>765</v></c><c r="BD236" s="38"><v>0.76529999999999998</v></c><c r="BE236" s="39"><v>53.4</v></c><c r="BF236" s="1775"/></row><row r="237" spans="28:58"><c r="AB237" s="1796"/><c r="AY237" s="30"><v>11.6</v></c><c r="AZ237" s="31"><v>0.98880000000000001</v></c><c r="BA237" s="32"><v>988.2</v></c><c r="BC237" s="37"><v>766</v></c><c r="BD237" s="38"><v>0.76629999999999998</v></c><c r="BE237" s="39"><v>53.16</v></c><c r="BF237" s="1775"/></row><row r="238" spans="28:58"><c r="AB238" s="1796"/><c r="AY238" s="30"><v>11.7</v></c><c r="AZ238" s="31"><v>0.98809999999999998</v></c><c r="BA238" s="32"><v>987.5</v></c><c r="BC238" s="37"><v>767</v></c><c r="BD238" s="38"><v>0.76729999999999998</v></c><c r="BE238" s="39"><v>52.92</v></c><c r="BF238" s="1775"/></row><row r="239" spans="28:58"><c r="AB239" s="1796"/><c r="AY239" s="30"><v>11.8</v></c><c r="AZ239" s="31"><v>0.98740000000000006</v></c><c r="BA239" s="32"><v>986.8</v></c><c r="BC239" s="37"><v>768</v></c><c r="BD239" s="38"><v>0.76829999999999998</v></c><c r="BE239" s="39"><v>52.68</v></c><c r="BF239" s="1775"/></row><row r="240" spans="28:58"><c r="AB240" s="1796"/><c r="AY240" s="30"><v>11.9</v></c><c r="AZ240" s="31"><v>0.98680000000000001</v></c><c r="BA240" s="32"><v>986.2</v></c><c r="BC240" s="37"><v>769</v></c><c r="BD240" s="38"><v>0.76929999999999998</v></c><c r="BE240" s="39"><v>52.44</v></c><c r="BF240" s="1775"/></row><row r="241" spans="28:58"><c r="AB241" s="1796"/><c r="AY241" s="30"><v>12</v></c><c r="AZ241" s="31"><v>0.98609999999999998</v></c><c r="BA241" s="32"><v>985.5</v></c><c r="BC241" s="37"><v>770</v></c><c r="BD241" s="38"><v>0.77029999999999998</v></c><c r="BE241" s="39"><v>52.2</v></c><c r="BF241" s="1775"/></row><row r="242" spans="28:58"><c r="AB242" s="1796"/><c r="AY242" s="30"><v>12.1</v></c><c r="AZ242" s="31"><v>0.98540000000000005</v></c><c r="BA242" s="32"><v>984.8</v></c><c r="BC242" s="37"><v>771</v></c><c r="BD242" s="38"><v>0.77129999999999999</v></c><c r="BE242" s="39"><v>51.96</v></c><c r="BF242" s="1775"/></row><row r="243" spans="28:58"><c r="AB243" s="1796"/><c r="AY243" s="30"><v>12.2</v></c><c r="AZ243" s="31"><v>0.98470000000000002</v></c><c r="BA243" s="32"><v>984.1</v></c><c r="BC243" s="37"><v>772</v></c><c r="BD243" s="38"><v>0.77229999999999999</v></c><c r="BE243" s="39"><v>51.72</v></c><c r="BF243" s="1775"/></row><row r="244" spans="28:58"><c r="AB244" s="1796"/><c r="AY244" s="30"><v>12.3</v></c><c r="AZ244" s="31"><v>0.98399999999999999</v></c><c r="BA244" s="32"><v>983.4</v></c><c r="BC244" s="37"><v>773</v></c><c r="BD244" s="38"><v>0.77329999999999999</v></c><c r="BE244" s="39"><v>51.49</v></c><c r="BF244" s="1775"/></row><row r="245" spans="28:58"><c r="AB245" s="1796"/><c r="AY245" s="30"><v>12.4</v></c><c r="AZ245" s="31"><v>0.98329999999999995</v></c><c r="BA245" s="32"><v>982.7</v></c><c r="BC245" s="37"><v>774</v></c><c r="BD245" s="38"><v>0.77429999999999999</v></c><c r="BE245" s="39"><v>51.25</v></c><c r="BF245" s="1775"/></row><row r="246" spans="28:58"><c r="AB246" s="1796"/><c r="AY246" s="30"><v>12.5</v></c><c r="AZ246" s="31"><v>0.98260000000000003</v></c><c r="BA246" s="32"><v>982</v></c><c r="BC246" s="37"><v>775</v></c><c r="BD246" s="38"><v>0.77529999999999999</v></c><c r="BE246" s="39"><v>51.01</v></c><c r="BF246" s="1775"/></row><row r="247" spans="28:58"><c r="AB247" s="1796"/><c r="AY247" s="30"><v>12.6</v></c><c r="AZ247" s="31"><v>0.98199999999999998</v></c><c r="BA247" s="32"><v>981.4</v></c><c r="BC247" s="37"><v>776</v></c><c r="BD247" s="38"><v>0.77629999999999999</v></c><c r="BE247" s="39"><v>50.78</v></c><c r="BF247" s="1775"/></row><row r="248" spans="28:58"><c r="AB248" s="1796"/><c r="AY248" s="30"><v>12.7</v></c><c r="AZ248" s="31"><v>0.98129999999999995</v></c><c r="BA248" s="32"><v>980.7</v></c><c r="BC248" s="37"><v>777</v></c><c r="BD248" s="38"><v>0.77729999999999999</v></c><c r="BE248" s="39"><v>50.54</v></c><c r="BF248" s="1775"/></row><row r="249" spans="28:58"><c r="AB249" s="1796"/><c r="AY249" s="30"><v>12.8</v></c><c r="AZ249" s="31"><v>0.98060000000000003</v></c><c r="BA249" s="32"><v>980</v></c><c r="BC249" s="37"><v>778</v></c><c r="BD249" s="38"><v>0.77829999999999999</v></c><c r="BE249" s="39"><v>50.3</v></c><c r="BF249" s="1775"/></row><row r="250" spans="28:58"><c r="AB250" s="1796"/><c r="AY250" s="30"><v>12.9</v></c><c r="AZ250" s="31"><v>0.97989999999999999</v></c><c r="BA250" s="32"><v>979.3</v></c><c r="BC250" s="37"><v>779</v></c><c r="BD250" s="38"><v>0.77929999999999999</v></c><c r="BE250" s="39"><v>50.07</v></c><c r="BF250" s="1775"/></row><row r="251" spans="28:58"><c r="AB251" s="1796"/><c r="AY251" s="30"><v>13</v></c><c r="AZ251" s="31"><v>0.97919999999999996</v></c><c r="BA251" s="32"><v>978.6</v></c><c r="BC251" s="37"><v>780</v></c><c r="BD251" s="38"><v>0.78029999999999999</v></c><c r="BE251" s="39"><v>49.84</v></c><c r="BF251" s="1775"/></row><row r="252" spans="28:58"><c r="AB252" s="1796"/><c r="AY252" s="30"><v>13.1</v></c><c r="AZ252" s="31"><v>0.97860000000000003</v></c><c r="BA252" s="32"><v>978</v></c><c r="BC252" s="37"><v>781</v></c><c r="BD252" s="38"><v>0.78129999999999999</v></c><c r="BE252" s="39"><v>49.6</v></c><c r="BF252" s="1775"/></row><row r="253" spans="28:58"><c r="AB253" s="1796"/><c r="AY253" s="30"><v>13.2</v></c><c r="AZ253" s="31"><v>0.97789999999999999</v></c><c r="BA253" s="32"><v>977.3</v></c><c r="BC253" s="37"><v>782</v></c><c r="BD253" s="38"><v>0.7823</v></c><c r="BE253" s="39"><v>49.37</v></c><c r="BF253" s="1775"/></row><row r="254" spans="28:58"><c r="AB254" s="1796"/><c r="AY254" s="30"><v>13.3</v></c><c r="AZ254" s="31"><v>0.97719999999999996</v></c><c r="BA254" s="32"><v>976.6</v></c><c r="BC254" s="37"><v>783</v></c><c r="BD254" s="38"><v>0.7833</v></c><c r="BE254" s="39"><v>49.14</v></c><c r="BF254" s="1775"/></row><row r="255" spans="28:58"><c r="AB255" s="1796"/><c r="AY255" s="30"><v>13.4</v></c><c r="AZ255" s="31"><v>0.97650000000000003</v></c><c r="BA255" s="32"><v>975.9</v></c><c r="BC255" s="37"><v>784</v></c><c r="BD255" s="38"><v>0.7843</v></c><c r="BE255" s="39"><v>48.91</v></c><c r="BF255" s="1775"/></row><row r="256" spans="28:58"><c r="AB256" s="1796"/><c r="AY256" s="30"><v>13.5</v></c><c r="AZ256" s="31"><v>0.97589999999999999</v></c><c r="BA256" s="32"><v>975.3</v></c><c r="BC256" s="37"><v>785</v></c><c r="BD256" s="38"><v>0.7853</v></c><c r="BE256" s="39"><v>48.68</v></c><c r="BF256" s="1775"/></row><row r="257" spans="28:58"><c r="AB257" s="1796"/><c r="AY257" s="30"><v>13.6</v></c><c r="AZ257" s="31"><v>0.97519999999999996</v></c><c r="BA257" s="32"><v>974.6</v></c><c r="BC257" s="37"><v>786</v></c><c r="BD257" s="38"><v>0.78639999999999999</v></c><c r="BE257" s="39"><v>48.45</v></c><c r="BF257" s="1775"/></row><row r="258" spans="28:58"><c r="AB258" s="1796"/><c r="AY258" s="30"><v>13.7</v></c><c r="AZ258" s="31"><v>0.97450000000000003</v></c><c r="BA258" s="32"><v>973.9</v></c><c r="BC258" s="37"><v>787</v></c><c r="BD258" s="38"><v>0.78739999999999999</v></c><c r="BE258" s="39"><v>48.22</v></c><c r="BF258" s="1775"/></row><row r="259" spans="28:58"><c r="AB259" s="1796"/><c r="AY259" s="30"><v>13.8</v></c><c r="AZ259" s="31"><v>0.9738</v></c><c r="BA259" s="32"><v>973.3</v></c><c r="BC259" s="37"><v>788</v></c><c r="BD259" s="38"><v>0.78839999999999999</v></c><c r="BE259" s="39"><v>47.99</v></c><c r="BF259" s="1775"/></row><row r="260" spans="28:58"><c r="AB260" s="1796"/><c r="AY260" s="30"><v>13.9</v></c><c r="AZ260" s="31"><v>0.97319999999999995</v></c><c r="BA260" s="32"><v>972.6</v></c><c r="BC260" s="37"><v>789</v></c><c r="BD260" s="38"><v>0.78939999999999999</v></c><c r="BE260" s="39"><v>47.76</v></c><c r="BF260" s="1775"/></row><row r="261" spans="28:58"><c r="AB261" s="1796"/><c r="AY261" s="30"><v>14</v></c><c r="AZ261" s="31"><v>0.97250000000000003</v></c><c r="BA261" s="32"><v>971.9</v></c><c r="BC261" s="37"><v>790</v></c><c r="BD261" s="38"><v>0.79039999999999999</v></c><c r="BE261" s="39"><v>47.53</v></c><c r="BF261" s="1775"/></row><row r="262" spans="28:58"><c r="AB262" s="1796"/><c r="AY262" s="30"><v>14.1</v></c><c r="AZ262" s="31"><v>0.9718</v></c><c r="BA262" s="32"><v>971.3</v></c><c r="BC262" s="37"><v>791</v></c><c r="BD262" s="38"><v>0.79139999999999999</v></c><c r="BE262" s="39"><v>47.31</v></c><c r="BF262" s="1775"/></row><row r="263" spans="28:58"><c r="AB263" s="1796"/><c r="AY263" s="30"><v>14.2</v></c><c r="AZ263" s="31"><v>0.97119999999999995</v></c><c r="BA263" s="32"><v>970.6</v></c><c r="BC263" s="37"><v>792</v></c><c r="BD263" s="38"><v>0.79239999999999999</v></c><c r="BE263" s="39"><v>47.08</v></c><c r="BF263" s="1775"/></row><row r="264" spans="28:58"><c r="AB264" s="1796"/><c r="AY264" s="30"><v>14.3</v></c><c r="AZ264" s="31"><v>0.97050000000000003</v></c><c r="BA264" s="32"><v>969.9</v></c><c r="BC264" s="37"><v>793</v></c><c r="BD264" s="38"><v>0.79339999999999999</v></c><c r="BE264" s="39"><v>46.85</v></c><c r="BF264" s="1775"/></row><row r="265" spans="28:58"><c r="AB265" s="1796"/><c r="AY265" s="30"><v>14.4</v></c><c r="AZ265" s="31"><v>0.9698</v></c><c r="BA265" s="32"><v>969.3</v></c><c r="BC265" s="37"><v>794</v></c><c r="BD265" s="38"><v>0.7944</v></c><c r="BE265" s="39"><v>46.63</v></c><c r="BF265" s="1775"/></row><row r="266" spans="28:58"><c r="AB266" s="1796"/><c r="AY266" s="30"><v>14.5</v></c><c r="AZ266" s="31"><v>0.96919999999999995</v></c><c r="BA266" s="32"><v>968.6</v></c><c r="BC266" s="37"><v>795</v></c><c r="BD266" s="38"><v>0.7954</v></c><c r="BE266" s="39"><v>46.4</v></c><c r="BF266" s="1775"/></row><row r="267" spans="28:58"><c r="AB267" s="1796"/><c r="AY267" s="30"><v>14.6</v></c><c r="AZ267" s="31"><v>0.96850000000000003</v></c><c r="BA267" s="32"><v>967.9</v></c><c r="BC267" s="37"><v>796</v></c><c r="BD267" s="38"><v>0.7964</v></c><c r="BE267" s="39"><v>46.18</v></c><c r="BF267" s="1775"/></row><row r="268" spans="28:58"><c r="AB268" s="1796"/><c r="AY268" s="30"><v>14.7</v></c><c r="AZ268" s="31"><v>0.96789999999999998</v></c><c r="BA268" s="32"><v>967.3</v></c><c r="BC268" s="37"><v>797</v></c><c r="BD268" s="38"><v>0.7974</v></c><c r="BE268" s="39"><v>45.96</v></c><c r="BF268" s="1775"/></row><row r="269" spans="28:58"><c r="AB269" s="1796"/><c r="AY269" s="30"><v>14.8</v></c><c r="AZ269" s="31"><v>0.96719999999999995</v></c><c r="BA269" s="32"><v>966.6</v></c><c r="BC269" s="37"><v>798</v></c><c r="BD269" s="38"><v>0.7984</v></c><c r="BE269" s="39"><v>45.74</v></c><c r="BF269" s="1775"/></row><row r="270" spans="28:58"><c r="AB270" s="1796"/><c r="AY270" s="30"><v>14.9</v></c><c r="AZ270" s="31"><v>0.96650000000000003</v></c><c r="BA270" s="32"><v>966</v></c><c r="BC270" s="37"><v>799</v></c><c r="BD270" s="38"><v>0.7994</v></c><c r="BE270" s="39"><v>45.51</v></c><c r="BF270" s="1775"/></row><row r="271" spans="28:58"><c r="AB271" s="1796"/><c r="AY271" s="30"><v>15</v></c><c r="AZ271" s="31"><v>0.96589999999999998</v></c><c r="BA271" s="32"><v>965.3</v></c><c r="BC271" s="37"><v>800</v></c><c r="BD271" s="38"><v>0.8004</v></c><c r="BE271" s="39"><v>45.29</v></c><c r="BF271" s="1775"/></row><row r="272" spans="28:58"><c r="AB272" s="1796"/><c r="AY272" s="30"><v>15.1</v></c><c r="AZ272" s="31"><v>0.96519999999999995</v></c><c r="BA272" s="32"><v>964.6</v></c><c r="BC272" s="37"><v>801</v></c><c r="BD272" s="38"><v>0.8014</v></c><c r="BE272" s="39"><v>45.07</v></c><c r="BF272" s="1775"/></row><row r="273" spans="28:58"><c r="AB273" s="1796"/><c r="AY273" s="30"><v>15.2</v></c><c r="AZ273" s="31"><v>0.96460000000000001</v></c><c r="BA273" s="32"><v>964</v></c><c r="BC273" s="37"><v>802</v></c><c r="BD273" s="38"><v>0.8024</v></c><c r="BE273" s="39"><v>44.85</v></c><c r="BF273" s="1775"/></row><row r="274" spans="28:58"><c r="AB274" s="1796"/><c r="AY274" s="30"><v>15.3</v></c><c r="AZ274" s="31"><v>0.96389999999999998</v></c><c r="BA274" s="32"><v>963.3</v></c><c r="BC274" s="37"><v>803</v></c><c r="BD274" s="38"><v>0.8034</v></c><c r="BE274" s="39"><v>44.63</v></c><c r="BF274" s="1775"/></row><row r="275" spans="28:58"><c r="AB275" s="1796"/><c r="AY275" s="30"><v>15.4</v></c><c r="AZ275" s="31"><v>0.96319999999999995</v></c><c r="BA275" s="32"><v>962.7</v></c><c r="BC275" s="37"><v>804</v></c><c r="BD275" s="38"><v>0.8044</v></c><c r="BE275" s="39"><v>44.41</v></c><c r="BF275" s="1775"/></row><row r="276" spans="28:58"><c r="AB276" s="1796"/><c r="AY276" s="30"><v>15.5</v></c><c r="AZ276" s="31"><v>0.96260000000000001</v></c><c r="BA276" s="32"><v>962</v></c><c r="BC276" s="37"><v>805</v></c><c r="BD276" s="38"><v>0.8054</v></c><c r="BE276" s="39"><v>44.19</v></c><c r="BF276" s="1775"/></row><row r="277" spans="28:58"><c r="AB277" s="1796"/><c r="AY277" s="30"><v>15.6</v></c><c r="AZ277" s="31"><v>0.96189999999999998</v></c><c r="BA277" s="32"><v>961.4</v></c><c r="BC277" s="37"><v>806</v></c><c r="BD277" s="38"><v>0.80640000000000001</v></c><c r="BE277" s="39"><v>43.97</v></c><c r="BF277" s="1775"/></row><row r="278" spans="28:58"><c r="AB278" s="1796"/><c r="AY278" s="30"><v>15.7</v></c><c r="AZ278" s="31"><v>0.96130000000000004</v></c><c r="BA278" s="32"><v>960.7</v></c><c r="BC278" s="37"><v>807</v></c><c r="BD278" s="38"><v>0.80740000000000001</v></c><c r="BE278" s="39"><v>43.76</v></c><c r="BF278" s="1775"/></row><row r="279" spans="28:58"><c r="AB279" s="1796"/><c r="AY279" s="30"><v>15.8</v></c><c r="AZ279" s="31"><v>0.96060000000000001</v></c><c r="BA279" s="32"><v>960.1</v></c><c r="BC279" s="37"><v>808</v></c><c r="BD279" s="38"><v>0.80840000000000001</v></c><c r="BE279" s="39"><v>43.54</v></c><c r="BF279" s="1775"/></row><row r="280" spans="28:58"><c r="AB280" s="1796"/><c r="AY280" s="30"><v>15.9</v></c><c r="AZ280" s="31"><v>0.96</v></c><c r="BA280" s="32"><v>959.4</v></c><c r="BC280" s="37"><v>809</v></c><c r="BD280" s="38"><v>0.80940000000000001</v></c><c r="BE280" s="39"><v>43.32</v></c><c r="BF280" s="1775"/></row><row r="281" spans="28:58"><c r="AB281" s="1796"/><c r="AY281" s="30"><v>16</v></c><c r="AZ281" s="31"><v>0.95930000000000004</v></c><c r="BA281" s="32"><v>958.8</v></c><c r="BC281" s="37"><v>810</v></c><c r="BD281" s="38"><v>0.81040000000000001</v></c><c r="BE281" s="39"><v>43.11</v></c><c r="BF281" s="1775"/></row><row r="282" spans="28:58"><c r="AB282" s="1796"/><c r="AY282" s="30"><v>16.100000000000001</v></c><c r="AZ282" s="31"><v>0.9587</v></c><c r="BA282" s="32"><v>958.1</v></c><c r="BC282" s="37"><v>811</v></c><c r="BD282" s="38"><v>0.81140000000000001</v></c><c r="BE282" s="39"><v>42.89</v></c><c r="BF282" s="1775"/></row><row r="283" spans="28:58"><c r="AB283" s="1796"/><c r="AY283" s="30"><v>16.2</v></c><c r="AZ283" s="31"><v>0.95799999999999996</v></c><c r="BA283" s="32"><v>957.5</v></c><c r="BC283" s="37"><v>812</v></c><c r="BD283" s="38"><v>0.81240000000000001</v></c><c r="BE283" s="39"><v>42.68</v></c><c r="BF283" s="1775"/></row><row r="284" spans="28:58"><c r="AB284" s="1796"/><c r="AY284" s="30"><v>16.3</v></c><c r="AZ284" s="31"><v>0.95740000000000003</v></c><c r="BA284" s="32"><v>956.8</v></c><c r="BC284" s="37"><v>813</v></c><c r="BD284" s="38"><v>0.81340000000000001</v></c><c r="BE284" s="39"><v>42.46</v></c><c r="BF284" s="1775"/></row><row r="285" spans="28:58"><c r="AB285" s="1796"/><c r="AY285" s="30"><v>16.399999999999999</v></c><c r="AZ285" s="31"><v>0.95669999999999999</v></c><c r="BA285" s="32"><v>956.2</v></c><c r="BC285" s="37"><v>814</v></c><c r="BD285" s="38"><v>0.81440000000000001</v></c><c r="BE285" s="39"><v>42.25</v></c><c r="BF285" s="1775"/></row><row r="286" spans="28:58"><c r="AB286" s="1796"/><c r="AY286" s="30"><v>16.5</v></c><c r="AZ286" s="31"><v>0.95609999999999995</v></c><c r="BA286" s="32"><v>955.5</v></c><c r="BC286" s="37"><v>815</v></c><c r="BD286" s="38"><v>0.81540000000000001</v></c><c r="BE286" s="39"><v>42.03</v></c><c r="BF286" s="1775"/></row><row r="287" spans="28:58"><c r="AB287" s="1796"/><c r="AY287" s="30"><v>16.600000000000001</v></c><c r="AZ287" s="31"><v>0.95540000000000003</v></c><c r="BA287" s="32"><v>954.9</v></c><c r="BC287" s="37"><v>816</v></c><c r="BD287" s="38"><v>0.81640000000000001</v></c><c r="BE287" s="39"><v>41.82</v></c><c r="BF287" s="1775"/></row><row r="288" spans="28:58"><c r="AB288" s="1796"/><c r="AY288" s="30"><v>16.7</v></c><c r="AZ288" s="31"><v>0.95479999999999998</v></c><c r="BA288" s="32"><v>954.2</v></c><c r="BC288" s="37"><v>817</v></c><c r="BD288" s="38"><v>0.81740000000000002</v></c><c r="BE288" s="39"><v>41.61</v></c><c r="BF288" s="1775"/></row><row r="289" spans="28:58"><c r="AB289" s="1796"/><c r="AY289" s="30"><v>16.8</v></c><c r="AZ289" s="31"><v>0.95409999999999995</v></c><c r="BA289" s="32"><v>953.6</v></c><c r="BC289" s="37"><v>818</v></c><c r="BD289" s="38"><v>0.81840000000000002</v></c><c r="BE289" s="39"><v>41.4</v></c><c r="BF289" s="1775"/></row><row r="290" spans="28:58"><c r="AB290" s="1796"/><c r="AY290" s="30"><v>16.899999999999999</v></c><c r="AZ290" s="31"><v>0.95350000000000001</v></c><c r="BA290" s="32"><v>952.9</v></c><c r="BC290" s="37"><v>819</v></c><c r="BD290" s="38"><v>0.81940000000000002</v></c><c r="BE290" s="39"><v>41.19</v></c><c r="BF290" s="1775"/></row><row r="291" spans="28:58"><c r="AB291" s="1796"/><c r="AY291" s="30"><v>17</v></c><c r="AZ291" s="31"><v>0.95289999999999997</v></c><c r="BA291" s="32"><v>952.3</v></c><c r="BC291" s="37"><v>820</v></c><c r="BD291" s="38"><v>0.82040000000000002</v></c><c r="BE291" s="39"><v>40.98</v></c><c r="BF291" s="1775"/></row><row r="292" spans="28:58"><c r="AB292" s="1796"/><c r="AY292" s="30"><v>17.100000000000001</v></c><c r="AZ292" s="31"><v>0.95220000000000005</v></c><c r="BA292" s="32"><v>951.7</v></c><c r="BC292" s="37"><v>821</v></c><c r="BD292" s="38"><v>0.82140000000000002</v></c><c r="BE292" s="39"><v>40.76</v></c><c r="BF292" s="1775"/></row><row r="293" spans="28:58"><c r="AB293" s="1796"/><c r="AY293" s="30"><v>17.2</v></c><c r="AZ293" s="31"><v>0.9516</v></c><c r="BA293" s="32"><v>951</v></c><c r="BC293" s="37"><v>822</v></c><c r="BD293" s="38"><v>0.82240000000000002</v></c><c r="BE293" s="39"><v>40.56</v></c><c r="BF293" s="1775"/></row><row r="294" spans="28:58"><c r="AB294" s="1796"/><c r="AY294" s="30"><v>17.3</v></c><c r="AZ294" s="31"><v>0.95089999999999997</v></c><c r="BA294" s="32"><v>950.4</v></c><c r="BC294" s="37"><v>823</v></c><c r="BD294" s="38"><v>0.82340000000000002</v></c><c r="BE294" s="39"><v>40.35</v></c><c r="BF294" s="1775"/></row><row r="295" spans="28:58"><c r="AB295" s="1796"/><c r="AY295" s="30"><v>17.399999999999999</v></c><c r="AZ295" s="31"><v>0.95030000000000003</v></c><c r="BA295" s="32"><v>949.7</v></c><c r="BC295" s="37"><v>824</v></c><c r="BD295" s="38"><v>0.82440000000000002</v></c><c r="BE295" s="39"><v>40.14</v></c><c r="BF295" s="1775"/></row><row r="296" spans="28:58"><c r="AB296" s="1796"/><c r="AY296" s="30"><v>17.5</v></c><c r="AZ296" s="31"><v>0.94969999999999999</v></c><c r="BA296" s="32"><v>949.1</v></c><c r="BC296" s="37"><v>825</v></c><c r="BD296" s="38"><v>0.82540000000000002</v></c><c r="BE296" s="39"><v>39.93</v></c><c r="BF296" s="1775"/></row><row r="297" spans="28:58"><c r="AB297" s="1796"/><c r="AY297" s="30"><v>17.600000000000001</v></c><c r="AZ297" s="31"><v>0.94899999999999995</v></c><c r="BA297" s="32"><v>948.5</v></c><c r="BC297" s="37"><v>826</v></c><c r="BD297" s="38"><v>0.82640000000000002</v></c><c r="BE297" s="39"><v>39.72</v></c><c r="BF297" s="1775"/></row><row r="298" spans="28:58"><c r="AB298" s="1796"/><c r="AY298" s="30"><v>17.7</v></c><c r="AZ298" s="31"><v>0.94840000000000002</v></c><c r="BA298" s="32"><v>947.8</v></c><c r="BC298" s="37"><v>827</v></c><c r="BD298" s="38"><v>0.82740000000000002</v></c><c r="BE298" s="39"><v>39.51</v></c><c r="BF298" s="1775"/></row><row r="299" spans="28:58"><c r="AB299" s="1796"/><c r="AY299" s="30"><v>17.8</v></c><c r="AZ299" s="31"><v>0.94779999999999998</v></c><c r="BA299" s="32"><v>947.2</v></c><c r="BC299" s="37"><v>828</v></c><c r="BD299" s="38"><v>0.82840000000000003</v></c><c r="BE299" s="39"><v>39.31</v></c><c r="BF299" s="1775"/></row><row r="300" spans="28:58"><c r="AB300" s="1796"/><c r="AY300" s="30"><v>17.899999999999999</v></c><c r="AZ300" s="31"><v>0.94710000000000005</v></c><c r="BA300" s="32"><v>946.6</v></c><c r="BC300" s="37"><v>829</v></c><c r="BD300" s="38"><v>0.82940000000000003</v></c><c r="BE300" s="39"><v>39.1</v></c><c r="BF300" s="1775"/></row><row r="301" spans="28:58"><c r="AB301" s="1796"/><c r="AY301" s="30"><v>18</v></c><c r="AZ301" s="31"><v>0.94650000000000001</v></c><c r="BA301" s="32"><v>945.9</v></c><c r="BC301" s="37"><v>830</v></c><c r="BD301" s="38"><v>0.83040000000000003</v></c><c r="BE301" s="39"><v>38.9</v></c><c r="BF301" s="1775"/></row><row r="302" spans="28:58"><c r="AB302" s="1796"/><c r="AY302" s="30"><v>18.100000000000001</v></c><c r="AZ302" s="31"><v>0.94589999999999996</v></c><c r="BA302" s="32"><v>945.3</v></c><c r="BC302" s="37"><v>831</v></c><c r="BD302" s="38"><v>0.83140000000000003</v></c><c r="BE302" s="39"><v>38.69</v></c><c r="BF302" s="1775"/></row><row r="303" spans="28:58"><c r="AB303" s="1796"/><c r="AY303" s="30"><v>18.2</v></c><c r="AZ303" s="31"><v>0.94520000000000004</v></c><c r="BA303" s="32"><v>944.7</v></c><c r="BC303" s="37"><v>832</v></c><c r="BD303" s="38"><v>0.83240000000000003</v></c><c r="BE303" s="39"><v>38.49</v></c><c r="BF303" s="1775"/></row><row r="304" spans="28:58"><c r="AB304" s="1796"/><c r="AY304" s="30"><v>18.3</v></c><c r="AZ304" s="31"><v>0.9446</v></c><c r="BA304" s="32"><v>944</v></c><c r="BC304" s="37"><v>833</v></c><c r="BD304" s="38"><v>0.83340000000000003</v></c><c r="BE304" s="39"><v>38.28</v></c><c r="BF304" s="1775"/></row><row r="305" spans="28:58"><c r="AB305" s="1796"/><c r="AY305" s="30"><v>18.399999999999999</v></c><c r="AZ305" s="31"><v>0.94399999999999995</v></c><c r="BA305" s="32"><v>943.4</v></c><c r="BC305" s="37"><v>834</v></c><c r="BD305" s="38"><v>0.83440000000000003</v></c><c r="BE305" s="39"><v>38.08</v></c><c r="BF305" s="1775"/></row><row r="306" spans="28:58"><c r="AB306" s="1796"/><c r="AY306" s="30"><v>18.5</v></c><c r="AZ306" s="31"><v>0.94330000000000003</v></c><c r="BA306" s="32"><v>942.8</v></c><c r="BC306" s="37"><v>835</v></c><c r="BD306" s="38"><v>0.83540000000000003</v></c><c r="BE306" s="39"><v>37.869999999999997</v></c><c r="BF306" s="1775"/></row><row r="307" spans="28:58"><c r="AB307" s="1796"/><c r="AY307" s="30"><v>18.600000000000001</v></c><c r="AZ307" s="31"><v>0.94269999999999998</v></c><c r="BA307" s="32"><v>942.2</v></c><c r="BC307" s="37"><v>836</v></c><c r="BD307" s="38"><v>0.83640000000000003</v></c><c r="BE307" s="39"><v>37.67</v></c><c r="BF307" s="1775"/></row><row r="308" spans="28:58"><c r="AB308" s="1796"/><c r="AY308" s="30"><v>18.7</v></c><c r="AZ308" s="31"><v>0.94210000000000005</v></c><c r="BA308" s="32"><v>941.5</v></c><c r="BC308" s="37"><v>837</v></c><c r="BD308" s="38"><v>0.83740000000000003</v></c><c r="BE308" s="39"><v>37.47</v></c><c r="BF308" s="1775"/></row><row r="309" spans="28:58"><c r="AB309" s="1796"/><c r="AY309" s="30"><v>18.8</v></c><c r="AZ309" s="31"><v>0.9415</v></c><c r="BA309" s="32"><v>940.9</v></c><c r="BC309" s="37"><v>838</v></c><c r="BD309" s="38"><v>0.83840000000000003</v></c><c r="BE309" s="39"><v>37.270000000000003</v></c><c r="BF309" s="1775"/></row><row r="310" spans="28:58"><c r="AB310" s="1796"/><c r="AY310" s="30"><v>18.899999999999999</v></c><c r="AZ310" s="31"><v>0.94079999999999997</v></c><c r="BA310" s="32"><v>940.3</v></c><c r="BC310" s="37"><v>839</v></c><c r="BD310" s="38"><v>0.83940000000000003</v></c><c r="BE310" s="39"><v>37.07</v></c><c r="BF310" s="1775"/></row><row r="311" spans="28:58"><c r="AB311" s="1796"/><c r="AY311" s="30"><v>19</v></c><c r="AZ311" s="31"><v>0.94020000000000004</v></c><c r="BA311" s="32"><v>939.7</v></c><c r="BC311" s="37"><v>840</v></c><c r="BD311" s="38"><v>0.84040000000000004</v></c><c r="BE311" s="39"><v>36.86</v></c><c r="BF311" s="1775"/></row><row r="312" spans="28:58"><c r="AB312" s="1796"/><c r="AY312" s="30"><v>19.100000000000001</v></c><c r="AZ312" s="31"><v>0.93959999999999999</v></c><c r="BA312" s="32"><v>939</v></c><c r="BC312" s="37"><v>841</v></c><c r="BD312" s="38"><v>0.84140000000000004</v></c><c r="BE312" s="39"><v>36.659999999999997</v></c><c r="BF312" s="1775"/></row><row r="313" spans="28:58"><c r="AB313" s="1796"/><c r="AY313" s="30"><v>19.2</v></c><c r="AZ313" s="31"><v>0.93899999999999995</v></c><c r="BA313" s="32"><v>938.4</v></c><c r="BC313" s="37"><v>842</v></c><c r="BD313" s="38"><v>0.84240000000000004</v></c><c r="BE313" s="39"><v>36.46</v></c><c r="BF313" s="1775"/></row><row r="314" spans="28:58"><c r="AB314" s="1796"/><c r="AY314" s="30"><v>19.3</v></c><c r="AZ314" s="31"><v>0.93830000000000002</v></c><c r="BA314" s="32"><v>937.8</v></c><c r="BC314" s="37"><v>843</v></c><c r="BD314" s="38"><v>0.84340000000000004</v></c><c r="BE314" s="39"><v>36.270000000000003</v></c><c r="BF314" s="1775"/></row><row r="315" spans="28:58"><c r="AB315" s="1796"/><c r="AY315" s="30"><v>19.399999999999999</v></c><c r="AZ315" s="31"><v>0.93769999999999998</v></c><c r="BA315" s="32"><v>937.2</v></c><c r="BC315" s="37"><v>844</v></c><c r="BD315" s="38"><v>0.84440000000000004</v></c><c r="BE315" s="39"><v>36.07</v></c><c r="BF315" s="1775"/></row><row r="316" spans="28:58"><c r="AB316" s="1796"/><c r="AY316" s="30"><v>19.5</v></c><c r="AZ316" s="31"><v>0.93710000000000004</v></c><c r="BA316" s="32"><v>936.5</v></c><c r="BC316" s="37"><v>845</v></c><c r="BD316" s="38"><v>0.84540000000000004</v></c><c r="BE316" s="39"><v>35.869999999999997</v></c><c r="BF316" s="1775"/></row><row r="317" spans="28:58"><c r="AB317" s="1796"/><c r="AY317" s="30"><v>19.600000000000001</v></c><c r="AZ317" s="31"><v>0.9365</v></c><c r="BA317" s="32"><v>935.9</v></c><c r="BC317" s="37"><v>846</v></c><c r="BD317" s="38"><v>0.84640000000000004</v></c><c r="BE317" s="39"><v>35.67</v></c><c r="BF317" s="1775"/></row><row r="318" spans="28:58"><c r="AB318" s="1796"/><c r="AY318" s="30"><v>19.7</v></c><c r="AZ318" s="31"><v>0.93579999999999997</v></c><c r="BA318" s="32"><v>935.3</v></c><c r="BC318" s="37"><v>847</v></c><c r="BD318" s="38"><v>0.84740000000000004</v></c><c r="BE318" s="39"><v>35.47</v></c><c r="BF318" s="1775"/></row><row r="319" spans="28:58"><c r="AB319" s="1796"/><c r="AY319" s="30"><v>19.8</v></c><c r="AZ319" s="31"><v>0.93520000000000003</v></c><c r="BA319" s="32"><v>934.7</v></c><c r="BC319" s="37"><v>848</v></c><c r="BD319" s="38"><v>0.84840000000000004</v></c><c r="BE319" s="39"><v>35.28</v></c><c r="BF319" s="1775"/></row><row r="320" spans="28:58"><c r="AB320" s="1796"/><c r="AY320" s="30"><v>19.899999999999999</v></c><c r="AZ320" s="31"><v>0.93459999999999999</v></c><c r="BA320" s="32"><v>934.1</v></c><c r="BC320" s="37"><v>849</v></c><c r="BD320" s="38"><v>0.84940000000000004</v></c><c r="BE320" s="39"><v>35.08</v></c><c r="BF320" s="1775"/></row><row r="321" spans="28:58"><c r="AB321" s="1796"/><c r="AY321" s="30"><v>20</v></c><c r="AZ321" s="31"><v>0.93400000000000005</v></c><c r="BA321" s="32"><v>933.5</v></c><c r="BC321" s="37"><v>850</v></c><c r="BD321" s="38"><v>0.85040000000000004</v></c><c r="BE321" s="39"><v>34.880000000000003</v></c><c r="BF321" s="1775"/></row><row r="322" spans="28:58"><c r="AB322" s="1796"/><c r="AY322" s="30"><v>20.100000000000001</v></c><c r="AZ322" s="31"><v>0.93340000000000001</v></c><c r="BA322" s="32"><v>932.8</v></c><c r="BC322" s="37"><v>851</v></c><c r="BD322" s="38"><v>0.85140000000000005</v></c><c r="BE322" s="39"><v>34.69</v></c><c r="BF322" s="1775"/></row><row r="323" spans="28:58"><c r="AB323" s="1796"/><c r="AY323" s="30"><v>20.2</v></c><c r="AZ323" s="31"><v>0.93279999999999996</v></c><c r="BA323" s="32"><v>932.2</v></c><c r="BC323" s="37"><v>852</v></c><c r="BD323" s="38"><v>0.85250000000000004</v></c><c r="BE323" s="39"><v>34.49</v></c><c r="BF323" s="1775"/></row><row r="324" spans="28:58"><c r="AB324" s="1796"/><c r="AY324" s="30"><v>20.3</v></c><c r="AZ324" s="31"><v>0.93210000000000004</v></c><c r="BA324" s="32"><v>931.6</v></c><c r="BC324" s="37"><v>853</v></c><c r="BD324" s="38"><v>0.85350000000000004</v></c><c r="BE324" s="39"><v>34.299999999999997</v></c><c r="BF324" s="1775"/></row><row r="325" spans="28:58"><c r="AB325" s="1796"/><c r="AY325" s="30"><v>20.399999999999999</v></c><c r="AZ325" s="31"><v>0.93149999999999999</v></c><c r="BA325" s="32"><v>931</v></c><c r="BC325" s="37"><v>854</v></c><c r="BD325" s="38"><v>0.85450000000000004</v></c><c r="BE325" s="39"><v>34.1</v></c><c r="BF325" s="1775"/></row><row r="326" spans="28:58"><c r="AB326" s="1796"/><c r="AY326" s="30"><v>20.5</v></c><c r="AZ326" s="31"><v>0.93089999999999995</v></c><c r="BA326" s="32"><v>930.4</v></c><c r="BC326" s="37"><v>855</v></c><c r="BD326" s="38"><v>0.85550000000000004</v></c><c r="BE326" s="39"><v>33.909999999999997</v></c><c r="BF326" s="1775"/></row><row r="327" spans="28:58"><c r="AB327" s="1796"/><c r="AY327" s="30"><v>20.6</v></c><c r="AZ327" s="31"><v>0.93030000000000002</v></c><c r="BA327" s="32"><v>929.8</v></c><c r="BC327" s="37"><v>856</v></c><c r="BD327" s="38"><v>0.85650000000000004</v></c><c r="BE327" s="39"><v>33.72</v></c><c r="BF327" s="1775"/></row><row r="328" spans="28:58"><c r="AB328" s="1796"/><c r="AY328" s="30"><v>20.7</v></c><c r="AZ328" s="31"><v>0.92969999999999997</v></c><c r="BA328" s="32"><v>929.2</v></c><c r="BC328" s="37"><v>857</v></c><c r="BD328" s="38"><v>0.85750000000000004</v></c><c r="BE328" s="39"><v>33.520000000000003</v></c><c r="BF328" s="1775"/></row><row r="329" spans="28:58"><c r="AB329" s="1796"/><c r="AY329" s="30"><v>20.8</v></c><c r="AZ329" s="31"><v>0.92910000000000004</v></c><c r="BA329" s="32"><v>928.6</v></c><c r="BC329" s="37"><v>858</v></c><c r="BD329" s="38"><v>0.85850000000000004</v></c><c r="BE329" s="39"><v>33.33</v></c><c r="BF329" s="1775"/></row><row r="330" spans="28:58"><c r="AB330" s="1796"/><c r="AY330" s="30"><v>20.9</v></c><c r="AZ330" s="31"><v>0.92849999999999999</v></c><c r="BA330" s="32"><v>927.9</v></c><c r="BC330" s="37"><v>859</v></c><c r="BD330" s="38"><v>0.85950000000000004</v></c><c r="BE330" s="39"><v>33.14</v></c><c r="BF330" s="1775"/></row><row r="331" spans="28:58"><c r="AB331" s="1796"/><c r="AY331" s="30"><v>21</v></c><c r="AZ331" s="31"><v>0.92789999999999995</v></c><c r="BA331" s="32"><v>927.3</v></c><c r="BC331" s="37"><v>860</v></c><c r="BD331" s="38"><v>0.86050000000000004</v></c><c r="BE331" s="39"><v>32.950000000000003</v></c><c r="BF331" s="1775"/></row><row r="332" spans="28:58"><c r="AB332" s="1796"/><c r="AY332" s="30"><v>21.1</v></c><c r="AZ332" s="31"><v>0.92730000000000001</v></c><c r="BA332" s="32"><v>926.7</v></c><c r="BC332" s="37"><v>861</v></c><c r="BD332" s="38"><v>0.86150000000000004</v></c><c r="BE332" s="39"><v>32.76</v></c><c r="BF332" s="1775"/></row><row r="333" spans="28:58"><c r="AB333" s="1796"/><c r="AY333" s="30"><v>21.2</v></c><c r="AZ333" s="31"><v>0.92669999999999997</v></c><c r="BA333" s="32"><v>926.1</v></c><c r="BC333" s="37"><v>862</v></c><c r="BD333" s="38"><v>0.86250000000000004</v></c><c r="BE333" s="39"><v>32.57</v></c><c r="BF333" s="1775"/></row><row r="334" spans="28:58"><c r="AB334" s="1796"/><c r="AY334" s="30"><v>21.3</v></c><c r="AZ334" s="31"><v>0.92600000000000005</v></c><c r="BA334" s="32"><v>925.5</v></c><c r="BC334" s="37"><v>863</v></c><c r="BD334" s="38"><v>0.86350000000000005</v></c><c r="BE334" s="39"><v>32.380000000000003</v></c><c r="BF334" s="1775"/></row><row r="335" spans="28:58"><c r="AB335" s="1796"/><c r="AY335" s="30"><v>21.4</v></c><c r="AZ335" s="31"><v>0.9254</v></c><c r="BA335" s="32"><v>924.9</v></c><c r="BC335" s="37"><v>864</v></c><c r="BD335" s="38"><v>0.86450000000000005</v></c><c r="BE335" s="39"><v>32.19</v></c><c r="BF335" s="1775"/></row><row r="336" spans="28:58"><c r="AB336" s="1796"/><c r="AY336" s="30"><v>21.5</v></c><c r="AZ336" s="31"><v>0.92479999999999996</v></c><c r="BA336" s="32"><v>924.3</v></c><c r="BC336" s="37"><v>865</v></c><c r="BD336" s="38"><v>0.86550000000000005</v></c><c r="BE336" s="39"><v>32</v></c><c r="BF336" s="1775"/></row><row r="337" spans="28:58"><c r="AB337" s="1796"/><c r="AY337" s="30"><v>21.6</v></c><c r="AZ337" s="31"><v>0.92420000000000002</v></c><c r="BA337" s="32"><v>923.7</v></c><c r="BC337" s="37"><v>866</v></c><c r="BD337" s="38"><v>0.86650000000000005</v></c><c r="BE337" s="39"><v>31.81</v></c><c r="BF337" s="1775"/></row><row r="338" spans="28:58"><c r="AB338" s="1796"/><c r="AY338" s="30"><v>21.7</v></c><c r="AZ338" s="31"><v>0.92359999999999998</v></c><c r="BA338" s="32"><v>923.1</v></c><c r="BC338" s="37"><v>867</v></c><c r="BD338" s="38"><v>0.86750000000000005</v></c><c r="BE338" s="39"><v>31.62</v></c><c r="BF338" s="1775"/></row><row r="339" spans="28:58"><c r="AB339" s="1796"/><c r="AY339" s="30"><v>21.8</v></c><c r="AZ339" s="31"><v>0.92300000000000004</v></c><c r="BA339" s="32"><v>922.5</v></c><c r="BC339" s="37"><v>868</v></c><c r="BD339" s="38"><v>0.86850000000000005</v></c><c r="BE339" s="39"><v>31.43</v></c><c r="BF339" s="1775"/></row><row r="340" spans="28:58"><c r="AB340" s="1796"/><c r="AY340" s="30"><v>21.9</v></c><c r="AZ340" s="31"><v>0.9224</v></c><c r="BA340" s="32"><v>921.9</v></c><c r="BC340" s="37"><v>869</v></c><c r="BD340" s="38"><v>0.86950000000000005</v></c><c r="BE340" s="39"><v>31.24</v></c><c r="BF340" s="1775"/></row><row r="341" spans="28:58"><c r="AB341" s="1796"/><c r="AY341" s="30"><v>22</v></c><c r="AZ341" s="31"><v>0.92179999999999995</v></c><c r="BA341" s="32"><v>921.3</v></c><c r="BC341" s="37"><v>870</v></c><c r="BD341" s="38"><v>0.87050000000000005</v></c><c r="BE341" s="39"><v>31.06</v></c><c r="BF341" s="1775"/></row><row r="342" spans="28:58"><c r="AB342" s="1796"/><c r="AY342" s="30"><v>22.1</v></c><c r="AZ342" s="31"><v>0.92120000000000002</v></c><c r="BA342" s="32"><v>920.7</v></c><c r="BC342" s="37"><v>871</v></c><c r="BD342" s="38"><v>0.87150000000000005</v></c><c r="BE342" s="39"><v>30.87</v></c><c r="BF342" s="1775"/></row><row r="343" spans="28:58"><c r="AB343" s="1796"/><c r="AY343" s="30"><v>22.2</v></c><c r="AZ343" s="31"><v>0.92059999999999997</v></c><c r="BA343" s="32"><v>920.1</v></c><c r="BC343" s="37"><v>872</v></c><c r="BD343" s="38"><v>0.87250000000000005</v></c><c r="BE343" s="39"><v>30.68</v></c><c r="BF343" s="1775"/></row><row r="344" spans="28:58"><c r="AB344" s="1796"/><c r="AY344" s="30"><v>22.3</v></c><c r="AZ344" s="31"><v>0.92</v></c><c r="BA344" s="32"><v>919.5</v></c><c r="BC344" s="37"><v>873</v></c><c r="BD344" s="38"><v>0.87350000000000005</v></c><c r="BE344" s="39"><v>30.5</v></c><c r="BF344" s="1775"/></row><row r="345" spans="28:58"><c r="AB345" s="1796"/><c r="AY345" s="30"><v>22.4</v></c><c r="AZ345" s="31"><v>0.9194</v></c><c r="BA345" s="32"><v>918.9</v></c><c r="BC345" s="37"><v>874</v></c><c r="BD345" s="38"><v>0.87450000000000006</v></c><c r="BE345" s="39"><v>30.31</v></c><c r="BF345" s="1775"/></row><row r="346" spans="28:58"><c r="AB346" s="1796"/><c r="AY346" s="30"><v>22.5</v></c><c r="AZ346" s="31"><v>0.91879999999999995</v></c><c r="BA346" s="32"><v>918.3</v></c><c r="BC346" s="37"><v>875</v></c><c r="BD346" s="38"><v>0.87549999999999994</v></c><c r="BE346" s="39"><v>30.13</v></c><c r="BF346" s="1775"/></row><row r="347" spans="28:58"><c r="AB347" s="1796"/><c r="AY347" s="30"><v>22.6</v></c><c r="AZ347" s="31"><v>0.91820000000000002</v></c><c r="BA347" s="32"><v>917.7</v></c><c r="BC347" s="37"><v>876</v></c><c r="BD347" s="38"><v>0.87649999999999995</v></c><c r="BE347" s="39"><v>29.94</v></c><c r="BF347" s="1775"/></row><row r="348" spans="28:58"><c r="AB348" s="1796"/><c r="AY348" s="30"><v>22.7</v></c><c r="AZ348" s="31"><v>0.91759999999999997</v></c><c r="BA348" s="32"><v>917.1</v></c><c r="BC348" s="37"><v>877</v></c><c r="BD348" s="38"><v>0.87749999999999995</v></c><c r="BE348" s="39"><v>29.76</v></c><c r="BF348" s="1775"/></row><row r="349" spans="28:58"><c r="AB349" s="1796"/><c r="AY349" s="30"><v>22.8</v></c><c r="AZ349" s="31"><v>0.91700000000000004</v></c><c r="BA349" s="32"><v>916.5</v></c><c r="BC349" s="37"><v>878</v></c><c r="BD349" s="38"><v>0.87849999999999995</v></c><c r="BE349" s="39"><v>29.57</v></c><c r="BF349" s="1775"/></row><row r="350" spans="28:58"><c r="AB350" s="1796"/><c r="AY350" s="30"><v>22.9</v></c><c r="AZ350" s="31"><v>0.91649999999999998</v></c><c r="BA350" s="32"><v>915.9</v></c><c r="BC350" s="37"><v>879</v></c><c r="BD350" s="38"><v>0.87949999999999995</v></c><c r="BE350" s="39"><v>29.39</v></c><c r="BF350" s="1775"/></row><row r="351" spans="28:58"><c r="AB351" s="1796"/><c r="AY351" s="30"><v>23</v></c><c r="AZ351" s="31"><v>0.91590000000000005</v></c><c r="BA351" s="32"><v>915.3</v></c><c r="BC351" s="37"><v>880</v></c><c r="BD351" s="38"><v>0.88049999999999995</v></c><c r="BE351" s="39"><v>29.21</v></c><c r="BF351" s="1775"/></row><row r="352" spans="28:58"><c r="AB352" s="1796"/><c r="AY352" s="30"><v>23.1</v></c><c r="AZ352" s="31"><v>0.9153</v></c><c r="BA352" s="32"><v>914.7</v></c><c r="BC352" s="37"><v>881</v></c><c r="BD352" s="38"><v>0.88149999999999995</v></c><c r="BE352" s="39"><v>29.02</v></c><c r="BF352" s="1775"/></row><row r="353" spans="28:58"><c r="AB353" s="1796"/><c r="AY353" s="30"><v>23.2</v></c><c r="AZ353" s="31"><v>0.91469999999999996</v></c><c r="BA353" s="32"><v>914.2</v></c><c r="BC353" s="37"><v>882</v></c><c r="BD353" s="38"><v>0.88249999999999995</v></c><c r="BE353" s="39"><v>28.84</v></c><c r="BF353" s="1775"/></row><row r="354" spans="28:58"><c r="AB354" s="1796"/><c r="AY354" s="30"><v>23.3</v></c><c r="AZ354" s="31"><v>0.91410000000000002</v></c><c r="BA354" s="32"><v>913.6</v></c><c r="BC354" s="37"><v>883</v></c><c r="BD354" s="38"><v>0.88349999999999995</v></c><c r="BE354" s="39"><v>28.66</v></c><c r="BF354" s="1775"/></row><row r="355" spans="28:58"><c r="AB355" s="1796"/><c r="AY355" s="30"><v>23.4</v></c><c r="AZ355" s="31"><v>0.91349999999999998</v></c><c r="BA355" s="32"><v>913</v></c><c r="BC355" s="37"><v>884</v></c><c r="BD355" s="38"><v>0.88449999999999995</v></c><c r="BE355" s="39"><v>28.48</v></c><c r="BF355" s="1775"/></row><row r="356" spans="28:58"><c r="AB356" s="1796"/><c r="AY356" s="30"><v>23.5</v></c><c r="AZ356" s="31"><v>0.91290000000000004</v></c><c r="BA356" s="32"><v>912.4</v></c><c r="BC356" s="37"><v>885</v></c><c r="BD356" s="38"><v>0.88549999999999995</v></c><c r="BE356" s="39"><v>28.3</v></c><c r="BF356" s="1775"/></row><row r="357" spans="28:58"><c r="AB357" s="1796"/><c r="AY357" s="30"><v>23.6</v></c><c r="AZ357" s="31"><v>0.9123</v></c><c r="BA357" s="32"><v>911.8</v></c><c r="BC357" s="37"><v>886</v></c><c r="BD357" s="38"><v>0.88649999999999995</v></c><c r="BE357" s="39"><v>28.12</v></c><c r="BF357" s="1775"/></row><row r="358" spans="28:58"><c r="AB358" s="1796"/><c r="AY358" s="30"><v>23.7</v></c><c r="AZ358" s="31"><v>0.91169999999999995</v></c><c r="BA358" s="32"><v>911.2</v></c><c r="BC358" s="37"><v>887</v></c><c r="BD358" s="38"><v>0.88749999999999996</v></c><c r="BE358" s="39"><v>27.94</v></c><c r="BF358" s="1775"/></row><row r="359" spans="28:58"><c r="AB359" s="1796"/><c r="AY359" s="30"><v>23.8</v></c><c r="AZ359" s="31"><v>0.91110000000000002</v></c><c r="BA359" s="32"><v>910.6</v></c><c r="BC359" s="37"><v>888</v></c><c r="BD359" s="38"><v>0.88849999999999996</v></c><c r="BE359" s="39"><v>27.76</v></c><c r="BF359" s="1775"/></row><row r="360" spans="28:58"><c r="AB360" s="1796"/><c r="AY360" s="30"><v>23.9</v></c><c r="AZ360" s="31"><v>0.91059999999999997</v></c><c r="BA360" s="32"><v>910</v></c><c r="BC360" s="37"><v>889</v></c><c r="BD360" s="38"><v>0.88949999999999996</v></c><c r="BE360" s="39"><v>27.58</v></c><c r="BF360" s="1775"/></row><row r="361" spans="28:58"><c r="AB361" s="1796"/><c r="AY361" s="30"><v>24</v></c><c r="AZ361" s="31"><v>0.91</v></c><c r="BA361" s="32"><v>909.5</v></c><c r="BC361" s="37"><v>890</v></c><c r="BD361" s="38"><v>0.89049999999999996</v></c><c r="BE361" s="39"><v>27.4</v></c><c r="BF361" s="1775"/></row><row r="362" spans="28:58"><c r="AB362" s="1796"/><c r="AY362" s="30"><v>24.1</v></c><c r="AZ362" s="31"><v>0.90939999999999999</v></c><c r="BA362" s="32"><v>908.9</v></c><c r="BC362" s="37"><v>891</v></c><c r="BD362" s="38"><v>0.89149999999999996</v></c><c r="BE362" s="39"><v>27.22</v></c><c r="BF362" s="1775"/></row><row r="363" spans="28:58"><c r="AB363" s="1796"/><c r="AY363" s="30"><v>24.2</v></c><c r="AZ363" s="31"><v>0.90880000000000005</v></c><c r="BA363" s="32"><v>908.3</v></c><c r="BC363" s="37"><v>892</v></c><c r="BD363" s="38"><v>0.89249999999999996</v></c><c r="BE363" s="39"><v>27.04</v></c><c r="BF363" s="1775"/></row><row r="364" spans="28:58"><c r="AB364" s="1796"/><c r="AY364" s="30"><v>24.3</v></c><c r="AZ364" s="31"><v>0.90820000000000001</v></c><c r="BA364" s="32"><v>907.7</v></c><c r="BC364" s="37"><v>893</v></c><c r="BD364" s="38"><v>0.89349999999999996</v></c><c r="BE364" s="39"><v>26.87</v></c><c r="BF364" s="1775"/></row><row r="365" spans="28:58"><c r="AB365" s="1796"/><c r="AY365" s="30"><v>24.4</v></c><c r="AZ365" s="31"><v>0.90759999999999996</v></c><c r="BA365" s="32"><v>907.1</v></c><c r="BC365" s="37"><v>894</v></c><c r="BD365" s="38"><v>0.89449999999999996</v></c><c r="BE365" s="39"><v>26.69</v></c><c r="BF365" s="1775"/></row><row r="366" spans="28:58"><c r="AB366" s="1796"/><c r="AY366" s="30"><v>24.5</v></c><c r="AZ366" s="31"><v>0.90710000000000002</v></c><c r="BA366" s="32"><v>906.5</v></c><c r="BC366" s="37"><v>895</v></c><c r="BD366" s="38"><v>0.89549999999999996</v></c><c r="BE366" s="39"><v>26.51</v></c><c r="BF366" s="1775"/></row><row r="367" spans="28:58"><c r="AB367" s="1796"/><c r="AY367" s="30"><v>24.6</v></c><c r="AZ367" s="31"><v>0.90649999999999997</v></c><c r="BA367" s="32"><v>906</v></c><c r="BC367" s="37"><v>896</v></c><c r="BD367" s="38"><v>0.89649999999999996</v></c><c r="BE367" s="39"><v>26.34</v></c><c r="BF367" s="1775"/></row><row r="368" spans="28:58"><c r="AB368" s="1796"/><c r="AY368" s="30"><v>24.7</v></c><c r="AZ368" s="31"><v>0.90590000000000004</v></c><c r="BA368" s="32"><v>905.4</v></c><c r="BC368" s="37"><v>897</v></c><c r="BD368" s="38"><v>0.89749999999999996</v></c><c r="BE368" s="39"><v>26.16</v></c><c r="BF368" s="1775"/></row><row r="369" spans="28:58"><c r="AB369" s="1796"/><c r="AY369" s="30"><v>24.8</v></c><c r="AZ369" s="31"><v>0.90529999999999999</v></c><c r="BA369" s="32"><v>904.8</v></c><c r="BC369" s="37"><v>898</v></c><c r="BD369" s="38"><v>0.89849999999999997</v></c><c r="BE369" s="39"><v>25.98</v></c><c r="BF369" s="1775"/></row><row r="370" spans="28:58"><c r="AB370" s="1796"/><c r="AY370" s="30"><v>24.9</v></c><c r="AZ370" s="31"><v>0.90469999999999995</v></c><c r="BA370" s="32"><v>904.2</v></c><c r="BC370" s="37"><v>899</v></c><c r="BD370" s="38"><v>0.89949999999999997</v></c><c r="BE370" s="39"><v>25.81</v></c><c r="BF370" s="1775"/></row><row r="371" spans="28:58"><c r="AB371" s="1796"/><c r="AY371" s="30"><v>25</v></c><c r="AZ371" s="31"><v>0.9042</v></c><c r="BA371" s="32"><v>903.6</v></c><c r="BC371" s="37"><v>900</v></c><c r="BD371" s="38"><v>0.90049999999999997</v></c><c r="BE371" s="39"><v>25.63</v></c><c r="BF371" s="1775"/></row><row r="372" spans="28:58"><c r="AB372" s="1796"/><c r="AY372" s="30"><v>25.1</v></c><c r="AZ372" s="31"><v>0.90359999999999996</v></c><c r="BA372" s="32"><v>903.1</v></c><c r="BC372" s="37"><v>901</v></c><c r="BD372" s="38"><v>0.90149999999999997</v></c><c r="BE372" s="39"><v>25.46</v></c><c r="BF372" s="1775"/></row><row r="373" spans="28:58"><c r="AB373" s="1796"/><c r="AY373" s="30"><v>25.2</v></c><c r="AZ373" s="31"><v>0.90300000000000002</v></c><c r="BA373" s="32"><v>902.5</v></c><c r="BC373" s="37"><v>902</v></c><c r="BD373" s="38"><v>0.90249999999999997</v></c><c r="BE373" s="39"><v>25.29</v></c><c r="BF373" s="1775"/></row><row r="374" spans="28:58"><c r="AB374" s="1796"/><c r="AY374" s="30"><v>25.3</v></c><c r="AZ374" s="31"><v>0.90239999999999998</v></c><c r="BA374" s="32"><v>901.9</v></c><c r="BC374" s="37"><v>903</v></c><c r="BD374" s="38"><v>0.90349999999999997</v></c><c r="BE374" s="39"><v>25.11</v></c><c r="BF374" s="1775"/></row><row r="375" spans="28:58"><c r="AB375" s="1796"/><c r="AY375" s="30"><v>25.4</v></c><c r="AZ375" s="31"><v>0.90180000000000005</v></c><c r="BA375" s="32"><v>901.3</v></c><c r="BC375" s="37"><v>904</v></c><c r="BD375" s="38"><v>0.90449999999999997</v></c><c r="BE375" s="39"><v>24.94</v></c><c r="BF375" s="1775"/></row><row r="376" spans="28:58"><c r="AB376" s="1796"/><c r="AY376" s="30"><v>25.5</v></c><c r="AZ376" s="31"><v>0.90129999999999999</v></c><c r="BA376" s="32"><v>900.8</v></c><c r="BC376" s="37"><v>905</v></c><c r="BD376" s="38"><v>0.90549999999999997</v></c><c r="BE376" s="39"><v>24.77</v></c><c r="BF376" s="1775"/></row><row r="377" spans="28:58"><c r="AB377" s="1796"/><c r="AY377" s="30"><v>25.6</v></c><c r="AZ377" s="31"><v>0.90069999999999995</v></c><c r="BA377" s="32"><v>900.2</v></c><c r="BC377" s="37"><v>906</v></c><c r="BD377" s="38"><v>0.90649999999999997</v></c><c r="BE377" s="39"><v>24.59</v></c><c r="BF377" s="1775"/></row><row r="378" spans="28:58"><c r="AB378" s="1796"/><c r="AY378" s="30"><v>25.7</v></c><c r="AZ378" s="31"><v>0.90010000000000001</v></c><c r="BA378" s="32"><v>899.6</v></c><c r="BC378" s="37"><v>907</v></c><c r="BD378" s="38"><v>0.90749999999999997</v></c><c r="BE378" s="39"><v>24.42</v></c><c r="BF378" s="1775"/></row><row r="379" spans="28:58"><c r="AB379" s="1796"/><c r="AY379" s="30"><v>25.8</v></c><c r="AZ379" s="31"><v>0.89959999999999996</v></c><c r="BA379" s="32"><v>899.1</v></c><c r="BC379" s="37"><v>908</v></c><c r="BD379" s="38"><v>0.90849999999999997</v></c><c r="BE379" s="39"><v>24.25</v></c><c r="BF379" s="1775"/></row><row r="380" spans="28:58"><c r="AB380" s="1796"/><c r="AY380" s="30"><v>25.9</v></c><c r="AZ380" s="31"><v>0.89900000000000002</v></c><c r="BA380" s="32"><v>898.5</v></c><c r="BC380" s="37"><v>909</v></c><c r="BD380" s="38"><v>0.90949999999999998</v></c><c r="BE380" s="39"><v>24.08</v></c><c r="BF380" s="1775"/></row><row r="381" spans="28:58"><c r="AB381" s="1796"/><c r="AY381" s="30"><v>26</v></c><c r="AZ381" s="31"><v>0.89839999999999998</v></c><c r="BA381" s="32"><v>897.9</v></c><c r="BC381" s="37"><v>910</v></c><c r="BD381" s="38"><v>0.91049999999999998</v></c><c r="BE381" s="39"><v>23.91</v></c><c r="BF381" s="1775"/></row><row r="382" spans="28:58"><c r="AB382" s="1796"/><c r="AY382" s="30"><v>26.1</v></c><c r="AZ382" s="31"><v>0.89780000000000004</v></c><c r="BA382" s="32"><v>897.3</v></c><c r="BC382" s="37"><v>911</v></c><c r="BD382" s="38"><v>0.91149999999999998</v></c><c r="BE382" s="39"><v>23.74</v></c><c r="BF382" s="1775"/></row><row r="383" spans="28:58"><c r="AB383" s="1796"/><c r="AY383" s="30"><v>26.2</v></c><c r="AZ383" s="31"><v>0.89729999999999999</v></c><c r="BA383" s="32"><v>896.8</v></c><c r="BC383" s="37"><v>912</v></c><c r="BD383" s="38"><v>0.91249999999999998</v></c><c r="BE383" s="39"><v>23.57</v></c><c r="BF383" s="1775"/></row><row r="384" spans="28:58"><c r="AB384" s="1796"/><c r="AY384" s="30"><v>26.3</v></c><c r="AZ384" s="31"><v>0.89670000000000005</v></c><c r="BA384" s="32"><v>896.2</v></c><c r="BC384" s="37"><v>913</v></c><c r="BD384" s="38"><v>0.91349999999999998</v></c><c r="BE384" s="39"><v>23.4</v></c><c r="BF384" s="1775"/></row><row r="385" spans="28:58"><c r="AB385" s="1796"/><c r="AY385" s="30"><v>26.4</v></c><c r="AZ385" s="31"><v>0.89610000000000001</v></c><c r="BA385" s="32"><v>895.6</v></c><c r="BC385" s="37"><v>914</v></c><c r="BD385" s="38"><v>0.91449999999999998</v></c><c r="BE385" s="39"><v>23.23</v></c><c r="BF385" s="1775"/></row><row r="386" spans="28:58"><c r="AB386" s="1796"/><c r="AY386" s="30"><v>26.5</v></c><c r="AZ386" s="31"><v>0.89559999999999995</v></c><c r="BA386" s="32"><v>895.1</v></c><c r="BC386" s="37"><v>915</v></c><c r="BD386" s="38"><v>0.91549999999999998</v></c><c r="BE386" s="39"><v>23.06</v></c><c r="BF386" s="1775"/></row><row r="387" spans="28:58"><c r="AB387" s="1796"/><c r="AY387" s="30"><v>26.6</v></c><c r="AZ387" s="31"><v>0.89500000000000002</v></c><c r="BA387" s="32"><v>894.5</v></c><c r="BC387" s="37"><v>916</v></c><c r="BD387" s="38"><v>0.91649999999999998</v></c><c r="BE387" s="39"><v>22.89</v></c><c r="BF387" s="1775"/></row><row r="388" spans="28:58"><c r="AB388" s="1796"/><c r="AY388" s="30"><v>26.7</v></c><c r="AZ388" s="31"><v>0.89439999999999997</v></c><c r="BA388" s="32"><v>893.9</v></c><c r="BC388" s="37"><v>917</v></c><c r="BD388" s="38"><v>0.91749999999999998</v></c><c r="BE388" s="39"><v>22.72</v></c><c r="BF388" s="1775"/></row><row r="389" spans="28:58"><c r="AB389" s="1796"/><c r="AY389" s="30"><v>26.8</v></c><c r="AZ389" s="31"><v>0.89390000000000003</v></c><c r="BA389" s="32"><v>893.4</v></c><c r="BC389" s="37"><v>918</v></c><c r="BD389" s="38"><v>0.91849999999999998</v></c><c r="BE389" s="39"><v>22.55</v></c><c r="BF389" s="1775"/></row><row r="390" spans="28:58"><c r="AB390" s="1796"/><c r="AY390" s="30"><v>26.9</v></c><c r="AZ390" s="31"><v>0.89329999999999998</v></c><c r="BA390" s="32"><v>892.8</v></c><c r="BC390" s="37"><v>919</v></c><c r="BD390" s="38"><v>0.91949999999999998</v></c><c r="BE390" s="39"><v>22.38</v></c><c r="BF390" s="1775"/></row><row r="391" spans="28:58"><c r="AB391" s="1796"/><c r="AY391" s="30"><v>27</v></c><c r="AZ391" s="31"><v>0.89270000000000005</v></c><c r="BA391" s="32"><v>892.2</v></c><c r="BC391" s="37"><v>920</v></c><c r="BD391" s="38"><v>0.92049999999999998</v></c><c r="BE391" s="39"><v>22.22</v></c><c r="BF391" s="1775"/></row><row r="392" spans="28:58"><c r="AB392" s="1796"/><c r="AY392" s="30"><v>27.1</v></c><c r="AZ392" s="31"><v>0.89219999999999999</v></c><c r="BA392" s="32"><v>891.7</v></c><c r="BC392" s="37"><v>921</v></c><c r="BD392" s="38"><v>0.92149999999999999</v></c><c r="BE392" s="39"><v>22.05</v></c><c r="BF392" s="1775"/></row><row r="393" spans="28:58"><c r="AB393" s="1796"/><c r="AY393" s="30"><v>27.2</v></c><c r="AZ393" s="31"><v>0.89159999999999995</v></c><c r="BA393" s="32"><v>891.1</v></c><c r="BC393" s="37"><v>922</v></c><c r="BD393" s="38"><v>0.92249999999999999</v></c><c r="BE393" s="39"><v>21.88</v></c><c r="BF393" s="1775"/></row><row r="394" spans="28:58"><c r="AB394" s="1796"/><c r="AY394" s="30"><v>27.3</v></c><c r="AZ394" s="31"><v>0.8911</v></c><c r="BA394" s="32"><v>890.6</v></c><c r="BC394" s="37"><v>923</v></c><c r="BD394" s="38"><v>0.92349999999999999</v></c><c r="BE394" s="39"><v>21.72</v></c><c r="BF394" s="1775"/></row><row r="395" spans="28:58"><c r="AB395" s="1796"/><c r="AY395" s="30"><v>27.4</v></c><c r="AZ395" s="31"><v>0.89049999999999996</v></c><c r="BA395" s="32"><v>890</v></c><c r="BC395" s="37"><v>924</v></c><c r="BD395" s="38"><v>0.92449999999999999</v></c><c r="BE395" s="39"><v>21.55</v></c><c r="BF395" s="1775"/></row><row r="396" spans="28:58"><c r="AB396" s="1796"/><c r="AY396" s="30"><v>27.5</v></c><c r="AZ396" s="31"><v>0.88990000000000002</v></c><c r="BA396" s="32"><v>889.4</v></c><c r="BC396" s="37"><v>925</v></c><c r="BD396" s="38"><v>0.92549999999999999</v></c><c r="BE396" s="39"><v>21.39</v></c><c r="BF396" s="1775"/></row><row r="397" spans="28:58"><c r="AB397" s="1796"/><c r="AY397" s="30"><v>27.6</v></c><c r="AZ397" s="31"><v>0.88939999999999997</v></c><c r="BA397" s="32"><v>888.9</v></c><c r="BC397" s="37"><v>926</v></c><c r="BD397" s="38"><v>0.92649999999999999</v></c><c r="BE397" s="39"><v>21.22</v></c><c r="BF397" s="1775"/></row><row r="398" spans="28:58"><c r="AB398" s="1796"/><c r="AY398" s="30"><v>27.7</v></c><c r="AZ398" s="31"><v>0.88880000000000003</v></c><c r="BA398" s="32"><v>888.3</v></c><c r="BC398" s="37"><v>927</v></c><c r="BD398" s="38"><v>0.92749999999999999</v></c><c r="BE398" s="39"><v>21.06</v></c><c r="BF398" s="1775"/></row><row r="399" spans="28:58"><c r="AB399" s="1796"/><c r="AY399" s="30"><v>27.8</v></c><c r="AZ399" s="31"><v>0.88829999999999998</v></c><c r="BA399" s="32"><v>887.8</v></c><c r="BC399" s="37"><v>928</v></c><c r="BD399" s="38"><v>0.92849999999999999</v></c><c r="BE399" s="39"><v>20.89</v></c><c r="BF399" s="1775"/></row><row r="400" spans="28:58"><c r="AB400" s="1796"/><c r="AY400" s="30"><v>27.9</v></c><c r="AZ400" s="31"><v>0.88770000000000004</v></c><c r="BA400" s="32"><v>887.2</v></c><c r="BC400" s="37"><v>929</v></c><c r="BD400" s="38"><v>0.92949999999999999</v></c><c r="BE400" s="39"><v>20.73</v></c><c r="BF400" s="1775"/></row><row r="401" spans="28:58"><c r="AB401" s="1796"/><c r="AY401" s="30"><v>28</v></c><c r="AZ401" s="31"><v>0.8871</v></c><c r="BA401" s="32"><v>886.7</v></c><c r="BC401" s="37"><v>930</v></c><c r="BD401" s="38"><v>0.93049999999999999</v></c><c r="BE401" s="39"><v>20.56</v></c><c r="BF401" s="1775"/></row><row r="402" spans="28:58"><c r="AB402" s="1796"/><c r="AY402" s="30"><v>28.1</v></c><c r="AZ402" s="31"><v>0.88660000000000005</v></c><c r="BA402" s="32"><v>886.1</v></c><c r="BC402" s="37"><v>931</v></c><c r="BD402" s="38"><v>0.93149999999999999</v></c><c r="BE402" s="39"><v>20.399999999999999</v></c><c r="BF402" s="1775"/></row><row r="403" spans="28:58"><c r="AB403" s="1796"/><c r="AY403" s="30"><v>28.2</v></c><c r="AZ403" s="31"><v>0.88600000000000001</v></c><c r="BA403" s="32"><v>885.5</v></c><c r="BC403" s="37"><v>932</v></c><c r="BD403" s="38"><v>0.9325</v></c><c r="BE403" s="39"><v>20.239999999999998</v></c><c r="BF403" s="1775"/></row><row r="404" spans="28:58"><c r="AB404" s="1796"/><c r="AY404" s="30"><v>28.3</v></c><c r="AZ404" s="31"><v>0.88549999999999995</v></c><c r="BA404" s="32"><v>885</v></c><c r="BC404" s="37"><v>933</v></c><c r="BD404" s="38"><v>0.9335</v></c><c r="BE404" s="39"><v>20.07</v></c><c r="BF404" s="1775"/></row><row r="405" spans="28:58"><c r="AB405" s="1796"/><c r="AY405" s="30"><v>28.4</v></c><c r="AZ405" s="31"><v>0.88490000000000002</v></c><c r="BA405" s="32"><v>884.4</v></c><c r="BC405" s="37"><v>934</v></c><c r="BD405" s="38"><v>0.9345</v></c><c r="BE405" s="39"><v>19.91</v></c><c r="BF405" s="1775"/></row><row r="406" spans="28:58"><c r="AB406" s="1796"/><c r="AY406" s="30"><v>28.5</v></c><c r="AZ406" s="31"><v>0.88439999999999996</v></c><c r="BA406" s="32"><v>883.9</v></c><c r="BC406" s="37"><v>935</v></c><c r="BD406" s="38"><v>0.9355</v></c><c r="BE406" s="39"><v>19.75</v></c><c r="BF406" s="1775"/></row><row r="407" spans="28:58"><c r="AB407" s="1796"/><c r="AY407" s="30"><v>28.6</v></c><c r="AZ407" s="31"><v>0.88380000000000003</v></c><c r="BA407" s="32"><v>883.3</v></c><c r="BC407" s="37"><v>936</v></c><c r="BD407" s="38"><v>0.9365</v></c><c r="BE407" s="39"><v>19.59</v></c><c r="BF407" s="1775"/></row><row r="408" spans="28:58"><c r="AB408" s="1796"/><c r="AY408" s="30"><v>28.7</v></c><c r="AZ408" s="31"><v>0.88329999999999997</v></c><c r="BA408" s="32"><v>882.8</v></c><c r="BC408" s="37"><v>937</v></c><c r="BD408" s="38"><v>0.9375</v></c><c r="BE408" s="39"><v>19.43</v></c><c r="BF408" s="1775"/></row><row r="409" spans="28:58"><c r="AB409" s="1796"/><c r="AY409" s="30"><v>28.8</v></c><c r="AZ409" s="31"><v>0.88270000000000004</v></c><c r="BA409" s="32"><v>882.2</v></c><c r="BC409" s="37"><v>938</v></c><c r="BD409" s="38"><v>0.9385</v></c><c r="BE409" s="39"><v>19.27</v></c><c r="BF409" s="1775"/></row><row r="410" spans="28:58"><c r="AB410" s="1796"/><c r="AY410" s="30"><v>28.9</v></c><c r="AZ410" s="31"><v>0.88219999999999998</v></c><c r="BA410" s="32"><v>881.7</v></c><c r="BC410" s="37"><v>939</v></c><c r="BD410" s="38"><v>0.9395</v></c><c r="BE410" s="39"><v>19.100000000000001</v></c><c r="BF410" s="1775"/></row><row r="411" spans="28:58"><c r="AB411" s="1796"/><c r="AY411" s="30"><v>29</v></c><c r="AZ411" s="31"><v>0.88160000000000005</v></c><c r="BA411" s="32"><v>881.1</v></c><c r="BC411" s="37"><v>940</v></c><c r="BD411" s="38"><v>0.9405</v></c><c r="BE411" s="39"><v>18.940000000000001</v></c><c r="BF411" s="1775"/></row><row r="412" spans="28:58"><c r="AB412" s="1796"/><c r="AY412" s="30"><v>29.1</v></c><c r="AZ412" s="31"><v>0.88109999999999999</v></c><c r="BA412" s="32"><v>880.6</v></c><c r="BC412" s="37"><v>941</v></c><c r="BD412" s="38"><v>0.9415</v></c><c r="BE412" s="39"><v>18.78</v></c><c r="BF412" s="1775"/></row><row r="413" spans="28:58"><c r="AB413" s="1796"/><c r="AY413" s="30"><v>29.2</v></c><c r="AZ413" s="31"><v>0.88049999999999995</v></c><c r="BA413" s="32"><v>880</v></c><c r="BC413" s="37"><v>942</v></c><c r="BD413" s="38"><v>0.94259999999999999</v></c><c r="BE413" s="39"><v>18.62</v></c><c r="BF413" s="1775"/></row><row r="414" spans="28:58"><c r="AB414" s="1796"/><c r="AY414" s="30"><v>29.3</v></c><c r="AZ414" s="31"><v>0.88</v></c><c r="BA414" s="32"><v>879.5</v></c><c r="BC414" s="37"><v>943</v></c><c r="BD414" s="38"><v>0.94359999999999999</v></c><c r="BE414" s="39"><v>18.47</v></c><c r="BF414" s="1775"/></row><row r="415" spans="28:58"><c r="AB415" s="1796"/><c r="AY415" s="30"><v>29.4</v></c><c r="AZ415" s="31"><v>0.87939999999999996</v></c><c r="BA415" s="32"><v>878.9</v></c><c r="BC415" s="37"><v>944</v></c><c r="BD415" s="38"><v>0.9446</v></c><c r="BE415" s="39"><v>18.309999999999999</v></c><c r="BF415" s="1775"/></row><row r="416" spans="28:58"><c r="AB416" s="1796"/><c r="AY416" s="30"><v>29.5</v></c><c r="AZ416" s="31"><v>0.87890000000000001</v></c><c r="BA416" s="32"><v>878.4</v></c><c r="BC416" s="37"><v>945</v></c><c r="BD416" s="38"><v>0.9456</v></c><c r="BE416" s="39"><v>18.149999999999999</v></c><c r="BF416" s="1775"/></row><row r="417" spans="28:58"><c r="AB417" s="1796"/><c r="AY417" s="30"><v>29.6</v></c><c r="AZ417" s="31"><v>0.87829999999999997</v></c><c r="BA417" s="32"><v>877.9</v></c><c r="BC417" s="37"><v>946</v></c><c r="BD417" s="38"><v>0.9466</v></c><c r="BE417" s="39"><v>17.989999999999998</v></c><c r="BF417" s="1775"/></row><row r="418" spans="28:58"><c r="AB418" s="1796"/><c r="AY418" s="30"><v>29.7</v></c><c r="AZ418" s="31"><v>0.87780000000000002</v></c><c r="BA418" s="32"><v>877.3</v></c><c r="BC418" s="37"><v>947</v></c><c r="BD418" s="38"><v>0.9476</v></c><c r="BE418" s="39"><v>17.829999999999998</v></c><c r="BF418" s="1775"/></row><row r="419" spans="28:58"><c r="AB419" s="1796"/><c r="AY419" s="30"><v>29.8</v></c><c r="AZ419" s="31"><v>0.87719999999999998</v></c><c r="BA419" s="32"><v>876.8</v></c><c r="BC419" s="37"><v>948</v></c><c r="BD419" s="38"><v>0.9486</v></c><c r="BE419" s="39"><v>17.670000000000002</v></c><c r="BF419" s="1775"/></row><row r="420" spans="28:58"><c r="AB420" s="1796"/><c r="AY420" s="30"><v>29.9</v></c><c r="AZ420" s="31"><v>0.87670000000000003</v></c><c r="BA420" s="32"><v>876.2</v></c><c r="BC420" s="37"><v>949</v></c><c r="BD420" s="38"><v>0.9496</v></c><c r="BE420" s="39"><v>17.52</v></c><c r="BF420" s="1775"/></row><row r="421" spans="28:58"><c r="AB421" s="1796"/><c r="AY421" s="30"><v>30</v></c><c r="AZ421" s="31"><v>0.87619999999999998</v></c><c r="BA421" s="32"><v>875.7</v></c><c r="BC421" s="37"><v>950</v></c><c r="BD421" s="38"><v>0.9506</v></c><c r="BE421" s="39"><v>17.36</v></c><c r="BF421" s="1775"/></row><row r="422" spans="28:58"><c r="AB422" s="1796"/><c r="AY422" s="30"><v>30.1</v></c><c r="AZ422" s="31"><v>0.87560000000000004</v></c><c r="BA422" s="32"><v>875.1</v></c><c r="BC422" s="37"><v>951</v></c><c r="BD422" s="38"><v>0.9516</v></c><c r="BE422" s="39"><v>17.2</v></c><c r="BF422" s="1775"/></row><row r="423" spans="28:58"><c r="AB423" s="1796"/><c r="AY423" s="30"><v>30.2</v></c><c r="AZ423" s="31"><v>0.87509999999999999</v></c><c r="BA423" s="32"><v>874.6</v></c><c r="BC423" s="37"><v>952</v></c><c r="BD423" s="38"><v>0.9526</v></c><c r="BE423" s="39"><v>17.05</v></c><c r="BF423" s="1775"/></row><row r="424" spans="28:58"><c r="AB424" s="1796"/><c r="AY424" s="30"><v>30.3</v></c><c r="AZ424" s="31"><v>0.87450000000000006</v></c><c r="BA424" s="32"><v>874.1</v></c><c r="BC424" s="37"><v>953</v></c><c r="BD424" s="38"><v>0.9536</v></c><c r="BE424" s="39"><v>16.89</v></c><c r="BF424" s="1775"/></row><row r="425" spans="28:58"><c r="AB425" s="1796"/><c r="AY425" s="30"><v>30.4</v></c><c r="AZ425" s="31"><v>0.874</v></c><c r="BA425" s="32"><v>873.5</v></c><c r="BC425" s="37"><v>954</v></c><c r="BD425" s="38"><v>0.9546</v></c><c r="BE425" s="39"><v>16.739999999999998</v></c><c r="BF425" s="1775"/></row><row r="426" spans="28:58"><c r="AB426" s="1796"/><c r="AY426" s="30"><v>30.5</v></c><c r="AZ426" s="31"><v>0.87350000000000005</v></c><c r="BA426" s="32"><v>873</v></c><c r="BC426" s="37"><v>955</v></c><c r="BD426" s="38"><v>0.9556</v></c><c r="BE426" s="39"><v>16.579999999999998</v></c><c r="BF426" s="1775"/></row><row r="427" spans="28:58"><c r="AB427" s="1796"/><c r="AY427" s="30"><v>30.6</v></c><c r="AZ427" s="31"><v>0.87290000000000001</v></c><c r="BA427" s="32"><v>872.4</v></c><c r="BC427" s="37"><v>956</v></c><c r="BD427" s="38"><v>0.95660000000000001</v></c><c r="BE427" s="39"><v>16.420000000000002</v></c><c r="BF427" s="1775"/></row><row r="428" spans="28:58"><c r="AB428" s="1796"/><c r="AY428" s="30"><v>30.7</v></c><c r="AZ428" s="31"><v>0.87239999999999995</v></c><c r="BA428" s="32"><v>871.9</v></c><c r="BC428" s="37"><v>957</v></c><c r="BD428" s="38"><v>0.95760000000000001</v></c><c r="BE428" s="39"><v>16.27</v></c><c r="BF428" s="1775"/></row><row r="429" spans="28:58"><c r="AB429" s="1796"/><c r="AY429" s="30"><v>30.8</v></c><c r="AZ429" s="31"><v>0.87180000000000002</v></c><c r="BA429" s="32"><v>871.4</v></c><c r="BC429" s="37"><v>958</v></c><c r="BD429" s="38"><v>0.95860000000000001</v></c><c r="BE429" s="39"><v>16.12</v></c><c r="BF429" s="1775"/></row><row r="430" spans="28:58"><c r="AB430" s="1796"/><c r="AY430" s="30"><v>30.9</v></c><c r="AZ430" s="31"><v>0.87129999999999996</v></c><c r="BA430" s="32"><v>870.8</v></c><c r="BC430" s="37"><v>959</v></c><c r="BD430" s="38"><v>0.95960000000000001</v></c><c r="BE430" s="39"><v>15.96</v></c><c r="BF430" s="1775"/></row><row r="431" spans="28:58"><c r="AB431" s="1796"/><c r="AY431" s="30"><v>31</v></c><c r="AZ431" s="31"><v>0.87080000000000002</v></c><c r="BA431" s="32"><v>870.3</v></c><c r="BC431" s="37"><v>960</v></c><c r="BD431" s="38"><v>0.96060000000000001</v></c><c r="BE431" s="39"><v>15.81</v></c><c r="BF431" s="1775"/></row><row r="432" spans="28:58"><c r="AB432" s="1796"/><c r="AY432" s="30"><v>31.1</v></c><c r="AZ432" s="31"><v>0.87019999999999997</v></c><c r="BA432" s="32"><v>869.8</v></c><c r="BC432" s="37"><v>961</v></c><c r="BD432" s="38"><v>0.96160000000000001</v></c><c r="BE432" s="39"><v>15.65</v></c><c r="BF432" s="1775"/></row><row r="433" spans="28:58"><c r="AB433" s="1796"/><c r="AY433" s="30"><v>31.2</v></c><c r="AZ433" s="31"><v>0.86970000000000003</v></c><c r="BA433" s="32"><v>869.2</v></c><c r="BC433" s="37"><v>962</v></c><c r="BD433" s="38"><v>0.96260000000000001</v></c><c r="BE433" s="39"><v>15.5</v></c><c r="BF433" s="1775"/></row><row r="434" spans="28:58"><c r="AB434" s="1796"/><c r="AY434" s="30"><v>31.3</v></c><c r="AZ434" s="31"><v>0.86919999999999997</v></c><c r="BA434" s="32"><v>868.7</v></c><c r="BC434" s="37"><v>963</v></c><c r="BD434" s="38"><v>0.96360000000000001</v></c><c r="BE434" s="39"><v>15.35</v></c><c r="BF434" s="1775"/></row><row r="435" spans="28:58"><c r="AB435" s="1796"/><c r="AY435" s="30"><v>31.4</v></c><c r="AZ435" s="31"><v>0.86860000000000004</v></c><c r="BA435" s="32"><v>868.2</v></c><c r="BC435" s="37"><v>964</v></c><c r="BD435" s="38"><v>0.96460000000000001</v></c><c r="BE435" s="39"><v>15.2</v></c><c r="BF435" s="1775"/></row><row r="436" spans="28:58"><c r="AB436" s="1796"/><c r="AY436" s="30"><v>31.5</v></c><c r="AZ436" s="31"><v>0.86809999999999998</v></c><c r="BA436" s="32"><v>867.6</v></c><c r="BC436" s="37"><v>965</v></c><c r="BD436" s="38"><v>0.96560000000000001</v></c><c r="BE436" s="39"><v>15.04</v></c><c r="BF436" s="1775"/></row><row r="437" spans="28:58"><c r="AB437" s="1796"/><c r="AY437" s="30"><v>31.6</v></c><c r="AZ437" s="31"><v>0.86760000000000004</v></c><c r="BA437" s="32"><v>867.1</v></c><c r="BC437" s="37"><v>966</v></c><c r="BD437" s="38"><v>0.96660000000000001</v></c><c r="BE437" s="39"><v>14.89</v></c><c r="BF437" s="1775"/></row><row r="438" spans="28:58"><c r="AB438" s="1796"/><c r="AY438" s="30"><v>31.7</v></c><c r="AZ438" s="31"><v>0.86699999999999999</v></c><c r="BA438" s="32"><v>866.6</v></c><c r="BC438" s="37"><v>967</v></c><c r="BD438" s="38"><v>0.96760000000000002</v></c><c r="BE438" s="39"><v>14.74</v></c><c r="BF438" s="1775"/></row><row r="439" spans="28:58"><c r="AB439" s="1796"/><c r="AY439" s="30"><v>31.8</v></c><c r="AZ439" s="31"><v>0.86650000000000005</v></c><c r="BA439" s="32"><v>866</v></c><c r="BC439" s="37"><v>968</v></c><c r="BD439" s="38"><v>0.96860000000000002</v></c><c r="BE439" s="39"><v>14.59</v></c><c r="BF439" s="1775"/></row><row r="440" spans="28:58"><c r="AB440" s="1796"/><c r="AY440" s="30"><v>31.9</v></c><c r="AZ440" s="31"><v>0.86599999999999999</v></c><c r="BA440" s="32"><v>865.5</v></c><c r="BC440" s="37"><v>969</v></c><c r="BD440" s="38"><v>0.96960000000000002</v></c><c r="BE440" s="39"><v>14.44</v></c><c r="BF440" s="1775"/></row><row r="441" spans="28:58"><c r="AB441" s="1796"/><c r="AY441" s="30"><v>32</v></c><c r="AZ441" s="31"><v>0.86539999999999995</v></c><c r="BA441" s="32"><v>865</v></c><c r="BC441" s="37"><v>970</v></c><c r="BD441" s="38"><v>0.97060000000000002</v></c><c r="BE441" s="39"><v>14.29</v></c><c r="BF441" s="1775"/></row><row r="442" spans="28:58"><c r="AB442" s="1796"/><c r="AY442" s="30"><v>32.1</v></c><c r="AZ442" s="31"><v>0.8649</v></c><c r="BA442" s="32"><v>864.5</v></c><c r="BC442" s="37"><v>971</v></c><c r="BD442" s="38"><v>0.97160000000000002</v></c><c r="BE442" s="39"><v>14.14</v></c><c r="BF442" s="1775"/></row><row r="443" spans="28:58"><c r="AB443" s="1796"/><c r="AY443" s="30"><v>32.200000000000003</v></c><c r="AZ443" s="31"><v>0.86439999999999995</v></c><c r="BA443" s="32"><v>863.9</v></c><c r="BC443" s="37"><v>972</v></c><c r="BD443" s="38"><v>0.97260000000000002</v></c><c r="BE443" s="39"><v>13.99</v></c><c r="BF443" s="1775"/></row><row r="444" spans="28:58"><c r="AB444" s="1796"/><c r="AY444" s="30"><v>32.299999999999997</v></c><c r="AZ444" s="31"><v>0.8639</v></c><c r="BA444" s="32"><v>863.4</v></c><c r="BC444" s="37"><v>973</v></c><c r="BD444" s="38"><v>0.97360000000000002</v></c><c r="BE444" s="39"><v>13.84</v></c><c r="BF444" s="1775"/></row><row r="445" spans="28:58"><c r="AB445" s="1796"/><c r="AY445" s="30"><v>32.4</v></c><c r="AZ445" s="31"><v>0.86329999999999996</v></c><c r="BA445" s="32"><v>862.9</v></c><c r="BC445" s="37"><v>974</v></c><c r="BD445" s="38"><v>0.97460000000000002</v></c><c r="BE445" s="39"><v>13.69</v></c><c r="BF445" s="1775"/></row><row r="446" spans="28:58"><c r="AB446" s="1796"/><c r="AY446" s="30"><v>32.5</v></c><c r="AZ446" s="31"><v>0.86280000000000001</v></c><c r="BA446" s="32"><v>862.3</v></c><c r="BC446" s="37"><v>975</v></c><c r="BD446" s="38"><v>0.97560000000000002</v></c><c r="BE446" s="39"><v>13.54</v></c><c r="BF446" s="1775"/></row><row r="447" spans="28:58"><c r="AB447" s="1796"/><c r="AY447" s="30"><v>32.6</v></c><c r="AZ447" s="31"><v>0.86229999999999996</v></c><c r="BA447" s="32"><v>861.8</v></c><c r="BC447" s="37"><v>976</v></c><c r="BD447" s="38"><v>0.97660000000000002</v></c><c r="BE447" s="39"><v>13.39</v></c><c r="BF447" s="1775"/></row><row r="448" spans="28:58"><c r="AB448" s="1796"/><c r="AY448" s="30"><v>32.700000000000003</v></c><c r="AZ448" s="31"><v>0.86180000000000001</v></c><c r="BA448" s="32"><v>861.3</v></c><c r="BC448" s="37"><v>977</v></c><c r="BD448" s="38"><v>0.97760000000000002</v></c><c r="BE448" s="39"><v>13.24</v></c><c r="BF448" s="1775"/></row><row r="449" spans="28:58"><c r="AB449" s="1796"/><c r="AY449" s="30"><v>32.799999999999997</v></c><c r="AZ449" s="31"><v>0.86119999999999997</v></c><c r="BA449" s="32"><v>860.8</v></c><c r="BC449" s="37"><v>978</v></c><c r="BD449" s="38"><v>0.97860000000000003</v></c><c r="BE449" s="39"><v>13.1</v></c><c r="BF449" s="1775"/></row><row r="450" spans="28:58"><c r="AB450" s="1796"/><c r="AY450" s="30"><v>32.9</v></c><c r="AZ450" s="31"><v>0.86070000000000002</v></c><c r="BA450" s="32"><v>860.2</v></c><c r="BC450" s="37"><v>979</v></c><c r="BD450" s="38"><v>0.97960000000000003</v></c><c r="BE450" s="39"><v>12.95</v></c><c r="BF450" s="1775"/></row><row r="451" spans="28:58"><c r="AB451" s="1796"/><c r="AY451" s="30"><v>33</v></c><c r="AZ451" s="31"><v>0.86019999999999996</v></c><c r="BA451" s="32"><v>859.7</v></c><c r="BC451" s="37"><v>980</v></c><c r="BD451" s="38"><v>0.98060000000000003</v></c><c r="BE451" s="39"><v>12.8</v></c><c r="BF451" s="1775"/></row><row r="452" spans="28:58"><c r="AB452" s="1796"/><c r="AY452" s="30"><v>33.1</v></c><c r="AZ452" s="31"><v>0.85970000000000002</v></c><c r="BA452" s="32"><v>859.2</v></c><c r="BC452" s="37"><v>981</v></c><c r="BD452" s="38"><v>0.98160000000000003</v></c><c r="BE452" s="39"><v>12.65</v></c><c r="BF452" s="1775"/></row><row r="453" spans="28:58"><c r="AB453" s="1796"/><c r="AY453" s="30"><v>33.200000000000003</v></c><c r="AZ453" s="31"><v>0.85909999999999997</v></c><c r="BA453" s="32"><v>858.7</v></c><c r="BC453" s="37"><v>982</v></c><c r="BD453" s="38"><v>0.98260000000000003</v></c><c r="BE453" s="39"><v>12.51</v></c><c r="BF453" s="1775"/></row><row r="454" spans="28:58"><c r="AB454" s="1796"/><c r="AY454" s="30"><v>33.299999999999997</v></c><c r="AZ454" s="31"><v>0.85860000000000003</v></c><c r="BA454" s="32"><v>858.2</v></c><c r="BC454" s="37"><v>983</v></c><c r="BD454" s="38"><v>0.98360000000000003</v></c><c r="BE454" s="39"><v>12.36</v></c><c r="BF454" s="1775"/></row><row r="455" spans="28:58"><c r="AB455" s="1796"/><c r="AY455" s="30"><v>33.4</v></c><c r="AZ455" s="31"><v>0.85809999999999997</v></c><c r="BA455" s="32"><v>857.6</v></c><c r="BC455" s="37"><v>984</v></c><c r="BD455" s="38"><v>0.98460000000000003</v></c><c r="BE455" s="39"><v>12.21</v></c><c r="BF455" s="1775"/></row><row r="456" spans="28:58"><c r="AB456" s="1796"/><c r="AY456" s="30"><v>33.5</v></c><c r="AZ456" s="31"><v>0.85760000000000003</v></c><c r="BA456" s="32"><v>857.1</v></c><c r="BC456" s="37"><v>985</v></c><c r="BD456" s="38"><v>0.98560000000000003</v></c><c r="BE456" s="39"><v>12.07</v></c><c r="BF456" s="1775"/></row><row r="457" spans="28:58"><c r="AB457" s="1796"/><c r="AY457" s="30"><v>33.6</v></c><c r="AZ457" s="31"><v>0.85709999999999997</v></c><c r="BA457" s="32"><v>856.6</v></c><c r="BC457" s="37"><v>986</v></c><c r="BD457" s="38"><v>0.98660000000000003</v></c><c r="BE457" s="39"><v>11.92</v></c><c r="BF457" s="1775"/></row><row r="458" spans="28:58"><c r="AB458" s="1796"/><c r="AY458" s="30"><v>33.700000000000003</v></c><c r="AZ458" s="31"><v>0.85650000000000004</v></c><c r="BA458" s="32"><v>856.1</v></c><c r="BC458" s="37"><v>987</v></c><c r="BD458" s="38"><v>0.98760000000000003</v></c><c r="BE458" s="39"><v>11.78</v></c><c r="BF458" s="1775"/></row><row r="459" spans="28:58"><c r="AB459" s="1796"/><c r="AY459" s="30"><v>33.799999999999997</v></c><c r="AZ459" s="31"><v>0.85599999999999998</v></c><c r="BA459" s="32"><v>855.6</v></c><c r="BC459" s="37"><v>988</v></c><c r="BD459" s="38"><v>0.98860000000000003</v></c><c r="BE459" s="39"><v>11.63</v></c><c r="BF459" s="1775"/></row><row r="460" spans="28:58"><c r="AB460" s="1796"/><c r="AY460" s="30"><v>33.9</v></c><c r="AZ460" s="31"><v>0.85550000000000004</v></c><c r="BA460" s="32"><v>855</v></c><c r="BC460" s="37"><v>989</v></c><c r="BD460" s="38"><v>0.98960000000000004</v></c><c r="BE460" s="39"><v>11.49</v></c><c r="BF460" s="1775"/></row><row r="461" spans="28:58"><c r="AB461" s="1796"/><c r="AY461" s="30"><v>34</v></c><c r="AZ461" s="31"><v>0.85499999999999998</v></c><c r="BA461" s="32"><v>854.5</v></c><c r="BC461" s="37"><v>990</v></c><c r="BD461" s="38"><v>0.99060000000000004</v></c><c r="BE461" s="39"><v>11.34</v></c><c r="BF461" s="1775"/></row><row r="462" spans="28:58"><c r="AB462" s="1796"/><c r="AY462" s="30"><v>34.1</v></c><c r="AZ462" s="31"><v>0.85450000000000004</v></c><c r="BA462" s="32"><v>854</v></c><c r="BC462" s="37"><v>991</v></c><c r="BD462" s="38"><v>0.99160000000000004</v></c><c r="BE462" s="39"><v>11.2</v></c><c r="BF462" s="1775"/></row><row r="463" spans="28:58"><c r="AB463" s="1796"/><c r="AY463" s="30"><v>34.200000000000003</v></c><c r="AZ463" s="31"><v>0.85399999999999998</v></c><c r="BA463" s="32"><v>853.5</v></c><c r="BC463" s="37"><v>992</v></c><c r="BD463" s="38"><v>0.99260000000000004</v></c><c r="BE463" s="39"><v>11.05</v></c><c r="BF463" s="1775"/></row><row r="464" spans="28:58"><c r="AB464" s="1796"/><c r="AY464" s="30"><v>34.299999999999997</v></c><c r="AZ464" s="31"><v>0.85340000000000005</v></c><c r="BA464" s="32"><v>853</v></c><c r="BC464" s="37"><v>993</v></c><c r="BD464" s="38"><v>0.99360000000000004</v></c><c r="BE464" s="39"><v>10.91</v></c><c r="BF464" s="1775"/></row><row r="465" spans="28:58"><c r="AB465" s="1796"/><c r="AY465" s="30"><v>34.4</v></c><c r="AZ465" s="31"><v>0.85289999999999999</v></c><c r="BA465" s="32"><v>852.5</v></c><c r="BC465" s="37"><v>994</v></c><c r="BD465" s="38"><v>0.99460000000000004</v></c><c r="BE465" s="39"><v>10.77</v></c><c r="BF465" s="1775"/></row><row r="466" spans="28:58"><c r="AB466" s="1796"/><c r="AY466" s="30"><v>34.5</v></c><c r="AZ466" s="31"><v>0.85240000000000005</v></c><c r="BA466" s="32"><v>852</v></c><c r="BC466" s="37"><v>995</v></c><c r="BD466" s="38"><v>0.99560000000000004</v></c><c r="BE466" s="39"><v>10.62</v></c><c r="BF466" s="1775"/></row><row r="467" spans="28:58"><c r="AB467" s="1796"/><c r="AY467" s="30"><v>34.6</v></c><c r="AZ467" s="31"><v>0.85189999999999999</v></c><c r="BA467" s="32"><v>851.4</v></c><c r="BC467" s="37"><v>996</v></c><c r="BD467" s="38"><v>0.99660000000000004</v></c><c r="BE467" s="39"><v>10.48</v></c><c r="BF467" s="1775"/></row><row r="468" spans="28:58"><c r="AB468" s="1796"/><c r="AY468" s="30"><v>34.700000000000003</v></c><c r="AZ468" s="31"><v>0.85140000000000005</v></c><c r="BA468" s="32"><v>850.9</v></c><c r="BC468" s="37"><v>997</v></c><c r="BD468" s="38"><v>0.99760000000000004</v></c><c r="BE468" s="39"><v>10.34</v></c><c r="BF468" s="1775"/></row><row r="469" spans="28:58"><c r="AB469" s="1796"/><c r="AY469" s="30"><v>34.799999999999997</v></c><c r="AZ469" s="31"><v>0.85089999999999999</v></c><c r="BA469" s="32"><v>850.4</v></c><c r="BC469" s="37"><v>998</v></c><c r="BD469" s="38"><v>0.99860000000000004</v></c><c r="BE469" s="39"><v>10.199999999999999</v></c><c r="BF469" s="1775"/></row><row r="470" spans="28:58"><c r="AB470" s="1796"/><c r="AY470" s="30"><v>34.9</v></c><c r="AZ470" s="31"><v>0.85040000000000004</v></c><c r="BA470" s="32"><v>849.9</v></c><c r="BC470" s="37"><v>999</v></c><c r="BD470" s="38"><v>0.99960000000000004</v></c><c r="BE470" s="39"><v>10.050000000000001</v></c><c r="BF470" s="1775"/></row><row r="471" spans="28:58"><c r="AB471" s="1796"/><c r="AY471" s="30"><v>35</v></c><c r="AZ471" s="31"><v>0.8498</v></c><c r="BA471" s="32"><v>849.4</v></c><c r="BC471" s="37"><v>1000</v></c><c r="BD471" s="38"><v>1.0005999999999999</v></c><c r="BE471" s="39"><v>9.91</v></c><c r="BF471" s="1775"/></row><row r="472" spans="28:58"><c r="AB472" s="1796"/><c r="AY472" s="30"><v>35.1</v></c><c r="AZ472" s="31"><v>0.84930000000000005</v></c><c r="BA472" s="32"><v>848.9</v></c><c r="BC472" s="37"><v>1001</v></c><c r="BD472" s="38"><v>1.0016</v></c><c r="BE472" s="39"><v>9.77</v></c><c r="BF472" s="1775"/></row><row r="473" spans="28:58"><c r="AB473" s="1796"/><c r="AY473" s="30"><v>35.200000000000003</v></c><c r="AZ473" s="31"><v>0.8488</v></c><c r="BA473" s="32"><v>848.4</v></c><c r="BC473" s="37"><v>1002</v></c><c r="BD473" s="38"><v>1.0025999999999999</v></c><c r="BE473" s="39"><v>9.6300000000000008</v></c><c r="BF473" s="1775"/></row><row r="474" spans="28:58"><c r="AB474" s="1796"/><c r="AY474" s="30"><v>35.299999999999997</v></c><c r="AZ474" s="31"><v>0.84830000000000005</v></c><c r="BA474" s="32"><v>847.9</v></c><c r="BC474" s="37"><v>1003</v></c><c r="BD474" s="38"><v>1.0036</v></c><c r="BE474" s="39"><v>9.49</v></c><c r="BF474" s="1775"/></row><row r="475" spans="28:58"><c r="AB475" s="1796"/><c r="AY475" s="30"><v>35.4</v></c><c r="AZ475" s="31"><v>0.8478</v></c><c r="BA475" s="32"><v>847.4</v></c><c r="BC475" s="37"><v>1004</v></c><c r="BD475" s="38"><v>1.0045999999999999</v></c><c r="BE475" s="39"><v>9.35</v></c><c r="BF475" s="1775"/></row><row r="476" spans="28:58"><c r="AB476" s="1796"/><c r="AY476" s="30"><v>35.5</v></c><c r="AZ476" s="31"><v>0.84730000000000005</v></c><c r="BA476" s="32"><v>846.9</v></c><c r="BC476" s="37"><v>1005</v></c><c r="BD476" s="38"><v>1.0056</v></c><c r="BE476" s="39"><v>9.2100000000000009</v></c><c r="BF476" s="1775"/></row><row r="477" spans="28:58"><c r="AB477" s="1796"/><c r="AY477" s="30"><v>35.6</v></c><c r="AZ477" s="31"><v>0.8468</v></c><c r="BA477" s="32"><v>846.4</v></c><c r="BC477" s="37"><v>1006</v></c><c r="BD477" s="38"><v>1.0065999999999999</v></c><c r="BE477" s="39"><v>9.07</v></c><c r="BF477" s="1775"/></row><row r="478" spans="28:58"><c r="AB478" s="1796"/><c r="AY478" s="30"><v>35.700000000000003</v></c><c r="AZ478" s="31"><v>0.84630000000000005</v></c><c r="BA478" s="32"><v>845.8</v></c><c r="BC478" s="37"><v>1007</v></c><c r="BD478" s="38"><v>1.0076000000000001</v></c><c r="BE478" s="39"><v>8.93</v></c><c r="BF478" s="1775"/></row><row r="479" spans="28:58"><c r="AB479" s="1796"/><c r="AY479" s="30"><v>35.799999999999997</v></c><c r="AZ479" s="31"><v>0.8458</v></c><c r="BA479" s="32"><v>845.3</v></c><c r="BC479" s="37"><v>1008</v></c><c r="BD479" s="38"><v>1.0085999999999999</v></c><c r="BE479" s="39"><v>8.7899999999999991</v></c><c r="BF479" s="1775"/></row><row r="480" spans="28:58"><c r="AB480" s="1796"/><c r="AY480" s="30"><v>35.9</v></c><c r="AZ480" s="31"><v>0.84530000000000005</v></c><c r="BA480" s="32"><v>844.8</v></c><c r="BC480" s="37"><v>1009</v></c><c r="BD480" s="38"><v>1.0096000000000001</v></c><c r="BE480" s="39"><v>8.65</v></c><c r="BF480" s="1775"/></row><row r="481" spans="28:58"><c r="AB481" s="1796"/><c r="AY481" s="30"><v>36</v></c><c r="AZ481" s="31"><v>0.8448</v></c><c r="BA481" s="32"><v>844.3</v></c><c r="BC481" s="37"><v>1010</v></c><c r="BD481" s="38"><v>1.0105999999999999</v></c><c r="BE481" s="39"><v>8.51</v></c><c r="BF481" s="1775"/></row><row r="482" spans="28:58"><c r="AB482" s="1796"/><c r="AY482" s="30"><v>36.1</v></c><c r="AZ482" s="31"><v>0.84430000000000005</v></c><c r="BA482" s="32"><v>843.8</v></c><c r="BC482" s="37"><v>1011</v></c><c r="BD482" s="38"><v>1.0116000000000001</v></c><c r="BE482" s="39"><v>8.3699999999999992</v></c><c r="BF482" s="1775"/></row><row r="483" spans="28:58"><c r="AB483" s="1796"/><c r="AY483" s="30"><v>36.200000000000003</v></c><c r="AZ483" s="31"><v>0.84379999999999999</v></c><c r="BA483" s="32"><v>843.3</v></c><c r="BC483" s="37"><v>1012</v></c><c r="BD483" s="38"><v>1.0125999999999999</v></c><c r="BE483" s="39"><v>8.24</v></c><c r="BF483" s="1775"/></row><row r="484" spans="28:58"><c r="AB484" s="1796"/><c r="AY484" s="30"><v>36.299999999999997</v></c><c r="AZ484" s="31"><v>0.84330000000000005</v></c><c r="BA484" s="32"><v>842.8</v></c><c r="BC484" s="37"><v>1013</v></c><c r="BD484" s="38"><v>1.0136000000000001</v></c><c r="BE484" s="39"><v>8.1</v></c><c r="BF484" s="1775"/></row><row r="485" spans="28:58"><c r="AB485" s="1796"/><c r="AY485" s="30"><v>36.4</v></c><c r="AZ485" s="31"><v>0.84279999999999999</v></c><c r="BA485" s="32"><v>842.3</v></c><c r="BC485" s="37"><v>1014</v></c><c r="BD485" s="38"><v>1.0145999999999999</v></c><c r="BE485" s="39"><v>7.96</v></c><c r="BF485" s="1775"/></row><row r="486" spans="28:58"><c r="AB486" s="1796"/><c r="AY486" s="30"><v>36.5</v></c><c r="AZ486" s="31"><v>0.84230000000000005</v></c><c r="BA486" s="32"><v>841.8</v></c><c r="BC486" s="37"><v>1015</v></c><c r="BD486" s="38"><v>1.0156000000000001</v></c><c r="BE486" s="39"><v>7.82</v></c><c r="BF486" s="1775"/></row><row r="487" spans="28:58"><c r="AB487" s="1796"/><c r="AY487" s="30"><v>36.6</v></c><c r="AZ487" s="31"><v>0.84179999999999999</v></c><c r="BA487" s="32"><v>841.3</v></c><c r="BC487" s="37"><v>1016</v></c><c r="BD487" s="38"><v>1.0165999999999999</v></c><c r="BE487" s="39"><v>7.69</v></c><c r="BF487" s="1775"/></row><row r="488" spans="28:58"><c r="AB488" s="1796"/><c r="AY488" s="30"><v>36.700000000000003</v></c><c r="AZ488" s="31"><v>0.84130000000000005</v></c><c r="BA488" s="32"><v>840.8</v></c><c r="BC488" s="37"><v>1017</v></c><c r="BD488" s="38"><v>1.0176000000000001</v></c><c r="BE488" s="39"><v>7.55</v></c><c r="BF488" s="1775"/></row><row r="489" spans="28:58"><c r="AB489" s="1796"/><c r="AY489" s="30"><v>36.799999999999997</v></c><c r="AZ489" s="31"><v>0.84079999999999999</v></c><c r="BA489" s="32"><v>840.3</v></c><c r="BC489" s="37"><v>1018</v></c><c r="BD489" s="38"><v>1.0185999999999999</v></c><c r="BE489" s="39"><v>7.41</v></c><c r="BF489" s="1775"/></row><row r="490" spans="28:58"><c r="AB490" s="1796"/><c r="AY490" s="30"><v>36.9</v></c><c r="AZ490" s="31"><v>0.84030000000000005</v></c><c r="BA490" s="32"><v>839.8</v></c><c r="BC490" s="37"><v>1019</v></c><c r="BD490" s="38"><v>1.0196000000000001</v></c><c r="BE490" s="39"><v>7.28</v></c><c r="BF490" s="1775"/></row><row r="491" spans="28:58"><c r="AB491" s="1796"/><c r="AY491" s="30"><v>37</v></c><c r="AZ491" s="31"><v>0.83979999999999999</v></c><c r="BA491" s="32"><v>839.3</v></c><c r="BC491" s="37"><v>1020</v></c><c r="BD491" s="38"><v>1.0206</v></c><c r="BE491" s="39"><v>7.14</v></c><c r="BF491" s="1775"/></row><row r="492" spans="28:58"><c r="AB492" s="1796"/><c r="AY492" s="30"><v>37.1</v></c><c r="AZ492" s="31"><v>0.83930000000000005</v></c><c r="BA492" s="32"><v>838.8</v></c><c r="BC492" s="37"><v>1021</v></c><c r="BD492" s="38"><v>1.0216000000000001</v></c><c r="BE492" s="39"><v>7</v></c><c r="BF492" s="1775"/></row><row r="493" spans="28:58"><c r="AB493" s="1796"/><c r="AY493" s="30"><v>37.200000000000003</v></c><c r="AZ493" s="31"><v>0.83879999999999999</v></c><c r="BA493" s="32"><v>838.3</v></c><c r="BC493" s="37"><v>1022</v></c><c r="BD493" s="38"><v>1.0226</v></c><c r="BE493" s="39"><v>6.87</v></c><c r="BF493" s="1775"/></row><row r="494" spans="28:58"><c r="AB494" s="1796"/><c r="AY494" s="30"><v>37.299999999999997</v></c><c r="AZ494" s="31"><v>0.83830000000000005</v></c><c r="BA494" s="32"><v>837.8</v></c><c r="BC494" s="37"><v>1023</v></c><c r="BD494" s="38"><v>1.0236000000000001</v></c><c r="BE494" s="39"><v>6.73</v></c><c r="BF494" s="1775"/></row><row r="495" spans="28:58"><c r="AB495" s="1796"/><c r="AY495" s="30"><v>37.4</v></c><c r="AZ495" s="31"><v>0.83779999999999999</v></c><c r="BA495" s="32"><v>837.3</v></c><c r="BC495" s="37"><v>1024</v></c><c r="BD495" s="38"><v>1.0246</v></c><c r="BE495" s="39"><v>6.6</v></c><c r="BF495" s="1775"/></row><row r="496" spans="28:58"><c r="AB496" s="1796"/><c r="AY496" s="30"><v>37.5</v></c><c r="AZ496" s="31"><v>0.83730000000000004</v></c><c r="BA496" s="32"><v>836.8</v></c><c r="BC496" s="37"><v>1025</v></c><c r="BD496" s="38"><v>1.0256000000000001</v></c><c r="BE496" s="39"><v>6.46</v></c><c r="BF496" s="1775"/></row><row r="497" spans="28:58"><c r="AB497" s="1796"/><c r="AY497" s="30"><v>37.6</v></c><c r="AZ497" s="31"><v>0.83679999999999999</v></c><c r="BA497" s="32"><v>836.4</v></c><c r="BC497" s="37"><v>1026</v></c><c r="BD497" s="38"><v>1.0266</v></c><c r="BE497" s="39"><v>6.33</v></c><c r="BF497" s="1775"/></row><row r="498" spans="28:58"><c r="AB498" s="1796"/><c r="AY498" s="30"><v>37.700000000000003</v></c><c r="AZ498" s="31"><v>0.83630000000000004</v></c><c r="BA498" s="32"><v>835.9</v></c><c r="BC498" s="37"><v>1027</v></c><c r="BD498" s="38"><v>1.0276000000000001</v></c><c r="BE498" s="39"><v>6.19</v></c><c r="BF498" s="1775"/></row><row r="499" spans="28:58"><c r="AB499" s="1796"/><c r="AY499" s="30"><v>37.799999999999997</v></c><c r="AZ499" s="31"><v>0.83579999999999999</v></c><c r="BA499" s="32"><v>835.4</v></c><c r="BC499" s="37"><v>1028</v></c><c r="BD499" s="38"><v>1.0286</v></c><c r="BE499" s="39"><v>6.06</v></c><c r="BF499" s="1775"/></row><row r="500" spans="28:58"><c r="AB500" s="1796"/><c r="AY500" s="30"><v>37.9</v></c><c r="AZ500" s="31"><v>0.83530000000000004</v></c><c r="BA500" s="32"><v>834.9</v></c><c r="BC500" s="37"><v>1029</v></c><c r="BD500" s="38"><v>1.0296000000000001</v></c><c r="BE500" s="39"><v>5.93</v></c><c r="BF500" s="1775"/></row><row r="501" spans="28:58"><c r="AB501" s="1796"/><c r="AY501" s="30"><v>38</v></c><c r="AZ501" s="31"><v>0.83479999999999999</v></c><c r="BA501" s="32"><v>834.4</v></c><c r="BC501" s="37"><v>1030</v></c><c r="BD501" s="38"><v>1.0306</v></c><c r="BE501" s="39"><v>5.79</v></c><c r="BF501" s="1775"/></row><row r="502" spans="28:58"><c r="AB502" s="1796"/><c r="AY502" s="30"><v>38.1</v></c><c r="AZ502" s="31"><v>0.83430000000000004</v></c><c r="BA502" s="32"><v>833.9</v></c><c r="BC502" s="37"><v>1031</v></c><c r="BD502" s="38"><v>1.0316000000000001</v></c><c r="BE502" s="39"><v>5.66</v></c><c r="BF502" s="1775"/></row><row r="503" spans="28:58"><c r="AB503" s="1796"/><c r="AY503" s="30"><v>38.200000000000003</v></c><c r="AZ503" s="31"><v>0.83379999999999999</v></c><c r="BA503" s="32"><v>833.4</v></c><c r="BC503" s="37"><v>1032</v></c><c r="BD503" s="38"><v>1.0326</v></c><c r="BE503" s="39"><v>5.53</v></c><c r="BF503" s="1775"/></row><row r="504" spans="28:58"><c r="AB504" s="1796"/><c r="AY504" s="30"><v>38.299999999999997</v></c><c r="AZ504" s="31"><v>0.83330000000000004</v></c><c r="BA504" s="32"><v>832.9</v></c><c r="BC504" s="37"><v>1033</v></c><c r="BD504" s="38"><v>1.0337000000000001</v></c><c r="BE504" s="39"><v>5.39</v></c><c r="BF504" s="1775"/></row><row r="505" spans="28:58"><c r="AB505" s="1796"/><c r="AY505" s="30"><v>38.4</v></c><c r="AZ505" s="31"><v>0.83279999999999998</v></c><c r="BA505" s="32"><v>832.4</v></c><c r="BC505" s="37"><v>1034</v></c><c r="BD505" s="38"><v>1.0347</v></c><c r="BE505" s="39"><v>5.26</v></c><c r="BF505" s="1775"/></row><row r="506" spans="28:58"><c r="AB506" s="1796"/><c r="AY506" s="30"><v>38.5</v></c><c r="AZ506" s="31"><v>0.83240000000000003</v></c><c r="BA506" s="32"><v>831.9</v></c><c r="BC506" s="37"><v>1035</v></c><c r="BD506" s="38"><v>1.0357000000000001</v></c><c r="BE506" s="39"><v>5.13</v></c><c r="BF506" s="1775"/></row><row r="507" spans="28:58"><c r="AB507" s="1796"/><c r="AY507" s="30"><v>38.6</v></c><c r="AZ507" s="31"><v>0.83189999999999997</v></c><c r="BA507" s="32"><v>831.4</v></c><c r="BC507" s="37"><v>1036</v></c><c r="BD507" s="38"><v>1.0367</v></c><c r="BE507" s="39"><v>5</v></c><c r="BF507" s="1775"/></row><row r="508" spans="28:58"><c r="AB508" s="1796"/><c r="AY508" s="30"><v>38.700000000000003</v></c><c r="AZ508" s="31"><v>0.83140000000000003</v></c><c r="BA508" s="32"><v>831</v></c><c r="BC508" s="37"><v>1037</v></c><c r="BD508" s="38"><v>1.0377000000000001</v></c><c r="BE508" s="39"><v>4.87</v></c><c r="BF508" s="1775"/></row><row r="509" spans="28:58"><c r="AB509" s="1796"/><c r="AY509" s="30"><v>38.799999999999997</v></c><c r="AZ509" s="31"><v>0.83089999999999997</v></c><c r="BA509" s="32"><v>830.5</v></c><c r="BC509" s="37"><v>1038</v></c><c r="BD509" s="38"><v>1.0387</v></c><c r="BE509" s="39"><v>4.7300000000000004</v></c><c r="BF509" s="1775"/></row><row r="510" spans="28:58"><c r="AB510" s="1796"/><c r="AY510" s="30"><v>38.9</v></c><c r="AZ510" s="31"><v>0.83040000000000003</v></c><c r="BA510" s="32"><v>830</v></c><c r="BC510" s="37"><v>1039</v></c><c r="BD510" s="38"><v>1.0397000000000001</v></c><c r="BE510" s="39"><v>4.5999999999999996</v></c><c r="BF510" s="1775"/></row><row r="511" spans="28:58"><c r="AB511" s="1796"/><c r="AY511" s="30"><v>39</v></c><c r="AZ511" s="31"><v>0.82989999999999997</v></c><c r="BA511" s="32"><v>829.5</v></c><c r="BC511" s="37"><v>1040</v></c><c r="BD511" s="38"><v>1.0407</v></c><c r="BE511" s="39"><v>4.47</v></c><c r="BF511" s="1775"/></row><row r="512" spans="28:58"><c r="AB512" s="1796"/><c r="AY512" s="30"><v>39.1</v></c><c r="AZ512" s="31"><v>0.82940000000000003</v></c><c r="BA512" s="32"><v>829</v></c><c r="BC512" s="37"><v>1041</v></c><c r="BD512" s="38"><v>1.0417000000000001</v></c><c r="BE512" s="39"><v>4.34</v></c><c r="BF512" s="1775"/></row><row r="513" spans="28:58"><c r="AB513" s="1796"/><c r="AY513" s="30"><v>39.200000000000003</v></c><c r="AZ513" s="31"><v>0.82889999999999997</v></c><c r="BA513" s="32"><v>828.5</v></c><c r="BC513" s="37"><v>1042</v></c><c r="BD513" s="38"><v>1.0427</v></c><c r="BE513" s="39"><v>4.21</v></c><c r="BF513" s="1775"/></row><row r="514" spans="28:58"><c r="AB514" s="1796"/><c r="AY514" s="30"><v>39.299999999999997</v></c><c r="AZ514" s="31"><v>0.82850000000000001</v></c><c r="BA514" s="32"><v>828</v></c><c r="BC514" s="37"><v>1043</v></c><c r="BD514" s="38"><v>1.0437000000000001</v></c><c r="BE514" s="39"><v>4.08</v></c><c r="BF514" s="1775"/></row><row r="515" spans="28:58"><c r="AB515" s="1796"/><c r="AY515" s="30"><v>39.4</v></c><c r="AZ515" s="31"><v>0.82799999999999996</v></c><c r="BA515" s="32"><v>827.6</v></c><c r="BC515" s="37"><v>1044</v></c><c r="BD515" s="38"><v>1.0447</v></c><c r="BE515" s="39"><v>3.95</v></c><c r="BF515" s="1775"/></row><row r="516" spans="28:58"><c r="AB516" s="1796"/><c r="AY516" s="30"><v>39.5</v></c><c r="AZ516" s="31"><v>0.82750000000000001</v></c><c r="BA516" s="32"><v>827.13</v></c><c r="BC516" s="37"><v>1045</v></c><c r="BD516" s="38"><v>1.0457000000000001</v></c><c r="BE516" s="39"><v>3.82</v></c><c r="BF516" s="1775"/></row><row r="517" spans="28:58"><c r="AB517" s="1796"/><c r="AY517" s="30"><v>39.6</v></c><c r="AZ517" s="31"><v>0.82699999999999996</v></c><c r="BA517" s="32"><v>826.6</v></c><c r="BC517" s="37"><v>1046</v></c><c r="BD517" s="38"><v>1.0467</v></c><c r="BE517" s="39"><v>3.69</v></c><c r="BF517" s="1775"/></row><row r="518" spans="28:58"><c r="AB518" s="1796"/><c r="AY518" s="30"><v>39.700000000000003</v></c><c r="AZ518" s="31"><v>0.82650000000000001</v></c><c r="BA518" s="32"><v>826.1</v></c><c r="BC518" s="37"><v>1047</v></c><c r="BD518" s="38"><v>1.0477000000000001</v></c><c r="BE518" s="39"><v>3.56</v></c><c r="BF518" s="1775"/></row><row r="519" spans="28:58"><c r="AB519" s="1796"/><c r="AY519" s="30"><v>39.799999999999997</v></c><c r="AZ519" s="31"><v>0.82599999999999996</v></c><c r="BA519" s="32"><v>825.6</v></c><c r="BC519" s="37"><v>1048</v></c><c r="BD519" s="38"><v>1.0487</v></c><c r="BE519" s="39"><v>3.43</v></c><c r="BF519" s="1775"/></row><row r="520" spans="28:58"><c r="AB520" s="1796"/><c r="AY520" s="30"><v>39.9</v></c><c r="AZ520" s="31"><v>0.8256</v></c><c r="BA520" s="32"><v>825.1</v></c><c r="BC520" s="37"><v>1049</v></c><c r="BD520" s="38"><v>1.0497000000000001</v></c><c r="BE520" s="39"><v>3.3</v></c><c r="BF520" s="1775"/></row><row r="521" spans="28:58"><c r="AB521" s="1796"/><c r="AY521" s="30"><v>40</v></c><c r="AZ521" s="31"><v>0.82509999999999994</v></c><c r="BA521" s="32"><v>824.7</v></c><c r="BC521" s="37"><v>1050</v></c><c r="BD521" s="38"><v>1.0507</v></c><c r="BE521" s="39"><v>3.18</v></c><c r="BF521" s="1775"/></row><row r="522" spans="28:58"><c r="AB522" s="1796"/><c r="AY522" s="30"><v>40.1</v></c><c r="AZ522" s="31"><v>0.8246</v></c><c r="BA522" s="32"><v>824.2</v></c><c r="BC522" s="37"><v>1051</v></c><c r="BD522" s="38"><v>1.0517000000000001</v></c><c r="BE522" s="39"><v>3.05</v></c><c r="BF522" s="1775"/></row><row r="523" spans="28:58"><c r="AB523" s="1796"/><c r="AY523" s="30"><v>40.200000000000003</v></c><c r="AZ523" s="31"><v>0.82410000000000005</v></c><c r="BA523" s="32"><v>823.7</v></c><c r="BC523" s="37"><v>1052</v></c><c r="BD523" s="38"><v>1.0527</v></c><c r="BE523" s="39"><v>2.92</v></c><c r="BF523" s="1775"/></row><row r="524" spans="28:58"><c r="AB524" s="1796"/><c r="AY524" s="30"><v>40.299999999999997</v></c><c r="AZ524" s="31"><v>0.8236</v></c><c r="BA524" s="32"><v>823.2</v></c><c r="BC524" s="37"><v>1053</v></c><c r="BD524" s="38"><v>1.0537000000000001</v></c><c r="BE524" s="39"><v>2.79</v></c><c r="BF524" s="1775"/></row><row r="525" spans="28:58"><c r="AB525" s="1796"/><c r="AY525" s="30"><v>40.4</v></c><c r="AZ525" s="31"><v>0.82320000000000004</v></c><c r="BA525" s="32"><v>822.7</v></c><c r="BC525" s="37"><v>1054</v></c><c r="BD525" s="38"><v>1.0547</v></c><c r="BE525" s="39"><v>2.66</v></c><c r="BF525" s="1775"/></row><row r="526" spans="28:58"><c r="AB526" s="1796"/><c r="AY526" s="30"><v>40.5</v></c><c r="AZ526" s="31"><v>0.82269999999999999</v></c><c r="BA526" s="32"><v>822.3</v></c><c r="BC526" s="37"><v>1055</v></c><c r="BD526" s="38"><v>1.0557000000000001</v></c><c r="BE526" s="39"><v>2.54</v></c><c r="BF526" s="1775"/></row><row r="527" spans="28:58"><c r="AB527" s="1796"/><c r="AY527" s="30"><v>40.6</v></c><c r="AZ527" s="31"><v>0.82220000000000004</v></c><c r="BA527" s="32"><v>821.8</v></c><c r="BC527" s="37"><v>1056</v></c><c r="BD527" s="38"><v>1.0567</v></c><c r="BE527" s="39"><v>2.41</v></c><c r="BF527" s="1775"/></row><row r="528" spans="28:58"><c r="AB528" s="1796"/><c r="AY528" s="30"><v>40.700000000000003</v></c><c r="AZ528" s="31"><v>0.82169999999999999</v></c><c r="BA528" s="32"><v>821.3</v></c><c r="BC528" s="37"><v>1057</v></c><c r="BD528" s="38"><v>1.0577000000000001</v></c><c r="BE528" s="39"><v>2.2799999999999998</v></c><c r="BF528" s="1775"/></row><row r="529" spans="28:58"><c r="AB529" s="1796"/><c r="AY529" s="30"><v>40.799999999999997</v></c><c r="AZ529" s="31"><v>0.82120000000000004</v></c><c r="BA529" s="32"><v>820.8</v></c><c r="BC529" s="37"><v>1058</v></c><c r="BD529" s="38"><v>1.0587</v></c><c r="BE529" s="39"><v>2.16</v></c><c r="BF529" s="1775"/></row><row r="530" spans="28:58"><c r="AB530" s="1796"/><c r="AY530" s="30"><v>40.9</v></c><c r="AZ530" s="31"><v>0.82079999999999997</v></c><c r="BA530" s="32"><v>820.4</v></c><c r="BC530" s="37"><v>1059</v></c><c r="BD530" s="38"><v>1.0597000000000001</v></c><c r="BE530" s="39"><v>2.0299999999999998</v></c><c r="BF530" s="1775"/></row><row r="531" spans="28:58"><c r="AB531" s="1796"/><c r="AY531" s="30"><v>41</v></c><c r="AZ531" s="31"><v>0.82030000000000003</v></c><c r="BA531" s="32"><v>819.9</v></c><c r="BC531" s="37"><v>1060</v></c><c r="BD531" s="38"><v>1.0607</v></c><c r="BE531" s="39"><v>1.91</v></c><c r="BF531" s="1775"/></row><row r="532" spans="28:58"><c r="AB532" s="1796"/><c r="AY532" s="30"><v>41.1</v></c><c r="AZ532" s="31"><v>0.81979999999999997</v></c><c r="BA532" s="32"><v>819.4</v></c><c r="BC532" s="37"><v>1061</v></c><c r="BD532" s="38"><v>1.0617000000000001</v></c><c r="BE532" s="39"><v>1.78</v></c><c r="BF532" s="1775"/></row><row r="533" spans="28:58"><c r="AB533" s="1796"/><c r="AY533" s="30"><v>41.2</v></c><c r="AZ533" s="31"><v>0.81930000000000003</v></c><c r="BA533" s="32"><v>818.9</v></c><c r="BC533" s="37"><v>1062</v></c><c r="BD533" s="38"><v>1.0627</v></c><c r="BE533" s="39"><v>1.65</v></c><c r="BF533" s="1775"/></row><row r="534" spans="28:58"><c r="AB534" s="1796"/><c r="AY534" s="30"><v>41.3</v></c><c r="AZ534" s="31"><v>0.81889999999999996</v></c><c r="BA534" s="32"><v>818.5</v></c><c r="BC534" s="37"><v>1063</v></c><c r="BD534" s="38"><v>1.0637000000000001</v></c><c r="BE534" s="39"><v>1.53</v></c><c r="BF534" s="1775"/></row><row r="535" spans="28:58"><c r="AB535" s="1796"/><c r="AY535" s="30"><v>41.4</v></c><c r="AZ535" s="31"><v>0.81840000000000002</v></c><c r="BA535" s="32"><v>818</v></c><c r="BC535" s="37"><v>1064</v></c><c r="BD535" s="38"><v>1.0647</v></c><c r="BE535" s="39"><v>1.4</v></c><c r="BF535" s="1775"/></row><row r="536" spans="28:58"><c r="AB536" s="1796"/><c r="AY536" s="30"><v>41.5</v></c><c r="AZ536" s="31"><v>0.81789999999999996</v></c><c r="BA536" s="32"><v>817.5</v></c><c r="BC536" s="37"><v>1065</v></c><c r="BD536" s="38"><v>1.0657000000000001</v></c><c r="BE536" s="39"><v>1.28</v></c><c r="BF536" s="1775"/></row><row r="537" spans="28:58"><c r="AB537" s="1796"/><c r="AY537" s="30"><v>41.6</v></c><c r="AZ537" s="31"><v>0.81740000000000002</v></c><c r="BA537" s="32"><v>817</v></c><c r="BC537" s="37"><v>1066</v></c><c r="BD537" s="38"><v>1.0667</v></c><c r="BE537" s="39"><v>1.1499999999999999</v></c><c r="BF537" s="1775"/></row><row r="538" spans="28:58"><c r="AB538" s="1796"/><c r="AY538" s="30"><v>41.7</v></c><c r="AZ538" s="31"><v>0.81699999999999995</v></c><c r="BA538" s="32"><v>816.6</v></c><c r="BC538" s="37"><v>1067</v></c><c r="BD538" s="38"><v>1.0677000000000001</v></c><c r="BE538" s="39"><v>1.03</v></c><c r="BF538" s="1775"/></row><row r="539" spans="28:58"><c r="AB539" s="1796"/><c r="AY539" s="30"><v>41.8</v></c><c r="AZ539" s="31"><v>0.8165</v></c><c r="BA539" s="32"><v>816.1</v></c><c r="BC539" s="37"><v>1068</v></c><c r="BD539" s="38"><v>1.0687</v></c><c r="BE539" s="39"><v>0.91</v></c><c r="BF539" s="1775"/></row><row r="540" spans="28:58"><c r="AB540" s="1796"/><c r="AY540" s="30"><v>41.9</v></c><c r="AZ540" s="31"><v>0.81599999999999995</v></c><c r="BA540" s="32"><v>815.6</v></c><c r="BC540" s="37"><v>1069</v></c><c r="BD540" s="38"><v>1.0697000000000001</v></c><c r="BE540" s="39"><v>0.78</v></c><c r="BF540" s="1775"/></row><row r="541" spans="28:58"><c r="AB541" s="1796"/><c r="AY541" s="30"><v>42</v></c><c r="AZ541" s="31"><v>0.81559999999999999</v></c><c r="BA541" s="32"><v>815.2</v></c><c r="BC541" s="37"><v>1070</v></c><c r="BD541" s="38"><v>1.0707</v></c><c r="BE541" s="39"><v>0.66</v></c><c r="BF541" s="1775"/></row><row r="542" spans="28:58"><c r="AB542" s="1796"/><c r="AY542" s="30"><v>42.1</v></c><c r="AZ542" s="31"><v>0.81510000000000005</v></c><c r="BA542" s="32"><v>814.7</v></c><c r="BC542" s="37"><v>1071</v></c><c r="BD542" s="38"><v>1.0717000000000001</v></c><c r="BE542" s="39"><v>0.53</v></c><c r="BF542" s="1775"/></row><row r="543" spans="28:58"><c r="AB543" s="1796"/><c r="AY543" s="30"><v>42.2</v></c><c r="AZ543" s="31"><v>0.81459999999999999</v></c><c r="BA543" s="32"><v>814.2</v></c><c r="BC543" s="37"><v>1072</v></c><c r="BD543" s="38"><v>1.0727</v></c><c r="BE543" s="39"><v>0.41</v></c><c r="BF543" s="1775"/></row><row r="544" spans="28:58"><c r="AB544" s="1796"/><c r="AY544" s="30"><v>42.3</v></c><c r="AZ544" s="31"><v>0.81420000000000003</v></c><c r="BA544" s="32"><v>813.8</v></c><c r="BC544" s="37"><v>1073</v></c><c r="BD544" s="38"><v>1.0737000000000001</v></c><c r="BE544" s="39"><v>0.28999999999999998</v></c><c r="BF544" s="1775"/></row><row r="545" spans="28:58"><c r="AB545" s="1796"/><c r="AY545" s="30"><v>42.4</v></c><c r="AZ545" s="31"><v>0.81369999999999998</v></c><c r="BA545" s="32"><v>813.3</v></c><c r="BC545" s="37"><v>1074</v></c><c r="BD545" s="38"><v>1.0747</v></c><c r="BE545" s="39"><v>0.17</v></c><c r="BF545" s="1775"/></row><row r="546" spans="28:58"><c r="AB546" s="1796"/><c r="AY546" s="30"><v>42.5</v></c><c r="AZ546" s="31"><v>0.81320000000000003</v></c><c r="BA546" s="32"><v>812.8</v></c><c r="BC546" s="1726"><v>1075</v></c><c r="BD546" s="47"><v>1.0757000000000001</v></c><c r="BE546" s="48"><v>0.04</v></c><c r="BF546" s="1775"/></row><row r="547" spans="28:58"><c r="AB547" s="1796"/><c r="AY547" s="30"><v>42.6</v></c><c r="AZ547" s="31"><v>0.81279999999999997</v></c><c r="BA547" s="32"><v>812.4</v></c><c r="BF547" s="1775"/></row><row r="548" spans="28:58"><c r="AB548" s="1796"/><c r="AY548" s="30"><v>42.7</v></c><c r="AZ548" s="31"><v>0.81230000000000002</v></c><c r="BA548" s="32"><v>811.9</v></c><c r="BF548" s="1775"/></row><row r="549" spans="28:58"><c r="AB549" s="1796"/><c r="AY549" s="30"><v>42.8</v></c><c r="AZ549" s="31"><v>0.81179999999999997</v></c><c r="BA549" s="32"><v>811.4</v></c><c r="BF549" s="1775"/></row><row r="550" spans="28:58"><c r="AB550" s="1796"/><c r="AY550" s="30"><v>42.9</v></c><c r="AZ550" s="31"><v>0.81140000000000001</v></c><c r="BA550" s="32"><v>811</v></c><c r="BF550" s="1775"/></row><row r="551" spans="28:58"><c r="AB551" s="1796"/><c r="AY551" s="30"><v>43</v></c><c r="AZ551" s="31"><v>0.81089999999999995</v></c><c r="BA551" s="32"><v>810.5</v></c><c r="BF551" s="1775"/></row><row r="552" spans="28:58"><c r="AB552" s="1796"/><c r="AY552" s="30"><v>43.1</v></c><c r="AZ552" s="31"><v>0.81040000000000001</v></c><c r="BA552" s="32"><v>810</v></c><c r="BF552" s="1775"/></row><row r="553" spans="28:58"><c r="AB553" s="1796"/><c r="AY553" s="30"><v>43.2</v></c><c r="AZ553" s="31"><v>0.81</v></c><c r="BA553" s="32"><v>809.6</v></c><c r="BF553" s="1775"/></row><row r="554" spans="28:58"><c r="AB554" s="1796"/><c r="AY554" s="30"><v>43.3</v></c><c r="AZ554" s="31"><v>0.8095</v></c><c r="BA554" s="32"><v>809.1</v></c><c r="BF554" s="1775"/></row><row r="555" spans="28:58"><c r="AB555" s="1796"/><c r="AY555" s="30"><v>43.4</v></c><c r="AZ555" s="31"><v>0.80900000000000005</v></c><c r="BA555" s="32"><v>808.6</v></c><c r="BF555" s="1775"/></row><row r="556" spans="28:58"><c r="AB556" s="1796"/><c r="AY556" s="30"><v>43.5</v></c><c r="AZ556" s="31"><v>0.80859999999999999</v></c><c r="BA556" s="32"><v>808.2</v></c><c r="BF556" s="1775"/></row><row r="557" spans="28:58"><c r="AB557" s="1796"/><c r="AY557" s="30"><v>43.6</v></c><c r="AZ557" s="31"><v>0.80810000000000004</v></c><c r="BA557" s="32"><v>807.7</v></c><c r="BF557" s="1775"/></row><row r="558" spans="28:58"><c r="AB558" s="1796"/><c r="AY558" s="30"><v>43.7</v></c><c r="AZ558" s="31"><v>0.80759999999999998</v></c><c r="BA558" s="32"><v>807.3</v></c><c r="BF558" s="1775"/></row><row r="559" spans="28:58"><c r="AB559" s="1796"/><c r="AY559" s="30"><v>43.8</v></c><c r="AZ559" s="31"><v>0.80720000000000003</v></c><c r="BA559" s="32"><v>806.8</v></c><c r="BF559" s="1775"/></row><row r="560" spans="28:58"><c r="AB560" s="1796"/><c r="AY560" s="30"><v>43.9</v></c><c r="AZ560" s="31"><v>0.80669999999999997</v></c><c r="BA560" s="32"><v>806.3</v></c><c r="BF560" s="1775"/></row><row r="561" spans="28:58"><c r="AB561" s="1796"/><c r="AY561" s="30"><v>44</v></c><c r="AZ561" s="31"><v>0.80630000000000002</v></c><c r="BA561" s="32"><v>805.9</v></c><c r="BF561" s="1775"/></row><row r="562" spans="28:58"><c r="AB562" s="1796"/><c r="AY562" s="30"><v>44.1</v></c><c r="AZ562" s="31"><v>0.80579999999999996</v></c><c r="BA562" s="32"><v>805.4</v></c><c r="BF562" s="1775"/></row><row r="563" spans="28:58"><c r="AB563" s="1796"/><c r="AY563" s="30"><v>44.2</v></c><c r="AZ563" s="31"><v>0.8054</v></c><c r="BA563" s="32"><v>805</v></c><c r="BF563" s="1775"/></row><row r="564" spans="28:58"><c r="AB564" s="1796"/><c r="AY564" s="30"><v>44.3</v></c><c r="AZ564" s="31"><v>0.80489999999999995</v></c><c r="BA564" s="32"><v>804.5</v></c><c r="BF564" s="1775"/></row><row r="565" spans="28:58"><c r="AB565" s="1796"/><c r="AY565" s="30"><v>44.4</v></c><c r="AZ565" s="31"><v>0.8044</v></c><c r="BA565" s="32"><v>804.1</v></c><c r="BF565" s="1775"/></row><row r="566" spans="28:58"><c r="AB566" s="1796"/><c r="AY566" s="30"><v>44.5</v></c><c r="AZ566" s="31"><v>0.80400000000000005</v></c><c r="BA566" s="32"><v>803.6</v></c><c r="BF566" s="1775"/></row><row r="567" spans="28:58"><c r="AB567" s="1796"/><c r="AY567" s="30"><v>44.6</v></c><c r="AZ567" s="31"><v>0.80349999999999999</v></c><c r="BA567" s="32"><v>803.1</v></c><c r="BF567" s="1775"/></row><row r="568" spans="28:58"><c r="AB568" s="1796"/><c r="AY568" s="30"><v>44.7</v></c><c r="AZ568" s="31"><v>0.80310000000000004</v></c><c r="BA568" s="32"><v>802.7</v></c><c r="BF568" s="1775"/></row><row r="569" spans="28:58"><c r="AB569" s="1796"/><c r="AY569" s="30"><v>44.8</v></c><c r="AZ569" s="31"><v>0.80259999999999998</v></c><c r="BA569" s="32"><v>802.2</v></c><c r="BF569" s="1775"/></row><row r="570" spans="28:58"><c r="AB570" s="1796"/><c r="AY570" s="30"><v>44.9</v></c><c r="AZ570" s="31"><v>0.80220000000000002</v></c><c r="BA570" s="32"><v>801.8</v></c><c r="BF570" s="1775"/></row><row r="571" spans="28:58"><c r="AB571" s="1796"/><c r="AY571" s="30"><v>45</v></c><c r="AZ571" s="31"><v>0.80169999999999997</v></c><c r="BA571" s="32"><v>801.3</v></c><c r="BF571" s="1775"/></row><row r="572" spans="28:58"><c r="AB572" s="1796"/><c r="AY572" s="30"><v>45.1</v></c><c r="AZ572" s="31"><v>0.80120000000000002</v></c><c r="BA572" s="32"><v>800.9</v></c><c r="BF572" s="1775"/></row><row r="573" spans="28:58"><c r="AB573" s="1796"/><c r="AY573" s="30"><v>45.2</v></c><c r="AZ573" s="31"><v>0.80079999999999996</v></c><c r="BA573" s="32"><v>800.4</v></c><c r="BF573" s="1775"/></row><row r="574" spans="28:58"><c r="AB574" s="1796"/><c r="AY574" s="30"><v>45.3</v></c><c r="AZ574" s="31"><v>0.80030000000000001</v></c><c r="BA574" s="32"><v>800</v></c><c r="BF574" s="1775"/></row><row r="575" spans="28:58"><c r="AB575" s="1796"/><c r="AY575" s="30"><v>45.4</v></c><c r="AZ575" s="31"><v>0.79990000000000006</v></c><c r="BA575" s="32"><v>799.5</v></c><c r="BF575" s="1775"/></row><row r="576" spans="28:58"><c r="AB576" s="1796"/><c r="AY576" s="30"><v>45.5</v></c><c r="AZ576" s="31"><v>0.7994</v></c><c r="BA576" s="32"><v>799.1</v></c><c r="BF576" s="1775"/></row><row r="577" spans="28:58"><c r="AB577" s="1796"/><c r="AY577" s="30"><v>45.6</v></c><c r="AZ577" s="31"><v>0.79900000000000004</v></c><c r="BA577" s="32"><v>798.6</v></c><c r="BF577" s="1775"/></row><row r="578" spans="28:58"><c r="AB578" s="1796"/><c r="AY578" s="30"><v>45.7</v></c><c r="AZ578" s="31"><v>0.79849999999999999</v></c><c r="BA578" s="32"><v>798.2</v></c><c r="BF578" s="1775"/></row><row r="579" spans="28:58"><c r="AB579" s="1796"/><c r="AY579" s="30"><v>45.8</v></c><c r="AZ579" s="31"><v>0.79810000000000003</v></c><c r="BA579" s="32"><v>797.7</v></c><c r="BF579" s="1775"/></row><row r="580" spans="28:58"><c r="AB580" s="1796"/><c r="AY580" s="30"><v>45.9</v></c><c r="AZ580" s="31"><v>0.79759999999999998</v></c><c r="BA580" s="32"><v>797.3</v></c><c r="BF580" s="1775"/></row><row r="581" spans="28:58"><c r="AB581" s="1796"/><c r="AY581" s="30"><v>46</v></c><c r="AZ581" s="31"><v>0.79720000000000002</v></c><c r="BA581" s="32"><v>796.8</v></c><c r="BF581" s="1775"/></row><row r="582" spans="28:58"><c r="AB582" s="1796"/><c r="AY582" s="30"><v>46.1</v></c><c r="AZ582" s="31"><v>0.79669999999999996</v></c><c r="BA582" s="32"><v>796.4</v></c><c r="BF582" s="1775"/></row><row r="583" spans="28:58"><c r="AB583" s="1796"/><c r="AY583" s="30"><v>46.2</v></c><c r="AZ583" s="31"><v>0.79630000000000001</v></c><c r="BA583" s="32"><v>795.9</v></c><c r="BF583" s="1775"/></row><row r="584" spans="28:58"><c r="AB584" s="1796"/><c r="AY584" s="30"><v>46.3</v></c><c r="AZ584" s="31"><v>0.79579999999999995</v></c><c r="BA584" s="32"><v>795.5</v></c><c r="BF584" s="1775"/></row><row r="585" spans="28:58"><c r="AB585" s="1796"/><c r="AY585" s="30"><v>46.4</v></c><c r="AZ585" s="31"><v>0.7954</v></c><c r="BA585" s="32"><v>795</v></c><c r="BF585" s="1775"/></row><row r="586" spans="28:58"><c r="AB586" s="1796"/><c r="AY586" s="30"><v>46.5</v></c><c r="AZ586" s="31"><v>0.79490000000000005</v></c><c r="BA586" s="32"><v>794.6</v></c><c r="BF586" s="1775"/></row><row r="587" spans="28:58"><c r="AB587" s="1796"/><c r="AY587" s="30"><v>46.6</v></c><c r="AZ587" s="31"><v>0.79449999999999998</v></c><c r="BA587" s="32"><v>794.1</v></c><c r="BF587" s="1775"/></row><row r="588" spans="28:58"><c r="AB588" s="1796"/><c r="AY588" s="30"><v>46.7</v></c><c r="AZ588" s="31"><v>0.79410000000000003</v></c><c r="BA588" s="32"><v>793.7</v></c><c r="BF588" s="1775"/></row><row r="589" spans="28:58"><c r="AB589" s="1796"/><c r="AY589" s="30"><v>46.8</v></c><c r="AZ589" s="31"><v>0.79359999999999997</v></c><c r="BA589" s="32"><v>793.2</v></c><c r="BF589" s="1775"/></row><row r="590" spans="28:58"><c r="AB590" s="1796"/><c r="AY590" s="30"><v>46.9</v></c><c r="AZ590" s="31"><v>0.79320000000000002</v></c><c r="BA590" s="32"><v>792.8</v></c><c r="BF590" s="1775"/></row><row r="591" spans="28:58"><c r="AB591" s="1796"/><c r="AY591" s="30"><v>47</v></c><c r="AZ591" s="31"><v>0.79269999999999996</v></c><c r="BA591" s="32"><v>792.4</v></c><c r="BF591" s="1775"/></row><row r="592" spans="28:58"><c r="AB592" s="1796"/><c r="AY592" s="30"><v>47.1</v></c><c r="AZ592" s="31"><v>0.7923</v></c><c r="BA592" s="32"><v>791.9</v></c><c r="BF592" s="1775"/></row><row r="593" spans="28:58"><c r="AB593" s="1796"/><c r="AY593" s="30"><v>47.2</v></c><c r="AZ593" s="31"><v>0.79179999999999995</v></c><c r="BA593" s="32"><v>791.5</v></c><c r="BF593" s="1775"/></row><row r="594" spans="28:58"><c r="AB594" s="1796"/><c r="AY594" s="30"><v>47.3</v></c><c r="AZ594" s="31"><v>0.79139999999999999</v></c><c r="BA594" s="32"><v>791</v></c><c r="BF594" s="1775"/></row><row r="595" spans="28:58"><c r="AB595" s="1796"/><c r="AY595" s="30"><v>47.4</v></c><c r="AZ595" s="31"><v>0.79090000000000005</v></c><c r="BA595" s="32"><v>790.6</v></c><c r="BF595" s="1775"/></row><row r="596" spans="28:58"><c r="AB596" s="1796"/><c r="AY596" s="30"><v>47.5</v></c><c r="AZ596" s="31"><v>0.79049999999999998</v></c><c r="BA596" s="32"><v>790.1</v></c><c r="BF596" s="1775"/></row><row r="597" spans="28:58"><c r="AB597" s="1796"/><c r="AY597" s="30"><v>47.6</v></c><c r="AZ597" s="31"><v>0.79010000000000002</v></c><c r="BA597" s="32"><v>789.7</v></c><c r="BF597" s="1775"/></row><row r="598" spans="28:58"><c r="AB598" s="1796"/><c r="AY598" s="30"><v>47.7</v></c><c r="AZ598" s="31"><v>0.78959999999999997</v></c><c r="BA598" s="32"><v>789.3</v></c><c r="BF598" s="1775"/></row><row r="599" spans="28:58"><c r="AB599" s="1796"/><c r="AY599" s="30"><v>47.8</v></c><c r="AZ599" s="31"><v>0.78920000000000001</v></c><c r="BA599" s="32"><v>788.8</v></c><c r="BF599" s="1775"/></row><row r="600" spans="28:58"><c r="AB600" s="1796"/><c r="AY600" s="30"><v>47.9</v></c><c r="AZ600" s="31"><v>0.78869999999999996</v></c><c r="BA600" s="32"><v>788.4</v></c><c r="BF600" s="1775"/></row><row r="601" spans="28:58"><c r="AB601" s="1796"/><c r="AY601" s="30"><v>48</v></c><c r="AZ601" s="31"><v>0.7883</v></c><c r="BA601" s="32"><v>787.9</v></c><c r="BF601" s="1775"/></row><row r="602" spans="28:58"><c r="AB602" s="1796"/><c r="AY602" s="30"><v>48.1</v></c><c r="AZ602" s="31"><v>0.78790000000000004</v></c><c r="BA602" s="32"><v>787.5</v></c><c r="BF602" s="1775"/></row><row r="603" spans="28:58"><c r="AB603" s="1796"/><c r="AY603" s="30"><v>48.2</v></c><c r="AZ603" s="31"><v>0.78739999999999999</v></c><c r="BA603" s="32"><v>787.13</v></c><c r="BF603" s="1775"/></row><row r="604" spans="28:58"><c r="AB604" s="1796"/><c r="AY604" s="30"><v>48.3</v></c><c r="AZ604" s="31"><v>0.78700000000000003</v></c><c r="BA604" s="32"><v>786.6</v></c><c r="BF604" s="1775"/></row><row r="605" spans="28:58"><c r="AB605" s="1796"/><c r="AY605" s="30"><v>48.4</v></c><c r="AZ605" s="31"><v>0.78649999999999998</v></c><c r="BA605" s="32"><v>786.2</v></c><c r="BF605" s="1775"/></row><row r="606" spans="28:58"><c r="AB606" s="1796"/><c r="AY606" s="30"><v>48.5</v></c><c r="AZ606" s="31"><v>0.78610000000000002</v></c><c r="BA606" s="32"><v>785.8</v></c><c r="BF606" s="1775"/></row><row r="607" spans="28:58"><c r="AB607" s="1796"/><c r="AY607" s="30"><v>48.6</v></c><c r="AZ607" s="31"><v>0.78569999999999995</v></c><c r="BA607" s="32"><v>785.3</v></c><c r="BF607" s="1775"/></row><row r="608" spans="28:58"><c r="AB608" s="1796"/><c r="AY608" s="30"><v>48.7</v></c><c r="AZ608" s="31"><v>0.78520000000000001</v></c><c r="BA608" s="32"><v>784.9</v></c><c r="BF608" s="1775"/></row><row r="609" spans="28:58"><c r="AB609" s="1796"/><c r="AY609" s="30"><v>48.8</v></c><c r="AZ609" s="31"><v>0.78480000000000005</v></c><c r="BA609" s="32"><v>784.5</v></c><c r="BF609" s="1775"/></row><row r="610" spans="28:58"><c r="AB610" s="1796"/><c r="AY610" s="30"><v>48.9</v></c><c r="AZ610" s="31"><v>0.78439999999999999</v></c><c r="BA610" s="32"><v>784</v></c><c r="BF610" s="1775"/></row><row r="611" spans="28:58"><c r="AB611" s="1796"/><c r="AY611" s="30"><v>49</v></c><c r="AZ611" s="31"><v>0.78390000000000004</v></c><c r="BA611" s="32"><v>783.6</v></c><c r="BF611" s="1775"/></row><row r="612" spans="28:58"><c r="AB612" s="1796"/><c r="AY612" s="30"><v>49.1</v></c><c r="AZ612" s="31"><v>0.78349999999999997</v></c><c r="BA612" s="32"><v>783.2</v></c><c r="BF612" s="1775"/></row><row r="613" spans="28:58"><c r="AB613" s="1796"/><c r="AY613" s="30"><v>49.2</v></c><c r="AZ613" s="31"><v>0.78310000000000002</v></c><c r="BA613" s="32"><v>782.7</v></c><c r="BF613" s="1775"/></row><row r="614" spans="28:58"><c r="AB614" s="1796"/><c r="AY614" s="30"><v>49.3</v></c><c r="AZ614" s="31"><v>0.78259999999999996</v></c><c r="BA614" s="32"><v>782.3</v></c><c r="BF614" s="1775"/></row><row r="615" spans="28:58"><c r="AB615" s="1796"/><c r="AY615" s="30"><v>49.4</v></c><c r="AZ615" s="31"><v>0.78220000000000001</v></c><c r="BA615" s="32"><v>781.9</v></c><c r="BF615" s="1775"/></row><row r="616" spans="28:58"><c r="AB616" s="1796"/><c r="AY616" s="30"><v>49.5</v></c><c r="AZ616" s="31"><v>0.78180000000000005</v></c><c r="BA616" s="32"><v>781.4</v></c><c r="BF616" s="1775"/></row><row r="617" spans="28:58"><c r="AB617" s="1796"/><c r="AY617" s="30"><v>49.6</v></c><c r="AZ617" s="31"><v>0.78129999999999999</v></c><c r="BA617" s="32"><v>781</v></c><c r="BF617" s="1775"/></row><row r="618" spans="28:58"><c r="AB618" s="1796"/><c r="AY618" s="30"><v>49.7</v></c><c r="AZ618" s="31"><v>0.78090000000000004</v></c><c r="BA618" s="32"><v>780.6</v></c><c r="BF618" s="1775"/></row><row r="619" spans="28:58"><c r="AB619" s="1796"/><c r="AY619" s="30"><v>49.8</v></c><c r="AZ619" s="31"><v>0.78049999999999997</v></c><c r="BA619" s="32"><v>780.2</v></c><c r="BF619" s="1775"/></row><row r="620" spans="28:58"><c r="AB620" s="1796"/><c r="AY620" s="30"><v>49.9</v></c><c r="AZ620" s="31"><v>0.78</v></c><c r="BA620" s="32"><v>779.7</v></c><c r="BF620" s="1775"/></row><row r="621" spans="28:58"><c r="AB621" s="1796"/><c r="AY621" s="30"><v>50</v></c><c r="AZ621" s="31"><v>0.77959999999999996</v></c><c r="BA621" s="32"><v>779.3</v></c><c r="BF621" s="1775"/></row><row r="622" spans="28:58"><c r="AB622" s="1796"/><c r="AY622" s="30"><v>50.1</v></c><c r="AZ622" s="31"><v>0.7792</v></c><c r="BA622" s="32"><v>778.9</v></c><c r="BF622" s="1775"/></row><row r="623" spans="28:58"><c r="AB623" s="1796"/><c r="AY623" s="30"><v>50.2</v></c><c r="AZ623" s="31"><v>0.77880000000000005</v></c><c r="BA623" s="32"><v>778.4</v></c><c r="BF623" s="1775"/></row><row r="624" spans="28:58"><c r="AB624" s="1796"/><c r="AY624" s="30"><v>50.3</v></c><c r="AZ624" s="31"><v>0.77829999999999999</v></c><c r="BA624" s="32"><v>778</v></c><c r="BF624" s="1775"/></row><row r="625" spans="28:58"><c r="AB625" s="1796"/><c r="AY625" s="30"><v>50.4</v></c><c r="AZ625" s="31"><v>0.77790000000000004</v></c><c r="BA625" s="32"><v>777.6</v></c><c r="BF625" s="1775"/></row><row r="626" spans="28:58"><c r="AB626" s="1796"/><c r="AY626" s="30"><v>50.5</v></c><c r="AZ626" s="31"><v>0.77749999999999997</v></c><c r="BA626" s="32"><v>777.2</v></c><c r="BF626" s="1775"/></row><row r="627" spans="28:58"><c r="AB627" s="1796"/><c r="AY627" s="30"><v>50.6</v></c><c r="AZ627" s="31"><v>0.77700000000000002</v></c><c r="BA627" s="32"><v>776.7</v></c><c r="BF627" s="1775"/></row><row r="628" spans="28:58"><c r="AB628" s="1796"/><c r="AY628" s="30"><v>50.7</v></c><c r="AZ628" s="31"><v>0.77659999999999996</v></c><c r="BA628" s="32"><v>776.3</v></c><c r="BF628" s="1775"/></row><row r="629" spans="28:58"><c r="AB629" s="1796"/><c r="AY629" s="30"><v>50.8</v></c><c r="AZ629" s="31"><v>0.7762</v></c><c r="BA629" s="32"><v>775.9</v></c><c r="BF629" s="1775"/></row><row r="630" spans="28:58"><c r="AB630" s="1796"/><c r="AY630" s="30"><v>50.9</v></c><c r="AZ630" s="31"><v>0.77580000000000005</v></c><c r="BA630" s="32"><v>775.5</v></c><c r="BF630" s="1775"/></row><row r="631" spans="28:58"><c r="AB631" s="1796"/><c r="AY631" s="30"><v>51</v></c><c r="AZ631" s="31"><v>0.77529999999999999</v></c><c r="BA631" s="32"><v>775.1</v></c><c r="BF631" s="1775"/></row><row r="632" spans="28:58"><c r="AB632" s="1796"/><c r="AY632" s="30"><v>51.1</v></c><c r="AZ632" s="31"><v>0.77490000000000003</v></c><c r="BA632" s="32"><v>774.6</v></c><c r="BF632" s="1775"/></row><row r="633" spans="28:58"><c r="AB633" s="1796"/><c r="AY633" s="30"><v>51.2</v></c><c r="AZ633" s="31"><v>0.77449999999999997</v></c><c r="BA633" s="32"><v>774.2</v></c><c r="BF633" s="1775"/></row><row r="634" spans="28:58"><c r="AB634" s="1796"/><c r="AY634" s="30"><v>51.3</v></c><c r="AZ634" s="31"><v>0.77410000000000001</v></c><c r="BA634" s="32"><v>773.8</v></c><c r="BF634" s="1775"/></row><row r="635" spans="28:58"><c r="AB635" s="1796"/><c r="AY635" s="30"><v>51.4</v></c><c r="AZ635" s="31"><v>0.77359999999999995</v></c><c r="BA635" s="32"><v>773.4</v></c><c r="BF635" s="1775"/></row><row r="636" spans="28:58"><c r="AB636" s="1796"/><c r="AY636" s="30"><v>51.5</v></c><c r="AZ636" s="31"><v>0.7732</v></c><c r="BA636" s="32"><v>772.9</v></c><c r="BF636" s="1775"/></row><row r="637" spans="28:58"><c r="AB637" s="1796"/><c r="AY637" s="30"><v>51.6</v></c><c r="AZ637" s="31"><v>0.77280000000000004</v></c><c r="BA637" s="32"><v>772.5</v></c><c r="BF637" s="1775"/></row><row r="638" spans="28:58"><c r="AB638" s="1796"/><c r="AY638" s="30"><v>51.7</v></c><c r="AZ638" s="31"><v>0.77239999999999998</v></c><c r="BA638" s="32"><v>772.1</v></c><c r="BF638" s="1775"/></row><row r="639" spans="28:58"><c r="AB639" s="1796"/><c r="AY639" s="30"><v>51.8</v></c><c r="AZ639" s="31"><v>0.77200000000000002</v></c><c r="BA639" s="32"><v>771.7</v></c><c r="BF639" s="1775"/></row><row r="640" spans="28:58"><c r="AB640" s="1796"/><c r="AY640" s="30"><v>51.9</v></c><c r="AZ640" s="31"><v>0.77149999999999996</v></c><c r="BA640" s="32"><v>771.3</v></c><c r="BF640" s="1775"/></row><row r="641" spans="28:58"><c r="AB641" s="1796"/><c r="AY641" s="30"><v>52</v></c><c r="AZ641" s="31"><v>0.77110000000000001</v></c><c r="BA641" s="32"><v>770.8</v></c><c r="BF641" s="1775"/></row><row r="642" spans="28:58"><c r="AB642" s="1796"/><c r="AY642" s="30"><v>52.1</v></c><c r="AZ642" s="31"><v>0.77070000000000005</v></c><c r="BA642" s="32"><v>770.4</v></c><c r="BF642" s="1775"/></row><row r="643" spans="28:58"><c r="AB643" s="1796"/><c r="AY643" s="30"><v>52.2</v></c><c r="AZ643" s="31"><v>0.77029999999999998</v></c><c r="BA643" s="32"><v>770</v></c><c r="BF643" s="1775"/></row><row r="644" spans="28:58"><c r="AB644" s="1796"/><c r="AY644" s="30"><v>52.3</v></c><c r="AZ644" s="31"><v>0.76990000000000003</v></c><c r="BA644" s="32"><v>769.6</v></c><c r="BF644" s="1775"/></row><row r="645" spans="28:58"><c r="AB645" s="1796"/><c r="AY645" s="30"><v>52.4</v></c><c r="AZ645" s="31"><v>0.76939999999999997</v></c><c r="BA645" s="32"><v>769.2</v></c><c r="BF645" s="1775"/></row><row r="646" spans="28:58"><c r="AB646" s="1796"/><c r="AY646" s="30"><v>52.5</v></c><c r="AZ646" s="31"><v>0.76900000000000002</v></c><c r="BA646" s="32"><v>768.8</v></c><c r="BF646" s="1775"/></row><row r="647" spans="28:58"><c r="AB647" s="1796"/><c r="AY647" s="30"><v>52.6</v></c><c r="AZ647" s="31"><v>0.76859999999999995</v></c><c r="BA647" s="32"><v>768.3</v></c><c r="BF647" s="1775"/></row><row r="648" spans="28:58"><c r="AB648" s="1796"/><c r="AY648" s="30"><v>52.7</v></c><c r="AZ648" s="31"><v>0.76819999999999999</v></c><c r="BA648" s="32"><v>767.9</v></c><c r="BF648" s="1775"/></row><row r="649" spans="28:58"><c r="AB649" s="1796"/><c r="AY649" s="30"><v>52.8</v></c><c r="AZ649" s="31"><v>0.76780000000000004</v></c><c r="BA649" s="32"><v>767.5</v></c><c r="BF649" s="1775"/></row><row r="650" spans="28:58"><c r="AB650" s="1796"/><c r="AY650" s="30"><v>52.9</v></c><c r="AZ650" s="31"><v>0.76739999999999997</v></c><c r="BA650" s="32"><v>767.1</v></c><c r="BF650" s="1775"/></row><row r="651" spans="28:58"><c r="AB651" s="1796"/><c r="AY651" s="30"><v>53</v></c><c r="AZ651" s="31"><v>0.76690000000000003</v></c><c r="BA651" s="32"><v>766.7</v></c><c r="BF651" s="1775"/></row><row r="652" spans="28:58"><c r="AB652" s="1796"/><c r="AY652" s="30"><v>53.1</v></c><c r="AZ652" s="31"><v>0.76649999999999996</v></c><c r="BA652" s="32"><v>766.3</v></c><c r="BF652" s="1775"/></row><row r="653" spans="28:58"><c r="AB653" s="1796"/><c r="AY653" s="30"><v>53.2</v></c><c r="AZ653" s="31"><v>0.7661</v></c><c r="BA653" s="32"><v>765.8</v></c><c r="BF653" s="1775"/></row><row r="654" spans="28:58"><c r="AB654" s="1796"/><c r="AY654" s="30"><v>53.3</v></c><c r="AZ654" s="31"><v>0.76570000000000005</v></c><c r="BA654" s="32"><v>765.4</v></c><c r="BF654" s="1775"/></row><row r="655" spans="28:58"><c r="AB655" s="1796"/><c r="AY655" s="30"><v>53.4</v></c><c r="AZ655" s="31"><v>0.76529999999999998</v></c><c r="BA655" s="32"><v>765</v></c><c r="BF655" s="1775"/></row><row r="656" spans="28:58"><c r="AB656" s="1796"/><c r="AY656" s="30"><v>53.5</v></c><c r="AZ656" s="31"><v>0.76490000000000002</v></c><c r="BA656" s="32"><v>764.6</v></c><c r="BF656" s="1775"/></row><row r="657" spans="28:58"><c r="AB657" s="1796"/><c r="AY657" s="30"><v>53.6</v></c><c r="AZ657" s="31"><v>0.76449999999999996</v></c><c r="BA657" s="32"><v>764.2</v></c><c r="BF657" s="1775"/></row><row r="658" spans="28:58"><c r="AB658" s="1796"/><c r="AY658" s="30"><v>53.7</v></c><c r="AZ658" s="31"><v>0.76400000000000001</v></c><c r="BA658" s="32"><v>763.8</v></c><c r="BF658" s="1775"/></row><row r="659" spans="28:58"><c r="AB659" s="1796"/><c r="AY659" s="30"><v>53.8</v></c><c r="AZ659" s="31"><v>0.76359999999999995</v></c><c r="BA659" s="32"><v>763.4</v></c><c r="BF659" s="1775"/></row><row r="660" spans="28:58"><c r="AB660" s="1796"/><c r="AY660" s="30"><v>53.9</v></c><c r="AZ660" s="31"><v>0.76319999999999999</v></c><c r="BA660" s="32"><v>763</v></c><c r="BF660" s="1775"/></row><row r="661" spans="28:58"><c r="AB661" s="1796"/><c r="AY661" s="30"><v>54</v></c><c r="AZ661" s="31"><v>0.76280000000000003</v></c><c r="BA661" s="32"><v>762.5</v></c><c r="BF661" s="1775"/></row><row r="662" spans="28:58"><c r="AB662" s="1796"/><c r="AY662" s="30"><v>54.1</v></c><c r="AZ662" s="31"><v>0.76239999999999997</v></c><c r="BA662" s="32"><v>762.1</v></c><c r="BF662" s="1775"/></row><row r="663" spans="28:58"><c r="AB663" s="1796"/><c r="AY663" s="30"><v>54.2</v></c><c r="AZ663" s="31"><v>0.76200000000000001</v></c><c r="BA663" s="32"><v>761.7</v></c><c r="BF663" s="1775"/></row><row r="664" spans="28:58"><c r="AB664" s="1796"/><c r="AY664" s="30"><v>54.3</v></c><c r="AZ664" s="31"><v>0.76160000000000005</v></c><c r="BA664" s="32"><v>761.3</v></c><c r="BF664" s="1775"/></row><row r="665" spans="28:58"><c r="AB665" s="1796"/><c r="AY665" s="30"><v>54.4</v></c><c r="AZ665" s="31"><v>0.76119999999999999</v></c><c r="BA665" s="32"><v>760.9</v></c><c r="BF665" s="1775"/></row><row r="666" spans="28:58"><c r="AB666" s="1796"/><c r="AY666" s="30"><v>54.5</v></c><c r="AZ666" s="31"><v>0.76080000000000003</v></c><c r="BA666" s="32"><v>760.5</v></c><c r="BF666" s="1775"/></row><row r="667" spans="28:58"><c r="AB667" s="1796"/><c r="AY667" s="30"><v>54.6</v></c><c r="AZ667" s="31"><v>0.76029999999999998</v></c><c r="BA667" s="32"><v>760.1</v></c><c r="BF667" s="1775"/></row><row r="668" spans="28:58"><c r="AB668" s="1796"/><c r="AY668" s="30"><v>54.7</v></c><c r="AZ668" s="31"><v>0.75990000000000002</v></c><c r="BA668" s="32"><v>759.7</v></c><c r="BF668" s="1775"/></row><row r="669" spans="28:58"><c r="AB669" s="1796"/><c r="AY669" s="30"><v>54.8</v></c><c r="AZ669" s="31"><v>0.75949999999999995</v></c><c r="BA669" s="32"><v>759.3</v></c><c r="BF669" s="1775"/></row><row r="670" spans="28:58"><c r="AB670" s="1796"/><c r="AY670" s="30"><v>54.9</v></c><c r="AZ670" s="31"><v>0.7591</v></c><c r="BA670" s="32"><v>758.9</v></c><c r="BF670" s="1775"/></row><row r="671" spans="28:58"><c r="AB671" s="1796"/><c r="AY671" s="30"><v>55</v></c><c r="AZ671" s="31"><v>0.75870000000000004</v></c><c r="BA671" s="32"><v>758.5</v></c><c r="BF671" s="1775"/></row><row r="672" spans="28:58"><c r="AB672" s="1796"/><c r="AY672" s="30"><v>55.1</v></c><c r="AZ672" s="31"><v>0.75829999999999997</v></c><c r="BA672" s="32"><v>758.1</v></c><c r="BF672" s="1775"/></row><row r="673" spans="28:58"><c r="AB673" s="1796"/><c r="AY673" s="30"><v>55.2</v></c><c r="AZ673" s="31"><v>0.75790000000000002</v></c><c r="BA673" s="32"><v>757.6</v></c><c r="BF673" s="1775"/></row><row r="674" spans="28:58"><c r="AB674" s="1796"/><c r="AY674" s="30"><v>55.3</v></c><c r="AZ674" s="31"><v>0.75749999999999995</v></c><c r="BA674" s="32"><v>757.2</v></c><c r="BF674" s="1775"/></row><row r="675" spans="28:58"><c r="AB675" s="1796"/><c r="AY675" s="30"><v>55.4</v></c><c r="AZ675" s="31"><v>0.7571</v></c><c r="BA675" s="32"><v>756.8</v></c><c r="BF675" s="1775"/></row><row r="676" spans="28:58"><c r="AB676" s="1796"/><c r="AY676" s="30"><v>55.5</v></c><c r="AZ676" s="31"><v>0.75670000000000004</v></c><c r="BA676" s="32"><v>756.4</v></c><c r="BF676" s="1775"/></row><row r="677" spans="28:58"><c r="AB677" s="1796"/><c r="AY677" s="30"><v>55.6</v></c><c r="AZ677" s="31"><v>0.75629999999999997</v></c><c r="BA677" s="32"><v>756</v></c><c r="BF677" s="1775"/></row><row r="678" spans="28:58"><c r="AB678" s="1796"/><c r="AY678" s="30"><v>55.7</v></c><c r="AZ678" s="31"><v>0.75590000000000002</v></c><c r="BA678" s="32"><v>755.6</v></c><c r="BF678" s="1775"/></row><row r="679" spans="28:58"><c r="AB679" s="1796"/><c r="AY679" s="30"><v>55.8</v></c><c r="AZ679" s="31"><v>0.75549999999999995</v></c><c r="BA679" s="32"><v>755.2</v></c><c r="BF679" s="1775"/></row><row r="680" spans="28:58"><c r="AB680" s="1796"/><c r="AY680" s="30"><v>55.9</v></c><c r="AZ680" s="31"><v>0.75509999999999999</v></c><c r="BA680" s="32"><v>754.8</v></c><c r="BF680" s="1775"/></row><row r="681" spans="28:58"><c r="AB681" s="1796"/><c r="AY681" s="30"><v>56</v></c><c r="AZ681" s="31"><v>0.75470000000000004</v></c><c r="BA681" s="32"><v>754.4</v></c><c r="BF681" s="1775"/></row><row r="682" spans="28:58"><c r="AB682" s="1796"/><c r="AY682" s="30"><v>56.1</v></c><c r="AZ682" s="31"><v>0.75429999999999997</v></c><c r="BA682" s="32"><v>754</v></c><c r="BF682" s="1775"/></row><row r="683" spans="28:58"><c r="AB683" s="1796"/><c r="AY683" s="30"><v>56.2</v></c><c r="AZ683" s="31"><v>0.75390000000000001</v></c><c r="BA683" s="32"><v>753.6</v></c><c r="BF683" s="1775"/></row><row r="684" spans="28:58"><c r="AB684" s="1796"/><c r="AY684" s="30"><v>56.3</v></c><c r="AZ684" s="31"><v>0.75349999999999995</v></c><c r="BA684" s="32"><v>753.2</v></c><c r="BF684" s="1775"/></row><row r="685" spans="28:58"><c r="AB685" s="1796"/><c r="AY685" s="30"><v>56.4</v></c><c r="AZ685" s="31"><v>0.75309999999999999</v></c><c r="BA685" s="32"><v>752.8</v></c><c r="BF685" s="1775"/></row><row r="686" spans="28:58"><c r="AB686" s="1796"/><c r="AY686" s="30"><v>56.5</v></c><c r="AZ686" s="31"><v>0.75270000000000004</v></c><c r="BA686" s="32"><v>752.4</v></c><c r="BF686" s="1775"/></row><row r="687" spans="28:58"><c r="AB687" s="1796"/><c r="AY687" s="30"><v>56.6</v></c><c r="AZ687" s="31"><v>0.75229999999999997</v></c><c r="BA687" s="32"><v>752</v></c><c r="BF687" s="1775"/></row><row r="688" spans="28:58"><c r="AB688" s="1796"/><c r="AY688" s="30"><v>56.7</v></c><c r="AZ688" s="31"><v>0.75190000000000001</v></c><c r="BA688" s="32"><v>751.6</v></c><c r="BF688" s="1775"/></row><row r="689" spans="28:58"><c r="AB689" s="1796"/><c r="AY689" s="30"><v>56.8</v></c><c r="AZ689" s="31"><v>0.75149999999999995</v></c><c r="BA689" s="32"><v>751.2</v></c><c r="BF689" s="1775"/></row><row r="690" spans="28:58"><c r="AB690" s="1796"/><c r="AY690" s="30"><v>56.9</v></c><c r="AZ690" s="31"><v>0.75109999999999999</v></c><c r="BA690" s="32"><v>750.8</v></c><c r="BF690" s="1775"/></row><row r="691" spans="28:58"><c r="AB691" s="1796"/><c r="AY691" s="30"><v>57</v></c><c r="AZ691" s="31"><v>0.75070000000000003</v></c><c r="BA691" s="32"><v>750.4</v></c><c r="BF691" s="1775"/></row><row r="692" spans="28:58"><c r="AB692" s="1796"/><c r="AY692" s="30"><v>57.1</v></c><c r="AZ692" s="31"><v>0.75029999999999997</v></c><c r="BA692" s="32"><v>750</v></c><c r="BF692" s="1775"/></row><row r="693" spans="28:58"><c r="AB693" s="1796"/><c r="AY693" s="30"><v>57.2</v></c><c r="AZ693" s="31"><v>0.74990000000000001</v></c><c r="BA693" s="32"><v>749.6</v></c><c r="BF693" s="1775"/></row><row r="694" spans="28:58"><c r="AB694" s="1796"/><c r="AY694" s="30"><v>57.3</v></c><c r="AZ694" s="31"><v>0.74950000000000006</v></c><c r="BA694" s="32"><v>749.2</v></c><c r="BF694" s="1775"/></row><row r="695" spans="28:58"><c r="AB695" s="1796"/><c r="AY695" s="30"><v>57.4</v></c><c r="AZ695" s="31"><v>0.74909999999999999</v></c><c r="BA695" s="32"><v>748.8</v></c><c r="BF695" s="1775"/></row><row r="696" spans="28:58"><c r="AB696" s="1796"/><c r="AY696" s="30"><v>57.5</v></c><c r="AZ696" s="31"><v>0.74870000000000003</v></c><c r="BA696" s="32"><v>748.4</v></c><c r="BF696" s="1775"/></row><row r="697" spans="28:58"><c r="AB697" s="1796"/><c r="AY697" s="30"><v>57.6</v></c><c r="AZ697" s="31"><v>0.74829999999999997</v></c><c r="BA697" s="32"><v>748</v></c><c r="BF697" s="1775"/></row><row r="698" spans="28:58"><c r="AB698" s="1796"/><c r="AY698" s="30"><v>57.7</v></c><c r="AZ698" s="31"><v>0.74790000000000001</v></c><c r="BA698" s="32"><v>747.6</v></c><c r="BF698" s="1775"/></row><row r="699" spans="28:58"><c r="AB699" s="1796"/><c r="AY699" s="30"><v>57.8</v></c><c r="AZ699" s="31"><v>0.74750000000000005</v></c><c r="BA699" s="32"><v>747.3</v></c><c r="BF699" s="1775"/></row><row r="700" spans="28:58"><c r="AB700" s="1796"/><c r="AY700" s="30"><v>57.9</v></c><c r="AZ700" s="31"><v>0.74709999999999999</v></c><c r="BA700" s="32"><v>746.9</v></c><c r="BF700" s="1775"/></row><row r="701" spans="28:58"><c r="AB701" s="1796"/><c r="AY701" s="30"><v>58</v></c><c r="AZ701" s="31"><v>0.74670000000000003</v></c><c r="BA701" s="32"><v>746.5</v></c><c r="BF701" s="1775"/></row><row r="702" spans="28:58"><c r="AB702" s="1796"/><c r="AY702" s="30"><v>58.1</v></c><c r="AZ702" s="31"><v>0.74629999999999996</v></c><c r="BA702" s="32"><v>746.1</v></c><c r="BF702" s="1775"/></row><row r="703" spans="28:58"><c r="AB703" s="1796"/><c r="AY703" s="30"><v>58.2</v></c><c r="AZ703" s="31"><v>0.74590000000000001</v></c><c r="BA703" s="32"><v>745.7</v></c><c r="BF703" s="1775"/></row><row r="704" spans="28:58"><c r="AB704" s="1796"/><c r="AY704" s="30"><v>58.3</v></c><c r="AZ704" s="31"><v>0.74550000000000005</v></c><c r="BA704" s="32"><v>745.3</v></c><c r="BF704" s="1775"/></row><row r="705" spans="28:58"><c r="AB705" s="1796"/><c r="AY705" s="30"><v>58.4</v></c><c r="AZ705" s="31"><v>0.74509999999999998</v></c><c r="BA705" s="32"><v>744.9</v></c><c r="BF705" s="1775"/></row><row r="706" spans="28:58"><c r="AB706" s="1796"/><c r="AY706" s="30"><v>58.5</v></c><c r="AZ706" s="31"><v>0.74470000000000003</v></c><c r="BA706" s="32"><v>744.5</v></c><c r="BF706" s="1775"/></row><row r="707" spans="28:58"><c r="AB707" s="1796"/><c r="AY707" s="30"><v>58.6</v></c><c r="AZ707" s="31"><v>0.74429999999999996</v></c><c r="BA707" s="32"><v>744.13</v></c><c r="BF707" s="1775"/></row><row r="708" spans="28:58"><c r="AB708" s="1796"/><c r="AY708" s="30"><v>58.7</v></c><c r="AZ708" s="31"><v>0.74399999999999999</v></c><c r="BA708" s="32"><v>743.7</v></c><c r="BF708" s="1775"/></row><row r="709" spans="28:58"><c r="AB709" s="1796"/><c r="AY709" s="30"><v>58.8</v></c><c r="AZ709" s="31"><v>0.74360000000000004</v></c><c r="BA709" s="32"><v>743.3</v></c><c r="BF709" s="1775"/></row><row r="710" spans="28:58"><c r="AB710" s="1796"/><c r="AY710" s="30"><v>58.9</v></c><c r="AZ710" s="31"><v>0.74319999999999997</v></c><c r="BA710" s="32"><v>742.9</v></c><c r="BF710" s="1775"/></row><row r="711" spans="28:58"><c r="AB711" s="1796"/><c r="AY711" s="30"><v>59</v></c><c r="AZ711" s="31"><v>0.74280000000000002</v></c><c r="BA711" s="32"><v>742.6</v></c><c r="BF711" s="1775"/></row><row r="712" spans="28:58"><c r="AB712" s="1796"/><c r="AY712" s="30"><v>59.1</v></c><c r="AZ712" s="31"><v>0.74239999999999995</v></c><c r="BA712" s="32"><v>742.2</v></c><c r="BF712" s="1775"/></row><row r="713" spans="28:58"><c r="AB713" s="1796"/><c r="AY713" s="30"><v>59.2</v></c><c r="AZ713" s="31"><v>0.74199999999999999</v></c><c r="BA713" s="32"><v>741.8</v></c><c r="BF713" s="1775"/></row><row r="714" spans="28:58"><c r="AB714" s="1796"/><c r="AY714" s="30"><v>59.3</v></c><c r="AZ714" s="31"><v>0.74160000000000004</v></c><c r="BA714" s="32"><v>741.4</v></c><c r="BF714" s="1775"/></row><row r="715" spans="28:58"><c r="AB715" s="1796"/><c r="AY715" s="30"><v>59.4</v></c><c r="AZ715" s="31"><v>0.74119999999999997</v></c><c r="BA715" s="32"><v>741</v></c><c r="BF715" s="1775"/></row><row r="716" spans="28:58"><c r="AB716" s="1796"/><c r="AY716" s="30"><v>59.5</v></c><c r="AZ716" s="31"><v>0.74080000000000001</v></c><c r="BA716" s="32"><v>740.6</v></c><c r="BF716" s="1775"/></row><row r="717" spans="28:58"><c r="AB717" s="1796"/><c r="AY717" s="30"><v>59.6</v></c><c r="AZ717" s="31"><v>0.74050000000000005</v></c><c r="BA717" s="32"><v>740.2</v></c><c r="BF717" s="1775"/></row><row r="718" spans="28:58"><c r="AB718" s="1796"/><c r="AY718" s="30"><v>59.7</v></c><c r="AZ718" s="31"><v>0.74009999999999998</v></c><c r="BA718" s="32"><v>739.8</v></c><c r="BF718" s="1775"/></row><row r="719" spans="28:58"><c r="AB719" s="1796"/><c r="AY719" s="30"><v>59.8</v></c><c r="AZ719" s="31"><v>0.73970000000000002</v></c><c r="BA719" s="32"><v>739.4</v></c><c r="BF719" s="1775"/></row><row r="720" spans="28:58"><c r="AB720" s="1796"/><c r="AY720" s="30"><v>59.9</v></c><c r="AZ720" s="31"><v>0.73929999999999996</v></c><c r="BA720" s="32"><v>739.1</v></c><c r="BF720" s="1775"/></row><row r="721" spans="28:58"><c r="AB721" s="1796"/><c r="AY721" s="30"><v>60</v></c><c r="AZ721" s="31"><v>0.7389</v></c><c r="BA721" s="32"><v>738.7</v></c><c r="BF721" s="1775"/></row><row r="722" spans="28:58"><c r="AB722" s="1796"/><c r="AY722" s="30"><v>60.1</v></c><c r="AZ722" s="31"><v>0.73850000000000005</v></c><c r="BA722" s="32"><v>738.3</v></c><c r="BF722" s="1775"/></row><row r="723" spans="28:58"><c r="AB723" s="1796"/><c r="AY723" s="30"><v>60.2</v></c><c r="AZ723" s="31"><v>0.73809999999999998</v></c><c r="BA723" s="32"><v>737.9</v></c><c r="BF723" s="1775"/></row><row r="724" spans="28:58"><c r="AB724" s="1796"/><c r="AY724" s="30"><v>60.3</v></c><c r="AZ724" s="31"><v>0.73770000000000002</v></c><c r="BA724" s="32"><v>737.5</v></c><c r="BF724" s="1775"/></row><row r="725" spans="28:58"><c r="AB725" s="1796"/><c r="AY725" s="30"><v>60.4</v></c><c r="AZ725" s="31"><v>0.73740000000000006</v></c><c r="BA725" s="32"><v>737.1</v></c><c r="BF725" s="1775"/></row><row r="726" spans="28:58"><c r="AB726" s="1796"/><c r="AY726" s="30"><v>60.5</v></c><c r="AZ726" s="31"><v>0.73699999999999999</v></c><c r="BA726" s="32"><v>736.8</v></c><c r="BF726" s="1775"/></row><row r="727" spans="28:58"><c r="AB727" s="1796"/><c r="AY727" s="30"><v>60.6</v></c><c r="AZ727" s="31"><v>0.73660000000000003</v></c><c r="BA727" s="32"><v>736.4</v></c><c r="BF727" s="1775"/></row><row r="728" spans="28:58"><c r="AB728" s="1796"/><c r="AY728" s="30"><v>60.7</v></c><c r="AZ728" s="31"><v>0.73619999999999997</v></c><c r="BA728" s="32"><v>736</v></c><c r="BF728" s="1775"/></row><row r="729" spans="28:58"><c r="AB729" s="1796"/><c r="AY729" s="30"><v>60.8</v></c><c r="AZ729" s="31"><v>0.73580000000000001</v></c><c r="BA729" s="32"><v>735.6</v></c><c r="BF729" s="1775"/></row><row r="730" spans="28:58"><c r="AB730" s="1796"/><c r="AY730" s="30"><v>60.9</v></c><c r="AZ730" s="31"><v>0.73540000000000005</v></c><c r="BA730" s="32"><v>735.2</v></c><c r="BF730" s="1775"/></row><row r="731" spans="28:58"><c r="AB731" s="1796"/><c r="AY731" s="30"><v>61</v></c><c r="AZ731" s="31"><v>0.73509999999999998</v></c><c r="BA731" s="32"><v>734.8</v></c><c r="BF731" s="1775"/></row><row r="732" spans="28:58"><c r="AB732" s="1796"/><c r="AY732" s="30"><v>61.1</v></c><c r="AZ732" s="31"><v>0.73470000000000002</v></c><c r="BA732" s="32"><v>734.5</v></c><c r="BF732" s="1775"/></row><row r="733" spans="28:58"><c r="AB733" s="1796"/><c r="AY733" s="30"><v>61.2</v></c><c r="AZ733" s="31"><v>0.73429999999999995</v></c><c r="BA733" s="32"><v>734.1</v></c><c r="BF733" s="1775"/></row><row r="734" spans="28:58"><c r="AB734" s="1796"/><c r="AY734" s="30"><v>61.3</v></c><c r="AZ734" s="31"><v>0.7339</v></c><c r="BA734" s="32"><v>733.7</v></c><c r="BF734" s="1775"/></row><row r="735" spans="28:58"><c r="AB735" s="1796"/><c r="AY735" s="30"><v>61.4</v></c><c r="AZ735" s="31"><v>0.73350000000000004</v></c><c r="BA735" s="32"><v>733.3</v></c><c r="BF735" s="1775"/></row><row r="736" spans="28:58"><c r="AB736" s="1796"/><c r="AY736" s="30"><v>61.5</v></c><c r="AZ736" s="31"><v>0.73319999999999996</v></c><c r="BA736" s="32"><v>732.9</v></c><c r="BF736" s="1775"/></row><row r="737" spans="28:58"><c r="AB737" s="1796"/><c r="AY737" s="30"><v>61.6</v></c><c r="AZ737" s="31"><v>0.73280000000000001</v></c><c r="BA737" s="32"><v>732.6</v></c><c r="BF737" s="1775"/></row><row r="738" spans="28:58"><c r="AB738" s="1796"/><c r="AY738" s="30"><v>61.7</v></c><c r="AZ738" s="31"><v>0.73240000000000005</v></c><c r="BA738" s="32"><v>732.2</v></c><c r="BF738" s="1775"/></row><row r="739" spans="28:58"><c r="AB739" s="1796"/><c r="AY739" s="30"><v>61.8</v></c><c r="AZ739" s="31"><v>0.73199999999999998</v></c><c r="BA739" s="32"><v>731.8</v></c><c r="BF739" s="1775"/></row><row r="740" spans="28:58"><c r="AB740" s="1796"/><c r="AY740" s="30"><v>61.9</v></c><c r="AZ740" s="31"><v>0.73160000000000003</v></c><c r="BA740" s="32"><v>731.4</v></c><c r="BF740" s="1775"/></row><row r="741" spans="28:58"><c r="AB741" s="1796"/><c r="AY741" s="30"><v>62</v></c><c r="AZ741" s="31"><v>0.73129999999999995</v></c><c r="BA741" s="32"><v>731.1</v></c><c r="BF741" s="1775"/></row><row r="742" spans="28:58"><c r="AB742" s="1796"/><c r="AY742" s="30"><v>62.1</v></c><c r="AZ742" s="31"><v>0.73089999999999999</v></c><c r="BA742" s="32"><v>730.7</v></c><c r="BF742" s="1775"/></row><row r="743" spans="28:58"><c r="AB743" s="1796"/><c r="AY743" s="30"><v>62.2</v></c><c r="AZ743" s="31"><v>0.73050000000000004</v></c><c r="BA743" s="32"><v>730.3</v></c><c r="BF743" s="1775"/></row><row r="744" spans="28:58"><c r="AB744" s="1796"/><c r="AY744" s="30"><v>62.3</v></c><c r="AZ744" s="31"><v>0.73009999999999997</v></c><c r="BA744" s="32"><v>729.9</v></c><c r="BF744" s="1775"/></row><row r="745" spans="28:58"><c r="AB745" s="1796"/><c r="AY745" s="30"><v>62.4</v></c><c r="AZ745" s="31"><v>0.7298</v></c><c r="BA745" s="32"><v>729.5</v></c><c r="BF745" s="1775"/></row><row r="746" spans="28:58"><c r="AB746" s="1796"/><c r="AY746" s="30"><v>62.5</v></c><c r="AZ746" s="31"><v>0.72940000000000005</v></c><c r="BA746" s="32"><v>729.2</v></c><c r="BF746" s="1775"/></row><row r="747" spans="28:58"><c r="AB747" s="1796"/><c r="AY747" s="30"><v>62.6</v></c><c r="AZ747" s="31"><v>0.72899999999999998</v></c><c r="BA747" s="32"><v>728.8</v></c><c r="BF747" s="1775"/></row><row r="748" spans="28:58"><c r="AB748" s="1796"/><c r="AY748" s="30"><v>62.7</v></c><c r="AZ748" s="31"><v>0.72860000000000003</v></c><c r="BA748" s="32"><v>728.4</v></c><c r="BF748" s="1775"/></row><row r="749" spans="28:58"><c r="AB749" s="1796"/><c r="AY749" s="30"><v>62.8</v></c><c r="AZ749" s="31"><v>0.72829999999999995</v></c><c r="BA749" s="32"><v>728</v></c><c r="BF749" s="1775"/></row><row r="750" spans="28:58"><c r="AB750" s="1796"/><c r="AY750" s="30"><v>62.9</v></c><c r="AZ750" s="31"><v>0.72789999999999999</v></c><c r="BA750" s="32"><v>727.7</v></c><c r="BF750" s="1775"/></row><row r="751" spans="28:58"><c r="AB751" s="1796"/><c r="AY751" s="30"><v>63</v></c><c r="AZ751" s="31"><v>0.72750000000000004</v></c><c r="BA751" s="32"><v>727.3</v></c><c r="BF751" s="1775"/></row><row r="752" spans="28:58"><c r="AB752" s="1796"/><c r="AY752" s="30"><v>63.1</v></c><c r="AZ752" s="31"><v>0.72709999999999997</v></c><c r="BA752" s="32"><v>726.9</v></c><c r="BF752" s="1775"/></row><row r="753" spans="28:58"><c r="AB753" s="1796"/><c r="AY753" s="30"><v>63.2</v></c><c r="AZ753" s="31"><v>0.7268</v></c><c r="BA753" s="32"><v>726.5</v></c><c r="BF753" s="1775"/></row><row r="754" spans="28:58"><c r="AB754" s="1796"/><c r="AY754" s="30"><v>63.3</v></c><c r="AZ754" s="31"><v>0.72640000000000005</v></c><c r="BA754" s="32"><v>726.2</v></c><c r="BF754" s="1775"/></row><row r="755" spans="28:58"><c r="AB755" s="1796"/><c r="AY755" s="30"><v>63.4</v></c><c r="AZ755" s="31"><v>0.72599999999999998</v></c><c r="BA755" s="32"><v>725.8</v></c><c r="BF755" s="1775"/></row><row r="756" spans="28:58"><c r="AB756" s="1796"/><c r="AY756" s="30"><v>63.5</v></c><c r="AZ756" s="31"><v>0.72560000000000002</v></c><c r="BA756" s="32"><v>725.4</v></c><c r="BF756" s="1775"/></row><row r="757" spans="28:58"><c r="AB757" s="1796"/><c r="AY757" s="30"><v>63.6</v></c><c r="AZ757" s="31"><v>0.72529999999999994</v></c><c r="BA757" s="32"><v>725.1</v></c><c r="BF757" s="1775"/></row><row r="758" spans="28:58"><c r="AB758" s="1796"/><c r="AY758" s="30"><v>63.7</v></c><c r="AZ758" s="31"><v>0.72489999999999999</v></c><c r="BA758" s="32"><v>724.7</v></c><c r="BF758" s="1775"/></row><row r="759" spans="28:58"><c r="AB759" s="1796"/><c r="AY759" s="30"><v>63.8</v></c><c r="AZ759" s="31"><v>0.72450000000000003</v></c><c r="BA759" s="32"><v>724.3</v></c><c r="BF759" s="1775"/></row><row r="760" spans="28:58"><c r="AB760" s="1796"/><c r="AY760" s="30"><v>63.9</v></c><c r="AZ760" s="31"><v>0.72419999999999995</v></c><c r="BA760" s="32"><v>723.9</v></c><c r="BF760" s="1775"/></row><row r="761" spans="28:58"><c r="AB761" s="1796"/><c r="AY761" s="30"><v>64</v></c><c r="AZ761" s="31"><v>0.7238</v></c><c r="BA761" s="32"><v>723.6</v></c><c r="BF761" s="1775"/></row><row r="762" spans="28:58"><c r="AB762" s="1796"/><c r="AY762" s="30"><v>64.099999999999994</v></c><c r="AZ762" s="31"><v>0.72340000000000004</v></c><c r="BA762" s="32"><v>723.2</v></c><c r="BF762" s="1775"/></row><row r="763" spans="28:58"><c r="AB763" s="1796"/><c r="AY763" s="30"><v>64.2</v></c><c r="AZ763" s="31"><v>0.72299999999999998</v></c><c r="BA763" s="32"><v>722.8</v></c><c r="BF763" s="1775"/></row><row r="764" spans="28:58"><c r="AB764" s="1796"/><c r="AY764" s="30"><v>64.3</v></c><c r="AZ764" s="31"><v>0.72270000000000001</v></c><c r="BA764" s="32"><v>722.5</v></c><c r="BF764" s="1775"/></row><row r="765" spans="28:58"><c r="AB765" s="1796"/><c r="AY765" s="30"><v>64.400000000000006</v></c><c r="AZ765" s="31"><v>0.72230000000000005</v></c><c r="BA765" s="32"><v>722.1</v></c><c r="BF765" s="1775"/></row><row r="766" spans="28:58"><c r="AB766" s="1796"/><c r="AY766" s="30"><v>64.5</v></c><c r="AZ766" s="31"><v>0.72189999999999999</v></c><c r="BA766" s="32"><v>721.7</v></c><c r="BF766" s="1775"/></row><row r="767" spans="28:58"><c r="AB767" s="1796"/><c r="AY767" s="30"><v>64.599999999999994</v></c><c r="AZ767" s="31"><v>0.72160000000000002</v></c><c r="BA767" s="32"><v>721.4</v></c><c r="BF767" s="1775"/></row><row r="768" spans="28:58"><c r="AB768" s="1796"/><c r="AY768" s="30"><v>64.7</v></c><c r="AZ768" s="31"><v>0.72119999999999995</v></c><c r="BA768" s="32"><v>721</v></c><c r="BF768" s="1775"/></row><row r="769" spans="28:58"><c r="AB769" s="1796"/><c r="AY769" s="30"><v>64.8</v></c><c r="AZ769" s="31"><v>0.7208</v></c><c r="BA769" s="32"><v>720.6</v></c><c r="BF769" s="1775"/></row><row r="770" spans="28:58"><c r="AB770" s="1796"/><c r="AY770" s="30"><v>64.900000000000006</v></c><c r="AZ770" s="31"><v>0.72050000000000003</v></c><c r="BA770" s="32"><v>720.3</v></c><c r="BF770" s="1775"/></row><row r="771" spans="28:58"><c r="AB771" s="1796"/><c r="AY771" s="30"><v>65</v></c><c r="AZ771" s="31"><v>0.72009999999999996</v></c><c r="BA771" s="32"><v>719.9</v></c><c r="BF771" s="1775"/></row><row r="772" spans="28:58"><c r="AB772" s="1796"/><c r="AY772" s="30"><v>65.099999999999994</v></c><c r="AZ772" s="31"><v>0.71970000000000001</v></c><c r="BA772" s="32"><v>719.5</v></c><c r="BF772" s="1775"/></row><row r="773" spans="28:58"><c r="AB773" s="1796"/><c r="AY773" s="30"><v>65.2</v></c><c r="AZ773" s="31"><v>0.71940000000000004</v></c><c r="BA773" s="32"><v>719.2</v></c><c r="BF773" s="1775"/></row><row r="774" spans="28:58"><c r="AB774" s="1796"/><c r="AY774" s="30"><v>65.3</v></c><c r="AZ774" s="31"><v>0.71899999999999997</v></c><c r="BA774" s="32"><v>718.8</v></c><c r="BF774" s="1775"/></row><row r="775" spans="28:58"><c r="AB775" s="1796"/><c r="AY775" s="30"><v>65.400000000000006</v></c><c r="AZ775" s="31"><v>0.71860000000000002</v></c><c r="BA775" s="32"><v>718.4</v></c><c r="BF775" s="1775"/></row><row r="776" spans="28:58"><c r="AB776" s="1796"/><c r="AY776" s="30"><v>65.5</v></c><c r="AZ776" s="31"><v>0.71830000000000005</v></c><c r="BA776" s="32"><v>718.1</v></c><c r="BF776" s="1775"/></row><row r="777" spans="28:58"><c r="AB777" s="1796"/><c r="AY777" s="30"><v>65.599999999999994</v></c><c r="AZ777" s="31"><v>0.71789999999999998</v></c><c r="BA777" s="32"><v>717.7</v></c><c r="BF777" s="1775"/></row><row r="778" spans="28:58"><c r="AB778" s="1796"/><c r="AY778" s="30"><v>65.7</v></c><c r="AZ778" s="31"><v>0.71750000000000003</v></c><c r="BA778" s="32"><v>717.3</v></c><c r="BF778" s="1775"/></row><row r="779" spans="28:58"><c r="AB779" s="1796"/><c r="AY779" s="30"><v>65.8</v></c><c r="AZ779" s="31"><v>0.71719999999999995</v></c><c r="BA779" s="32"><v>717</v></c><c r="BF779" s="1775"/></row><row r="780" spans="28:58"><c r="AB780" s="1796"/><c r="AY780" s="30"><v>65.900000000000006</v></c><c r="AZ780" s="31"><v>0.71679999999999999</v></c><c r="BA780" s="32"><v>716.6</v></c><c r="BF780" s="1775"/></row><row r="781" spans="28:58"><c r="AB781" s="1796"/><c r="AY781" s="30"><v>66</v></c><c r="AZ781" s="31"><v>0.71650000000000003</v></c><c r="BA781" s="32"><v>716.3</v></c><c r="BF781" s="1775"/></row><row r="782" spans="28:58"><c r="AB782" s="1796"/><c r="AY782" s="30"><v>66.099999999999994</v></c><c r="AZ782" s="31"><v>0.71609999999999996</v></c><c r="BA782" s="32"><v>715.9</v></c><c r="BF782" s="1775"/></row><row r="783" spans="28:58"><c r="AB783" s="1796"/><c r="AY783" s="30"><v>66.2</v></c><c r="AZ783" s="31"><v>0.7157</v></c><c r="BA783" s="32"><v>715.5</v></c><c r="BF783" s="1775"/></row><row r="784" spans="28:58"><c r="AB784" s="1796"/><c r="AY784" s="30"><v>66.3</v></c><c r="AZ784" s="31"><v>0.71540000000000004</v></c><c r="BA784" s="32"><v>715.2</v></c><c r="BF784" s="1775"/></row><row r="785" spans="28:58"><c r="AB785" s="1796"/><c r="AY785" s="30"><v>66.400000000000006</v></c><c r="AZ785" s="31"><v>0.71499999999999997</v></c><c r="BA785" s="32"><v>714.8</v></c><c r="BF785" s="1775"/></row><row r="786" spans="28:58"><c r="AB786" s="1796"/><c r="AY786" s="30"><v>66.5</v></c><c r="AZ786" s="31"><v>0.71460000000000001</v></c><c r="BA786" s="32"><v>714.5</v></c><c r="BF786" s="1775"/></row><row r="787" spans="28:58"><c r="AB787" s="1796"/><c r="AY787" s="30"><v>66.599999999999994</v></c><c r="AZ787" s="31"><v>0.71430000000000005</v></c><c r="BA787" s="32"><v>714.1</v></c><c r="BF787" s="1775"/></row><row r="788" spans="28:58"><c r="AB788" s="1796"/><c r="AY788" s="30"><v>66.7</v></c><c r="AZ788" s="31"><v>0.71389999999999998</v></c><c r="BA788" s="32"><v>713.7</v></c><c r="BF788" s="1775"/></row><row r="789" spans="28:58"><c r="AB789" s="1796"/><c r="AY789" s="30"><v>66.8</v></c><c r="AZ789" s="31"><v>0.71360000000000001</v></c><c r="BA789" s="32"><v>713.4</v></c><c r="BF789" s="1775"/></row><row r="790" spans="28:58"><c r="AB790" s="1796"/><c r="AY790" s="30"><v>66.900000000000006</v></c><c r="AZ790" s="31"><v>0.71319999999999995</v></c><c r="BA790" s="32"><v>713</v></c><c r="BF790" s="1775"/></row><row r="791" spans="28:58"><c r="AB791" s="1796"/><c r="AY791" s="30"><v>67</v></c><c r="AZ791" s="31"><v>0.71279999999999999</v></c><c r="BA791" s="32"><v>712.7</v></c><c r="BF791" s="1775"/></row><row r="792" spans="28:58"><c r="AB792" s="1796"/><c r="AY792" s="30"><v>67.099999999999994</v></c><c r="AZ792" s="31"><v>0.71250000000000002</v></c><c r="BA792" s="32"><v>712.3</v></c><c r="BF792" s="1775"/></row><row r="793" spans="28:58"><c r="AB793" s="1796"/><c r="AY793" s="30"><v>67.2</v></c><c r="AZ793" s="31"><v>0.71209999999999996</v></c><c r="BA793" s="32"><v>711.9</v></c><c r="BF793" s="1775"/></row><row r="794" spans="28:58"><c r="AB794" s="1796"/><c r="AY794" s="30"><v>67.3</v></c><c r="AZ794" s="31"><v>0.71179999999999999</v></c><c r="BA794" s="32"><v>711.6</v></c><c r="BF794" s="1775"/></row><row r="795" spans="28:58"><c r="AB795" s="1796"/><c r="AY795" s="30"><v>67.400000000000006</v></c><c r="AZ795" s="31"><v>0.71140000000000003</v></c><c r="BA795" s="32"><v>711.2</v></c><c r="BF795" s="1775"/></row><row r="796" spans="28:58"><c r="AB796" s="1796"/><c r="AY796" s="30"><v>67.5</v></c><c r="AZ796" s="31"><v>0.71109999999999995</v></c><c r="BA796" s="32"><v>710.9</v></c><c r="BF796" s="1775"/></row><row r="797" spans="28:58"><c r="AB797" s="1796"/><c r="AY797" s="30"><v>67.599999999999994</v></c><c r="AZ797" s="31"><v>0.7107</v></c><c r="BA797" s="32"><v>710.5</v></c><c r="BF797" s="1775"/></row><row r="798" spans="28:58"><c r="AB798" s="1796"/><c r="AY798" s="30"><v>67.7</v></c><c r="AZ798" s="31"><v>0.71030000000000004</v></c><c r="BA798" s="32"><v>710.2</v></c><c r="BF798" s="1775"/></row><row r="799" spans="28:58"><c r="AB799" s="1796"/><c r="AY799" s="30"><v>67.8</v></c><c r="AZ799" s="31"><v>0.71</v></c><c r="BA799" s="32"><v>709.8</v></c><c r="BF799" s="1775"/></row><row r="800" spans="28:58"><c r="AB800" s="1796"/><c r="AY800" s="30"><v>67.900000000000006</v></c><c r="AZ800" s="31"><v>0.70960000000000001</v></c><c r="BA800" s="32"><v>709.4</v></c><c r="BF800" s="1775"/></row><row r="801" spans="28:58"><c r="AB801" s="1796"/><c r="AY801" s="30"><v>68</v></c><c r="AZ801" s="31"><v>0.70930000000000004</v></c><c r="BA801" s="32"><v>709.1</v></c><c r="BF801" s="1775"/></row><row r="802" spans="28:58"><c r="AB802" s="1796"/><c r="AY802" s="30"><v>68.099999999999994</v></c><c r="AZ802" s="31"><v>0.70889999999999997</v></c><c r="BA802" s="32"><v>708.7</v></c><c r="BF802" s="1775"/></row><row r="803" spans="28:58"><c r="AB803" s="1796"/><c r="AY803" s="30"><v>68.2</v></c><c r="AZ803" s="31"><v>0.70860000000000001</v></c><c r="BA803" s="32"><v>708.4</v></c><c r="BF803" s="1775"/></row><row r="804" spans="28:58"><c r="AB804" s="1796"/><c r="AY804" s="30"><v>68.3</v></c><c r="AZ804" s="31"><v>0.70820000000000005</v></c><c r="BA804" s="32"><v>708</v></c><c r="BF804" s="1775"/></row><row r="805" spans="28:58"><c r="AB805" s="1796"/><c r="AY805" s="30"><v>68.400000000000006</v></c><c r="AZ805" s="31"><v>0.70789999999999997</v></c><c r="BA805" s="32"><v>707.7</v></c><c r="BF805" s="1775"/></row><row r="806" spans="28:58"><c r="AB806" s="1796"/><c r="AY806" s="30"><v>68.5</v></c><c r="AZ806" s="31"><v>0.70750000000000002</v></c><c r="BA806" s="32"><v>707.3</v></c><c r="BF806" s="1775"/></row><row r="807" spans="28:58"><c r="AB807" s="1796"/><c r="AY807" s="30"><v>68.599999999999994</v></c><c r="AZ807" s="31"><v>0.70709999999999995</v></c><c r="BA807" s="32"><v>707</v></c><c r="BF807" s="1775"/></row><row r="808" spans="28:58"><c r="AB808" s="1796"/><c r="AY808" s="30"><v>68.7</v></c><c r="AZ808" s="31"><v>0.70679999999999998</v></c><c r="BA808" s="32"><v>706.6</v></c><c r="BF808" s="1775"/></row><row r="809" spans="28:58"><c r="AB809" s="1796"/><c r="AY809" s="30"><v>68.8</v></c><c r="AZ809" s="31"><v>0.70640000000000003</v></c><c r="BA809" s="32"><v>706.3</v></c><c r="BF809" s="1775"/></row><row r="810" spans="28:58"><c r="AB810" s="1796"/><c r="AY810" s="30"><v>68.900000000000006</v></c><c r="AZ810" s="31"><v>0.70609999999999995</v></c><c r="BA810" s="32"><v>705.9</v></c><c r="BF810" s="1775"/></row><row r="811" spans="28:58"><c r="AB811" s="1796"/><c r="AY811" s="30"><v>69</v></c><c r="AZ811" s="31"><v>0.70569999999999999</v></c><c r="BA811" s="32"><v>705.6</v></c><c r="BF811" s="1775"/></row><row r="812" spans="28:58"><c r="AB812" s="1796"/><c r="AY812" s="30"><v>69.099999999999994</v></c><c r="AZ812" s="31"><v>0.70540000000000003</v></c><c r="BA812" s="32"><v>705.2</v></c><c r="BF812" s="1775"/></row><row r="813" spans="28:58"><c r="AB813" s="1796"/><c r="AY813" s="30"><v>69.2</v></c><c r="AZ813" s="31"><v>0.70499999999999996</v></c><c r="BA813" s="32"><v>704.9</v></c><c r="BF813" s="1775"/></row><row r="814" spans="28:58"><c r="AB814" s="1796"/><c r="AY814" s="30"><v>69.3</v></c><c r="AZ814" s="31"><v>0.70469999999999999</v></c><c r="BA814" s="32"><v>704.5</v></c><c r="BF814" s="1775"/></row><row r="815" spans="28:58"><c r="AB815" s="1796"/><c r="AY815" s="30"><v>69.400000000000006</v></c><c r="AZ815" s="31"><v>0.70430000000000004</v></c><c r="BA815" s="32"><v>704.2</v></c><c r="BF815" s="1775"/></row><row r="816" spans="28:58"><c r="AB816" s="1796"/><c r="AY816" s="30"><v>69.5</v></c><c r="AZ816" s="31"><v>0.70399999999999996</v></c><c r="BA816" s="32"><v>703.8</v></c><c r="BF816" s="1775"/></row><row r="817" spans="28:58"><c r="AB817" s="1796"/><c r="AY817" s="30"><v>69.599999999999994</v></c><c r="AZ817" s="31"><v>0.7036</v></c><c r="BA817" s="32"><v>703.5</v></c><c r="BF817" s="1775"/></row><row r="818" spans="28:58"><c r="AB818" s="1796"/><c r="AY818" s="30"><v>69.7</v></c><c r="AZ818" s="31"><v>0.70330000000000004</v></c><c r="BA818" s="32"><v>703.1</v></c><c r="BF818" s="1775"/></row><row r="819" spans="28:58"><c r="AB819" s="1796"/><c r="AY819" s="30"><v>69.8</v></c><c r="AZ819" s="31"><v>0.70289999999999997</v></c><c r="BA819" s="32"><v>702.8</v></c><c r="BF819" s="1775"/></row><row r="820" spans="28:58"><c r="AB820" s="1796"/><c r="AY820" s="30"><v>69.900000000000006</v></c><c r="AZ820" s="31"><v>0.7026</v></c><c r="BA820" s="32"><v>702.4</v></c><c r="BF820" s="1775"/></row><row r="821" spans="28:58"><c r="AB821" s="1796"/><c r="AY821" s="30"><v>70</v></c><c r="AZ821" s="31"><v>0.70220000000000005</v></c><c r="BA821" s="32"><v>702.1</v></c><c r="BF821" s="1775"/></row><row r="822" spans="28:58"><c r="AB822" s="1796"/><c r="AY822" s="30"><v>70.099999999999994</v></c><c r="AZ822" s="31"><v>0.70189999999999997</v></c><c r="BA822" s="32"><v>701.7</v></c><c r="BF822" s="1775"/></row><row r="823" spans="28:58"><c r="AB823" s="1796"/><c r="AY823" s="30"><v>70.2</v></c><c r="AZ823" s="31"><v>0.70150000000000001</v></c><c r="BA823" s="32"><v>701.4</v></c><c r="BF823" s="1775"/></row><row r="824" spans="28:58"><c r="AB824" s="1796"/><c r="AY824" s="30"><v>70.3</v></c><c r="AZ824" s="31"><v>0.70120000000000005</v></c><c r="BA824" s="32"><v>701</v></c><c r="BF824" s="1775"/></row><row r="825" spans="28:58"><c r="AB825" s="1796"/><c r="AY825" s="30"><v>70.400000000000006</v></c><c r="AZ825" s="31"><v>0.70079999999999998</v></c><c r="BA825" s="32"><v>700.7</v></c><c r="BF825" s="1775"/></row><row r="826" spans="28:58"><c r="AB826" s="1796"/><c r="AY826" s="30"><v>70.5</v></c><c r="AZ826" s="31"><v>0.70050000000000001</v></c><c r="BA826" s="32"><v>700.3</v></c><c r="BF826" s="1775"/></row><row r="827" spans="28:58"><c r="AB827" s="1796"/><c r="AY827" s="30"><v>70.599999999999994</v></c><c r="AZ827" s="31"><v>0.70009999999999994</v></c><c r="BA827" s="32"><v>700</v></c><c r="BF827" s="1775"/></row><row r="828" spans="28:58"><c r="AB828" s="1796"/><c r="AY828" s="30"><v>70.7</v></c><c r="AZ828" s="31"><v>0.69979999999999998</v></c><c r="BA828" s="32"><v>699.6</v></c><c r="BF828" s="1775"/></row><row r="829" spans="28:58"><c r="AB829" s="1796"/><c r="AY829" s="30"><v>70.8</v></c><c r="AZ829" s="31"><v>0.69950000000000001</v></c><c r="BA829" s="32"><v>699.3</v></c><c r="BF829" s="1775"/></row><row r="830" spans="28:58"><c r="AB830" s="1796"/><c r="AY830" s="30"><v>70.900000000000006</v></c><c r="AZ830" s="31"><v>0.69910000000000005</v></c><c r="BA830" s="32"><v>698.9</v></c><c r="BF830" s="1775"/></row><row r="831" spans="28:58"><c r="AB831" s="1796"/><c r="AY831" s="30"><v>71</v></c><c r="AZ831" s="31"><v>0.69879999999999998</v></c><c r="BA831" s="32"><v>698.6</v></c><c r="BF831" s="1775"/></row><row r="832" spans="28:58"><c r="AB832" s="1796"/><c r="AY832" s="30"><v>71.099999999999994</v></c><c r="AZ832" s="31"><v>0.69840000000000002</v></c><c r="BA832" s="32"><v>698.2</v></c><c r="BF832" s="1775"/></row><row r="833" spans="28:58"><c r="AB833" s="1796"/><c r="AY833" s="30"><v>71.2</v></c><c r="AZ833" s="31"><v>0.69810000000000005</v></c><c r="BA833" s="32"><v>697.9</v></c><c r="BF833" s="1775"/></row><row r="834" spans="28:58"><c r="AB834" s="1796"/><c r="AY834" s="30"><v>71.3</v></c><c r="AZ834" s="31"><v>0.69769999999999999</v></c><c r="BA834" s="32"><v>697.6</v></c><c r="BF834" s="1775"/></row><row r="835" spans="28:58"><c r="AB835" s="1796"/><c r="AY835" s="30"><v>71.400000000000006</v></c><c r="AZ835" s="31"><v>0.69740000000000002</v></c><c r="BA835" s="32"><v>697.2</v></c><c r="BF835" s="1775"/></row><row r="836" spans="28:58"><c r="AB836" s="1796"/><c r="AY836" s="30"><v>71.5</v></c><c r="AZ836" s="31"><v>0.69699999999999995</v></c><c r="BA836" s="32"><v>696.9</v></c><c r="BF836" s="1775"/></row><row r="837" spans="28:58"><c r="AB837" s="1796"/><c r="AY837" s="30"><v>71.599999999999994</v></c><c r="AZ837" s="31"><v>0.69669999999999999</v></c><c r="BA837" s="32"><v>696.5</v></c><c r="BF837" s="1775"/></row><row r="838" spans="28:58"><c r="AB838" s="1796"/><c r="AY838" s="30"><v>71.7</v></c><c r="AZ838" s="31"><v>0.69640000000000002</v></c><c r="BA838" s="32"><v>696.2</v></c><c r="BF838" s="1775"/></row><row r="839" spans="28:58"><c r="AB839" s="1796"/><c r="AY839" s="30"><v>71.8</v></c><c r="AZ839" s="31"><v>0.69599999999999995</v></c><c r="BA839" s="32"><v>695.8</v></c><c r="BF839" s="1775"/></row><row r="840" spans="28:58"><c r="AB840" s="1796"/><c r="AY840" s="30"><v>71.900000000000006</v></c><c r="AZ840" s="31"><v>0.69569999999999999</v></c><c r="BA840" s="32"><v>695.5</v></c><c r="BF840" s="1775"/></row><row r="841" spans="28:58"><c r="AB841" s="1796"/><c r="AY841" s="30"><v>72</v></c><c r="AZ841" s="31"><v>0.69530000000000003</v></c><c r="BA841" s="32"><v>695.2</v></c><c r="BF841" s="1775"/></row><row r="842" spans="28:58"><c r="AB842" s="1796"/><c r="AY842" s="30"><v>72.099999999999994</v></c><c r="AZ842" s="31"><v>0.69499999999999995</v></c><c r="BA842" s="32"><v>694.8</v></c><c r="BF842" s="1775"/></row><row r="843" spans="28:58"><c r="AB843" s="1796"/><c r="AY843" s="30"><v>72.2</v></c><c r="AZ843" s="31"><v>0.6946</v></c><c r="BA843" s="32"><v>694.5</v></c><c r="BF843" s="1775"/></row><row r="844" spans="28:58"><c r="AB844" s="1796"/><c r="AY844" s="30"><v>72.3</v></c><c r="AZ844" s="31"><v>0.69430000000000003</v></c><c r="BA844" s="32"><v>694.1</v></c><c r="BF844" s="1775"/></row><row r="845" spans="28:58"><c r="AB845" s="1796"/><c r="AY845" s="30"><v>72.400000000000006</v></c><c r="AZ845" s="31"><v>0.69399999999999995</v></c><c r="BA845" s="32"><v>693.8</v></c><c r="BF845" s="1775"/></row><row r="846" spans="28:58"><c r="AB846" s="1796"/><c r="AY846" s="30"><v>72.5</v></c><c r="AZ846" s="31"><v>0.69359999999999999</v></c><c r="BA846" s="32"><v>693.5</v></c><c r="BF846" s="1775"/></row><row r="847" spans="28:58"><c r="AB847" s="1796"/><c r="AY847" s="30"><v>72.599999999999994</v></c><c r="AZ847" s="31"><v>0.69330000000000003</v></c><c r="BA847" s="32"><v>693.1</v></c><c r="BF847" s="1775"/></row><row r="848" spans="28:58"><c r="AB848" s="1796"/><c r="AY848" s="30"><v>72.7</v></c><c r="AZ848" s="31"><v>0.69289999999999996</v></c><c r="BA848" s="32"><v>692.8</v></c><c r="BF848" s="1775"/></row><row r="849" spans="28:58"><c r="AB849" s="1796"/><c r="AY849" s="30"><v>72.8</v></c><c r="AZ849" s="31"><v>0.69259999999999999</v></c><c r="BA849" s="32"><v>692.4</v></c><c r="BF849" s="1775"/></row><row r="850" spans="28:58"><c r="AB850" s="1796"/><c r="AY850" s="30"><v>72.900000000000006</v></c><c r="AZ850" s="31"><v>0.69230000000000003</v></c><c r="BA850" s="32"><v>692.1</v></c><c r="BF850" s="1775"/></row><row r="851" spans="28:58"><c r="AB851" s="1796"/><c r="AY851" s="30"><v>73</v></c><c r="AZ851" s="31"><v>0.69189999999999996</v></c><c r="BA851" s="32"><v>691.8</v></c><c r="BF851" s="1775"/></row><row r="852" spans="28:58"><c r="AB852" s="1796"/><c r="AY852" s="30"><v>73.099999999999994</v></c><c r="AZ852" s="31"><v>0.69159999999999999</v></c><c r="BA852" s="32"><v>691.4</v></c><c r="BF852" s="1775"/></row><row r="853" spans="28:58"><c r="AB853" s="1796"/><c r="AY853" s="30"><v>73.2</v></c><c r="AZ853" s="31"><v>0.69130000000000003</v></c><c r="BA853" s="32"><v>691.1</v></c><c r="BF853" s="1775"/></row><row r="854" spans="28:58"><c r="AB854" s="1796"/><c r="AY854" s="30"><v>73.3</v></c><c r="AZ854" s="31"><v>0.69089999999999996</v></c><c r="BA854" s="32"><v>690.8</v></c><c r="BF854" s="1775"/></row><row r="855" spans="28:58"><c r="AB855" s="1796"/><c r="AY855" s="30"><v>73.400000000000006</v></c><c r="AZ855" s="31"><v>0.69059999999999999</v></c><c r="BA855" s="32"><v>690.4</v></c><c r="BF855" s="1775"/></row><row r="856" spans="28:58"><c r="AB856" s="1796"/><c r="AY856" s="30"><v>73.5</v></c><c r="AZ856" s="31"><v>0.69020000000000004</v></c><c r="BA856" s="32"><v>690.1</v></c><c r="BF856" s="1775"/></row><row r="857" spans="28:58"><c r="AB857" s="1796"/><c r="AY857" s="30"><v>73.599999999999994</v></c><c r="AZ857" s="31"><v>0.68989999999999996</v></c><c r="BA857" s="32"><v>689.7</v></c><c r="BF857" s="1775"/></row><row r="858" spans="28:58"><c r="AB858" s="1796"/><c r="AY858" s="30"><v>73.7</v></c><c r="AZ858" s="31"><v>0.68959999999999999</v></c><c r="BA858" s="32"><v>689.4</v></c><c r="BF858" s="1775"/></row><row r="859" spans="28:58"><c r="AB859" s="1796"/><c r="AY859" s="30"><v>73.8</v></c><c r="AZ859" s="31"><v>0.68920000000000003</v></c><c r="BA859" s="32"><v>689.1</v></c><c r="BF859" s="1775"/></row><row r="860" spans="28:58"><c r="AB860" s="1796"/><c r="AY860" s="30"><v>73.900000000000006</v></c><c r="AZ860" s="31"><v>0.68889999999999996</v></c><c r="BA860" s="32"><v>688.7</v></c><c r="BF860" s="1775"/></row><row r="861" spans="28:58"><c r="AB861" s="1796"/><c r="AY861" s="30"><v>74</v></c><c r="AZ861" s="31"><v>0.68859999999999999</v></c><c r="BA861" s="32"><v>688.4</v></c><c r="BF861" s="1775"/></row><row r="862" spans="28:58"><c r="AB862" s="1796"/><c r="AY862" s="30"><v>74.099999999999994</v></c><c r="AZ862" s="31"><v>0.68820000000000003</v></c><c r="BA862" s="32"><v>688.1</v></c><c r="BF862" s="1775"/></row><row r="863" spans="28:58"><c r="AB863" s="1796"/><c r="AY863" s="30"><v>74.2</v></c><c r="AZ863" s="31"><v>0.68789999999999996</v></c><c r="BA863" s="32"><v>687.7</v></c><c r="BF863" s="1775"/></row><row r="864" spans="28:58"><c r="AB864" s="1796"/><c r="AY864" s="30"><v>74.3</v></c><c r="AZ864" s="31"><v>0.68759999999999999</v></c><c r="BA864" s="32"><v>687.4</v></c><c r="BF864" s="1775"/></row><row r="865" spans="28:58"><c r="AB865" s="1796"/><c r="AY865" s="30"><v>74.400000000000006</v></c><c r="AZ865" s="31"><v>0.68720000000000003</v></c><c r="BA865" s="32"><v>687.1</v></c><c r="BF865" s="1775"/></row><row r="866" spans="28:58"><c r="AB866" s="1796"/><c r="AY866" s="30"><v>74.5</v></c><c r="AZ866" s="31"><v>0.68689999999999996</v></c><c r="BA866" s="32"><v>686.7</v></c><c r="BF866" s="1775"/></row><row r="867" spans="28:58"><c r="AB867" s="1796"/><c r="AY867" s="30"><v>74.599999999999994</v></c><c r="AZ867" s="31"><v>0.68659999999999999</v></c><c r="BA867" s="32"><v>686.4</v></c><c r="BF867" s="1775"/></row><row r="868" spans="28:58"><c r="AB868" s="1796"/><c r="AY868" s="30"><v>74.7</v></c><c r="AZ868" s="31"><v>0.68620000000000003</v></c><c r="BA868" s="32"><v>686.1</v></c><c r="BF868" s="1775"/></row><row r="869" spans="28:58"><c r="AB869" s="1796"/><c r="AY869" s="30"><v>74.8</v></c><c r="AZ869" s="31"><v>0.68589999999999995</v></c><c r="BA869" s="32"><v>685.7</v></c><c r="BF869" s="1775"/></row><row r="870" spans="28:58"><c r="AB870" s="1796"/><c r="AY870" s="30"><v>74.900000000000006</v></c><c r="AZ870" s="31"><v>0.68559999999999999</v></c><c r="BA870" s="32"><v>685.4</v></c><c r="BF870" s="1775"/></row><row r="871" spans="28:58"><c r="AB871" s="1796"/><c r="AY871" s="30"><v>75</v></c><c r="AZ871" s="31"><v>0.68520000000000003</v></c><c r="BA871" s="32"><v>685.1</v></c><c r="BF871" s="1775"/></row><row r="872" spans="28:58"><c r="AB872" s="1796"/><c r="AY872" s="30"><v>75.099999999999994</v></c><c r="AZ872" s="31"><v>0.68489999999999995</v></c><c r="BA872" s="32"><v>684.7</v></c><c r="BF872" s="1775"/></row><row r="873" spans="28:58"><c r="AB873" s="1796"/><c r="AY873" s="30"><v>75.2</v></c><c r="AZ873" s="31"><v>0.68459999999999999</v></c><c r="BA873" s="32"><v>684.4</v></c><c r="BF873" s="1775"/></row><row r="874" spans="28:58"><c r="AB874" s="1796"/><c r="AY874" s="30"><v>75.3</v></c><c r="AZ874" s="31"><v>0.68420000000000003</v></c><c r="BA874" s="32"><v>684.1</v></c><c r="BF874" s="1775"/></row><row r="875" spans="28:58"><c r="AB875" s="1796"/><c r="AY875" s="30"><v>75.400000000000006</v></c><c r="AZ875" s="31"><v>0.68389999999999995</v></c><c r="BA875" s="32"><v>683.8</v></c><c r="BF875" s="1775"/></row><row r="876" spans="28:58"><c r="AB876" s="1796"/><c r="AY876" s="30"><v>75.5</v></c><c r="AZ876" s="31"><v>0.68359999999999999</v></c><c r="BA876" s="32"><v>683.4</v></c><c r="BF876" s="1775"/></row><row r="877" spans="28:58"><c r="AB877" s="1796"/><c r="AY877" s="30"><v>75.599999999999994</v></c><c r="AZ877" s="31"><v>0.68320000000000003</v></c><c r="BA877" s="32"><v>683.1</v></c><c r="BF877" s="1775"/></row><row r="878" spans="28:58"><c r="AB878" s="1796"/><c r="AY878" s="30"><v>75.7</v></c><c r="AZ878" s="31"><v>0.68289999999999995</v></c><c r="BA878" s="32"><v>682.8</v></c><c r="BF878" s="1775"/></row><row r="879" spans="28:58"><c r="AB879" s="1796"/><c r="AY879" s="30"><v>75.8</v></c><c r="AZ879" s="31"><v>0.68259999999999998</v></c><c r="BA879" s="32"><v>682.4</v></c><c r="BF879" s="1775"/></row><row r="880" spans="28:58"><c r="AB880" s="1796"/><c r="AY880" s="30"><v>75.900000000000006</v></c><c r="AZ880" s="31"><v>0.68230000000000002</v></c><c r="BA880" s="32"><v>682.1</v></c><c r="BF880" s="1775"/></row><row r="881" spans="28:58"><c r="AB881" s="1796"/><c r="AY881" s="30"><v>76</v></c><c r="AZ881" s="31"><v>0.68189999999999995</v></c><c r="BA881" s="32"><v>681.8</v></c><c r="BF881" s="1775"/></row><row r="882" spans="28:58"><c r="AB882" s="1796"/><c r="AY882" s="30"><v>76.099999999999994</v></c><c r="AZ882" s="31"><v>0.68159999999999998</v></c><c r="BA882" s="32"><v>681.5</v></c><c r="BF882" s="1775"/></row><row r="883" spans="28:58"><c r="AB883" s="1796"/><c r="AY883" s="30"><v>76.2</v></c><c r="AZ883" s="31"><v>0.68130000000000002</v></c><c r="BA883" s="32"><v>681.1</v></c><c r="BF883" s="1775"/></row><row r="884" spans="28:58"><c r="AB884" s="1796"/><c r="AY884" s="30"><v>76.3</v></c><c r="AZ884" s="31"><v>0.68089999999999995</v></c><c r="BA884" s="32"><v>680.8</v></c><c r="BF884" s="1775"/></row><row r="885" spans="28:58"><c r="AB885" s="1796"/><c r="AY885" s="30"><v>76.400000000000006</v></c><c r="AZ885" s="31"><v>0.68059999999999998</v></c><c r="BA885" s="32"><v>680.5</v></c><c r="BF885" s="1775"/></row><row r="886" spans="28:58"><c r="AB886" s="1796"/><c r="AY886" s="30"><v>76.5</v></c><c r="AZ886" s="31"><v>0.68030000000000002</v></c><c r="BA886" s="32"><v>680.1</v></c><c r="BF886" s="1775"/></row><row r="887" spans="28:58"><c r="AB887" s="1796"/><c r="AY887" s="30"><v>76.599999999999994</v></c><c r="AZ887" s="31"><v>0.68</v></c><c r="BA887" s="32"><v>679.8</v></c><c r="BF887" s="1775"/></row><row r="888" spans="28:58"><c r="AB888" s="1796"/><c r="AY888" s="30"><v>76.7</v></c><c r="AZ888" s="31"><v>0.67959999999999998</v></c><c r="BA888" s="32"><v>679.5</v></c><c r="BF888" s="1775"/></row><row r="889" spans="28:58"><c r="AB889" s="1796"/><c r="AY889" s="30"><v>76.8</v></c><c r="AZ889" s="31"><v>0.67930000000000001</v></c><c r="BA889" s="32"><v>679.2</v></c><c r="BF889" s="1775"/></row><row r="890" spans="28:58"><c r="AB890" s="1796"/><c r="AY890" s="30"><v>76.900000000000006</v></c><c r="AZ890" s="31"><v>0.67900000000000005</v></c><c r="BA890" s="32"><v>678.8</v></c><c r="BF890" s="1775"/></row><row r="891" spans="28:58"><c r="AB891" s="1796"/><c r="AY891" s="30"><v>77</v></c><c r="AZ891" s="31"><v>0.67869999999999997</v></c><c r="BA891" s="32"><v>678.5</v></c><c r="BF891" s="1775"/></row><row r="892" spans="28:58"><c r="AB892" s="1796"/><c r="AY892" s="30"><v>77.099999999999994</v></c><c r="AZ892" s="31"><v>0.67830000000000001</v></c><c r="BA892" s="32"><v>678.2</v></c><c r="BF892" s="1775"/></row><row r="893" spans="28:58"><c r="AB893" s="1796"/><c r="AY893" s="30"><v>77.2</v></c><c r="AZ893" s="31"><v>0.67800000000000005</v></c><c r="BA893" s="32"><v>677.9</v></c><c r="BF893" s="1775"/></row><row r="894" spans="28:58"><c r="AB894" s="1796"/><c r="AY894" s="30"><v>77.3</v></c><c r="AZ894" s="31"><v>0.67769999999999997</v></c><c r="BA894" s="32"><v>677.5</v></c><c r="BF894" s="1775"/></row><row r="895" spans="28:58"><c r="AB895" s="1796"/><c r="AY895" s="30"><v>77.400000000000006</v></c><c r="AZ895" s="31"><v>0.6774</v></c><c r="BA895" s="32"><v>677.2</v></c><c r="BF895" s="1775"/></row><row r="896" spans="28:58"><c r="AB896" s="1796"/><c r="AY896" s="30"><v>77.5</v></c><c r="AZ896" s="31"><v>0.67700000000000005</v></c><c r="BA896" s="32"><v>676.9</v></c><c r="BF896" s="1775"/></row><row r="897" spans="28:58"><c r="AB897" s="1796"/><c r="AY897" s="30"><v>77.599999999999994</v></c><c r="AZ897" s="31"><v>0.67669999999999997</v></c><c r="BA897" s="32"><v>676.6</v></c><c r="BF897" s="1775"/></row><row r="898" spans="28:58"><c r="AB898" s="1796"/><c r="AY898" s="30"><v>77.7</v></c><c r="AZ898" s="31"><v>0.6764</v></c><c r="BA898" s="32"><v>676.2</v></c><c r="BF898" s="1775"/></row><row r="899" spans="28:58"><c r="AB899" s="1796"/><c r="AY899" s="30"><v>77.8</v></c><c r="AZ899" s="31"><v>0.67610000000000003</v></c><c r="BA899" s="32"><v>675.9</v></c><c r="BF899" s="1775"/></row><row r="900" spans="28:58"><c r="AB900" s="1796"/><c r="AY900" s="30"><v>77.900000000000006</v></c><c r="AZ900" s="31"><v>0.67569999999999997</v></c><c r="BA900" s="32"><v>675.6</v></c><c r="BF900" s="1775"/></row><row r="901" spans="28:58"><c r="AB901" s="1796"/><c r="AY901" s="30"><v>78</v></c><c r="AZ901" s="31"><v>0.6754</v></c><c r="BA901" s="32"><v>675.3</v></c><c r="BF901" s="1775"/></row><row r="902" spans="28:58"><c r="AB902" s="1796"/><c r="AY902" s="30"><v>78.099999999999994</v></c><c r="AZ902" s="31"><v>0.67510000000000003</v></c><c r="BA902" s="32"><v>675</v></c><c r="BF902" s="1775"/></row><row r="903" spans="28:58"><c r="AB903" s="1796"/><c r="AY903" s="30"><v>78.2</v></c><c r="AZ903" s="31"><v>0.67479999999999996</v></c><c r="BA903" s="32"><v>674.6</v></c><c r="BF903" s="1775"/></row><row r="904" spans="28:58"><c r="AB904" s="1796"/><c r="AY904" s="30"><v>78.3</v></c><c r="AZ904" s="31"><v>0.67449999999999999</v></c><c r="BA904" s="32"><v>674.3</v></c><c r="BF904" s="1775"/></row><row r="905" spans="28:58"><c r="AB905" s="1796"/><c r="AY905" s="30"><v>78.400000000000006</v></c><c r="AZ905" s="31"><v>0.67410000000000003</v></c><c r="BA905" s="32"><v>674</v></c><c r="BF905" s="1775"/></row><row r="906" spans="28:58"><c r="AB906" s="1796"/><c r="AY906" s="30"><v>78.5</v></c><c r="AZ906" s="31"><v>0.67379999999999995</v></c><c r="BA906" s="32"><v>673.7</v></c><c r="BF906" s="1775"/></row><row r="907" spans="28:58"><c r="AB907" s="1796"/><c r="AY907" s="30"><v>78.599999999999994</v></c><c r="AZ907" s="31"><v>0.67349999999999999</v></c><c r="BA907" s="32"><v>673.4</v></c><c r="BF907" s="1775"/></row><row r="908" spans="28:58"><c r="AB908" s="1796"/><c r="AY908" s="30"><v>78.7</v></c><c r="AZ908" s="31"><v>0.67320000000000002</v></c><c r="BA908" s="32"><v>673</v></c><c r="BF908" s="1775"/></row><row r="909" spans="28:58"><c r="AB909" s="1796"/><c r="AY909" s="30"><v>78.8</v></c><c r="AZ909" s="31"><v>0.67279999999999995</v></c><c r="BA909" s="32"><v>672.7</v></c><c r="BF909" s="1775"/></row><row r="910" spans="28:58"><c r="AB910" s="1796"/><c r="AY910" s="30"><v>78.900000000000006</v></c><c r="AZ910" s="31"><v>0.67249999999999999</v></c><c r="BA910" s="32"><v>672.4</v></c><c r="BF910" s="1775"/></row><row r="911" spans="28:58"><c r="AB911" s="1796"/><c r="AY911" s="30"><v>79</v></c><c r="AZ911" s="31"><v>0.67220000000000002</v></c><c r="BA911" s="32"><v>672.1</v></c><c r="BF911" s="1775"/></row><row r="912" spans="28:58"><c r="AB912" s="1796"/><c r="AY912" s="30"><v>79.099999999999994</v></c><c r="AZ912" s="31"><v>0.67190000000000005</v></c><c r="BA912" s="32"><v>671.8</v></c><c r="BF912" s="1775"/></row><row r="913" spans="28:58"><c r="AB913" s="1796"/><c r="AY913" s="30"><v>79.2</v></c><c r="AZ913" s="31"><v>0.67159999999999997</v></c><c r="BA913" s="32"><v>671.4</v></c><c r="BF913" s="1775"/></row><row r="914" spans="28:58"><c r="AB914" s="1796"/><c r="AY914" s="30"><v>79.3</v></c><c r="AZ914" s="31"><v>0.67130000000000001</v></c><c r="BA914" s="32"><v>671.1</v></c><c r="BF914" s="1775"/></row><row r="915" spans="28:58"><c r="AB915" s="1796"/><c r="AY915" s="30"><v>79.400000000000006</v></c><c r="AZ915" s="31"><v>0.67090000000000005</v></c><c r="BA915" s="32"><v>670.8</v></c><c r="BF915" s="1775"/></row><row r="916" spans="28:58"><c r="AB916" s="1796"/><c r="AY916" s="30"><v>79.5</v></c><c r="AZ916" s="31"><v>0.67059999999999997</v></c><c r="BA916" s="32"><v>670.5</v></c><c r="BF916" s="1775"/></row><row r="917" spans="28:58"><c r="AB917" s="1796"/><c r="AY917" s="30"><v>79.599999999999994</v></c><c r="AZ917" s="31"><v>0.67030000000000001</v></c><c r="BA917" s="32"><v>670.2</v></c><c r="BF917" s="1775"/></row><row r="918" spans="28:58"><c r="AB918" s="1796"/><c r="AY918" s="30"><v>79.7</v></c><c r="AZ918" s="31"><v>0.67</v></c><c r="BA918" s="32"><v>669.9</v></c><c r="BF918" s="1775"/></row><row r="919" spans="28:58"><c r="AB919" s="1796"/><c r="AY919" s="30"><v>79.8</v></c><c r="AZ919" s="31"><v>0.66969999999999996</v></c><c r="BA919" s="32"><v>669.5</v></c><c r="BF919" s="1775"/></row><row r="920" spans="28:58"><c r="AB920" s="1796"/><c r="AY920" s="30"><v>79.900000000000006</v></c><c r="AZ920" s="31"><v>0.66930000000000001</v></c><c r="BA920" s="32"><v>669.2</v></c><c r="BF920" s="1775"/></row><row r="921" spans="28:58"><c r="AB921" s="1796"/><c r="AY921" s="30"><v>80</v></c><c r="AZ921" s="31"><v>0.66900000000000004</v></c><c r="BA921" s="32"><v>668.9</v></c><c r="BF921" s="1775"/></row><row r="922" spans="28:58"><c r="AB922" s="1796"/><c r="AY922" s="30"><v>80.099999999999994</v></c><c r="AZ922" s="31"><v>0.66869999999999996</v></c><c r="BA922" s="32"><v>668.6</v></c><c r="BF922" s="1775"/></row><row r="923" spans="28:58"><c r="AB923" s="1796"/><c r="AY923" s="30"><v>80.2</v></c><c r="AZ923" s="31"><v>0.66839999999999999</v></c><c r="BA923" s="32"><v>668.3</v></c><c r="BF923" s="1775"/></row><row r="924" spans="28:58"><c r="AB924" s="1796"/><c r="AY924" s="30"><v>80.3</v></c><c r="AZ924" s="31"><v>0.66810000000000003</v></c><c r="BA924" s="32"><v>668</v></c><c r="BF924" s="1775"/></row><row r="925" spans="28:58"><c r="AB925" s="1796"/><c r="AY925" s="30"><v>80.400000000000006</v></c><c r="AZ925" s="31"><v>0.66779999999999995</v></c><c r="BA925" s="32"><v>667.6</v></c><c r="BF925" s="1775"/></row><row r="926" spans="28:58"><c r="AB926" s="1796"/><c r="AY926" s="30"><v>80.5</v></c><c r="AZ926" s="31"><v>0.66749999999999998</v></c><c r="BA926" s="32"><v>667.3</v></c><c r="BF926" s="1775"/></row><row r="927" spans="28:58"><c r="AB927" s="1796"/><c r="AY927" s="30"><v>80.599999999999994</v></c><c r="AZ927" s="31"><v>0.66710000000000003</v></c><c r="BA927" s="32"><v>667</v></c><c r="BF927" s="1775"/></row><row r="928" spans="28:58"><c r="AB928" s="1796"/><c r="AY928" s="30"><v>80.7</v></c><c r="AZ928" s="31"><v>0.66679999999999995</v></c><c r="BA928" s="32"><v>666.7</v></c><c r="BF928" s="1775"/></row><row r="929" spans="28:58"><c r="AB929" s="1796"/><c r="AY929" s="30"><v>80.8</v></c><c r="AZ929" s="31"><v>0.66649999999999998</v></c><c r="BA929" s="32"><v>666.4</v></c><c r="BF929" s="1775"/></row><row r="930" spans="28:58"><c r="AB930" s="1796"/><c r="AY930" s="30"><v>80.900000000000006</v></c><c r="AZ930" s="31"><v>0.66620000000000001</v></c><c r="BA930" s="32"><v>666.1</v></c><c r="BF930" s="1775"/></row><row r="931" spans="28:58"><c r="AB931" s="1796"/><c r="AY931" s="30"><v>81</v></c><c r="AZ931" s="31"><v>0.66590000000000005</v></c><c r="BA931" s="32"><v>665.8</v></c><c r="BF931" s="1775"/></row><row r="932" spans="28:58"><c r="AB932" s="1796"/><c r="AY932" s="30"><v>81.099999999999994</v></c><c r="AZ932" s="31"><v>0.66559999999999997</v></c><c r="BA932" s="32"><v>665.4</v></c><c r="BF932" s="1775"/></row><row r="933" spans="28:58"><c r="AB933" s="1796"/><c r="AY933" s="30"><v>81.2</v></c><c r="AZ933" s="31"><v>0.6653</v></c><c r="BA933" s="32"><v>665.1</v></c><c r="BF933" s="1775"/></row><row r="934" spans="28:58"><c r="AB934" s="1796"/><c r="AY934" s="30"><v>81.3</v></c><c r="AZ934" s="31"><v>0.66490000000000005</v></c><c r="BA934" s="32"><v>664.8</v></c><c r="BF934" s="1775"/></row><row r="935" spans="28:58"><c r="AB935" s="1796"/><c r="AY935" s="30"><v>81.400000000000006</v></c><c r="AZ935" s="31"><v>0.66459999999999997</v></c><c r="BA935" s="32"><v>664.5</v></c><c r="BF935" s="1775"/></row><row r="936" spans="28:58"><c r="AB936" s="1796"/><c r="AY936" s="30"><v>81.5</v></c><c r="AZ936" s="31"><v>0.6643</v></c><c r="BA936" s="32"><v>664.2</v></c><c r="BF936" s="1775"/></row><row r="937" spans="28:58"><c r="AB937" s="1796"/><c r="AY937" s="30"><v>81.599999999999994</v></c><c r="AZ937" s="31"><v>0.66400000000000003</v></c><c r="BA937" s="32"><v>663.9</v></c><c r="BF937" s="1775"/></row><row r="938" spans="28:58"><c r="AB938" s="1796"/><c r="AY938" s="30"><v>81.7</v></c><c r="AZ938" s="31"><v>0.66369999999999996</v></c><c r="BA938" s="32"><v>663.6</v></c><c r="BF938" s="1775"/></row><row r="939" spans="28:58"><c r="AB939" s="1796"/><c r="AY939" s="30"><v>81.8</v></c><c r="AZ939" s="31"><v>0.66339999999999999</v></c><c r="BA939" s="32"><v>663.3</v></c><c r="BF939" s="1775"/></row><row r="940" spans="28:58"><c r="AB940" s="1796"/><c r="AY940" s="30"><v>81.900000000000006</v></c><c r="AZ940" s="31"><v>0.66310000000000002</v></c><c r="BA940" s="32"><v>663</v></c><c r="BF940" s="1775"/></row><row r="941" spans="28:58"><c r="AB941" s="1796"/><c r="AY941" s="30"><v>82</v></c><c r="AZ941" s="31"><v>0.66279999999999994</v></c><c r="BA941" s="32"><v>662.6</v></c><c r="BF941" s="1775"/></row><row r="942" spans="28:58"><c r="AB942" s="1796"/><c r="AY942" s="30"><v>82.1</v></c><c r="AZ942" s="31"><v>0.66249999999999998</v></c><c r="BA942" s="32"><v>662.3</v></c><c r="BF942" s="1775"/></row><row r="943" spans="28:58"><c r="AB943" s="1796"/><c r="AY943" s="30"><v>82.2</v></c><c r="AZ943" s="31"><v>0.66210000000000002</v></c><c r="BA943" s="32"><v>662</v></c><c r="BF943" s="1775"/></row><row r="944" spans="28:58"><c r="AB944" s="1796"/><c r="AY944" s="30"><v>82.3</v></c><c r="AZ944" s="31"><v>0.66180000000000005</v></c><c r="BA944" s="32"><v>661.7</v></c><c r="BF944" s="1775"/></row><row r="945" spans="28:58"><c r="AB945" s="1796"/><c r="AY945" s="30"><v>82.4</v></c><c r="AZ945" s="31"><v>0.66149999999999998</v></c><c r="BA945" s="32"><v>661.4</v></c><c r="BF945" s="1775"/></row><row r="946" spans="28:58"><c r="AB946" s="1796"/><c r="AY946" s="30"><v>82.5</v></c><c r="AZ946" s="31"><v>0.66120000000000001</v></c><c r="BA946" s="32"><v>661.1</v></c><c r="BF946" s="1775"/></row><row r="947" spans="28:58"><c r="AB947" s="1796"/><c r="AY947" s="30"><v>82.6</v></c><c r="AZ947" s="31"><v>0.66090000000000004</v></c><c r="BA947" s="32"><v>660.8</v></c><c r="BF947" s="1775"/></row><row r="948" spans="28:58"><c r="AB948" s="1796"/><c r="AY948" s="30"><v>82.7</v></c><c r="AZ948" s="31"><v>0.66059999999999997</v></c><c r="BA948" s="32"><v>660.5</v></c><c r="BF948" s="1775"/></row><row r="949" spans="28:58"><c r="AB949" s="1796"/><c r="AY949" s="30"><v>82.8</v></c><c r="AZ949" s="31"><v>0.6603</v></c><c r="BA949" s="32"><v>660.2</v></c><c r="BF949" s="1775"/></row><row r="950" spans="28:58"><c r="AB950" s="1796"/><c r="AY950" s="30"><v>82.9</v></c><c r="AZ950" s="31"><v>0.66</v></c><c r="BA950" s="32"><v>659.9</v></c><c r="BF950" s="1775"/></row><row r="951" spans="28:58"><c r="AB951" s="1796"/><c r="AY951" s="30"><v>83</v></c><c r="AZ951" s="31"><v>0.65969999999999995</v></c><c r="BA951" s="32"><v>659.6</v></c><c r="BF951" s="1775"/></row><row r="952" spans="28:58"><c r="AB952" s="1796"/><c r="AY952" s="30"><v>83.1</v></c><c r="AZ952" s="31"><v>0.65939999999999999</v></c><c r="BA952" s="32"><v>659.3</v></c><c r="BF952" s="1775"/></row><row r="953" spans="28:58"><c r="AB953" s="1796"/><c r="AY953" s="30"><v>83.2</v></c><c r="AZ953" s="31"><v>0.65910000000000002</v></c><c r="BA953" s="32"><v>658.9</v></c><c r="BF953" s="1775"/></row><row r="954" spans="28:58"><c r="AB954" s="1796"/><c r="AY954" s="30"><v>83.3</v></c><c r="AZ954" s="31"><v>0.65880000000000005</v></c><c r="BA954" s="32"><v>658.6</v></c><c r="BF954" s="1775"/></row><row r="955" spans="28:58"><c r="AB955" s="1796"/><c r="AY955" s="30"><v>83.4</v></c><c r="AZ955" s="31"><v>0.65839999999999999</v></c><c r="BA955" s="32"><v>658.3</v></c><c r="BF955" s="1775"/></row><row r="956" spans="28:58"><c r="AB956" s="1796"/><c r="AY956" s="30"><v>83.5</v></c><c r="AZ956" s="31"><v>0.65810000000000002</v></c><c r="BA956" s="32"><v>658</v></c><c r="BF956" s="1775"/></row><row r="957" spans="28:58"><c r="AB957" s="1796"/><c r="AY957" s="30"><v>83.6</v></c><c r="AZ957" s="31"><v>0.65780000000000005</v></c><c r="BA957" s="32"><v>657.7</v></c><c r="BF957" s="1775"/></row><row r="958" spans="28:58"><c r="AB958" s="1796"/><c r="AY958" s="30"><v>83.7</v></c><c r="AZ958" s="31"><v>0.65749999999999997</v></c><c r="BA958" s="32"><v>657.4</v></c><c r="BF958" s="1775"/></row><row r="959" spans="28:58"><c r="AB959" s="1796"/><c r="AY959" s="30"><v>83.8</v></c><c r="AZ959" s="31"><v>0.65720000000000001</v></c><c r="BA959" s="32"><v>657.1</v></c><c r="BF959" s="1775"/></row><row r="960" spans="28:58"><c r="AB960" s="1796"/><c r="AY960" s="30"><v>83.9</v></c><c r="AZ960" s="31"><v>0.65690000000000004</v></c><c r="BA960" s="32"><v>656.8</v></c><c r="BF960" s="1775"/></row><row r="961" spans="28:58"><c r="AB961" s="1796"/><c r="AY961" s="30"><v>84</v></c><c r="AZ961" s="31"><v>0.65659999999999996</v></c><c r="BA961" s="32"><v>656.5</v></c><c r="BF961" s="1775"/></row><row r="962" spans="28:58"><c r="AB962" s="1796"/><c r="AY962" s="30"><v>84.1</v></c><c r="AZ962" s="31"><v>0.65629999999999999</v></c><c r="BA962" s="32"><v>656.2</v></c><c r="BF962" s="1775"/></row><row r="963" spans="28:58"><c r="AB963" s="1796"/><c r="AY963" s="30"><v>84.2</v></c><c r="AZ963" s="31"><v>0.65600000000000003</v></c><c r="BA963" s="32"><v>655.9</v></c><c r="BF963" s="1775"/></row><row r="964" spans="28:58"><c r="AB964" s="1796"/><c r="AY964" s="30"><v>84.3</v></c><c r="AZ964" s="31"><v>0.65569999999999995</v></c><c r="BA964" s="32"><v>655.6</v></c><c r="BF964" s="1775"/></row><row r="965" spans="28:58"><c r="AB965" s="1796"/><c r="AY965" s="30"><v>84.4</v></c><c r="AZ965" s="31"><v>0.65539999999999998</v></c><c r="BA965" s="32"><v>655.29999999999995</v></c><c r="BF965" s="1775"/></row><row r="966" spans="28:58"><c r="AB966" s="1930"/><c r="AC966" s="1931"/><c r="AD966" s="1931"/><c r="AE966" s="1931"/><c r="AF966" s="1931"/><c r="AG966" s="1931"/><c r="AH966" s="1931"/><c r="AI966" s="1931"/><c r="AJ966" s="1931"/><c r="AK966" s="1931"/><c r="AL966" s="1931"/><c r="AM966" s="1931"/><c r="AN966" s="1931"/><c r="AO966" s="1931"/><c r="AP966" s="1931"/><c r="AQ966" s="1931"/><c r="AR966" s="1931"/><c r="AS966" s="1931"/><c r="AT966" s="1931"/><c r="AU966" s="1931"/><c r="AV966" s="1931"/><c r="AW966" s="1931"/><c r="AX966" s="1931"/><c r="AY966" s="30"><v>84.5</v></c><c r="AZ966" s="31"><v>0.65510000000000002</v></c><c r="BA966" s="32"><v>655</v></c><c r="BF966" s="1775"/></row><row r="967" spans="28:58"><c r="AY967" s="30"><v>84.6</v></c><c r="AZ967" s="31"><v>0.65480000000000005</v></c><c r="BA967" s="32"><v>654.70000000000005</v></c><c r="BF967" s="1775"/></row><row r="968" spans="28:58"><c r="AY968" s="30"><v>84.7</v></c><c r="AZ968" s="31"><v>0.65449999999999997</v></c><c r="BA968" s="32"><v>654.4</v></c><c r="BF968" s="1775"/></row><row r="969" spans="28:58"><c r="AY969" s="30"><v>84.8</v></c><c r="AZ969" s="31"><v>0.6542</v></c><c r="BA969" s="32"><v>654.1</v></c><c r="BF969" s="1775"/></row><row r="970" spans="28:58"><c r="AY970" s="30"><v>84.9</v></c><c r="AZ970" s="31"><v>0.65390000000000004</v></c><c r="BA970" s="32"><v>653.79999999999995</v></c><c r="BF970" s="1775"/></row><row r="971" spans="28:58"><c r="AY971" s="1728"><v>85</v></c><c r="AZ971" s="52"><v>0.65359999999999996</v></c><c r="BA971" s="1729"><v>653.5</v></c><c r="BF971" s="1775"/></row><row r="972" spans="28:58"><c r="AY972" s="1931"/><c r="AZ972" s="1931"/><c r="BA972" s="1931"/><c r="BB972" s="1931"/><c r="BC972" s="1931"/><c r="BD972" s="1931"/><c r="BE972" s="1931"/><c r="BF972" s="1793"/></row></sheetData><mergeCell ref="AG143:AI144"/><mergeCell ref="B2:B3"/><mergeCell ref="L6:M6"/><mergeCell ref="AL139:AM140"/><mergeCell ref="AN139:AN141"/><mergeCell ref="L7:M7"/><mergeCell ref="AR146:AR147"/><mergeCell ref="AL150:AM151"/><mergeCell ref="AN150:AN152"/><mergeCell ref="AK157:AK158"/><mergeCell ref="AL157:AL158"/><mergeCell ref="AM157:AM158"/><mergeCell ref="AN157:AN158"/><mergeCell ref="AP157:AP158"/><mergeCell ref="AQ157:AQ158"/><mergeCell ref="AR157:AR158"/><mergeCell ref="AK146:AK147"/><mergeCell ref="AL146:AL147"/><mergeCell ref="AM146:AM147"/><mergeCell ref="AN146:AN147"/><mergeCell ref="AP146:AP147"/><mergeCell ref="AQ146:AQ147"/><mergeCell ref="AL163:AM164"/><mergeCell ref="AN163:AN165"/><mergeCell ref="AG167:AI168"/><mergeCell ref="AK170:AK171"/><mergeCell ref="AL170:AL171"/><mergeCell ref="AM170:AM171"/><mergeCell ref="AN170:AN171"/><mergeCell ref="AR170:AR171"/><mergeCell ref="AL174:AM175"/><mergeCell ref="AN174:AN176"/><mergeCell ref="AK181:AK182"/><mergeCell ref="AL181:AL182"/><mergeCell ref="AM181:AM182"/><mergeCell ref="AN181:AN182"/><mergeCell ref="AR181:AR182"/></mergeCells><conditionalFormatting sqref="I19:I20 N19:N20"><cfRule type="expression" dxfId="89" priority="3"><formula>$AG$169=1</formula></cfRule></conditionalFormatting><conditionalFormatting sqref="J19:J20 O19:O20"><cfRule type="expression" dxfId="88" priority="2"><formula>$AG$169=2</formula></cfRule></conditionalFormatting><conditionalFormatting sqref="K19:K20 P19:P20"><cfRule type="expression" dxfId="87" priority="1"><formula>$AG$169=3</formula></cfRule></conditionalFormatting><conditionalFormatting sqref="L14 L21"><cfRule type="expression" dxfId="86" priority="4"><formula>$L$14&gt;98</formula></cfRule></conditionalFormatting><hyperlinks><hyperlink ref="AC88" location="'Blended Cargo Prediction'!A1" display="Go to Back" xr:uid="{E2C97A77-62EB-4CBA-967C-C9E40252413D}"/><hyperlink ref="AG88" location="'Blended Cargo Prediction'!A1" display="Go to Back" xr:uid="{E95D8DE4-59F1-4058-8FB3-F66A9D149182}"/><hyperlink ref="AK88" location="'Blended Cargo Prediction'!A1" display="Go to Back" xr:uid="{A8D6A928-249D-40A7-9908-20D68CE8BCA7}"/><hyperlink ref="AY88" location="'Blended Cargo Prediction'!A1" display="Go to Back" xr:uid="{409EB92D-5732-45C0-A3E2-23A20C3D1935}"/><hyperlink ref="AG161" location="'Blended Cargo Prediction'!A1" display="Go to Back" xr:uid="{7094A98F-78BA-4EE8-912B-CD37A6C06914}"/><hyperlink ref="AG137" location="'Blended Cargo Prediction'!A1" display="Go to Back" xr:uid="{473B2DDC-BE11-44F8-BC1C-A6B01F062E1E}"/><hyperlink ref="B2:B3" location="Home!A1" display="HOME" xr:uid="{EE32A2BD-242C-4610-93C3-72FC149FDD5C}"/><hyperlink ref="Q6" location="'Blended Cargo Prediction'!AT130" display="Go to Calc" xr:uid="{758A5367-8218-4085-A5C1-54C03C62FCBB}"/><hyperlink ref="B5" location="'Documents Manager'!A1" display="DOCUMENTS MANAGER" xr:uid="{8C986F0C-3EC1-4CD5-9084-827BF55941BF}"/><hyperlink ref="B25" location="Disclaimer!A1" display="Disclaimer" xr:uid="{F9E1BA51-DCFF-4308-A27B-DAFB034DF48E}"/><hyperlink ref="B24" location="Help!A1" display="Help" xr:uid="{3B1F59FD-F048-4100-A761-78993D2F1D74}"/><hyperlink ref="B22" location="'Source - Links'!A1" display="SOURCE / LINKS" xr:uid="{1653B4B7-ED13-4C3F-B3D3-05BB97CE3DD6}"/><hyperlink ref="B9" location="'ASTM Calculator V.W.'!A1" display="• Calculator - Volume &amp; Weght" xr:uid="{CD938EAF-8025-4F9C-8FA5-9659E0211840}"/><hyperlink ref="B17" location="'ASTM Calc BL Outturn Compare'!A1" display="• BL Figures &amp; Outturn Compare" xr:uid="{A2506D6E-0DB1-4753-909A-C9082EBE4497}"/><hyperlink ref="B8" location="'ASTM Calculator V.W.'!A1" display="ASTM - CALCULATORS" xr:uid="{E052C305-3548-46BA-82F3-205BBB7F7045}"/><hyperlink ref="B6" location="'ASTM Vol. XI - Tab.1'!A1" display="ASTM TABLES" xr:uid="{60707F81-3D82-4AC5-8947-D4762A8F2082}"/><hyperlink ref="B7" location="'ASTM Converter (Tab.1)'!A1" display="ASTM - CONVERTERS" xr:uid="{6FAB4F9C-91D0-466D-9809-17AE3743B2FC}"/><hyperlink ref="B13" location="'ASTM CP min CARGO Check'!A1" display="• Calculator - C/P min CARGO Check" xr:uid="{DE7D9E0F-0C6D-4C69-A244-1FDCB60070EB}"/><hyperlink ref="B18" location="'Initial&amp;Max. Loading Rate'!A1" display="CARGO - CALCULATORS" xr:uid="{AFBBEAF2-A0D0-411D-98E8-FDDC13CF4000}"/><hyperlink ref="B14" location="'ASTM Calculator Blended Cargo'!A1" display="• Calculator - Blended Cargo" xr:uid="{67FE452D-2019-4DF1-9F83-39D4F9642B1C}"/><hyperlink ref="B15" location="'ASTM Blended Cargo Prediction'!A1" display="• Calculator - Blended Cargo Prediction" xr:uid="{0913092D-9604-4E8F-B4FD-EE4CB1AA1ADA}"/><hyperlink ref="B16" location="'ASTM Shore Line Displacement'!A1" display="• Calculator - Shore Line Displacement" xr:uid="{74C300C4-6A1A-4454-8236-7E8F84CFC78C}"/><hyperlink ref="B10" location="'ASTM Calculator Volume T.E.(1)'!A1" display="• Calculator - Volume (Therm. expansion) " xr:uid="{E696F100-ACC0-4947-98F7-83450A01DD82}"/><hyperlink ref="B12" location="'ASTM Calculator Volume T.E.(3)'!A1" display="• Calculator - Volume (Therm. expan. 3) " xr:uid="{7E811B1C-F8D3-4250-ACB8-A3E6FF19BC06}"/><hyperlink ref="B11" location="'ASTM Calculator Volume T.E.(2)'!A1" display="• Calculator - Volume (Therm. expan. 2) " xr:uid="{087340EF-E610-4F5F-88D7-B371F3711D49}"/><hyperlink ref="B20" location="'Guidelines - Definitions'!A1" display="GUIDELINES" xr:uid="{27AE1232-8778-4E47-819D-6A201013D451}"/><hyperlink ref="B21" location="'Guidelines - Bottom Lines'!A1" display="GUIDELINES - CARGO" xr:uid="{91851161-5B4C-4D1D-831C-BD46703DCCA4}"/></hyperlinks><pageMargins left="0.75" right="0.75" top="1" bottom="1" header="0.5" footer="0.5"/><pageSetup paperSize="9" orientation="portrait" horizontalDpi="4294967294" verticalDpi="0" r:id="rId1"/><headerFooter alignWithMargins="0"/><drawing r:id="rId2"/><legacyDrawing r:id="rId3"/><mc:AlternateContent xmlns:mc="http://schemas.openxmlformats.org/markup-compatibility/2006"><mc:Choice Requires="x14"><controls><mc:AlternateContent xmlns:mc="http://schemas.openxmlformats.org/markup-compatibility/2006"><mc:Choice Requires="x14"><control shapeId="208897" r:id="rId4" name="Drop Down 1"><controlPr defaultSize="0" autoLine="0" autoPict="0"><anchor moveWithCells="1"><from><xdr:col>6</xdr:col><xdr:colOff>0</xdr:colOff><xdr:row>10</xdr:row><xdr:rowOff>0</xdr:rowOff></from><to><xdr:col>6</xdr:col><xdr:colOff>990600</xdr:colOff><xdr:row>10</xdr:row><xdr:rowOff>219075</xdr:rowOff></to></anchor></controlPr></control></mc:Choice></mc:AlternateContent><mc:AlternateContent xmlns:mc="http://schemas.openxmlformats.org/markup-compatibility/2006"><mc:Choice Requires="x14"><control shapeId="208898" r:id="rId5" name="Option Button 2"><controlPr defaultSize="0" autoFill="0" autoLine="0" autoPict="0"><anchor moveWithCells="1"><from><xdr:col>5</xdr:col><xdr:colOff>609600</xdr:colOff><xdr:row>3</xdr:row><xdr:rowOff>61913</xdr:rowOff></from><to><xdr:col>6</xdr:col><xdr:colOff>557213</xdr:colOff><xdr:row>3</xdr:row><xdr:rowOff>252413</xdr:rowOff></to></anchor></controlPr></control></mc:Choice></mc:AlternateContent><mc:AlternateContent xmlns:mc="http://schemas.openxmlformats.org/markup-compatibility/2006"><mc:Choice Requires="x14"><control shapeId="208899" r:id="rId6" name="Option Button 3"><controlPr defaultSize="0" autoFill="0" autoLine="0" autoPict="0"><anchor moveWithCells="1"><from><xdr:col>6</xdr:col><xdr:colOff>457200</xdr:colOff><xdr:row>3</xdr:row><xdr:rowOff>28575</xdr:rowOff></from><to><xdr:col>7</xdr:col><xdr:colOff>152400</xdr:colOff><xdr:row>3</xdr:row><xdr:rowOff>257175</xdr:rowOff></to></anchor></controlPr></control></mc:Choice></mc:AlternateContent><mc:AlternateContent xmlns:mc="http://schemas.openxmlformats.org/markup-compatibility/2006"><mc:Choice Requires="x14"><control shapeId="208900" r:id="rId7" name="Drop Down 4"><controlPr defaultSize="0" autoLine="0" autoPict="0"><anchor moveWithCells="1"><from><xdr:col>6</xdr:col><xdr:colOff>9525</xdr:colOff><xdr:row>4</xdr:row><xdr:rowOff>23813</xdr:rowOff></from><to><xdr:col>7</xdr:col><xdr:colOff>0</xdr:colOff><xdr:row>4</xdr:row><xdr:rowOff>238125</xdr:rowOff></to></anchor></controlPr></control></mc:Choice></mc:AlternateContent></controls></mc:Choice></mc:AlternateContent></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9992C-5138-422C-9C50-8F1FEFBB5B75}">
  <sheetPr codeName="Лист18">
    <tabColor rgb="FF008080"/>
  </sheetPr>
  <dimension ref="A1:CD1083"/>
  <sheetViews>
    <sheetView showGridLines="0" showRowColHeaders="0" topLeftCell="B1" zoomScaleNormal="100" workbookViewId="0">
      <selection activeCell="B17" sqref="B17"/>
    </sheetView>
  </sheetViews>
  <sheetFormatPr defaultColWidth="9.1328125" defaultRowHeight="12.75"/>
  <cols>
    <col min="1" max="1" width="1.1328125" style="1987" hidden="1" customWidth="1"/>
    <col min="2" max="2" width="36.6640625" style="1988" customWidth="1"/>
    <col min="3" max="3" width="2.6640625" style="1935" customWidth="1"/>
    <col min="4" max="4" width="23.46484375" style="1935" customWidth="1"/>
    <col min="5" max="5" width="11.46484375" style="1935" customWidth="1"/>
    <col min="6" max="6" width="11.86328125" style="1935" customWidth="1"/>
    <col min="7" max="8" width="9.1328125" style="1935" customWidth="1"/>
    <col min="9" max="9" width="13.53125" style="1935" customWidth="1"/>
    <col min="10" max="12" width="9.1328125" style="1935" customWidth="1"/>
    <col min="13" max="13" width="18.53125" style="1935" customWidth="1"/>
    <col min="14" max="14" width="1.1328125" style="1935" customWidth="1"/>
    <col min="15" max="26" width="9.1328125" style="1935" customWidth="1"/>
    <col min="27" max="27" width="6.46484375" style="1935" customWidth="1"/>
    <col min="28" max="28" width="13.53125" style="1935" customWidth="1"/>
    <col min="29" max="29" width="2.53125" style="1935" customWidth="1"/>
    <col min="30" max="30" width="15.46484375" style="1935" customWidth="1"/>
    <col min="31" max="31" width="12.1328125" style="1935" customWidth="1"/>
    <col min="32" max="32" width="13.86328125" style="1935" customWidth="1"/>
    <col min="33" max="33" width="18.46484375" style="1935" bestFit="1" customWidth="1"/>
    <col min="34" max="36" width="14.46484375" style="1935" customWidth="1"/>
    <col min="37" max="39" width="10.53125" style="1935" customWidth="1"/>
    <col min="40" max="40" width="11.46484375" style="1935" customWidth="1"/>
    <col min="41" max="41" width="10.46484375" style="1935" bestFit="1" customWidth="1"/>
    <col min="42" max="45" width="9.1328125" style="1935" customWidth="1"/>
    <col min="46" max="46" width="2.53125" style="1935" customWidth="1"/>
    <col min="47" max="47" width="9.1328125" style="1935" customWidth="1"/>
    <col min="48" max="48" width="16.53125" style="1935" bestFit="1" customWidth="1"/>
    <col min="49" max="49" width="2.53125" style="1935" customWidth="1"/>
    <col min="50" max="50" width="9.1328125" style="1935" customWidth="1"/>
    <col min="51" max="51" width="12.46484375" style="1935" customWidth="1"/>
    <col min="52" max="52" width="2.53125" style="1935" customWidth="1"/>
    <col min="53" max="54" width="9.1328125" style="1935" customWidth="1"/>
    <col min="55" max="55" width="2.53125" style="1935" customWidth="1"/>
    <col min="56" max="57" width="9.1328125" style="1935" customWidth="1"/>
    <col min="58" max="58" width="2.53125" style="1935" customWidth="1"/>
    <col min="59" max="59" width="9.1328125" style="1935" customWidth="1"/>
    <col min="60" max="60" width="16.53125" style="1935" bestFit="1" customWidth="1"/>
    <col min="61" max="61" width="9.1328125" style="1935" customWidth="1"/>
    <col min="62" max="62" width="16.1328125" style="1935" bestFit="1" customWidth="1"/>
    <col min="63" max="63" width="2.53125" style="1935" customWidth="1"/>
    <col min="64" max="65" width="12.86328125" style="1935" customWidth="1"/>
    <col min="66" max="66" width="2.53125" style="1935" customWidth="1"/>
    <col min="67" max="67" width="9.1328125" style="1935" customWidth="1"/>
    <col min="68" max="68" width="10.46484375" style="1935" bestFit="1" customWidth="1"/>
    <col min="69" max="69" width="9.1328125" style="1935" customWidth="1"/>
    <col min="70" max="70" width="6.53125" style="1935" bestFit="1" customWidth="1"/>
    <col min="71" max="71" width="11.86328125" style="1935" bestFit="1" customWidth="1"/>
    <col min="72" max="72" width="8.1328125" style="1935" bestFit="1" customWidth="1"/>
    <col min="73" max="73" width="12.1328125" style="1935" bestFit="1" customWidth="1"/>
    <col min="74" max="74" width="6.53125" style="1935" customWidth="1"/>
    <col min="75" max="75" width="12" style="1935" bestFit="1" customWidth="1"/>
    <col min="76" max="76" width="14.53125" style="1935" bestFit="1" customWidth="1"/>
    <col min="77" max="77" width="16.1328125" style="1935" bestFit="1" customWidth="1"/>
    <col min="78" max="79" width="15.86328125" style="1935" bestFit="1" customWidth="1"/>
    <col min="80" max="81" width="12" style="1935" bestFit="1" customWidth="1"/>
    <col min="82" max="82" width="8.53125" style="1935" customWidth="1"/>
    <col min="83" max="16384" width="9.1328125" style="1935"/>
  </cols>
  <sheetData>
    <row r="1" spans="1:81" ht="12.75" customHeight="1">
      <c r="A1" s="1933"/>
      <c r="B1" s="1271"/>
      <c r="C1" s="66"/>
      <c r="D1" s="1934"/>
      <c r="E1" s="1934"/>
      <c r="F1" s="1934"/>
      <c r="G1" s="1934"/>
      <c r="H1" s="1934"/>
      <c r="I1" s="1934"/>
      <c r="J1" s="1934"/>
      <c r="K1" s="1934"/>
      <c r="L1" s="1934"/>
      <c r="M1" s="1934"/>
      <c r="N1" s="1934"/>
      <c r="O1" s="1934"/>
      <c r="P1" s="1934"/>
      <c r="Q1" s="1934"/>
      <c r="R1" s="1934"/>
      <c r="S1" s="1934"/>
      <c r="T1" s="1934"/>
      <c r="U1" s="1934"/>
      <c r="V1" s="1934"/>
      <c r="W1" s="1934"/>
      <c r="X1" s="1934"/>
      <c r="Y1" s="1934"/>
      <c r="Z1" s="1934"/>
      <c r="AA1" s="1934"/>
      <c r="AB1" s="1934"/>
      <c r="AC1" s="1934"/>
      <c r="AD1" s="1934"/>
      <c r="AE1" s="1934"/>
      <c r="AF1" s="1934"/>
      <c r="AG1" s="1934"/>
      <c r="AH1" s="1934"/>
      <c r="AI1" s="1934"/>
      <c r="AJ1" s="1934"/>
      <c r="AK1" s="1934"/>
      <c r="AL1" s="1934"/>
      <c r="AM1" s="1934"/>
      <c r="AN1" s="1934"/>
      <c r="AO1" s="1934"/>
      <c r="AP1" s="1934"/>
      <c r="AQ1" s="1934"/>
      <c r="AR1" s="1934"/>
      <c r="AS1" s="1934"/>
      <c r="AT1" s="1934"/>
      <c r="AU1" s="1934"/>
      <c r="AV1" s="1934"/>
      <c r="AW1" s="1934"/>
      <c r="AX1" s="1934"/>
      <c r="AY1" s="1934"/>
      <c r="AZ1" s="1934"/>
      <c r="BA1" s="1934"/>
      <c r="BB1" s="1934"/>
      <c r="BC1" s="1934"/>
      <c r="BD1" s="1934"/>
      <c r="BE1" s="1934"/>
      <c r="BF1" s="1934"/>
      <c r="BG1" s="1934"/>
      <c r="BH1" s="1934"/>
      <c r="BI1" s="1934"/>
      <c r="BJ1" s="1934"/>
      <c r="BK1" s="1934"/>
      <c r="BL1" s="1934"/>
      <c r="BM1" s="1934"/>
      <c r="BN1" s="1934"/>
      <c r="BO1" s="1934"/>
      <c r="BP1" s="1934"/>
      <c r="BQ1" s="1934"/>
      <c r="BR1" s="1934"/>
      <c r="BS1" s="1934"/>
      <c r="BT1" s="1934"/>
      <c r="BU1" s="1934"/>
      <c r="BV1" s="1934"/>
      <c r="BW1" s="1934"/>
      <c r="BX1" s="1934"/>
      <c r="BY1" s="1934"/>
      <c r="BZ1" s="1934"/>
      <c r="CA1" s="1934"/>
      <c r="CB1" s="1934"/>
      <c r="CC1" s="1934"/>
    </row>
    <row r="2" spans="1:81" s="2807" customFormat="1" ht="21" customHeight="1">
      <c r="A2" s="1933"/>
      <c r="B2" s="3284" t="s">
        <v>0</v>
      </c>
      <c r="C2" s="66"/>
      <c r="D2" s="2802" t="s">
        <v>1269</v>
      </c>
      <c r="E2" s="2803"/>
      <c r="F2" s="2804"/>
      <c r="G2" s="2804"/>
      <c r="H2" s="2804"/>
      <c r="I2" s="2804"/>
      <c r="J2" s="2804"/>
      <c r="K2" s="2804"/>
      <c r="L2" s="2804"/>
      <c r="M2" s="2804"/>
      <c r="N2" s="2804"/>
      <c r="O2" s="2804"/>
      <c r="P2" s="2805"/>
      <c r="Q2" s="2804"/>
      <c r="R2" s="2804"/>
      <c r="S2" s="2804"/>
      <c r="T2" s="2804"/>
      <c r="U2" s="2804"/>
      <c r="V2" s="2804"/>
      <c r="W2" s="2804"/>
      <c r="X2" s="2804"/>
      <c r="Y2" s="2804"/>
      <c r="Z2" s="2804"/>
      <c r="AA2" s="2806"/>
      <c r="AB2" s="2806"/>
      <c r="AC2" s="2806"/>
      <c r="AD2" s="2806"/>
      <c r="AE2" s="2806"/>
      <c r="AF2" s="2806"/>
      <c r="AG2" s="2806"/>
      <c r="AH2" s="2806"/>
      <c r="AI2" s="2806"/>
      <c r="AJ2" s="2806"/>
      <c r="AK2" s="2806"/>
      <c r="AL2" s="2806"/>
      <c r="AM2" s="2806"/>
      <c r="AN2" s="2806"/>
      <c r="AO2" s="2806"/>
      <c r="AP2" s="2806"/>
      <c r="AQ2" s="2806"/>
      <c r="AR2" s="2806"/>
    </row>
    <row r="3" spans="1:81" ht="21" customHeight="1">
      <c r="A3" s="1936"/>
      <c r="B3" s="3284"/>
      <c r="C3" s="1444"/>
    </row>
    <row r="4" spans="1:81" ht="21" customHeight="1">
      <c r="A4" s="1937"/>
      <c r="B4" s="1280"/>
      <c r="C4" s="66"/>
    </row>
    <row r="5" spans="1:81" ht="21" customHeight="1">
      <c r="A5" s="1938"/>
      <c r="B5" s="62" t="s">
        <v>1</v>
      </c>
      <c r="C5" s="66"/>
    </row>
    <row r="6" spans="1:81" ht="21" customHeight="1">
      <c r="A6" s="1938"/>
      <c r="B6" s="62" t="s">
        <v>452</v>
      </c>
      <c r="C6" s="66"/>
    </row>
    <row r="7" spans="1:81" ht="21" customHeight="1">
      <c r="A7" s="1938"/>
      <c r="B7" s="62" t="s">
        <v>239</v>
      </c>
      <c r="C7" s="66"/>
    </row>
    <row r="8" spans="1:81" ht="21" customHeight="1">
      <c r="A8" s="1938"/>
      <c r="B8" s="146" t="s">
        <v>1263</v>
      </c>
      <c r="C8" s="66"/>
    </row>
    <row r="9" spans="1:81" ht="21" customHeight="1">
      <c r="A9" s="1938"/>
      <c r="B9" s="145" t="s">
        <v>486</v>
      </c>
      <c r="C9" s="66"/>
      <c r="D9" s="2830"/>
      <c r="E9" s="2830"/>
      <c r="F9" s="2830"/>
      <c r="G9" s="2830"/>
      <c r="H9" s="2831" t="s">
        <v>1038</v>
      </c>
      <c r="I9" s="2830"/>
      <c r="J9" s="2830"/>
      <c r="K9" s="2830"/>
      <c r="L9" s="2830"/>
      <c r="M9" s="2835" t="s">
        <v>1275</v>
      </c>
    </row>
    <row r="10" spans="1:81" ht="21" customHeight="1">
      <c r="A10" s="1938"/>
      <c r="B10" s="145" t="s">
        <v>487</v>
      </c>
      <c r="C10" s="66"/>
      <c r="G10" s="2832"/>
      <c r="H10" s="1939"/>
    </row>
    <row r="11" spans="1:81" ht="21" customHeight="1">
      <c r="A11" s="1938"/>
      <c r="B11" s="145" t="s">
        <v>1273</v>
      </c>
      <c r="C11" s="66"/>
      <c r="D11" s="1940" t="str">
        <f>IF(AA204=1,"API : ","Density : ")</f>
        <v xml:space="preserve">API : </v>
      </c>
      <c r="E11" s="1941">
        <v>33</v>
      </c>
      <c r="F11" s="1942"/>
      <c r="G11" s="2833"/>
      <c r="H11" s="1934"/>
      <c r="J11" s="1943" t="str">
        <f>D11</f>
        <v xml:space="preserve">API : </v>
      </c>
      <c r="K11" s="1944">
        <f>E11</f>
        <v>33</v>
      </c>
    </row>
    <row r="12" spans="1:81" ht="21" customHeight="1">
      <c r="A12" s="1938"/>
      <c r="B12" s="145" t="s">
        <v>1276</v>
      </c>
      <c r="C12" s="66"/>
      <c r="D12" s="1940" t="s">
        <v>1039</v>
      </c>
      <c r="E12" s="1945">
        <v>110</v>
      </c>
      <c r="F12" s="1946" t="str">
        <f>IF(AA204=1,CONCATENATE(" °F = ",AH205," °C"),CONCATENATE(" °C = ",AE205," °F"))</f>
        <v xml:space="preserve"> °F = 43,3 °C</v>
      </c>
      <c r="G12" s="2833"/>
      <c r="H12" s="1934"/>
      <c r="J12" s="1940" t="s">
        <v>1040</v>
      </c>
      <c r="K12" s="1947">
        <v>104</v>
      </c>
      <c r="L12" s="1948" t="str">
        <f>IF(AA204=1,CONCATENATE(" °F = ",AH206," °C"),CONCATENATE(" °C = ",AE206," °F"))</f>
        <v xml:space="preserve"> °F = 40 °C</v>
      </c>
    </row>
    <row r="13" spans="1:81" ht="21" customHeight="1">
      <c r="A13" s="1938"/>
      <c r="B13" s="145" t="s">
        <v>1264</v>
      </c>
      <c r="C13" s="66"/>
      <c r="D13" s="1943" t="s">
        <v>1041</v>
      </c>
      <c r="E13" s="1949">
        <f>IF(AA219=1,K15,IF(AA219=2,K15,IF(AA219=3,K17,IF(AA219=4,K18,IF(AA219=5,K18,IF(AA219=6,K20,IF(AA219=7,K21,K22)))))))</f>
        <v>195558.96805896805</v>
      </c>
      <c r="F13" s="1950" t="str">
        <f>IF(AA219=1,L15,IF(AA219=2,L15,IF(AA219=3,L17,IF(AA219=4,L18,IF(AA219=5,L18,IF(AA219=6,L20,IF(AA219=7,L21,L22)))))))</f>
        <v xml:space="preserve"> Bbls @ 110°F</v>
      </c>
      <c r="G13" s="2834"/>
      <c r="H13" s="1934"/>
      <c r="J13" s="1940" t="s">
        <v>1042</v>
      </c>
      <c r="K13" s="1951">
        <v>195000</v>
      </c>
      <c r="L13" s="1952"/>
    </row>
    <row r="14" spans="1:81" ht="21" customHeight="1">
      <c r="A14" s="1938"/>
      <c r="B14" s="145" t="s">
        <v>1265</v>
      </c>
      <c r="C14" s="66"/>
      <c r="G14" s="2833"/>
    </row>
    <row r="15" spans="1:81" ht="21" customHeight="1">
      <c r="A15" s="1938"/>
      <c r="B15" s="145" t="s">
        <v>1266</v>
      </c>
      <c r="C15" s="66"/>
      <c r="G15" s="2833"/>
      <c r="J15" s="1940" t="s">
        <v>1043</v>
      </c>
      <c r="K15" s="1953">
        <f t="shared" ref="K15:K22" si="0">MAX(AD220:AK220)</f>
        <v>195558.96805896805</v>
      </c>
      <c r="L15" s="1954" t="str">
        <f>CONCATENATE(" Bbls @ ",AE205,"°F")</f>
        <v xml:space="preserve"> Bbls @ 110°F</v>
      </c>
    </row>
    <row r="16" spans="1:81" ht="21" customHeight="1">
      <c r="A16" s="1938"/>
      <c r="B16" s="147" t="s">
        <v>1267</v>
      </c>
      <c r="C16" s="66"/>
      <c r="G16" s="2833"/>
      <c r="J16" s="1940" t="s">
        <v>1043</v>
      </c>
      <c r="K16" s="1953">
        <f t="shared" si="0"/>
        <v>195000</v>
      </c>
      <c r="L16" s="1954" t="str">
        <f>CONCATENATE(" Bbls @ ",AE206,"°F")</f>
        <v xml:space="preserve"> Bbls @ 104°F</v>
      </c>
    </row>
    <row r="17" spans="1:28" ht="21" customHeight="1">
      <c r="A17" s="1938"/>
      <c r="B17" s="145" t="s">
        <v>556</v>
      </c>
      <c r="C17" s="66"/>
      <c r="E17" s="1955"/>
      <c r="G17" s="2833"/>
      <c r="J17" s="1940" t="s">
        <v>1043</v>
      </c>
      <c r="K17" s="1956">
        <f t="shared" si="0"/>
        <v>191022</v>
      </c>
      <c r="L17" s="1957" t="s">
        <v>1044</v>
      </c>
    </row>
    <row r="18" spans="1:28" ht="21" customHeight="1">
      <c r="A18" s="1938"/>
      <c r="B18" s="62" t="s">
        <v>557</v>
      </c>
      <c r="C18" s="66"/>
      <c r="E18" s="1955"/>
      <c r="G18" s="2833"/>
      <c r="J18" s="1940" t="s">
        <v>1043</v>
      </c>
      <c r="K18" s="1953">
        <f t="shared" si="0"/>
        <v>31091.395138957781</v>
      </c>
      <c r="L18" s="1954" t="str">
        <f>CONCATENATE(" M3 @ ",AH205,"°C")</f>
        <v xml:space="preserve"> M3 @ 43,3°C</v>
      </c>
    </row>
    <row r="19" spans="1:28" ht="21" customHeight="1">
      <c r="A19" s="1938"/>
      <c r="B19" s="62" t="s">
        <v>238</v>
      </c>
      <c r="C19" s="66"/>
      <c r="E19" s="1955"/>
      <c r="G19" s="2833"/>
      <c r="J19" s="1940" t="s">
        <v>1043</v>
      </c>
      <c r="K19" s="1953">
        <f t="shared" si="0"/>
        <v>31002.526308425851</v>
      </c>
      <c r="L19" s="1954" t="str">
        <f>CONCATENATE(" M3 @ ",AH206,"°C")</f>
        <v xml:space="preserve"> M3 @ 40°C</v>
      </c>
    </row>
    <row r="20" spans="1:28" ht="21" customHeight="1">
      <c r="A20" s="1938"/>
      <c r="B20" s="62" t="s">
        <v>1652</v>
      </c>
      <c r="C20" s="66"/>
      <c r="E20" s="1955"/>
      <c r="G20" s="2833"/>
      <c r="J20" s="1940" t="s">
        <v>1043</v>
      </c>
      <c r="K20" s="1956">
        <f t="shared" si="0"/>
        <v>30357.216240000002</v>
      </c>
      <c r="L20" s="1957" t="s">
        <v>1045</v>
      </c>
    </row>
    <row r="21" spans="1:28" ht="21" customHeight="1">
      <c r="A21" s="1938"/>
      <c r="B21" s="62" t="s">
        <v>1653</v>
      </c>
      <c r="C21" s="66"/>
      <c r="E21" s="1955"/>
      <c r="G21" s="2833"/>
      <c r="J21" s="1940" t="s">
        <v>1043</v>
      </c>
      <c r="K21" s="1953">
        <f t="shared" si="0"/>
        <v>26064.951899999996</v>
      </c>
      <c r="L21" s="1954" t="s">
        <v>1046</v>
      </c>
    </row>
    <row r="22" spans="1:28" ht="21" customHeight="1">
      <c r="A22" s="1938"/>
      <c r="B22" s="62" t="s">
        <v>40</v>
      </c>
      <c r="C22" s="66"/>
      <c r="G22" s="2833"/>
      <c r="J22" s="1940" t="s">
        <v>1043</v>
      </c>
      <c r="K22" s="1953">
        <f t="shared" si="0"/>
        <v>25652.344379999999</v>
      </c>
      <c r="L22" s="1954" t="s">
        <v>1047</v>
      </c>
    </row>
    <row r="23" spans="1:28" ht="21" customHeight="1">
      <c r="A23" s="1938"/>
      <c r="B23" s="62" t="s">
        <v>238</v>
      </c>
      <c r="C23" s="66"/>
    </row>
    <row r="24" spans="1:28" ht="21" customHeight="1">
      <c r="A24" s="1938"/>
      <c r="B24" s="62" t="s">
        <v>39</v>
      </c>
      <c r="C24" s="66"/>
    </row>
    <row r="25" spans="1:28" ht="21" customHeight="1">
      <c r="A25" s="1938"/>
      <c r="B25" s="62" t="s">
        <v>38</v>
      </c>
      <c r="C25" s="66"/>
      <c r="E25" s="1934"/>
      <c r="H25" s="1934"/>
      <c r="I25" s="1934"/>
      <c r="J25" s="1934"/>
      <c r="K25" s="1934"/>
      <c r="L25" s="1934"/>
    </row>
    <row r="26" spans="1:28" ht="18.75" customHeight="1">
      <c r="A26" s="1938"/>
      <c r="B26" s="62"/>
      <c r="C26" s="66"/>
      <c r="H26" s="1934"/>
      <c r="I26" s="1934"/>
      <c r="J26" s="1934"/>
      <c r="K26" s="1934"/>
      <c r="L26" s="1934"/>
    </row>
    <row r="27" spans="1:28" ht="18.75" customHeight="1">
      <c r="A27" s="1938"/>
      <c r="B27" s="62"/>
      <c r="C27" s="66"/>
      <c r="H27" s="1958"/>
      <c r="I27" s="1958"/>
      <c r="J27" s="1958"/>
      <c r="K27" s="1958"/>
      <c r="L27" s="1959"/>
      <c r="M27" s="1959"/>
    </row>
    <row r="28" spans="1:28" ht="18.75" customHeight="1">
      <c r="A28" s="1938"/>
      <c r="B28" s="565"/>
      <c r="C28" s="66"/>
      <c r="H28" s="1961"/>
      <c r="I28" s="1960"/>
      <c r="J28" s="1960"/>
      <c r="K28" s="1960"/>
      <c r="L28" s="1962"/>
      <c r="M28" s="1960"/>
    </row>
    <row r="29" spans="1:28" ht="18.75" customHeight="1">
      <c r="A29" s="1938"/>
      <c r="B29" s="565"/>
      <c r="C29" s="66"/>
      <c r="H29" s="1960"/>
      <c r="I29" s="1960"/>
      <c r="J29" s="1960"/>
      <c r="K29" s="1960"/>
      <c r="L29" s="1960"/>
      <c r="M29" s="1960"/>
      <c r="N29" s="1960"/>
      <c r="O29" s="1960"/>
      <c r="P29" s="1960"/>
      <c r="Q29" s="1960"/>
      <c r="R29" s="1960"/>
      <c r="S29" s="1960"/>
      <c r="T29" s="1960"/>
      <c r="U29" s="1960"/>
      <c r="V29" s="1960"/>
      <c r="W29" s="1960"/>
      <c r="X29" s="1960"/>
      <c r="Y29" s="1960"/>
      <c r="Z29" s="1960"/>
      <c r="AA29" s="1960"/>
      <c r="AB29" s="1960"/>
    </row>
    <row r="30" spans="1:28" ht="18.75" customHeight="1">
      <c r="A30" s="1938"/>
      <c r="B30" s="1577"/>
      <c r="C30" s="66"/>
      <c r="H30" s="1960"/>
      <c r="I30" s="1960"/>
      <c r="J30" s="1963"/>
      <c r="K30" s="1963"/>
      <c r="L30" s="1963"/>
      <c r="M30" s="1963"/>
      <c r="N30" s="1960"/>
      <c r="O30" s="1960"/>
      <c r="P30" s="1960"/>
      <c r="Q30" s="1960"/>
      <c r="R30" s="1960"/>
      <c r="S30" s="1960"/>
      <c r="T30" s="1960"/>
      <c r="U30" s="1960"/>
      <c r="V30" s="1960"/>
      <c r="W30" s="1960"/>
      <c r="X30" s="1960"/>
      <c r="Y30" s="1960"/>
      <c r="Z30" s="1960"/>
      <c r="AA30" s="1960"/>
      <c r="AB30" s="1960"/>
    </row>
    <row r="31" spans="1:28" ht="18.75" customHeight="1">
      <c r="A31" s="1938"/>
      <c r="B31" s="1767"/>
      <c r="C31" s="66"/>
      <c r="H31" s="1960"/>
      <c r="I31" s="1960"/>
      <c r="J31" s="1964"/>
      <c r="K31" s="1963"/>
      <c r="L31" s="1963"/>
      <c r="M31" s="1963"/>
      <c r="N31" s="1960"/>
      <c r="O31" s="1960"/>
      <c r="P31" s="1960"/>
      <c r="Q31" s="1960"/>
      <c r="R31" s="1960"/>
      <c r="S31" s="1960"/>
      <c r="T31" s="1960"/>
      <c r="U31" s="1960"/>
      <c r="V31" s="1960"/>
      <c r="W31" s="1960"/>
      <c r="X31" s="1960"/>
      <c r="Y31" s="1960"/>
      <c r="Z31" s="1960"/>
      <c r="AA31" s="1960"/>
      <c r="AB31" s="1960"/>
    </row>
    <row r="32" spans="1:28" ht="18.75" customHeight="1">
      <c r="A32" s="1938"/>
      <c r="B32" s="1767"/>
      <c r="C32" s="66"/>
      <c r="H32" s="1962"/>
      <c r="I32" s="1962"/>
      <c r="J32" s="1962"/>
      <c r="K32" s="1963"/>
      <c r="L32" s="1963"/>
      <c r="M32" s="1963"/>
      <c r="N32" s="1963"/>
      <c r="O32" s="1960"/>
      <c r="P32" s="1960"/>
      <c r="Q32" s="1960"/>
      <c r="R32" s="1960"/>
      <c r="S32" s="1960"/>
      <c r="T32" s="1960"/>
      <c r="U32" s="1960"/>
      <c r="V32" s="1960"/>
      <c r="W32" s="1960"/>
      <c r="X32" s="1960"/>
      <c r="Y32" s="1960"/>
      <c r="Z32" s="1960"/>
      <c r="AA32" s="1960"/>
      <c r="AB32" s="1960"/>
    </row>
    <row r="33" spans="1:28" ht="18.75" customHeight="1">
      <c r="A33" s="1938"/>
      <c r="B33" s="1271"/>
      <c r="C33" s="66"/>
      <c r="E33" s="1965"/>
      <c r="F33" s="1966"/>
      <c r="G33" s="1967"/>
      <c r="H33" s="1942"/>
      <c r="I33" s="1942"/>
      <c r="J33" s="1942"/>
      <c r="K33" s="1963"/>
      <c r="L33" s="1963"/>
      <c r="M33" s="1963"/>
      <c r="N33" s="1963"/>
      <c r="O33" s="1960"/>
      <c r="P33" s="1960"/>
      <c r="Q33" s="1960"/>
      <c r="R33" s="1960"/>
      <c r="S33" s="1960"/>
      <c r="T33" s="1960"/>
      <c r="U33" s="1960"/>
      <c r="V33" s="1960"/>
      <c r="W33" s="1960"/>
      <c r="X33" s="1960"/>
      <c r="Y33" s="1960"/>
      <c r="Z33" s="1960"/>
      <c r="AA33" s="1960"/>
      <c r="AB33" s="1960"/>
    </row>
    <row r="34" spans="1:28" ht="18.75" customHeight="1">
      <c r="A34" s="1938"/>
      <c r="B34" s="1271"/>
      <c r="C34" s="66"/>
      <c r="J34" s="1942"/>
      <c r="K34" s="1963"/>
      <c r="L34" s="1963"/>
      <c r="M34" s="1963"/>
      <c r="N34" s="1963"/>
      <c r="O34" s="1960"/>
      <c r="P34" s="1960"/>
      <c r="Q34" s="1960"/>
      <c r="R34" s="1960"/>
      <c r="S34" s="1960"/>
      <c r="T34" s="1960"/>
      <c r="U34" s="1960"/>
      <c r="V34" s="1960"/>
      <c r="W34" s="1960"/>
      <c r="X34" s="1960"/>
      <c r="Y34" s="1960"/>
      <c r="Z34" s="1960"/>
      <c r="AA34" s="1960"/>
      <c r="AB34" s="1960"/>
    </row>
    <row r="35" spans="1:28" ht="13.9">
      <c r="A35" s="1938"/>
      <c r="B35" s="1271"/>
      <c r="C35" s="66"/>
      <c r="J35" s="1942"/>
      <c r="K35" s="1942"/>
      <c r="L35" s="1960"/>
      <c r="M35" s="1960"/>
      <c r="N35" s="1963"/>
      <c r="AB35" s="1960"/>
    </row>
    <row r="36" spans="1:28" ht="13.9">
      <c r="A36" s="1938"/>
      <c r="B36" s="1271"/>
      <c r="C36" s="66"/>
      <c r="J36" s="1942"/>
      <c r="K36" s="1942"/>
      <c r="L36" s="1960"/>
      <c r="M36" s="1960"/>
      <c r="N36" s="1963"/>
      <c r="O36" s="1968"/>
      <c r="P36" s="1969"/>
      <c r="Q36" s="1969"/>
      <c r="R36" s="1968"/>
      <c r="S36" s="1970"/>
      <c r="T36" s="1970"/>
      <c r="U36" s="1969"/>
      <c r="V36" s="1969"/>
      <c r="W36" s="1971"/>
      <c r="X36" s="1971"/>
      <c r="Y36" s="1971"/>
      <c r="Z36" s="1971"/>
      <c r="AA36" s="1968"/>
      <c r="AB36" s="1960"/>
    </row>
    <row r="37" spans="1:28">
      <c r="A37" s="1938"/>
      <c r="B37" s="1271"/>
      <c r="C37" s="66"/>
      <c r="H37" s="1942"/>
      <c r="I37" s="1942"/>
      <c r="J37" s="1942"/>
      <c r="K37" s="1942"/>
      <c r="L37" s="1960"/>
      <c r="M37" s="1960"/>
      <c r="N37" s="1960"/>
      <c r="O37" s="1972"/>
      <c r="P37" s="1972"/>
      <c r="Q37" s="1973"/>
      <c r="R37" s="1974"/>
      <c r="S37" s="1975"/>
      <c r="T37" s="1976"/>
      <c r="U37" s="1977"/>
      <c r="V37" s="1978"/>
      <c r="W37" s="1973"/>
      <c r="X37" s="1973"/>
      <c r="Y37" s="1973"/>
      <c r="Z37" s="1973"/>
      <c r="AA37" s="1979"/>
      <c r="AB37" s="1960"/>
    </row>
    <row r="38" spans="1:28">
      <c r="A38" s="1938"/>
      <c r="B38" s="1271"/>
      <c r="C38" s="66"/>
      <c r="H38" s="1942"/>
      <c r="I38" s="1942"/>
      <c r="J38" s="1942"/>
      <c r="K38" s="1942"/>
      <c r="L38" s="1960"/>
      <c r="M38" s="1960"/>
      <c r="N38" s="1960"/>
      <c r="O38" s="1972"/>
      <c r="P38" s="1972"/>
      <c r="Q38" s="1973"/>
      <c r="R38" s="1974"/>
      <c r="S38" s="1975"/>
      <c r="T38" s="1976"/>
      <c r="U38" s="1977"/>
      <c r="V38" s="1978"/>
      <c r="W38" s="1973"/>
      <c r="X38" s="1973"/>
      <c r="Y38" s="1973"/>
      <c r="Z38" s="1973"/>
      <c r="AA38" s="1979"/>
      <c r="AB38" s="1960"/>
    </row>
    <row r="39" spans="1:28">
      <c r="A39" s="1938"/>
      <c r="B39" s="1271"/>
      <c r="C39" s="66"/>
      <c r="E39" s="1942"/>
      <c r="F39" s="1942"/>
      <c r="G39" s="1942"/>
      <c r="H39" s="1942"/>
      <c r="I39" s="1942"/>
      <c r="J39" s="1942"/>
      <c r="K39" s="1942"/>
      <c r="L39" s="1960"/>
      <c r="M39" s="1960"/>
      <c r="N39" s="1960"/>
      <c r="O39" s="1960"/>
      <c r="P39" s="1980"/>
      <c r="Q39" s="1981"/>
      <c r="R39" s="1982"/>
      <c r="T39" s="1983"/>
      <c r="W39" s="1984"/>
      <c r="X39" s="1984"/>
      <c r="Y39" s="1984"/>
      <c r="Z39" s="1984"/>
      <c r="AB39" s="1960"/>
    </row>
    <row r="40" spans="1:28">
      <c r="A40" s="1938"/>
      <c r="B40" s="1271"/>
      <c r="C40" s="66"/>
      <c r="E40" s="1960"/>
      <c r="F40" s="1960"/>
      <c r="G40" s="1960"/>
      <c r="H40" s="1960"/>
      <c r="I40" s="1960"/>
      <c r="J40" s="1960"/>
      <c r="K40" s="1960"/>
      <c r="L40" s="1960"/>
      <c r="N40" s="1960"/>
      <c r="O40" s="1960"/>
      <c r="P40" s="1980"/>
      <c r="Q40" s="1981"/>
      <c r="R40" s="1985"/>
      <c r="AB40" s="1960"/>
    </row>
    <row r="41" spans="1:28">
      <c r="A41" s="1938"/>
      <c r="B41" s="1271"/>
      <c r="C41" s="66"/>
      <c r="E41" s="1960"/>
      <c r="F41" s="1960"/>
      <c r="G41" s="1960"/>
      <c r="H41" s="1960"/>
      <c r="I41" s="1960"/>
      <c r="J41" s="1960"/>
      <c r="K41" s="1960"/>
      <c r="L41" s="1960"/>
      <c r="N41" s="1960"/>
      <c r="O41" s="1960"/>
      <c r="P41" s="1980"/>
      <c r="AB41" s="1960"/>
    </row>
    <row r="42" spans="1:28">
      <c r="A42" s="1938"/>
      <c r="B42" s="1271"/>
      <c r="C42" s="66"/>
      <c r="E42" s="1960"/>
      <c r="F42" s="1986"/>
      <c r="G42" s="1960"/>
      <c r="H42" s="1960"/>
      <c r="I42" s="1960"/>
      <c r="J42" s="1960"/>
      <c r="K42" s="1960"/>
      <c r="L42" s="1960"/>
    </row>
    <row r="43" spans="1:28">
      <c r="A43" s="1938"/>
      <c r="B43" s="1271"/>
      <c r="C43" s="66"/>
      <c r="E43" s="1960"/>
      <c r="F43" s="1960"/>
      <c r="G43" s="1960"/>
      <c r="H43" s="1960"/>
      <c r="I43" s="1960"/>
      <c r="J43" s="1960"/>
      <c r="K43" s="1960"/>
      <c r="L43" s="1960"/>
    </row>
    <row r="44" spans="1:28">
      <c r="A44" s="1938"/>
      <c r="B44" s="1271"/>
      <c r="C44" s="66"/>
      <c r="E44" s="1960"/>
      <c r="F44" s="1960"/>
      <c r="G44" s="1960"/>
      <c r="H44" s="1960"/>
      <c r="I44" s="1960"/>
      <c r="J44" s="1960"/>
      <c r="K44" s="1960"/>
      <c r="L44" s="1960"/>
    </row>
    <row r="45" spans="1:28">
      <c r="A45" s="1938"/>
      <c r="B45" s="1271"/>
      <c r="C45" s="66"/>
      <c r="E45" s="1960"/>
      <c r="F45" s="1960"/>
      <c r="G45" s="1960"/>
      <c r="H45" s="1960"/>
      <c r="I45" s="1960"/>
      <c r="J45" s="1960"/>
      <c r="K45" s="1960"/>
      <c r="L45" s="1960"/>
    </row>
    <row r="46" spans="1:28">
      <c r="A46" s="1938"/>
      <c r="B46" s="1271"/>
      <c r="C46" s="66"/>
      <c r="E46" s="1960"/>
      <c r="F46" s="1960"/>
      <c r="G46" s="1960"/>
      <c r="H46" s="1960"/>
      <c r="I46" s="1960"/>
      <c r="J46" s="1960"/>
      <c r="K46" s="1960"/>
      <c r="L46" s="1960"/>
    </row>
    <row r="47" spans="1:28">
      <c r="A47" s="1938"/>
      <c r="B47" s="1271"/>
      <c r="C47" s="66"/>
      <c r="E47" s="1960"/>
      <c r="F47" s="1960"/>
      <c r="G47" s="1960"/>
      <c r="H47" s="1960"/>
      <c r="I47" s="1960"/>
      <c r="J47" s="1960"/>
      <c r="K47" s="1960"/>
      <c r="L47" s="1960"/>
    </row>
    <row r="48" spans="1:28">
      <c r="A48" s="1938"/>
      <c r="B48" s="1271"/>
      <c r="C48" s="66"/>
      <c r="E48" s="1960"/>
      <c r="F48" s="1960"/>
      <c r="G48" s="1960"/>
      <c r="H48" s="1960"/>
      <c r="I48" s="1960"/>
      <c r="J48" s="1960"/>
      <c r="K48" s="1960"/>
      <c r="L48" s="1960"/>
    </row>
    <row r="49" spans="1:28">
      <c r="A49" s="1938"/>
      <c r="B49" s="1271"/>
      <c r="C49" s="66"/>
      <c r="E49" s="1960"/>
      <c r="F49" s="1960"/>
      <c r="G49" s="1960"/>
      <c r="H49" s="1960"/>
      <c r="I49" s="1960"/>
      <c r="J49" s="1960"/>
      <c r="K49" s="1960"/>
      <c r="L49" s="1960"/>
    </row>
    <row r="50" spans="1:28">
      <c r="A50" s="1938"/>
      <c r="B50" s="1271"/>
      <c r="C50" s="66"/>
      <c r="E50" s="1960"/>
      <c r="F50" s="1960"/>
      <c r="G50" s="1960"/>
      <c r="H50" s="1960"/>
      <c r="I50" s="1960"/>
      <c r="J50" s="1960"/>
      <c r="K50" s="1960"/>
      <c r="L50" s="1960"/>
    </row>
    <row r="51" spans="1:28">
      <c r="A51" s="1938"/>
      <c r="B51" s="1271"/>
      <c r="C51" s="66"/>
      <c r="E51" s="1960"/>
      <c r="F51" s="1960"/>
      <c r="G51" s="1960"/>
      <c r="H51" s="1960"/>
      <c r="I51" s="1960"/>
      <c r="J51" s="1960"/>
      <c r="K51" s="1960"/>
      <c r="L51" s="1960"/>
    </row>
    <row r="52" spans="1:28">
      <c r="A52" s="1938"/>
      <c r="B52" s="1271"/>
      <c r="C52" s="66"/>
      <c r="E52" s="1960"/>
      <c r="F52" s="1960"/>
      <c r="G52" s="1960"/>
      <c r="H52" s="1960"/>
      <c r="I52" s="1960"/>
      <c r="J52" s="1960"/>
      <c r="K52" s="1960"/>
      <c r="L52" s="1960"/>
    </row>
    <row r="53" spans="1:28">
      <c r="A53" s="1938"/>
      <c r="B53" s="1271"/>
      <c r="C53" s="66"/>
      <c r="E53" s="1960"/>
      <c r="F53" s="1960"/>
      <c r="G53" s="1960"/>
      <c r="H53" s="1960"/>
      <c r="I53" s="1960"/>
      <c r="J53" s="1960"/>
      <c r="K53" s="1960"/>
      <c r="L53" s="1960"/>
      <c r="M53" s="1960"/>
    </row>
    <row r="54" spans="1:28">
      <c r="A54" s="1938"/>
      <c r="B54" s="1271"/>
      <c r="C54" s="66"/>
      <c r="E54" s="1960"/>
      <c r="F54" s="1960"/>
      <c r="G54" s="1960"/>
      <c r="H54" s="1960"/>
      <c r="I54" s="1960"/>
      <c r="J54" s="1960"/>
      <c r="K54" s="1960"/>
      <c r="L54" s="1960"/>
      <c r="M54" s="1960"/>
    </row>
    <row r="55" spans="1:28">
      <c r="A55" s="1938"/>
      <c r="B55" s="1271"/>
      <c r="C55" s="66"/>
      <c r="E55" s="1960"/>
      <c r="F55" s="1960"/>
      <c r="G55" s="1960"/>
      <c r="H55" s="1960"/>
      <c r="I55" s="1960"/>
      <c r="J55" s="1960"/>
      <c r="K55" s="1960"/>
      <c r="L55" s="1960"/>
      <c r="M55" s="1960"/>
      <c r="N55" s="1960"/>
      <c r="O55" s="1960"/>
      <c r="P55" s="1960"/>
      <c r="Q55" s="1960"/>
      <c r="R55" s="1960"/>
      <c r="S55" s="1960"/>
      <c r="T55" s="1960"/>
      <c r="U55" s="1960"/>
      <c r="V55" s="1960"/>
      <c r="W55" s="1960"/>
      <c r="X55" s="1960"/>
      <c r="Y55" s="1960"/>
      <c r="Z55" s="1960"/>
      <c r="AA55" s="1960"/>
      <c r="AB55" s="1960"/>
    </row>
    <row r="56" spans="1:28">
      <c r="A56" s="1938"/>
      <c r="B56" s="1271"/>
      <c r="C56" s="66"/>
      <c r="E56" s="1960"/>
      <c r="F56" s="1960"/>
      <c r="G56" s="1960"/>
      <c r="H56" s="1960"/>
      <c r="I56" s="1960"/>
      <c r="J56" s="1960"/>
      <c r="K56" s="1960"/>
      <c r="L56" s="1960"/>
      <c r="M56" s="1960"/>
      <c r="N56" s="1960"/>
      <c r="O56" s="1960"/>
      <c r="P56" s="1960"/>
      <c r="Q56" s="1960"/>
      <c r="R56" s="1960"/>
      <c r="S56" s="1960"/>
      <c r="T56" s="1960"/>
      <c r="U56" s="1960"/>
      <c r="V56" s="1960"/>
      <c r="W56" s="1960"/>
      <c r="X56" s="1960"/>
      <c r="Y56" s="1960"/>
      <c r="Z56" s="1960"/>
      <c r="AA56" s="1960"/>
      <c r="AB56" s="1960"/>
    </row>
    <row r="57" spans="1:28">
      <c r="A57" s="1938"/>
      <c r="B57" s="1271"/>
      <c r="C57" s="66"/>
      <c r="E57" s="1960"/>
      <c r="F57" s="1960"/>
      <c r="G57" s="1960"/>
      <c r="H57" s="1960"/>
      <c r="I57" s="1960"/>
      <c r="J57" s="1960"/>
      <c r="K57" s="1960"/>
      <c r="L57" s="1960"/>
      <c r="M57" s="1960"/>
      <c r="N57" s="1960"/>
      <c r="O57" s="1960"/>
      <c r="P57" s="1960"/>
      <c r="Q57" s="1960"/>
      <c r="R57" s="1960"/>
      <c r="S57" s="1960"/>
      <c r="T57" s="1960"/>
      <c r="U57" s="1960"/>
      <c r="V57" s="1960"/>
      <c r="W57" s="1960"/>
      <c r="X57" s="1960"/>
      <c r="Y57" s="1960"/>
      <c r="Z57" s="1960"/>
      <c r="AA57" s="1960"/>
      <c r="AB57" s="1960"/>
    </row>
    <row r="58" spans="1:28">
      <c r="A58" s="1938"/>
      <c r="B58" s="1271"/>
      <c r="C58" s="66"/>
      <c r="E58" s="1960"/>
      <c r="F58" s="1960"/>
      <c r="G58" s="1960"/>
      <c r="H58" s="1960"/>
      <c r="I58" s="1960"/>
      <c r="J58" s="1960"/>
      <c r="K58" s="1960"/>
      <c r="L58" s="1960"/>
      <c r="M58" s="1960"/>
      <c r="N58" s="1960"/>
      <c r="O58" s="1960"/>
      <c r="P58" s="1960"/>
      <c r="Q58" s="1960"/>
      <c r="R58" s="1960"/>
      <c r="S58" s="1960"/>
      <c r="T58" s="1960"/>
      <c r="U58" s="1960"/>
      <c r="V58" s="1960"/>
      <c r="W58" s="1960"/>
      <c r="X58" s="1960"/>
      <c r="Y58" s="1960"/>
      <c r="Z58" s="1960"/>
      <c r="AA58" s="1960"/>
      <c r="AB58" s="1960"/>
    </row>
    <row r="59" spans="1:28">
      <c r="A59" s="1938"/>
      <c r="B59" s="1271"/>
      <c r="C59" s="66"/>
      <c r="E59" s="1960"/>
      <c r="F59" s="1960"/>
      <c r="G59" s="1960"/>
      <c r="H59" s="1960"/>
      <c r="I59" s="1960"/>
      <c r="J59" s="1960"/>
      <c r="K59" s="1960"/>
      <c r="L59" s="1960"/>
      <c r="M59" s="1960"/>
      <c r="N59" s="1960"/>
      <c r="O59" s="1960"/>
      <c r="P59" s="1960"/>
      <c r="Q59" s="1960"/>
      <c r="R59" s="1960"/>
      <c r="S59" s="1960"/>
      <c r="T59" s="1960"/>
      <c r="U59" s="1960"/>
      <c r="V59" s="1960"/>
      <c r="W59" s="1960"/>
      <c r="X59" s="1960"/>
      <c r="Y59" s="1960"/>
      <c r="Z59" s="1960"/>
      <c r="AA59" s="1960"/>
      <c r="AB59" s="1960"/>
    </row>
    <row r="60" spans="1:28">
      <c r="A60" s="1938"/>
      <c r="B60" s="1271"/>
      <c r="C60" s="66"/>
      <c r="E60" s="1960"/>
      <c r="F60" s="1960"/>
      <c r="G60" s="1960"/>
      <c r="H60" s="1960"/>
      <c r="I60" s="1960"/>
      <c r="J60" s="1960"/>
      <c r="K60" s="1960"/>
      <c r="L60" s="1960"/>
      <c r="M60" s="1960"/>
      <c r="N60" s="1960"/>
      <c r="O60" s="1960"/>
      <c r="P60" s="1960"/>
      <c r="Q60" s="1960"/>
      <c r="R60" s="1960"/>
      <c r="S60" s="1960"/>
      <c r="T60" s="1960"/>
      <c r="U60" s="1960"/>
      <c r="V60" s="1960"/>
      <c r="W60" s="1960"/>
      <c r="X60" s="1960"/>
      <c r="Y60" s="1960"/>
      <c r="Z60" s="1960"/>
      <c r="AA60" s="1960"/>
      <c r="AB60" s="1960"/>
    </row>
    <row r="61" spans="1:28">
      <c r="A61" s="1938"/>
      <c r="B61" s="1271"/>
      <c r="C61" s="66"/>
      <c r="E61" s="1960"/>
      <c r="F61" s="1960"/>
      <c r="G61" s="1960"/>
      <c r="H61" s="1960"/>
      <c r="I61" s="1960"/>
      <c r="J61" s="1960"/>
      <c r="K61" s="1960"/>
      <c r="L61" s="1960"/>
      <c r="M61" s="1960"/>
      <c r="N61" s="1960"/>
      <c r="O61" s="1960"/>
      <c r="P61" s="1960"/>
      <c r="Q61" s="1960"/>
      <c r="R61" s="1960"/>
      <c r="S61" s="1960"/>
      <c r="T61" s="1960"/>
      <c r="U61" s="1960"/>
      <c r="V61" s="1960"/>
      <c r="W61" s="1960"/>
      <c r="X61" s="1960"/>
      <c r="Y61" s="1960"/>
      <c r="Z61" s="1960"/>
      <c r="AA61" s="1960"/>
      <c r="AB61" s="1960"/>
    </row>
    <row r="62" spans="1:28">
      <c r="A62" s="1938"/>
      <c r="B62" s="1271"/>
      <c r="C62" s="66"/>
      <c r="E62" s="1960"/>
      <c r="F62" s="1960"/>
      <c r="G62" s="1960"/>
      <c r="H62" s="1960"/>
      <c r="I62" s="1960"/>
      <c r="J62" s="1960"/>
      <c r="K62" s="1960"/>
      <c r="L62" s="1960"/>
      <c r="M62" s="1960"/>
      <c r="N62" s="1960"/>
      <c r="O62" s="1960"/>
      <c r="P62" s="1960"/>
      <c r="Q62" s="1960"/>
      <c r="R62" s="1960"/>
      <c r="S62" s="1960"/>
      <c r="T62" s="1960"/>
      <c r="U62" s="1960"/>
      <c r="V62" s="1960"/>
      <c r="W62" s="1960"/>
      <c r="X62" s="1960"/>
      <c r="Y62" s="1960"/>
      <c r="Z62" s="1960"/>
      <c r="AA62" s="1960"/>
      <c r="AB62" s="1960"/>
    </row>
    <row r="63" spans="1:28">
      <c r="A63" s="1938"/>
      <c r="B63" s="1271"/>
      <c r="C63" s="66"/>
      <c r="E63" s="1960"/>
      <c r="F63" s="1960"/>
      <c r="G63" s="1960"/>
      <c r="H63" s="1960"/>
      <c r="I63" s="1960"/>
      <c r="J63" s="1960"/>
      <c r="K63" s="1960"/>
      <c r="L63" s="1960"/>
      <c r="M63" s="1960"/>
      <c r="N63" s="1960"/>
      <c r="O63" s="1960"/>
      <c r="P63" s="1960"/>
      <c r="Q63" s="1960"/>
      <c r="R63" s="1960"/>
      <c r="S63" s="1960"/>
      <c r="T63" s="1960"/>
      <c r="U63" s="1960"/>
      <c r="V63" s="1960"/>
      <c r="W63" s="1960"/>
      <c r="X63" s="1960"/>
      <c r="Y63" s="1960"/>
      <c r="Z63" s="1960"/>
      <c r="AA63" s="1960"/>
      <c r="AB63" s="1960"/>
    </row>
    <row r="64" spans="1:28">
      <c r="A64" s="1938"/>
      <c r="B64" s="1271"/>
      <c r="C64" s="66"/>
      <c r="E64" s="1960"/>
      <c r="F64" s="1960"/>
      <c r="G64" s="1960"/>
      <c r="H64" s="1960"/>
      <c r="I64" s="1960"/>
      <c r="J64" s="1960"/>
      <c r="K64" s="1960"/>
      <c r="L64" s="1960"/>
      <c r="M64" s="1960"/>
      <c r="N64" s="1960"/>
      <c r="O64" s="1960"/>
      <c r="P64" s="1960"/>
      <c r="Q64" s="1960"/>
      <c r="R64" s="1960"/>
      <c r="S64" s="1960"/>
      <c r="T64" s="1960"/>
      <c r="U64" s="1960"/>
      <c r="V64" s="1960"/>
      <c r="W64" s="1960"/>
      <c r="X64" s="1960"/>
      <c r="Y64" s="1960"/>
      <c r="Z64" s="1960"/>
      <c r="AA64" s="1960"/>
      <c r="AB64" s="1960"/>
    </row>
    <row r="65" spans="1:28">
      <c r="A65" s="1938"/>
      <c r="B65" s="1271"/>
      <c r="C65" s="66"/>
      <c r="E65" s="1960"/>
      <c r="F65" s="1960"/>
      <c r="G65" s="1960"/>
      <c r="H65" s="1960"/>
      <c r="I65" s="1960"/>
      <c r="J65" s="1960"/>
      <c r="K65" s="1960"/>
      <c r="L65" s="1960"/>
      <c r="M65" s="1960"/>
      <c r="N65" s="1960"/>
      <c r="O65" s="1960"/>
      <c r="P65" s="1960"/>
      <c r="Q65" s="1960"/>
      <c r="R65" s="1960"/>
      <c r="S65" s="1960"/>
      <c r="T65" s="1960"/>
      <c r="U65" s="1960"/>
      <c r="V65" s="1960"/>
      <c r="W65" s="1960"/>
      <c r="X65" s="1960"/>
      <c r="Y65" s="1960"/>
      <c r="Z65" s="1960"/>
      <c r="AA65" s="1960"/>
      <c r="AB65" s="1960"/>
    </row>
    <row r="66" spans="1:28">
      <c r="A66" s="1938"/>
      <c r="B66" s="1271"/>
      <c r="C66" s="66"/>
      <c r="E66" s="1960"/>
      <c r="F66" s="1960"/>
      <c r="G66" s="1960"/>
      <c r="H66" s="1960"/>
      <c r="I66" s="1960"/>
      <c r="J66" s="1960"/>
      <c r="K66" s="1960"/>
      <c r="L66" s="1960"/>
      <c r="M66" s="1960"/>
      <c r="N66" s="1960"/>
      <c r="O66" s="1960"/>
      <c r="P66" s="1960"/>
      <c r="Q66" s="1960"/>
      <c r="R66" s="1960"/>
      <c r="S66" s="1960"/>
      <c r="T66" s="1960"/>
      <c r="U66" s="1960"/>
      <c r="V66" s="1960"/>
      <c r="W66" s="1960"/>
      <c r="X66" s="1960"/>
      <c r="Y66" s="1960"/>
      <c r="Z66" s="1960"/>
      <c r="AA66" s="1960"/>
      <c r="AB66" s="1960"/>
    </row>
    <row r="67" spans="1:28">
      <c r="A67" s="1938"/>
      <c r="B67" s="1271"/>
      <c r="C67" s="66"/>
      <c r="E67" s="1960"/>
      <c r="F67" s="1960"/>
      <c r="G67" s="1960"/>
      <c r="H67" s="1960"/>
      <c r="I67" s="1960"/>
      <c r="J67" s="1960"/>
      <c r="K67" s="1960"/>
      <c r="L67" s="1960"/>
      <c r="M67" s="1960"/>
      <c r="N67" s="1960"/>
      <c r="O67" s="1960"/>
      <c r="P67" s="1960"/>
      <c r="Q67" s="1960"/>
      <c r="R67" s="1960"/>
      <c r="S67" s="1960"/>
      <c r="T67" s="1960"/>
      <c r="U67" s="1960"/>
      <c r="V67" s="1960"/>
      <c r="W67" s="1960"/>
      <c r="X67" s="1960"/>
      <c r="Y67" s="1960"/>
      <c r="Z67" s="1960"/>
      <c r="AA67" s="1960"/>
      <c r="AB67" s="1960"/>
    </row>
    <row r="68" spans="1:28">
      <c r="A68" s="1938"/>
      <c r="B68" s="1271"/>
      <c r="C68" s="66"/>
      <c r="E68" s="1960"/>
      <c r="F68" s="1960"/>
      <c r="G68" s="1960"/>
      <c r="H68" s="1960"/>
      <c r="I68" s="1960"/>
      <c r="J68" s="1960"/>
      <c r="K68" s="1960"/>
      <c r="L68" s="1960"/>
      <c r="M68" s="1960"/>
      <c r="N68" s="1960"/>
      <c r="O68" s="1960"/>
      <c r="P68" s="1960"/>
      <c r="Q68" s="1960"/>
      <c r="R68" s="1960"/>
      <c r="S68" s="1960"/>
      <c r="T68" s="1960"/>
      <c r="U68" s="1960"/>
      <c r="V68" s="1960"/>
      <c r="W68" s="1960"/>
      <c r="X68" s="1960"/>
      <c r="Y68" s="1960"/>
      <c r="Z68" s="1960"/>
      <c r="AA68" s="1960"/>
      <c r="AB68" s="1960"/>
    </row>
    <row r="69" spans="1:28">
      <c r="A69" s="1938"/>
      <c r="B69" s="1271"/>
      <c r="C69" s="66"/>
      <c r="E69" s="1960"/>
      <c r="F69" s="1960"/>
      <c r="G69" s="1960"/>
      <c r="H69" s="1960"/>
      <c r="I69" s="1960"/>
      <c r="J69" s="1960"/>
      <c r="K69" s="1960"/>
      <c r="L69" s="1960"/>
      <c r="M69" s="1960"/>
      <c r="N69" s="1960"/>
      <c r="O69" s="1960"/>
      <c r="P69" s="1960"/>
      <c r="Q69" s="1960"/>
      <c r="R69" s="1960"/>
      <c r="S69" s="1960"/>
      <c r="T69" s="1960"/>
      <c r="U69" s="1960"/>
      <c r="V69" s="1960"/>
      <c r="W69" s="1960"/>
      <c r="X69" s="1960"/>
      <c r="Y69" s="1960"/>
      <c r="Z69" s="1960"/>
      <c r="AA69" s="1960"/>
      <c r="AB69" s="1960"/>
    </row>
    <row r="70" spans="1:28">
      <c r="A70" s="1938"/>
      <c r="B70" s="1271"/>
      <c r="C70" s="66"/>
      <c r="E70" s="1960"/>
      <c r="F70" s="1960"/>
      <c r="G70" s="1960"/>
      <c r="H70" s="1960"/>
      <c r="I70" s="1960"/>
      <c r="J70" s="1960"/>
      <c r="K70" s="1960"/>
      <c r="L70" s="1960"/>
      <c r="M70" s="1960"/>
      <c r="N70" s="1960"/>
      <c r="O70" s="1960"/>
      <c r="P70" s="1960"/>
      <c r="Q70" s="1960"/>
      <c r="R70" s="1960"/>
      <c r="S70" s="1960"/>
      <c r="T70" s="1960"/>
      <c r="U70" s="1960"/>
      <c r="V70" s="1960"/>
      <c r="W70" s="1960"/>
      <c r="X70" s="1960"/>
      <c r="Y70" s="1960"/>
      <c r="Z70" s="1960"/>
      <c r="AA70" s="1960"/>
      <c r="AB70" s="1960"/>
    </row>
    <row r="71" spans="1:28">
      <c r="A71" s="1938"/>
      <c r="B71" s="1271"/>
      <c r="C71" s="66"/>
      <c r="E71" s="1960"/>
      <c r="F71" s="1960"/>
      <c r="G71" s="1960"/>
      <c r="H71" s="1960"/>
      <c r="I71" s="1960"/>
      <c r="J71" s="1960"/>
      <c r="K71" s="1960"/>
      <c r="L71" s="1960"/>
      <c r="M71" s="1960"/>
      <c r="N71" s="1960"/>
      <c r="O71" s="1960"/>
      <c r="P71" s="1960"/>
      <c r="Q71" s="1960"/>
      <c r="R71" s="1960"/>
      <c r="S71" s="1960"/>
      <c r="T71" s="1960"/>
      <c r="U71" s="1960"/>
      <c r="V71" s="1960"/>
      <c r="W71" s="1960"/>
      <c r="X71" s="1960"/>
      <c r="Y71" s="1960"/>
      <c r="Z71" s="1960"/>
      <c r="AA71" s="1960"/>
      <c r="AB71" s="1960"/>
    </row>
    <row r="72" spans="1:28">
      <c r="A72" s="1938"/>
      <c r="B72" s="1271"/>
      <c r="C72" s="66"/>
      <c r="E72" s="1960"/>
      <c r="F72" s="1960"/>
      <c r="G72" s="1960"/>
      <c r="H72" s="1960"/>
      <c r="I72" s="1960"/>
      <c r="J72" s="1960"/>
      <c r="K72" s="1960"/>
      <c r="L72" s="1960"/>
      <c r="M72" s="1960"/>
      <c r="N72" s="1960"/>
      <c r="O72" s="1960"/>
      <c r="P72" s="1960"/>
      <c r="Q72" s="1960"/>
      <c r="R72" s="1960"/>
      <c r="S72" s="1960"/>
      <c r="T72" s="1960"/>
      <c r="U72" s="1960"/>
      <c r="V72" s="1960"/>
      <c r="W72" s="1960"/>
      <c r="X72" s="1960"/>
      <c r="Y72" s="1960"/>
      <c r="Z72" s="1960"/>
      <c r="AA72" s="1960"/>
      <c r="AB72" s="1960"/>
    </row>
    <row r="73" spans="1:28">
      <c r="A73" s="1938"/>
      <c r="B73" s="1271"/>
      <c r="C73" s="66"/>
      <c r="E73" s="1960"/>
      <c r="F73" s="1960"/>
      <c r="G73" s="1960"/>
      <c r="H73" s="1960"/>
      <c r="I73" s="1960"/>
      <c r="J73" s="1960"/>
      <c r="K73" s="1960"/>
      <c r="L73" s="1960"/>
      <c r="M73" s="1960"/>
      <c r="N73" s="1960"/>
      <c r="O73" s="1960"/>
      <c r="P73" s="1960"/>
      <c r="Q73" s="1960"/>
      <c r="R73" s="1960"/>
      <c r="S73" s="1960"/>
      <c r="T73" s="1960"/>
      <c r="U73" s="1960"/>
      <c r="V73" s="1960"/>
      <c r="W73" s="1960"/>
      <c r="X73" s="1960"/>
      <c r="Y73" s="1960"/>
      <c r="Z73" s="1960"/>
      <c r="AA73" s="1960"/>
      <c r="AB73" s="1960"/>
    </row>
    <row r="74" spans="1:28">
      <c r="A74" s="1938"/>
      <c r="B74" s="1271"/>
      <c r="C74" s="66"/>
      <c r="E74" s="1960"/>
      <c r="F74" s="1960"/>
      <c r="G74" s="1960"/>
      <c r="H74" s="1960"/>
      <c r="I74" s="1960"/>
      <c r="J74" s="1960"/>
      <c r="K74" s="1960"/>
      <c r="L74" s="1960"/>
      <c r="M74" s="1960"/>
      <c r="N74" s="1960"/>
      <c r="O74" s="1960"/>
      <c r="P74" s="1960"/>
      <c r="Q74" s="1960"/>
      <c r="R74" s="1960"/>
      <c r="S74" s="1960"/>
      <c r="T74" s="1960"/>
      <c r="U74" s="1960"/>
      <c r="V74" s="1960"/>
      <c r="W74" s="1960"/>
      <c r="X74" s="1960"/>
      <c r="Y74" s="1960"/>
      <c r="Z74" s="1960"/>
      <c r="AA74" s="1960"/>
      <c r="AB74" s="1960"/>
    </row>
    <row r="75" spans="1:28">
      <c r="A75" s="1938"/>
      <c r="B75" s="1271"/>
      <c r="C75" s="66"/>
      <c r="E75" s="1960"/>
      <c r="F75" s="1960"/>
      <c r="G75" s="1960"/>
      <c r="H75" s="1960"/>
      <c r="I75" s="1960"/>
      <c r="J75" s="1960"/>
      <c r="K75" s="1960"/>
      <c r="L75" s="1960"/>
      <c r="M75" s="1960"/>
      <c r="N75" s="1960"/>
      <c r="O75" s="1960"/>
      <c r="P75" s="1960"/>
      <c r="Q75" s="1960"/>
      <c r="R75" s="1960"/>
      <c r="S75" s="1960"/>
      <c r="T75" s="1960"/>
      <c r="U75" s="1960"/>
      <c r="V75" s="1960"/>
      <c r="W75" s="1960"/>
      <c r="X75" s="1960"/>
      <c r="Y75" s="1960"/>
      <c r="Z75" s="1960"/>
      <c r="AA75" s="1960"/>
      <c r="AB75" s="1960"/>
    </row>
    <row r="76" spans="1:28">
      <c r="A76" s="1938"/>
      <c r="B76" s="1271"/>
      <c r="C76" s="66"/>
      <c r="E76" s="1960"/>
      <c r="F76" s="1960"/>
      <c r="G76" s="1960"/>
      <c r="H76" s="1960"/>
      <c r="I76" s="1960"/>
      <c r="J76" s="1960"/>
      <c r="K76" s="1960"/>
      <c r="L76" s="1960"/>
      <c r="M76" s="1960"/>
      <c r="N76" s="1960"/>
      <c r="O76" s="1960"/>
      <c r="P76" s="1960"/>
      <c r="Q76" s="1960"/>
      <c r="R76" s="1960"/>
      <c r="S76" s="1960"/>
      <c r="T76" s="1960"/>
      <c r="U76" s="1960"/>
      <c r="V76" s="1960"/>
      <c r="W76" s="1960"/>
      <c r="X76" s="1960"/>
      <c r="Y76" s="1960"/>
      <c r="Z76" s="1960"/>
      <c r="AA76" s="1960"/>
      <c r="AB76" s="1960"/>
    </row>
    <row r="77" spans="1:28">
      <c r="A77" s="1938"/>
      <c r="B77" s="1271"/>
      <c r="C77" s="66"/>
      <c r="E77" s="1960"/>
      <c r="F77" s="1960"/>
      <c r="G77" s="1960"/>
      <c r="H77" s="1960"/>
      <c r="I77" s="1960"/>
      <c r="J77" s="1960"/>
      <c r="K77" s="1960"/>
      <c r="L77" s="1960"/>
      <c r="M77" s="1960"/>
      <c r="N77" s="1960"/>
      <c r="O77" s="1960"/>
      <c r="P77" s="1960"/>
      <c r="Q77" s="1960"/>
      <c r="R77" s="1960"/>
      <c r="S77" s="1960"/>
      <c r="T77" s="1960"/>
      <c r="U77" s="1960"/>
      <c r="V77" s="1960"/>
      <c r="W77" s="1960"/>
      <c r="X77" s="1960"/>
      <c r="Y77" s="1960"/>
      <c r="Z77" s="1960"/>
      <c r="AA77" s="1960"/>
      <c r="AB77" s="1960"/>
    </row>
    <row r="78" spans="1:28">
      <c r="A78" s="1938"/>
      <c r="B78" s="1271"/>
      <c r="C78" s="66"/>
      <c r="E78" s="1960"/>
      <c r="F78" s="1960"/>
      <c r="G78" s="1960"/>
      <c r="H78" s="1960"/>
      <c r="I78" s="1960"/>
      <c r="J78" s="1960"/>
      <c r="K78" s="1960"/>
      <c r="L78" s="1960"/>
      <c r="M78" s="1960"/>
      <c r="N78" s="1960"/>
      <c r="O78" s="1960"/>
      <c r="P78" s="1960"/>
      <c r="Q78" s="1960"/>
      <c r="R78" s="1960"/>
      <c r="S78" s="1960"/>
      <c r="T78" s="1960"/>
      <c r="U78" s="1960"/>
      <c r="V78" s="1960"/>
      <c r="W78" s="1960"/>
      <c r="X78" s="1960"/>
      <c r="Y78" s="1960"/>
      <c r="Z78" s="1960"/>
      <c r="AA78" s="1960"/>
      <c r="AB78" s="1960"/>
    </row>
    <row r="79" spans="1:28">
      <c r="A79" s="1938"/>
      <c r="B79" s="1271"/>
      <c r="C79" s="66"/>
      <c r="E79" s="1960"/>
      <c r="F79" s="1960"/>
      <c r="G79" s="1960"/>
      <c r="H79" s="1960"/>
      <c r="I79" s="1960"/>
      <c r="J79" s="1960"/>
      <c r="K79" s="1960"/>
      <c r="L79" s="1960"/>
      <c r="M79" s="1960"/>
      <c r="N79" s="1960"/>
      <c r="O79" s="1960"/>
      <c r="P79" s="1960"/>
      <c r="Q79" s="1960"/>
      <c r="R79" s="1960"/>
      <c r="S79" s="1960"/>
      <c r="T79" s="1960"/>
      <c r="U79" s="1960"/>
      <c r="V79" s="1960"/>
      <c r="W79" s="1960"/>
      <c r="X79" s="1960"/>
      <c r="Y79" s="1960"/>
      <c r="Z79" s="1960"/>
      <c r="AA79" s="1960"/>
      <c r="AB79" s="1960"/>
    </row>
    <row r="80" spans="1:28">
      <c r="A80" s="1938"/>
      <c r="B80" s="1271"/>
      <c r="C80" s="66"/>
      <c r="E80" s="1960"/>
      <c r="F80" s="1960"/>
      <c r="G80" s="1960"/>
      <c r="H80" s="1960"/>
      <c r="I80" s="1960"/>
      <c r="J80" s="1960"/>
      <c r="K80" s="1960"/>
      <c r="L80" s="1960"/>
      <c r="M80" s="1960"/>
      <c r="N80" s="1960"/>
      <c r="O80" s="1960"/>
      <c r="P80" s="1960"/>
      <c r="Q80" s="1960"/>
      <c r="R80" s="1960"/>
      <c r="S80" s="1960"/>
      <c r="T80" s="1960"/>
      <c r="U80" s="1960"/>
      <c r="V80" s="1960"/>
      <c r="W80" s="1960"/>
      <c r="X80" s="1960"/>
      <c r="Y80" s="1960"/>
      <c r="Z80" s="1960"/>
      <c r="AA80" s="1960"/>
      <c r="AB80" s="1960"/>
    </row>
    <row r="81" spans="1:28">
      <c r="A81" s="1938"/>
      <c r="B81" s="1271"/>
      <c r="C81" s="66"/>
      <c r="E81" s="1960"/>
      <c r="F81" s="1960"/>
      <c r="G81" s="1960"/>
      <c r="H81" s="1960"/>
      <c r="I81" s="1960"/>
      <c r="J81" s="1960"/>
      <c r="K81" s="1960"/>
      <c r="L81" s="1960"/>
      <c r="M81" s="1960"/>
      <c r="N81" s="1960"/>
      <c r="O81" s="1960"/>
      <c r="P81" s="1960"/>
      <c r="Q81" s="1960"/>
      <c r="R81" s="1960"/>
      <c r="S81" s="1960"/>
      <c r="T81" s="1960"/>
      <c r="U81" s="1960"/>
      <c r="V81" s="1960"/>
      <c r="W81" s="1960"/>
      <c r="X81" s="1960"/>
      <c r="Y81" s="1960"/>
      <c r="Z81" s="1960"/>
      <c r="AA81" s="1960"/>
      <c r="AB81" s="1960"/>
    </row>
    <row r="82" spans="1:28">
      <c r="A82" s="1938"/>
      <c r="B82" s="1271"/>
      <c r="C82" s="66"/>
      <c r="E82" s="1960"/>
      <c r="F82" s="1960"/>
      <c r="G82" s="1960"/>
      <c r="H82" s="1960"/>
      <c r="I82" s="1960"/>
      <c r="J82" s="1960"/>
      <c r="K82" s="1960"/>
      <c r="L82" s="1960"/>
      <c r="M82" s="1960"/>
      <c r="N82" s="1960"/>
      <c r="O82" s="1960"/>
      <c r="P82" s="1960"/>
      <c r="Q82" s="1960"/>
      <c r="R82" s="1960"/>
      <c r="S82" s="1960"/>
      <c r="T82" s="1960"/>
      <c r="U82" s="1960"/>
      <c r="V82" s="1960"/>
      <c r="W82" s="1960"/>
      <c r="X82" s="1960"/>
      <c r="Y82" s="1960"/>
      <c r="Z82" s="1960"/>
      <c r="AA82" s="1960"/>
      <c r="AB82" s="1960"/>
    </row>
    <row r="83" spans="1:28">
      <c r="A83" s="1938"/>
      <c r="B83" s="1271"/>
      <c r="C83" s="66"/>
      <c r="E83" s="1960"/>
      <c r="F83" s="1960"/>
      <c r="G83" s="1960"/>
      <c r="H83" s="1960"/>
      <c r="I83" s="1960"/>
      <c r="J83" s="1960"/>
      <c r="K83" s="1960"/>
      <c r="L83" s="1960"/>
      <c r="M83" s="1960"/>
      <c r="N83" s="1960"/>
      <c r="O83" s="1960"/>
      <c r="P83" s="1960"/>
      <c r="Q83" s="1960"/>
      <c r="R83" s="1960"/>
      <c r="S83" s="1960"/>
      <c r="T83" s="1960"/>
      <c r="U83" s="1960"/>
      <c r="V83" s="1960"/>
      <c r="W83" s="1960"/>
      <c r="X83" s="1960"/>
      <c r="Y83" s="1960"/>
      <c r="Z83" s="1960"/>
      <c r="AA83" s="1960"/>
      <c r="AB83" s="1960"/>
    </row>
    <row r="84" spans="1:28">
      <c r="A84" s="1938"/>
      <c r="B84" s="1271"/>
      <c r="C84" s="66"/>
      <c r="E84" s="1960"/>
      <c r="F84" s="1960"/>
      <c r="G84" s="1960"/>
      <c r="H84" s="1960"/>
      <c r="I84" s="1960"/>
      <c r="J84" s="1960"/>
      <c r="K84" s="1960"/>
      <c r="L84" s="1960"/>
      <c r="M84" s="1960"/>
      <c r="N84" s="1960"/>
      <c r="O84" s="1960"/>
      <c r="P84" s="1960"/>
      <c r="Q84" s="1960"/>
      <c r="R84" s="1960"/>
      <c r="S84" s="1960"/>
      <c r="T84" s="1960"/>
      <c r="U84" s="1960"/>
      <c r="V84" s="1960"/>
      <c r="W84" s="1960"/>
      <c r="X84" s="1960"/>
      <c r="Y84" s="1960"/>
      <c r="Z84" s="1960"/>
      <c r="AA84" s="1960"/>
      <c r="AB84" s="1960"/>
    </row>
    <row r="85" spans="1:28">
      <c r="A85" s="1938"/>
      <c r="B85" s="1271"/>
      <c r="C85" s="66"/>
      <c r="E85" s="1960"/>
      <c r="F85" s="1960"/>
      <c r="G85" s="1960"/>
      <c r="H85" s="1960"/>
      <c r="I85" s="1960"/>
      <c r="J85" s="1960"/>
      <c r="K85" s="1960"/>
      <c r="L85" s="1960"/>
      <c r="M85" s="1960"/>
      <c r="N85" s="1960"/>
      <c r="O85" s="1960"/>
      <c r="P85" s="1960"/>
      <c r="Q85" s="1960"/>
      <c r="R85" s="1960"/>
      <c r="S85" s="1960"/>
      <c r="T85" s="1960"/>
      <c r="U85" s="1960"/>
      <c r="V85" s="1960"/>
      <c r="W85" s="1960"/>
      <c r="X85" s="1960"/>
      <c r="Y85" s="1960"/>
      <c r="Z85" s="1960"/>
      <c r="AA85" s="1960"/>
      <c r="AB85" s="1960"/>
    </row>
    <row r="86" spans="1:28">
      <c r="A86" s="1938"/>
      <c r="B86" s="1271"/>
      <c r="C86" s="66"/>
      <c r="E86" s="1960"/>
      <c r="F86" s="1960"/>
      <c r="G86" s="1960"/>
      <c r="H86" s="1960"/>
      <c r="I86" s="1960"/>
      <c r="J86" s="1960"/>
      <c r="K86" s="1960"/>
      <c r="L86" s="1960"/>
      <c r="M86" s="1960"/>
      <c r="N86" s="1960"/>
      <c r="O86" s="1960"/>
      <c r="P86" s="1960"/>
      <c r="Q86" s="1960"/>
      <c r="R86" s="1960"/>
      <c r="S86" s="1960"/>
      <c r="T86" s="1960"/>
      <c r="U86" s="1960"/>
      <c r="V86" s="1960"/>
      <c r="W86" s="1960"/>
      <c r="X86" s="1960"/>
      <c r="Y86" s="1960"/>
      <c r="Z86" s="1960"/>
      <c r="AA86" s="1960"/>
      <c r="AB86" s="1960"/>
    </row>
    <row r="87" spans="1:28">
      <c r="A87" s="1938"/>
      <c r="B87" s="1271"/>
      <c r="C87" s="66"/>
      <c r="E87" s="1960"/>
      <c r="F87" s="1960"/>
      <c r="G87" s="1960"/>
      <c r="H87" s="1960"/>
      <c r="I87" s="1960"/>
      <c r="J87" s="1960"/>
      <c r="K87" s="1960"/>
      <c r="L87" s="1960"/>
      <c r="M87" s="1960"/>
      <c r="N87" s="1960"/>
      <c r="O87" s="1960"/>
      <c r="P87" s="1960"/>
      <c r="Q87" s="1960"/>
      <c r="R87" s="1960"/>
      <c r="S87" s="1960"/>
      <c r="T87" s="1960"/>
      <c r="U87" s="1960"/>
      <c r="V87" s="1960"/>
      <c r="W87" s="1960"/>
      <c r="X87" s="1960"/>
      <c r="Y87" s="1960"/>
      <c r="Z87" s="1960"/>
      <c r="AA87" s="1960"/>
      <c r="AB87" s="1960"/>
    </row>
    <row r="88" spans="1:28">
      <c r="A88" s="1938"/>
      <c r="B88" s="1271"/>
      <c r="C88" s="66"/>
      <c r="E88" s="1960"/>
      <c r="F88" s="1960"/>
      <c r="G88" s="1960"/>
      <c r="H88" s="1960"/>
      <c r="I88" s="1960"/>
      <c r="J88" s="1960"/>
      <c r="K88" s="1960"/>
      <c r="L88" s="1960"/>
      <c r="M88" s="1960"/>
      <c r="N88" s="1960"/>
      <c r="O88" s="1960"/>
      <c r="P88" s="1960"/>
      <c r="Q88" s="1960"/>
      <c r="R88" s="1960"/>
      <c r="S88" s="1960"/>
      <c r="T88" s="1960"/>
      <c r="U88" s="1960"/>
      <c r="V88" s="1960"/>
      <c r="W88" s="1960"/>
      <c r="X88" s="1960"/>
      <c r="Y88" s="1960"/>
      <c r="Z88" s="1960"/>
      <c r="AA88" s="1960"/>
      <c r="AB88" s="1960"/>
    </row>
    <row r="89" spans="1:28">
      <c r="A89" s="1938"/>
      <c r="B89" s="1271"/>
      <c r="C89" s="66"/>
      <c r="E89" s="1960"/>
      <c r="F89" s="1960"/>
      <c r="G89" s="1960"/>
      <c r="H89" s="1960"/>
      <c r="I89" s="1960"/>
      <c r="J89" s="1960"/>
      <c r="K89" s="1960"/>
      <c r="L89" s="1960"/>
      <c r="M89" s="1960"/>
      <c r="N89" s="1960"/>
      <c r="O89" s="1960"/>
      <c r="P89" s="1960"/>
      <c r="Q89" s="1960"/>
      <c r="R89" s="1960"/>
      <c r="S89" s="1960"/>
      <c r="T89" s="1960"/>
      <c r="U89" s="1960"/>
      <c r="V89" s="1960"/>
      <c r="W89" s="1960"/>
      <c r="X89" s="1960"/>
      <c r="Y89" s="1960"/>
      <c r="Z89" s="1960"/>
      <c r="AA89" s="1960"/>
      <c r="AB89" s="1960"/>
    </row>
    <row r="90" spans="1:28">
      <c r="A90" s="1938"/>
      <c r="B90" s="1271"/>
      <c r="C90" s="66"/>
      <c r="E90" s="1960"/>
      <c r="F90" s="1960"/>
      <c r="G90" s="1960"/>
      <c r="H90" s="1960"/>
      <c r="I90" s="1960"/>
      <c r="J90" s="1960"/>
      <c r="K90" s="1960"/>
      <c r="L90" s="1960"/>
      <c r="M90" s="1960"/>
      <c r="N90" s="1960"/>
      <c r="O90" s="1960"/>
      <c r="P90" s="1960"/>
      <c r="Q90" s="1960"/>
      <c r="R90" s="1960"/>
      <c r="S90" s="1960"/>
      <c r="T90" s="1960"/>
      <c r="U90" s="1960"/>
      <c r="V90" s="1960"/>
      <c r="W90" s="1960"/>
      <c r="X90" s="1960"/>
      <c r="Y90" s="1960"/>
      <c r="Z90" s="1960"/>
      <c r="AA90" s="1960"/>
      <c r="AB90" s="1960"/>
    </row>
    <row r="91" spans="1:28">
      <c r="A91" s="1938"/>
      <c r="B91" s="1271"/>
      <c r="C91" s="66"/>
      <c r="E91" s="1960"/>
      <c r="F91" s="1960"/>
      <c r="G91" s="1960"/>
      <c r="H91" s="1960"/>
      <c r="I91" s="1960"/>
      <c r="J91" s="1960"/>
      <c r="K91" s="1960"/>
      <c r="L91" s="1960"/>
      <c r="M91" s="1960"/>
      <c r="N91" s="1960"/>
      <c r="O91" s="1960"/>
      <c r="P91" s="1960"/>
      <c r="Q91" s="1960"/>
      <c r="R91" s="1960"/>
      <c r="S91" s="1960"/>
      <c r="T91" s="1960"/>
      <c r="U91" s="1960"/>
      <c r="V91" s="1960"/>
      <c r="W91" s="1960"/>
      <c r="X91" s="1960"/>
      <c r="Y91" s="1960"/>
      <c r="Z91" s="1960"/>
      <c r="AA91" s="1960"/>
      <c r="AB91" s="1960"/>
    </row>
    <row r="92" spans="1:28">
      <c r="A92" s="1938"/>
      <c r="B92" s="1271"/>
      <c r="C92" s="66"/>
      <c r="E92" s="1960"/>
      <c r="F92" s="1960"/>
      <c r="G92" s="1960"/>
      <c r="H92" s="1960"/>
      <c r="I92" s="1960"/>
      <c r="J92" s="1960"/>
      <c r="K92" s="1960"/>
      <c r="L92" s="1960"/>
      <c r="M92" s="1960"/>
      <c r="N92" s="1960"/>
      <c r="O92" s="1960"/>
      <c r="P92" s="1960"/>
      <c r="Q92" s="1960"/>
      <c r="R92" s="1960"/>
      <c r="S92" s="1960"/>
      <c r="T92" s="1960"/>
      <c r="U92" s="1960"/>
      <c r="V92" s="1960"/>
      <c r="W92" s="1960"/>
      <c r="X92" s="1960"/>
      <c r="Y92" s="1960"/>
      <c r="Z92" s="1960"/>
      <c r="AA92" s="1960"/>
      <c r="AB92" s="1960"/>
    </row>
    <row r="93" spans="1:28">
      <c r="A93" s="1938"/>
      <c r="B93" s="1271"/>
      <c r="C93" s="66"/>
      <c r="E93" s="1960"/>
      <c r="F93" s="1960"/>
      <c r="G93" s="1960"/>
      <c r="H93" s="1960"/>
      <c r="I93" s="1960"/>
      <c r="J93" s="1960"/>
      <c r="K93" s="1960"/>
      <c r="L93" s="1960"/>
      <c r="M93" s="1960"/>
      <c r="N93" s="1960"/>
      <c r="O93" s="1960"/>
      <c r="P93" s="1960"/>
      <c r="Q93" s="1960"/>
      <c r="R93" s="1960"/>
      <c r="S93" s="1960"/>
      <c r="T93" s="1960"/>
      <c r="U93" s="1960"/>
      <c r="V93" s="1960"/>
      <c r="W93" s="1960"/>
      <c r="X93" s="1960"/>
      <c r="Y93" s="1960"/>
      <c r="Z93" s="1960"/>
      <c r="AA93" s="1960"/>
      <c r="AB93" s="1960"/>
    </row>
    <row r="94" spans="1:28">
      <c r="A94" s="1938"/>
      <c r="B94" s="1271"/>
      <c r="C94" s="66"/>
      <c r="E94" s="1960"/>
      <c r="F94" s="1960"/>
      <c r="G94" s="1960"/>
      <c r="H94" s="1960"/>
      <c r="I94" s="1960"/>
      <c r="J94" s="1960"/>
      <c r="K94" s="1960"/>
      <c r="L94" s="1960"/>
      <c r="M94" s="1960"/>
      <c r="N94" s="1960"/>
      <c r="O94" s="1960"/>
      <c r="P94" s="1960"/>
      <c r="Q94" s="1960"/>
      <c r="R94" s="1960"/>
      <c r="S94" s="1960"/>
      <c r="T94" s="1960"/>
      <c r="U94" s="1960"/>
      <c r="V94" s="1960"/>
      <c r="W94" s="1960"/>
      <c r="X94" s="1960"/>
      <c r="Y94" s="1960"/>
      <c r="Z94" s="1960"/>
      <c r="AA94" s="1960"/>
      <c r="AB94" s="1960"/>
    </row>
    <row r="95" spans="1:28">
      <c r="A95" s="1938"/>
      <c r="B95" s="1271"/>
      <c r="C95" s="66"/>
      <c r="E95" s="1960"/>
      <c r="F95" s="1960"/>
      <c r="G95" s="1960"/>
      <c r="H95" s="1960"/>
      <c r="I95" s="1960"/>
      <c r="J95" s="1960"/>
      <c r="K95" s="1960"/>
      <c r="L95" s="1960"/>
      <c r="M95" s="1960"/>
      <c r="N95" s="1960"/>
      <c r="O95" s="1960"/>
      <c r="P95" s="1960"/>
      <c r="Q95" s="1960"/>
      <c r="R95" s="1960"/>
      <c r="S95" s="1960"/>
      <c r="T95" s="1960"/>
      <c r="U95" s="1960"/>
      <c r="V95" s="1960"/>
      <c r="W95" s="1960"/>
      <c r="X95" s="1960"/>
      <c r="Y95" s="1960"/>
      <c r="Z95" s="1960"/>
      <c r="AA95" s="1960"/>
      <c r="AB95" s="1960"/>
    </row>
    <row r="96" spans="1:28">
      <c r="A96" s="1938"/>
      <c r="B96" s="1271"/>
      <c r="C96" s="66"/>
      <c r="E96" s="1960"/>
      <c r="F96" s="1960"/>
      <c r="G96" s="1960"/>
      <c r="H96" s="1960"/>
      <c r="I96" s="1960"/>
      <c r="J96" s="1960"/>
      <c r="K96" s="1960"/>
      <c r="L96" s="1960"/>
      <c r="M96" s="1960"/>
      <c r="N96" s="1960"/>
      <c r="O96" s="1960"/>
      <c r="P96" s="1960"/>
      <c r="Q96" s="1960"/>
      <c r="R96" s="1960"/>
      <c r="S96" s="1960"/>
      <c r="T96" s="1960"/>
      <c r="U96" s="1960"/>
      <c r="V96" s="1960"/>
      <c r="W96" s="1960"/>
      <c r="X96" s="1960"/>
      <c r="Y96" s="1960"/>
      <c r="Z96" s="1960"/>
      <c r="AA96" s="1960"/>
      <c r="AB96" s="1960"/>
    </row>
    <row r="97" spans="1:28">
      <c r="A97" s="1938"/>
      <c r="B97" s="1271"/>
      <c r="C97" s="66"/>
      <c r="E97" s="1960"/>
      <c r="F97" s="1960"/>
      <c r="G97" s="1960"/>
      <c r="H97" s="1960"/>
      <c r="I97" s="1960"/>
      <c r="J97" s="1960"/>
      <c r="K97" s="1960"/>
      <c r="L97" s="1960"/>
      <c r="M97" s="1960"/>
      <c r="N97" s="1960"/>
      <c r="O97" s="1960"/>
      <c r="P97" s="1960"/>
      <c r="Q97" s="1960"/>
      <c r="R97" s="1960"/>
      <c r="S97" s="1960"/>
      <c r="T97" s="1960"/>
      <c r="U97" s="1960"/>
      <c r="V97" s="1960"/>
      <c r="W97" s="1960"/>
      <c r="X97" s="1960"/>
      <c r="Y97" s="1960"/>
      <c r="Z97" s="1960"/>
      <c r="AA97" s="1960"/>
      <c r="AB97" s="1960"/>
    </row>
    <row r="98" spans="1:28">
      <c r="A98" s="1938"/>
      <c r="B98" s="1271"/>
      <c r="C98" s="66"/>
      <c r="E98" s="1960"/>
      <c r="F98" s="1960"/>
      <c r="G98" s="1960"/>
      <c r="H98" s="1960"/>
      <c r="I98" s="1960"/>
      <c r="J98" s="1960"/>
      <c r="K98" s="1960"/>
      <c r="L98" s="1960"/>
      <c r="M98" s="1960"/>
      <c r="N98" s="1960"/>
      <c r="O98" s="1960"/>
      <c r="P98" s="1960"/>
      <c r="Q98" s="1960"/>
      <c r="R98" s="1960"/>
      <c r="S98" s="1960"/>
      <c r="T98" s="1960"/>
      <c r="U98" s="1960"/>
      <c r="V98" s="1960"/>
      <c r="W98" s="1960"/>
      <c r="X98" s="1960"/>
      <c r="Y98" s="1960"/>
      <c r="Z98" s="1960"/>
      <c r="AA98" s="1960"/>
      <c r="AB98" s="1960"/>
    </row>
    <row r="99" spans="1:28">
      <c r="A99" s="1938"/>
      <c r="B99" s="1271"/>
      <c r="C99" s="66"/>
      <c r="E99" s="1960"/>
      <c r="F99" s="1960"/>
      <c r="G99" s="1960"/>
      <c r="H99" s="1960"/>
      <c r="I99" s="1960"/>
      <c r="J99" s="1960"/>
      <c r="K99" s="1960"/>
      <c r="L99" s="1960"/>
      <c r="M99" s="1960"/>
      <c r="N99" s="1960"/>
      <c r="O99" s="1960"/>
      <c r="P99" s="1960"/>
      <c r="Q99" s="1960"/>
      <c r="R99" s="1960"/>
      <c r="S99" s="1960"/>
      <c r="T99" s="1960"/>
      <c r="U99" s="1960"/>
      <c r="V99" s="1960"/>
      <c r="W99" s="1960"/>
      <c r="X99" s="1960"/>
      <c r="Y99" s="1960"/>
      <c r="Z99" s="1960"/>
      <c r="AA99" s="1960"/>
      <c r="AB99" s="1960"/>
    </row>
    <row r="100" spans="1:28">
      <c r="B100" s="1271"/>
      <c r="C100" s="66"/>
      <c r="E100" s="1960"/>
      <c r="F100" s="1960"/>
      <c r="G100" s="1960"/>
      <c r="H100" s="1960"/>
      <c r="I100" s="1960"/>
      <c r="J100" s="1960"/>
      <c r="K100" s="1960"/>
      <c r="L100" s="1960"/>
      <c r="M100" s="1960"/>
      <c r="N100" s="1960"/>
      <c r="O100" s="1960"/>
      <c r="P100" s="1960"/>
      <c r="Q100" s="1960"/>
      <c r="R100" s="1960"/>
      <c r="S100" s="1960"/>
      <c r="T100" s="1960"/>
      <c r="U100" s="1960"/>
      <c r="V100" s="1960"/>
      <c r="W100" s="1960"/>
      <c r="X100" s="1960"/>
      <c r="Y100" s="1960"/>
      <c r="Z100" s="1960"/>
      <c r="AA100" s="1960"/>
      <c r="AB100" s="1960"/>
    </row>
    <row r="101" spans="1:28">
      <c r="B101" s="1271"/>
      <c r="C101" s="66"/>
      <c r="E101" s="1960"/>
      <c r="F101" s="1960"/>
      <c r="G101" s="1960"/>
      <c r="H101" s="1960"/>
      <c r="I101" s="1960"/>
      <c r="J101" s="1960"/>
      <c r="K101" s="1960"/>
      <c r="L101" s="1960"/>
      <c r="M101" s="1960"/>
      <c r="N101" s="1960"/>
      <c r="O101" s="1960"/>
      <c r="P101" s="1960"/>
      <c r="Q101" s="1960"/>
      <c r="R101" s="1960"/>
      <c r="S101" s="1960"/>
      <c r="T101" s="1960"/>
      <c r="U101" s="1960"/>
      <c r="V101" s="1960"/>
      <c r="W101" s="1960"/>
      <c r="X101" s="1960"/>
      <c r="Y101" s="1960"/>
      <c r="Z101" s="1960"/>
      <c r="AA101" s="1960"/>
      <c r="AB101" s="1960"/>
    </row>
    <row r="102" spans="1:28">
      <c r="B102" s="1271"/>
      <c r="C102" s="66"/>
      <c r="E102" s="1960"/>
      <c r="F102" s="1960"/>
      <c r="G102" s="1960"/>
      <c r="H102" s="1960"/>
      <c r="I102" s="1960"/>
      <c r="J102" s="1960"/>
      <c r="K102" s="1960"/>
      <c r="L102" s="1960"/>
      <c r="M102" s="1960"/>
      <c r="N102" s="1960"/>
      <c r="O102" s="1960"/>
      <c r="P102" s="1960"/>
      <c r="Q102" s="1960"/>
      <c r="R102" s="1960"/>
      <c r="S102" s="1960"/>
      <c r="T102" s="1960"/>
      <c r="U102" s="1960"/>
      <c r="V102" s="1960"/>
      <c r="W102" s="1960"/>
      <c r="X102" s="1960"/>
      <c r="Y102" s="1960"/>
      <c r="Z102" s="1960"/>
      <c r="AA102" s="1960"/>
      <c r="AB102" s="1960"/>
    </row>
    <row r="103" spans="1:28">
      <c r="C103" s="66"/>
      <c r="E103" s="1960"/>
      <c r="F103" s="1960"/>
      <c r="G103" s="1960"/>
      <c r="H103" s="1960"/>
      <c r="I103" s="1960"/>
      <c r="J103" s="1960"/>
      <c r="K103" s="1960"/>
      <c r="L103" s="1960"/>
      <c r="M103" s="1960"/>
      <c r="N103" s="1960"/>
      <c r="O103" s="1960"/>
      <c r="P103" s="1960"/>
      <c r="Q103" s="1960"/>
      <c r="R103" s="1960"/>
      <c r="S103" s="1960"/>
      <c r="T103" s="1960"/>
      <c r="U103" s="1960"/>
      <c r="V103" s="1960"/>
      <c r="W103" s="1960"/>
      <c r="X103" s="1960"/>
      <c r="Y103" s="1960"/>
      <c r="Z103" s="1960"/>
      <c r="AA103" s="1960"/>
      <c r="AB103" s="1960"/>
    </row>
    <row r="104" spans="1:28">
      <c r="C104" s="66"/>
      <c r="E104" s="1960"/>
      <c r="F104" s="1960"/>
      <c r="G104" s="1960"/>
      <c r="H104" s="1960"/>
      <c r="I104" s="1960"/>
      <c r="J104" s="1960"/>
      <c r="K104" s="1960"/>
      <c r="L104" s="1960"/>
      <c r="M104" s="1960"/>
      <c r="N104" s="1960"/>
      <c r="O104" s="1960"/>
      <c r="P104" s="1960"/>
      <c r="Q104" s="1960"/>
      <c r="R104" s="1960"/>
      <c r="S104" s="1960"/>
      <c r="T104" s="1960"/>
      <c r="U104" s="1960"/>
      <c r="V104" s="1960"/>
      <c r="W104" s="1960"/>
      <c r="X104" s="1960"/>
      <c r="Y104" s="1960"/>
      <c r="Z104" s="1960"/>
      <c r="AA104" s="1960"/>
      <c r="AB104" s="1960"/>
    </row>
    <row r="105" spans="1:28">
      <c r="C105" s="66"/>
      <c r="E105" s="1960"/>
      <c r="F105" s="1960"/>
      <c r="G105" s="1960"/>
      <c r="H105" s="1960"/>
      <c r="I105" s="1960"/>
      <c r="J105" s="1960"/>
      <c r="K105" s="1960"/>
      <c r="L105" s="1960"/>
      <c r="M105" s="1960"/>
      <c r="N105" s="1960"/>
      <c r="O105" s="1960"/>
      <c r="P105" s="1960"/>
      <c r="Q105" s="1960"/>
      <c r="R105" s="1960"/>
      <c r="S105" s="1960"/>
      <c r="T105" s="1960"/>
      <c r="U105" s="1960"/>
      <c r="V105" s="1960"/>
      <c r="W105" s="1960"/>
      <c r="X105" s="1960"/>
      <c r="Y105" s="1960"/>
      <c r="Z105" s="1960"/>
      <c r="AA105" s="1960"/>
      <c r="AB105" s="1960"/>
    </row>
    <row r="106" spans="1:28">
      <c r="C106" s="66"/>
      <c r="E106" s="1960"/>
      <c r="F106" s="1960"/>
      <c r="G106" s="1960"/>
      <c r="H106" s="1960"/>
      <c r="I106" s="1960"/>
      <c r="J106" s="1960"/>
      <c r="K106" s="1960"/>
      <c r="L106" s="1960"/>
      <c r="M106" s="1960"/>
      <c r="N106" s="1960"/>
      <c r="O106" s="1960"/>
      <c r="P106" s="1960"/>
      <c r="Q106" s="1960"/>
      <c r="R106" s="1960"/>
      <c r="S106" s="1960"/>
      <c r="T106" s="1960"/>
      <c r="U106" s="1960"/>
      <c r="V106" s="1960"/>
      <c r="W106" s="1960"/>
      <c r="X106" s="1960"/>
      <c r="Y106" s="1960"/>
      <c r="Z106" s="1960"/>
      <c r="AA106" s="1960"/>
      <c r="AB106" s="1960"/>
    </row>
    <row r="107" spans="1:28">
      <c r="C107" s="66"/>
      <c r="E107" s="1960"/>
      <c r="F107" s="1960"/>
      <c r="G107" s="1960"/>
      <c r="H107" s="1960"/>
      <c r="I107" s="1960"/>
      <c r="J107" s="1960"/>
      <c r="K107" s="1960"/>
      <c r="L107" s="1960"/>
      <c r="M107" s="1960"/>
      <c r="N107" s="1960"/>
      <c r="O107" s="1960"/>
      <c r="P107" s="1960"/>
      <c r="Q107" s="1960"/>
      <c r="R107" s="1960"/>
      <c r="S107" s="1960"/>
      <c r="T107" s="1960"/>
      <c r="U107" s="1960"/>
      <c r="V107" s="1960"/>
      <c r="W107" s="1960"/>
      <c r="X107" s="1960"/>
      <c r="Y107" s="1960"/>
      <c r="Z107" s="1960"/>
      <c r="AA107" s="1960"/>
      <c r="AB107" s="1960"/>
    </row>
    <row r="108" spans="1:28">
      <c r="C108" s="66"/>
      <c r="E108" s="1960"/>
      <c r="F108" s="1960"/>
      <c r="G108" s="1960"/>
      <c r="H108" s="1960"/>
      <c r="I108" s="1960"/>
      <c r="J108" s="1960"/>
      <c r="K108" s="1960"/>
      <c r="L108" s="1960"/>
      <c r="M108" s="1960"/>
      <c r="N108" s="1960"/>
      <c r="O108" s="1960"/>
      <c r="P108" s="1960"/>
      <c r="Q108" s="1960"/>
      <c r="R108" s="1960"/>
      <c r="S108" s="1960"/>
      <c r="T108" s="1960"/>
      <c r="U108" s="1960"/>
      <c r="V108" s="1960"/>
      <c r="W108" s="1960"/>
      <c r="X108" s="1960"/>
      <c r="Y108" s="1960"/>
      <c r="Z108" s="1960"/>
      <c r="AA108" s="1960"/>
      <c r="AB108" s="1960"/>
    </row>
    <row r="109" spans="1:28">
      <c r="C109" s="66"/>
      <c r="E109" s="1960"/>
      <c r="F109" s="1960"/>
      <c r="G109" s="1960"/>
      <c r="H109" s="1960"/>
      <c r="I109" s="1960"/>
      <c r="J109" s="1960"/>
      <c r="K109" s="1960"/>
      <c r="L109" s="1960"/>
      <c r="M109" s="1960"/>
      <c r="N109" s="1960"/>
      <c r="O109" s="1960"/>
      <c r="P109" s="1960"/>
      <c r="Q109" s="1960"/>
      <c r="R109" s="1960"/>
      <c r="S109" s="1960"/>
      <c r="T109" s="1960"/>
      <c r="U109" s="1960"/>
      <c r="V109" s="1960"/>
      <c r="W109" s="1960"/>
      <c r="X109" s="1960"/>
      <c r="Y109" s="1960"/>
      <c r="Z109" s="1960"/>
      <c r="AA109" s="1960"/>
      <c r="AB109" s="1960"/>
    </row>
    <row r="110" spans="1:28">
      <c r="C110" s="66"/>
      <c r="E110" s="1960"/>
      <c r="F110" s="1960"/>
      <c r="G110" s="1960"/>
      <c r="H110" s="1960"/>
      <c r="I110" s="1960"/>
      <c r="J110" s="1960"/>
      <c r="K110" s="1960"/>
      <c r="L110" s="1960"/>
      <c r="M110" s="1960"/>
      <c r="N110" s="1960"/>
      <c r="O110" s="1960"/>
      <c r="P110" s="1960"/>
      <c r="Q110" s="1960"/>
      <c r="R110" s="1960"/>
      <c r="S110" s="1960"/>
      <c r="T110" s="1960"/>
      <c r="U110" s="1960"/>
      <c r="V110" s="1960"/>
      <c r="W110" s="1960"/>
      <c r="X110" s="1960"/>
      <c r="Y110" s="1960"/>
      <c r="Z110" s="1960"/>
      <c r="AA110" s="1960"/>
      <c r="AB110" s="1960"/>
    </row>
    <row r="111" spans="1:28">
      <c r="C111" s="66"/>
      <c r="E111" s="1960"/>
      <c r="F111" s="1960"/>
      <c r="G111" s="1960"/>
      <c r="H111" s="1960"/>
      <c r="I111" s="1960"/>
      <c r="J111" s="1960"/>
      <c r="K111" s="1960"/>
      <c r="L111" s="1960"/>
      <c r="M111" s="1960"/>
      <c r="N111" s="1960"/>
      <c r="O111" s="1960"/>
      <c r="P111" s="1960"/>
      <c r="Q111" s="1960"/>
      <c r="R111" s="1960"/>
      <c r="S111" s="1960"/>
      <c r="T111" s="1960"/>
      <c r="U111" s="1960"/>
      <c r="V111" s="1960"/>
      <c r="W111" s="1960"/>
      <c r="X111" s="1960"/>
      <c r="Y111" s="1960"/>
      <c r="Z111" s="1960"/>
      <c r="AA111" s="1960"/>
      <c r="AB111" s="1960"/>
    </row>
    <row r="112" spans="1:28">
      <c r="C112" s="66"/>
      <c r="E112" s="1960"/>
      <c r="F112" s="1960"/>
      <c r="G112" s="1960"/>
      <c r="H112" s="1960"/>
      <c r="I112" s="1960"/>
      <c r="J112" s="1960"/>
      <c r="K112" s="1960"/>
      <c r="L112" s="1960"/>
      <c r="M112" s="1960"/>
      <c r="N112" s="1960"/>
      <c r="O112" s="1960"/>
      <c r="P112" s="1960"/>
      <c r="Q112" s="1960"/>
      <c r="R112" s="1960"/>
      <c r="S112" s="1960"/>
      <c r="T112" s="1960"/>
      <c r="U112" s="1960"/>
      <c r="V112" s="1960"/>
      <c r="W112" s="1960"/>
      <c r="X112" s="1960"/>
      <c r="Y112" s="1960"/>
      <c r="Z112" s="1960"/>
      <c r="AA112" s="1960"/>
      <c r="AB112" s="1960"/>
    </row>
    <row r="113" spans="2:28">
      <c r="C113" s="66"/>
      <c r="E113" s="1960"/>
      <c r="F113" s="1960"/>
      <c r="G113" s="1960"/>
      <c r="H113" s="1960"/>
      <c r="I113" s="1960"/>
      <c r="J113" s="1960"/>
      <c r="K113" s="1960"/>
      <c r="L113" s="1960"/>
      <c r="M113" s="1960"/>
      <c r="N113" s="1960"/>
      <c r="O113" s="1960"/>
      <c r="P113" s="1960"/>
      <c r="Q113" s="1960"/>
      <c r="R113" s="1960"/>
      <c r="S113" s="1960"/>
      <c r="T113" s="1960"/>
      <c r="U113" s="1960"/>
      <c r="V113" s="1960"/>
      <c r="W113" s="1960"/>
      <c r="X113" s="1960"/>
      <c r="Y113" s="1960"/>
      <c r="Z113" s="1960"/>
      <c r="AA113" s="1960"/>
      <c r="AB113" s="1960"/>
    </row>
    <row r="114" spans="2:28">
      <c r="C114" s="66"/>
      <c r="E114" s="1960"/>
      <c r="F114" s="1960"/>
      <c r="G114" s="1960"/>
      <c r="H114" s="1960"/>
      <c r="I114" s="1960"/>
      <c r="J114" s="1960"/>
      <c r="K114" s="1960"/>
      <c r="L114" s="1960"/>
      <c r="M114" s="1960"/>
      <c r="N114" s="1960"/>
      <c r="O114" s="1960"/>
      <c r="P114" s="1960"/>
      <c r="Q114" s="1960"/>
      <c r="R114" s="1960"/>
      <c r="S114" s="1960"/>
      <c r="T114" s="1960"/>
      <c r="U114" s="1960"/>
      <c r="V114" s="1960"/>
      <c r="W114" s="1960"/>
      <c r="X114" s="1960"/>
      <c r="Y114" s="1960"/>
      <c r="Z114" s="1960"/>
      <c r="AA114" s="1960"/>
      <c r="AB114" s="1960"/>
    </row>
    <row r="115" spans="2:28">
      <c r="C115" s="66"/>
      <c r="E115" s="1960"/>
      <c r="F115" s="1960"/>
      <c r="G115" s="1960"/>
      <c r="H115" s="1960"/>
      <c r="I115" s="1960"/>
      <c r="J115" s="1960"/>
      <c r="K115" s="1960"/>
      <c r="L115" s="1960"/>
      <c r="M115" s="1960"/>
      <c r="N115" s="1960"/>
      <c r="O115" s="1960"/>
      <c r="P115" s="1960"/>
      <c r="Q115" s="1960"/>
      <c r="R115" s="1960"/>
      <c r="S115" s="1960"/>
      <c r="T115" s="1960"/>
      <c r="U115" s="1960"/>
      <c r="V115" s="1960"/>
      <c r="W115" s="1960"/>
      <c r="X115" s="1960"/>
      <c r="Y115" s="1960"/>
      <c r="Z115" s="1960"/>
      <c r="AA115" s="1960"/>
      <c r="AB115" s="1960"/>
    </row>
    <row r="116" spans="2:28">
      <c r="C116" s="66"/>
      <c r="E116" s="1960"/>
      <c r="F116" s="1960"/>
      <c r="G116" s="1960"/>
      <c r="H116" s="1960"/>
      <c r="I116" s="1960"/>
      <c r="J116" s="1960"/>
      <c r="K116" s="1960"/>
      <c r="L116" s="1960"/>
      <c r="M116" s="1960"/>
      <c r="N116" s="1960"/>
      <c r="O116" s="1960"/>
      <c r="P116" s="1960"/>
      <c r="Q116" s="1960"/>
      <c r="R116" s="1960"/>
      <c r="S116" s="1960"/>
      <c r="T116" s="1960"/>
      <c r="U116" s="1960"/>
      <c r="V116" s="1960"/>
      <c r="W116" s="1960"/>
      <c r="X116" s="1960"/>
      <c r="Y116" s="1960"/>
      <c r="Z116" s="1960"/>
      <c r="AA116" s="1960"/>
      <c r="AB116" s="1960"/>
    </row>
    <row r="117" spans="2:28">
      <c r="C117" s="66"/>
      <c r="E117" s="1960"/>
      <c r="F117" s="1960"/>
      <c r="G117" s="1960"/>
      <c r="H117" s="1960"/>
      <c r="I117" s="1960"/>
      <c r="J117" s="1960"/>
      <c r="K117" s="1960"/>
      <c r="L117" s="1960"/>
      <c r="M117" s="1960"/>
      <c r="N117" s="1960"/>
      <c r="O117" s="1960"/>
      <c r="P117" s="1960"/>
      <c r="Q117" s="1960"/>
      <c r="R117" s="1960"/>
      <c r="S117" s="1960"/>
      <c r="T117" s="1960"/>
      <c r="U117" s="1960"/>
      <c r="V117" s="1960"/>
      <c r="W117" s="1960"/>
      <c r="X117" s="1960"/>
      <c r="Y117" s="1960"/>
      <c r="Z117" s="1960"/>
      <c r="AA117" s="1960"/>
      <c r="AB117" s="1960"/>
    </row>
    <row r="118" spans="2:28">
      <c r="C118" s="66"/>
      <c r="E118" s="1960"/>
      <c r="F118" s="1960"/>
      <c r="G118" s="1960"/>
      <c r="H118" s="1960"/>
      <c r="I118" s="1960"/>
      <c r="J118" s="1960"/>
      <c r="K118" s="1960"/>
      <c r="L118" s="1960"/>
      <c r="M118" s="1960"/>
      <c r="N118" s="1960"/>
      <c r="O118" s="1960"/>
      <c r="P118" s="1960"/>
      <c r="Q118" s="1960"/>
      <c r="R118" s="1960"/>
      <c r="S118" s="1960"/>
      <c r="T118" s="1960"/>
      <c r="U118" s="1960"/>
      <c r="V118" s="1960"/>
      <c r="W118" s="1960"/>
      <c r="X118" s="1960"/>
      <c r="Y118" s="1960"/>
      <c r="Z118" s="1960"/>
      <c r="AA118" s="1960"/>
      <c r="AB118" s="1960"/>
    </row>
    <row r="119" spans="2:28">
      <c r="C119" s="66"/>
      <c r="E119" s="1960"/>
      <c r="F119" s="1960"/>
      <c r="G119" s="1960"/>
      <c r="H119" s="1960"/>
      <c r="I119" s="1960"/>
      <c r="J119" s="1960"/>
      <c r="K119" s="1960"/>
      <c r="L119" s="1960"/>
      <c r="M119" s="1960"/>
      <c r="N119" s="1960"/>
      <c r="O119" s="1960"/>
      <c r="P119" s="1960"/>
      <c r="Q119" s="1960"/>
      <c r="R119" s="1960"/>
      <c r="S119" s="1960"/>
      <c r="T119" s="1960"/>
      <c r="U119" s="1960"/>
      <c r="V119" s="1960"/>
      <c r="W119" s="1960"/>
      <c r="X119" s="1960"/>
      <c r="Y119" s="1960"/>
      <c r="Z119" s="1960"/>
      <c r="AA119" s="1960"/>
      <c r="AB119" s="1960"/>
    </row>
    <row r="120" spans="2:28">
      <c r="C120" s="66"/>
      <c r="E120" s="1960"/>
      <c r="F120" s="1960"/>
      <c r="G120" s="1960"/>
      <c r="H120" s="1960"/>
      <c r="I120" s="1960"/>
      <c r="J120" s="1960"/>
      <c r="K120" s="1960"/>
      <c r="L120" s="1960"/>
      <c r="M120" s="1960"/>
      <c r="N120" s="1960"/>
      <c r="O120" s="1960"/>
      <c r="P120" s="1960"/>
      <c r="Q120" s="1960"/>
      <c r="R120" s="1960"/>
      <c r="S120" s="1960"/>
      <c r="T120" s="1960"/>
      <c r="U120" s="1960"/>
      <c r="V120" s="1960"/>
      <c r="W120" s="1960"/>
      <c r="X120" s="1960"/>
      <c r="Y120" s="1960"/>
      <c r="Z120" s="1960"/>
      <c r="AA120" s="1960"/>
      <c r="AB120" s="1960"/>
    </row>
    <row r="121" spans="2:28">
      <c r="B121" s="2836" t="s">
        <v>550</v>
      </c>
      <c r="C121" s="66"/>
      <c r="E121" s="1960"/>
      <c r="F121" s="1960"/>
      <c r="G121" s="1960"/>
      <c r="H121" s="1960"/>
      <c r="I121" s="1960"/>
      <c r="J121" s="1960"/>
      <c r="K121" s="1960"/>
      <c r="L121" s="1960"/>
      <c r="M121" s="1960"/>
      <c r="N121" s="1960"/>
      <c r="O121" s="1960"/>
      <c r="P121" s="1960"/>
      <c r="Q121" s="1960"/>
      <c r="R121" s="1960"/>
      <c r="S121" s="1960"/>
      <c r="T121" s="1960"/>
      <c r="U121" s="1960"/>
      <c r="V121" s="1960"/>
      <c r="W121" s="1960"/>
      <c r="X121" s="1960"/>
      <c r="Y121" s="1960"/>
      <c r="Z121" s="1960"/>
      <c r="AA121" s="1960"/>
      <c r="AB121" s="1960"/>
    </row>
    <row r="122" spans="2:28">
      <c r="C122" s="66"/>
      <c r="E122" s="1960"/>
      <c r="F122" s="1960"/>
      <c r="G122" s="1960"/>
      <c r="H122" s="1960"/>
      <c r="I122" s="1960"/>
      <c r="J122" s="1960"/>
      <c r="K122" s="1960"/>
      <c r="L122" s="1960"/>
      <c r="M122" s="1960"/>
      <c r="N122" s="1960"/>
      <c r="O122" s="1960"/>
      <c r="P122" s="1960"/>
      <c r="Q122" s="1960"/>
      <c r="R122" s="1960"/>
      <c r="S122" s="1960"/>
      <c r="T122" s="1960"/>
      <c r="U122" s="1960"/>
      <c r="V122" s="1960"/>
      <c r="W122" s="1960"/>
      <c r="X122" s="1960"/>
      <c r="Y122" s="1960"/>
      <c r="Z122" s="1960"/>
      <c r="AA122" s="1960"/>
      <c r="AB122" s="1960"/>
    </row>
    <row r="123" spans="2:28">
      <c r="C123" s="66"/>
      <c r="E123" s="1960"/>
      <c r="F123" s="1960"/>
      <c r="G123" s="1960"/>
      <c r="H123" s="1960"/>
      <c r="I123" s="1960"/>
      <c r="J123" s="1960"/>
      <c r="K123" s="1960"/>
      <c r="L123" s="1960"/>
      <c r="M123" s="1960"/>
      <c r="N123" s="1960"/>
      <c r="O123" s="1960"/>
      <c r="P123" s="1960"/>
      <c r="Q123" s="1960"/>
      <c r="R123" s="1960"/>
      <c r="S123" s="1960"/>
      <c r="T123" s="1960"/>
      <c r="U123" s="1960"/>
      <c r="V123" s="1960"/>
      <c r="W123" s="1960"/>
      <c r="X123" s="1960"/>
      <c r="Y123" s="1960"/>
      <c r="Z123" s="1960"/>
      <c r="AA123" s="1960"/>
      <c r="AB123" s="1960"/>
    </row>
    <row r="124" spans="2:28">
      <c r="C124" s="66"/>
      <c r="E124" s="1960"/>
      <c r="F124" s="1960"/>
      <c r="G124" s="1960"/>
      <c r="H124" s="1960"/>
      <c r="I124" s="1960"/>
      <c r="J124" s="1960"/>
      <c r="K124" s="1960"/>
      <c r="L124" s="1960"/>
      <c r="M124" s="1960"/>
      <c r="N124" s="1960"/>
      <c r="O124" s="1960"/>
      <c r="P124" s="1960"/>
      <c r="Q124" s="1960"/>
      <c r="R124" s="1960"/>
      <c r="S124" s="1960"/>
      <c r="T124" s="1960"/>
      <c r="U124" s="1960"/>
      <c r="V124" s="1960"/>
      <c r="W124" s="1960"/>
      <c r="X124" s="1960"/>
      <c r="Y124" s="1960"/>
      <c r="Z124" s="1960"/>
      <c r="AA124" s="1960"/>
      <c r="AB124" s="1960"/>
    </row>
    <row r="125" spans="2:28">
      <c r="C125" s="66"/>
      <c r="E125" s="1960"/>
      <c r="F125" s="1960"/>
      <c r="G125" s="1960"/>
      <c r="H125" s="1960"/>
      <c r="I125" s="1960"/>
      <c r="J125" s="1960"/>
      <c r="K125" s="1960"/>
      <c r="L125" s="1960"/>
      <c r="M125" s="1960"/>
      <c r="N125" s="1960"/>
      <c r="O125" s="1960"/>
      <c r="P125" s="1960"/>
      <c r="Q125" s="1960"/>
      <c r="R125" s="1960"/>
      <c r="S125" s="1960"/>
      <c r="T125" s="1960"/>
      <c r="U125" s="1960"/>
      <c r="V125" s="1960"/>
      <c r="W125" s="1960"/>
      <c r="X125" s="1960"/>
      <c r="Y125" s="1960"/>
      <c r="Z125" s="1960"/>
      <c r="AA125" s="1960"/>
      <c r="AB125" s="1960"/>
    </row>
    <row r="126" spans="2:28">
      <c r="C126" s="66"/>
      <c r="E126" s="1960"/>
      <c r="F126" s="1960"/>
      <c r="G126" s="1960"/>
      <c r="H126" s="1960"/>
      <c r="I126" s="1960"/>
      <c r="J126" s="1960"/>
      <c r="K126" s="1960"/>
      <c r="L126" s="1960"/>
      <c r="M126" s="1960"/>
      <c r="N126" s="1960"/>
      <c r="O126" s="1960"/>
      <c r="P126" s="1960"/>
      <c r="Q126" s="1960"/>
      <c r="R126" s="1960"/>
      <c r="S126" s="1960"/>
      <c r="T126" s="1960"/>
      <c r="U126" s="1960"/>
      <c r="V126" s="1960"/>
      <c r="W126" s="1960"/>
      <c r="X126" s="1960"/>
      <c r="Y126" s="1960"/>
      <c r="Z126" s="1960"/>
      <c r="AA126" s="1960"/>
      <c r="AB126" s="1960"/>
    </row>
    <row r="127" spans="2:28">
      <c r="C127" s="66"/>
      <c r="E127" s="1960"/>
      <c r="F127" s="1960"/>
      <c r="G127" s="1960"/>
      <c r="H127" s="1960"/>
      <c r="I127" s="1960"/>
      <c r="J127" s="1960"/>
      <c r="K127" s="1960"/>
      <c r="L127" s="1960"/>
      <c r="M127" s="1960"/>
      <c r="N127" s="1960"/>
      <c r="O127" s="1960"/>
      <c r="P127" s="1960"/>
      <c r="Q127" s="1960"/>
      <c r="R127" s="1960"/>
      <c r="S127" s="1960"/>
      <c r="T127" s="1960"/>
      <c r="U127" s="1960"/>
      <c r="V127" s="1960"/>
      <c r="W127" s="1960"/>
      <c r="X127" s="1960"/>
      <c r="Y127" s="1960"/>
      <c r="Z127" s="1960"/>
      <c r="AA127" s="1960"/>
      <c r="AB127" s="1960"/>
    </row>
    <row r="128" spans="2:28">
      <c r="C128" s="66"/>
      <c r="E128" s="1960"/>
      <c r="F128" s="1960"/>
      <c r="G128" s="1960"/>
      <c r="H128" s="1960"/>
      <c r="I128" s="1960"/>
      <c r="J128" s="1960"/>
      <c r="K128" s="1960"/>
      <c r="L128" s="1960"/>
      <c r="M128" s="1960"/>
      <c r="N128" s="1960"/>
      <c r="O128" s="1960"/>
      <c r="P128" s="1960"/>
      <c r="Q128" s="1960"/>
      <c r="R128" s="1960"/>
      <c r="S128" s="1960"/>
      <c r="T128" s="1960"/>
      <c r="U128" s="1960"/>
      <c r="V128" s="1960"/>
      <c r="W128" s="1960"/>
      <c r="X128" s="1960"/>
      <c r="Y128" s="1960"/>
      <c r="Z128" s="1960"/>
      <c r="AA128" s="1960"/>
      <c r="AB128" s="1960"/>
    </row>
    <row r="129" spans="3:28">
      <c r="C129" s="66"/>
      <c r="E129" s="1960"/>
      <c r="F129" s="1960"/>
      <c r="G129" s="1960"/>
      <c r="H129" s="1960"/>
      <c r="I129" s="1960"/>
      <c r="J129" s="1960"/>
      <c r="K129" s="1960"/>
      <c r="L129" s="1960"/>
      <c r="M129" s="1960"/>
      <c r="N129" s="1960"/>
      <c r="O129" s="1960"/>
      <c r="P129" s="1960"/>
      <c r="Q129" s="1960"/>
      <c r="R129" s="1960"/>
      <c r="S129" s="1960"/>
      <c r="T129" s="1960"/>
      <c r="U129" s="1960"/>
      <c r="V129" s="1960"/>
      <c r="W129" s="1960"/>
      <c r="X129" s="1960"/>
      <c r="Y129" s="1960"/>
      <c r="Z129" s="1960"/>
      <c r="AA129" s="1960"/>
      <c r="AB129" s="1960"/>
    </row>
    <row r="130" spans="3:28">
      <c r="C130" s="66"/>
      <c r="E130" s="1960"/>
      <c r="F130" s="1960"/>
      <c r="G130" s="1960"/>
      <c r="H130" s="1960"/>
      <c r="I130" s="1960"/>
      <c r="J130" s="1960"/>
      <c r="K130" s="1960"/>
      <c r="L130" s="1960"/>
      <c r="M130" s="1960"/>
      <c r="N130" s="1960"/>
      <c r="O130" s="1960"/>
      <c r="P130" s="1960"/>
      <c r="Q130" s="1960"/>
      <c r="R130" s="1960"/>
      <c r="S130" s="1960"/>
      <c r="T130" s="1960"/>
      <c r="U130" s="1960"/>
      <c r="V130" s="1960"/>
      <c r="W130" s="1960"/>
      <c r="X130" s="1960"/>
      <c r="Y130" s="1960"/>
      <c r="Z130" s="1960"/>
      <c r="AA130" s="1960"/>
      <c r="AB130" s="1960"/>
    </row>
    <row r="131" spans="3:28">
      <c r="C131" s="66"/>
      <c r="E131" s="1960"/>
      <c r="F131" s="1960"/>
      <c r="G131" s="1960"/>
      <c r="H131" s="1960"/>
      <c r="I131" s="1960"/>
      <c r="J131" s="1960"/>
      <c r="K131" s="1960"/>
      <c r="L131" s="1960"/>
      <c r="M131" s="1960"/>
      <c r="N131" s="1960"/>
      <c r="O131" s="1960"/>
      <c r="P131" s="1960"/>
      <c r="Q131" s="1960"/>
      <c r="R131" s="1960"/>
      <c r="S131" s="1960"/>
      <c r="T131" s="1960"/>
      <c r="U131" s="1960"/>
      <c r="V131" s="1960"/>
      <c r="W131" s="1960"/>
      <c r="X131" s="1960"/>
      <c r="Y131" s="1960"/>
      <c r="Z131" s="1960"/>
      <c r="AA131" s="1960"/>
      <c r="AB131" s="1960"/>
    </row>
    <row r="132" spans="3:28">
      <c r="C132" s="66"/>
      <c r="E132" s="1960"/>
      <c r="F132" s="1960"/>
      <c r="G132" s="1960"/>
      <c r="H132" s="1960"/>
      <c r="I132" s="1960"/>
      <c r="J132" s="1960"/>
      <c r="K132" s="1960"/>
      <c r="L132" s="1960"/>
      <c r="M132" s="1960"/>
      <c r="N132" s="1960"/>
      <c r="O132" s="1960"/>
      <c r="P132" s="1960"/>
      <c r="Q132" s="1960"/>
      <c r="R132" s="1960"/>
      <c r="S132" s="1960"/>
      <c r="T132" s="1960"/>
      <c r="U132" s="1960"/>
      <c r="V132" s="1960"/>
      <c r="W132" s="1960"/>
      <c r="X132" s="1960"/>
      <c r="Y132" s="1960"/>
      <c r="Z132" s="1960"/>
      <c r="AA132" s="1960"/>
      <c r="AB132" s="1960"/>
    </row>
    <row r="133" spans="3:28">
      <c r="C133" s="66"/>
      <c r="E133" s="1960"/>
      <c r="F133" s="1960"/>
      <c r="G133" s="1960"/>
      <c r="H133" s="1960"/>
      <c r="I133" s="1960"/>
      <c r="J133" s="1960"/>
      <c r="K133" s="1960"/>
      <c r="L133" s="1960"/>
      <c r="M133" s="1960"/>
      <c r="N133" s="1960"/>
      <c r="O133" s="1960"/>
      <c r="P133" s="1960"/>
      <c r="Q133" s="1960"/>
      <c r="R133" s="1960"/>
      <c r="S133" s="1960"/>
      <c r="T133" s="1960"/>
      <c r="U133" s="1960"/>
      <c r="V133" s="1960"/>
      <c r="W133" s="1960"/>
      <c r="X133" s="1960"/>
      <c r="Y133" s="1960"/>
      <c r="Z133" s="1960"/>
      <c r="AA133" s="1960"/>
      <c r="AB133" s="1960"/>
    </row>
    <row r="134" spans="3:28">
      <c r="C134" s="66"/>
      <c r="E134" s="1960"/>
      <c r="F134" s="1960"/>
      <c r="G134" s="1960"/>
      <c r="H134" s="1960"/>
      <c r="I134" s="1960"/>
      <c r="J134" s="1960"/>
      <c r="K134" s="1960"/>
      <c r="L134" s="1960"/>
      <c r="M134" s="1960"/>
      <c r="N134" s="1960"/>
      <c r="O134" s="1960"/>
      <c r="P134" s="1960"/>
      <c r="Q134" s="1960"/>
      <c r="R134" s="1960"/>
      <c r="S134" s="1960"/>
      <c r="T134" s="1960"/>
      <c r="U134" s="1960"/>
      <c r="V134" s="1960"/>
      <c r="W134" s="1960"/>
      <c r="X134" s="1960"/>
      <c r="Y134" s="1960"/>
      <c r="Z134" s="1960"/>
      <c r="AA134" s="1960"/>
      <c r="AB134" s="1960"/>
    </row>
    <row r="135" spans="3:28">
      <c r="C135" s="66"/>
      <c r="E135" s="1960"/>
      <c r="F135" s="1960"/>
      <c r="G135" s="1960"/>
      <c r="H135" s="1960"/>
      <c r="I135" s="1960"/>
      <c r="J135" s="1960"/>
      <c r="K135" s="1960"/>
      <c r="L135" s="1960"/>
      <c r="M135" s="1960"/>
      <c r="N135" s="1960"/>
      <c r="O135" s="1960"/>
      <c r="P135" s="1960"/>
      <c r="Q135" s="1960"/>
      <c r="R135" s="1960"/>
      <c r="S135" s="1960"/>
      <c r="T135" s="1960"/>
      <c r="U135" s="1960"/>
      <c r="V135" s="1960"/>
      <c r="W135" s="1960"/>
      <c r="X135" s="1960"/>
      <c r="Y135" s="1960"/>
      <c r="Z135" s="1960"/>
      <c r="AA135" s="1960"/>
      <c r="AB135" s="1960"/>
    </row>
    <row r="136" spans="3:28">
      <c r="C136" s="66"/>
      <c r="E136" s="1960"/>
      <c r="F136" s="1960"/>
      <c r="G136" s="1960"/>
      <c r="H136" s="1960"/>
      <c r="I136" s="1960"/>
      <c r="J136" s="1960"/>
      <c r="K136" s="1960"/>
      <c r="L136" s="1960"/>
      <c r="M136" s="1960"/>
      <c r="N136" s="1960"/>
      <c r="O136" s="1960"/>
      <c r="P136" s="1960"/>
      <c r="Q136" s="1960"/>
      <c r="R136" s="1960"/>
      <c r="S136" s="1960"/>
      <c r="T136" s="1960"/>
      <c r="U136" s="1960"/>
      <c r="V136" s="1960"/>
      <c r="W136" s="1960"/>
      <c r="X136" s="1960"/>
      <c r="Y136" s="1960"/>
      <c r="Z136" s="1960"/>
      <c r="AA136" s="1960"/>
      <c r="AB136" s="1960"/>
    </row>
    <row r="137" spans="3:28">
      <c r="C137" s="66"/>
      <c r="E137" s="1960"/>
      <c r="F137" s="1960"/>
      <c r="G137" s="1960"/>
      <c r="H137" s="1960"/>
      <c r="I137" s="1960"/>
      <c r="J137" s="1960"/>
      <c r="K137" s="1960"/>
      <c r="L137" s="1960"/>
      <c r="M137" s="1960"/>
      <c r="N137" s="1960"/>
      <c r="O137" s="1960"/>
      <c r="P137" s="1960"/>
      <c r="Q137" s="1960"/>
      <c r="R137" s="1960"/>
      <c r="S137" s="1960"/>
      <c r="T137" s="1960"/>
      <c r="U137" s="1960"/>
      <c r="V137" s="1960"/>
      <c r="W137" s="1960"/>
      <c r="X137" s="1960"/>
      <c r="Y137" s="1960"/>
      <c r="Z137" s="1960"/>
      <c r="AA137" s="1960"/>
      <c r="AB137" s="1960"/>
    </row>
    <row r="138" spans="3:28">
      <c r="C138" s="66"/>
      <c r="E138" s="1960"/>
      <c r="F138" s="1960"/>
      <c r="G138" s="1960"/>
      <c r="H138" s="1960"/>
      <c r="I138" s="1960"/>
      <c r="J138" s="1960"/>
      <c r="K138" s="1960"/>
      <c r="L138" s="1960"/>
      <c r="M138" s="1960"/>
      <c r="N138" s="1960"/>
      <c r="O138" s="1960"/>
      <c r="P138" s="1960"/>
      <c r="Q138" s="1960"/>
      <c r="R138" s="1960"/>
      <c r="S138" s="1960"/>
      <c r="T138" s="1960"/>
      <c r="U138" s="1960"/>
      <c r="V138" s="1960"/>
      <c r="W138" s="1960"/>
      <c r="X138" s="1960"/>
      <c r="Y138" s="1960"/>
      <c r="Z138" s="1960"/>
      <c r="AA138" s="1960"/>
      <c r="AB138" s="1960"/>
    </row>
    <row r="139" spans="3:28">
      <c r="C139" s="66"/>
      <c r="E139" s="1960"/>
      <c r="F139" s="1960"/>
      <c r="G139" s="1960"/>
      <c r="H139" s="1960"/>
      <c r="I139" s="1960"/>
      <c r="J139" s="1960"/>
      <c r="K139" s="1960"/>
      <c r="L139" s="1960"/>
      <c r="M139" s="1960"/>
      <c r="N139" s="1960"/>
      <c r="O139" s="1960"/>
      <c r="P139" s="1960"/>
      <c r="Q139" s="1960"/>
      <c r="R139" s="1960"/>
      <c r="S139" s="1960"/>
      <c r="T139" s="1960"/>
      <c r="U139" s="1960"/>
      <c r="V139" s="1960"/>
      <c r="W139" s="1960"/>
      <c r="X139" s="1960"/>
      <c r="Y139" s="1960"/>
      <c r="Z139" s="1960"/>
      <c r="AA139" s="1960"/>
      <c r="AB139" s="1960"/>
    </row>
    <row r="140" spans="3:28">
      <c r="C140" s="66"/>
      <c r="E140" s="1960"/>
      <c r="F140" s="1960"/>
      <c r="G140" s="1960"/>
      <c r="H140" s="1960"/>
      <c r="I140" s="1960"/>
      <c r="J140" s="1960"/>
      <c r="K140" s="1960"/>
      <c r="L140" s="1960"/>
      <c r="M140" s="1960"/>
      <c r="N140" s="1960"/>
      <c r="O140" s="1960"/>
      <c r="P140" s="1960"/>
      <c r="Q140" s="1960"/>
      <c r="R140" s="1960"/>
      <c r="S140" s="1960"/>
      <c r="T140" s="1960"/>
      <c r="U140" s="1960"/>
      <c r="V140" s="1960"/>
      <c r="W140" s="1960"/>
      <c r="X140" s="1960"/>
      <c r="Y140" s="1960"/>
      <c r="Z140" s="1960"/>
      <c r="AA140" s="1960"/>
      <c r="AB140" s="1960"/>
    </row>
    <row r="141" spans="3:28">
      <c r="C141" s="66"/>
      <c r="E141" s="1960"/>
      <c r="F141" s="1960"/>
      <c r="G141" s="1960"/>
      <c r="H141" s="1960"/>
      <c r="I141" s="1960"/>
      <c r="J141" s="1960"/>
      <c r="K141" s="1960"/>
      <c r="L141" s="1960"/>
      <c r="M141" s="1960"/>
      <c r="N141" s="1960"/>
      <c r="O141" s="1960"/>
      <c r="P141" s="1960"/>
      <c r="Q141" s="1960"/>
      <c r="R141" s="1960"/>
      <c r="S141" s="1960"/>
      <c r="T141" s="1960"/>
      <c r="U141" s="1960"/>
      <c r="V141" s="1960"/>
      <c r="W141" s="1960"/>
      <c r="X141" s="1960"/>
      <c r="Y141" s="1960"/>
      <c r="Z141" s="1960"/>
      <c r="AA141" s="1960"/>
      <c r="AB141" s="1960"/>
    </row>
    <row r="142" spans="3:28">
      <c r="C142" s="66"/>
      <c r="E142" s="1960"/>
      <c r="F142" s="1960"/>
      <c r="G142" s="1960"/>
      <c r="H142" s="1960"/>
      <c r="I142" s="1960"/>
      <c r="J142" s="1960"/>
      <c r="K142" s="1960"/>
      <c r="L142" s="1960"/>
      <c r="M142" s="1960"/>
      <c r="N142" s="1960"/>
      <c r="O142" s="1960"/>
      <c r="P142" s="1960"/>
      <c r="Q142" s="1960"/>
      <c r="R142" s="1960"/>
      <c r="S142" s="1960"/>
      <c r="T142" s="1960"/>
      <c r="U142" s="1960"/>
      <c r="V142" s="1960"/>
      <c r="W142" s="1960"/>
      <c r="X142" s="1960"/>
      <c r="Y142" s="1960"/>
      <c r="Z142" s="1960"/>
      <c r="AA142" s="1960"/>
      <c r="AB142" s="1960"/>
    </row>
    <row r="143" spans="3:28">
      <c r="C143" s="66"/>
      <c r="E143" s="1960"/>
      <c r="F143" s="1960"/>
      <c r="G143" s="1960"/>
      <c r="H143" s="1960"/>
      <c r="I143" s="1960"/>
      <c r="J143" s="1960"/>
      <c r="K143" s="1960"/>
      <c r="L143" s="1960"/>
      <c r="M143" s="1960"/>
      <c r="N143" s="1960"/>
      <c r="O143" s="1960"/>
      <c r="P143" s="1960"/>
      <c r="Q143" s="1960"/>
      <c r="R143" s="1960"/>
      <c r="S143" s="1960"/>
      <c r="T143" s="1960"/>
      <c r="U143" s="1960"/>
      <c r="V143" s="1960"/>
      <c r="W143" s="1960"/>
      <c r="X143" s="1960"/>
      <c r="Y143" s="1960"/>
      <c r="Z143" s="1960"/>
      <c r="AA143" s="1960"/>
      <c r="AB143" s="1960"/>
    </row>
    <row r="144" spans="3:28">
      <c r="C144" s="66"/>
      <c r="E144" s="1960"/>
      <c r="F144" s="1960"/>
      <c r="G144" s="1960"/>
      <c r="H144" s="1960"/>
      <c r="I144" s="1960"/>
      <c r="J144" s="1960"/>
      <c r="K144" s="1960"/>
      <c r="L144" s="1960"/>
      <c r="M144" s="1960"/>
      <c r="N144" s="1960"/>
      <c r="O144" s="1960"/>
      <c r="P144" s="1960"/>
      <c r="Q144" s="1960"/>
      <c r="R144" s="1960"/>
      <c r="S144" s="1960"/>
      <c r="T144" s="1960"/>
      <c r="U144" s="1960"/>
      <c r="V144" s="1960"/>
      <c r="W144" s="1960"/>
      <c r="X144" s="1960"/>
      <c r="Y144" s="1960"/>
      <c r="Z144" s="1960"/>
      <c r="AA144" s="1960"/>
      <c r="AB144" s="1960"/>
    </row>
    <row r="145" spans="2:28">
      <c r="C145" s="66"/>
      <c r="E145" s="1960"/>
      <c r="F145" s="1960"/>
      <c r="G145" s="1960"/>
      <c r="H145" s="1960"/>
      <c r="I145" s="1960"/>
      <c r="J145" s="1960"/>
      <c r="K145" s="1960"/>
      <c r="L145" s="1960"/>
      <c r="M145" s="1960"/>
      <c r="N145" s="1960"/>
      <c r="O145" s="1960"/>
      <c r="P145" s="1960"/>
      <c r="Q145" s="1960"/>
      <c r="R145" s="1960"/>
      <c r="S145" s="1960"/>
      <c r="T145" s="1960"/>
      <c r="U145" s="1960"/>
      <c r="V145" s="1960"/>
      <c r="W145" s="1960"/>
      <c r="X145" s="1960"/>
      <c r="Y145" s="1960"/>
      <c r="Z145" s="1960"/>
      <c r="AA145" s="1960"/>
      <c r="AB145" s="1960"/>
    </row>
    <row r="146" spans="2:28">
      <c r="C146" s="66"/>
      <c r="E146" s="1960"/>
      <c r="F146" s="1960"/>
      <c r="G146" s="1960"/>
      <c r="H146" s="1960"/>
      <c r="I146" s="1960"/>
      <c r="J146" s="1960"/>
      <c r="K146" s="1960"/>
      <c r="L146" s="1960"/>
      <c r="M146" s="1960"/>
      <c r="N146" s="1960"/>
      <c r="O146" s="1960"/>
      <c r="P146" s="1960"/>
      <c r="Q146" s="1960"/>
      <c r="R146" s="1960"/>
      <c r="S146" s="1960"/>
      <c r="T146" s="1960"/>
      <c r="U146" s="1960"/>
      <c r="V146" s="1960"/>
      <c r="W146" s="1960"/>
      <c r="X146" s="1960"/>
      <c r="Y146" s="1960"/>
      <c r="Z146" s="1960"/>
      <c r="AA146" s="1960"/>
      <c r="AB146" s="1960"/>
    </row>
    <row r="147" spans="2:28">
      <c r="C147" s="66"/>
      <c r="E147" s="1960"/>
      <c r="F147" s="1960"/>
      <c r="G147" s="1960"/>
      <c r="H147" s="1960"/>
      <c r="I147" s="1960"/>
      <c r="J147" s="1960"/>
      <c r="K147" s="1960"/>
      <c r="L147" s="1960"/>
      <c r="M147" s="1960"/>
      <c r="N147" s="1960"/>
      <c r="O147" s="1960"/>
      <c r="P147" s="1960"/>
      <c r="Q147" s="1960"/>
      <c r="R147" s="1960"/>
      <c r="S147" s="1960"/>
      <c r="T147" s="1960"/>
      <c r="U147" s="1960"/>
      <c r="V147" s="1960"/>
      <c r="W147" s="1960"/>
      <c r="X147" s="1960"/>
      <c r="Y147" s="1960"/>
      <c r="Z147" s="1960"/>
      <c r="AA147" s="1960"/>
      <c r="AB147" s="1960"/>
    </row>
    <row r="148" spans="2:28">
      <c r="C148" s="66"/>
      <c r="E148" s="1960"/>
      <c r="F148" s="1960"/>
      <c r="G148" s="1960"/>
      <c r="H148" s="1960"/>
      <c r="I148" s="1960"/>
      <c r="J148" s="1960"/>
      <c r="K148" s="1960"/>
      <c r="L148" s="1960"/>
      <c r="M148" s="1960"/>
      <c r="N148" s="1960"/>
      <c r="O148" s="1960"/>
      <c r="P148" s="1960"/>
      <c r="Q148" s="1960"/>
      <c r="R148" s="1960"/>
      <c r="S148" s="1960"/>
      <c r="T148" s="1960"/>
      <c r="U148" s="1960"/>
      <c r="V148" s="1960"/>
      <c r="W148" s="1960"/>
      <c r="X148" s="1960"/>
      <c r="Y148" s="1960"/>
      <c r="Z148" s="1960"/>
      <c r="AA148" s="1960"/>
      <c r="AB148" s="1960"/>
    </row>
    <row r="149" spans="2:28">
      <c r="C149" s="66"/>
      <c r="E149" s="1960"/>
      <c r="F149" s="1960"/>
      <c r="G149" s="1960"/>
      <c r="H149" s="1960"/>
      <c r="I149" s="1960"/>
      <c r="J149" s="1960"/>
      <c r="K149" s="1960"/>
      <c r="L149" s="1960"/>
      <c r="M149" s="1960"/>
      <c r="N149" s="1960"/>
      <c r="O149" s="1960"/>
      <c r="P149" s="1960"/>
      <c r="Q149" s="1960"/>
      <c r="R149" s="1960"/>
      <c r="S149" s="1960"/>
      <c r="T149" s="1960"/>
      <c r="U149" s="1960"/>
      <c r="V149" s="1960"/>
      <c r="W149" s="1960"/>
      <c r="X149" s="1960"/>
      <c r="Y149" s="1960"/>
      <c r="Z149" s="1960"/>
      <c r="AA149" s="1960"/>
      <c r="AB149" s="1960"/>
    </row>
    <row r="150" spans="2:28">
      <c r="C150" s="66"/>
      <c r="E150" s="1960"/>
      <c r="F150" s="1960"/>
      <c r="G150" s="1960"/>
      <c r="H150" s="1960"/>
      <c r="I150" s="1960"/>
      <c r="J150" s="1960"/>
      <c r="K150" s="1960"/>
      <c r="L150" s="1960"/>
      <c r="M150" s="1960"/>
      <c r="N150" s="1960"/>
      <c r="O150" s="1960"/>
      <c r="P150" s="1960"/>
      <c r="Q150" s="1960"/>
      <c r="R150" s="1960"/>
      <c r="S150" s="1960"/>
      <c r="T150" s="1960"/>
      <c r="U150" s="1960"/>
      <c r="V150" s="1960"/>
      <c r="W150" s="1960"/>
      <c r="X150" s="1960"/>
      <c r="Y150" s="1960"/>
      <c r="Z150" s="1960"/>
      <c r="AA150" s="1960"/>
      <c r="AB150" s="1960"/>
    </row>
    <row r="151" spans="2:28">
      <c r="C151" s="66"/>
      <c r="E151" s="1960"/>
      <c r="F151" s="1960"/>
      <c r="G151" s="1960"/>
      <c r="H151" s="1960"/>
      <c r="I151" s="1960"/>
      <c r="J151" s="1960"/>
      <c r="K151" s="1960"/>
      <c r="L151" s="1960"/>
      <c r="M151" s="1960"/>
      <c r="N151" s="1960"/>
      <c r="O151" s="1960"/>
      <c r="P151" s="1960"/>
      <c r="Q151" s="1960"/>
      <c r="R151" s="1960"/>
      <c r="S151" s="1960"/>
      <c r="T151" s="1960"/>
      <c r="U151" s="1960"/>
      <c r="V151" s="1960"/>
      <c r="W151" s="1960"/>
      <c r="X151" s="1960"/>
      <c r="Y151" s="1960"/>
      <c r="Z151" s="1960"/>
      <c r="AA151" s="1960"/>
      <c r="AB151" s="1960"/>
    </row>
    <row r="152" spans="2:28">
      <c r="B152" s="2836" t="s">
        <v>550</v>
      </c>
      <c r="C152" s="66"/>
      <c r="E152" s="1960"/>
      <c r="F152" s="1960"/>
      <c r="G152" s="1960"/>
      <c r="H152" s="1960"/>
      <c r="I152" s="1960"/>
      <c r="J152" s="1960"/>
      <c r="K152" s="1960"/>
      <c r="L152" s="1960"/>
      <c r="M152" s="1960"/>
      <c r="N152" s="1960"/>
      <c r="O152" s="1960"/>
      <c r="P152" s="1960"/>
      <c r="Q152" s="1960"/>
      <c r="R152" s="1960"/>
      <c r="S152" s="1960"/>
      <c r="T152" s="1960"/>
      <c r="U152" s="1960"/>
      <c r="V152" s="1960"/>
      <c r="W152" s="1960"/>
      <c r="X152" s="1960"/>
      <c r="Y152" s="1960"/>
      <c r="Z152" s="1960"/>
      <c r="AA152" s="1960"/>
      <c r="AB152" s="1960"/>
    </row>
    <row r="153" spans="2:28" ht="67.8" customHeight="1">
      <c r="C153" s="66"/>
      <c r="E153" s="1960"/>
      <c r="F153" s="1960"/>
      <c r="G153" s="1960"/>
      <c r="H153" s="1960"/>
      <c r="I153" s="1960"/>
      <c r="J153" s="1960"/>
      <c r="K153" s="1960"/>
      <c r="L153" s="1960"/>
      <c r="M153" s="1960"/>
      <c r="N153" s="1960"/>
      <c r="O153" s="1960"/>
      <c r="P153" s="1960"/>
      <c r="Q153" s="1960"/>
      <c r="R153" s="1960"/>
      <c r="S153" s="1960"/>
      <c r="T153" s="1960"/>
      <c r="U153" s="1960"/>
      <c r="V153" s="1960"/>
      <c r="W153" s="1960"/>
      <c r="X153" s="1960"/>
      <c r="Y153" s="1960"/>
      <c r="Z153" s="1960"/>
      <c r="AA153" s="1960"/>
      <c r="AB153" s="1960"/>
    </row>
    <row r="154" spans="2:28">
      <c r="C154" s="66"/>
      <c r="E154" s="1960"/>
      <c r="F154" s="1960"/>
      <c r="G154" s="1960"/>
      <c r="H154" s="1960"/>
      <c r="I154" s="1960"/>
      <c r="J154" s="1960"/>
      <c r="K154" s="1960"/>
      <c r="L154" s="1960"/>
      <c r="M154" s="1960"/>
      <c r="N154" s="1960"/>
      <c r="O154" s="1960"/>
      <c r="P154" s="1960"/>
      <c r="Q154" s="1960"/>
      <c r="R154" s="1960"/>
      <c r="S154" s="1960"/>
      <c r="T154" s="1960"/>
      <c r="U154" s="1960"/>
      <c r="V154" s="1960"/>
      <c r="W154" s="1960"/>
      <c r="X154" s="1960"/>
      <c r="Y154" s="1960"/>
      <c r="Z154" s="1960"/>
      <c r="AA154" s="1960"/>
      <c r="AB154" s="1960"/>
    </row>
    <row r="155" spans="2:28">
      <c r="C155" s="66"/>
      <c r="E155" s="1960">
        <v>111</v>
      </c>
      <c r="F155" s="1960"/>
      <c r="G155" s="1960"/>
      <c r="H155" s="1960"/>
      <c r="I155" s="1960"/>
      <c r="J155" s="1960"/>
      <c r="K155" s="1960"/>
      <c r="L155" s="1960"/>
      <c r="M155" s="1960"/>
      <c r="N155" s="1960"/>
      <c r="O155" s="1960"/>
      <c r="P155" s="1960"/>
      <c r="Q155" s="1960"/>
      <c r="R155" s="1960"/>
      <c r="S155" s="1960"/>
      <c r="T155" s="1960"/>
      <c r="U155" s="1960"/>
      <c r="V155" s="1960"/>
      <c r="W155" s="1960"/>
      <c r="X155" s="1960"/>
      <c r="Y155" s="1960"/>
      <c r="Z155" s="1960"/>
      <c r="AA155" s="1960"/>
      <c r="AB155" s="1960"/>
    </row>
    <row r="156" spans="2:28">
      <c r="C156" s="66"/>
      <c r="E156" s="1960"/>
      <c r="F156" s="1960"/>
      <c r="G156" s="1960"/>
      <c r="H156" s="1960"/>
      <c r="I156" s="1960"/>
      <c r="J156" s="1960"/>
      <c r="K156" s="1960"/>
      <c r="L156" s="1960"/>
      <c r="M156" s="1960"/>
      <c r="N156" s="1960"/>
      <c r="O156" s="1960"/>
      <c r="P156" s="1960"/>
      <c r="Q156" s="1960"/>
      <c r="R156" s="1960"/>
      <c r="S156" s="1960"/>
      <c r="T156" s="1960"/>
      <c r="U156" s="1960"/>
      <c r="V156" s="1960"/>
      <c r="W156" s="1960"/>
      <c r="X156" s="1960"/>
      <c r="Y156" s="1960"/>
      <c r="Z156" s="1960"/>
      <c r="AA156" s="1960"/>
      <c r="AB156" s="1960"/>
    </row>
    <row r="157" spans="2:28">
      <c r="C157" s="66"/>
      <c r="E157" s="1960"/>
      <c r="F157" s="1960"/>
      <c r="G157" s="1960"/>
      <c r="H157" s="1960"/>
      <c r="I157" s="1960"/>
      <c r="J157" s="1960"/>
      <c r="K157" s="1960"/>
      <c r="L157" s="1960"/>
      <c r="M157" s="1960"/>
      <c r="N157" s="1960"/>
      <c r="O157" s="1960"/>
      <c r="P157" s="1960"/>
      <c r="Q157" s="1960"/>
      <c r="R157" s="1960"/>
      <c r="S157" s="1960"/>
      <c r="T157" s="1960"/>
      <c r="U157" s="1960"/>
      <c r="V157" s="1960"/>
      <c r="W157" s="1960"/>
      <c r="X157" s="1960"/>
      <c r="Y157" s="1960"/>
      <c r="Z157" s="1960"/>
      <c r="AA157" s="1960"/>
      <c r="AB157" s="1960"/>
    </row>
    <row r="158" spans="2:28">
      <c r="C158" s="66"/>
      <c r="E158" s="1960"/>
      <c r="F158" s="1960"/>
      <c r="G158" s="1960"/>
      <c r="H158" s="1960"/>
      <c r="I158" s="1960"/>
      <c r="J158" s="1960"/>
      <c r="K158" s="1960"/>
      <c r="L158" s="1960"/>
      <c r="M158" s="1960"/>
      <c r="N158" s="1960"/>
      <c r="O158" s="1960"/>
      <c r="P158" s="1960"/>
      <c r="Q158" s="1960"/>
      <c r="R158" s="1960"/>
      <c r="S158" s="1960"/>
      <c r="T158" s="1960"/>
      <c r="U158" s="1960"/>
      <c r="V158" s="1960"/>
      <c r="W158" s="1960"/>
      <c r="X158" s="1960"/>
      <c r="Y158" s="1960"/>
      <c r="Z158" s="1960"/>
      <c r="AA158" s="1960"/>
      <c r="AB158" s="1960"/>
    </row>
    <row r="159" spans="2:28">
      <c r="C159" s="66"/>
      <c r="E159" s="1960"/>
      <c r="F159" s="1960"/>
      <c r="G159" s="1960"/>
      <c r="H159" s="1960"/>
      <c r="I159" s="1960"/>
      <c r="J159" s="1960"/>
      <c r="K159" s="1960"/>
      <c r="L159" s="1960"/>
      <c r="M159" s="1960"/>
      <c r="N159" s="1960"/>
      <c r="O159" s="1960"/>
      <c r="P159" s="1960"/>
      <c r="Q159" s="1960"/>
      <c r="R159" s="1960"/>
      <c r="S159" s="1960"/>
      <c r="T159" s="1960"/>
      <c r="U159" s="1960"/>
      <c r="V159" s="1960"/>
      <c r="W159" s="1960"/>
      <c r="X159" s="1960"/>
      <c r="Y159" s="1960"/>
      <c r="Z159" s="1960"/>
      <c r="AA159" s="1960"/>
      <c r="AB159" s="1960"/>
    </row>
    <row r="160" spans="2:28">
      <c r="C160" s="66"/>
      <c r="E160" s="1960"/>
      <c r="F160" s="1960"/>
      <c r="G160" s="1960"/>
      <c r="H160" s="1960"/>
      <c r="I160" s="1960"/>
      <c r="J160" s="1960"/>
      <c r="K160" s="1960"/>
      <c r="L160" s="1960"/>
      <c r="M160" s="1960"/>
      <c r="N160" s="1960"/>
      <c r="O160" s="1960"/>
      <c r="P160" s="1960"/>
      <c r="Q160" s="1960"/>
      <c r="R160" s="1960"/>
      <c r="S160" s="1960"/>
      <c r="T160" s="1960"/>
      <c r="U160" s="1960"/>
      <c r="V160" s="1960"/>
      <c r="W160" s="1960"/>
      <c r="X160" s="1960"/>
      <c r="Y160" s="1960"/>
      <c r="Z160" s="1960"/>
      <c r="AA160" s="1960"/>
      <c r="AB160" s="1960"/>
    </row>
    <row r="161" spans="3:28">
      <c r="C161" s="66"/>
      <c r="E161" s="1960"/>
      <c r="F161" s="1960"/>
      <c r="G161" s="1960"/>
      <c r="H161" s="1960"/>
      <c r="I161" s="1960"/>
      <c r="J161" s="1960"/>
      <c r="K161" s="1960"/>
      <c r="L161" s="1960"/>
      <c r="M161" s="1960"/>
      <c r="N161" s="1960"/>
      <c r="O161" s="1960"/>
      <c r="P161" s="1960"/>
      <c r="Q161" s="1960"/>
      <c r="R161" s="1960"/>
      <c r="S161" s="1960"/>
      <c r="T161" s="1960"/>
      <c r="U161" s="1960"/>
      <c r="V161" s="1960"/>
      <c r="W161" s="1960"/>
      <c r="X161" s="1960"/>
      <c r="Y161" s="1960"/>
      <c r="Z161" s="1960"/>
      <c r="AA161" s="1960"/>
      <c r="AB161" s="1960"/>
    </row>
    <row r="162" spans="3:28">
      <c r="C162" s="66"/>
      <c r="E162" s="1960"/>
      <c r="F162" s="1960"/>
      <c r="G162" s="1960"/>
      <c r="H162" s="1960"/>
      <c r="I162" s="1960"/>
      <c r="J162" s="1960"/>
      <c r="K162" s="1960"/>
      <c r="L162" s="1960"/>
      <c r="M162" s="1960"/>
      <c r="N162" s="1960"/>
      <c r="O162" s="1960"/>
      <c r="P162" s="1960"/>
      <c r="Q162" s="1960"/>
      <c r="R162" s="1960"/>
      <c r="S162" s="1960"/>
      <c r="T162" s="1960"/>
      <c r="U162" s="1960"/>
      <c r="V162" s="1960"/>
      <c r="W162" s="1960"/>
      <c r="X162" s="1960"/>
      <c r="Y162" s="1960"/>
      <c r="Z162" s="1960"/>
      <c r="AA162" s="1960"/>
      <c r="AB162" s="1960"/>
    </row>
    <row r="163" spans="3:28">
      <c r="C163" s="66"/>
      <c r="E163" s="1960"/>
      <c r="F163" s="1960"/>
      <c r="G163" s="1960"/>
      <c r="H163" s="1960"/>
      <c r="I163" s="1960"/>
      <c r="J163" s="1960"/>
      <c r="K163" s="1960"/>
      <c r="L163" s="1960"/>
      <c r="M163" s="1960"/>
      <c r="N163" s="1960"/>
      <c r="O163" s="1960"/>
      <c r="P163" s="1960"/>
      <c r="Q163" s="1960"/>
      <c r="R163" s="1960"/>
      <c r="S163" s="1960"/>
      <c r="T163" s="1960"/>
      <c r="U163" s="1960"/>
      <c r="V163" s="1960"/>
      <c r="W163" s="1960"/>
      <c r="X163" s="1960"/>
      <c r="Y163" s="1960"/>
      <c r="Z163" s="1960"/>
      <c r="AA163" s="1960"/>
      <c r="AB163" s="1960"/>
    </row>
    <row r="164" spans="3:28">
      <c r="C164" s="66"/>
      <c r="E164" s="1960"/>
      <c r="F164" s="1960"/>
      <c r="G164" s="1960"/>
      <c r="H164" s="1960"/>
      <c r="I164" s="1960"/>
      <c r="J164" s="1960"/>
      <c r="K164" s="1960"/>
      <c r="L164" s="1960"/>
      <c r="M164" s="1960"/>
      <c r="N164" s="1960"/>
      <c r="O164" s="1960"/>
      <c r="P164" s="1960"/>
      <c r="Q164" s="1960"/>
      <c r="R164" s="1960"/>
      <c r="S164" s="1960"/>
      <c r="T164" s="1960"/>
      <c r="U164" s="1960"/>
      <c r="V164" s="1960"/>
      <c r="W164" s="1960"/>
      <c r="X164" s="1960"/>
      <c r="Y164" s="1960"/>
      <c r="Z164" s="1960"/>
      <c r="AA164" s="1960"/>
      <c r="AB164" s="1960"/>
    </row>
    <row r="165" spans="3:28">
      <c r="C165" s="66"/>
      <c r="E165" s="1960"/>
      <c r="F165" s="1960"/>
      <c r="G165" s="1960"/>
      <c r="H165" s="1960"/>
      <c r="I165" s="1960"/>
      <c r="J165" s="1960"/>
      <c r="K165" s="1960"/>
      <c r="L165" s="1960"/>
      <c r="M165" s="1960"/>
      <c r="N165" s="1960"/>
      <c r="O165" s="1960"/>
      <c r="P165" s="1960"/>
      <c r="Q165" s="1960"/>
      <c r="R165" s="1960"/>
      <c r="S165" s="1960"/>
      <c r="T165" s="1960"/>
      <c r="U165" s="1960"/>
      <c r="V165" s="1960"/>
      <c r="W165" s="1960"/>
      <c r="X165" s="1960"/>
      <c r="Y165" s="1960"/>
      <c r="Z165" s="1960"/>
      <c r="AA165" s="1960"/>
      <c r="AB165" s="1960"/>
    </row>
    <row r="166" spans="3:28">
      <c r="C166" s="66"/>
      <c r="E166" s="1960"/>
      <c r="F166" s="1960"/>
      <c r="G166" s="1960"/>
      <c r="H166" s="1960"/>
      <c r="I166" s="1960"/>
      <c r="J166" s="1960"/>
      <c r="K166" s="1960"/>
      <c r="L166" s="1960"/>
      <c r="M166" s="1960"/>
      <c r="N166" s="1960"/>
      <c r="O166" s="1960"/>
      <c r="P166" s="1960"/>
      <c r="Q166" s="1960"/>
      <c r="R166" s="1960"/>
      <c r="S166" s="1960"/>
      <c r="T166" s="1960"/>
      <c r="U166" s="1960"/>
      <c r="V166" s="1960"/>
      <c r="W166" s="1960"/>
      <c r="X166" s="1960"/>
      <c r="Y166" s="1960"/>
      <c r="Z166" s="1960"/>
      <c r="AA166" s="1960"/>
      <c r="AB166" s="1960"/>
    </row>
    <row r="167" spans="3:28">
      <c r="C167" s="66"/>
      <c r="E167" s="1960"/>
      <c r="F167" s="1960"/>
      <c r="G167" s="1960"/>
      <c r="H167" s="1960"/>
      <c r="I167" s="1960"/>
      <c r="J167" s="1960"/>
      <c r="K167" s="1960"/>
      <c r="L167" s="1960"/>
      <c r="M167" s="1960"/>
      <c r="N167" s="1960"/>
      <c r="O167" s="1960"/>
      <c r="P167" s="1960"/>
      <c r="Q167" s="1960"/>
      <c r="R167" s="1960"/>
      <c r="S167" s="1960"/>
      <c r="T167" s="1960"/>
      <c r="U167" s="1960"/>
      <c r="V167" s="1960"/>
      <c r="W167" s="1960"/>
      <c r="X167" s="1960"/>
      <c r="Y167" s="1960"/>
      <c r="Z167" s="1960"/>
      <c r="AA167" s="1960"/>
      <c r="AB167" s="1960"/>
    </row>
    <row r="168" spans="3:28">
      <c r="C168" s="66"/>
      <c r="E168" s="1960"/>
      <c r="F168" s="1960"/>
      <c r="G168" s="1960"/>
      <c r="H168" s="1960"/>
      <c r="I168" s="1960"/>
      <c r="J168" s="1960"/>
      <c r="K168" s="1960"/>
      <c r="L168" s="1960"/>
      <c r="M168" s="1960"/>
      <c r="N168" s="1960"/>
      <c r="O168" s="1960"/>
      <c r="P168" s="1960"/>
      <c r="Q168" s="1960"/>
      <c r="R168" s="1960"/>
      <c r="S168" s="1960"/>
      <c r="T168" s="1960"/>
      <c r="U168" s="1960"/>
      <c r="V168" s="1960"/>
      <c r="W168" s="1960"/>
      <c r="X168" s="1960"/>
      <c r="Y168" s="1960"/>
      <c r="Z168" s="1960"/>
      <c r="AA168" s="1960"/>
      <c r="AB168" s="1960"/>
    </row>
    <row r="169" spans="3:28">
      <c r="C169" s="66"/>
      <c r="E169" s="1960"/>
      <c r="F169" s="1960"/>
      <c r="G169" s="1960"/>
      <c r="H169" s="1960"/>
      <c r="I169" s="1960"/>
      <c r="J169" s="1960"/>
      <c r="K169" s="1960"/>
      <c r="L169" s="1960"/>
      <c r="M169" s="1960"/>
      <c r="N169" s="1960"/>
      <c r="O169" s="1960"/>
      <c r="P169" s="1960"/>
      <c r="Q169" s="1960"/>
      <c r="R169" s="1960"/>
      <c r="S169" s="1960"/>
      <c r="T169" s="1960"/>
      <c r="U169" s="1960"/>
      <c r="V169" s="1960"/>
      <c r="W169" s="1960"/>
      <c r="X169" s="1960"/>
      <c r="Y169" s="1960"/>
      <c r="Z169" s="1960"/>
      <c r="AA169" s="1960"/>
      <c r="AB169" s="1960"/>
    </row>
    <row r="170" spans="3:28">
      <c r="C170" s="66"/>
      <c r="E170" s="1960"/>
      <c r="F170" s="1960"/>
      <c r="G170" s="1960"/>
      <c r="H170" s="1960"/>
      <c r="I170" s="1960"/>
      <c r="J170" s="1960"/>
      <c r="K170" s="1960"/>
      <c r="L170" s="1960"/>
      <c r="M170" s="1960"/>
      <c r="N170" s="1960"/>
      <c r="O170" s="1960"/>
      <c r="P170" s="1960"/>
      <c r="Q170" s="1960"/>
      <c r="R170" s="1960"/>
      <c r="S170" s="1960"/>
      <c r="T170" s="1960"/>
      <c r="U170" s="1960"/>
      <c r="V170" s="1960"/>
      <c r="W170" s="1960"/>
      <c r="X170" s="1960"/>
      <c r="Y170" s="1960"/>
      <c r="Z170" s="1960"/>
      <c r="AA170" s="1960"/>
      <c r="AB170" s="1960"/>
    </row>
    <row r="171" spans="3:28">
      <c r="C171" s="66"/>
      <c r="E171" s="1960"/>
      <c r="F171" s="1960"/>
      <c r="G171" s="1960"/>
      <c r="H171" s="1960"/>
      <c r="I171" s="1960"/>
      <c r="J171" s="1960"/>
      <c r="K171" s="1960"/>
      <c r="L171" s="1960"/>
      <c r="M171" s="1960"/>
      <c r="N171" s="1960"/>
      <c r="O171" s="1960"/>
      <c r="P171" s="1960"/>
      <c r="Q171" s="1960"/>
      <c r="R171" s="1960"/>
      <c r="S171" s="1960"/>
      <c r="T171" s="1960"/>
      <c r="U171" s="1960"/>
      <c r="V171" s="1960"/>
      <c r="W171" s="1960"/>
      <c r="X171" s="1960"/>
      <c r="Y171" s="1960"/>
      <c r="Z171" s="1960"/>
      <c r="AA171" s="1960"/>
      <c r="AB171" s="1960"/>
    </row>
    <row r="172" spans="3:28">
      <c r="C172" s="66"/>
      <c r="E172" s="1960"/>
      <c r="F172" s="1960"/>
      <c r="G172" s="1960"/>
      <c r="H172" s="1960"/>
      <c r="I172" s="1960"/>
      <c r="J172" s="1960"/>
      <c r="K172" s="1960"/>
      <c r="L172" s="1960"/>
      <c r="M172" s="1960"/>
      <c r="N172" s="1960"/>
      <c r="O172" s="1960"/>
      <c r="P172" s="1960"/>
      <c r="Q172" s="1960"/>
      <c r="R172" s="1960"/>
      <c r="S172" s="1960"/>
      <c r="T172" s="1960"/>
      <c r="U172" s="1960"/>
      <c r="V172" s="1960"/>
      <c r="W172" s="1960"/>
      <c r="X172" s="1960"/>
      <c r="Y172" s="1960"/>
      <c r="Z172" s="1960"/>
      <c r="AA172" s="1960"/>
      <c r="AB172" s="1960"/>
    </row>
    <row r="173" spans="3:28">
      <c r="C173" s="66"/>
      <c r="E173" s="1960"/>
      <c r="F173" s="1960"/>
      <c r="G173" s="1960"/>
      <c r="H173" s="1960"/>
      <c r="I173" s="1960"/>
      <c r="J173" s="1960"/>
      <c r="K173" s="1960"/>
      <c r="L173" s="1960"/>
      <c r="M173" s="1960"/>
      <c r="N173" s="1960"/>
      <c r="O173" s="1960"/>
      <c r="P173" s="1960"/>
      <c r="Q173" s="1960"/>
      <c r="R173" s="1960"/>
      <c r="S173" s="1960"/>
      <c r="T173" s="1960"/>
      <c r="U173" s="1960"/>
      <c r="V173" s="1960"/>
      <c r="W173" s="1960"/>
      <c r="X173" s="1960"/>
      <c r="Y173" s="1960"/>
      <c r="Z173" s="1960"/>
      <c r="AA173" s="1960"/>
      <c r="AB173" s="1960"/>
    </row>
    <row r="174" spans="3:28">
      <c r="C174" s="66"/>
      <c r="E174" s="1960"/>
      <c r="F174" s="1960"/>
      <c r="G174" s="1960"/>
      <c r="H174" s="1960"/>
      <c r="I174" s="1960"/>
      <c r="J174" s="1960"/>
      <c r="K174" s="1960"/>
      <c r="L174" s="1960"/>
      <c r="M174" s="1960"/>
      <c r="N174" s="1960"/>
      <c r="O174" s="1960"/>
      <c r="P174" s="1960"/>
      <c r="Q174" s="1960"/>
      <c r="R174" s="1960"/>
      <c r="S174" s="1960"/>
      <c r="T174" s="1960"/>
      <c r="U174" s="1960"/>
      <c r="V174" s="1960"/>
      <c r="W174" s="1960"/>
      <c r="X174" s="1960"/>
      <c r="Y174" s="1960"/>
      <c r="Z174" s="1960"/>
      <c r="AA174" s="1960"/>
      <c r="AB174" s="1960"/>
    </row>
    <row r="175" spans="3:28">
      <c r="C175" s="66"/>
      <c r="E175" s="1960"/>
      <c r="F175" s="1960"/>
      <c r="G175" s="1960"/>
      <c r="H175" s="1960"/>
      <c r="I175" s="1960"/>
      <c r="J175" s="1960"/>
      <c r="K175" s="1960"/>
      <c r="L175" s="1960"/>
      <c r="M175" s="1960"/>
      <c r="N175" s="1960"/>
      <c r="O175" s="1960"/>
      <c r="P175" s="1960"/>
      <c r="Q175" s="1960"/>
      <c r="R175" s="1960"/>
      <c r="S175" s="1960"/>
      <c r="T175" s="1960"/>
      <c r="U175" s="1960"/>
      <c r="V175" s="1960"/>
      <c r="W175" s="1960"/>
      <c r="X175" s="1960"/>
      <c r="Y175" s="1960"/>
      <c r="Z175" s="1960"/>
      <c r="AA175" s="1960"/>
      <c r="AB175" s="1960"/>
    </row>
    <row r="176" spans="3:28">
      <c r="C176" s="66"/>
      <c r="E176" s="1960"/>
      <c r="F176" s="1960"/>
      <c r="G176" s="1960"/>
      <c r="H176" s="1960"/>
      <c r="I176" s="1960"/>
      <c r="J176" s="1960"/>
      <c r="K176" s="1960"/>
      <c r="L176" s="1960"/>
      <c r="M176" s="1960"/>
      <c r="N176" s="1960"/>
      <c r="O176" s="1960"/>
      <c r="P176" s="1960"/>
      <c r="Q176" s="1960"/>
      <c r="R176" s="1960"/>
      <c r="S176" s="1960"/>
      <c r="T176" s="1960"/>
      <c r="U176" s="1960"/>
      <c r="V176" s="1960"/>
      <c r="W176" s="1960"/>
      <c r="X176" s="1960"/>
      <c r="Y176" s="1960"/>
      <c r="Z176" s="1960"/>
      <c r="AA176" s="1960"/>
      <c r="AB176" s="1960"/>
    </row>
    <row r="177" spans="2:28">
      <c r="C177" s="66"/>
      <c r="E177" s="1960"/>
      <c r="F177" s="1960"/>
      <c r="G177" s="1960"/>
      <c r="H177" s="1960"/>
      <c r="I177" s="1960"/>
      <c r="J177" s="1960"/>
      <c r="K177" s="1960"/>
      <c r="L177" s="1960"/>
      <c r="M177" s="1960"/>
      <c r="N177" s="1960"/>
      <c r="O177" s="1960"/>
      <c r="P177" s="1960"/>
      <c r="Q177" s="1960"/>
      <c r="R177" s="1960"/>
      <c r="S177" s="1960"/>
      <c r="T177" s="1960"/>
      <c r="U177" s="1960"/>
      <c r="V177" s="1960"/>
      <c r="W177" s="1960"/>
      <c r="X177" s="1960"/>
      <c r="Y177" s="1960"/>
      <c r="Z177" s="1960"/>
      <c r="AA177" s="1960"/>
      <c r="AB177" s="1960"/>
    </row>
    <row r="178" spans="2:28">
      <c r="C178" s="66"/>
      <c r="E178" s="1960"/>
      <c r="F178" s="1960"/>
      <c r="G178" s="1960"/>
      <c r="H178" s="1960"/>
      <c r="I178" s="1960"/>
      <c r="J178" s="1960"/>
      <c r="K178" s="1960"/>
      <c r="L178" s="1960"/>
      <c r="M178" s="1960"/>
      <c r="N178" s="1960"/>
      <c r="O178" s="1960"/>
      <c r="P178" s="1960"/>
      <c r="Q178" s="1960"/>
      <c r="R178" s="1960"/>
      <c r="S178" s="1960"/>
      <c r="T178" s="1960"/>
      <c r="U178" s="1960"/>
      <c r="V178" s="1960"/>
      <c r="W178" s="1960"/>
      <c r="X178" s="1960"/>
      <c r="Y178" s="1960"/>
      <c r="Z178" s="1960"/>
      <c r="AA178" s="1960"/>
      <c r="AB178" s="1960"/>
    </row>
    <row r="179" spans="2:28">
      <c r="B179" s="2836" t="s">
        <v>550</v>
      </c>
      <c r="C179" s="66"/>
      <c r="E179" s="1960"/>
      <c r="F179" s="1960"/>
      <c r="G179" s="1960"/>
      <c r="H179" s="1960"/>
      <c r="I179" s="1960"/>
      <c r="J179" s="1960"/>
      <c r="K179" s="1960"/>
      <c r="L179" s="1960"/>
      <c r="M179" s="1960"/>
      <c r="N179" s="1960"/>
      <c r="O179" s="1960"/>
      <c r="P179" s="1960"/>
      <c r="Q179" s="1960"/>
      <c r="R179" s="1960"/>
      <c r="S179" s="1960"/>
      <c r="T179" s="1960"/>
      <c r="U179" s="1960"/>
      <c r="V179" s="1960"/>
      <c r="W179" s="1960"/>
      <c r="X179" s="1960"/>
      <c r="Y179" s="1960"/>
      <c r="Z179" s="1960"/>
      <c r="AA179" s="1960"/>
      <c r="AB179" s="1960"/>
    </row>
    <row r="180" spans="2:28">
      <c r="C180" s="66"/>
      <c r="E180" s="1960"/>
      <c r="F180" s="1960"/>
      <c r="G180" s="1960"/>
      <c r="H180" s="1960"/>
      <c r="I180" s="1960"/>
      <c r="J180" s="1960"/>
      <c r="K180" s="1960"/>
      <c r="L180" s="1960"/>
      <c r="M180" s="1960"/>
      <c r="N180" s="1960"/>
      <c r="O180" s="1960"/>
      <c r="P180" s="1960"/>
      <c r="Q180" s="1960"/>
      <c r="R180" s="1960"/>
      <c r="S180" s="1960"/>
      <c r="T180" s="1960"/>
      <c r="U180" s="1960"/>
      <c r="V180" s="1960"/>
      <c r="W180" s="1960"/>
      <c r="X180" s="1960"/>
      <c r="Y180" s="1960"/>
      <c r="Z180" s="1960"/>
      <c r="AA180" s="1960"/>
      <c r="AB180" s="1960"/>
    </row>
    <row r="181" spans="2:28">
      <c r="C181" s="66"/>
      <c r="E181" s="1960"/>
      <c r="F181" s="1960"/>
      <c r="G181" s="1960"/>
      <c r="H181" s="1960"/>
      <c r="I181" s="1960"/>
      <c r="J181" s="1960"/>
      <c r="K181" s="1960"/>
      <c r="L181" s="1960"/>
      <c r="M181" s="1960"/>
      <c r="N181" s="1960"/>
      <c r="O181" s="1960"/>
      <c r="P181" s="1960"/>
      <c r="Q181" s="1960"/>
      <c r="R181" s="1960"/>
      <c r="S181" s="1960"/>
      <c r="T181" s="1960"/>
      <c r="U181" s="1960"/>
      <c r="V181" s="1960"/>
      <c r="W181" s="1960"/>
      <c r="X181" s="1960"/>
      <c r="Y181" s="1960"/>
      <c r="Z181" s="1960"/>
      <c r="AA181" s="1960"/>
      <c r="AB181" s="1960"/>
    </row>
    <row r="182" spans="2:28">
      <c r="C182" s="66"/>
      <c r="E182" s="1960"/>
      <c r="F182" s="1960"/>
      <c r="G182" s="1960"/>
      <c r="H182" s="1960"/>
      <c r="I182" s="1960"/>
      <c r="J182" s="1960"/>
      <c r="K182" s="1960"/>
      <c r="L182" s="1960"/>
      <c r="M182" s="1960"/>
      <c r="N182" s="1960"/>
      <c r="O182" s="1960"/>
      <c r="P182" s="1960"/>
      <c r="Q182" s="1960"/>
      <c r="R182" s="1960"/>
      <c r="S182" s="1960"/>
      <c r="T182" s="1960"/>
      <c r="U182" s="1960"/>
      <c r="V182" s="1960"/>
      <c r="W182" s="1960"/>
      <c r="X182" s="1960"/>
      <c r="Y182" s="1960"/>
      <c r="Z182" s="1960"/>
      <c r="AA182" s="1960"/>
      <c r="AB182" s="1960"/>
    </row>
    <row r="183" spans="2:28">
      <c r="C183" s="66"/>
      <c r="E183" s="1960"/>
      <c r="F183" s="1960"/>
      <c r="G183" s="1960"/>
      <c r="H183" s="1960"/>
      <c r="I183" s="1960"/>
      <c r="J183" s="1960"/>
      <c r="K183" s="1960"/>
      <c r="L183" s="1960"/>
      <c r="M183" s="1960"/>
      <c r="N183" s="1960"/>
      <c r="O183" s="1960"/>
      <c r="P183" s="1960"/>
      <c r="Q183" s="1960"/>
      <c r="R183" s="1960"/>
      <c r="S183" s="1960"/>
      <c r="T183" s="1960"/>
      <c r="U183" s="1960"/>
      <c r="V183" s="1960"/>
      <c r="W183" s="1960"/>
      <c r="X183" s="1960"/>
      <c r="Y183" s="1960"/>
      <c r="Z183" s="1960"/>
      <c r="AA183" s="1960"/>
      <c r="AB183" s="1960"/>
    </row>
    <row r="184" spans="2:28">
      <c r="C184" s="66"/>
      <c r="E184" s="1960"/>
      <c r="F184" s="1960"/>
      <c r="G184" s="1960"/>
      <c r="H184" s="1960"/>
      <c r="I184" s="1960"/>
      <c r="J184" s="1960"/>
      <c r="K184" s="1960"/>
      <c r="L184" s="1960"/>
      <c r="M184" s="1960"/>
      <c r="N184" s="1960"/>
      <c r="O184" s="1960"/>
      <c r="P184" s="1960"/>
      <c r="Q184" s="1960"/>
      <c r="R184" s="1960"/>
      <c r="S184" s="1960"/>
      <c r="T184" s="1960"/>
      <c r="U184" s="1960"/>
      <c r="V184" s="1960"/>
      <c r="W184" s="1960"/>
      <c r="X184" s="1960"/>
      <c r="Y184" s="1960"/>
      <c r="Z184" s="1960"/>
      <c r="AA184" s="1960"/>
      <c r="AB184" s="1960"/>
    </row>
    <row r="185" spans="2:28">
      <c r="C185" s="66"/>
      <c r="E185" s="1960"/>
      <c r="F185" s="1960"/>
      <c r="G185" s="1960"/>
      <c r="H185" s="1960"/>
      <c r="I185" s="1960"/>
      <c r="J185" s="1960"/>
      <c r="K185" s="1960"/>
      <c r="L185" s="1960"/>
      <c r="M185" s="1960"/>
      <c r="N185" s="1960"/>
      <c r="O185" s="1960"/>
      <c r="P185" s="1960"/>
      <c r="Q185" s="1960"/>
      <c r="R185" s="1960"/>
      <c r="S185" s="1960"/>
      <c r="T185" s="1960"/>
      <c r="U185" s="1960"/>
      <c r="V185" s="1960"/>
      <c r="W185" s="1960"/>
      <c r="X185" s="1960"/>
      <c r="Y185" s="1960"/>
      <c r="Z185" s="1960"/>
      <c r="AA185" s="1960"/>
      <c r="AB185" s="1960"/>
    </row>
    <row r="186" spans="2:28">
      <c r="C186" s="66"/>
      <c r="E186" s="1960"/>
      <c r="F186" s="1960"/>
      <c r="G186" s="1960"/>
      <c r="H186" s="1960"/>
      <c r="I186" s="1960"/>
      <c r="J186" s="1960"/>
      <c r="K186" s="1960"/>
      <c r="L186" s="1960"/>
      <c r="M186" s="1960"/>
      <c r="N186" s="1960"/>
      <c r="O186" s="1960"/>
      <c r="P186" s="1960"/>
      <c r="Q186" s="1960"/>
      <c r="R186" s="1960"/>
      <c r="S186" s="1960"/>
      <c r="T186" s="1960"/>
      <c r="U186" s="1960"/>
      <c r="V186" s="1960"/>
      <c r="W186" s="1960"/>
      <c r="X186" s="1960"/>
      <c r="Y186" s="1960"/>
      <c r="Z186" s="1960"/>
      <c r="AA186" s="1960"/>
      <c r="AB186" s="1960"/>
    </row>
    <row r="187" spans="2:28">
      <c r="C187" s="66"/>
      <c r="E187" s="1960"/>
      <c r="F187" s="1960"/>
      <c r="G187" s="1960"/>
      <c r="H187" s="1960"/>
      <c r="I187" s="1960"/>
      <c r="J187" s="1960"/>
      <c r="K187" s="1960"/>
      <c r="L187" s="1960"/>
      <c r="M187" s="1960"/>
      <c r="N187" s="1960"/>
      <c r="O187" s="1960"/>
      <c r="P187" s="1960"/>
      <c r="Q187" s="1960"/>
      <c r="R187" s="1960"/>
      <c r="S187" s="1960"/>
      <c r="T187" s="1960"/>
      <c r="U187" s="1960"/>
      <c r="V187" s="1960"/>
      <c r="W187" s="1960"/>
      <c r="X187" s="1960"/>
      <c r="Y187" s="1960"/>
      <c r="Z187" s="1960"/>
      <c r="AA187" s="1960"/>
      <c r="AB187" s="1960"/>
    </row>
    <row r="188" spans="2:28">
      <c r="C188" s="66"/>
      <c r="E188" s="1960"/>
      <c r="F188" s="1960"/>
      <c r="G188" s="1960"/>
      <c r="H188" s="1960"/>
      <c r="I188" s="1960"/>
      <c r="J188" s="1960"/>
      <c r="K188" s="1960"/>
      <c r="L188" s="1960"/>
      <c r="M188" s="1960"/>
      <c r="N188" s="1960"/>
      <c r="O188" s="1960"/>
      <c r="P188" s="1960"/>
      <c r="Q188" s="1960"/>
      <c r="R188" s="1960"/>
      <c r="S188" s="1960"/>
      <c r="T188" s="1960"/>
      <c r="U188" s="1960"/>
      <c r="V188" s="1960"/>
      <c r="W188" s="1960"/>
      <c r="X188" s="1960"/>
      <c r="Y188" s="1960"/>
      <c r="Z188" s="1960"/>
      <c r="AA188" s="1960"/>
      <c r="AB188" s="1960"/>
    </row>
    <row r="189" spans="2:28">
      <c r="C189" s="66"/>
      <c r="E189" s="1960"/>
      <c r="F189" s="1960"/>
      <c r="G189" s="1960"/>
      <c r="H189" s="1960"/>
      <c r="I189" s="1960"/>
      <c r="J189" s="1960"/>
      <c r="K189" s="1960"/>
      <c r="L189" s="1960"/>
      <c r="M189" s="1960"/>
      <c r="N189" s="1960"/>
      <c r="O189" s="1960"/>
      <c r="P189" s="1960"/>
      <c r="Q189" s="1960"/>
      <c r="R189" s="1960"/>
      <c r="S189" s="1960"/>
      <c r="T189" s="1960"/>
      <c r="U189" s="1960"/>
      <c r="V189" s="1960"/>
      <c r="W189" s="1960"/>
      <c r="X189" s="1960"/>
      <c r="Y189" s="1960"/>
      <c r="Z189" s="1960"/>
      <c r="AA189" s="1960"/>
      <c r="AB189" s="1960"/>
    </row>
    <row r="190" spans="2:28">
      <c r="C190" s="66"/>
      <c r="E190" s="1960"/>
      <c r="F190" s="1960"/>
      <c r="G190" s="1960"/>
      <c r="H190" s="1960"/>
      <c r="I190" s="1960"/>
      <c r="J190" s="1960"/>
      <c r="K190" s="1960"/>
      <c r="L190" s="1960"/>
      <c r="M190" s="1960"/>
      <c r="N190" s="1960"/>
      <c r="O190" s="1960"/>
      <c r="P190" s="1960"/>
      <c r="Q190" s="1960"/>
      <c r="R190" s="1960"/>
      <c r="S190" s="1960"/>
      <c r="T190" s="1960"/>
      <c r="U190" s="1960"/>
      <c r="V190" s="1960"/>
      <c r="W190" s="1960"/>
      <c r="X190" s="1960"/>
      <c r="Y190" s="1960"/>
      <c r="Z190" s="1960"/>
      <c r="AA190" s="1960"/>
      <c r="AB190" s="1960"/>
    </row>
    <row r="191" spans="2:28">
      <c r="C191" s="66"/>
      <c r="E191" s="1960"/>
      <c r="F191" s="1960"/>
      <c r="G191" s="1960"/>
      <c r="H191" s="1960"/>
      <c r="I191" s="1960"/>
      <c r="J191" s="1960"/>
      <c r="K191" s="1960"/>
      <c r="L191" s="1960"/>
      <c r="M191" s="1960"/>
      <c r="N191" s="1960"/>
      <c r="O191" s="1960"/>
      <c r="P191" s="1960"/>
      <c r="Q191" s="1960"/>
      <c r="R191" s="1960"/>
      <c r="S191" s="1960"/>
      <c r="T191" s="1960"/>
      <c r="U191" s="1960"/>
      <c r="V191" s="1960"/>
      <c r="W191" s="1960"/>
      <c r="X191" s="1960"/>
      <c r="Y191" s="1960"/>
      <c r="Z191" s="1960"/>
      <c r="AA191" s="1960"/>
      <c r="AB191" s="1960"/>
    </row>
    <row r="192" spans="2:28">
      <c r="C192" s="66"/>
      <c r="E192" s="1960"/>
      <c r="F192" s="1960"/>
      <c r="G192" s="1960"/>
      <c r="H192" s="1960"/>
      <c r="I192" s="1960"/>
      <c r="J192" s="1960"/>
      <c r="K192" s="1960"/>
      <c r="L192" s="1960"/>
      <c r="M192" s="1960"/>
      <c r="N192" s="1960"/>
      <c r="O192" s="1960"/>
      <c r="P192" s="1960"/>
      <c r="Q192" s="1960"/>
      <c r="R192" s="1960"/>
      <c r="S192" s="1960"/>
      <c r="T192" s="1960"/>
      <c r="U192" s="1960"/>
      <c r="V192" s="1960"/>
      <c r="W192" s="1960"/>
      <c r="X192" s="1960"/>
      <c r="Y192" s="1960"/>
      <c r="Z192" s="1960"/>
      <c r="AA192" s="1960"/>
      <c r="AB192" s="1960"/>
    </row>
    <row r="193" spans="1:82">
      <c r="C193" s="66"/>
      <c r="E193" s="1960"/>
      <c r="F193" s="1960"/>
      <c r="G193" s="1960"/>
      <c r="H193" s="1960"/>
      <c r="I193" s="1960"/>
      <c r="J193" s="1960"/>
      <c r="K193" s="1960"/>
      <c r="L193" s="1960"/>
      <c r="M193" s="1960"/>
      <c r="N193" s="1960"/>
      <c r="O193" s="1960"/>
      <c r="P193" s="1960"/>
      <c r="Q193" s="1960"/>
      <c r="R193" s="1960"/>
      <c r="S193" s="1960"/>
      <c r="T193" s="1960"/>
      <c r="U193" s="1960"/>
      <c r="V193" s="1960"/>
      <c r="W193" s="1960"/>
      <c r="X193" s="1960"/>
      <c r="Y193" s="1960"/>
      <c r="Z193" s="1960"/>
      <c r="AA193" s="1960"/>
      <c r="AB193" s="1960"/>
    </row>
    <row r="194" spans="1:82">
      <c r="C194" s="66"/>
      <c r="E194" s="1960"/>
      <c r="F194" s="1960"/>
      <c r="G194" s="1960"/>
      <c r="H194" s="1960"/>
      <c r="I194" s="1960"/>
      <c r="J194" s="1960"/>
      <c r="K194" s="1960"/>
      <c r="L194" s="1960"/>
      <c r="M194" s="1960"/>
      <c r="N194" s="1960"/>
      <c r="O194" s="1960"/>
      <c r="P194" s="1960"/>
      <c r="Q194" s="1960"/>
      <c r="R194" s="1960"/>
      <c r="S194" s="1960"/>
      <c r="T194" s="1960"/>
      <c r="U194" s="1960"/>
      <c r="V194" s="1960"/>
      <c r="W194" s="1960"/>
      <c r="X194" s="1960"/>
      <c r="Y194" s="1960"/>
      <c r="Z194" s="1960"/>
      <c r="AA194" s="1960"/>
      <c r="AB194" s="1960"/>
    </row>
    <row r="195" spans="1:82">
      <c r="C195" s="66"/>
      <c r="E195" s="1960"/>
      <c r="F195" s="1960"/>
      <c r="G195" s="1960"/>
      <c r="H195" s="1960"/>
      <c r="I195" s="1960"/>
      <c r="J195" s="1960"/>
      <c r="K195" s="1960"/>
      <c r="L195" s="1960"/>
      <c r="M195" s="1960"/>
      <c r="N195" s="1960"/>
      <c r="O195" s="1960"/>
      <c r="P195" s="1960"/>
      <c r="Q195" s="1960"/>
      <c r="R195" s="1960"/>
      <c r="S195" s="1960"/>
      <c r="T195" s="1960"/>
      <c r="U195" s="1960"/>
      <c r="V195" s="1960"/>
      <c r="W195" s="1960"/>
      <c r="X195" s="1960"/>
      <c r="Y195" s="1960"/>
      <c r="Z195" s="1960"/>
      <c r="AA195" s="1960"/>
      <c r="AB195" s="1960"/>
    </row>
    <row r="196" spans="1:82">
      <c r="C196" s="66"/>
      <c r="E196" s="1960"/>
      <c r="F196" s="1960"/>
      <c r="G196" s="1960"/>
      <c r="H196" s="1960"/>
      <c r="I196" s="1960"/>
      <c r="J196" s="1960"/>
      <c r="K196" s="1960"/>
      <c r="L196" s="1960"/>
      <c r="M196" s="1960"/>
      <c r="N196" s="1960"/>
      <c r="O196" s="1960"/>
      <c r="P196" s="1960"/>
      <c r="Q196" s="1960"/>
      <c r="R196" s="1960"/>
      <c r="S196" s="1960"/>
      <c r="T196" s="1960"/>
      <c r="U196" s="1960"/>
      <c r="V196" s="1960"/>
      <c r="W196" s="1960"/>
      <c r="X196" s="1960"/>
      <c r="Y196" s="1960"/>
      <c r="Z196" s="1960"/>
      <c r="AA196" s="1960"/>
      <c r="AB196" s="1960"/>
    </row>
    <row r="197" spans="1:82">
      <c r="A197" s="1938"/>
      <c r="C197" s="66"/>
      <c r="E197" s="1960"/>
      <c r="F197" s="1960"/>
      <c r="G197" s="1960"/>
      <c r="H197" s="1960"/>
      <c r="I197" s="1960"/>
      <c r="J197" s="1960"/>
      <c r="K197" s="1960"/>
      <c r="L197" s="1960"/>
      <c r="M197" s="1960"/>
      <c r="N197" s="1960"/>
      <c r="O197" s="1960"/>
      <c r="P197" s="1960"/>
      <c r="Q197" s="1960"/>
      <c r="R197" s="1960"/>
      <c r="S197" s="1960"/>
      <c r="T197" s="1960"/>
      <c r="U197" s="1960"/>
      <c r="V197" s="1960"/>
      <c r="W197" s="1960"/>
      <c r="X197" s="1960"/>
      <c r="Y197" s="1960"/>
      <c r="Z197" s="1960"/>
      <c r="AA197" s="1960"/>
      <c r="AB197" s="1960"/>
    </row>
    <row r="198" spans="1:82">
      <c r="A198" s="1938"/>
      <c r="C198" s="66"/>
      <c r="N198" s="1960"/>
      <c r="O198" s="1960"/>
      <c r="P198" s="1960"/>
      <c r="Q198" s="1960"/>
      <c r="R198" s="1960"/>
      <c r="S198" s="1960"/>
      <c r="T198" s="1960"/>
      <c r="U198" s="1960"/>
      <c r="V198" s="1960"/>
      <c r="W198" s="1960"/>
      <c r="X198" s="1960"/>
      <c r="Y198" s="1960"/>
      <c r="Z198" s="1960"/>
      <c r="AA198" s="1960"/>
      <c r="AB198" s="1960"/>
    </row>
    <row r="199" spans="1:82">
      <c r="A199" s="1938"/>
      <c r="C199" s="66"/>
      <c r="N199" s="1960"/>
      <c r="O199" s="1960"/>
      <c r="P199" s="1960"/>
      <c r="Q199" s="1960"/>
      <c r="R199" s="1960"/>
      <c r="S199" s="1960"/>
      <c r="T199" s="1960"/>
      <c r="U199" s="1960"/>
      <c r="V199" s="1960"/>
      <c r="W199" s="1960"/>
      <c r="X199" s="1960"/>
      <c r="Y199" s="1960"/>
      <c r="Z199" s="1960"/>
      <c r="AA199" s="566" t="s">
        <v>550</v>
      </c>
      <c r="AB199" s="1960"/>
      <c r="AL199" s="566" t="s">
        <v>550</v>
      </c>
      <c r="AR199" s="566" t="s">
        <v>550</v>
      </c>
      <c r="BL199" s="566" t="s">
        <v>550</v>
      </c>
      <c r="BS199" s="566" t="s">
        <v>550</v>
      </c>
      <c r="CC199" s="566" t="s">
        <v>550</v>
      </c>
    </row>
    <row r="200" spans="1:82" ht="13.15">
      <c r="C200" s="66"/>
      <c r="AA200" s="1989"/>
      <c r="AB200" s="1990" t="s">
        <v>632</v>
      </c>
      <c r="AC200" s="1991"/>
      <c r="AD200" s="1991"/>
      <c r="AE200" s="1991"/>
      <c r="AF200" s="1990" t="s">
        <v>632</v>
      </c>
      <c r="AG200" s="1991"/>
      <c r="AH200" s="1991"/>
      <c r="AI200" s="1991"/>
      <c r="AJ200" s="1991"/>
      <c r="AK200" s="1990" t="s">
        <v>632</v>
      </c>
      <c r="AL200" s="1991"/>
      <c r="AM200" s="1991"/>
      <c r="AN200" s="1991"/>
      <c r="AO200" s="1991"/>
      <c r="AP200" s="1991"/>
      <c r="AQ200" s="1991"/>
      <c r="AR200" s="1991"/>
      <c r="AS200" s="1991"/>
      <c r="AT200" s="1991"/>
      <c r="AU200" s="1991"/>
      <c r="AV200" s="1991"/>
      <c r="AW200" s="1991"/>
      <c r="AX200" s="1991"/>
      <c r="AY200" s="1991"/>
      <c r="AZ200" s="1991"/>
      <c r="BA200" s="1991"/>
      <c r="BB200" s="1991"/>
      <c r="BC200" s="1991"/>
      <c r="BD200" s="1991"/>
      <c r="BE200" s="1991"/>
      <c r="BF200" s="1992"/>
      <c r="BG200" s="1993"/>
      <c r="BH200" s="1991"/>
      <c r="BI200" s="1991"/>
      <c r="BJ200" s="1991"/>
      <c r="BK200" s="1991"/>
      <c r="BL200" s="1991"/>
      <c r="BM200" s="1991"/>
      <c r="BN200" s="1991"/>
      <c r="BO200" s="1991"/>
      <c r="BP200" s="1991"/>
      <c r="BQ200" s="1991"/>
      <c r="BR200" s="1991"/>
      <c r="BS200" s="1991"/>
      <c r="BT200" s="1991"/>
      <c r="BU200" s="1991"/>
      <c r="BV200" s="1991"/>
      <c r="BW200" s="1991"/>
      <c r="BX200" s="1991"/>
      <c r="BY200" s="1991"/>
      <c r="BZ200" s="1991"/>
      <c r="CA200" s="1991"/>
      <c r="CB200" s="1991"/>
      <c r="CC200" s="1991"/>
      <c r="CD200" s="1992"/>
    </row>
    <row r="201" spans="1:82">
      <c r="C201" s="66"/>
      <c r="AA201" s="1994"/>
      <c r="BF201" s="1995"/>
    </row>
    <row r="202" spans="1:82" ht="13.15">
      <c r="C202" s="66"/>
      <c r="AA202" s="1994"/>
      <c r="AR202" s="1996" t="s">
        <v>11</v>
      </c>
      <c r="AS202" s="1997"/>
      <c r="AU202" s="1996" t="s">
        <v>4</v>
      </c>
      <c r="AV202" s="1997"/>
      <c r="AX202" s="1996" t="s">
        <v>5</v>
      </c>
      <c r="AY202" s="1997"/>
      <c r="BA202" s="1996" t="s">
        <v>6</v>
      </c>
      <c r="BB202" s="1997"/>
      <c r="BD202" s="1998" t="s">
        <v>12</v>
      </c>
      <c r="BE202" s="1999"/>
      <c r="BF202" s="1995"/>
      <c r="BG202" s="1996" t="s">
        <v>7</v>
      </c>
      <c r="BH202" s="2000"/>
      <c r="BI202" s="2000"/>
      <c r="BJ202" s="1997"/>
      <c r="BL202" s="2001" t="s">
        <v>8</v>
      </c>
      <c r="BM202" s="2002"/>
      <c r="BO202" s="1996" t="s">
        <v>9</v>
      </c>
      <c r="BP202" s="1997"/>
      <c r="BR202" s="2003"/>
      <c r="BS202" s="2271" t="s">
        <v>576</v>
      </c>
      <c r="BT202" s="2272"/>
      <c r="BU202" s="2271" t="s">
        <v>203</v>
      </c>
      <c r="BV202" s="2273"/>
      <c r="BW202" s="2620"/>
      <c r="BX202" s="2621"/>
      <c r="BY202" s="2621"/>
      <c r="BZ202" s="2621"/>
      <c r="CA202" s="2621"/>
      <c r="CB202" s="2621"/>
      <c r="CC202" s="2622"/>
      <c r="CD202" s="2623" t="s">
        <v>204</v>
      </c>
    </row>
    <row r="203" spans="1:82" ht="12.75" customHeight="1">
      <c r="C203" s="66"/>
      <c r="AA203" s="2608" t="s">
        <v>955</v>
      </c>
      <c r="AB203" s="2609"/>
      <c r="AD203" s="2606" t="s">
        <v>1048</v>
      </c>
      <c r="AE203" s="2607"/>
      <c r="AG203" s="2606" t="s">
        <v>1049</v>
      </c>
      <c r="AH203" s="2607"/>
      <c r="AR203" s="2007" t="s">
        <v>18</v>
      </c>
      <c r="AS203" s="2007" t="s">
        <v>20</v>
      </c>
      <c r="AU203" s="2007" t="str">
        <f t="shared" ref="AU203:AV206" si="1">IF(AU212=0,"",AU212)</f>
        <v>API</v>
      </c>
      <c r="AV203" s="2007" t="str">
        <f t="shared" si="1"/>
        <v>Cubic Mtrs @15°C</v>
      </c>
      <c r="AX203" s="2007" t="str">
        <f t="shared" ref="AX203:AY206" si="2">IF(AX212=0,"",AX212)</f>
        <v>API</v>
      </c>
      <c r="AY203" s="2007" t="str">
        <f t="shared" si="2"/>
        <v>Long Tons</v>
      </c>
      <c r="BA203" s="2007" t="str">
        <f t="shared" ref="BA203:BB206" si="3">IF(BA212=0,"",BA212)</f>
        <v>API</v>
      </c>
      <c r="BB203" s="2007" t="str">
        <f t="shared" si="3"/>
        <v>Tonnes</v>
      </c>
      <c r="BD203" s="2007" t="s">
        <v>20</v>
      </c>
      <c r="BE203" s="2007" t="s">
        <v>18</v>
      </c>
      <c r="BF203" s="1995"/>
      <c r="BG203" s="2007" t="str">
        <f t="shared" ref="BG203:BJ206" si="4">IF(BG212=0,"",BG212)</f>
        <v>Density</v>
      </c>
      <c r="BH203" s="2007" t="str">
        <f t="shared" si="4"/>
        <v>Cubic Mtrs @15°C</v>
      </c>
      <c r="BI203" s="2007" t="str">
        <f t="shared" si="4"/>
        <v>Density</v>
      </c>
      <c r="BJ203" s="2007" t="str">
        <f t="shared" si="4"/>
        <v>Barrels @60°F</v>
      </c>
      <c r="BL203" s="2007" t="s">
        <v>20</v>
      </c>
      <c r="BM203" s="2007" t="s">
        <v>13</v>
      </c>
      <c r="BO203" s="2007" t="str">
        <f t="shared" ref="BO203:BP206" si="5">IF(BO212=0,"",BO212)</f>
        <v>Density</v>
      </c>
      <c r="BP203" s="2007" t="str">
        <f t="shared" si="5"/>
        <v>Long Tons</v>
      </c>
      <c r="BR203" s="1175"/>
      <c r="BS203" s="2624" t="s">
        <v>18</v>
      </c>
      <c r="BT203" s="2624" t="s">
        <v>205</v>
      </c>
      <c r="BU203" s="2625" t="s">
        <v>18</v>
      </c>
      <c r="BV203" s="2281" t="s">
        <v>205</v>
      </c>
      <c r="BW203" s="2626"/>
      <c r="BX203" s="2627"/>
      <c r="BY203" s="2627"/>
      <c r="BZ203" s="2627"/>
      <c r="CA203" s="2627"/>
      <c r="CB203" s="2627"/>
      <c r="CC203" s="2628"/>
      <c r="CD203" s="2285" t="s">
        <v>208</v>
      </c>
    </row>
    <row r="204" spans="1:82" ht="12.75" customHeight="1">
      <c r="C204" s="66"/>
      <c r="AA204" s="2829">
        <v>1</v>
      </c>
      <c r="AB204" s="2010" t="str">
        <f>VLOOKUP(AA204,AA205:AB206,2)</f>
        <v>API</v>
      </c>
      <c r="AD204" s="2011" t="s">
        <v>1050</v>
      </c>
      <c r="AE204" s="2012">
        <f>AR208</f>
        <v>33</v>
      </c>
      <c r="AG204" s="2011" t="s">
        <v>1051</v>
      </c>
      <c r="AH204" s="2013">
        <f>BD208</f>
        <v>859.7</v>
      </c>
      <c r="AR204" s="2014" t="s">
        <v>26</v>
      </c>
      <c r="AS204" s="2014" t="s">
        <v>27</v>
      </c>
      <c r="AU204" s="2014" t="str">
        <f t="shared" si="1"/>
        <v>Gravity</v>
      </c>
      <c r="AV204" s="2014" t="str">
        <f t="shared" si="1"/>
        <v>per</v>
      </c>
      <c r="AX204" s="2014" t="str">
        <f t="shared" si="2"/>
        <v>Gravity</v>
      </c>
      <c r="AY204" s="2014" t="str">
        <f t="shared" si="2"/>
        <v>per</v>
      </c>
      <c r="BA204" s="2014" t="str">
        <f t="shared" si="3"/>
        <v>Gravity</v>
      </c>
      <c r="BB204" s="2014" t="str">
        <f t="shared" si="3"/>
        <v>per</v>
      </c>
      <c r="BD204" s="2014" t="s">
        <v>27</v>
      </c>
      <c r="BE204" s="2014" t="s">
        <v>26</v>
      </c>
      <c r="BF204" s="1995"/>
      <c r="BG204" s="2014" t="str">
        <f t="shared" si="4"/>
        <v/>
      </c>
      <c r="BH204" s="2014" t="str">
        <f t="shared" si="4"/>
        <v>per</v>
      </c>
      <c r="BI204" s="2014" t="str">
        <f t="shared" si="4"/>
        <v/>
      </c>
      <c r="BJ204" s="2014" t="str">
        <f t="shared" si="4"/>
        <v>per</v>
      </c>
      <c r="BL204" s="2014" t="s">
        <v>27</v>
      </c>
      <c r="BM204" s="2014" t="s">
        <v>25</v>
      </c>
      <c r="BO204" s="2014" t="str">
        <f t="shared" si="5"/>
        <v/>
      </c>
      <c r="BP204" s="2014" t="str">
        <f t="shared" si="5"/>
        <v>per</v>
      </c>
      <c r="BR204" s="1785" t="s">
        <v>1052</v>
      </c>
      <c r="BS204" s="2629">
        <f>AE204</f>
        <v>33</v>
      </c>
      <c r="BT204" s="2630">
        <f>AE205</f>
        <v>110</v>
      </c>
      <c r="BU204" s="2631">
        <f>FLOOR(BS204,1)+IF(MOD(BS204,1)&lt;0.26,0,IF(MOD(BS204,1)&lt;0.76,0.5,1))</f>
        <v>33</v>
      </c>
      <c r="BV204" s="2631">
        <f>FLOOR(BT204,1)+IF(MOD(BT204,1)&lt;0.26,0,IF(MOD(BT204,1)&lt;0.76,0.5,1))</f>
        <v>110</v>
      </c>
      <c r="BW204" s="2632"/>
      <c r="BX204" s="2632"/>
      <c r="BY204" s="2632"/>
      <c r="BZ204" s="2632"/>
      <c r="CA204" s="2632"/>
      <c r="CB204" s="2632"/>
      <c r="CC204" s="2632"/>
      <c r="CD204" s="2633">
        <f>ROUND(EXP((341.0957/(141.5*999.012/(BU204+131.5))^2)*(BV204-60)*(1+0.8*(341.0957/(141.5*999.012/(BU204+131.5))^2)*(BV204-60))*-1),4)</f>
        <v>0.9768</v>
      </c>
    </row>
    <row r="205" spans="1:82" ht="12.75" customHeight="1">
      <c r="C205" s="66"/>
      <c r="AA205" s="2016">
        <v>1</v>
      </c>
      <c r="AB205" s="2003" t="s">
        <v>18</v>
      </c>
      <c r="AD205" s="2017" t="s">
        <v>1053</v>
      </c>
      <c r="AE205" s="2013">
        <f>ROUND(IF($AA$204=1,E12,(9/5)*E12+32),1)</f>
        <v>110</v>
      </c>
      <c r="AG205" s="2017" t="s">
        <v>1054</v>
      </c>
      <c r="AH205" s="2013">
        <f>ROUND(IF($AA$204=2,E12,(E12-32)/9*5),1)</f>
        <v>43.3</v>
      </c>
      <c r="AR205" s="2014" t="s">
        <v>27</v>
      </c>
      <c r="AS205" s="2014" t="s">
        <v>27</v>
      </c>
      <c r="AU205" s="2014" t="str">
        <f t="shared" si="1"/>
        <v/>
      </c>
      <c r="AV205" s="2014" t="str">
        <f t="shared" si="1"/>
        <v>Barrel @60°F</v>
      </c>
      <c r="AX205" s="2014" t="str">
        <f t="shared" si="2"/>
        <v/>
      </c>
      <c r="AY205" s="2014" t="str">
        <f t="shared" si="2"/>
        <v>Barrel</v>
      </c>
      <c r="BA205" s="2014" t="str">
        <f t="shared" si="3"/>
        <v/>
      </c>
      <c r="BB205" s="2014" t="str">
        <f t="shared" si="3"/>
        <v>Barrel</v>
      </c>
      <c r="BD205" s="2014" t="s">
        <v>27</v>
      </c>
      <c r="BE205" s="2014" t="s">
        <v>27</v>
      </c>
      <c r="BF205" s="1995"/>
      <c r="BG205" s="2014" t="str">
        <f t="shared" si="4"/>
        <v/>
      </c>
      <c r="BH205" s="2014" t="str">
        <f t="shared" si="4"/>
        <v>Barrel @60°F</v>
      </c>
      <c r="BI205" s="2014" t="str">
        <f t="shared" si="4"/>
        <v/>
      </c>
      <c r="BJ205" s="2014" t="str">
        <f t="shared" si="4"/>
        <v xml:space="preserve">Cubic Mtr @15°C </v>
      </c>
      <c r="BL205" s="2014" t="s">
        <v>27</v>
      </c>
      <c r="BM205" s="2014" t="s">
        <v>29</v>
      </c>
      <c r="BO205" s="2014" t="str">
        <f t="shared" si="5"/>
        <v/>
      </c>
      <c r="BP205" s="2014" t="str">
        <f t="shared" si="5"/>
        <v>Cubic Mtr</v>
      </c>
      <c r="BR205" s="1785" t="s">
        <v>1055</v>
      </c>
      <c r="BS205" s="2629">
        <f>AE204</f>
        <v>33</v>
      </c>
      <c r="BT205" s="2630">
        <f>AE206</f>
        <v>104</v>
      </c>
      <c r="BU205" s="2631">
        <f>FLOOR(BS205,1)+IF(MOD(BS205,1)&lt;0.26,0,IF(MOD(BS205,1)&lt;0.76,0.5,1))</f>
        <v>33</v>
      </c>
      <c r="BV205" s="2631">
        <f>FLOOR(BT205,1)+IF(MOD(BT205,1)&lt;0.26,0,IF(MOD(BT205,1)&lt;0.76,0.5,1))</f>
        <v>104</v>
      </c>
      <c r="BW205" s="2634"/>
      <c r="BX205" s="2634"/>
      <c r="BY205" s="2634"/>
      <c r="BZ205" s="2634"/>
      <c r="CA205" s="2634"/>
      <c r="CB205" s="2634"/>
      <c r="CC205" s="2634"/>
      <c r="CD205" s="2635">
        <f>ROUND(EXP((341.0957/(141.5*999.012/(BU205+131.5))^2)*(BV205-60)*(1+0.8*(341.0957/(141.5*999.012/(BU205+131.5))^2)*(BV205-60))*-1),4)</f>
        <v>0.97960000000000003</v>
      </c>
    </row>
    <row r="206" spans="1:82" ht="12.75" customHeight="1">
      <c r="C206" s="66"/>
      <c r="AA206" s="1624">
        <v>2</v>
      </c>
      <c r="AB206" s="1176" t="s">
        <v>20</v>
      </c>
      <c r="AD206" s="2017" t="s">
        <v>1056</v>
      </c>
      <c r="AE206" s="2013">
        <f>ROUND(IF($AA$204=1,K12,(9/5)*K12+32),1)</f>
        <v>104</v>
      </c>
      <c r="AG206" s="2017" t="s">
        <v>1057</v>
      </c>
      <c r="AH206" s="2013">
        <f>ROUND(IF($AA$204=2,K12,(K12-32)/9*5),1)</f>
        <v>40</v>
      </c>
      <c r="AR206" s="2020" t="s">
        <v>32</v>
      </c>
      <c r="AS206" s="2020" t="s">
        <v>31</v>
      </c>
      <c r="AU206" s="2020" t="str">
        <f t="shared" si="1"/>
        <v>(60°F)</v>
      </c>
      <c r="AV206" s="2020" t="str">
        <f t="shared" si="1"/>
        <v/>
      </c>
      <c r="AX206" s="2020" t="str">
        <f t="shared" si="2"/>
        <v>(60°F)</v>
      </c>
      <c r="AY206" s="2020" t="str">
        <f t="shared" si="2"/>
        <v>(60°F)</v>
      </c>
      <c r="BA206" s="2020" t="str">
        <f t="shared" si="3"/>
        <v>(60°F)</v>
      </c>
      <c r="BB206" s="2020" t="str">
        <f t="shared" si="3"/>
        <v>(60°F)</v>
      </c>
      <c r="BD206" s="2020" t="s">
        <v>34</v>
      </c>
      <c r="BE206" s="2020" t="s">
        <v>32</v>
      </c>
      <c r="BF206" s="1995"/>
      <c r="BG206" s="2020" t="str">
        <f t="shared" si="4"/>
        <v>( 15°C )</v>
      </c>
      <c r="BH206" s="2020" t="str">
        <f t="shared" si="4"/>
        <v/>
      </c>
      <c r="BI206" s="2020" t="str">
        <f t="shared" si="4"/>
        <v>( 15°C )</v>
      </c>
      <c r="BJ206" s="2020" t="str">
        <f t="shared" si="4"/>
        <v/>
      </c>
      <c r="BL206" s="2020" t="s">
        <v>34</v>
      </c>
      <c r="BM206" s="2020" t="s">
        <v>27</v>
      </c>
      <c r="BO206" s="2020" t="str">
        <f t="shared" si="5"/>
        <v>( 15°C )</v>
      </c>
      <c r="BP206" s="2020" t="str">
        <f t="shared" si="5"/>
        <v/>
      </c>
      <c r="BR206" s="1785"/>
      <c r="BS206" s="1786"/>
      <c r="BT206" s="1787"/>
      <c r="BU206" s="1788"/>
      <c r="BV206" s="1788"/>
      <c r="BW206" s="2018"/>
      <c r="BX206" s="2018"/>
      <c r="BY206" s="2018"/>
      <c r="BZ206" s="2018"/>
      <c r="CA206" s="2018"/>
      <c r="CB206" s="2018"/>
      <c r="CC206" s="2018"/>
      <c r="CD206" s="2019"/>
    </row>
    <row r="207" spans="1:82" ht="12.75" customHeight="1">
      <c r="C207" s="66"/>
      <c r="AA207" s="1994"/>
      <c r="AD207" s="2021" t="s">
        <v>1058</v>
      </c>
      <c r="AE207" s="2022">
        <f>AV208</f>
        <v>0.15892000000000001</v>
      </c>
      <c r="AF207" s="2023"/>
      <c r="AG207" s="2024" t="s">
        <v>1059</v>
      </c>
      <c r="AH207" s="2025">
        <f>BH208</f>
        <v>0.158917</v>
      </c>
      <c r="AR207" s="1650">
        <f>VLOOKUP(AR208,AR216:AR1066,TRUE)</f>
        <v>33</v>
      </c>
      <c r="AS207" s="2026">
        <f>VLOOKUP(AR207,AR216:AS1066,COLUMNS(AR216:AS216))</f>
        <v>859.7</v>
      </c>
      <c r="AU207" s="1650">
        <f>VLOOKUP(AU208,AU216:AU231,TRUE)</f>
        <v>15.3</v>
      </c>
      <c r="AV207" s="2027">
        <f>VLOOKUP(AU207,AU216:AV231,2)</f>
        <v>0.15892000000000001</v>
      </c>
      <c r="AX207" s="1650">
        <f>VLOOKUP(AX208,AX216:AX1066,TRUE)</f>
        <v>33</v>
      </c>
      <c r="AY207" s="2027">
        <f>VLOOKUP(AX207,AX216:AY1066,COLUMNS(AX216:AY216))</f>
        <v>0.13428999999999999</v>
      </c>
      <c r="BA207" s="1650">
        <f>VLOOKUP(BA208,BA216:BA1066,TRUE)</f>
        <v>33</v>
      </c>
      <c r="BB207" s="2027">
        <f>VLOOKUP(BA207,BA216:BB1066,COLUMNS(BA216:BB216))</f>
        <v>0.13644999999999999</v>
      </c>
      <c r="BD207" s="1650">
        <f>VLOOKUP(BD208,BD216:BD641,TRUE)</f>
        <v>859</v>
      </c>
      <c r="BE207" s="2028">
        <f>VLOOKUP(BD207,BD216:BE641,COLUMNS(BD216:BE216))</f>
        <v>33.14</v>
      </c>
      <c r="BF207" s="1995"/>
      <c r="BG207" s="1650">
        <f>VLOOKUP(BG208,BG216:BG231,TRUE)</f>
        <v>859</v>
      </c>
      <c r="BH207" s="2029">
        <f>VLOOKUP(BG207,BG216:BH231,2)</f>
        <v>0.15891</v>
      </c>
      <c r="BI207" s="1650">
        <f>VLOOKUP(BI208,BI216:BI223,TRUE)</f>
        <v>779</v>
      </c>
      <c r="BJ207" s="2030">
        <f>VLOOKUP(BI207,BI216:BJ223,2)</f>
        <v>6.2930000000000001</v>
      </c>
      <c r="BL207" s="1650">
        <f>VLOOKUP(BL208,BL216:BL641,TRUE)</f>
        <v>859</v>
      </c>
      <c r="BM207" s="2029">
        <f>VLOOKUP(BL207,BL216:BM641,COLUMNS(BL216:BM216))</f>
        <v>1.1656</v>
      </c>
      <c r="BO207" s="1650">
        <f>VLOOKUP(BO208,BO216:BO641,TRUE)</f>
        <v>859</v>
      </c>
      <c r="BP207" s="2029">
        <f>VLOOKUP(BO207,BO216:BP641,COLUMNS(BO216:BP216))</f>
        <v>0.84440000000000004</v>
      </c>
      <c r="BR207" s="1785"/>
      <c r="BS207" s="1786"/>
      <c r="BT207" s="1617"/>
      <c r="BU207" s="1788"/>
      <c r="BV207" s="1788"/>
      <c r="BW207" s="2018"/>
      <c r="BX207" s="2018"/>
      <c r="BY207" s="2018"/>
      <c r="BZ207" s="2018"/>
      <c r="CA207" s="2018"/>
      <c r="CB207" s="2018"/>
      <c r="CC207" s="2018"/>
      <c r="CD207" s="2019"/>
    </row>
    <row r="208" spans="1:82" ht="12.75" customHeight="1">
      <c r="C208" s="66"/>
      <c r="AA208" s="2008"/>
      <c r="AD208" s="2021" t="s">
        <v>1060</v>
      </c>
      <c r="AE208" s="2022">
        <f>AY208</f>
        <v>0.13428999999999999</v>
      </c>
      <c r="AF208" s="2023"/>
      <c r="AG208" s="2024" t="s">
        <v>1061</v>
      </c>
      <c r="AH208" s="2031">
        <f>BJ208</f>
        <v>6.2930000000000001</v>
      </c>
      <c r="AR208" s="1656">
        <f>IF($AA$204=1,$E$11,BE208)</f>
        <v>33</v>
      </c>
      <c r="AS208" s="2032">
        <f>ROUND(AS207+((AR208-AR207)/(AR209-AR207))*(AS209-AS207),1)</f>
        <v>859.7</v>
      </c>
      <c r="AU208" s="1656">
        <f>IF($AA$204=1,$E$11,BE208)</f>
        <v>33</v>
      </c>
      <c r="AV208" s="2033">
        <f>AV207+((AU208-AU207)/(AU209-AU207))*(AV209-AV207)</f>
        <v>0.15892000000000001</v>
      </c>
      <c r="AX208" s="1656">
        <f>IF($AA$204=1,$E$11,BE208)</f>
        <v>33</v>
      </c>
      <c r="AY208" s="2033">
        <f>AY207+((AX208-AX207)/(AX209-AX207))*(AY209-AY207)</f>
        <v>0.13428999999999999</v>
      </c>
      <c r="BA208" s="1656">
        <f>IF($AA$204=1,$E$11,BE208)</f>
        <v>33</v>
      </c>
      <c r="BB208" s="2033">
        <f>BB207+((BA208-BA207)/(BA209-BA207))*(BB209-BB207)</f>
        <v>0.13644999999999999</v>
      </c>
      <c r="BD208" s="1661">
        <f>IF($AA$204=2,$E$11,AS208)</f>
        <v>859.7</v>
      </c>
      <c r="BE208" s="2034">
        <f>ROUND(BE207+((BD208-BD207)/(BD209-BD207))*(BE209-BE207),2)</f>
        <v>33.01</v>
      </c>
      <c r="BF208" s="1995"/>
      <c r="BG208" s="1661">
        <f>IF($AA$204=2,$E$11,AS208)</f>
        <v>859.7</v>
      </c>
      <c r="BH208" s="2035">
        <f>BH207+((BG208-BG207)/(BG209-BG207))*(BH209-BH207)</f>
        <v>0.158917</v>
      </c>
      <c r="BI208" s="1661">
        <f>IF($AA$204=2,$E$11,AS208)</f>
        <v>859.7</v>
      </c>
      <c r="BJ208" s="2036">
        <f>BJ207+((BI208-BI207)/(BI209-BI207))*(BJ209-BJ207)</f>
        <v>6.2930000000000001</v>
      </c>
      <c r="BL208" s="1661">
        <f>IF($AA$204=2,$E$11,AS208)</f>
        <v>859.7</v>
      </c>
      <c r="BM208" s="2035">
        <f>BM207+((BL208-BL207)/(BL209-BL207))*(BM209-BM207)</f>
        <v>1.1646899999999998</v>
      </c>
      <c r="BO208" s="1661">
        <f>IF($AA$204=2,$E$11,AS208)</f>
        <v>859.7</v>
      </c>
      <c r="BP208" s="2035">
        <f>BP207+((BO208-BO207)/(BO209-BO207))*(BP209-BP207)</f>
        <v>0.84503000000000006</v>
      </c>
      <c r="BR208" s="1098"/>
      <c r="BS208" s="1098"/>
      <c r="BT208" s="1098"/>
      <c r="BU208" s="1098"/>
      <c r="BV208" s="1098"/>
      <c r="BW208" s="1098"/>
      <c r="BX208" s="1098"/>
    </row>
    <row r="209" spans="2:82" ht="12.75" customHeight="1">
      <c r="C209" s="66"/>
      <c r="AA209" s="2608" t="s">
        <v>975</v>
      </c>
      <c r="AB209" s="2609"/>
      <c r="AD209" s="2021" t="s">
        <v>1062</v>
      </c>
      <c r="AE209" s="2022">
        <f>BB208</f>
        <v>0.13644999999999999</v>
      </c>
      <c r="AF209" s="2023"/>
      <c r="AG209" s="2024" t="s">
        <v>1063</v>
      </c>
      <c r="AH209" s="2025">
        <f>BM208</f>
        <v>1.1646899999999998</v>
      </c>
      <c r="AR209" s="1650">
        <f>INDEX(AR216:AR1066,(MATCH(AR207,AR216:AR1066,1)+1))</f>
        <v>33.1</v>
      </c>
      <c r="AS209" s="2026">
        <f>VLOOKUP(AR209,AR216:AS1066,COLUMNS(AR216:AS216))</f>
        <v>859.2</v>
      </c>
      <c r="AU209" s="1650">
        <f>INDEX(AU216:AU231,(MATCH(AU207,AU216:AU231,1)+1))</f>
        <v>33.1</v>
      </c>
      <c r="AV209" s="2027">
        <f>VLOOKUP(AU209,AU216:AV231,2)</f>
        <v>0.15892000000000001</v>
      </c>
      <c r="AX209" s="1650">
        <f>INDEX(AX216:AX1066,(MATCH(AX207,AX216:AX1066,1)+1))</f>
        <v>33.1</v>
      </c>
      <c r="AY209" s="2027">
        <f>VLOOKUP(AX209,AX216:AY1066,COLUMNS(AX216:AY216))</f>
        <v>0.13421</v>
      </c>
      <c r="BA209" s="1650">
        <f>INDEX(BA216:BA1066,(MATCH(BA207,BA216:BA1066,1)+1))</f>
        <v>33.1</v>
      </c>
      <c r="BB209" s="2027">
        <f>VLOOKUP(BA209,BA216:BB1066,COLUMNS(BA216:BB216))</f>
        <v>0.13636999999999999</v>
      </c>
      <c r="BD209" s="1650">
        <f>INDEX(BD216:BD641,(MATCH(BD207,BD216:BD641,1)+1))</f>
        <v>860</v>
      </c>
      <c r="BE209" s="2028">
        <f>VLOOKUP(BD209,BD216:BE641,COLUMNS(BD216:BE216))</f>
        <v>32.950000000000003</v>
      </c>
      <c r="BF209" s="1995"/>
      <c r="BG209" s="1650">
        <f>INDEX(BG216:BG231,(MATCH(BG207,BG216:BG231,1)+1))</f>
        <v>860</v>
      </c>
      <c r="BH209" s="2029">
        <f>VLOOKUP(BG209,BG216:BH231,2)</f>
        <v>0.15892000000000001</v>
      </c>
      <c r="BI209" s="1650">
        <f>INDEX(BI216:BI223,(MATCH(BI207,BI216:BI223,1)+1))</f>
        <v>901</v>
      </c>
      <c r="BJ209" s="2030">
        <f>VLOOKUP(BI209,BI216:BJ223,2)</f>
        <v>6.2930000000000001</v>
      </c>
      <c r="BL209" s="1650">
        <f>INDEX(BL216:BL641,(MATCH(BL207,BL216:BL641,1)+1))</f>
        <v>860</v>
      </c>
      <c r="BM209" s="2029">
        <f>VLOOKUP(BL209,BL216:BM641,COLUMNS(BL216:BM216))</f>
        <v>1.1642999999999999</v>
      </c>
      <c r="BO209" s="1650">
        <f>INDEX(BO216:BO641,(MATCH(BO207,BO216:BO641,1)+1))</f>
        <v>860</v>
      </c>
      <c r="BP209" s="2029">
        <f>VLOOKUP(BO209,BO216:BP641,COLUMNS(BO216:BP216))</f>
        <v>0.84530000000000005</v>
      </c>
      <c r="BR209" s="2037"/>
      <c r="BS209" s="2287" t="s">
        <v>576</v>
      </c>
      <c r="BT209" s="2288"/>
      <c r="BU209" s="2289" t="s">
        <v>209</v>
      </c>
      <c r="BV209" s="2290"/>
      <c r="BW209" s="2475" t="s">
        <v>210</v>
      </c>
      <c r="BX209" s="2287" t="s">
        <v>211</v>
      </c>
      <c r="BY209" s="2292"/>
      <c r="BZ209" s="2292"/>
      <c r="CA209" s="2288"/>
      <c r="CB209" s="2475" t="s">
        <v>211</v>
      </c>
      <c r="CC209" s="2475" t="s">
        <v>212</v>
      </c>
      <c r="CD209" s="2636" t="s">
        <v>204</v>
      </c>
    </row>
    <row r="210" spans="2:82" ht="12.75" customHeight="1">
      <c r="B210" s="2836" t="s">
        <v>550</v>
      </c>
      <c r="AA210" s="2828">
        <v>1</v>
      </c>
      <c r="AB210" s="2038" t="str">
        <f>VLOOKUP(AA210,AA211:AB212,2)</f>
        <v>Tab. 6A</v>
      </c>
      <c r="AD210" s="1615"/>
      <c r="AE210" s="2039"/>
      <c r="AF210" s="2023"/>
      <c r="AG210" s="2024" t="s">
        <v>1064</v>
      </c>
      <c r="AH210" s="2025">
        <f>BP208</f>
        <v>0.84503000000000006</v>
      </c>
      <c r="AR210" s="1386" t="s">
        <v>985</v>
      </c>
      <c r="AS210" s="12"/>
      <c r="AU210" s="12"/>
      <c r="AV210" s="12"/>
      <c r="AX210" s="12"/>
      <c r="AY210" s="12"/>
      <c r="BA210" s="12"/>
      <c r="BB210" s="12"/>
      <c r="BD210" s="12"/>
      <c r="BE210" s="12"/>
      <c r="BF210" s="1995"/>
      <c r="BG210" s="12"/>
      <c r="BH210" s="12"/>
      <c r="BI210" s="12"/>
      <c r="BJ210" s="12"/>
      <c r="BL210" s="12"/>
      <c r="BM210" s="12"/>
      <c r="BO210" s="12"/>
      <c r="BP210" s="12"/>
      <c r="BR210" s="1604"/>
      <c r="BS210" s="2295" t="s">
        <v>18</v>
      </c>
      <c r="BT210" s="2296" t="s">
        <v>205</v>
      </c>
      <c r="BU210" s="2297" t="s">
        <v>18</v>
      </c>
      <c r="BV210" s="2298" t="s">
        <v>205</v>
      </c>
      <c r="BW210" s="2299"/>
      <c r="BX210" s="2296" t="s">
        <v>213</v>
      </c>
      <c r="BY210" s="2296" t="s">
        <v>214</v>
      </c>
      <c r="BZ210" s="2296" t="s">
        <v>215</v>
      </c>
      <c r="CA210" s="2296" t="s">
        <v>216</v>
      </c>
      <c r="CB210" s="2299"/>
      <c r="CC210" s="2299"/>
      <c r="CD210" s="2300" t="s">
        <v>217</v>
      </c>
    </row>
    <row r="211" spans="2:82" ht="12.75" customHeight="1">
      <c r="AA211" s="2040">
        <v>1</v>
      </c>
      <c r="AB211" s="2041" t="str">
        <f>IF(AA204=1,AB213,AB215)</f>
        <v>Tab. 6A</v>
      </c>
      <c r="AD211" s="1615"/>
      <c r="AE211" s="2039"/>
      <c r="AF211" s="2023"/>
      <c r="AG211" s="2018"/>
      <c r="AH211" s="2018"/>
      <c r="AR211" s="2301" t="s">
        <v>11</v>
      </c>
      <c r="AS211" s="2290"/>
      <c r="AU211" s="1996" t="s">
        <v>4</v>
      </c>
      <c r="AV211" s="1997"/>
      <c r="AX211" s="2301" t="s">
        <v>5</v>
      </c>
      <c r="AY211" s="2290"/>
      <c r="BA211" s="2301" t="s">
        <v>6</v>
      </c>
      <c r="BB211" s="2290"/>
      <c r="BD211" s="2343" t="s">
        <v>12</v>
      </c>
      <c r="BE211" s="2345"/>
      <c r="BF211" s="1995"/>
      <c r="BG211" s="2301" t="s">
        <v>7</v>
      </c>
      <c r="BH211" s="2611"/>
      <c r="BI211" s="2611"/>
      <c r="BJ211" s="2290"/>
      <c r="BL211" s="2343" t="s">
        <v>8</v>
      </c>
      <c r="BM211" s="2345"/>
      <c r="BO211" s="2301" t="s">
        <v>9</v>
      </c>
      <c r="BP211" s="2290"/>
      <c r="BR211" s="1785" t="s">
        <v>1052</v>
      </c>
      <c r="BS211" s="1616">
        <f>AE204</f>
        <v>33</v>
      </c>
      <c r="BT211" s="1617">
        <f>AE205</f>
        <v>110</v>
      </c>
      <c r="BU211" s="1686">
        <f>FLOOR(BS211,1)+IF(MOD(BS211,1)&lt;0.26,0,IF(MOD(BS211,1)&lt;0.76,0.5,1))</f>
        <v>33</v>
      </c>
      <c r="BV211" s="1686">
        <f>FLOOR(BT211,1)+IF(MOD(BT211,1)&lt;0.26,0,IF(MOD(BT211,1)&lt;0.76,0.5,1))</f>
        <v>110</v>
      </c>
      <c r="BW211" s="1607">
        <f>(141.5*999.012 )/(BU211+131.5)</f>
        <v>859.33251063829789</v>
      </c>
      <c r="BX211" s="1607">
        <f>IF(BU211&lt;37,(103.872/BW211^2)+(0.2701/BW211),0)</f>
        <v>4.5497546974639601E-4</v>
      </c>
      <c r="BY211" s="1607">
        <f>IF(AND(BU211&gt;=37,BU211&lt;48),330.301/BW211^2,0)</f>
        <v>0</v>
      </c>
      <c r="BZ211" s="1607">
        <f>IF(AND(BU211&gt;=48,BU211&lt;52),((1489.067/BW211^2)-0.0018684),0)</f>
        <v>0</v>
      </c>
      <c r="CA211" s="1607">
        <f>IF(AND(BU211&gt;=52,BU211&lt;85),(192.4571/BW211^2)+(0.2438/BW211),0)</f>
        <v>0</v>
      </c>
      <c r="CB211" s="1687">
        <f>MAX(BX211:CA211)</f>
        <v>4.5497546974639601E-4</v>
      </c>
      <c r="CC211" s="1607">
        <f>1+0.8*CB211*(BV211-60)</f>
        <v>1.0181990187898557</v>
      </c>
      <c r="CD211" s="1688">
        <f>ROUND(EXP(CB211*(BV211-60)*CC211*-1),4)</f>
        <v>0.97709999999999997</v>
      </c>
    </row>
    <row r="212" spans="2:82" ht="12.75" customHeight="1">
      <c r="AA212" s="2042">
        <v>2</v>
      </c>
      <c r="AB212" s="2043" t="str">
        <f>IF(AA204=1,AB214,AB216)</f>
        <v>Tab. 6B</v>
      </c>
      <c r="AR212" s="2614" t="s">
        <v>18</v>
      </c>
      <c r="AS212" s="2615" t="s">
        <v>20</v>
      </c>
      <c r="AT212" s="1934"/>
      <c r="AU212" s="2614" t="s">
        <v>18</v>
      </c>
      <c r="AV212" s="2615" t="s">
        <v>248</v>
      </c>
      <c r="AW212" s="1934"/>
      <c r="AX212" s="2614" t="s">
        <v>18</v>
      </c>
      <c r="AY212" s="2615" t="s">
        <v>14</v>
      </c>
      <c r="AZ212" s="1934"/>
      <c r="BA212" s="2614" t="s">
        <v>18</v>
      </c>
      <c r="BB212" s="2615" t="s">
        <v>15</v>
      </c>
      <c r="BC212" s="1934"/>
      <c r="BD212" s="2614" t="s">
        <v>20</v>
      </c>
      <c r="BE212" s="2615" t="s">
        <v>18</v>
      </c>
      <c r="BF212" s="2616"/>
      <c r="BG212" s="2617" t="s">
        <v>20</v>
      </c>
      <c r="BH212" s="2615" t="s">
        <v>115</v>
      </c>
      <c r="BI212" s="2614" t="s">
        <v>20</v>
      </c>
      <c r="BJ212" s="2615" t="s">
        <v>1202</v>
      </c>
      <c r="BK212" s="1934"/>
      <c r="BL212" s="2614" t="s">
        <v>20</v>
      </c>
      <c r="BM212" s="2615" t="s">
        <v>13</v>
      </c>
      <c r="BN212" s="1934"/>
      <c r="BO212" s="2614" t="s">
        <v>20</v>
      </c>
      <c r="BP212" s="2615" t="s">
        <v>14</v>
      </c>
      <c r="BR212" s="1785" t="s">
        <v>1055</v>
      </c>
      <c r="BS212" s="1616">
        <f>AE204</f>
        <v>33</v>
      </c>
      <c r="BT212" s="1617">
        <f>AE206</f>
        <v>104</v>
      </c>
      <c r="BU212" s="1686">
        <f>FLOOR(BS212,1)+IF(MOD(BS212,1)&lt;0.26,0,IF(MOD(BS212,1)&lt;0.76,0.5,1))</f>
        <v>33</v>
      </c>
      <c r="BV212" s="1686">
        <f>FLOOR(BT212,1)+IF(MOD(BT212,1)&lt;0.26,0,IF(MOD(BT212,1)&lt;0.76,0.5,1))</f>
        <v>104</v>
      </c>
      <c r="BW212" s="1607">
        <f>(141.5*999.012 )/(BU212+131.5)</f>
        <v>859.33251063829789</v>
      </c>
      <c r="BX212" s="1607">
        <f>IF(BU212&lt;37,(103.872/BW212^2)+(0.2701/BW212),0)</f>
        <v>4.5497546974639601E-4</v>
      </c>
      <c r="BY212" s="1607">
        <f>IF(AND(BU212&gt;=37,BU212&lt;48),330.301/BW212^2,0)</f>
        <v>0</v>
      </c>
      <c r="BZ212" s="1607">
        <f>IF(AND(BU212&gt;=48,BU212&lt;52),((1489.067/BW212^2)-0.0018684),0)</f>
        <v>0</v>
      </c>
      <c r="CA212" s="1607">
        <f>IF(AND(BU212&gt;=52,BU212&lt;85),(192.4571/BW212^2)+(0.2438/BW212),0)</f>
        <v>0</v>
      </c>
      <c r="CB212" s="1687">
        <f>MAX(BX212:CA212)</f>
        <v>4.5497546974639601E-4</v>
      </c>
      <c r="CC212" s="1607">
        <f>1+0.8*CB212*(BV212-60)</f>
        <v>1.0160151365350731</v>
      </c>
      <c r="CD212" s="1688">
        <f>ROUND(EXP(CB212*(BV212-60)*CC212*-1),4)</f>
        <v>0.97989999999999999</v>
      </c>
    </row>
    <row r="213" spans="2:82" ht="12.75" customHeight="1">
      <c r="AA213" s="2044">
        <v>1</v>
      </c>
      <c r="AB213" s="1695" t="s">
        <v>194</v>
      </c>
      <c r="AD213" s="2603"/>
      <c r="AE213" s="2601" t="str">
        <f>AB204</f>
        <v>API</v>
      </c>
      <c r="AF213" s="2602" t="str">
        <f>IF($AA$204=1,"Temp F","Temp C")</f>
        <v>Temp F</v>
      </c>
      <c r="AG213" s="2603" t="s">
        <v>204</v>
      </c>
      <c r="AH213" s="2601"/>
      <c r="AI213" s="2603" t="s">
        <v>204</v>
      </c>
      <c r="AJ213" s="2604"/>
      <c r="AK213" s="2604"/>
      <c r="AL213" s="2605"/>
      <c r="AR213" s="2595" t="s">
        <v>26</v>
      </c>
      <c r="AS213" s="2597"/>
      <c r="AT213" s="1934"/>
      <c r="AU213" s="2595" t="s">
        <v>26</v>
      </c>
      <c r="AV213" s="2597" t="s">
        <v>25</v>
      </c>
      <c r="AW213" s="1934"/>
      <c r="AX213" s="2595" t="s">
        <v>26</v>
      </c>
      <c r="AY213" s="2597" t="s">
        <v>25</v>
      </c>
      <c r="AZ213" s="1934"/>
      <c r="BA213" s="2595" t="s">
        <v>26</v>
      </c>
      <c r="BB213" s="2597" t="s">
        <v>25</v>
      </c>
      <c r="BC213" s="1934"/>
      <c r="BD213" s="2595"/>
      <c r="BE213" s="2597" t="s">
        <v>26</v>
      </c>
      <c r="BF213" s="2616"/>
      <c r="BG213" s="2618"/>
      <c r="BH213" s="2597" t="s">
        <v>25</v>
      </c>
      <c r="BI213" s="2595"/>
      <c r="BJ213" s="2597" t="s">
        <v>25</v>
      </c>
      <c r="BK213" s="1934"/>
      <c r="BL213" s="2595"/>
      <c r="BM213" s="2597" t="s">
        <v>25</v>
      </c>
      <c r="BN213" s="1934"/>
      <c r="BO213" s="2595"/>
      <c r="BP213" s="2597" t="s">
        <v>25</v>
      </c>
      <c r="BR213" s="1785"/>
      <c r="BS213" s="1616"/>
      <c r="BT213" s="1617"/>
      <c r="BU213" s="1686"/>
      <c r="BV213" s="1686"/>
      <c r="BW213" s="1607"/>
      <c r="BX213" s="1607"/>
      <c r="BY213" s="1607"/>
      <c r="BZ213" s="1607"/>
      <c r="CA213" s="1607"/>
      <c r="CB213" s="1687"/>
      <c r="CC213" s="1607"/>
      <c r="CD213" s="1688"/>
    </row>
    <row r="214" spans="2:82" ht="12.75" customHeight="1">
      <c r="AA214" s="2044">
        <v>2</v>
      </c>
      <c r="AB214" s="1695" t="s">
        <v>196</v>
      </c>
      <c r="AD214" s="2018"/>
      <c r="AE214" s="2013"/>
      <c r="AF214" s="2013"/>
      <c r="AG214" s="2013" t="str">
        <f>AB210</f>
        <v>Tab. 6A</v>
      </c>
      <c r="AH214" s="2013"/>
      <c r="AI214" s="2045" t="s">
        <v>194</v>
      </c>
      <c r="AJ214" s="2045" t="s">
        <v>196</v>
      </c>
      <c r="AK214" s="2045" t="s">
        <v>988</v>
      </c>
      <c r="AL214" s="2045" t="s">
        <v>991</v>
      </c>
      <c r="AR214" s="2595"/>
      <c r="AS214" s="2597"/>
      <c r="AT214" s="1934"/>
      <c r="AU214" s="2595"/>
      <c r="AV214" s="2597" t="s">
        <v>116</v>
      </c>
      <c r="AW214" s="1934"/>
      <c r="AX214" s="2595"/>
      <c r="AY214" s="2597" t="s">
        <v>28</v>
      </c>
      <c r="AZ214" s="1934"/>
      <c r="BA214" s="2595"/>
      <c r="BB214" s="2597" t="s">
        <v>28</v>
      </c>
      <c r="BC214" s="1934"/>
      <c r="BD214" s="2595"/>
      <c r="BE214" s="2597"/>
      <c r="BF214" s="2616"/>
      <c r="BG214" s="2618"/>
      <c r="BH214" s="2597" t="s">
        <v>116</v>
      </c>
      <c r="BI214" s="2595"/>
      <c r="BJ214" s="2597" t="s">
        <v>1203</v>
      </c>
      <c r="BK214" s="1934"/>
      <c r="BL214" s="2595"/>
      <c r="BM214" s="2597" t="s">
        <v>29</v>
      </c>
      <c r="BN214" s="1934"/>
      <c r="BO214" s="2595"/>
      <c r="BP214" s="2597" t="s">
        <v>22</v>
      </c>
      <c r="BR214" s="1785"/>
      <c r="BS214" s="1616"/>
      <c r="BT214" s="1617"/>
      <c r="BU214" s="1686"/>
      <c r="BV214" s="1686"/>
      <c r="BW214" s="1607"/>
      <c r="BX214" s="1607"/>
      <c r="BY214" s="1607"/>
      <c r="BZ214" s="1607"/>
      <c r="CA214" s="1607"/>
      <c r="CB214" s="1687"/>
      <c r="CC214" s="1607"/>
      <c r="CD214" s="1688"/>
    </row>
    <row r="215" spans="2:82" ht="12.75" customHeight="1">
      <c r="AA215" s="1699">
        <v>3</v>
      </c>
      <c r="AB215" s="1695" t="s">
        <v>988</v>
      </c>
      <c r="AD215" s="1785" t="s">
        <v>1052</v>
      </c>
      <c r="AE215" s="2013">
        <f>IF($AA$204=1,AE204,AH204)</f>
        <v>33</v>
      </c>
      <c r="AF215" s="2013">
        <f>IF($AA$204=1,AE205,AH205)</f>
        <v>110</v>
      </c>
      <c r="AG215" s="2013">
        <f>IF(AND($AA$204=1,$AA$210=1),CD204,IF(AND($AA$204=1,$AA$210=2),CD211,IF(AND($AA$204=2,$AA$210=1),CD218,CD225)))</f>
        <v>0.9768</v>
      </c>
      <c r="AH215" s="2013"/>
      <c r="AI215" s="2018">
        <f>CD204</f>
        <v>0.9768</v>
      </c>
      <c r="AJ215" s="2046">
        <f>CD211</f>
        <v>0.97709999999999997</v>
      </c>
      <c r="AK215" s="2046">
        <f>CD218</f>
        <v>0.97640000000000005</v>
      </c>
      <c r="AL215" s="2018">
        <f>CD225</f>
        <v>0.97670000000000001</v>
      </c>
      <c r="AR215" s="2352" t="s">
        <v>32</v>
      </c>
      <c r="AS215" s="2354" t="s">
        <v>31</v>
      </c>
      <c r="AT215" s="1934"/>
      <c r="AU215" s="2352" t="s">
        <v>32</v>
      </c>
      <c r="AV215" s="2619"/>
      <c r="AW215" s="1934"/>
      <c r="AX215" s="2352" t="s">
        <v>32</v>
      </c>
      <c r="AY215" s="2354" t="s">
        <v>32</v>
      </c>
      <c r="AZ215" s="1934"/>
      <c r="BA215" s="2352" t="s">
        <v>32</v>
      </c>
      <c r="BB215" s="2354" t="s">
        <v>32</v>
      </c>
      <c r="BC215" s="1934"/>
      <c r="BD215" s="2352" t="s">
        <v>34</v>
      </c>
      <c r="BE215" s="2354" t="s">
        <v>32</v>
      </c>
      <c r="BF215" s="2616"/>
      <c r="BG215" s="2612" t="s">
        <v>34</v>
      </c>
      <c r="BH215" s="2613"/>
      <c r="BI215" s="2352" t="s">
        <v>34</v>
      </c>
      <c r="BJ215" s="2613"/>
      <c r="BK215" s="1934"/>
      <c r="BL215" s="2352" t="s">
        <v>34</v>
      </c>
      <c r="BM215" s="2354"/>
      <c r="BN215" s="1934"/>
      <c r="BO215" s="2352" t="s">
        <v>34</v>
      </c>
      <c r="BP215" s="2354"/>
    </row>
    <row r="216" spans="2:82" ht="12.75" customHeight="1">
      <c r="AA216" s="1703">
        <v>4</v>
      </c>
      <c r="AB216" s="1704" t="s">
        <v>991</v>
      </c>
      <c r="AD216" s="1785" t="s">
        <v>1055</v>
      </c>
      <c r="AE216" s="2013">
        <f>IF($AA$204=1,AE204,AH204)</f>
        <v>33</v>
      </c>
      <c r="AF216" s="2013">
        <f>IF($AA$204=1,AE206,AH206)</f>
        <v>104</v>
      </c>
      <c r="AG216" s="2013">
        <f>IF(AND($AA$204=1,$AA$210=1),CD205,IF(AND($AA$204=1,$AA$210=2),CD212,IF(AND($AA$204=2,$AA$210=1),CD219,CD226)))</f>
        <v>0.97960000000000003</v>
      </c>
      <c r="AH216" s="2013"/>
      <c r="AI216" s="2018">
        <f>CD205</f>
        <v>0.97960000000000003</v>
      </c>
      <c r="AJ216" s="2046">
        <f>CD212</f>
        <v>0.97989999999999999</v>
      </c>
      <c r="AK216" s="2046">
        <f>CD219</f>
        <v>0.97909999999999997</v>
      </c>
      <c r="AL216" s="2018">
        <f>CD226</f>
        <v>0.97940000000000005</v>
      </c>
      <c r="AR216" s="30">
        <v>0</v>
      </c>
      <c r="AS216" s="32">
        <v>1075.3</v>
      </c>
      <c r="AU216" s="2047">
        <v>0</v>
      </c>
      <c r="AV216" s="2048">
        <v>0.15892999999999999</v>
      </c>
      <c r="AX216" s="30">
        <v>0</v>
      </c>
      <c r="AY216" s="35">
        <v>0.16803999999999999</v>
      </c>
      <c r="BA216" s="30">
        <v>0</v>
      </c>
      <c r="BB216" s="35">
        <v>0.17074</v>
      </c>
      <c r="BD216" s="2049">
        <v>650</v>
      </c>
      <c r="BE216" s="2050"/>
      <c r="BF216" s="1995"/>
      <c r="BG216" s="2051">
        <v>654</v>
      </c>
      <c r="BH216" s="2052">
        <v>0.15886</v>
      </c>
      <c r="BI216" s="2053">
        <v>654</v>
      </c>
      <c r="BJ216" s="193">
        <v>6.2949999999999999</v>
      </c>
      <c r="BL216" s="2049">
        <v>650</v>
      </c>
      <c r="BM216" s="2054"/>
      <c r="BO216" s="2051">
        <v>650</v>
      </c>
      <c r="BP216" s="2055"/>
      <c r="BR216" s="2037"/>
      <c r="BS216" s="2378"/>
      <c r="BT216" s="2379"/>
      <c r="BU216" s="2271" t="s">
        <v>218</v>
      </c>
      <c r="BV216" s="2273"/>
      <c r="BW216" s="2620"/>
      <c r="BX216" s="2637"/>
      <c r="BY216" s="2621"/>
      <c r="BZ216" s="2621"/>
      <c r="CA216" s="2621"/>
      <c r="CB216" s="2621"/>
      <c r="CC216" s="2622"/>
      <c r="CD216" s="2623" t="s">
        <v>204</v>
      </c>
    </row>
    <row r="217" spans="2:82" ht="12.75" customHeight="1">
      <c r="AA217" s="1994"/>
      <c r="AR217" s="30">
        <v>0.1</v>
      </c>
      <c r="AS217" s="32">
        <v>1074.5</v>
      </c>
      <c r="AU217" s="2056">
        <v>15.2</v>
      </c>
      <c r="AV217" s="2057">
        <v>0.15892999999999999</v>
      </c>
      <c r="AX217" s="30">
        <v>0.1</v>
      </c>
      <c r="AY217" s="35">
        <v>0.16792000000000001</v>
      </c>
      <c r="BA217" s="30">
        <v>0.1</v>
      </c>
      <c r="BB217" s="35">
        <v>0.17061000000000001</v>
      </c>
      <c r="BD217" s="37">
        <v>651</v>
      </c>
      <c r="BE217" s="39"/>
      <c r="BF217" s="1995"/>
      <c r="BG217" s="40">
        <v>683</v>
      </c>
      <c r="BH217" s="2058">
        <v>0.15886</v>
      </c>
      <c r="BI217" s="2053">
        <v>697</v>
      </c>
      <c r="BJ217" s="193">
        <v>6.2949999999999999</v>
      </c>
      <c r="BL217" s="37">
        <v>651</v>
      </c>
      <c r="BM217" s="2059"/>
      <c r="BO217" s="37">
        <v>651</v>
      </c>
      <c r="BP217" s="41"/>
      <c r="BR217" s="2015"/>
      <c r="BS217" s="2372" t="s">
        <v>219</v>
      </c>
      <c r="BT217" s="2372" t="s">
        <v>220</v>
      </c>
      <c r="BU217" s="2385" t="s">
        <v>219</v>
      </c>
      <c r="BV217" s="2281" t="s">
        <v>220</v>
      </c>
      <c r="BW217" s="2626"/>
      <c r="BX217" s="2638"/>
      <c r="BY217" s="2627"/>
      <c r="BZ217" s="2627"/>
      <c r="CA217" s="2627"/>
      <c r="CB217" s="2627"/>
      <c r="CC217" s="2628"/>
      <c r="CD217" s="2285" t="s">
        <v>221</v>
      </c>
    </row>
    <row r="218" spans="2:82" ht="12.75" customHeight="1">
      <c r="AA218" s="2608"/>
      <c r="AB218" s="2609"/>
      <c r="AD218" s="2060"/>
      <c r="AE218" s="2061"/>
      <c r="AF218" s="2061"/>
      <c r="AG218" s="2061"/>
      <c r="AH218" s="2061"/>
      <c r="AI218" s="2061"/>
      <c r="AJ218" s="2061"/>
      <c r="AK218" s="2062"/>
      <c r="AR218" s="30">
        <v>0.2</v>
      </c>
      <c r="AS218" s="32">
        <v>1073.7</v>
      </c>
      <c r="AU218" s="2056">
        <v>15.3</v>
      </c>
      <c r="AV218" s="2057">
        <v>0.15892000000000001</v>
      </c>
      <c r="AX218" s="30">
        <v>0.2</v>
      </c>
      <c r="AY218" s="35">
        <v>0.16778999999999999</v>
      </c>
      <c r="BA218" s="30">
        <v>0.2</v>
      </c>
      <c r="BB218" s="35">
        <v>0.17047999999999999</v>
      </c>
      <c r="BD218" s="37">
        <v>652</v>
      </c>
      <c r="BE218" s="39"/>
      <c r="BF218" s="1995"/>
      <c r="BG218" s="40">
        <v>684</v>
      </c>
      <c r="BH218" s="2058">
        <v>0.15887000000000001</v>
      </c>
      <c r="BI218" s="2053">
        <v>698</v>
      </c>
      <c r="BJ218" s="193">
        <v>6.2939999999999996</v>
      </c>
      <c r="BL218" s="37">
        <v>652</v>
      </c>
      <c r="BM218" s="2059"/>
      <c r="BO218" s="37">
        <v>652</v>
      </c>
      <c r="BP218" s="41"/>
      <c r="BR218" s="1785" t="s">
        <v>1052</v>
      </c>
      <c r="BS218" s="2639">
        <f>AH204</f>
        <v>859.7</v>
      </c>
      <c r="BT218" s="2640">
        <f>AH205</f>
        <v>43.3</v>
      </c>
      <c r="BU218" s="2385">
        <f>IF((EVEN(BS218)-BS218)&lt;1,EVEN(BS218),EVEN(BS218)-2)</f>
        <v>860</v>
      </c>
      <c r="BV218" s="2641">
        <f>FLOOR(BT218,1)+IF(MOD(BT218,1)&lt;0.125,0,IF(MOD(BT218,1)&lt;0.375,0.25,IF(MOD(BT218,1)&lt;0.625,0.5,IF(MOD(BT218,1)&lt;0.875,0.75,1))))</f>
        <v>43.25</v>
      </c>
      <c r="BW218" s="2634"/>
      <c r="BX218" s="2642"/>
      <c r="BY218" s="2634"/>
      <c r="BZ218" s="2634"/>
      <c r="CA218" s="2634"/>
      <c r="CB218" s="2634"/>
      <c r="CC218" s="2634"/>
      <c r="CD218" s="2643">
        <f>ROUND(EXP((613.9723/BU218^2)*(1+0.8*(613.9723/BU218^2)*(BV218-15))*(BV218-15)*-1),4)</f>
        <v>0.97640000000000005</v>
      </c>
    </row>
    <row r="219" spans="2:82" ht="13.15">
      <c r="AA219" s="2827">
        <v>2</v>
      </c>
      <c r="AB219" s="2063" t="str">
        <f>VLOOKUP(AA219,AA220:AB227,2)</f>
        <v>Bbls @ 104°F</v>
      </c>
      <c r="AD219" s="2064" t="str">
        <f>CONCATENATE("Bbls @ ",AE205,"°F")</f>
        <v>Bbls @ 110°F</v>
      </c>
      <c r="AE219" s="2064" t="str">
        <f>CONCATENATE("Bbls @ ",AE206,"°F")</f>
        <v>Bbls @ 104°F</v>
      </c>
      <c r="AF219" s="2064" t="s">
        <v>1065</v>
      </c>
      <c r="AG219" s="2064" t="str">
        <f>CONCATENATE("M3 @ ",AH205,"°C")</f>
        <v>M3 @ 43,3°C</v>
      </c>
      <c r="AH219" s="2064" t="str">
        <f>CONCATENATE("M3 @ ",AH206,"°C")</f>
        <v>M3 @ 40°C</v>
      </c>
      <c r="AI219" s="2064" t="s">
        <v>1066</v>
      </c>
      <c r="AJ219" s="2064" t="s">
        <v>1067</v>
      </c>
      <c r="AK219" s="2064" t="s">
        <v>1068</v>
      </c>
      <c r="AR219" s="30">
        <v>0.3</v>
      </c>
      <c r="AS219" s="32">
        <v>1072.9000000000001</v>
      </c>
      <c r="AU219" s="2056">
        <v>33.1</v>
      </c>
      <c r="AV219" s="2057">
        <v>0.15892000000000001</v>
      </c>
      <c r="AX219" s="30">
        <v>0.3</v>
      </c>
      <c r="AY219" s="35">
        <v>0.16766</v>
      </c>
      <c r="BA219" s="30">
        <v>0.3</v>
      </c>
      <c r="BB219" s="35">
        <v>0.17035</v>
      </c>
      <c r="BD219" s="37">
        <v>653</v>
      </c>
      <c r="BE219" s="39"/>
      <c r="BF219" s="1995"/>
      <c r="BG219" s="40">
        <v>722</v>
      </c>
      <c r="BH219" s="2058">
        <v>0.15887000000000001</v>
      </c>
      <c r="BI219" s="2053">
        <v>778</v>
      </c>
      <c r="BJ219" s="193">
        <v>6.2939999999999996</v>
      </c>
      <c r="BL219" s="37">
        <v>653</v>
      </c>
      <c r="BM219" s="2059"/>
      <c r="BO219" s="37">
        <v>653</v>
      </c>
      <c r="BP219" s="41"/>
      <c r="BR219" s="1785" t="s">
        <v>1055</v>
      </c>
      <c r="BS219" s="2639">
        <f>AH204</f>
        <v>859.7</v>
      </c>
      <c r="BT219" s="2640">
        <f>AH206</f>
        <v>40</v>
      </c>
      <c r="BU219" s="2385">
        <f>IF((EVEN(BS219)-BS219)&lt;1,EVEN(BS219),EVEN(BS219)-2)</f>
        <v>860</v>
      </c>
      <c r="BV219" s="2641">
        <f>FLOOR(BT219,1)+IF(MOD(BT219,1)&lt;0.125,0,IF(MOD(BT219,1)&lt;0.375,0.25,IF(MOD(BT219,1)&lt;0.625,0.5,IF(MOD(BT219,1)&lt;0.875,0.75,1))))</f>
        <v>40</v>
      </c>
      <c r="BW219" s="2634"/>
      <c r="BX219" s="2634"/>
      <c r="BY219" s="2634"/>
      <c r="BZ219" s="2634"/>
      <c r="CA219" s="2634"/>
      <c r="CB219" s="2634"/>
      <c r="CC219" s="2634"/>
      <c r="CD219" s="2373">
        <f>ROUND(EXP((613.9723/BU219^2)*(1+0.8*(613.9723/BU219^2)*(BV219-15))*(BV219-15)*-1),4)</f>
        <v>0.97909999999999997</v>
      </c>
    </row>
    <row r="220" spans="2:82" ht="13.15">
      <c r="AA220" s="2065">
        <v>1</v>
      </c>
      <c r="AB220" s="2066" t="str">
        <f>CONCATENATE("Bbls @ ",AE205,"°F")</f>
        <v>Bbls @ 110°F</v>
      </c>
      <c r="AD220" s="2067" t="str">
        <f>IF($AA$219&gt;1,"",K13)</f>
        <v/>
      </c>
      <c r="AE220" s="2067">
        <f>IF(AE221="","",(IF(AA204=1,AE222/AG215,AE223*6.28981)))</f>
        <v>195558.96805896805</v>
      </c>
      <c r="AF220" s="2067" t="str">
        <f>IF($AF$222="","",(IF($AA$204=1,$AF$222/AG215,AF223*6.28981)))</f>
        <v/>
      </c>
      <c r="AG220" s="2067" t="str">
        <f>IF($AG$223="","",(IF($AA$204=1,AG223*6.28981,AG223*6.28981)))</f>
        <v/>
      </c>
      <c r="AH220" s="2067" t="str">
        <f>IF($AH$224="","",(IF($AA$204=1,AH222/AG215,AH223*6.28981)))</f>
        <v/>
      </c>
      <c r="AI220" s="2067" t="str">
        <f>IF($AI$225="","",(IF($AA$204=1,AI222/AG215,AI223*6.28981)))</f>
        <v/>
      </c>
      <c r="AJ220" s="2067" t="str">
        <f>IF($AJ$226="","",(IF($AA$204=1,AJ222/AG215,AJ223*6.28981)))</f>
        <v/>
      </c>
      <c r="AK220" s="2067" t="str">
        <f>IF($AK$227="","",(IF($AA$204=1,AK222/AG215,AK223*6.28981)))</f>
        <v/>
      </c>
      <c r="AR220" s="30">
        <v>0.4</v>
      </c>
      <c r="AS220" s="32">
        <v>1072.0999999999999</v>
      </c>
      <c r="AU220" s="2056">
        <v>33.200000000000003</v>
      </c>
      <c r="AV220" s="2057">
        <v>0.15891</v>
      </c>
      <c r="AX220" s="30">
        <v>0.4</v>
      </c>
      <c r="AY220" s="35">
        <v>0.16753000000000001</v>
      </c>
      <c r="BA220" s="30">
        <v>0.4</v>
      </c>
      <c r="BB220" s="35">
        <v>0.17022000000000001</v>
      </c>
      <c r="BD220" s="37">
        <v>654</v>
      </c>
      <c r="BE220" s="39">
        <v>84.83</v>
      </c>
      <c r="BF220" s="1995"/>
      <c r="BG220" s="40">
        <v>723</v>
      </c>
      <c r="BH220" s="2058">
        <v>0.15887999999999999</v>
      </c>
      <c r="BI220" s="2053">
        <v>779</v>
      </c>
      <c r="BJ220" s="193">
        <v>6.2930000000000001</v>
      </c>
      <c r="BL220" s="37">
        <v>654</v>
      </c>
      <c r="BM220" s="2059">
        <v>1.5317000000000001</v>
      </c>
      <c r="BO220" s="40">
        <v>654</v>
      </c>
      <c r="BP220" s="41">
        <v>0.64259999999999995</v>
      </c>
      <c r="BR220" s="1785"/>
      <c r="BS220" s="1848"/>
      <c r="BT220" s="1709"/>
      <c r="BU220" s="1680"/>
      <c r="BV220" s="1710"/>
      <c r="BW220" s="2018"/>
      <c r="BX220" s="2018"/>
      <c r="BY220" s="2018"/>
      <c r="BZ220" s="2018"/>
      <c r="CA220" s="2018"/>
      <c r="CB220" s="2018"/>
      <c r="CC220" s="2018"/>
      <c r="CD220" s="1608"/>
    </row>
    <row r="221" spans="2:82" ht="13.15">
      <c r="AA221" s="2068">
        <v>2</v>
      </c>
      <c r="AB221" s="2069" t="str">
        <f>CONCATENATE("Bbls @ ",AE206,"°F")</f>
        <v>Bbls @ 104°F</v>
      </c>
      <c r="AD221" s="2067" t="str">
        <f>IF($AA$219&gt;1,"",IF($AA204=1,AD222/AG216,AD224*6.28981))</f>
        <v/>
      </c>
      <c r="AE221" s="2067">
        <f>IF($AA$219=2,K13,"")</f>
        <v>195000</v>
      </c>
      <c r="AF221" s="2067" t="str">
        <f>IF($AF$222="","",(IF($AA$204=1,$AF$222/AG216,AF224*6.28981)))</f>
        <v/>
      </c>
      <c r="AG221" s="2067" t="str">
        <f>IF($AG$223="","",(IF($AA$204=1,AG222/AG216,AG224*6.28981)))</f>
        <v/>
      </c>
      <c r="AH221" s="2067" t="str">
        <f>IF($AH$224="","",(IF($AA$204=1,AH224*6.28981,AH224*6.28981)))</f>
        <v/>
      </c>
      <c r="AI221" s="2070" t="str">
        <f>IF($AI$225="","",(IF($AA$204=1,AI222/AG216,AI224*6.28981)))</f>
        <v/>
      </c>
      <c r="AJ221" s="2070" t="str">
        <f>IF($AJ$226="","",(IF($AA$204=1,AJ222/AG216,AJ224*6.28981)))</f>
        <v/>
      </c>
      <c r="AK221" s="2070" t="str">
        <f>IF($AK$227="","",(IF($AA$204=1,AK222/AG216,AK224*6.28981)))</f>
        <v/>
      </c>
      <c r="AR221" s="30">
        <v>0.5</v>
      </c>
      <c r="AS221" s="32">
        <v>1071.3</v>
      </c>
      <c r="AU221" s="2056">
        <v>45.5</v>
      </c>
      <c r="AV221" s="2057">
        <v>0.15891</v>
      </c>
      <c r="AX221" s="30">
        <v>0.5</v>
      </c>
      <c r="AY221" s="35">
        <v>0.16741</v>
      </c>
      <c r="BA221" s="30">
        <v>0.5</v>
      </c>
      <c r="BB221" s="35">
        <v>0.17008999999999999</v>
      </c>
      <c r="BD221" s="37">
        <v>655</v>
      </c>
      <c r="BE221" s="39">
        <v>84.49</v>
      </c>
      <c r="BF221" s="1995"/>
      <c r="BG221" s="40">
        <v>768</v>
      </c>
      <c r="BH221" s="2058">
        <v>0.15887999999999999</v>
      </c>
      <c r="BI221" s="2053">
        <v>901</v>
      </c>
      <c r="BJ221" s="193">
        <v>6.2930000000000001</v>
      </c>
      <c r="BL221" s="37">
        <v>655</v>
      </c>
      <c r="BM221" s="2059">
        <v>1.5293000000000001</v>
      </c>
      <c r="BO221" s="40">
        <v>655</v>
      </c>
      <c r="BP221" s="41">
        <v>0.64359999999999995</v>
      </c>
      <c r="BR221" s="1785"/>
      <c r="BS221" s="1848"/>
      <c r="BT221" s="1709"/>
      <c r="BU221" s="1680"/>
      <c r="BV221" s="1710"/>
      <c r="BW221" s="2018"/>
      <c r="BX221" s="2018"/>
      <c r="BY221" s="2018"/>
      <c r="BZ221" s="2018"/>
      <c r="CA221" s="2018"/>
      <c r="CB221" s="2018"/>
      <c r="CC221" s="2018"/>
      <c r="CD221" s="1608"/>
    </row>
    <row r="222" spans="2:82" ht="12.75" customHeight="1">
      <c r="AA222" s="2068">
        <v>3</v>
      </c>
      <c r="AB222" s="2069" t="s">
        <v>1065</v>
      </c>
      <c r="AD222" s="2071" t="str">
        <f>IF($AA$219&gt;1,"",IF(AA204=1,AD220*AG215,AD225*6.28981))</f>
        <v/>
      </c>
      <c r="AE222" s="2067">
        <f>IF(AE221="","",(IF(AA204=1,AE221*AG216,AE225*AH208)))</f>
        <v>191022</v>
      </c>
      <c r="AF222" s="2072" t="str">
        <f>IF($AA$219=3,K13,"")</f>
        <v/>
      </c>
      <c r="AG222" s="2067" t="str">
        <f>IF($AG$223="","",(IF($AA$204=1,AG220*AG215,AG225/AH207)))</f>
        <v/>
      </c>
      <c r="AH222" s="2067" t="str">
        <f>IF($AH$224="","",(IF($AA$204=1,AH221*AG216,AH225/AH207)))</f>
        <v/>
      </c>
      <c r="AI222" s="2067" t="str">
        <f>IF($AI$225="","",(IF($AA$204=1,AI225/AE207,AI225/AH207)))</f>
        <v/>
      </c>
      <c r="AJ222" s="2067" t="str">
        <f>IF($AJ$226="","",(IF($AA$204=1,AJ226/AE209,AJ225/AH207)))</f>
        <v/>
      </c>
      <c r="AK222" s="2067" t="str">
        <f>IF($AK$227="","",(IF($AA$204=1,AK227/AE208,AK225/AH207)))</f>
        <v/>
      </c>
      <c r="AR222" s="30">
        <v>0.6</v>
      </c>
      <c r="AS222" s="32">
        <v>1070.5</v>
      </c>
      <c r="AU222" s="2056">
        <v>45.6</v>
      </c>
      <c r="AV222" s="2073">
        <v>0.15890000000000001</v>
      </c>
      <c r="AX222" s="30">
        <v>0.6</v>
      </c>
      <c r="AY222" s="35">
        <v>0.16728000000000001</v>
      </c>
      <c r="BA222" s="30">
        <v>0.6</v>
      </c>
      <c r="BB222" s="35">
        <v>0.16996</v>
      </c>
      <c r="BD222" s="37">
        <v>656</v>
      </c>
      <c r="BE222" s="39">
        <v>84.16</v>
      </c>
      <c r="BF222" s="1995"/>
      <c r="BG222" s="40">
        <v>769</v>
      </c>
      <c r="BH222" s="2058">
        <v>0.15889</v>
      </c>
      <c r="BI222" s="2053">
        <v>902</v>
      </c>
      <c r="BJ222" s="193">
        <v>6.2919999999999998</v>
      </c>
      <c r="BL222" s="37">
        <v>656</v>
      </c>
      <c r="BM222" s="2059">
        <v>1.5269999999999999</v>
      </c>
      <c r="BO222" s="40">
        <v>656</v>
      </c>
      <c r="BP222" s="41">
        <v>0.64449999999999996</v>
      </c>
    </row>
    <row r="223" spans="2:82" ht="12.75" customHeight="1">
      <c r="AA223" s="2068">
        <v>4</v>
      </c>
      <c r="AB223" s="2069" t="str">
        <f>CONCATENATE("M3 @ ",AH205,"°C")</f>
        <v>M3 @ 43,3°C</v>
      </c>
      <c r="AD223" s="2067" t="str">
        <f>IF($AA$219&gt;1,"",AD220/6.28981)</f>
        <v/>
      </c>
      <c r="AE223" s="2067">
        <f>IF(AE221="","",(IF(AA204=1,AE220/6.28981,AE225/AG215)))</f>
        <v>31091.395138957781</v>
      </c>
      <c r="AF223" s="2067" t="str">
        <f>IF($AF$222="","",(IF($AA$204=1,AF220/6.28981,AF225/AG215)))</f>
        <v/>
      </c>
      <c r="AG223" s="2074" t="str">
        <f>IF($AA$219=4,K13,"")</f>
        <v/>
      </c>
      <c r="AH223" s="2075" t="str">
        <f>IF($AH$224="","",(IF($AA$204=1,AH220/6.28981,AH225/AG215)))</f>
        <v/>
      </c>
      <c r="AI223" s="2076" t="str">
        <f>IF($AI$225="","",(IF($AA$204=1,AI220/6.28981,AI225/AG215)))</f>
        <v/>
      </c>
      <c r="AJ223" s="2076" t="str">
        <f>IF($AJ$226="","",(IF($AA$204=1,AJ220/6.28981,AJ225/AG215)))</f>
        <v/>
      </c>
      <c r="AK223" s="2076" t="str">
        <f>IF($AK$227="","",(IF($AA$204=1,AK220/6.28981,AK225/AG215)))</f>
        <v/>
      </c>
      <c r="AR223" s="30">
        <v>0.7</v>
      </c>
      <c r="AS223" s="32">
        <v>1069.7</v>
      </c>
      <c r="AU223" s="2056">
        <v>49.8</v>
      </c>
      <c r="AV223" s="2073">
        <v>0.15890000000000001</v>
      </c>
      <c r="AX223" s="30">
        <v>0.7</v>
      </c>
      <c r="AY223" s="35">
        <v>0.16714999999999999</v>
      </c>
      <c r="BA223" s="30">
        <v>0.7</v>
      </c>
      <c r="BB223" s="35">
        <v>0.16983000000000001</v>
      </c>
      <c r="BD223" s="37">
        <v>657</v>
      </c>
      <c r="BE223" s="39">
        <v>83.84</v>
      </c>
      <c r="BF223" s="1995"/>
      <c r="BG223" s="40">
        <v>779</v>
      </c>
      <c r="BH223" s="2058">
        <v>0.15889</v>
      </c>
      <c r="BI223" s="2077">
        <v>1074</v>
      </c>
      <c r="BJ223" s="2078">
        <v>6.2919999999999998</v>
      </c>
      <c r="BL223" s="37">
        <v>657</v>
      </c>
      <c r="BM223" s="2059">
        <v>1.5246999999999999</v>
      </c>
      <c r="BO223" s="40">
        <v>657</v>
      </c>
      <c r="BP223" s="41">
        <v>0.64549999999999996</v>
      </c>
      <c r="BR223" s="2037"/>
      <c r="BS223" s="2287" t="s">
        <v>576</v>
      </c>
      <c r="BT223" s="2288"/>
      <c r="BU223" s="2289" t="s">
        <v>222</v>
      </c>
      <c r="BV223" s="2290"/>
      <c r="BW223" s="2287" t="s">
        <v>210</v>
      </c>
      <c r="BX223" s="2292"/>
      <c r="BY223" s="2292"/>
      <c r="BZ223" s="2288"/>
      <c r="CA223" s="2475" t="s">
        <v>210</v>
      </c>
      <c r="CB223" s="2478" t="s">
        <v>211</v>
      </c>
      <c r="CC223" s="2644"/>
      <c r="CD223" s="2645" t="s">
        <v>204</v>
      </c>
    </row>
    <row r="224" spans="2:82" ht="13.15">
      <c r="AA224" s="2068">
        <v>5</v>
      </c>
      <c r="AB224" s="2069" t="str">
        <f>CONCATENATE("M3 @ ",AH206,"°C")</f>
        <v>M3 @ 40°C</v>
      </c>
      <c r="AD224" s="2067" t="str">
        <f>IF($AA$219&gt;1,"",IF(AA204=1,AD221/6.28981,AD225/AG216))</f>
        <v/>
      </c>
      <c r="AE224" s="2067">
        <f>IF(AE221="","",(IF(AA204=1,AE221/6.28981,AE221/6.28981)))</f>
        <v>31002.526308425851</v>
      </c>
      <c r="AF224" s="2067" t="str">
        <f>IF($AF$222="","",(IF($AA$204=1,AF221/6.28981,AF225/AG216)))</f>
        <v/>
      </c>
      <c r="AG224" s="2067" t="str">
        <f>IF($AG$223="","",(IF($AA$204=1,AG221/6.28981,AG225/AG216)))</f>
        <v/>
      </c>
      <c r="AH224" s="2072" t="str">
        <f>IF($AA$219=5,K13,"")</f>
        <v/>
      </c>
      <c r="AI224" s="2067" t="str">
        <f>IF($AI$225="","",(IF($AA$204=1,AI221/6.28981,AI225/AG216)))</f>
        <v/>
      </c>
      <c r="AJ224" s="2067" t="str">
        <f>IF($AJ$226="","",(IF($AA$204=1,AJ221/6.28981,AJ225/AG216)))</f>
        <v/>
      </c>
      <c r="AK224" s="2067" t="str">
        <f>IF($AK$227="","",(IF($AA$204=1,AK221/6.28981,AK225/AG216)))</f>
        <v/>
      </c>
      <c r="AR224" s="30">
        <v>0.8</v>
      </c>
      <c r="AS224" s="32">
        <v>1068.8</v>
      </c>
      <c r="AU224" s="2056">
        <v>49.9</v>
      </c>
      <c r="AV224" s="2073">
        <v>0.15889</v>
      </c>
      <c r="AX224" s="30">
        <v>0.8</v>
      </c>
      <c r="AY224" s="35">
        <v>0.16703000000000001</v>
      </c>
      <c r="BA224" s="30">
        <v>0.8</v>
      </c>
      <c r="BB224" s="35">
        <v>0.16971</v>
      </c>
      <c r="BD224" s="37">
        <v>658</v>
      </c>
      <c r="BE224" s="39">
        <v>83.51</v>
      </c>
      <c r="BF224" s="1995"/>
      <c r="BG224" s="40">
        <v>780</v>
      </c>
      <c r="BH224" s="2079">
        <v>0.15890000000000001</v>
      </c>
      <c r="BI224" s="43"/>
      <c r="BJ224" s="12"/>
      <c r="BL224" s="37">
        <v>658</v>
      </c>
      <c r="BM224" s="2059">
        <v>1.5224</v>
      </c>
      <c r="BO224" s="40">
        <v>658</v>
      </c>
      <c r="BP224" s="41">
        <v>0.64649999999999996</v>
      </c>
      <c r="BR224" s="1604"/>
      <c r="BS224" s="2296" t="s">
        <v>219</v>
      </c>
      <c r="BT224" s="2296" t="s">
        <v>220</v>
      </c>
      <c r="BU224" s="2298" t="s">
        <v>219</v>
      </c>
      <c r="BV224" s="2298" t="s">
        <v>220</v>
      </c>
      <c r="BW224" s="2296" t="s">
        <v>223</v>
      </c>
      <c r="BX224" s="2296" t="s">
        <v>224</v>
      </c>
      <c r="BY224" s="2296" t="s">
        <v>225</v>
      </c>
      <c r="BZ224" s="2296" t="s">
        <v>226</v>
      </c>
      <c r="CA224" s="2299"/>
      <c r="CB224" s="2317"/>
      <c r="CC224" s="2644"/>
      <c r="CD224" s="2391" t="s">
        <v>227</v>
      </c>
    </row>
    <row r="225" spans="27:82" ht="13.15">
      <c r="AA225" s="2068">
        <v>6</v>
      </c>
      <c r="AB225" s="2069" t="s">
        <v>1066</v>
      </c>
      <c r="AD225" s="2071" t="str">
        <f>IF($AA$219&gt;1,"",IF(AA204=1,AD222*AE207,AD223*AG215))</f>
        <v/>
      </c>
      <c r="AE225" s="2067">
        <f>IF(AE221="","",(IF(AA204=1,AE222*AE207,AE224*AG216)))</f>
        <v>30357.216240000002</v>
      </c>
      <c r="AF225" s="2067" t="str">
        <f>IF($AF$222="","",(IF($AA$204=1,AF222*AE207,AF222*AH207)))</f>
        <v/>
      </c>
      <c r="AG225" s="2067" t="str">
        <f>IF($AG$223="","",(IF($AA$204=1,AG222*AE207,AG223*AG215)))</f>
        <v/>
      </c>
      <c r="AH225" s="2067" t="str">
        <f>IF($AH$224="","",(IF($AA$204=1,AH222*AE207,AH224*AG216)))</f>
        <v/>
      </c>
      <c r="AI225" s="2072" t="str">
        <f>IF($AA$219=6,K13,"")</f>
        <v/>
      </c>
      <c r="AJ225" s="2067" t="str">
        <f>IF($AJ$226="","",(IF($AA$204=1,AJ222*AE207,AJ226*AH209)))</f>
        <v/>
      </c>
      <c r="AK225" s="2067" t="str">
        <f>IF($AK$227="","",(IF($AA$204=1,AK222*AE207,AK227/AH210)))</f>
        <v/>
      </c>
      <c r="AR225" s="30">
        <v>0.9</v>
      </c>
      <c r="AS225" s="32">
        <v>1068</v>
      </c>
      <c r="AU225" s="2056">
        <v>52.6</v>
      </c>
      <c r="AV225" s="2057">
        <v>0.15889</v>
      </c>
      <c r="AX225" s="30">
        <v>0.9</v>
      </c>
      <c r="AY225" s="35">
        <v>0.16689999999999999</v>
      </c>
      <c r="BA225" s="30">
        <v>0.9</v>
      </c>
      <c r="BB225" s="35">
        <v>0.16958000000000001</v>
      </c>
      <c r="BD225" s="37">
        <v>659</v>
      </c>
      <c r="BE225" s="39">
        <v>83.18</v>
      </c>
      <c r="BF225" s="1995"/>
      <c r="BG225" s="40">
        <v>798</v>
      </c>
      <c r="BH225" s="2079">
        <v>0.15890000000000001</v>
      </c>
      <c r="BI225" s="43"/>
      <c r="BJ225" s="12"/>
      <c r="BL225" s="37">
        <v>659</v>
      </c>
      <c r="BM225" s="2059">
        <v>1.52</v>
      </c>
      <c r="BO225" s="40">
        <v>659</v>
      </c>
      <c r="BP225" s="41">
        <v>0.64749999999999996</v>
      </c>
      <c r="BR225" s="1785" t="s">
        <v>1052</v>
      </c>
      <c r="BS225" s="1607">
        <f>AH204</f>
        <v>859.7</v>
      </c>
      <c r="BT225" s="1709">
        <f>AH205</f>
        <v>43.3</v>
      </c>
      <c r="BU225" s="1680">
        <f>IF((EVEN(BS225)-BS225)&lt;1,EVEN(BS225),EVEN(BS225)-2)</f>
        <v>860</v>
      </c>
      <c r="BV225" s="1710">
        <f>FLOOR(BT225,1)+IF(MOD(BT225,1)&lt;0.125,0,IF(MOD(BT225,1)&lt;0.375,0.25,IF(MOD(BT225,1)&lt;0.625,0.5,IF(MOD(BT225,1)&lt;0.875,0.75,1))))</f>
        <v>43.25</v>
      </c>
      <c r="BW225" s="1607">
        <f>IF(BU225&lt;770,(192.4571/BU225^2)+(0.2438/BU225),0)</f>
        <v>0</v>
      </c>
      <c r="BX225" s="1607">
        <f>IF(AND(BU225&gt;=770,BU225&lt;787.5),(1489.0671/(BU225^2))-0.0018684,0)</f>
        <v>0</v>
      </c>
      <c r="BY225" s="1607">
        <f>IF(AND(BU225&gt;=787.5,BU225&lt;838.5),330.301/BU225^2,0)</f>
        <v>0</v>
      </c>
      <c r="BZ225" s="1607">
        <f>IF(AND(BU225&gt;=838.5,BU225&lt;1075),(0.2701/BU225)+(103.873/BU225^2),0)</f>
        <v>4.5451460248783126E-4</v>
      </c>
      <c r="CA225" s="1687">
        <f>MAX(BW225:BZ225)</f>
        <v>4.5451460248783126E-4</v>
      </c>
      <c r="CB225" s="1607">
        <f>((BV225+40)*1.8)-99</f>
        <v>50.849999999999994</v>
      </c>
      <c r="CC225" s="2018"/>
      <c r="CD225" s="1720">
        <f>ROUND(EXP(-1*CA225*CB225*(1+0.8*CA225*CB225)),4)</f>
        <v>0.97670000000000001</v>
      </c>
    </row>
    <row r="226" spans="27:82" ht="13.15">
      <c r="AA226" s="2068">
        <v>7</v>
      </c>
      <c r="AB226" s="2069" t="s">
        <v>1067</v>
      </c>
      <c r="AD226" s="2067" t="str">
        <f>IF($AA$219&gt;1,"",IF(AA204=1,AD222*AE209,AD225/AH209))</f>
        <v/>
      </c>
      <c r="AE226" s="2067">
        <f>IF(AE221="","",(IF(AA204=1,AE222*AE209,AE225/AH209)))</f>
        <v>26064.951899999996</v>
      </c>
      <c r="AF226" s="2067" t="str">
        <f>IF($AF$222="","",(IF($AA$204=1,AF222*AE209,AF225/AH209)))</f>
        <v/>
      </c>
      <c r="AG226" s="2067" t="str">
        <f>IF($AG$223="","",(IF($AA$204=1,AG222*AE209,AG225/AH209)))</f>
        <v/>
      </c>
      <c r="AH226" s="2067" t="str">
        <f>IF($AH$224="","",(IF($AA$204=1,AH222*AE209,AH225/AH209)))</f>
        <v/>
      </c>
      <c r="AI226" s="2067" t="str">
        <f>IF($AI$225="","",(IF($AA$204=1,AI222*AE209,AI225/AH209)))</f>
        <v/>
      </c>
      <c r="AJ226" s="2072" t="str">
        <f>IF($AA$219=7,K13,"")</f>
        <v/>
      </c>
      <c r="AK226" s="2067" t="str">
        <f>IF($AK$227="","",(IF($AA$204=1,AK222*AE209,AK225/AH209)))</f>
        <v/>
      </c>
      <c r="AR226" s="30">
        <v>1</v>
      </c>
      <c r="AS226" s="32">
        <v>1067.2</v>
      </c>
      <c r="AU226" s="2056">
        <v>52.7</v>
      </c>
      <c r="AV226" s="2057">
        <v>0.15887999999999999</v>
      </c>
      <c r="AX226" s="30">
        <v>1</v>
      </c>
      <c r="AY226" s="35">
        <v>0.16677</v>
      </c>
      <c r="BA226" s="30">
        <v>1</v>
      </c>
      <c r="BB226" s="35">
        <v>0.16944999999999999</v>
      </c>
      <c r="BD226" s="37">
        <v>660</v>
      </c>
      <c r="BE226" s="39">
        <v>82.86</v>
      </c>
      <c r="BF226" s="1995"/>
      <c r="BG226" s="40">
        <v>799</v>
      </c>
      <c r="BH226" s="2079">
        <v>0.15891</v>
      </c>
      <c r="BI226" s="43"/>
      <c r="BJ226" s="12"/>
      <c r="BL226" s="37">
        <v>660</v>
      </c>
      <c r="BM226" s="2059">
        <v>1.5177</v>
      </c>
      <c r="BO226" s="40">
        <v>660</v>
      </c>
      <c r="BP226" s="41">
        <v>0.64849999999999997</v>
      </c>
      <c r="BR226" s="1785" t="s">
        <v>1055</v>
      </c>
      <c r="BS226" s="1607">
        <f>AH204</f>
        <v>859.7</v>
      </c>
      <c r="BT226" s="1709">
        <f>AH206</f>
        <v>40</v>
      </c>
      <c r="BU226" s="1680">
        <f>IF((EVEN(BS226)-BS226)&lt;1,EVEN(BS226),EVEN(BS226)-2)</f>
        <v>860</v>
      </c>
      <c r="BV226" s="1710">
        <f>FLOOR(BT226,1)+IF(MOD(BT226,1)&lt;0.125,0,IF(MOD(BT226,1)&lt;0.375,0.25,IF(MOD(BT226,1)&lt;0.625,0.5,IF(MOD(BT226,1)&lt;0.875,0.75,1))))</f>
        <v>40</v>
      </c>
      <c r="BW226" s="1607">
        <f>IF(BU226&lt;770,(192.4571/BU226^2)+(0.2438/BU226),0)</f>
        <v>0</v>
      </c>
      <c r="BX226" s="1607">
        <f>IF(AND(BU226&gt;=770,BU226&lt;787.5),(1489.0671/(BU226^2))-0.0018684,0)</f>
        <v>0</v>
      </c>
      <c r="BY226" s="1607">
        <f>IF(AND(BU226&gt;=787.5,BU226&lt;838.5),330.301/BU226^2,0)</f>
        <v>0</v>
      </c>
      <c r="BZ226" s="1607">
        <f>IF(AND(BU226&gt;=838.5,BU226&lt;1075),(0.2701/BU226)+(103.873/BU226^2),0)</f>
        <v>4.5451460248783126E-4</v>
      </c>
      <c r="CA226" s="1687">
        <f>MAX(BW226:BZ226)</f>
        <v>4.5451460248783126E-4</v>
      </c>
      <c r="CB226" s="1607">
        <f>((BV226+40)*1.8)-99</f>
        <v>45</v>
      </c>
      <c r="CC226" s="2018"/>
      <c r="CD226" s="1720">
        <f>ROUND(EXP(-1*CA226*CB226*(1+0.8*CA226*CB226)),4)</f>
        <v>0.97940000000000005</v>
      </c>
    </row>
    <row r="227" spans="27:82" ht="13.15">
      <c r="AA227" s="2012">
        <v>8</v>
      </c>
      <c r="AB227" s="2080" t="s">
        <v>1068</v>
      </c>
      <c r="AD227" s="2067" t="str">
        <f>IF($AA$219&gt;1,"",IF(AA204=1,AD222*AE208,AD225*AH210))</f>
        <v/>
      </c>
      <c r="AE227" s="2067">
        <f>IF(AE221="","",(IF(AA204=1,AE222*AE208,AE225*AH210)))</f>
        <v>25652.344379999999</v>
      </c>
      <c r="AF227" s="2067" t="str">
        <f>IF($AF$222="","",(IF($AA$204=1,AF222*AE208,AF225*AH210)))</f>
        <v/>
      </c>
      <c r="AG227" s="2067" t="str">
        <f>IF($AG$223="","",(IF($AA$204=1,AG222*AE208,AG225*AH210)))</f>
        <v/>
      </c>
      <c r="AH227" s="2067" t="str">
        <f>IF($AH$224="","",(IF($AA$204=1,AH222*AE208,AH225*AH210)))</f>
        <v/>
      </c>
      <c r="AI227" s="2067" t="str">
        <f>IF($AI$225="","",(IF($AA$204=1,AI222*AE208,AI225*AH210)))</f>
        <v/>
      </c>
      <c r="AJ227" s="2067" t="str">
        <f>IF($AJ$226="","",(IF($AA$204=1,AJ222*AE208,AJ225*AH210)))</f>
        <v/>
      </c>
      <c r="AK227" s="2072" t="str">
        <f>IF($AA$219=8,K13,"")</f>
        <v/>
      </c>
      <c r="AR227" s="30">
        <v>1.1000000000000001</v>
      </c>
      <c r="AS227" s="32">
        <v>1066.4000000000001</v>
      </c>
      <c r="AU227" s="2056">
        <v>64.3</v>
      </c>
      <c r="AV227" s="2057">
        <v>0.15887999999999999</v>
      </c>
      <c r="AX227" s="30">
        <v>1.1000000000000001</v>
      </c>
      <c r="AY227" s="35">
        <v>0.16664999999999999</v>
      </c>
      <c r="BA227" s="30">
        <v>1.1000000000000001</v>
      </c>
      <c r="BB227" s="35">
        <v>0.16932</v>
      </c>
      <c r="BD227" s="37">
        <v>661</v>
      </c>
      <c r="BE227" s="39">
        <v>82.53</v>
      </c>
      <c r="BF227" s="1995"/>
      <c r="BG227" s="40">
        <v>859</v>
      </c>
      <c r="BH227" s="2079">
        <v>0.15891</v>
      </c>
      <c r="BI227" s="43"/>
      <c r="BJ227" s="12"/>
      <c r="BL227" s="37">
        <v>661</v>
      </c>
      <c r="BM227" s="2059">
        <v>1.5154000000000001</v>
      </c>
      <c r="BO227" s="40">
        <v>661</v>
      </c>
      <c r="BP227" s="41">
        <v>0.64949999999999997</v>
      </c>
      <c r="BR227" s="1785"/>
      <c r="BS227" s="1607"/>
      <c r="BT227" s="1709"/>
      <c r="BU227" s="1680"/>
      <c r="BV227" s="1710"/>
      <c r="BW227" s="1607"/>
      <c r="BX227" s="1607"/>
      <c r="BY227" s="1607"/>
      <c r="BZ227" s="1607"/>
      <c r="CA227" s="1687"/>
      <c r="CB227" s="1607"/>
      <c r="CC227" s="2018"/>
      <c r="CD227" s="1720"/>
    </row>
    <row r="228" spans="27:82" ht="13.15">
      <c r="AA228" s="2006"/>
      <c r="AR228" s="30">
        <v>1.2</v>
      </c>
      <c r="AS228" s="32">
        <v>1065.5999999999999</v>
      </c>
      <c r="AU228" s="2056">
        <v>64.400000000000006</v>
      </c>
      <c r="AV228" s="2057">
        <v>0.15887000000000001</v>
      </c>
      <c r="AX228" s="30">
        <v>1.2</v>
      </c>
      <c r="AY228" s="35">
        <v>0.16652</v>
      </c>
      <c r="BA228" s="30">
        <v>1.2</v>
      </c>
      <c r="BB228" s="35">
        <v>0.16919000000000001</v>
      </c>
      <c r="BD228" s="37">
        <v>662</v>
      </c>
      <c r="BE228" s="39">
        <v>82.21</v>
      </c>
      <c r="BF228" s="1995"/>
      <c r="BG228" s="40">
        <v>860</v>
      </c>
      <c r="BH228" s="2079">
        <v>0.15892000000000001</v>
      </c>
      <c r="BI228" s="43"/>
      <c r="BJ228" s="12"/>
      <c r="BL228" s="37">
        <v>662</v>
      </c>
      <c r="BM228" s="2059">
        <v>1.5130999999999999</v>
      </c>
      <c r="BO228" s="40">
        <v>662</v>
      </c>
      <c r="BP228" s="41">
        <v>0.65039999999999998</v>
      </c>
      <c r="BR228" s="1785"/>
      <c r="BS228" s="1607"/>
      <c r="BT228" s="1709"/>
      <c r="BU228" s="1680"/>
      <c r="BV228" s="1710"/>
      <c r="BW228" s="1607"/>
      <c r="BX228" s="1607"/>
      <c r="BY228" s="1607"/>
      <c r="BZ228" s="1607"/>
      <c r="CA228" s="1687"/>
      <c r="CB228" s="1607"/>
      <c r="CC228" s="2018"/>
      <c r="CD228" s="1720"/>
    </row>
    <row r="229" spans="27:82">
      <c r="AA229" s="1994"/>
      <c r="AR229" s="30">
        <v>1.3</v>
      </c>
      <c r="AS229" s="32">
        <v>1064.8</v>
      </c>
      <c r="AU229" s="2056">
        <v>75.5</v>
      </c>
      <c r="AV229" s="2057">
        <v>0.15887000000000001</v>
      </c>
      <c r="AX229" s="30">
        <v>1.3</v>
      </c>
      <c r="AY229" s="35">
        <v>0.16639999999999999</v>
      </c>
      <c r="BA229" s="30">
        <v>1.3</v>
      </c>
      <c r="BB229" s="35">
        <v>0.16907</v>
      </c>
      <c r="BD229" s="37">
        <v>663</v>
      </c>
      <c r="BE229" s="39">
        <v>81.88</v>
      </c>
      <c r="BF229" s="1995"/>
      <c r="BG229" s="40">
        <v>964</v>
      </c>
      <c r="BH229" s="2079">
        <v>0.15892000000000001</v>
      </c>
      <c r="BI229" s="43"/>
      <c r="BJ229" s="12"/>
      <c r="BL229" s="37">
        <v>663</v>
      </c>
      <c r="BM229" s="2059">
        <v>1.5107999999999999</v>
      </c>
      <c r="BO229" s="40">
        <v>663</v>
      </c>
      <c r="BP229" s="41">
        <v>0.65139999999999998</v>
      </c>
    </row>
    <row r="230" spans="27:82" ht="13.15">
      <c r="AA230" s="1994"/>
      <c r="AM230" s="2081"/>
      <c r="AN230" s="2082"/>
      <c r="AO230" s="2082"/>
      <c r="AR230" s="30">
        <v>1.4</v>
      </c>
      <c r="AS230" s="32">
        <v>1064</v>
      </c>
      <c r="AU230" s="2056">
        <v>75.599999999999994</v>
      </c>
      <c r="AV230" s="2057">
        <v>0.15886</v>
      </c>
      <c r="AX230" s="30">
        <v>1.4</v>
      </c>
      <c r="AY230" s="35">
        <v>0.16627</v>
      </c>
      <c r="BA230" s="30">
        <v>1.4</v>
      </c>
      <c r="BB230" s="35">
        <v>0.16894000000000001</v>
      </c>
      <c r="BD230" s="37">
        <v>664</v>
      </c>
      <c r="BE230" s="39">
        <v>81.56</v>
      </c>
      <c r="BF230" s="1995"/>
      <c r="BG230" s="40">
        <v>965</v>
      </c>
      <c r="BH230" s="2079">
        <v>0.15892999999999999</v>
      </c>
      <c r="BI230" s="43"/>
      <c r="BJ230" s="12"/>
      <c r="BL230" s="37">
        <v>664</v>
      </c>
      <c r="BM230" s="2059">
        <v>1.5085999999999999</v>
      </c>
      <c r="BO230" s="40">
        <v>664</v>
      </c>
      <c r="BP230" s="41">
        <v>0.65239999999999998</v>
      </c>
    </row>
    <row r="231" spans="27:82">
      <c r="AA231" s="1994"/>
      <c r="AM231" s="2083"/>
      <c r="AN231" s="2083"/>
      <c r="AO231" s="2083"/>
      <c r="AR231" s="30">
        <v>1.5</v>
      </c>
      <c r="AS231" s="32">
        <v>1063.2</v>
      </c>
      <c r="AU231" s="2084">
        <v>85</v>
      </c>
      <c r="AV231" s="2085">
        <v>0.15886</v>
      </c>
      <c r="AX231" s="30">
        <v>1.5</v>
      </c>
      <c r="AY231" s="35">
        <v>0.16614999999999999</v>
      </c>
      <c r="BA231" s="30">
        <v>1.5</v>
      </c>
      <c r="BB231" s="35">
        <v>0.16880999999999999</v>
      </c>
      <c r="BD231" s="37">
        <v>665</v>
      </c>
      <c r="BE231" s="39">
        <v>81.239999999999995</v>
      </c>
      <c r="BF231" s="1995"/>
      <c r="BG231" s="1727">
        <v>1074</v>
      </c>
      <c r="BH231" s="2086">
        <v>0.15892999999999999</v>
      </c>
      <c r="BI231" s="43"/>
      <c r="BJ231" s="12"/>
      <c r="BL231" s="37">
        <v>665</v>
      </c>
      <c r="BM231" s="2059">
        <v>1.5063</v>
      </c>
      <c r="BO231" s="40">
        <v>665</v>
      </c>
      <c r="BP231" s="41">
        <v>0.65339999999999998</v>
      </c>
    </row>
    <row r="232" spans="27:82">
      <c r="AA232" s="1994"/>
      <c r="AO232" s="2087"/>
      <c r="AR232" s="30">
        <v>1.6</v>
      </c>
      <c r="AS232" s="32">
        <v>1062.4000000000001</v>
      </c>
      <c r="AU232" s="12"/>
      <c r="AV232" s="12"/>
      <c r="AX232" s="30">
        <v>1.6</v>
      </c>
      <c r="AY232" s="35">
        <v>0.16602</v>
      </c>
      <c r="BA232" s="30">
        <v>1.6</v>
      </c>
      <c r="BB232" s="35">
        <v>0.16869000000000001</v>
      </c>
      <c r="BD232" s="37">
        <v>666</v>
      </c>
      <c r="BE232" s="39">
        <v>80.92</v>
      </c>
      <c r="BF232" s="1995"/>
      <c r="BL232" s="37">
        <v>666</v>
      </c>
      <c r="BM232" s="2059">
        <v>1.504</v>
      </c>
      <c r="BO232" s="40">
        <v>666</v>
      </c>
      <c r="BP232" s="41">
        <v>0.65439999999999998</v>
      </c>
    </row>
    <row r="233" spans="27:82">
      <c r="AA233" s="1994"/>
      <c r="AR233" s="30">
        <v>1.7</v>
      </c>
      <c r="AS233" s="32">
        <v>1061.5999999999999</v>
      </c>
      <c r="AU233" s="12"/>
      <c r="AV233" s="12"/>
      <c r="AX233" s="30">
        <v>1.7</v>
      </c>
      <c r="AY233" s="35">
        <v>0.16589999999999999</v>
      </c>
      <c r="BA233" s="30">
        <v>1.7</v>
      </c>
      <c r="BB233" s="35">
        <v>0.16855999999999999</v>
      </c>
      <c r="BD233" s="37">
        <v>667</v>
      </c>
      <c r="BE233" s="39">
        <v>80.599999999999994</v>
      </c>
      <c r="BF233" s="1995"/>
      <c r="BL233" s="37">
        <v>667</v>
      </c>
      <c r="BM233" s="2059">
        <v>1.5018</v>
      </c>
      <c r="BO233" s="40">
        <v>667</v>
      </c>
      <c r="BP233" s="41">
        <v>0.65539999999999998</v>
      </c>
    </row>
    <row r="234" spans="27:82">
      <c r="AA234" s="1994"/>
      <c r="AR234" s="30">
        <v>1.8</v>
      </c>
      <c r="AS234" s="32">
        <v>1060.8</v>
      </c>
      <c r="AU234" s="12"/>
      <c r="AV234" s="12"/>
      <c r="AX234" s="30">
        <v>1.8</v>
      </c>
      <c r="AY234" s="35">
        <v>0.16577</v>
      </c>
      <c r="BA234" s="30">
        <v>1.8</v>
      </c>
      <c r="BB234" s="35">
        <v>0.16843</v>
      </c>
      <c r="BD234" s="37">
        <v>668</v>
      </c>
      <c r="BE234" s="39">
        <v>80.290000000000006</v>
      </c>
      <c r="BF234" s="1995"/>
      <c r="BL234" s="37">
        <v>668</v>
      </c>
      <c r="BM234" s="2059">
        <v>1.4995000000000001</v>
      </c>
      <c r="BO234" s="40">
        <v>668</v>
      </c>
      <c r="BP234" s="41">
        <v>0.65629999999999999</v>
      </c>
    </row>
    <row r="235" spans="27:82">
      <c r="AA235" s="1994"/>
      <c r="AR235" s="30">
        <v>1.9</v>
      </c>
      <c r="AS235" s="32">
        <v>1060</v>
      </c>
      <c r="AU235" s="12"/>
      <c r="AV235" s="12"/>
      <c r="AX235" s="30">
        <v>1.9</v>
      </c>
      <c r="AY235" s="35">
        <v>0.16564999999999999</v>
      </c>
      <c r="BA235" s="30">
        <v>1.9</v>
      </c>
      <c r="BB235" s="35">
        <v>0.16830999999999999</v>
      </c>
      <c r="BD235" s="37">
        <v>669</v>
      </c>
      <c r="BE235" s="39">
        <v>79.97</v>
      </c>
      <c r="BF235" s="1995"/>
      <c r="BL235" s="37">
        <v>669</v>
      </c>
      <c r="BM235" s="2059">
        <v>1.4973000000000001</v>
      </c>
      <c r="BO235" s="40">
        <v>669</v>
      </c>
      <c r="BP235" s="41">
        <v>0.6573</v>
      </c>
    </row>
    <row r="236" spans="27:82">
      <c r="AA236" s="1994"/>
      <c r="AR236" s="30">
        <v>2</v>
      </c>
      <c r="AS236" s="32">
        <v>1059.2</v>
      </c>
      <c r="AU236" s="12"/>
      <c r="AV236" s="12"/>
      <c r="AX236" s="30">
        <v>2</v>
      </c>
      <c r="AY236" s="35">
        <v>0.16552</v>
      </c>
      <c r="BA236" s="30">
        <v>2</v>
      </c>
      <c r="BB236" s="35">
        <v>0.16818</v>
      </c>
      <c r="BD236" s="37">
        <v>670</v>
      </c>
      <c r="BE236" s="39">
        <v>79.650000000000006</v>
      </c>
      <c r="BF236" s="1995"/>
      <c r="BL236" s="37">
        <v>670</v>
      </c>
      <c r="BM236" s="2059">
        <v>1.4950000000000001</v>
      </c>
      <c r="BO236" s="40">
        <v>670</v>
      </c>
      <c r="BP236" s="41">
        <v>0.6583</v>
      </c>
    </row>
    <row r="237" spans="27:82">
      <c r="AA237" s="1994"/>
      <c r="AR237" s="30">
        <v>2.1</v>
      </c>
      <c r="AS237" s="32">
        <v>1058.5</v>
      </c>
      <c r="AU237" s="12"/>
      <c r="AV237" s="12"/>
      <c r="AX237" s="30">
        <v>2.1</v>
      </c>
      <c r="AY237" s="35">
        <v>0.16539999999999999</v>
      </c>
      <c r="BA237" s="30">
        <v>2.1</v>
      </c>
      <c r="BB237" s="35">
        <v>0.16805</v>
      </c>
      <c r="BD237" s="37">
        <v>671</v>
      </c>
      <c r="BE237" s="39">
        <v>79.34</v>
      </c>
      <c r="BF237" s="1995"/>
      <c r="BL237" s="37">
        <v>671</v>
      </c>
      <c r="BM237" s="2059">
        <v>1.4927999999999999</v>
      </c>
      <c r="BO237" s="40">
        <v>671</v>
      </c>
      <c r="BP237" s="41">
        <v>0.6593</v>
      </c>
    </row>
    <row r="238" spans="27:82" ht="13.15">
      <c r="AA238" s="1994"/>
      <c r="AL238" s="2088"/>
      <c r="AM238" s="2088"/>
      <c r="AN238" s="2088"/>
      <c r="AO238" s="2088"/>
      <c r="AP238" s="1545"/>
      <c r="AR238" s="30">
        <v>2.2000000000000002</v>
      </c>
      <c r="AS238" s="32">
        <v>1057.7</v>
      </c>
      <c r="AU238" s="12"/>
      <c r="AV238" s="12"/>
      <c r="AX238" s="30">
        <v>2.2000000000000002</v>
      </c>
      <c r="AY238" s="35">
        <v>0.16527</v>
      </c>
      <c r="BA238" s="30">
        <v>2.2000000000000002</v>
      </c>
      <c r="BB238" s="35">
        <v>0.16793</v>
      </c>
      <c r="BD238" s="37">
        <v>672</v>
      </c>
      <c r="BE238" s="39">
        <v>79.02</v>
      </c>
      <c r="BF238" s="1995"/>
      <c r="BL238" s="37">
        <v>672</v>
      </c>
      <c r="BM238" s="2059">
        <v>1.4905999999999999</v>
      </c>
      <c r="BO238" s="40">
        <v>672</v>
      </c>
      <c r="BP238" s="41">
        <v>0.6603</v>
      </c>
    </row>
    <row r="239" spans="27:82">
      <c r="AA239" s="1994"/>
      <c r="AL239" s="2089"/>
      <c r="AM239" s="2090"/>
      <c r="AN239" s="2089"/>
      <c r="AO239" s="2090"/>
      <c r="AR239" s="30">
        <v>2.2999999999999998</v>
      </c>
      <c r="AS239" s="32">
        <v>1056.9000000000001</v>
      </c>
      <c r="AU239" s="12"/>
      <c r="AV239" s="12"/>
      <c r="AX239" s="30">
        <v>2.2999999999999998</v>
      </c>
      <c r="AY239" s="35">
        <v>0.16514999999999999</v>
      </c>
      <c r="BA239" s="30">
        <v>2.2999999999999998</v>
      </c>
      <c r="BB239" s="35">
        <v>0.1678</v>
      </c>
      <c r="BD239" s="37">
        <v>673</v>
      </c>
      <c r="BE239" s="39">
        <v>78.709999999999994</v>
      </c>
      <c r="BF239" s="1995"/>
      <c r="BL239" s="37">
        <v>673</v>
      </c>
      <c r="BM239" s="2059">
        <v>1.4883999999999999</v>
      </c>
      <c r="BO239" s="40">
        <v>673</v>
      </c>
      <c r="BP239" s="41">
        <v>0.6613</v>
      </c>
    </row>
    <row r="240" spans="27:82">
      <c r="AA240" s="1994"/>
      <c r="AL240" s="1743"/>
      <c r="AM240" s="1743"/>
      <c r="AN240" s="1743"/>
      <c r="AO240" s="1743"/>
      <c r="AP240" s="1748"/>
      <c r="AR240" s="30">
        <v>2.4</v>
      </c>
      <c r="AS240" s="32">
        <v>1056.0999999999999</v>
      </c>
      <c r="AU240" s="12"/>
      <c r="AV240" s="12"/>
      <c r="AX240" s="30">
        <v>2.4</v>
      </c>
      <c r="AY240" s="35">
        <v>0.16503000000000001</v>
      </c>
      <c r="BA240" s="30">
        <v>2.4</v>
      </c>
      <c r="BB240" s="35">
        <v>0.16768</v>
      </c>
      <c r="BD240" s="37">
        <v>674</v>
      </c>
      <c r="BE240" s="39">
        <v>78.400000000000006</v>
      </c>
      <c r="BF240" s="1995"/>
      <c r="BL240" s="37">
        <v>674</v>
      </c>
      <c r="BM240" s="2059">
        <v>1.4861</v>
      </c>
      <c r="BO240" s="40">
        <v>674</v>
      </c>
      <c r="BP240" s="41">
        <v>0.6623</v>
      </c>
    </row>
    <row r="241" spans="27:68">
      <c r="AA241" s="1994"/>
      <c r="AL241" s="2091"/>
      <c r="AM241" s="2091"/>
      <c r="AN241" s="2091"/>
      <c r="AO241" s="2092"/>
      <c r="AP241" s="2091"/>
      <c r="AR241" s="30">
        <v>2.5</v>
      </c>
      <c r="AS241" s="32">
        <v>1055.3</v>
      </c>
      <c r="AU241" s="12"/>
      <c r="AV241" s="12"/>
      <c r="AX241" s="30">
        <v>2.5</v>
      </c>
      <c r="AY241" s="35">
        <v>0.16489999999999999</v>
      </c>
      <c r="BA241" s="30">
        <v>2.5</v>
      </c>
      <c r="BB241" s="35">
        <v>0.16755</v>
      </c>
      <c r="BD241" s="37">
        <v>675</v>
      </c>
      <c r="BE241" s="39">
        <v>78.09</v>
      </c>
      <c r="BF241" s="1995"/>
      <c r="BL241" s="37">
        <v>675</v>
      </c>
      <c r="BM241" s="2059">
        <v>1.4839</v>
      </c>
      <c r="BO241" s="40">
        <v>675</v>
      </c>
      <c r="BP241" s="41">
        <v>0.66320000000000001</v>
      </c>
    </row>
    <row r="242" spans="27:68">
      <c r="AA242" s="1994"/>
      <c r="AL242" s="2091"/>
      <c r="AM242" s="2091"/>
      <c r="AN242" s="2091"/>
      <c r="AO242" s="2092"/>
      <c r="AP242" s="2091"/>
      <c r="AR242" s="30">
        <v>2.6</v>
      </c>
      <c r="AS242" s="32">
        <v>1054.5</v>
      </c>
      <c r="AU242" s="12"/>
      <c r="AV242" s="12"/>
      <c r="AX242" s="30">
        <v>2.6</v>
      </c>
      <c r="AY242" s="35">
        <v>0.16478000000000001</v>
      </c>
      <c r="BA242" s="30">
        <v>2.6</v>
      </c>
      <c r="BB242" s="35">
        <v>0.16743</v>
      </c>
      <c r="BD242" s="37">
        <v>676</v>
      </c>
      <c r="BE242" s="39">
        <v>77.78</v>
      </c>
      <c r="BF242" s="1995"/>
      <c r="BL242" s="37">
        <v>676</v>
      </c>
      <c r="BM242" s="2059">
        <v>1.4817</v>
      </c>
      <c r="BO242" s="40">
        <v>676</v>
      </c>
      <c r="BP242" s="41">
        <v>0.66420000000000001</v>
      </c>
    </row>
    <row r="243" spans="27:68">
      <c r="AA243" s="1994"/>
      <c r="AL243" s="2091"/>
      <c r="AM243" s="2091"/>
      <c r="AN243" s="2091"/>
      <c r="AO243" s="2092"/>
      <c r="AP243" s="2091"/>
      <c r="AR243" s="30">
        <v>2.7</v>
      </c>
      <c r="AS243" s="32">
        <v>1053.7</v>
      </c>
      <c r="AU243" s="12"/>
      <c r="AV243" s="12"/>
      <c r="AX243" s="30">
        <v>2.7</v>
      </c>
      <c r="AY243" s="35">
        <v>0.16466</v>
      </c>
      <c r="BA243" s="30">
        <v>2.7</v>
      </c>
      <c r="BB243" s="35">
        <v>0.1673</v>
      </c>
      <c r="BD243" s="37">
        <v>677</v>
      </c>
      <c r="BE243" s="39">
        <v>77.47</v>
      </c>
      <c r="BF243" s="1995"/>
      <c r="BL243" s="37">
        <v>677</v>
      </c>
      <c r="BM243" s="2059">
        <v>1.4795</v>
      </c>
      <c r="BO243" s="40">
        <v>677</v>
      </c>
      <c r="BP243" s="41">
        <v>0.66520000000000001</v>
      </c>
    </row>
    <row r="244" spans="27:68">
      <c r="AA244" s="1994"/>
      <c r="AN244" s="2093"/>
      <c r="AO244" s="2094"/>
      <c r="AR244" s="30">
        <v>2.8</v>
      </c>
      <c r="AS244" s="32">
        <v>1052.9000000000001</v>
      </c>
      <c r="AU244" s="12"/>
      <c r="AV244" s="12"/>
      <c r="AX244" s="30">
        <v>2.8</v>
      </c>
      <c r="AY244" s="35">
        <v>0.16453999999999999</v>
      </c>
      <c r="BA244" s="30">
        <v>2.8</v>
      </c>
      <c r="BB244" s="35">
        <v>0.16718</v>
      </c>
      <c r="BD244" s="37">
        <v>678</v>
      </c>
      <c r="BE244" s="39">
        <v>77.16</v>
      </c>
      <c r="BF244" s="1995"/>
      <c r="BL244" s="37">
        <v>678</v>
      </c>
      <c r="BM244" s="2059">
        <v>1.4774</v>
      </c>
      <c r="BO244" s="40">
        <v>678</v>
      </c>
      <c r="BP244" s="41">
        <v>0.66620000000000001</v>
      </c>
    </row>
    <row r="245" spans="27:68">
      <c r="AA245" s="1994"/>
      <c r="AD245" s="1203"/>
      <c r="AE245" s="1968"/>
      <c r="AG245" s="1968"/>
      <c r="AK245" s="2095"/>
      <c r="AN245" s="2093"/>
      <c r="AO245" s="2094"/>
      <c r="AR245" s="30">
        <v>2.9</v>
      </c>
      <c r="AS245" s="32">
        <v>1052.2</v>
      </c>
      <c r="AU245" s="12"/>
      <c r="AV245" s="12"/>
      <c r="AX245" s="30">
        <v>2.9</v>
      </c>
      <c r="AY245" s="35">
        <v>0.16441</v>
      </c>
      <c r="BA245" s="30">
        <v>2.9</v>
      </c>
      <c r="BB245" s="35">
        <v>0.16705</v>
      </c>
      <c r="BD245" s="37">
        <v>679</v>
      </c>
      <c r="BE245" s="39">
        <v>76.849999999999994</v>
      </c>
      <c r="BF245" s="1995"/>
      <c r="BL245" s="37">
        <v>679</v>
      </c>
      <c r="BM245" s="2059">
        <v>1.4752000000000001</v>
      </c>
      <c r="BO245" s="40">
        <v>679</v>
      </c>
      <c r="BP245" s="41">
        <v>0.66720000000000002</v>
      </c>
    </row>
    <row r="246" spans="27:68">
      <c r="AA246" s="1994"/>
      <c r="AR246" s="30">
        <v>3</v>
      </c>
      <c r="AS246" s="32">
        <v>1051.4000000000001</v>
      </c>
      <c r="AU246" s="12"/>
      <c r="AV246" s="12"/>
      <c r="AX246" s="30">
        <v>3</v>
      </c>
      <c r="AY246" s="35">
        <v>0.16428999999999999</v>
      </c>
      <c r="BA246" s="30">
        <v>3</v>
      </c>
      <c r="BB246" s="35">
        <v>0.16693</v>
      </c>
      <c r="BD246" s="37">
        <v>680</v>
      </c>
      <c r="BE246" s="39">
        <v>76.540000000000006</v>
      </c>
      <c r="BF246" s="1995"/>
      <c r="BL246" s="37">
        <v>680</v>
      </c>
      <c r="BM246" s="2059">
        <v>1.4730000000000001</v>
      </c>
      <c r="BO246" s="40">
        <v>680</v>
      </c>
      <c r="BP246" s="41">
        <v>0.66820000000000002</v>
      </c>
    </row>
    <row r="247" spans="27:68">
      <c r="AA247" s="1994"/>
      <c r="AN247" s="2096"/>
      <c r="AR247" s="30">
        <v>3.1</v>
      </c>
      <c r="AS247" s="32">
        <v>1050.5999999999999</v>
      </c>
      <c r="AU247" s="12"/>
      <c r="AV247" s="12"/>
      <c r="AX247" s="30">
        <v>3.1</v>
      </c>
      <c r="AY247" s="35">
        <v>0.16417000000000001</v>
      </c>
      <c r="BA247" s="30">
        <v>3.1</v>
      </c>
      <c r="BB247" s="35">
        <v>0.1668</v>
      </c>
      <c r="BD247" s="37">
        <v>681</v>
      </c>
      <c r="BE247" s="39">
        <v>76.239999999999995</v>
      </c>
      <c r="BF247" s="1995"/>
      <c r="BL247" s="37">
        <v>681</v>
      </c>
      <c r="BM247" s="2059">
        <v>1.4708000000000001</v>
      </c>
      <c r="BO247" s="40">
        <v>681</v>
      </c>
      <c r="BP247" s="41">
        <v>0.66910000000000003</v>
      </c>
    </row>
    <row r="248" spans="27:68">
      <c r="AA248" s="1994"/>
      <c r="AR248" s="30">
        <v>3.2</v>
      </c>
      <c r="AS248" s="32">
        <v>1049.8</v>
      </c>
      <c r="AU248" s="12"/>
      <c r="AV248" s="12"/>
      <c r="AX248" s="30">
        <v>3.2</v>
      </c>
      <c r="AY248" s="35">
        <v>0.16405</v>
      </c>
      <c r="BA248" s="30">
        <v>3.2</v>
      </c>
      <c r="BB248" s="35">
        <v>0.16667999999999999</v>
      </c>
      <c r="BD248" s="37">
        <v>682</v>
      </c>
      <c r="BE248" s="39">
        <v>75.930000000000007</v>
      </c>
      <c r="BF248" s="1995"/>
      <c r="BL248" s="37">
        <v>682</v>
      </c>
      <c r="BM248" s="2059">
        <v>1.4686999999999999</v>
      </c>
      <c r="BO248" s="40">
        <v>682</v>
      </c>
      <c r="BP248" s="41">
        <v>0.67010000000000003</v>
      </c>
    </row>
    <row r="249" spans="27:68">
      <c r="AA249" s="1994"/>
      <c r="AR249" s="30">
        <v>3.3</v>
      </c>
      <c r="AS249" s="32">
        <v>1049</v>
      </c>
      <c r="AU249" s="12"/>
      <c r="AV249" s="12"/>
      <c r="AX249" s="30">
        <v>3.3</v>
      </c>
      <c r="AY249" s="35">
        <v>0.16392000000000001</v>
      </c>
      <c r="BA249" s="30">
        <v>3.3</v>
      </c>
      <c r="BB249" s="35">
        <v>0.16656000000000001</v>
      </c>
      <c r="BD249" s="37">
        <v>683</v>
      </c>
      <c r="BE249" s="39">
        <v>75.63</v>
      </c>
      <c r="BF249" s="1995"/>
      <c r="BL249" s="37">
        <v>683</v>
      </c>
      <c r="BM249" s="2059">
        <v>1.4664999999999999</v>
      </c>
      <c r="BO249" s="40">
        <v>683</v>
      </c>
      <c r="BP249" s="41">
        <v>0.67110000000000003</v>
      </c>
    </row>
    <row r="250" spans="27:68">
      <c r="AA250" s="1994"/>
      <c r="AR250" s="30">
        <v>3.4</v>
      </c>
      <c r="AS250" s="32">
        <v>1048.3</v>
      </c>
      <c r="AU250" s="12"/>
      <c r="AV250" s="12"/>
      <c r="AX250" s="30">
        <v>3.4</v>
      </c>
      <c r="AY250" s="35">
        <v>0.1638</v>
      </c>
      <c r="BA250" s="30">
        <v>3.4</v>
      </c>
      <c r="BB250" s="35">
        <v>0.16642999999999999</v>
      </c>
      <c r="BD250" s="37">
        <v>684</v>
      </c>
      <c r="BE250" s="39">
        <v>75.33</v>
      </c>
      <c r="BF250" s="1995"/>
      <c r="BL250" s="37">
        <v>684</v>
      </c>
      <c r="BM250" s="2059">
        <v>1.4643999999999999</v>
      </c>
      <c r="BO250" s="40">
        <v>684</v>
      </c>
      <c r="BP250" s="41">
        <v>0.67210000000000003</v>
      </c>
    </row>
    <row r="251" spans="27:68">
      <c r="AA251" s="1994"/>
      <c r="AR251" s="30">
        <v>3.5</v>
      </c>
      <c r="AS251" s="32">
        <v>1047.5</v>
      </c>
      <c r="AU251" s="12"/>
      <c r="AV251" s="12"/>
      <c r="AX251" s="30">
        <v>3.5</v>
      </c>
      <c r="AY251" s="35">
        <v>0.16367999999999999</v>
      </c>
      <c r="BA251" s="30">
        <v>3.5</v>
      </c>
      <c r="BB251" s="35">
        <v>0.16631000000000001</v>
      </c>
      <c r="BD251" s="37">
        <v>685</v>
      </c>
      <c r="BE251" s="39">
        <v>75.02</v>
      </c>
      <c r="BF251" s="1995"/>
      <c r="BL251" s="37">
        <v>685</v>
      </c>
      <c r="BM251" s="2059">
        <v>1.4621999999999999</v>
      </c>
      <c r="BO251" s="40">
        <v>685</v>
      </c>
      <c r="BP251" s="41">
        <v>0.67310000000000003</v>
      </c>
    </row>
    <row r="252" spans="27:68">
      <c r="AA252" s="1994"/>
      <c r="AD252" s="1557"/>
      <c r="AF252" s="2097"/>
      <c r="AG252" s="2097"/>
      <c r="AK252" s="2087"/>
      <c r="AR252" s="30">
        <v>3.6</v>
      </c>
      <c r="AS252" s="32">
        <v>1046.7</v>
      </c>
      <c r="AU252" s="12"/>
      <c r="AV252" s="12"/>
      <c r="AX252" s="30">
        <v>3.6</v>
      </c>
      <c r="AY252" s="35">
        <v>0.16356000000000001</v>
      </c>
      <c r="BA252" s="30">
        <v>3.6</v>
      </c>
      <c r="BB252" s="35">
        <v>0.16617999999999999</v>
      </c>
      <c r="BD252" s="37">
        <v>686</v>
      </c>
      <c r="BE252" s="39">
        <v>74.72</v>
      </c>
      <c r="BF252" s="1995"/>
      <c r="BL252" s="37">
        <v>686</v>
      </c>
      <c r="BM252" s="2059">
        <v>1.4601</v>
      </c>
      <c r="BO252" s="40">
        <v>686</v>
      </c>
      <c r="BP252" s="41">
        <v>0.67410000000000003</v>
      </c>
    </row>
    <row r="253" spans="27:68" ht="12.75" customHeight="1">
      <c r="AA253" s="1994"/>
      <c r="AD253" s="1557"/>
      <c r="AF253" s="2097"/>
      <c r="AG253" s="2097"/>
      <c r="AR253" s="30">
        <v>3.7</v>
      </c>
      <c r="AS253" s="32">
        <v>1045.9000000000001</v>
      </c>
      <c r="AU253" s="12"/>
      <c r="AV253" s="12"/>
      <c r="AX253" s="30">
        <v>3.7</v>
      </c>
      <c r="AY253" s="35">
        <v>0.16344</v>
      </c>
      <c r="BA253" s="30">
        <v>3.7</v>
      </c>
      <c r="BB253" s="35">
        <v>0.16606000000000001</v>
      </c>
      <c r="BD253" s="37">
        <v>687</v>
      </c>
      <c r="BE253" s="39">
        <v>74.42</v>
      </c>
      <c r="BF253" s="1995"/>
      <c r="BL253" s="37">
        <v>687</v>
      </c>
      <c r="BM253" s="2059">
        <v>1.458</v>
      </c>
      <c r="BO253" s="40">
        <v>687</v>
      </c>
      <c r="BP253" s="41">
        <v>0.67510000000000003</v>
      </c>
    </row>
    <row r="254" spans="27:68" ht="12.75" customHeight="1">
      <c r="AA254" s="1994"/>
      <c r="AR254" s="30">
        <v>3.8</v>
      </c>
      <c r="AS254" s="32">
        <v>1045.2</v>
      </c>
      <c r="AU254" s="12"/>
      <c r="AV254" s="12"/>
      <c r="AX254" s="30">
        <v>3.8</v>
      </c>
      <c r="AY254" s="35">
        <v>0.16331999999999999</v>
      </c>
      <c r="BA254" s="30">
        <v>3.8</v>
      </c>
      <c r="BB254" s="35">
        <v>0.16594</v>
      </c>
      <c r="BD254" s="37">
        <v>688</v>
      </c>
      <c r="BE254" s="39">
        <v>74.12</v>
      </c>
      <c r="BF254" s="1995"/>
      <c r="BL254" s="37">
        <v>688</v>
      </c>
      <c r="BM254" s="2059">
        <v>1.4559</v>
      </c>
      <c r="BO254" s="40">
        <v>688</v>
      </c>
      <c r="BP254" s="41">
        <v>0.67600000000000005</v>
      </c>
    </row>
    <row r="255" spans="27:68">
      <c r="AA255" s="1994"/>
      <c r="AR255" s="30">
        <v>3.9</v>
      </c>
      <c r="AS255" s="32">
        <v>1044.4000000000001</v>
      </c>
      <c r="AX255" s="30">
        <v>3.9</v>
      </c>
      <c r="AY255" s="35">
        <v>0.16320000000000001</v>
      </c>
      <c r="BA255" s="30">
        <v>3.9</v>
      </c>
      <c r="BB255" s="35">
        <v>0.16582</v>
      </c>
      <c r="BD255" s="37">
        <v>689</v>
      </c>
      <c r="BE255" s="39">
        <v>73.819999999999993</v>
      </c>
      <c r="BF255" s="1995"/>
      <c r="BL255" s="37">
        <v>689</v>
      </c>
      <c r="BM255" s="2059">
        <v>1.4537</v>
      </c>
      <c r="BO255" s="40">
        <v>689</v>
      </c>
      <c r="BP255" s="41">
        <v>0.67700000000000005</v>
      </c>
    </row>
    <row r="256" spans="27:68">
      <c r="AA256" s="1994"/>
      <c r="AR256" s="30">
        <v>4</v>
      </c>
      <c r="AS256" s="32">
        <v>1043.5999999999999</v>
      </c>
      <c r="AX256" s="30">
        <v>4</v>
      </c>
      <c r="AY256" s="35">
        <v>0.16308</v>
      </c>
      <c r="BA256" s="30">
        <v>4</v>
      </c>
      <c r="BB256" s="35">
        <v>0.16569</v>
      </c>
      <c r="BD256" s="37">
        <v>690</v>
      </c>
      <c r="BE256" s="39">
        <v>73.53</v>
      </c>
      <c r="BF256" s="1995"/>
      <c r="BL256" s="37">
        <v>690</v>
      </c>
      <c r="BM256" s="2059">
        <v>1.4516</v>
      </c>
      <c r="BO256" s="40">
        <v>690</v>
      </c>
      <c r="BP256" s="41">
        <v>0.67800000000000005</v>
      </c>
    </row>
    <row r="257" spans="27:68">
      <c r="AA257" s="1994"/>
      <c r="AR257" s="30">
        <v>4.0999999999999996</v>
      </c>
      <c r="AS257" s="32">
        <v>1042.8</v>
      </c>
      <c r="AX257" s="30">
        <v>4.0999999999999996</v>
      </c>
      <c r="AY257" s="35">
        <v>0.16295999999999999</v>
      </c>
      <c r="BA257" s="30">
        <v>4.0999999999999996</v>
      </c>
      <c r="BB257" s="35">
        <v>0.16556999999999999</v>
      </c>
      <c r="BD257" s="37">
        <v>691</v>
      </c>
      <c r="BE257" s="39">
        <v>73.23</v>
      </c>
      <c r="BF257" s="1995"/>
      <c r="BL257" s="37">
        <v>691</v>
      </c>
      <c r="BM257" s="2059">
        <v>1.4495</v>
      </c>
      <c r="BO257" s="40">
        <v>691</v>
      </c>
      <c r="BP257" s="41">
        <v>0.67900000000000005</v>
      </c>
    </row>
    <row r="258" spans="27:68">
      <c r="AA258" s="1994"/>
      <c r="AR258" s="30">
        <v>4.2</v>
      </c>
      <c r="AS258" s="32">
        <v>1042.0999999999999</v>
      </c>
      <c r="AX258" s="30">
        <v>4.2</v>
      </c>
      <c r="AY258" s="35">
        <v>0.16284000000000001</v>
      </c>
      <c r="BA258" s="30">
        <v>4.2</v>
      </c>
      <c r="BB258" s="35">
        <v>0.16545000000000001</v>
      </c>
      <c r="BD258" s="37">
        <v>692</v>
      </c>
      <c r="BE258" s="39">
        <v>72.930000000000007</v>
      </c>
      <c r="BF258" s="1995"/>
      <c r="BL258" s="37">
        <v>692</v>
      </c>
      <c r="BM258" s="2059">
        <v>1.4474</v>
      </c>
      <c r="BO258" s="40">
        <v>692</v>
      </c>
      <c r="BP258" s="41">
        <v>0.68</v>
      </c>
    </row>
    <row r="259" spans="27:68">
      <c r="AA259" s="1994"/>
      <c r="AR259" s="30">
        <v>4.3</v>
      </c>
      <c r="AS259" s="32">
        <v>1041.3</v>
      </c>
      <c r="AX259" s="30">
        <v>4.3</v>
      </c>
      <c r="AY259" s="35">
        <v>0.16272</v>
      </c>
      <c r="BA259" s="30">
        <v>4.3</v>
      </c>
      <c r="BB259" s="35">
        <v>0.16533</v>
      </c>
      <c r="BD259" s="37">
        <v>693</v>
      </c>
      <c r="BE259" s="39">
        <v>72.64</v>
      </c>
      <c r="BF259" s="1995"/>
      <c r="BL259" s="37">
        <v>693</v>
      </c>
      <c r="BM259" s="2059">
        <v>1.4453</v>
      </c>
      <c r="BO259" s="40">
        <v>693</v>
      </c>
      <c r="BP259" s="41">
        <v>0.68100000000000005</v>
      </c>
    </row>
    <row r="260" spans="27:68">
      <c r="AA260" s="1994"/>
      <c r="AR260" s="30">
        <v>4.4000000000000004</v>
      </c>
      <c r="AS260" s="32">
        <v>1040.5</v>
      </c>
      <c r="AX260" s="30">
        <v>4.4000000000000004</v>
      </c>
      <c r="AY260" s="35">
        <v>0.16259999999999999</v>
      </c>
      <c r="BA260" s="30">
        <v>4.4000000000000004</v>
      </c>
      <c r="BB260" s="35">
        <v>0.16521</v>
      </c>
      <c r="BD260" s="37">
        <v>694</v>
      </c>
      <c r="BE260" s="39">
        <v>72.34</v>
      </c>
      <c r="BF260" s="1995"/>
      <c r="BL260" s="37">
        <v>694</v>
      </c>
      <c r="BM260" s="2059">
        <v>1.4432</v>
      </c>
      <c r="BO260" s="40">
        <v>694</v>
      </c>
      <c r="BP260" s="41">
        <v>0.68189999999999995</v>
      </c>
    </row>
    <row r="261" spans="27:68">
      <c r="AA261" s="1994"/>
      <c r="AR261" s="30">
        <v>4.5</v>
      </c>
      <c r="AS261" s="32">
        <v>1039.8</v>
      </c>
      <c r="AX261" s="30">
        <v>4.5</v>
      </c>
      <c r="AY261" s="35">
        <v>0.16248000000000001</v>
      </c>
      <c r="BA261" s="30">
        <v>4.5</v>
      </c>
      <c r="BB261" s="35">
        <v>0.16508</v>
      </c>
      <c r="BD261" s="37">
        <v>695</v>
      </c>
      <c r="BE261" s="39">
        <v>72.05</v>
      </c>
      <c r="BF261" s="1995"/>
      <c r="BL261" s="37">
        <v>695</v>
      </c>
      <c r="BM261" s="2059">
        <v>1.4412</v>
      </c>
      <c r="BO261" s="40">
        <v>695</v>
      </c>
      <c r="BP261" s="41">
        <v>0.68289999999999995</v>
      </c>
    </row>
    <row r="262" spans="27:68">
      <c r="AA262" s="1994"/>
      <c r="AR262" s="30">
        <v>4.5999999999999996</v>
      </c>
      <c r="AS262" s="32">
        <v>1039</v>
      </c>
      <c r="AX262" s="30">
        <v>4.5999999999999996</v>
      </c>
      <c r="AY262" s="35">
        <v>0.16236</v>
      </c>
      <c r="BA262" s="30">
        <v>4.5999999999999996</v>
      </c>
      <c r="BB262" s="35">
        <v>0.16496</v>
      </c>
      <c r="BD262" s="37">
        <v>696</v>
      </c>
      <c r="BE262" s="39">
        <v>71.760000000000005</v>
      </c>
      <c r="BF262" s="1995"/>
      <c r="BL262" s="37">
        <v>696</v>
      </c>
      <c r="BM262" s="2059">
        <v>1.4391</v>
      </c>
      <c r="BO262" s="40">
        <v>696</v>
      </c>
      <c r="BP262" s="41">
        <v>0.68389999999999995</v>
      </c>
    </row>
    <row r="263" spans="27:68">
      <c r="AA263" s="1994"/>
      <c r="AR263" s="30">
        <v>4.7</v>
      </c>
      <c r="AS263" s="32">
        <v>1038.3</v>
      </c>
      <c r="AX263" s="30">
        <v>4.7</v>
      </c>
      <c r="AY263" s="35">
        <v>0.16224</v>
      </c>
      <c r="BA263" s="30">
        <v>4.7</v>
      </c>
      <c r="BB263" s="35">
        <v>0.16483999999999999</v>
      </c>
      <c r="BD263" s="37">
        <v>697</v>
      </c>
      <c r="BE263" s="39">
        <v>71.459999999999994</v>
      </c>
      <c r="BF263" s="1995"/>
      <c r="BL263" s="37">
        <v>697</v>
      </c>
      <c r="BM263" s="2059">
        <v>1.4370000000000001</v>
      </c>
      <c r="BO263" s="40">
        <v>697</v>
      </c>
      <c r="BP263" s="41">
        <v>0.68489999999999995</v>
      </c>
    </row>
    <row r="264" spans="27:68">
      <c r="AA264" s="1994"/>
      <c r="AR264" s="30">
        <v>4.8</v>
      </c>
      <c r="AS264" s="32">
        <v>1037.5</v>
      </c>
      <c r="AX264" s="30">
        <v>4.8</v>
      </c>
      <c r="AY264" s="35">
        <v>0.16211999999999999</v>
      </c>
      <c r="BA264" s="30">
        <v>4.8</v>
      </c>
      <c r="BB264" s="35">
        <v>0.16472000000000001</v>
      </c>
      <c r="BD264" s="37">
        <v>698</v>
      </c>
      <c r="BE264" s="39">
        <v>71.17</v>
      </c>
      <c r="BF264" s="1995"/>
      <c r="BL264" s="37">
        <v>698</v>
      </c>
      <c r="BM264" s="2059">
        <v>1.4350000000000001</v>
      </c>
      <c r="BO264" s="40">
        <v>698</v>
      </c>
      <c r="BP264" s="41">
        <v>0.68589999999999995</v>
      </c>
    </row>
    <row r="265" spans="27:68">
      <c r="AA265" s="1994"/>
      <c r="AR265" s="30">
        <v>4.9000000000000004</v>
      </c>
      <c r="AS265" s="32">
        <v>1036.7</v>
      </c>
      <c r="AX265" s="30">
        <v>4.9000000000000004</v>
      </c>
      <c r="AY265" s="35">
        <v>0.16200000000000001</v>
      </c>
      <c r="BA265" s="30">
        <v>4.9000000000000004</v>
      </c>
      <c r="BB265" s="35">
        <v>0.1646</v>
      </c>
      <c r="BD265" s="37">
        <v>699</v>
      </c>
      <c r="BE265" s="39">
        <v>70.88</v>
      </c>
      <c r="BF265" s="1995"/>
      <c r="BL265" s="37">
        <v>699</v>
      </c>
      <c r="BM265" s="2059">
        <v>1.4329000000000001</v>
      </c>
      <c r="BO265" s="40">
        <v>699</v>
      </c>
      <c r="BP265" s="41">
        <v>0.68689999999999996</v>
      </c>
    </row>
    <row r="266" spans="27:68">
      <c r="AA266" s="1994"/>
      <c r="AR266" s="30">
        <v>5</v>
      </c>
      <c r="AS266" s="32">
        <v>1036</v>
      </c>
      <c r="AX266" s="30">
        <v>5</v>
      </c>
      <c r="AY266" s="35">
        <v>0.16188</v>
      </c>
      <c r="BA266" s="30">
        <v>5</v>
      </c>
      <c r="BB266" s="35">
        <v>0.16447999999999999</v>
      </c>
      <c r="BD266" s="37">
        <v>700</v>
      </c>
      <c r="BE266" s="39">
        <v>70.59</v>
      </c>
      <c r="BF266" s="1995"/>
      <c r="BL266" s="37">
        <v>700</v>
      </c>
      <c r="BM266" s="2059">
        <v>1.4309000000000001</v>
      </c>
      <c r="BO266" s="40">
        <v>700</v>
      </c>
      <c r="BP266" s="41">
        <v>0.68779999999999997</v>
      </c>
    </row>
    <row r="267" spans="27:68">
      <c r="AA267" s="1994"/>
      <c r="AR267" s="30">
        <v>5.0999999999999996</v>
      </c>
      <c r="AS267" s="32">
        <v>1035.2</v>
      </c>
      <c r="AX267" s="30">
        <v>5.0999999999999996</v>
      </c>
      <c r="AY267" s="35">
        <v>0.16175999999999999</v>
      </c>
      <c r="BA267" s="30">
        <v>5.0999999999999996</v>
      </c>
      <c r="BB267" s="35">
        <v>0.16436000000000001</v>
      </c>
      <c r="BD267" s="37">
        <v>701</v>
      </c>
      <c r="BE267" s="39">
        <v>70.3</v>
      </c>
      <c r="BF267" s="1995"/>
      <c r="BL267" s="37">
        <v>701</v>
      </c>
      <c r="BM267" s="2059">
        <v>1.4288000000000001</v>
      </c>
      <c r="BO267" s="40">
        <v>701</v>
      </c>
      <c r="BP267" s="41">
        <v>0.68879999999999997</v>
      </c>
    </row>
    <row r="268" spans="27:68">
      <c r="AA268" s="1994"/>
      <c r="AR268" s="30">
        <v>5.2</v>
      </c>
      <c r="AS268" s="32">
        <v>1034.5</v>
      </c>
      <c r="AX268" s="30">
        <v>5.2</v>
      </c>
      <c r="AY268" s="35">
        <v>0.16164000000000001</v>
      </c>
      <c r="BA268" s="30">
        <v>5.2</v>
      </c>
      <c r="BB268" s="35">
        <v>0.16424</v>
      </c>
      <c r="BD268" s="37">
        <v>702</v>
      </c>
      <c r="BE268" s="39">
        <v>70.02</v>
      </c>
      <c r="BF268" s="1995"/>
      <c r="BL268" s="37">
        <v>702</v>
      </c>
      <c r="BM268" s="2059">
        <v>1.4268000000000001</v>
      </c>
      <c r="BO268" s="40">
        <v>702</v>
      </c>
      <c r="BP268" s="41">
        <v>0.68979999999999997</v>
      </c>
    </row>
    <row r="269" spans="27:68">
      <c r="AA269" s="1994"/>
      <c r="AR269" s="30">
        <v>5.3</v>
      </c>
      <c r="AS269" s="32">
        <v>1033.7</v>
      </c>
      <c r="AX269" s="30">
        <v>5.3</v>
      </c>
      <c r="AY269" s="35">
        <v>0.16153000000000001</v>
      </c>
      <c r="BA269" s="30">
        <v>5.3</v>
      </c>
      <c r="BB269" s="35">
        <v>0.16411999999999999</v>
      </c>
      <c r="BD269" s="37">
        <v>703</v>
      </c>
      <c r="BE269" s="39">
        <v>69.73</v>
      </c>
      <c r="BF269" s="1995"/>
      <c r="BL269" s="37">
        <v>703</v>
      </c>
      <c r="BM269" s="2059">
        <v>1.4247000000000001</v>
      </c>
      <c r="BO269" s="40">
        <v>703</v>
      </c>
      <c r="BP269" s="41">
        <v>0.69079999999999997</v>
      </c>
    </row>
    <row r="270" spans="27:68">
      <c r="AA270" s="1994"/>
      <c r="AR270" s="30">
        <v>5.4</v>
      </c>
      <c r="AS270" s="32">
        <v>1033</v>
      </c>
      <c r="AX270" s="30">
        <v>5.4</v>
      </c>
      <c r="AY270" s="35">
        <v>0.16141</v>
      </c>
      <c r="BA270" s="30">
        <v>5.4</v>
      </c>
      <c r="BB270" s="35">
        <v>0.16400000000000001</v>
      </c>
      <c r="BD270" s="37">
        <v>704</v>
      </c>
      <c r="BE270" s="39">
        <v>69.44</v>
      </c>
      <c r="BF270" s="1995"/>
      <c r="BL270" s="37">
        <v>704</v>
      </c>
      <c r="BM270" s="2059">
        <v>1.4227000000000001</v>
      </c>
      <c r="BO270" s="40">
        <v>704</v>
      </c>
      <c r="BP270" s="41">
        <v>0.69179999999999997</v>
      </c>
    </row>
    <row r="271" spans="27:68">
      <c r="AA271" s="1994"/>
      <c r="AR271" s="30">
        <v>5.5</v>
      </c>
      <c r="AS271" s="32">
        <v>1032.2</v>
      </c>
      <c r="AX271" s="30">
        <v>5.5</v>
      </c>
      <c r="AY271" s="35">
        <v>0.16128999999999999</v>
      </c>
      <c r="BA271" s="30">
        <v>5.5</v>
      </c>
      <c r="BB271" s="35">
        <v>0.16388</v>
      </c>
      <c r="BD271" s="37">
        <v>705</v>
      </c>
      <c r="BE271" s="39">
        <v>69.16</v>
      </c>
      <c r="BF271" s="1995"/>
      <c r="BL271" s="37">
        <v>705</v>
      </c>
      <c r="BM271" s="2059">
        <v>1.4207000000000001</v>
      </c>
      <c r="BO271" s="40">
        <v>705</v>
      </c>
      <c r="BP271" s="41">
        <v>0.69279999999999997</v>
      </c>
    </row>
    <row r="272" spans="27:68">
      <c r="AA272" s="1994"/>
      <c r="AR272" s="30">
        <v>5.6</v>
      </c>
      <c r="AS272" s="32">
        <v>1031.4000000000001</v>
      </c>
      <c r="AX272" s="30">
        <v>5.6</v>
      </c>
      <c r="AY272" s="35">
        <v>0.16117000000000001</v>
      </c>
      <c r="BA272" s="30">
        <v>5.6</v>
      </c>
      <c r="BB272" s="35">
        <v>0.16375999999999999</v>
      </c>
      <c r="BD272" s="37">
        <v>706</v>
      </c>
      <c r="BE272" s="39">
        <v>68.87</v>
      </c>
      <c r="BF272" s="1995"/>
      <c r="BL272" s="37">
        <v>706</v>
      </c>
      <c r="BM272" s="2059">
        <v>1.4187000000000001</v>
      </c>
      <c r="BO272" s="40">
        <v>706</v>
      </c>
      <c r="BP272" s="41">
        <v>0.69379999999999997</v>
      </c>
    </row>
    <row r="273" spans="27:68">
      <c r="AA273" s="1994"/>
      <c r="AR273" s="30">
        <v>5.7</v>
      </c>
      <c r="AS273" s="32">
        <v>1030.7</v>
      </c>
      <c r="AX273" s="30">
        <v>5.7</v>
      </c>
      <c r="AY273" s="35">
        <v>0.16105</v>
      </c>
      <c r="BA273" s="30">
        <v>5.7</v>
      </c>
      <c r="BB273" s="35">
        <v>0.16364000000000001</v>
      </c>
      <c r="BD273" s="37">
        <v>707</v>
      </c>
      <c r="BE273" s="39">
        <v>68.59</v>
      </c>
      <c r="BF273" s="1995"/>
      <c r="BL273" s="37">
        <v>707</v>
      </c>
      <c r="BM273" s="2059">
        <v>1.4167000000000001</v>
      </c>
      <c r="BO273" s="40">
        <v>707</v>
      </c>
      <c r="BP273" s="41">
        <v>0.69469999999999998</v>
      </c>
    </row>
    <row r="274" spans="27:68">
      <c r="AA274" s="1994"/>
      <c r="AR274" s="30">
        <v>5.8</v>
      </c>
      <c r="AS274" s="32">
        <v>1029.9000000000001</v>
      </c>
      <c r="AX274" s="30">
        <v>5.8</v>
      </c>
      <c r="AY274" s="35">
        <v>0.16094</v>
      </c>
      <c r="BA274" s="30">
        <v>5.8</v>
      </c>
      <c r="BB274" s="35">
        <v>0.16352</v>
      </c>
      <c r="BD274" s="37">
        <v>708</v>
      </c>
      <c r="BE274" s="39">
        <v>68.31</v>
      </c>
      <c r="BF274" s="1995"/>
      <c r="BL274" s="37">
        <v>708</v>
      </c>
      <c r="BM274" s="2059">
        <v>1.4147000000000001</v>
      </c>
      <c r="BO274" s="40">
        <v>708</v>
      </c>
      <c r="BP274" s="41">
        <v>0.69569999999999999</v>
      </c>
    </row>
    <row r="275" spans="27:68">
      <c r="AA275" s="1994"/>
      <c r="AR275" s="30">
        <v>5.9</v>
      </c>
      <c r="AS275" s="32">
        <v>1029.2</v>
      </c>
      <c r="AX275" s="30">
        <v>5.9</v>
      </c>
      <c r="AY275" s="35">
        <v>0.16081999999999999</v>
      </c>
      <c r="BA275" s="30">
        <v>5.9</v>
      </c>
      <c r="BB275" s="35">
        <v>0.16339999999999999</v>
      </c>
      <c r="BD275" s="37">
        <v>709</v>
      </c>
      <c r="BE275" s="39">
        <v>68.02</v>
      </c>
      <c r="BF275" s="1995"/>
      <c r="BL275" s="37">
        <v>709</v>
      </c>
      <c r="BM275" s="2059">
        <v>1.4127000000000001</v>
      </c>
      <c r="BO275" s="40">
        <v>709</v>
      </c>
      <c r="BP275" s="41">
        <v>0.69669999999999999</v>
      </c>
    </row>
    <row r="276" spans="27:68">
      <c r="AA276" s="1994"/>
      <c r="AR276" s="30">
        <v>6</v>
      </c>
      <c r="AS276" s="32">
        <v>1028.4000000000001</v>
      </c>
      <c r="AX276" s="30">
        <v>6</v>
      </c>
      <c r="AY276" s="35">
        <v>0.16070000000000001</v>
      </c>
      <c r="BA276" s="30">
        <v>6</v>
      </c>
      <c r="BB276" s="35">
        <v>0.16328000000000001</v>
      </c>
      <c r="BD276" s="37">
        <v>710</v>
      </c>
      <c r="BE276" s="39">
        <v>67.739999999999995</v>
      </c>
      <c r="BF276" s="1995"/>
      <c r="BL276" s="37">
        <v>710</v>
      </c>
      <c r="BM276" s="2059">
        <v>1.4107000000000001</v>
      </c>
      <c r="BO276" s="40">
        <v>710</v>
      </c>
      <c r="BP276" s="41">
        <v>0.69769999999999999</v>
      </c>
    </row>
    <row r="277" spans="27:68">
      <c r="AA277" s="1994"/>
      <c r="AR277" s="30">
        <v>6.1</v>
      </c>
      <c r="AS277" s="32">
        <v>1027.7</v>
      </c>
      <c r="AX277" s="30">
        <v>6.1</v>
      </c>
      <c r="AY277" s="35">
        <v>0.16059000000000001</v>
      </c>
      <c r="BA277" s="30">
        <v>6.1</v>
      </c>
      <c r="BB277" s="35">
        <v>0.16316</v>
      </c>
      <c r="BD277" s="37">
        <v>711</v>
      </c>
      <c r="BE277" s="39">
        <v>67.459999999999994</v>
      </c>
      <c r="BF277" s="1995"/>
      <c r="BL277" s="37">
        <v>711</v>
      </c>
      <c r="BM277" s="2059">
        <v>1.4087000000000001</v>
      </c>
      <c r="BO277" s="40">
        <v>711</v>
      </c>
      <c r="BP277" s="41">
        <v>0.69869999999999999</v>
      </c>
    </row>
    <row r="278" spans="27:68">
      <c r="AA278" s="1994"/>
      <c r="AR278" s="30">
        <v>6.2</v>
      </c>
      <c r="AS278" s="32">
        <v>1027</v>
      </c>
      <c r="AX278" s="30">
        <v>6.2</v>
      </c>
      <c r="AY278" s="35">
        <v>0.16047</v>
      </c>
      <c r="BA278" s="30">
        <v>6.2</v>
      </c>
      <c r="BB278" s="35">
        <v>0.16303999999999999</v>
      </c>
      <c r="BD278" s="37">
        <v>712</v>
      </c>
      <c r="BE278" s="39">
        <v>67.180000000000007</v>
      </c>
      <c r="BF278" s="1995"/>
      <c r="BL278" s="37">
        <v>712</v>
      </c>
      <c r="BM278" s="2059">
        <v>1.4067000000000001</v>
      </c>
      <c r="BO278" s="40">
        <v>712</v>
      </c>
      <c r="BP278" s="41">
        <v>0.69969999999999999</v>
      </c>
    </row>
    <row r="279" spans="27:68">
      <c r="AA279" s="1994"/>
      <c r="AR279" s="30">
        <v>6.3</v>
      </c>
      <c r="AS279" s="32">
        <v>1026.2</v>
      </c>
      <c r="AX279" s="30">
        <v>6.3</v>
      </c>
      <c r="AY279" s="35">
        <v>0.16034999999999999</v>
      </c>
      <c r="BA279" s="30">
        <v>6.3</v>
      </c>
      <c r="BB279" s="35">
        <v>0.16292999999999999</v>
      </c>
      <c r="BD279" s="37">
        <v>713</v>
      </c>
      <c r="BE279" s="39">
        <v>66.900000000000006</v>
      </c>
      <c r="BF279" s="1995"/>
      <c r="BL279" s="37">
        <v>713</v>
      </c>
      <c r="BM279" s="2059">
        <v>1.4047000000000001</v>
      </c>
      <c r="BO279" s="40">
        <v>713</v>
      </c>
      <c r="BP279" s="41">
        <v>0.7006</v>
      </c>
    </row>
    <row r="280" spans="27:68">
      <c r="AA280" s="1994"/>
      <c r="AR280" s="30">
        <v>6.4</v>
      </c>
      <c r="AS280" s="32">
        <v>1025.5</v>
      </c>
      <c r="AX280" s="30">
        <v>6.4</v>
      </c>
      <c r="AY280" s="35">
        <v>0.16023999999999999</v>
      </c>
      <c r="BA280" s="30">
        <v>6.4</v>
      </c>
      <c r="BB280" s="35">
        <v>0.16281000000000001</v>
      </c>
      <c r="BD280" s="37">
        <v>714</v>
      </c>
      <c r="BE280" s="39">
        <v>66.63</v>
      </c>
      <c r="BF280" s="1995"/>
      <c r="BL280" s="37">
        <v>714</v>
      </c>
      <c r="BM280" s="2059">
        <v>1.4027000000000001</v>
      </c>
      <c r="BO280" s="40">
        <v>714</v>
      </c>
      <c r="BP280" s="41">
        <v>0.7016</v>
      </c>
    </row>
    <row r="281" spans="27:68">
      <c r="AA281" s="1994"/>
      <c r="AR281" s="30">
        <v>6.5</v>
      </c>
      <c r="AS281" s="32">
        <v>1024.7</v>
      </c>
      <c r="AX281" s="30">
        <v>6.5</v>
      </c>
      <c r="AY281" s="35">
        <v>0.16012000000000001</v>
      </c>
      <c r="BA281" s="30">
        <v>6.5</v>
      </c>
      <c r="BB281" s="35">
        <v>0.16269</v>
      </c>
      <c r="BD281" s="37">
        <v>715</v>
      </c>
      <c r="BE281" s="39">
        <v>66.349999999999994</v>
      </c>
      <c r="BF281" s="1995"/>
      <c r="BL281" s="37">
        <v>715</v>
      </c>
      <c r="BM281" s="2059">
        <v>1.4008</v>
      </c>
      <c r="BO281" s="40">
        <v>715</v>
      </c>
      <c r="BP281" s="41">
        <v>0.7026</v>
      </c>
    </row>
    <row r="282" spans="27:68">
      <c r="AA282" s="1994"/>
      <c r="AR282" s="30">
        <v>6.6</v>
      </c>
      <c r="AS282" s="32">
        <v>1024</v>
      </c>
      <c r="AX282" s="30">
        <v>6.6</v>
      </c>
      <c r="AY282" s="35">
        <v>0.16</v>
      </c>
      <c r="BA282" s="30">
        <v>6.6</v>
      </c>
      <c r="BB282" s="35">
        <v>0.16256999999999999</v>
      </c>
      <c r="BD282" s="37">
        <v>716</v>
      </c>
      <c r="BE282" s="39">
        <v>66.069999999999993</v>
      </c>
      <c r="BF282" s="1995"/>
      <c r="BL282" s="37">
        <v>716</v>
      </c>
      <c r="BM282" s="2059">
        <v>1.3988</v>
      </c>
      <c r="BO282" s="40">
        <v>716</v>
      </c>
      <c r="BP282" s="41">
        <v>0.7036</v>
      </c>
    </row>
    <row r="283" spans="27:68">
      <c r="AA283" s="1994"/>
      <c r="AR283" s="30">
        <v>6.7</v>
      </c>
      <c r="AS283" s="32">
        <v>1023.2</v>
      </c>
      <c r="AX283" s="30">
        <v>6.7</v>
      </c>
      <c r="AY283" s="35">
        <v>0.15989</v>
      </c>
      <c r="BA283" s="30">
        <v>6.7</v>
      </c>
      <c r="BB283" s="35">
        <v>0.16245000000000001</v>
      </c>
      <c r="BD283" s="37">
        <v>717</v>
      </c>
      <c r="BE283" s="39">
        <v>65.8</v>
      </c>
      <c r="BF283" s="1995"/>
      <c r="BL283" s="37">
        <v>717</v>
      </c>
      <c r="BM283" s="2059">
        <v>1.3969</v>
      </c>
      <c r="BO283" s="40">
        <v>717</v>
      </c>
      <c r="BP283" s="41">
        <v>0.7046</v>
      </c>
    </row>
    <row r="284" spans="27:68">
      <c r="AA284" s="1994"/>
      <c r="AR284" s="30">
        <v>6.8</v>
      </c>
      <c r="AS284" s="32">
        <v>1022.5</v>
      </c>
      <c r="AX284" s="30">
        <v>6.8</v>
      </c>
      <c r="AY284" s="35">
        <v>0.15977</v>
      </c>
      <c r="BA284" s="30">
        <v>6.8</v>
      </c>
      <c r="BB284" s="35">
        <v>0.16234000000000001</v>
      </c>
      <c r="BD284" s="37">
        <v>718</v>
      </c>
      <c r="BE284" s="39">
        <v>65.52</v>
      </c>
      <c r="BF284" s="1995"/>
      <c r="BL284" s="37">
        <v>718</v>
      </c>
      <c r="BM284" s="2059">
        <v>1.3949</v>
      </c>
      <c r="BO284" s="40">
        <v>718</v>
      </c>
      <c r="BP284" s="41">
        <v>0.7056</v>
      </c>
    </row>
    <row r="285" spans="27:68">
      <c r="AA285" s="1994"/>
      <c r="AR285" s="30">
        <v>6.9</v>
      </c>
      <c r="AS285" s="32">
        <v>1021.8</v>
      </c>
      <c r="AX285" s="30">
        <v>6.9</v>
      </c>
      <c r="AY285" s="35">
        <v>0.15966</v>
      </c>
      <c r="BA285" s="30">
        <v>6.9</v>
      </c>
      <c r="BB285" s="35">
        <v>0.16222</v>
      </c>
      <c r="BD285" s="37">
        <v>719</v>
      </c>
      <c r="BE285" s="39">
        <v>65.25</v>
      </c>
      <c r="BF285" s="1995"/>
      <c r="BL285" s="37">
        <v>719</v>
      </c>
      <c r="BM285" s="2059">
        <v>1.393</v>
      </c>
      <c r="BO285" s="40">
        <v>719</v>
      </c>
      <c r="BP285" s="41">
        <v>0.70660000000000001</v>
      </c>
    </row>
    <row r="286" spans="27:68">
      <c r="AA286" s="1994"/>
      <c r="AR286" s="30">
        <v>7</v>
      </c>
      <c r="AS286" s="32">
        <v>1021</v>
      </c>
      <c r="AX286" s="30">
        <v>7</v>
      </c>
      <c r="AY286" s="35">
        <v>0.15953999999999999</v>
      </c>
      <c r="BA286" s="30">
        <v>7</v>
      </c>
      <c r="BB286" s="35">
        <v>0.16209999999999999</v>
      </c>
      <c r="BD286" s="37">
        <v>720</v>
      </c>
      <c r="BE286" s="39">
        <v>64.97</v>
      </c>
      <c r="BF286" s="1995"/>
      <c r="BL286" s="37">
        <v>720</v>
      </c>
      <c r="BM286" s="2059">
        <v>1.391</v>
      </c>
      <c r="BO286" s="40">
        <v>720</v>
      </c>
      <c r="BP286" s="41">
        <v>0.70750000000000002</v>
      </c>
    </row>
    <row r="287" spans="27:68">
      <c r="AA287" s="1994"/>
      <c r="AR287" s="30">
        <v>7.1</v>
      </c>
      <c r="AS287" s="32">
        <v>1020.3</v>
      </c>
      <c r="AX287" s="30">
        <v>7.1</v>
      </c>
      <c r="AY287" s="35">
        <v>0.15942999999999999</v>
      </c>
      <c r="BA287" s="30">
        <v>7.1</v>
      </c>
      <c r="BB287" s="35">
        <v>0.16198000000000001</v>
      </c>
      <c r="BD287" s="37">
        <v>721</v>
      </c>
      <c r="BE287" s="39">
        <v>64.7</v>
      </c>
      <c r="BF287" s="1995"/>
      <c r="BL287" s="37">
        <v>721</v>
      </c>
      <c r="BM287" s="2059">
        <v>1.3891</v>
      </c>
      <c r="BO287" s="40">
        <v>721</v>
      </c>
      <c r="BP287" s="41">
        <v>0.70850000000000002</v>
      </c>
    </row>
    <row r="288" spans="27:68">
      <c r="AA288" s="1994"/>
      <c r="AR288" s="30">
        <v>7.2</v>
      </c>
      <c r="AS288" s="32">
        <v>1019.6</v>
      </c>
      <c r="AX288" s="30">
        <v>7.2</v>
      </c>
      <c r="AY288" s="35">
        <v>0.15931000000000001</v>
      </c>
      <c r="BA288" s="30">
        <v>7.2</v>
      </c>
      <c r="BB288" s="35">
        <v>0.16187000000000001</v>
      </c>
      <c r="BD288" s="37">
        <v>722</v>
      </c>
      <c r="BE288" s="39">
        <v>64.430000000000007</v>
      </c>
      <c r="BF288" s="1995"/>
      <c r="BL288" s="37">
        <v>722</v>
      </c>
      <c r="BM288" s="2059">
        <v>1.3872</v>
      </c>
      <c r="BO288" s="40">
        <v>722</v>
      </c>
      <c r="BP288" s="41">
        <v>0.70950000000000002</v>
      </c>
    </row>
    <row r="289" spans="27:68">
      <c r="AA289" s="1994"/>
      <c r="AR289" s="30">
        <v>7.3</v>
      </c>
      <c r="AS289" s="32">
        <v>1018.8</v>
      </c>
      <c r="AX289" s="30">
        <v>7.3</v>
      </c>
      <c r="AY289" s="35">
        <v>0.15920000000000001</v>
      </c>
      <c r="BA289" s="30">
        <v>7.3</v>
      </c>
      <c r="BB289" s="35">
        <v>0.16175</v>
      </c>
      <c r="BD289" s="37">
        <v>723</v>
      </c>
      <c r="BE289" s="39">
        <v>64.16</v>
      </c>
      <c r="BF289" s="1995"/>
      <c r="BL289" s="37">
        <v>723</v>
      </c>
      <c r="BM289" s="2059">
        <v>1.3853</v>
      </c>
      <c r="BO289" s="40">
        <v>723</v>
      </c>
      <c r="BP289" s="41">
        <v>0.71050000000000002</v>
      </c>
    </row>
    <row r="290" spans="27:68">
      <c r="AA290" s="1994"/>
      <c r="AR290" s="30">
        <v>7.4</v>
      </c>
      <c r="AS290" s="32">
        <v>1018.1</v>
      </c>
      <c r="AX290" s="30">
        <v>7.4</v>
      </c>
      <c r="AY290" s="35">
        <v>0.15908</v>
      </c>
      <c r="BA290" s="30">
        <v>7.4</v>
      </c>
      <c r="BB290" s="35">
        <v>0.16163</v>
      </c>
      <c r="BD290" s="37">
        <v>724</v>
      </c>
      <c r="BE290" s="39">
        <v>63.89</v>
      </c>
      <c r="BF290" s="1995"/>
      <c r="BL290" s="37">
        <v>724</v>
      </c>
      <c r="BM290" s="2059">
        <v>1.3833</v>
      </c>
      <c r="BO290" s="40">
        <v>724</v>
      </c>
      <c r="BP290" s="41">
        <v>0.71150000000000002</v>
      </c>
    </row>
    <row r="291" spans="27:68">
      <c r="AA291" s="1994"/>
      <c r="AR291" s="30">
        <v>7.5</v>
      </c>
      <c r="AS291" s="32">
        <v>1017.4</v>
      </c>
      <c r="AX291" s="30">
        <v>7.5</v>
      </c>
      <c r="AY291" s="35">
        <v>0.15897</v>
      </c>
      <c r="BA291" s="30">
        <v>7.5</v>
      </c>
      <c r="BB291" s="35">
        <v>0.16152</v>
      </c>
      <c r="BD291" s="37">
        <v>725</v>
      </c>
      <c r="BE291" s="39">
        <v>63.62</v>
      </c>
      <c r="BF291" s="1995"/>
      <c r="BL291" s="37">
        <v>725</v>
      </c>
      <c r="BM291" s="2059">
        <v>1.3814</v>
      </c>
      <c r="BO291" s="40">
        <v>725</v>
      </c>
      <c r="BP291" s="41">
        <v>0.71250000000000002</v>
      </c>
    </row>
    <row r="292" spans="27:68">
      <c r="AA292" s="1994"/>
      <c r="AR292" s="30">
        <v>7.6</v>
      </c>
      <c r="AS292" s="32">
        <v>1016.6</v>
      </c>
      <c r="AX292" s="30">
        <v>7.6</v>
      </c>
      <c r="AY292" s="35">
        <v>0.15884999999999999</v>
      </c>
      <c r="BA292" s="30">
        <v>7.6</v>
      </c>
      <c r="BB292" s="35">
        <v>0.16139999999999999</v>
      </c>
      <c r="BD292" s="37">
        <v>726</v>
      </c>
      <c r="BE292" s="39">
        <v>63.35</v>
      </c>
      <c r="BF292" s="1995"/>
      <c r="BL292" s="37">
        <v>726</v>
      </c>
      <c r="BM292" s="2059">
        <v>1.3794999999999999</v>
      </c>
      <c r="BO292" s="40">
        <v>726</v>
      </c>
      <c r="BP292" s="41">
        <v>0.71340000000000003</v>
      </c>
    </row>
    <row r="293" spans="27:68">
      <c r="AA293" s="1994"/>
      <c r="AR293" s="30">
        <v>7.7</v>
      </c>
      <c r="AS293" s="32">
        <v>1015.9</v>
      </c>
      <c r="AX293" s="30">
        <v>7.7</v>
      </c>
      <c r="AY293" s="35">
        <v>0.15873999999999999</v>
      </c>
      <c r="BA293" s="30">
        <v>7.7</v>
      </c>
      <c r="BB293" s="35">
        <v>0.16128000000000001</v>
      </c>
      <c r="BD293" s="37">
        <v>727</v>
      </c>
      <c r="BE293" s="39">
        <v>63.08</v>
      </c>
      <c r="BF293" s="1995"/>
      <c r="BL293" s="37">
        <v>727</v>
      </c>
      <c r="BM293" s="2059">
        <v>1.3775999999999999</v>
      </c>
      <c r="BO293" s="40">
        <v>727</v>
      </c>
      <c r="BP293" s="41">
        <v>0.71440000000000003</v>
      </c>
    </row>
    <row r="294" spans="27:68">
      <c r="AA294" s="1994"/>
      <c r="AR294" s="30">
        <v>7.8</v>
      </c>
      <c r="AS294" s="32">
        <v>1015.2</v>
      </c>
      <c r="AX294" s="30">
        <v>7.8</v>
      </c>
      <c r="AY294" s="35">
        <v>0.15862000000000001</v>
      </c>
      <c r="BA294" s="30">
        <v>7.8</v>
      </c>
      <c r="BB294" s="35">
        <v>0.16117000000000001</v>
      </c>
      <c r="BD294" s="37">
        <v>728</v>
      </c>
      <c r="BE294" s="39">
        <v>62.81</v>
      </c>
      <c r="BF294" s="1995"/>
      <c r="BL294" s="37">
        <v>728</v>
      </c>
      <c r="BM294" s="2059">
        <v>1.3756999999999999</v>
      </c>
      <c r="BO294" s="40">
        <v>728</v>
      </c>
      <c r="BP294" s="41">
        <v>0.71540000000000004</v>
      </c>
    </row>
    <row r="295" spans="27:68">
      <c r="AA295" s="1994"/>
      <c r="AR295" s="30">
        <v>7.9</v>
      </c>
      <c r="AS295" s="32">
        <v>1014.4</v>
      </c>
      <c r="AX295" s="30">
        <v>7.9</v>
      </c>
      <c r="AY295" s="35">
        <v>0.15851000000000001</v>
      </c>
      <c r="BA295" s="30">
        <v>7.9</v>
      </c>
      <c r="BB295" s="35">
        <v>0.16105</v>
      </c>
      <c r="BD295" s="37">
        <v>729</v>
      </c>
      <c r="BE295" s="39">
        <v>62.54</v>
      </c>
      <c r="BF295" s="1995"/>
      <c r="BL295" s="37">
        <v>729</v>
      </c>
      <c r="BM295" s="2059">
        <v>1.3737999999999999</v>
      </c>
      <c r="BO295" s="40">
        <v>729</v>
      </c>
      <c r="BP295" s="41">
        <v>0.71640000000000004</v>
      </c>
    </row>
    <row r="296" spans="27:68">
      <c r="AA296" s="1994"/>
      <c r="AR296" s="30">
        <v>8</v>
      </c>
      <c r="AS296" s="32">
        <v>1013.7</v>
      </c>
      <c r="AX296" s="30">
        <v>8</v>
      </c>
      <c r="AY296" s="35">
        <v>0.15840000000000001</v>
      </c>
      <c r="BA296" s="30">
        <v>8</v>
      </c>
      <c r="BB296" s="35">
        <v>0.16094</v>
      </c>
      <c r="BD296" s="37">
        <v>730</v>
      </c>
      <c r="BE296" s="39">
        <v>62.28</v>
      </c>
      <c r="BF296" s="1995"/>
      <c r="BL296" s="37">
        <v>730</v>
      </c>
      <c r="BM296" s="2059">
        <v>1.3718999999999999</v>
      </c>
      <c r="BO296" s="40">
        <v>730</v>
      </c>
      <c r="BP296" s="41">
        <v>0.71740000000000004</v>
      </c>
    </row>
    <row r="297" spans="27:68">
      <c r="AA297" s="1994"/>
      <c r="AR297" s="30">
        <v>8.1</v>
      </c>
      <c r="AS297" s="32">
        <v>1013</v>
      </c>
      <c r="AX297" s="30">
        <v>8.1</v>
      </c>
      <c r="AY297" s="35">
        <v>0.15828</v>
      </c>
      <c r="BA297" s="30">
        <v>8.1</v>
      </c>
      <c r="BB297" s="35">
        <v>0.16081999999999999</v>
      </c>
      <c r="BD297" s="37">
        <v>731</v>
      </c>
      <c r="BE297" s="39">
        <v>62.01</v>
      </c>
      <c r="BF297" s="1995"/>
      <c r="BL297" s="37">
        <v>731</v>
      </c>
      <c r="BM297" s="2059">
        <v>1.3701000000000001</v>
      </c>
      <c r="BO297" s="40">
        <v>731</v>
      </c>
      <c r="BP297" s="41">
        <v>0.71840000000000004</v>
      </c>
    </row>
    <row r="298" spans="27:68">
      <c r="AA298" s="1994"/>
      <c r="AR298" s="30">
        <v>8.1999999999999993</v>
      </c>
      <c r="AS298" s="32">
        <v>1012.3</v>
      </c>
      <c r="AX298" s="30">
        <v>8.1999999999999993</v>
      </c>
      <c r="AY298" s="35">
        <v>0.15817000000000001</v>
      </c>
      <c r="BA298" s="30">
        <v>8.1999999999999993</v>
      </c>
      <c r="BB298" s="35">
        <v>0.16070999999999999</v>
      </c>
      <c r="BD298" s="37">
        <v>732</v>
      </c>
      <c r="BE298" s="39">
        <v>61.75</v>
      </c>
      <c r="BF298" s="1995"/>
      <c r="BL298" s="37">
        <v>732</v>
      </c>
      <c r="BM298" s="2059">
        <v>1.3682000000000001</v>
      </c>
      <c r="BO298" s="40">
        <v>732</v>
      </c>
      <c r="BP298" s="41">
        <v>0.71930000000000005</v>
      </c>
    </row>
    <row r="299" spans="27:68">
      <c r="AA299" s="1994"/>
      <c r="AR299" s="30">
        <v>8.3000000000000007</v>
      </c>
      <c r="AS299" s="32">
        <v>1011.5</v>
      </c>
      <c r="AX299" s="30">
        <v>8.3000000000000007</v>
      </c>
      <c r="AY299" s="35">
        <v>0.15806000000000001</v>
      </c>
      <c r="BA299" s="30">
        <v>8.3000000000000007</v>
      </c>
      <c r="BB299" s="35">
        <v>0.16059000000000001</v>
      </c>
      <c r="BD299" s="37">
        <v>733</v>
      </c>
      <c r="BE299" s="39">
        <v>61.48</v>
      </c>
      <c r="BF299" s="1995"/>
      <c r="BL299" s="37">
        <v>733</v>
      </c>
      <c r="BM299" s="2059">
        <v>1.3663000000000001</v>
      </c>
      <c r="BO299" s="40">
        <v>733</v>
      </c>
      <c r="BP299" s="41">
        <v>0.72030000000000005</v>
      </c>
    </row>
    <row r="300" spans="27:68">
      <c r="AA300" s="1994"/>
      <c r="AR300" s="30">
        <v>8.4</v>
      </c>
      <c r="AS300" s="32">
        <v>1010.8</v>
      </c>
      <c r="AX300" s="30">
        <v>8.4</v>
      </c>
      <c r="AY300" s="35">
        <v>0.15794</v>
      </c>
      <c r="BA300" s="30">
        <v>8.4</v>
      </c>
      <c r="BB300" s="35">
        <v>0.16048000000000001</v>
      </c>
      <c r="BD300" s="37">
        <v>734</v>
      </c>
      <c r="BE300" s="39">
        <v>61.22</v>
      </c>
      <c r="BF300" s="1995"/>
      <c r="BL300" s="37">
        <v>734</v>
      </c>
      <c r="BM300" s="2059">
        <v>1.3645</v>
      </c>
      <c r="BO300" s="40">
        <v>734</v>
      </c>
      <c r="BP300" s="41">
        <v>0.72130000000000005</v>
      </c>
    </row>
    <row r="301" spans="27:68">
      <c r="AA301" s="1994"/>
      <c r="AR301" s="30">
        <v>8.5</v>
      </c>
      <c r="AS301" s="32">
        <v>1010.1</v>
      </c>
      <c r="AX301" s="30">
        <v>8.5</v>
      </c>
      <c r="AY301" s="35">
        <v>0.15783</v>
      </c>
      <c r="BA301" s="30">
        <v>8.5</v>
      </c>
      <c r="BB301" s="35">
        <v>0.16036</v>
      </c>
      <c r="BD301" s="37">
        <v>735</v>
      </c>
      <c r="BE301" s="39">
        <v>60.96</v>
      </c>
      <c r="BF301" s="1995"/>
      <c r="BL301" s="37">
        <v>735</v>
      </c>
      <c r="BM301" s="2059">
        <v>1.3626</v>
      </c>
      <c r="BO301" s="40">
        <v>735</v>
      </c>
      <c r="BP301" s="41">
        <v>0.72230000000000005</v>
      </c>
    </row>
    <row r="302" spans="27:68">
      <c r="AA302" s="1994"/>
      <c r="AR302" s="30">
        <v>8.6</v>
      </c>
      <c r="AS302" s="32">
        <v>1009.4</v>
      </c>
      <c r="AX302" s="30">
        <v>8.6</v>
      </c>
      <c r="AY302" s="35">
        <v>0.15772</v>
      </c>
      <c r="BA302" s="30">
        <v>8.6</v>
      </c>
      <c r="BB302" s="35">
        <v>0.16025</v>
      </c>
      <c r="BD302" s="37">
        <v>736</v>
      </c>
      <c r="BE302" s="39">
        <v>60.7</v>
      </c>
      <c r="BF302" s="1995"/>
      <c r="BL302" s="37">
        <v>736</v>
      </c>
      <c r="BM302" s="2059">
        <v>1.3607</v>
      </c>
      <c r="BO302" s="40">
        <v>736</v>
      </c>
      <c r="BP302" s="41">
        <v>0.72330000000000005</v>
      </c>
    </row>
    <row r="303" spans="27:68">
      <c r="AA303" s="1994"/>
      <c r="AR303" s="30">
        <v>8.6999999999999993</v>
      </c>
      <c r="AS303" s="32">
        <v>1008.6</v>
      </c>
      <c r="AX303" s="30">
        <v>8.6999999999999993</v>
      </c>
      <c r="AY303" s="35">
        <v>0.15759999999999999</v>
      </c>
      <c r="BA303" s="30">
        <v>8.6999999999999993</v>
      </c>
      <c r="BB303" s="35">
        <v>0.16012999999999999</v>
      </c>
      <c r="BD303" s="37">
        <v>737</v>
      </c>
      <c r="BE303" s="39">
        <v>60.44</v>
      </c>
      <c r="BF303" s="1995"/>
      <c r="BL303" s="37">
        <v>737</v>
      </c>
      <c r="BM303" s="2059">
        <v>1.3589</v>
      </c>
      <c r="BO303" s="40">
        <v>737</v>
      </c>
      <c r="BP303" s="41">
        <v>0.72430000000000005</v>
      </c>
    </row>
    <row r="304" spans="27:68">
      <c r="AA304" s="1994"/>
      <c r="AR304" s="30">
        <v>8.8000000000000007</v>
      </c>
      <c r="AS304" s="32">
        <v>1007.9</v>
      </c>
      <c r="AX304" s="30">
        <v>8.8000000000000007</v>
      </c>
      <c r="AY304" s="35">
        <v>0.15748999999999999</v>
      </c>
      <c r="BA304" s="30">
        <v>8.8000000000000007</v>
      </c>
      <c r="BB304" s="35">
        <v>0.16002</v>
      </c>
      <c r="BD304" s="37">
        <v>738</v>
      </c>
      <c r="BE304" s="39">
        <v>60.18</v>
      </c>
      <c r="BF304" s="1995"/>
      <c r="BL304" s="37">
        <v>738</v>
      </c>
      <c r="BM304" s="2059">
        <v>1.3571</v>
      </c>
      <c r="BO304" s="40">
        <v>738</v>
      </c>
      <c r="BP304" s="41">
        <v>0.72530000000000006</v>
      </c>
    </row>
    <row r="305" spans="27:68">
      <c r="AA305" s="1994"/>
      <c r="AR305" s="30">
        <v>8.9</v>
      </c>
      <c r="AS305" s="32">
        <v>1007.2</v>
      </c>
      <c r="AX305" s="30">
        <v>8.9</v>
      </c>
      <c r="AY305" s="35">
        <v>0.15737999999999999</v>
      </c>
      <c r="BA305" s="30">
        <v>8.9</v>
      </c>
      <c r="BB305" s="35">
        <v>0.15989999999999999</v>
      </c>
      <c r="BD305" s="37">
        <v>739</v>
      </c>
      <c r="BE305" s="39">
        <v>59.92</v>
      </c>
      <c r="BF305" s="1995"/>
      <c r="BL305" s="37">
        <v>739</v>
      </c>
      <c r="BM305" s="2059">
        <v>1.3552</v>
      </c>
      <c r="BO305" s="40">
        <v>739</v>
      </c>
      <c r="BP305" s="41">
        <v>0.72619999999999996</v>
      </c>
    </row>
    <row r="306" spans="27:68">
      <c r="AA306" s="1994"/>
      <c r="AR306" s="30">
        <v>9</v>
      </c>
      <c r="AS306" s="32">
        <v>1006.5</v>
      </c>
      <c r="AX306" s="30">
        <v>9</v>
      </c>
      <c r="AY306" s="35">
        <v>0.15726999999999999</v>
      </c>
      <c r="BA306" s="30">
        <v>9</v>
      </c>
      <c r="BB306" s="35">
        <v>0.15978999999999999</v>
      </c>
      <c r="BD306" s="37">
        <v>740</v>
      </c>
      <c r="BE306" s="39">
        <v>59.66</v>
      </c>
      <c r="BF306" s="1995"/>
      <c r="BL306" s="37">
        <v>740</v>
      </c>
      <c r="BM306" s="2059">
        <v>1.3533999999999999</v>
      </c>
      <c r="BO306" s="40">
        <v>740</v>
      </c>
      <c r="BP306" s="41">
        <v>0.72719999999999996</v>
      </c>
    </row>
    <row r="307" spans="27:68">
      <c r="AA307" s="1994"/>
      <c r="AR307" s="30">
        <v>9.1</v>
      </c>
      <c r="AS307" s="32">
        <v>1005.8</v>
      </c>
      <c r="AX307" s="30">
        <v>9.1</v>
      </c>
      <c r="AY307" s="35">
        <v>0.15715000000000001</v>
      </c>
      <c r="BA307" s="30">
        <v>9.1</v>
      </c>
      <c r="BB307" s="35">
        <v>0.15967999999999999</v>
      </c>
      <c r="BD307" s="37">
        <v>741</v>
      </c>
      <c r="BE307" s="39">
        <v>59.4</v>
      </c>
      <c r="BF307" s="1995"/>
      <c r="BL307" s="37">
        <v>741</v>
      </c>
      <c r="BM307" s="2059">
        <v>1.3514999999999999</v>
      </c>
      <c r="BO307" s="40">
        <v>741</v>
      </c>
      <c r="BP307" s="41">
        <v>0.72819999999999996</v>
      </c>
    </row>
    <row r="308" spans="27:68">
      <c r="AA308" s="1994"/>
      <c r="AR308" s="30">
        <v>9.1999999999999993</v>
      </c>
      <c r="AS308" s="32">
        <v>1005.1</v>
      </c>
      <c r="AX308" s="30">
        <v>9.1999999999999993</v>
      </c>
      <c r="AY308" s="35">
        <v>0.15704000000000001</v>
      </c>
      <c r="BA308" s="30">
        <v>9.1999999999999993</v>
      </c>
      <c r="BB308" s="35">
        <v>0.15956000000000001</v>
      </c>
      <c r="BD308" s="37">
        <v>742</v>
      </c>
      <c r="BE308" s="39">
        <v>59.14</v>
      </c>
      <c r="BF308" s="1995"/>
      <c r="BL308" s="37">
        <v>742</v>
      </c>
      <c r="BM308" s="2059">
        <v>1.3496999999999999</v>
      </c>
      <c r="BO308" s="40">
        <v>742</v>
      </c>
      <c r="BP308" s="41">
        <v>0.72919999999999996</v>
      </c>
    </row>
    <row r="309" spans="27:68">
      <c r="AA309" s="1994"/>
      <c r="AR309" s="30">
        <v>9.3000000000000007</v>
      </c>
      <c r="AS309" s="32">
        <v>1004.4</v>
      </c>
      <c r="AX309" s="30">
        <v>9.3000000000000007</v>
      </c>
      <c r="AY309" s="35">
        <v>0.15692999999999999</v>
      </c>
      <c r="BA309" s="30">
        <v>9.3000000000000007</v>
      </c>
      <c r="BB309" s="35">
        <v>0.15945000000000001</v>
      </c>
      <c r="BD309" s="37">
        <v>743</v>
      </c>
      <c r="BE309" s="39">
        <v>58.88</v>
      </c>
      <c r="BF309" s="1995"/>
      <c r="BL309" s="37">
        <v>743</v>
      </c>
      <c r="BM309" s="2059">
        <v>1.3479000000000001</v>
      </c>
      <c r="BO309" s="40">
        <v>743</v>
      </c>
      <c r="BP309" s="41">
        <v>0.73019999999999996</v>
      </c>
    </row>
    <row r="310" spans="27:68">
      <c r="AA310" s="1994"/>
      <c r="AR310" s="30">
        <v>9.4</v>
      </c>
      <c r="AS310" s="32">
        <v>1003.6</v>
      </c>
      <c r="AX310" s="30">
        <v>9.4</v>
      </c>
      <c r="AY310" s="35">
        <v>0.15681999999999999</v>
      </c>
      <c r="BA310" s="30">
        <v>9.4</v>
      </c>
      <c r="BB310" s="35">
        <v>0.15934000000000001</v>
      </c>
      <c r="BD310" s="37">
        <v>744</v>
      </c>
      <c r="BE310" s="39">
        <v>58.63</v>
      </c>
      <c r="BF310" s="1995"/>
      <c r="BL310" s="37">
        <v>744</v>
      </c>
      <c r="BM310" s="2059">
        <v>1.3461000000000001</v>
      </c>
      <c r="BO310" s="40">
        <v>744</v>
      </c>
      <c r="BP310" s="41">
        <v>0.73119999999999996</v>
      </c>
    </row>
    <row r="311" spans="27:68">
      <c r="AA311" s="1994"/>
      <c r="AR311" s="30">
        <v>9.5</v>
      </c>
      <c r="AS311" s="32">
        <v>1002.9</v>
      </c>
      <c r="AX311" s="30">
        <v>9.5</v>
      </c>
      <c r="AY311" s="35">
        <v>0.15670999999999993</v>
      </c>
      <c r="BA311" s="30">
        <v>9.5</v>
      </c>
      <c r="BB311" s="35">
        <v>0.15922</v>
      </c>
      <c r="BD311" s="37">
        <v>745</v>
      </c>
      <c r="BE311" s="39">
        <v>58.37</v>
      </c>
      <c r="BF311" s="1995"/>
      <c r="BL311" s="37">
        <v>745</v>
      </c>
      <c r="BM311" s="2059">
        <v>1.3443000000000001</v>
      </c>
      <c r="BO311" s="40">
        <v>745</v>
      </c>
      <c r="BP311" s="41">
        <v>0.73209999999999997</v>
      </c>
    </row>
    <row r="312" spans="27:68">
      <c r="AA312" s="1994"/>
      <c r="AR312" s="30">
        <v>9.6</v>
      </c>
      <c r="AS312" s="32">
        <v>1002.2</v>
      </c>
      <c r="AX312" s="30">
        <v>9.6</v>
      </c>
      <c r="AY312" s="35">
        <v>0.15659999999999991</v>
      </c>
      <c r="BA312" s="30">
        <v>9.6</v>
      </c>
      <c r="BB312" s="35">
        <v>0.15911</v>
      </c>
      <c r="BD312" s="37">
        <v>746</v>
      </c>
      <c r="BE312" s="39">
        <v>58.12</v>
      </c>
      <c r="BF312" s="1995"/>
      <c r="BL312" s="37">
        <v>746</v>
      </c>
      <c r="BM312" s="2059">
        <v>1.3425</v>
      </c>
      <c r="BO312" s="40">
        <v>746</v>
      </c>
      <c r="BP312" s="41">
        <v>0.73309999999999997</v>
      </c>
    </row>
    <row r="313" spans="27:68">
      <c r="AA313" s="1994"/>
      <c r="AR313" s="30">
        <v>9.6999999999999993</v>
      </c>
      <c r="AS313" s="32">
        <v>1001.5</v>
      </c>
      <c r="AX313" s="30">
        <v>9.6999999999999993</v>
      </c>
      <c r="AY313" s="35">
        <v>0.15648999999999988</v>
      </c>
      <c r="BA313" s="30">
        <v>9.6999999999999993</v>
      </c>
      <c r="BB313" s="35">
        <v>0.159</v>
      </c>
      <c r="BD313" s="37">
        <v>747</v>
      </c>
      <c r="BE313" s="39">
        <v>57.86</v>
      </c>
      <c r="BF313" s="1995"/>
      <c r="BL313" s="37">
        <v>747</v>
      </c>
      <c r="BM313" s="2059">
        <v>1.3407</v>
      </c>
      <c r="BO313" s="40">
        <v>747</v>
      </c>
      <c r="BP313" s="41">
        <v>0.73409999999999997</v>
      </c>
    </row>
    <row r="314" spans="27:68">
      <c r="AA314" s="1994"/>
      <c r="AR314" s="30">
        <v>9.8000000000000007</v>
      </c>
      <c r="AS314" s="32">
        <v>1000.8</v>
      </c>
      <c r="AX314" s="30">
        <v>9.8000000000000007</v>
      </c>
      <c r="AY314" s="35">
        <v>0.15637999999999985</v>
      </c>
      <c r="BA314" s="30">
        <v>9.8000000000000007</v>
      </c>
      <c r="BB314" s="35">
        <v>0.15887999999999999</v>
      </c>
      <c r="BD314" s="37">
        <v>748</v>
      </c>
      <c r="BE314" s="39">
        <v>57.61</v>
      </c>
      <c r="BF314" s="1995"/>
      <c r="BL314" s="37">
        <v>748</v>
      </c>
      <c r="BM314" s="2059">
        <v>1.3389</v>
      </c>
      <c r="BO314" s="40">
        <v>748</v>
      </c>
      <c r="BP314" s="41">
        <v>0.73509999999999998</v>
      </c>
    </row>
    <row r="315" spans="27:68">
      <c r="AA315" s="1994"/>
      <c r="AR315" s="30">
        <v>9.9</v>
      </c>
      <c r="AS315" s="32">
        <v>1000.1</v>
      </c>
      <c r="AX315" s="30">
        <v>9.9</v>
      </c>
      <c r="AY315" s="35">
        <v>0.15626000000000001</v>
      </c>
      <c r="BA315" s="30">
        <v>9.9</v>
      </c>
      <c r="BB315" s="35">
        <v>0.15876999999999999</v>
      </c>
      <c r="BD315" s="37">
        <v>749</v>
      </c>
      <c r="BE315" s="39">
        <v>57.36</v>
      </c>
      <c r="BF315" s="1995"/>
      <c r="BL315" s="37">
        <v>749</v>
      </c>
      <c r="BM315" s="2059">
        <v>1.3371</v>
      </c>
      <c r="BO315" s="40">
        <v>749</v>
      </c>
      <c r="BP315" s="41">
        <v>0.73609999999999998</v>
      </c>
    </row>
    <row r="316" spans="27:68">
      <c r="AA316" s="1994"/>
      <c r="AR316" s="30">
        <v>10</v>
      </c>
      <c r="AS316" s="32">
        <v>999.4</v>
      </c>
      <c r="AX316" s="30">
        <v>10</v>
      </c>
      <c r="AY316" s="35">
        <v>0.15615000000000001</v>
      </c>
      <c r="BA316" s="30">
        <v>10</v>
      </c>
      <c r="BB316" s="35">
        <v>0.15866</v>
      </c>
      <c r="BD316" s="37">
        <v>750</v>
      </c>
      <c r="BE316" s="39">
        <v>57.11</v>
      </c>
      <c r="BF316" s="1995"/>
      <c r="BL316" s="37">
        <v>750</v>
      </c>
      <c r="BM316" s="2059">
        <v>1.3352999999999999</v>
      </c>
      <c r="BO316" s="40">
        <v>750</v>
      </c>
      <c r="BP316" s="41">
        <v>0.73709999999999998</v>
      </c>
    </row>
    <row r="317" spans="27:68">
      <c r="AA317" s="1994"/>
      <c r="AR317" s="30">
        <v>10.1</v>
      </c>
      <c r="AS317" s="32">
        <v>998.7</v>
      </c>
      <c r="AX317" s="30">
        <v>10.1</v>
      </c>
      <c r="AY317" s="35">
        <v>0.15604000000000001</v>
      </c>
      <c r="BA317" s="30">
        <v>10.1</v>
      </c>
      <c r="BB317" s="35">
        <v>0.15855</v>
      </c>
      <c r="BD317" s="37">
        <v>751</v>
      </c>
      <c r="BE317" s="39">
        <v>56.85</v>
      </c>
      <c r="BF317" s="1995"/>
      <c r="BL317" s="37">
        <v>751</v>
      </c>
      <c r="BM317" s="2059">
        <v>1.3334999999999999</v>
      </c>
      <c r="BO317" s="40">
        <v>751</v>
      </c>
      <c r="BP317" s="41">
        <v>0.73799999999999999</v>
      </c>
    </row>
    <row r="318" spans="27:68">
      <c r="AA318" s="1994"/>
      <c r="AR318" s="30">
        <v>10.199999999999999</v>
      </c>
      <c r="AS318" s="32">
        <v>998</v>
      </c>
      <c r="AX318" s="30">
        <v>10.199999999999999</v>
      </c>
      <c r="AY318" s="35">
        <v>0.15593000000000001</v>
      </c>
      <c r="BA318" s="30">
        <v>10.199999999999999</v>
      </c>
      <c r="BB318" s="35">
        <v>0.15844</v>
      </c>
      <c r="BD318" s="37">
        <v>752</v>
      </c>
      <c r="BE318" s="39">
        <v>56.6</v>
      </c>
      <c r="BF318" s="1995"/>
      <c r="BL318" s="37">
        <v>752</v>
      </c>
      <c r="BM318" s="2059">
        <v>1.3317000000000001</v>
      </c>
      <c r="BO318" s="40">
        <v>752</v>
      </c>
      <c r="BP318" s="41">
        <v>0.73899999999999999</v>
      </c>
    </row>
    <row r="319" spans="27:68">
      <c r="AA319" s="1994"/>
      <c r="AR319" s="30">
        <v>10.3</v>
      </c>
      <c r="AS319" s="32">
        <v>997.3</v>
      </c>
      <c r="AX319" s="30">
        <v>10.3</v>
      </c>
      <c r="AY319" s="35">
        <v>0.15581999999999999</v>
      </c>
      <c r="BA319" s="30">
        <v>10.3</v>
      </c>
      <c r="BB319" s="35">
        <v>0.15831999999999999</v>
      </c>
      <c r="BD319" s="37">
        <v>753</v>
      </c>
      <c r="BE319" s="39">
        <v>56.35</v>
      </c>
      <c r="BF319" s="1995"/>
      <c r="BL319" s="37">
        <v>753</v>
      </c>
      <c r="BM319" s="2059">
        <v>1.33</v>
      </c>
      <c r="BO319" s="40">
        <v>753</v>
      </c>
      <c r="BP319" s="41">
        <v>0.74</v>
      </c>
    </row>
    <row r="320" spans="27:68">
      <c r="AA320" s="1994"/>
      <c r="AR320" s="30">
        <v>10.4</v>
      </c>
      <c r="AS320" s="32">
        <v>996.6</v>
      </c>
      <c r="AX320" s="30">
        <v>10.4</v>
      </c>
      <c r="AY320" s="35">
        <v>0.15570999999999999</v>
      </c>
      <c r="BA320" s="30">
        <v>10.4</v>
      </c>
      <c r="BB320" s="35">
        <v>0.15820999999999999</v>
      </c>
      <c r="BD320" s="37">
        <v>754</v>
      </c>
      <c r="BE320" s="39">
        <v>56.1</v>
      </c>
      <c r="BF320" s="1995"/>
      <c r="BL320" s="37">
        <v>754</v>
      </c>
      <c r="BM320" s="2059">
        <v>1.3282</v>
      </c>
      <c r="BO320" s="40">
        <v>754</v>
      </c>
      <c r="BP320" s="41">
        <v>0.74099999999999999</v>
      </c>
    </row>
    <row r="321" spans="27:68">
      <c r="AA321" s="1994"/>
      <c r="AR321" s="30">
        <v>10.5</v>
      </c>
      <c r="AS321" s="32">
        <v>995.9</v>
      </c>
      <c r="AX321" s="30">
        <v>10.5</v>
      </c>
      <c r="AY321" s="35">
        <v>0.15559999999999999</v>
      </c>
      <c r="BA321" s="30">
        <v>10.5</v>
      </c>
      <c r="BB321" s="35">
        <v>0.15809999999999999</v>
      </c>
      <c r="BD321" s="37">
        <v>755</v>
      </c>
      <c r="BE321" s="39">
        <v>55.86</v>
      </c>
      <c r="BF321" s="1995"/>
      <c r="BL321" s="37">
        <v>755</v>
      </c>
      <c r="BM321" s="2059">
        <v>1.3264</v>
      </c>
      <c r="BO321" s="40">
        <v>755</v>
      </c>
      <c r="BP321" s="41">
        <v>0.74199999999999999</v>
      </c>
    </row>
    <row r="322" spans="27:68">
      <c r="AA322" s="1994"/>
      <c r="AR322" s="30">
        <v>10.6</v>
      </c>
      <c r="AS322" s="32">
        <v>995.2</v>
      </c>
      <c r="AX322" s="30">
        <v>10.6</v>
      </c>
      <c r="AY322" s="35">
        <v>0.15548999999999999</v>
      </c>
      <c r="BA322" s="30">
        <v>10.6</v>
      </c>
      <c r="BB322" s="35">
        <v>0.15798999999999999</v>
      </c>
      <c r="BD322" s="37">
        <v>756</v>
      </c>
      <c r="BE322" s="39">
        <v>55.61</v>
      </c>
      <c r="BF322" s="1995"/>
      <c r="BL322" s="37">
        <v>756</v>
      </c>
      <c r="BM322" s="2059">
        <v>1.3247</v>
      </c>
      <c r="BO322" s="40">
        <v>756</v>
      </c>
      <c r="BP322" s="41">
        <v>0.74299999999999999</v>
      </c>
    </row>
    <row r="323" spans="27:68">
      <c r="AA323" s="1994"/>
      <c r="AR323" s="30">
        <v>10.7</v>
      </c>
      <c r="AS323" s="32">
        <v>994.5</v>
      </c>
      <c r="AX323" s="30">
        <v>10.7</v>
      </c>
      <c r="AY323" s="35">
        <v>0.15537999999999999</v>
      </c>
      <c r="BA323" s="30">
        <v>10.7</v>
      </c>
      <c r="BB323" s="35">
        <v>0.15787999999999999</v>
      </c>
      <c r="BD323" s="37">
        <v>757</v>
      </c>
      <c r="BE323" s="39">
        <v>55.36</v>
      </c>
      <c r="BF323" s="1995"/>
      <c r="BL323" s="37">
        <v>757</v>
      </c>
      <c r="BM323" s="2059">
        <v>1.3229</v>
      </c>
      <c r="BO323" s="40">
        <v>757</v>
      </c>
      <c r="BP323" s="41">
        <v>0.74399999999999999</v>
      </c>
    </row>
    <row r="324" spans="27:68">
      <c r="AA324" s="1994"/>
      <c r="AR324" s="30">
        <v>10.8</v>
      </c>
      <c r="AS324" s="32">
        <v>993.8</v>
      </c>
      <c r="AX324" s="30">
        <v>10.8</v>
      </c>
      <c r="AY324" s="35">
        <v>0.15526999999999999</v>
      </c>
      <c r="BA324" s="30">
        <v>10.8</v>
      </c>
      <c r="BB324" s="35">
        <v>0.15776999999999999</v>
      </c>
      <c r="BD324" s="37">
        <v>758</v>
      </c>
      <c r="BE324" s="39">
        <v>55.11</v>
      </c>
      <c r="BF324" s="1995"/>
      <c r="BL324" s="37">
        <v>758</v>
      </c>
      <c r="BM324" s="2059">
        <v>1.3211999999999999</v>
      </c>
      <c r="BO324" s="40">
        <v>758</v>
      </c>
      <c r="BP324" s="41">
        <v>0.74490000000000001</v>
      </c>
    </row>
    <row r="325" spans="27:68">
      <c r="AA325" s="1994"/>
      <c r="AR325" s="30">
        <v>10.9</v>
      </c>
      <c r="AS325" s="32">
        <v>993.1</v>
      </c>
      <c r="AX325" s="30">
        <v>10.9</v>
      </c>
      <c r="AY325" s="35">
        <v>0.15517</v>
      </c>
      <c r="BA325" s="30">
        <v>10.9</v>
      </c>
      <c r="BB325" s="35">
        <v>0.15765999999999999</v>
      </c>
      <c r="BD325" s="37">
        <v>759</v>
      </c>
      <c r="BE325" s="39">
        <v>54.87</v>
      </c>
      <c r="BF325" s="1995"/>
      <c r="BL325" s="37">
        <v>759</v>
      </c>
      <c r="BM325" s="2059">
        <v>1.3193999999999999</v>
      </c>
      <c r="BO325" s="40">
        <v>759</v>
      </c>
      <c r="BP325" s="41">
        <v>0.74590000000000001</v>
      </c>
    </row>
    <row r="326" spans="27:68">
      <c r="AA326" s="1994"/>
      <c r="AR326" s="30">
        <v>11</v>
      </c>
      <c r="AS326" s="32">
        <v>992.4</v>
      </c>
      <c r="AX326" s="30">
        <v>11</v>
      </c>
      <c r="AY326" s="35">
        <v>0.15506</v>
      </c>
      <c r="BA326" s="30">
        <v>11</v>
      </c>
      <c r="BB326" s="35">
        <v>0.15754000000000001</v>
      </c>
      <c r="BD326" s="37">
        <v>760</v>
      </c>
      <c r="BE326" s="39">
        <v>54.62</v>
      </c>
      <c r="BF326" s="1995"/>
      <c r="BL326" s="37">
        <v>760</v>
      </c>
      <c r="BM326" s="2059">
        <v>1.3177000000000001</v>
      </c>
      <c r="BO326" s="40">
        <v>760</v>
      </c>
      <c r="BP326" s="41">
        <v>0.74690000000000001</v>
      </c>
    </row>
    <row r="327" spans="27:68">
      <c r="AA327" s="1994"/>
      <c r="AR327" s="30">
        <v>11.1</v>
      </c>
      <c r="AS327" s="32">
        <v>991.7</v>
      </c>
      <c r="AX327" s="30">
        <v>11.1</v>
      </c>
      <c r="AY327" s="35">
        <v>0.15495</v>
      </c>
      <c r="BA327" s="30">
        <v>11.1</v>
      </c>
      <c r="BB327" s="35">
        <v>0.15742999999999999</v>
      </c>
      <c r="BD327" s="37">
        <v>761</v>
      </c>
      <c r="BE327" s="39">
        <v>54.38</v>
      </c>
      <c r="BF327" s="1995"/>
      <c r="BL327" s="37">
        <v>761</v>
      </c>
      <c r="BM327" s="2059">
        <v>1.3160000000000001</v>
      </c>
      <c r="BO327" s="40">
        <v>761</v>
      </c>
      <c r="BP327" s="41">
        <v>0.74790000000000001</v>
      </c>
    </row>
    <row r="328" spans="27:68">
      <c r="AA328" s="1994"/>
      <c r="AR328" s="30">
        <v>11.2</v>
      </c>
      <c r="AS328" s="32">
        <v>991</v>
      </c>
      <c r="AX328" s="30">
        <v>11.2</v>
      </c>
      <c r="AY328" s="35">
        <v>0.15484000000000001</v>
      </c>
      <c r="BA328" s="30">
        <v>11.2</v>
      </c>
      <c r="BB328" s="35">
        <v>0.15731999999999999</v>
      </c>
      <c r="BD328" s="37">
        <v>762</v>
      </c>
      <c r="BE328" s="39">
        <v>54.13</v>
      </c>
      <c r="BF328" s="1995"/>
      <c r="BL328" s="37">
        <v>762</v>
      </c>
      <c r="BM328" s="2059">
        <v>1.3142</v>
      </c>
      <c r="BO328" s="40">
        <v>762</v>
      </c>
      <c r="BP328" s="41">
        <v>0.74890000000000001</v>
      </c>
    </row>
    <row r="329" spans="27:68">
      <c r="AA329" s="1994"/>
      <c r="AR329" s="30">
        <v>11.3</v>
      </c>
      <c r="AS329" s="32">
        <v>990.3</v>
      </c>
      <c r="AX329" s="30">
        <v>11.3</v>
      </c>
      <c r="AY329" s="35">
        <v>0.15473000000000001</v>
      </c>
      <c r="BA329" s="30">
        <v>11.3</v>
      </c>
      <c r="BB329" s="35">
        <v>0.15720999999999999</v>
      </c>
      <c r="BD329" s="37">
        <v>763</v>
      </c>
      <c r="BE329" s="39">
        <v>53.89</v>
      </c>
      <c r="BF329" s="1995"/>
      <c r="BL329" s="37">
        <v>763</v>
      </c>
      <c r="BM329" s="2059">
        <v>1.3125</v>
      </c>
      <c r="BO329" s="40">
        <v>763</v>
      </c>
      <c r="BP329" s="41">
        <v>0.74990000000000001</v>
      </c>
    </row>
    <row r="330" spans="27:68">
      <c r="AA330" s="1994"/>
      <c r="AR330" s="30">
        <v>11.4</v>
      </c>
      <c r="AS330" s="32">
        <v>989.6</v>
      </c>
      <c r="AX330" s="30">
        <v>11.4</v>
      </c>
      <c r="AY330" s="35">
        <v>0.15462000000000001</v>
      </c>
      <c r="BA330" s="30">
        <v>11.4</v>
      </c>
      <c r="BB330" s="35">
        <v>0.15709999999999999</v>
      </c>
      <c r="BD330" s="37">
        <v>764</v>
      </c>
      <c r="BE330" s="39">
        <v>53.65</v>
      </c>
      <c r="BF330" s="1995"/>
      <c r="BL330" s="37">
        <v>764</v>
      </c>
      <c r="BM330" s="2059">
        <v>1.3108</v>
      </c>
      <c r="BO330" s="40">
        <v>764</v>
      </c>
      <c r="BP330" s="41">
        <v>0.75080000000000002</v>
      </c>
    </row>
    <row r="331" spans="27:68">
      <c r="AA331" s="1994"/>
      <c r="AR331" s="30">
        <v>11.5</v>
      </c>
      <c r="AS331" s="32">
        <v>988.9</v>
      </c>
      <c r="AX331" s="30">
        <v>11.5</v>
      </c>
      <c r="AY331" s="35">
        <v>0.15451000000000001</v>
      </c>
      <c r="BA331" s="30">
        <v>11.5</v>
      </c>
      <c r="BB331" s="35">
        <v>0.15698999999999999</v>
      </c>
      <c r="BD331" s="37">
        <v>765</v>
      </c>
      <c r="BE331" s="39">
        <v>53.4</v>
      </c>
      <c r="BF331" s="1995"/>
      <c r="BL331" s="37">
        <v>765</v>
      </c>
      <c r="BM331" s="2059">
        <v>1.3090999999999999</v>
      </c>
      <c r="BO331" s="40">
        <v>765</v>
      </c>
      <c r="BP331" s="41">
        <v>0.75180000000000002</v>
      </c>
    </row>
    <row r="332" spans="27:68">
      <c r="AA332" s="1994"/>
      <c r="AR332" s="30">
        <v>11.6</v>
      </c>
      <c r="AS332" s="32">
        <v>988.2</v>
      </c>
      <c r="AX332" s="30">
        <v>11.6</v>
      </c>
      <c r="AY332" s="35">
        <v>0.15440999999999999</v>
      </c>
      <c r="BA332" s="30">
        <v>11.6</v>
      </c>
      <c r="BB332" s="35">
        <v>0.15687999999999999</v>
      </c>
      <c r="BD332" s="37">
        <v>766</v>
      </c>
      <c r="BE332" s="39">
        <v>53.16</v>
      </c>
      <c r="BF332" s="1995"/>
      <c r="BL332" s="37">
        <v>766</v>
      </c>
      <c r="BM332" s="2059">
        <v>1.3073999999999999</v>
      </c>
      <c r="BO332" s="40">
        <v>766</v>
      </c>
      <c r="BP332" s="41">
        <v>0.75280000000000002</v>
      </c>
    </row>
    <row r="333" spans="27:68">
      <c r="AA333" s="1994"/>
      <c r="AR333" s="30">
        <v>11.7</v>
      </c>
      <c r="AS333" s="32">
        <v>987.5</v>
      </c>
      <c r="AX333" s="30">
        <v>11.7</v>
      </c>
      <c r="AY333" s="35">
        <v>0.15429999999999999</v>
      </c>
      <c r="BA333" s="30">
        <v>11.7</v>
      </c>
      <c r="BB333" s="35">
        <v>0.15676999999999999</v>
      </c>
      <c r="BD333" s="37">
        <v>767</v>
      </c>
      <c r="BE333" s="39">
        <v>52.92</v>
      </c>
      <c r="BF333" s="1995"/>
      <c r="BL333" s="37">
        <v>767</v>
      </c>
      <c r="BM333" s="2059">
        <v>1.3057000000000001</v>
      </c>
      <c r="BO333" s="40">
        <v>767</v>
      </c>
      <c r="BP333" s="41">
        <v>0.75380000000000003</v>
      </c>
    </row>
    <row r="334" spans="27:68">
      <c r="AA334" s="1994"/>
      <c r="AR334" s="30">
        <v>11.8</v>
      </c>
      <c r="AS334" s="32">
        <v>986.8</v>
      </c>
      <c r="AX334" s="30">
        <v>11.8</v>
      </c>
      <c r="AY334" s="35">
        <v>0.15418999999999999</v>
      </c>
      <c r="BA334" s="30">
        <v>11.8</v>
      </c>
      <c r="BB334" s="35">
        <v>0.15665999999999999</v>
      </c>
      <c r="BD334" s="37">
        <v>768</v>
      </c>
      <c r="BE334" s="39">
        <v>52.68</v>
      </c>
      <c r="BF334" s="1995"/>
      <c r="BL334" s="37">
        <v>768</v>
      </c>
      <c r="BM334" s="2059">
        <v>1.304</v>
      </c>
      <c r="BO334" s="40">
        <v>768</v>
      </c>
      <c r="BP334" s="41">
        <v>0.75480000000000003</v>
      </c>
    </row>
    <row r="335" spans="27:68">
      <c r="AA335" s="1994"/>
      <c r="AR335" s="30">
        <v>11.9</v>
      </c>
      <c r="AS335" s="32">
        <v>986.2</v>
      </c>
      <c r="AX335" s="30">
        <v>11.9</v>
      </c>
      <c r="AY335" s="35">
        <v>0.15407999999999999</v>
      </c>
      <c r="BA335" s="30">
        <v>11.9</v>
      </c>
      <c r="BB335" s="35">
        <v>0.15654999999999999</v>
      </c>
      <c r="BD335" s="37">
        <v>769</v>
      </c>
      <c r="BE335" s="39">
        <v>52.44</v>
      </c>
      <c r="BF335" s="1995"/>
      <c r="BL335" s="37">
        <v>769</v>
      </c>
      <c r="BM335" s="2059">
        <v>1.3023</v>
      </c>
      <c r="BO335" s="40">
        <v>769</v>
      </c>
      <c r="BP335" s="41">
        <v>0.75580000000000003</v>
      </c>
    </row>
    <row r="336" spans="27:68">
      <c r="AA336" s="1994"/>
      <c r="AR336" s="30">
        <v>12</v>
      </c>
      <c r="AS336" s="32">
        <v>985.5</v>
      </c>
      <c r="AX336" s="30">
        <v>12</v>
      </c>
      <c r="AY336" s="35">
        <v>0.15397</v>
      </c>
      <c r="BA336" s="30">
        <v>12</v>
      </c>
      <c r="BB336" s="35">
        <v>0.15645000000000001</v>
      </c>
      <c r="BD336" s="37">
        <v>770</v>
      </c>
      <c r="BE336" s="39">
        <v>52.2</v>
      </c>
      <c r="BF336" s="1995"/>
      <c r="BL336" s="37">
        <v>770</v>
      </c>
      <c r="BM336" s="2059">
        <v>1.3006</v>
      </c>
      <c r="BO336" s="40">
        <v>770</v>
      </c>
      <c r="BP336" s="41">
        <v>0.75680000000000003</v>
      </c>
    </row>
    <row r="337" spans="27:68">
      <c r="AA337" s="1994"/>
      <c r="AR337" s="30">
        <v>12.1</v>
      </c>
      <c r="AS337" s="32">
        <v>984.8</v>
      </c>
      <c r="AX337" s="30">
        <v>12.1</v>
      </c>
      <c r="AY337" s="35">
        <v>0.15387000000000001</v>
      </c>
      <c r="BA337" s="30">
        <v>12.1</v>
      </c>
      <c r="BB337" s="35">
        <v>0.15634000000000001</v>
      </c>
      <c r="BD337" s="37">
        <v>771</v>
      </c>
      <c r="BE337" s="39">
        <v>51.96</v>
      </c>
      <c r="BF337" s="1995"/>
      <c r="BL337" s="37">
        <v>771</v>
      </c>
      <c r="BM337" s="2059">
        <v>1.2988999999999999</v>
      </c>
      <c r="BO337" s="40">
        <v>771</v>
      </c>
      <c r="BP337" s="41">
        <v>0.75770000000000004</v>
      </c>
    </row>
    <row r="338" spans="27:68">
      <c r="AA338" s="1994"/>
      <c r="AR338" s="30">
        <v>12.2</v>
      </c>
      <c r="AS338" s="32">
        <v>984.1</v>
      </c>
      <c r="AX338" s="30">
        <v>12.2</v>
      </c>
      <c r="AY338" s="35">
        <v>0.15376000000000001</v>
      </c>
      <c r="BA338" s="30">
        <v>12.2</v>
      </c>
      <c r="BB338" s="35">
        <v>0.15623000000000001</v>
      </c>
      <c r="BD338" s="37">
        <v>772</v>
      </c>
      <c r="BE338" s="39">
        <v>51.72</v>
      </c>
      <c r="BF338" s="1995"/>
      <c r="BL338" s="37">
        <v>772</v>
      </c>
      <c r="BM338" s="2059">
        <v>1.2971999999999999</v>
      </c>
      <c r="BO338" s="40">
        <v>772</v>
      </c>
      <c r="BP338" s="41">
        <v>0.75870000000000004</v>
      </c>
    </row>
    <row r="339" spans="27:68">
      <c r="AA339" s="1994"/>
      <c r="AR339" s="30">
        <v>12.3</v>
      </c>
      <c r="AS339" s="32">
        <v>983.4</v>
      </c>
      <c r="AX339" s="30">
        <v>12.3</v>
      </c>
      <c r="AY339" s="35">
        <v>0.15365000000000001</v>
      </c>
      <c r="BA339" s="30">
        <v>12.3</v>
      </c>
      <c r="BB339" s="35">
        <v>0.15612000000000001</v>
      </c>
      <c r="BD339" s="37">
        <v>773</v>
      </c>
      <c r="BE339" s="39">
        <v>51.49</v>
      </c>
      <c r="BF339" s="1995"/>
      <c r="BL339" s="37">
        <v>773</v>
      </c>
      <c r="BM339" s="2059">
        <v>1.2955000000000001</v>
      </c>
      <c r="BO339" s="40">
        <v>773</v>
      </c>
      <c r="BP339" s="41">
        <v>0.75970000000000004</v>
      </c>
    </row>
    <row r="340" spans="27:68">
      <c r="AA340" s="1994"/>
      <c r="AR340" s="30">
        <v>12.4</v>
      </c>
      <c r="AS340" s="32">
        <v>982.7</v>
      </c>
      <c r="AX340" s="30">
        <v>12.4</v>
      </c>
      <c r="AY340" s="35">
        <v>0.15354999999999999</v>
      </c>
      <c r="BA340" s="30">
        <v>12.4</v>
      </c>
      <c r="BB340" s="35">
        <v>0.15601000000000001</v>
      </c>
      <c r="BD340" s="37">
        <v>774</v>
      </c>
      <c r="BE340" s="39">
        <v>51.25</v>
      </c>
      <c r="BF340" s="1995"/>
      <c r="BL340" s="37">
        <v>774</v>
      </c>
      <c r="BM340" s="2059">
        <v>1.2938000000000001</v>
      </c>
      <c r="BO340" s="40">
        <v>774</v>
      </c>
      <c r="BP340" s="41">
        <v>0.76070000000000004</v>
      </c>
    </row>
    <row r="341" spans="27:68">
      <c r="AA341" s="1994"/>
      <c r="AR341" s="30">
        <v>12.5</v>
      </c>
      <c r="AS341" s="32">
        <v>982</v>
      </c>
      <c r="AX341" s="30">
        <v>12.5</v>
      </c>
      <c r="AY341" s="35">
        <v>0.15343999999999999</v>
      </c>
      <c r="BA341" s="30">
        <v>12.5</v>
      </c>
      <c r="BB341" s="35">
        <v>0.15590000000000001</v>
      </c>
      <c r="BD341" s="37">
        <v>775</v>
      </c>
      <c r="BE341" s="39">
        <v>51.01</v>
      </c>
      <c r="BF341" s="1995"/>
      <c r="BL341" s="37">
        <v>775</v>
      </c>
      <c r="BM341" s="2059">
        <v>1.2922</v>
      </c>
      <c r="BO341" s="40">
        <v>775</v>
      </c>
      <c r="BP341" s="41">
        <v>0.76170000000000004</v>
      </c>
    </row>
    <row r="342" spans="27:68">
      <c r="AA342" s="1994"/>
      <c r="AR342" s="30">
        <v>12.6</v>
      </c>
      <c r="AS342" s="32">
        <v>981.4</v>
      </c>
      <c r="AX342" s="30">
        <v>12.6</v>
      </c>
      <c r="AY342" s="35">
        <v>0.15332999999999999</v>
      </c>
      <c r="BA342" s="30">
        <v>12.6</v>
      </c>
      <c r="BB342" s="35">
        <v>0.15579000000000001</v>
      </c>
      <c r="BD342" s="37">
        <v>776</v>
      </c>
      <c r="BE342" s="39">
        <v>50.78</v>
      </c>
      <c r="BF342" s="1995"/>
      <c r="BL342" s="37">
        <v>776</v>
      </c>
      <c r="BM342" s="2059">
        <v>1.2905</v>
      </c>
      <c r="BO342" s="40">
        <v>776</v>
      </c>
      <c r="BP342" s="41">
        <v>0.76270000000000004</v>
      </c>
    </row>
    <row r="343" spans="27:68">
      <c r="AA343" s="1994"/>
      <c r="AR343" s="30">
        <v>12.7</v>
      </c>
      <c r="AS343" s="32">
        <v>980.7</v>
      </c>
      <c r="AX343" s="30">
        <v>12.7</v>
      </c>
      <c r="AY343" s="35">
        <v>0.15323000000000001</v>
      </c>
      <c r="BA343" s="30">
        <v>12.7</v>
      </c>
      <c r="BB343" s="35">
        <v>0.15569</v>
      </c>
      <c r="BD343" s="37">
        <v>777</v>
      </c>
      <c r="BE343" s="39">
        <v>50.54</v>
      </c>
      <c r="BF343" s="1995"/>
      <c r="BL343" s="37">
        <v>777</v>
      </c>
      <c r="BM343" s="2059">
        <v>1.2887999999999999</v>
      </c>
      <c r="BO343" s="40">
        <v>777</v>
      </c>
      <c r="BP343" s="41">
        <v>0.76359999999999995</v>
      </c>
    </row>
    <row r="344" spans="27:68">
      <c r="AA344" s="1994"/>
      <c r="AR344" s="30">
        <v>12.8</v>
      </c>
      <c r="AS344" s="32">
        <v>980</v>
      </c>
      <c r="AX344" s="30">
        <v>12.8</v>
      </c>
      <c r="AY344" s="35">
        <v>0.15312000000000001</v>
      </c>
      <c r="BA344" s="30">
        <v>12.8</v>
      </c>
      <c r="BB344" s="35">
        <v>0.15558</v>
      </c>
      <c r="BD344" s="37">
        <v>778</v>
      </c>
      <c r="BE344" s="39">
        <v>50.3</v>
      </c>
      <c r="BF344" s="1995"/>
      <c r="BL344" s="37">
        <v>778</v>
      </c>
      <c r="BM344" s="2059">
        <v>1.2871999999999999</v>
      </c>
      <c r="BO344" s="40">
        <v>778</v>
      </c>
      <c r="BP344" s="41">
        <v>0.76459999999999995</v>
      </c>
    </row>
    <row r="345" spans="27:68">
      <c r="AA345" s="1994"/>
      <c r="AR345" s="30">
        <v>12.9</v>
      </c>
      <c r="AS345" s="32">
        <v>979.3</v>
      </c>
      <c r="AX345" s="30">
        <v>12.9</v>
      </c>
      <c r="AY345" s="35">
        <v>0.15301000000000001</v>
      </c>
      <c r="BA345" s="30">
        <v>12.9</v>
      </c>
      <c r="BB345" s="35">
        <v>0.15547</v>
      </c>
      <c r="BD345" s="37">
        <v>779</v>
      </c>
      <c r="BE345" s="39">
        <v>50.07</v>
      </c>
      <c r="BF345" s="1995"/>
      <c r="BL345" s="37">
        <v>779</v>
      </c>
      <c r="BM345" s="2059">
        <v>1.2855000000000001</v>
      </c>
      <c r="BO345" s="40">
        <v>779</v>
      </c>
      <c r="BP345" s="41">
        <v>0.76559999999999995</v>
      </c>
    </row>
    <row r="346" spans="27:68">
      <c r="AA346" s="1994"/>
      <c r="AR346" s="30">
        <v>13</v>
      </c>
      <c r="AS346" s="32">
        <v>978.6</v>
      </c>
      <c r="AX346" s="30">
        <v>13</v>
      </c>
      <c r="AY346" s="35">
        <v>0.15290999999999999</v>
      </c>
      <c r="BA346" s="30">
        <v>13</v>
      </c>
      <c r="BB346" s="35">
        <v>0.15536</v>
      </c>
      <c r="BD346" s="37">
        <v>780</v>
      </c>
      <c r="BE346" s="39">
        <v>49.84</v>
      </c>
      <c r="BF346" s="1995"/>
      <c r="BL346" s="37">
        <v>780</v>
      </c>
      <c r="BM346" s="2059">
        <v>1.2839</v>
      </c>
      <c r="BO346" s="40">
        <v>780</v>
      </c>
      <c r="BP346" s="41">
        <v>0.76659999999999995</v>
      </c>
    </row>
    <row r="347" spans="27:68">
      <c r="AA347" s="1994"/>
      <c r="AR347" s="30">
        <v>13.1</v>
      </c>
      <c r="AS347" s="32">
        <v>978</v>
      </c>
      <c r="AX347" s="30">
        <v>13.1</v>
      </c>
      <c r="AY347" s="35">
        <v>0.15279999999999999</v>
      </c>
      <c r="BA347" s="30">
        <v>13.1</v>
      </c>
      <c r="BB347" s="35">
        <v>0.15525</v>
      </c>
      <c r="BD347" s="37">
        <v>781</v>
      </c>
      <c r="BE347" s="39">
        <v>49.6</v>
      </c>
      <c r="BF347" s="1995"/>
      <c r="BL347" s="37">
        <v>781</v>
      </c>
      <c r="BM347" s="2059">
        <v>1.2822</v>
      </c>
      <c r="BO347" s="40">
        <v>781</v>
      </c>
      <c r="BP347" s="41">
        <v>0.76759999999999995</v>
      </c>
    </row>
    <row r="348" spans="27:68">
      <c r="AA348" s="1994"/>
      <c r="AR348" s="30">
        <v>13.2</v>
      </c>
      <c r="AS348" s="32">
        <v>977.3</v>
      </c>
      <c r="AX348" s="30">
        <v>13.2</v>
      </c>
      <c r="AY348" s="35">
        <v>0.1527</v>
      </c>
      <c r="BA348" s="30">
        <v>13.2</v>
      </c>
      <c r="BB348" s="35">
        <v>0.15515000000000001</v>
      </c>
      <c r="BD348" s="37">
        <v>782</v>
      </c>
      <c r="BE348" s="39">
        <v>49.37</v>
      </c>
      <c r="BF348" s="1995"/>
      <c r="BL348" s="37">
        <v>782</v>
      </c>
      <c r="BM348" s="2059">
        <v>1.2806</v>
      </c>
      <c r="BO348" s="40">
        <v>782</v>
      </c>
      <c r="BP348" s="41">
        <v>0.76859999999999995</v>
      </c>
    </row>
    <row r="349" spans="27:68">
      <c r="AA349" s="1994"/>
      <c r="AR349" s="30">
        <v>13.3</v>
      </c>
      <c r="AS349" s="32">
        <v>976.6</v>
      </c>
      <c r="AX349" s="30">
        <v>13.3</v>
      </c>
      <c r="AY349" s="35">
        <v>0.15259</v>
      </c>
      <c r="BA349" s="30">
        <v>13.3</v>
      </c>
      <c r="BB349" s="35">
        <v>0.15504000000000001</v>
      </c>
      <c r="BD349" s="37">
        <v>783</v>
      </c>
      <c r="BE349" s="39">
        <v>49.14</v>
      </c>
      <c r="BF349" s="1995"/>
      <c r="BL349" s="37">
        <v>783</v>
      </c>
      <c r="BM349" s="2059">
        <v>1.2788999999999999</v>
      </c>
      <c r="BO349" s="40">
        <v>783</v>
      </c>
      <c r="BP349" s="41">
        <v>0.76949999999999996</v>
      </c>
    </row>
    <row r="350" spans="27:68">
      <c r="AA350" s="1994"/>
      <c r="AR350" s="30">
        <v>13.4</v>
      </c>
      <c r="AS350" s="32">
        <v>975.9</v>
      </c>
      <c r="AX350" s="30">
        <v>13.4</v>
      </c>
      <c r="AY350" s="35">
        <v>0.15248999999999999</v>
      </c>
      <c r="BA350" s="30">
        <v>13.4</v>
      </c>
      <c r="BB350" s="35">
        <v>0.15493000000000001</v>
      </c>
      <c r="BD350" s="37">
        <v>784</v>
      </c>
      <c r="BE350" s="39">
        <v>48.91</v>
      </c>
      <c r="BF350" s="1995"/>
      <c r="BL350" s="37">
        <v>784</v>
      </c>
      <c r="BM350" s="2059">
        <v>1.2773000000000001</v>
      </c>
      <c r="BO350" s="40">
        <v>784</v>
      </c>
      <c r="BP350" s="41">
        <v>0.77049999999999996</v>
      </c>
    </row>
    <row r="351" spans="27:68">
      <c r="AA351" s="1994"/>
      <c r="AR351" s="30">
        <v>13.5</v>
      </c>
      <c r="AS351" s="32">
        <v>975.3</v>
      </c>
      <c r="AX351" s="30">
        <v>13.5</v>
      </c>
      <c r="AY351" s="35">
        <v>0.15237999999999999</v>
      </c>
      <c r="BA351" s="30">
        <v>13.5</v>
      </c>
      <c r="BB351" s="35">
        <v>0.15483</v>
      </c>
      <c r="BD351" s="37">
        <v>785</v>
      </c>
      <c r="BE351" s="39">
        <v>48.68</v>
      </c>
      <c r="BF351" s="1995"/>
      <c r="BL351" s="37">
        <v>785</v>
      </c>
      <c r="BM351" s="2059">
        <v>1.2757000000000001</v>
      </c>
      <c r="BO351" s="40">
        <v>785</v>
      </c>
      <c r="BP351" s="41">
        <v>0.77149999999999996</v>
      </c>
    </row>
    <row r="352" spans="27:68">
      <c r="AA352" s="1994"/>
      <c r="AR352" s="30">
        <v>13.6</v>
      </c>
      <c r="AS352" s="32">
        <v>974.6</v>
      </c>
      <c r="AX352" s="30">
        <v>13.6</v>
      </c>
      <c r="AY352" s="35">
        <v>0.15226999999999999</v>
      </c>
      <c r="BA352" s="30">
        <v>13.6</v>
      </c>
      <c r="BB352" s="35">
        <v>0.15472</v>
      </c>
      <c r="BD352" s="37">
        <v>786</v>
      </c>
      <c r="BE352" s="39">
        <v>48.45</v>
      </c>
      <c r="BF352" s="1995"/>
      <c r="BL352" s="37">
        <v>786</v>
      </c>
      <c r="BM352" s="2059">
        <v>1.2741</v>
      </c>
      <c r="BO352" s="40">
        <v>786</v>
      </c>
      <c r="BP352" s="41">
        <v>0.77249999999999996</v>
      </c>
    </row>
    <row r="353" spans="27:68">
      <c r="AA353" s="1994"/>
      <c r="AR353" s="30">
        <v>13.7</v>
      </c>
      <c r="AS353" s="32">
        <v>973.9</v>
      </c>
      <c r="AX353" s="30">
        <v>13.7</v>
      </c>
      <c r="AY353" s="35">
        <v>0.15217</v>
      </c>
      <c r="BA353" s="30">
        <v>13.7</v>
      </c>
      <c r="BB353" s="35">
        <v>0.15461</v>
      </c>
      <c r="BD353" s="37">
        <v>787</v>
      </c>
      <c r="BE353" s="39">
        <v>48.22</v>
      </c>
      <c r="BF353" s="1995"/>
      <c r="BL353" s="37">
        <v>787</v>
      </c>
      <c r="BM353" s="2059">
        <v>1.2724</v>
      </c>
      <c r="BO353" s="40">
        <v>787</v>
      </c>
      <c r="BP353" s="41">
        <v>0.77349999999999997</v>
      </c>
    </row>
    <row r="354" spans="27:68">
      <c r="AA354" s="1994"/>
      <c r="AR354" s="30">
        <v>13.8</v>
      </c>
      <c r="AS354" s="32">
        <v>973.3</v>
      </c>
      <c r="AX354" s="30">
        <v>13.8</v>
      </c>
      <c r="AY354" s="35">
        <v>0.15207000000000001</v>
      </c>
      <c r="BA354" s="30">
        <v>13.8</v>
      </c>
      <c r="BB354" s="35">
        <v>0.15451000000000001</v>
      </c>
      <c r="BD354" s="37">
        <v>788</v>
      </c>
      <c r="BE354" s="39">
        <v>47.99</v>
      </c>
      <c r="BF354" s="1995"/>
      <c r="BL354" s="37">
        <v>788</v>
      </c>
      <c r="BM354" s="2059">
        <v>1.2707999999999999</v>
      </c>
      <c r="BO354" s="40">
        <v>788</v>
      </c>
      <c r="BP354" s="41">
        <v>0.77449999999999997</v>
      </c>
    </row>
    <row r="355" spans="27:68">
      <c r="AA355" s="1994"/>
      <c r="AR355" s="30">
        <v>13.9</v>
      </c>
      <c r="AS355" s="32">
        <v>972.6</v>
      </c>
      <c r="AX355" s="30">
        <v>13.9</v>
      </c>
      <c r="AY355" s="35">
        <v>0.15196000000000001</v>
      </c>
      <c r="BA355" s="30">
        <v>13.9</v>
      </c>
      <c r="BB355" s="35">
        <v>0.15440000000000001</v>
      </c>
      <c r="BD355" s="37">
        <v>789</v>
      </c>
      <c r="BE355" s="39">
        <v>47.76</v>
      </c>
      <c r="BF355" s="1995"/>
      <c r="BL355" s="37">
        <v>789</v>
      </c>
      <c r="BM355" s="2059">
        <v>1.2692000000000001</v>
      </c>
      <c r="BO355" s="40">
        <v>789</v>
      </c>
      <c r="BP355" s="41">
        <v>0.77549999999999997</v>
      </c>
    </row>
    <row r="356" spans="27:68">
      <c r="AA356" s="1994"/>
      <c r="AR356" s="30">
        <v>14</v>
      </c>
      <c r="AS356" s="32">
        <v>971.9</v>
      </c>
      <c r="AX356" s="30">
        <v>14</v>
      </c>
      <c r="AY356" s="35">
        <v>0.15185999999999999</v>
      </c>
      <c r="BA356" s="30">
        <v>14</v>
      </c>
      <c r="BB356" s="35">
        <v>0.15429000000000001</v>
      </c>
      <c r="BD356" s="37">
        <v>790</v>
      </c>
      <c r="BE356" s="39">
        <v>47.53</v>
      </c>
      <c r="BF356" s="1995"/>
      <c r="BL356" s="37">
        <v>790</v>
      </c>
      <c r="BM356" s="2059">
        <v>1.2676000000000001</v>
      </c>
      <c r="BO356" s="40">
        <v>790</v>
      </c>
      <c r="BP356" s="41">
        <v>0.77639999999999998</v>
      </c>
    </row>
    <row r="357" spans="27:68">
      <c r="AA357" s="1994"/>
      <c r="AR357" s="30">
        <v>14.1</v>
      </c>
      <c r="AS357" s="32">
        <v>971.3</v>
      </c>
      <c r="AX357" s="30">
        <v>14.1</v>
      </c>
      <c r="AY357" s="35">
        <v>0.15175</v>
      </c>
      <c r="BA357" s="30">
        <v>14.1</v>
      </c>
      <c r="BB357" s="35">
        <v>0.15418999999999999</v>
      </c>
      <c r="BD357" s="37">
        <v>791</v>
      </c>
      <c r="BE357" s="39">
        <v>47.31</v>
      </c>
      <c r="BF357" s="1995"/>
      <c r="BL357" s="37">
        <v>791</v>
      </c>
      <c r="BM357" s="2059">
        <v>1.266</v>
      </c>
      <c r="BO357" s="40">
        <v>791</v>
      </c>
      <c r="BP357" s="41">
        <v>0.77739999999999998</v>
      </c>
    </row>
    <row r="358" spans="27:68">
      <c r="AA358" s="1994"/>
      <c r="AR358" s="30">
        <v>14.2</v>
      </c>
      <c r="AS358" s="32">
        <v>970.6</v>
      </c>
      <c r="AX358" s="30">
        <v>14.2</v>
      </c>
      <c r="AY358" s="35">
        <v>0.15165000000000001</v>
      </c>
      <c r="BA358" s="30">
        <v>14.2</v>
      </c>
      <c r="BB358" s="35">
        <v>0.15407999999999999</v>
      </c>
      <c r="BD358" s="37">
        <v>792</v>
      </c>
      <c r="BE358" s="39">
        <v>47.08</v>
      </c>
      <c r="BF358" s="1995"/>
      <c r="BL358" s="37">
        <v>792</v>
      </c>
      <c r="BM358" s="2059">
        <v>1.2644</v>
      </c>
      <c r="BO358" s="40">
        <v>792</v>
      </c>
      <c r="BP358" s="41">
        <v>0.77839999999999998</v>
      </c>
    </row>
    <row r="359" spans="27:68">
      <c r="AA359" s="1994"/>
      <c r="AR359" s="30">
        <v>14.3</v>
      </c>
      <c r="AS359" s="32">
        <v>969.9</v>
      </c>
      <c r="AX359" s="30">
        <v>14.3</v>
      </c>
      <c r="AY359" s="35">
        <v>0.15154000000000001</v>
      </c>
      <c r="BA359" s="30">
        <v>14.3</v>
      </c>
      <c r="BB359" s="35">
        <v>0.15397</v>
      </c>
      <c r="BD359" s="37">
        <v>793</v>
      </c>
      <c r="BE359" s="39">
        <v>46.85</v>
      </c>
      <c r="BF359" s="1995"/>
      <c r="BL359" s="37">
        <v>793</v>
      </c>
      <c r="BM359" s="2059">
        <v>1.2627999999999999</v>
      </c>
      <c r="BO359" s="40">
        <v>793</v>
      </c>
      <c r="BP359" s="41">
        <v>0.77939999999999998</v>
      </c>
    </row>
    <row r="360" spans="27:68">
      <c r="AA360" s="1994"/>
      <c r="AR360" s="30">
        <v>14.4</v>
      </c>
      <c r="AS360" s="32">
        <v>969.3</v>
      </c>
      <c r="AX360" s="30">
        <v>14.4</v>
      </c>
      <c r="AY360" s="35">
        <v>0.15143999999999999</v>
      </c>
      <c r="BA360" s="30">
        <v>14.4</v>
      </c>
      <c r="BB360" s="35">
        <v>0.15387000000000001</v>
      </c>
      <c r="BD360" s="37">
        <v>794</v>
      </c>
      <c r="BE360" s="39">
        <v>46.63</v>
      </c>
      <c r="BF360" s="1995"/>
      <c r="BL360" s="37">
        <v>794</v>
      </c>
      <c r="BM360" s="2059">
        <v>1.2612000000000001</v>
      </c>
      <c r="BO360" s="40">
        <v>794</v>
      </c>
      <c r="BP360" s="41">
        <v>0.78039999999999998</v>
      </c>
    </row>
    <row r="361" spans="27:68">
      <c r="AA361" s="1994"/>
      <c r="AR361" s="30">
        <v>14.5</v>
      </c>
      <c r="AS361" s="32">
        <v>968.6</v>
      </c>
      <c r="AX361" s="30">
        <v>14.5</v>
      </c>
      <c r="AY361" s="35">
        <v>0.15134</v>
      </c>
      <c r="BA361" s="30">
        <v>14.5</v>
      </c>
      <c r="BB361" s="35">
        <v>0.15376000000000001</v>
      </c>
      <c r="BD361" s="37">
        <v>795</v>
      </c>
      <c r="BE361" s="39">
        <v>46.4</v>
      </c>
      <c r="BF361" s="1995"/>
      <c r="BL361" s="37">
        <v>795</v>
      </c>
      <c r="BM361" s="2059">
        <v>1.2596000000000001</v>
      </c>
      <c r="BO361" s="40">
        <v>795</v>
      </c>
      <c r="BP361" s="41">
        <v>0.78139999999999998</v>
      </c>
    </row>
    <row r="362" spans="27:68">
      <c r="AA362" s="1994"/>
      <c r="AR362" s="30">
        <v>14.6</v>
      </c>
      <c r="AS362" s="32">
        <v>967.9</v>
      </c>
      <c r="AX362" s="30">
        <v>14.6</v>
      </c>
      <c r="AY362" s="35">
        <v>0.15123</v>
      </c>
      <c r="BA362" s="30">
        <v>14.6</v>
      </c>
      <c r="BB362" s="35">
        <v>0.15365999999999999</v>
      </c>
      <c r="BD362" s="37">
        <v>796</v>
      </c>
      <c r="BE362" s="39">
        <v>46.18</v>
      </c>
      <c r="BF362" s="1995"/>
      <c r="BL362" s="37">
        <v>796</v>
      </c>
      <c r="BM362" s="2059">
        <v>1.258</v>
      </c>
      <c r="BO362" s="40">
        <v>796</v>
      </c>
      <c r="BP362" s="41">
        <v>0.7823</v>
      </c>
    </row>
    <row r="363" spans="27:68">
      <c r="AA363" s="1994"/>
      <c r="AR363" s="30">
        <v>14.7</v>
      </c>
      <c r="AS363" s="32">
        <v>967.3</v>
      </c>
      <c r="AX363" s="30">
        <v>14.7</v>
      </c>
      <c r="AY363" s="35">
        <v>0.15112999999999999</v>
      </c>
      <c r="BA363" s="30">
        <v>14.7</v>
      </c>
      <c r="BB363" s="35">
        <v>0.15354999999999999</v>
      </c>
      <c r="BD363" s="37">
        <v>797</v>
      </c>
      <c r="BE363" s="39">
        <v>45.96</v>
      </c>
      <c r="BF363" s="1995"/>
      <c r="BL363" s="37">
        <v>797</v>
      </c>
      <c r="BM363" s="2059">
        <v>1.2564</v>
      </c>
      <c r="BO363" s="40">
        <v>797</v>
      </c>
      <c r="BP363" s="41">
        <v>0.7833</v>
      </c>
    </row>
    <row r="364" spans="27:68">
      <c r="AA364" s="1994"/>
      <c r="AR364" s="30">
        <v>14.8</v>
      </c>
      <c r="AS364" s="32">
        <v>966.6</v>
      </c>
      <c r="AX364" s="30">
        <v>14.8</v>
      </c>
      <c r="AY364" s="35">
        <v>0.15101999999999999</v>
      </c>
      <c r="BA364" s="30">
        <v>14.8</v>
      </c>
      <c r="BB364" s="35">
        <v>0.15345</v>
      </c>
      <c r="BD364" s="37">
        <v>798</v>
      </c>
      <c r="BE364" s="39">
        <v>45.74</v>
      </c>
      <c r="BF364" s="1995"/>
      <c r="BL364" s="37">
        <v>798</v>
      </c>
      <c r="BM364" s="2059">
        <v>1.2548999999999999</v>
      </c>
      <c r="BO364" s="40">
        <v>798</v>
      </c>
      <c r="BP364" s="41">
        <v>0.7843</v>
      </c>
    </row>
    <row r="365" spans="27:68">
      <c r="AA365" s="1994"/>
      <c r="AR365" s="30">
        <v>14.9</v>
      </c>
      <c r="AS365" s="32">
        <v>966</v>
      </c>
      <c r="AX365" s="30">
        <v>14.9</v>
      </c>
      <c r="AY365" s="35">
        <v>0.15092</v>
      </c>
      <c r="BA365" s="30">
        <v>14.9</v>
      </c>
      <c r="BB365" s="35">
        <v>0.15334</v>
      </c>
      <c r="BD365" s="37">
        <v>799</v>
      </c>
      <c r="BE365" s="39">
        <v>45.51</v>
      </c>
      <c r="BF365" s="1995"/>
      <c r="BL365" s="37">
        <v>799</v>
      </c>
      <c r="BM365" s="2059">
        <v>1.2533000000000001</v>
      </c>
      <c r="BO365" s="40">
        <v>799</v>
      </c>
      <c r="BP365" s="41">
        <v>0.7853</v>
      </c>
    </row>
    <row r="366" spans="27:68">
      <c r="AA366" s="1994"/>
      <c r="AR366" s="30">
        <v>15</v>
      </c>
      <c r="AS366" s="32">
        <v>965.3</v>
      </c>
      <c r="AX366" s="30">
        <v>15</v>
      </c>
      <c r="AY366" s="35">
        <v>0.15082000000000001</v>
      </c>
      <c r="BA366" s="30">
        <v>15</v>
      </c>
      <c r="BB366" s="35">
        <v>0.15323999999999999</v>
      </c>
      <c r="BD366" s="37">
        <v>800</v>
      </c>
      <c r="BE366" s="39">
        <v>45.29</v>
      </c>
      <c r="BF366" s="1995"/>
      <c r="BL366" s="37">
        <v>800</v>
      </c>
      <c r="BM366" s="2059">
        <v>1.2517</v>
      </c>
      <c r="BO366" s="40">
        <v>800</v>
      </c>
      <c r="BP366" s="41">
        <v>0.7863</v>
      </c>
    </row>
    <row r="367" spans="27:68">
      <c r="AA367" s="1994"/>
      <c r="AR367" s="30">
        <v>15.1</v>
      </c>
      <c r="AS367" s="32">
        <v>964.6</v>
      </c>
      <c r="AX367" s="30">
        <v>15.1</v>
      </c>
      <c r="AY367" s="35">
        <v>0.15071000000000001</v>
      </c>
      <c r="BA367" s="30">
        <v>15.1</v>
      </c>
      <c r="BB367" s="35">
        <v>0.15312999999999999</v>
      </c>
      <c r="BD367" s="37">
        <v>801</v>
      </c>
      <c r="BE367" s="39">
        <v>45.07</v>
      </c>
      <c r="BF367" s="1995"/>
      <c r="BL367" s="37">
        <v>801</v>
      </c>
      <c r="BM367" s="2059">
        <v>1.2502</v>
      </c>
      <c r="BO367" s="40">
        <v>801</v>
      </c>
      <c r="BP367" s="41">
        <v>0.7873</v>
      </c>
    </row>
    <row r="368" spans="27:68">
      <c r="AA368" s="1994"/>
      <c r="AR368" s="30">
        <v>15.2</v>
      </c>
      <c r="AS368" s="32">
        <v>964</v>
      </c>
      <c r="AX368" s="30">
        <v>15.2</v>
      </c>
      <c r="AY368" s="35">
        <v>0.15060999999999999</v>
      </c>
      <c r="BA368" s="30">
        <v>15.2</v>
      </c>
      <c r="BB368" s="35">
        <v>0.15303</v>
      </c>
      <c r="BD368" s="37">
        <v>802</v>
      </c>
      <c r="BE368" s="39">
        <v>44.85</v>
      </c>
      <c r="BF368" s="1995"/>
      <c r="BL368" s="37">
        <v>802</v>
      </c>
      <c r="BM368" s="2059">
        <v>1.2485999999999999</v>
      </c>
      <c r="BO368" s="40">
        <v>802</v>
      </c>
      <c r="BP368" s="41">
        <v>0.7883</v>
      </c>
    </row>
    <row r="369" spans="27:68">
      <c r="AA369" s="1994"/>
      <c r="AR369" s="30">
        <v>15.3</v>
      </c>
      <c r="AS369" s="32">
        <v>963.3</v>
      </c>
      <c r="AX369" s="30">
        <v>15.3</v>
      </c>
      <c r="AY369" s="35">
        <v>0.15051</v>
      </c>
      <c r="BA369" s="30">
        <v>15.3</v>
      </c>
      <c r="BB369" s="35">
        <v>0.15292</v>
      </c>
      <c r="BD369" s="37">
        <v>803</v>
      </c>
      <c r="BE369" s="39">
        <v>44.63</v>
      </c>
      <c r="BF369" s="1995"/>
      <c r="BL369" s="37">
        <v>803</v>
      </c>
      <c r="BM369" s="2059">
        <v>1.2470000000000001</v>
      </c>
      <c r="BO369" s="40">
        <v>803</v>
      </c>
      <c r="BP369" s="41">
        <v>0.78920000000000001</v>
      </c>
    </row>
    <row r="370" spans="27:68">
      <c r="AA370" s="1994"/>
      <c r="AR370" s="30">
        <v>15.4</v>
      </c>
      <c r="AS370" s="32">
        <v>962.7</v>
      </c>
      <c r="AX370" s="30">
        <v>15.4</v>
      </c>
      <c r="AY370" s="35">
        <v>0.15040999999999999</v>
      </c>
      <c r="BA370" s="30">
        <v>15.4</v>
      </c>
      <c r="BB370" s="35">
        <v>0.15282000000000001</v>
      </c>
      <c r="BD370" s="37">
        <v>804</v>
      </c>
      <c r="BE370" s="39">
        <v>44.41</v>
      </c>
      <c r="BF370" s="1995"/>
      <c r="BL370" s="37">
        <v>804</v>
      </c>
      <c r="BM370" s="2059">
        <v>1.2455000000000001</v>
      </c>
      <c r="BO370" s="40">
        <v>804</v>
      </c>
      <c r="BP370" s="41">
        <v>0.79020000000000001</v>
      </c>
    </row>
    <row r="371" spans="27:68">
      <c r="AA371" s="1994"/>
      <c r="AR371" s="30">
        <v>15.5</v>
      </c>
      <c r="AS371" s="32">
        <v>962</v>
      </c>
      <c r="AX371" s="30">
        <v>15.5</v>
      </c>
      <c r="AY371" s="35">
        <v>0.15029999999999999</v>
      </c>
      <c r="BA371" s="30">
        <v>15.5</v>
      </c>
      <c r="BB371" s="35">
        <v>0.15271999999999999</v>
      </c>
      <c r="BD371" s="37">
        <v>805</v>
      </c>
      <c r="BE371" s="39">
        <v>44.19</v>
      </c>
      <c r="BF371" s="1995"/>
      <c r="BL371" s="37">
        <v>805</v>
      </c>
      <c r="BM371" s="2059">
        <v>1.2439</v>
      </c>
      <c r="BO371" s="40">
        <v>805</v>
      </c>
      <c r="BP371" s="41">
        <v>0.79120000000000001</v>
      </c>
    </row>
    <row r="372" spans="27:68">
      <c r="AA372" s="1994"/>
      <c r="AR372" s="30">
        <v>15.6</v>
      </c>
      <c r="AS372" s="32">
        <v>961.4</v>
      </c>
      <c r="AX372" s="30">
        <v>15.6</v>
      </c>
      <c r="AY372" s="35">
        <v>0.1502</v>
      </c>
      <c r="BA372" s="30">
        <v>15.6</v>
      </c>
      <c r="BB372" s="35">
        <v>0.15261</v>
      </c>
      <c r="BD372" s="37">
        <v>806</v>
      </c>
      <c r="BE372" s="39">
        <v>43.97</v>
      </c>
      <c r="BF372" s="1995"/>
      <c r="BL372" s="37">
        <v>806</v>
      </c>
      <c r="BM372" s="2059">
        <v>1.2423999999999999</v>
      </c>
      <c r="BO372" s="40">
        <v>806</v>
      </c>
      <c r="BP372" s="41">
        <v>0.79220000000000002</v>
      </c>
    </row>
    <row r="373" spans="27:68">
      <c r="AA373" s="1994"/>
      <c r="AR373" s="30">
        <v>15.7</v>
      </c>
      <c r="AS373" s="32">
        <v>960.7</v>
      </c>
      <c r="AX373" s="30">
        <v>15.7</v>
      </c>
      <c r="AY373" s="35">
        <v>0.15010000000000001</v>
      </c>
      <c r="BA373" s="30">
        <v>15.7</v>
      </c>
      <c r="BB373" s="35">
        <v>0.15251000000000001</v>
      </c>
      <c r="BD373" s="37">
        <v>807</v>
      </c>
      <c r="BE373" s="39">
        <v>43.76</v>
      </c>
      <c r="BF373" s="1995"/>
      <c r="BL373" s="37">
        <v>807</v>
      </c>
      <c r="BM373" s="2059">
        <v>1.2407999999999999</v>
      </c>
      <c r="BO373" s="40">
        <v>807</v>
      </c>
      <c r="BP373" s="41">
        <v>0.79320000000000002</v>
      </c>
    </row>
    <row r="374" spans="27:68">
      <c r="AA374" s="1994"/>
      <c r="AR374" s="30">
        <v>15.8</v>
      </c>
      <c r="AS374" s="32">
        <v>960.1</v>
      </c>
      <c r="AX374" s="30">
        <v>15.8</v>
      </c>
      <c r="AY374" s="35">
        <v>0.15</v>
      </c>
      <c r="BA374" s="30">
        <v>15.8</v>
      </c>
      <c r="BB374" s="35">
        <v>0.15240000000000001</v>
      </c>
      <c r="BD374" s="37">
        <v>808</v>
      </c>
      <c r="BE374" s="39">
        <v>43.54</v>
      </c>
      <c r="BF374" s="1995"/>
      <c r="BL374" s="37">
        <v>808</v>
      </c>
      <c r="BM374" s="2059">
        <v>1.2393000000000001</v>
      </c>
      <c r="BO374" s="40">
        <v>808</v>
      </c>
      <c r="BP374" s="41">
        <v>0.79420000000000002</v>
      </c>
    </row>
    <row r="375" spans="27:68">
      <c r="AA375" s="1994"/>
      <c r="AR375" s="30">
        <v>15.9</v>
      </c>
      <c r="AS375" s="32">
        <v>959.4</v>
      </c>
      <c r="AX375" s="30">
        <v>15.9</v>
      </c>
      <c r="AY375" s="35">
        <v>0.14990000000000001</v>
      </c>
      <c r="BA375" s="30">
        <v>15.9</v>
      </c>
      <c r="BB375" s="35">
        <v>0.15229999999999999</v>
      </c>
      <c r="BD375" s="37">
        <v>809</v>
      </c>
      <c r="BE375" s="39">
        <v>43.32</v>
      </c>
      <c r="BF375" s="1995"/>
      <c r="BL375" s="37">
        <v>809</v>
      </c>
      <c r="BM375" s="2059">
        <v>1.2378</v>
      </c>
      <c r="BO375" s="40">
        <v>809</v>
      </c>
      <c r="BP375" s="41">
        <v>0.79510000000000003</v>
      </c>
    </row>
    <row r="376" spans="27:68">
      <c r="AA376" s="1994"/>
      <c r="AR376" s="30">
        <v>16</v>
      </c>
      <c r="AS376" s="32">
        <v>958.8</v>
      </c>
      <c r="AX376" s="30">
        <v>16</v>
      </c>
      <c r="AY376" s="35" t="s">
        <v>36</v>
      </c>
      <c r="BA376" s="30">
        <v>16</v>
      </c>
      <c r="BB376" s="35">
        <v>0.1522</v>
      </c>
      <c r="BD376" s="37">
        <v>810</v>
      </c>
      <c r="BE376" s="39">
        <v>43.11</v>
      </c>
      <c r="BF376" s="1995"/>
      <c r="BL376" s="37">
        <v>810</v>
      </c>
      <c r="BM376" s="2059">
        <v>1.2362</v>
      </c>
      <c r="BO376" s="40">
        <v>810</v>
      </c>
      <c r="BP376" s="41">
        <v>0.79610000000000003</v>
      </c>
    </row>
    <row r="377" spans="27:68">
      <c r="AA377" s="1994"/>
      <c r="AR377" s="30">
        <v>16.100000000000001</v>
      </c>
      <c r="AS377" s="32">
        <v>958.1</v>
      </c>
      <c r="AX377" s="30">
        <v>16.100000000000001</v>
      </c>
      <c r="AY377" s="35">
        <v>0.14968999999999999</v>
      </c>
      <c r="BA377" s="30">
        <v>16.100000000000001</v>
      </c>
      <c r="BB377" s="35">
        <v>0.15209</v>
      </c>
      <c r="BD377" s="37">
        <v>811</v>
      </c>
      <c r="BE377" s="39">
        <v>42.89</v>
      </c>
      <c r="BF377" s="1995"/>
      <c r="BL377" s="37">
        <v>811</v>
      </c>
      <c r="BM377" s="2059">
        <v>1.2346999999999999</v>
      </c>
      <c r="BO377" s="40">
        <v>811</v>
      </c>
      <c r="BP377" s="41">
        <v>0.79710000000000003</v>
      </c>
    </row>
    <row r="378" spans="27:68">
      <c r="AA378" s="1994"/>
      <c r="AR378" s="30">
        <v>16.2</v>
      </c>
      <c r="AS378" s="32">
        <v>957.5</v>
      </c>
      <c r="AX378" s="30">
        <v>16.2</v>
      </c>
      <c r="AY378" s="35">
        <v>0.14959</v>
      </c>
      <c r="BA378" s="30">
        <v>16.2</v>
      </c>
      <c r="BB378" s="35">
        <v>0.15198999999999999</v>
      </c>
      <c r="BD378" s="37">
        <v>812</v>
      </c>
      <c r="BE378" s="39">
        <v>42.68</v>
      </c>
      <c r="BF378" s="1995"/>
      <c r="BL378" s="37">
        <v>812</v>
      </c>
      <c r="BM378" s="2059">
        <v>1.2332000000000001</v>
      </c>
      <c r="BO378" s="40">
        <v>812</v>
      </c>
      <c r="BP378" s="41">
        <v>0.79810000000000003</v>
      </c>
    </row>
    <row r="379" spans="27:68">
      <c r="AA379" s="1994"/>
      <c r="AR379" s="30">
        <v>16.3</v>
      </c>
      <c r="AS379" s="32">
        <v>956.8</v>
      </c>
      <c r="AX379" s="30">
        <v>16.3</v>
      </c>
      <c r="AY379" s="35">
        <v>0.14949000000000001</v>
      </c>
      <c r="BA379" s="30">
        <v>16.3</v>
      </c>
      <c r="BB379" s="35">
        <v>0.15189</v>
      </c>
      <c r="BD379" s="37">
        <v>813</v>
      </c>
      <c r="BE379" s="39">
        <v>42.46</v>
      </c>
      <c r="BF379" s="1995"/>
      <c r="BL379" s="37">
        <v>813</v>
      </c>
      <c r="BM379" s="2059">
        <v>1.2317</v>
      </c>
      <c r="BO379" s="40">
        <v>813</v>
      </c>
      <c r="BP379" s="41">
        <v>0.79910000000000003</v>
      </c>
    </row>
    <row r="380" spans="27:68">
      <c r="AA380" s="1994"/>
      <c r="AR380" s="30">
        <v>16.399999999999999</v>
      </c>
      <c r="AS380" s="32">
        <v>956.2</v>
      </c>
      <c r="AX380" s="30">
        <v>16.399999999999999</v>
      </c>
      <c r="AY380" s="35">
        <v>0.14939</v>
      </c>
      <c r="BA380" s="30">
        <v>16.399999999999999</v>
      </c>
      <c r="BB380" s="35">
        <v>0.15179000000000001</v>
      </c>
      <c r="BD380" s="37">
        <v>814</v>
      </c>
      <c r="BE380" s="39">
        <v>42.25</v>
      </c>
      <c r="BF380" s="1995"/>
      <c r="BL380" s="37">
        <v>814</v>
      </c>
      <c r="BM380" s="2059">
        <v>1.2302</v>
      </c>
      <c r="BO380" s="40">
        <v>814</v>
      </c>
      <c r="BP380" s="41">
        <v>0.80010000000000003</v>
      </c>
    </row>
    <row r="381" spans="27:68">
      <c r="AA381" s="1994"/>
      <c r="AR381" s="30">
        <v>16.5</v>
      </c>
      <c r="AS381" s="32">
        <v>955.5</v>
      </c>
      <c r="AX381" s="30">
        <v>16.5</v>
      </c>
      <c r="AY381" s="35">
        <v>0.14928999999999998</v>
      </c>
      <c r="BA381" s="30">
        <v>16.5</v>
      </c>
      <c r="BB381" s="35">
        <v>0.15168000000000001</v>
      </c>
      <c r="BD381" s="37">
        <v>815</v>
      </c>
      <c r="BE381" s="39">
        <v>42.03</v>
      </c>
      <c r="BF381" s="1995"/>
      <c r="BL381" s="37">
        <v>815</v>
      </c>
      <c r="BM381" s="2059">
        <v>1.2285999999999999</v>
      </c>
      <c r="BO381" s="40">
        <v>815</v>
      </c>
      <c r="BP381" s="41">
        <v>0.80100000000000005</v>
      </c>
    </row>
    <row r="382" spans="27:68">
      <c r="AA382" s="1994"/>
      <c r="AR382" s="30">
        <v>16.600000000000001</v>
      </c>
      <c r="AS382" s="32">
        <v>954.9</v>
      </c>
      <c r="AX382" s="30">
        <v>16.600000000000001</v>
      </c>
      <c r="AY382" s="35">
        <v>0.14918999999999996</v>
      </c>
      <c r="BA382" s="30">
        <v>16.600000000000001</v>
      </c>
      <c r="BB382" s="35">
        <v>0.15157999999999999</v>
      </c>
      <c r="BD382" s="37">
        <v>816</v>
      </c>
      <c r="BE382" s="39">
        <v>41.82</v>
      </c>
      <c r="BF382" s="1995"/>
      <c r="BL382" s="37">
        <v>816</v>
      </c>
      <c r="BM382" s="2059">
        <v>1.2271000000000001</v>
      </c>
      <c r="BO382" s="40">
        <v>816</v>
      </c>
      <c r="BP382" s="41">
        <v>0.80200000000000005</v>
      </c>
    </row>
    <row r="383" spans="27:68">
      <c r="AA383" s="1994"/>
      <c r="AR383" s="30">
        <v>16.7</v>
      </c>
      <c r="AS383" s="32">
        <v>954.2</v>
      </c>
      <c r="AX383" s="30">
        <v>16.7</v>
      </c>
      <c r="AY383" s="35">
        <v>0.14908999999999994</v>
      </c>
      <c r="BA383" s="30">
        <v>16.7</v>
      </c>
      <c r="BB383" s="35">
        <v>0.15148</v>
      </c>
      <c r="BD383" s="37">
        <v>817</v>
      </c>
      <c r="BE383" s="39">
        <v>41.61</v>
      </c>
      <c r="BF383" s="1995"/>
      <c r="BL383" s="37">
        <v>817</v>
      </c>
      <c r="BM383" s="2059">
        <v>1.2256</v>
      </c>
      <c r="BO383" s="40">
        <v>817</v>
      </c>
      <c r="BP383" s="41">
        <v>0.80300000000000005</v>
      </c>
    </row>
    <row r="384" spans="27:68">
      <c r="AA384" s="1994"/>
      <c r="AR384" s="30">
        <v>16.8</v>
      </c>
      <c r="AS384" s="32">
        <v>953.6</v>
      </c>
      <c r="AX384" s="30">
        <v>16.8</v>
      </c>
      <c r="AY384" s="35">
        <v>0.14898999999999993</v>
      </c>
      <c r="BA384" s="30">
        <v>16.8</v>
      </c>
      <c r="BB384" s="35">
        <v>0.15137999999999999</v>
      </c>
      <c r="BD384" s="37">
        <v>818</v>
      </c>
      <c r="BE384" s="39">
        <v>41.4</v>
      </c>
      <c r="BF384" s="1995"/>
      <c r="BL384" s="37">
        <v>818</v>
      </c>
      <c r="BM384" s="2059">
        <v>1.2241</v>
      </c>
      <c r="BO384" s="40">
        <v>818</v>
      </c>
      <c r="BP384" s="41">
        <v>0.80400000000000005</v>
      </c>
    </row>
    <row r="385" spans="27:68">
      <c r="AA385" s="1994"/>
      <c r="AR385" s="30">
        <v>16.899999999999999</v>
      </c>
      <c r="AS385" s="32">
        <v>952.9</v>
      </c>
      <c r="AX385" s="30">
        <v>16.899999999999999</v>
      </c>
      <c r="AY385" s="35">
        <v>0.14888000000000001</v>
      </c>
      <c r="BA385" s="30">
        <v>16.899999999999999</v>
      </c>
      <c r="BB385" s="35">
        <v>0.15126999999999999</v>
      </c>
      <c r="BD385" s="37">
        <v>819</v>
      </c>
      <c r="BE385" s="39">
        <v>41.19</v>
      </c>
      <c r="BF385" s="1995"/>
      <c r="BL385" s="37">
        <v>819</v>
      </c>
      <c r="BM385" s="2059">
        <v>1.2225999999999999</v>
      </c>
      <c r="BO385" s="40">
        <v>819</v>
      </c>
      <c r="BP385" s="41">
        <v>0.80500000000000005</v>
      </c>
    </row>
    <row r="386" spans="27:68">
      <c r="AA386" s="1994"/>
      <c r="AR386" s="30">
        <v>17</v>
      </c>
      <c r="AS386" s="32">
        <v>952.3</v>
      </c>
      <c r="AX386" s="30">
        <v>17</v>
      </c>
      <c r="AY386" s="35">
        <v>0.14878</v>
      </c>
      <c r="BA386" s="30">
        <v>17</v>
      </c>
      <c r="BB386" s="35">
        <v>0.15117</v>
      </c>
      <c r="BD386" s="37">
        <v>820</v>
      </c>
      <c r="BE386" s="39">
        <v>40.98</v>
      </c>
      <c r="BF386" s="1995"/>
      <c r="BL386" s="37">
        <v>820</v>
      </c>
      <c r="BM386" s="2059">
        <v>1.2211000000000001</v>
      </c>
      <c r="BO386" s="40">
        <v>820</v>
      </c>
      <c r="BP386" s="41">
        <v>0.80600000000000005</v>
      </c>
    </row>
    <row r="387" spans="27:68">
      <c r="AA387" s="1994"/>
      <c r="AR387" s="30">
        <v>17.100000000000001</v>
      </c>
      <c r="AS387" s="32">
        <v>951.7</v>
      </c>
      <c r="AX387" s="30">
        <v>17.100000000000001</v>
      </c>
      <c r="AY387" s="35">
        <v>0.14867999999999998</v>
      </c>
      <c r="BA387" s="30">
        <v>17.100000000000001</v>
      </c>
      <c r="BB387" s="35">
        <v>0.15107000000000001</v>
      </c>
      <c r="BD387" s="37">
        <v>821</v>
      </c>
      <c r="BE387" s="39">
        <v>40.76</v>
      </c>
      <c r="BF387" s="1995"/>
      <c r="BL387" s="37">
        <v>821</v>
      </c>
      <c r="BM387" s="2059">
        <v>1.2197</v>
      </c>
      <c r="BO387" s="40">
        <v>821</v>
      </c>
      <c r="BP387" s="41">
        <v>0.80700000000000005</v>
      </c>
    </row>
    <row r="388" spans="27:68">
      <c r="AA388" s="1994"/>
      <c r="AR388" s="30">
        <v>17.2</v>
      </c>
      <c r="AS388" s="32">
        <v>951</v>
      </c>
      <c r="AX388" s="30">
        <v>17.2</v>
      </c>
      <c r="AY388" s="35">
        <v>0.14857999999999996</v>
      </c>
      <c r="BA388" s="30">
        <v>17.2</v>
      </c>
      <c r="BB388" s="35">
        <v>0.15096999999999999</v>
      </c>
      <c r="BD388" s="37">
        <v>822</v>
      </c>
      <c r="BE388" s="39">
        <v>40.56</v>
      </c>
      <c r="BF388" s="1995"/>
      <c r="BL388" s="37">
        <v>822</v>
      </c>
      <c r="BM388" s="2059">
        <v>1.2181999999999999</v>
      </c>
      <c r="BO388" s="40">
        <v>822</v>
      </c>
      <c r="BP388" s="41">
        <v>0.80789999999999995</v>
      </c>
    </row>
    <row r="389" spans="27:68">
      <c r="AA389" s="1994"/>
      <c r="AR389" s="30">
        <v>17.3</v>
      </c>
      <c r="AS389" s="32">
        <v>950.4</v>
      </c>
      <c r="AX389" s="30">
        <v>17.3</v>
      </c>
      <c r="AY389" s="35">
        <v>0.14847999999999995</v>
      </c>
      <c r="BA389" s="30">
        <v>17.3</v>
      </c>
      <c r="BB389" s="35">
        <v>0.15087</v>
      </c>
      <c r="BD389" s="37">
        <v>823</v>
      </c>
      <c r="BE389" s="39">
        <v>40.35</v>
      </c>
      <c r="BF389" s="1995"/>
      <c r="BL389" s="37">
        <v>823</v>
      </c>
      <c r="BM389" s="2059">
        <v>1.2166999999999999</v>
      </c>
      <c r="BO389" s="40">
        <v>823</v>
      </c>
      <c r="BP389" s="41">
        <v>0.80889999999999995</v>
      </c>
    </row>
    <row r="390" spans="27:68">
      <c r="AA390" s="1994"/>
      <c r="AR390" s="30">
        <v>17.399999999999999</v>
      </c>
      <c r="AS390" s="32">
        <v>949.7</v>
      </c>
      <c r="AX390" s="30">
        <v>17.399999999999999</v>
      </c>
      <c r="AY390" s="35">
        <v>0.14837999999999993</v>
      </c>
      <c r="BA390" s="30">
        <v>17.399999999999999</v>
      </c>
      <c r="BB390" s="35">
        <v>0.15076999999999999</v>
      </c>
      <c r="BD390" s="37">
        <v>824</v>
      </c>
      <c r="BE390" s="39">
        <v>40.14</v>
      </c>
      <c r="BF390" s="1995"/>
      <c r="BL390" s="37">
        <v>824</v>
      </c>
      <c r="BM390" s="2059">
        <v>1.2152000000000001</v>
      </c>
      <c r="BO390" s="40">
        <v>824</v>
      </c>
      <c r="BP390" s="41">
        <v>0.80989999999999995</v>
      </c>
    </row>
    <row r="391" spans="27:68">
      <c r="AA391" s="1994"/>
      <c r="AR391" s="30">
        <v>17.5</v>
      </c>
      <c r="AS391" s="32">
        <v>949.1</v>
      </c>
      <c r="AX391" s="30">
        <v>17.5</v>
      </c>
      <c r="AY391" s="35">
        <v>0.14827999999999991</v>
      </c>
      <c r="BA391" s="30">
        <v>17.5</v>
      </c>
      <c r="BB391" s="35">
        <v>0.15065999999999999</v>
      </c>
      <c r="BD391" s="37">
        <v>825</v>
      </c>
      <c r="BE391" s="39">
        <v>39.93</v>
      </c>
      <c r="BF391" s="1995"/>
      <c r="BL391" s="37">
        <v>825</v>
      </c>
      <c r="BM391" s="2059">
        <v>1.2137</v>
      </c>
      <c r="BO391" s="40">
        <v>825</v>
      </c>
      <c r="BP391" s="41">
        <v>0.81089999999999995</v>
      </c>
    </row>
    <row r="392" spans="27:68">
      <c r="AA392" s="1994"/>
      <c r="AR392" s="30">
        <v>17.600000000000001</v>
      </c>
      <c r="AS392" s="32">
        <v>948.5</v>
      </c>
      <c r="AX392" s="30">
        <v>17.600000000000001</v>
      </c>
      <c r="AY392" s="35">
        <v>0.1481799999999999</v>
      </c>
      <c r="BA392" s="30">
        <v>17.600000000000001</v>
      </c>
      <c r="BB392" s="35">
        <v>0.15056</v>
      </c>
      <c r="BD392" s="37">
        <v>826</v>
      </c>
      <c r="BE392" s="39">
        <v>39.72</v>
      </c>
      <c r="BF392" s="1995"/>
      <c r="BL392" s="37">
        <v>826</v>
      </c>
      <c r="BM392" s="2059">
        <v>1.2122999999999999</v>
      </c>
      <c r="BO392" s="40">
        <v>826</v>
      </c>
      <c r="BP392" s="41">
        <v>0.81189999999999996</v>
      </c>
    </row>
    <row r="393" spans="27:68">
      <c r="AA393" s="1994"/>
      <c r="AR393" s="30">
        <v>17.7</v>
      </c>
      <c r="AS393" s="32">
        <v>947.8</v>
      </c>
      <c r="AX393" s="30">
        <v>17.7</v>
      </c>
      <c r="AY393" s="35">
        <v>0.14809</v>
      </c>
      <c r="BA393" s="30">
        <v>17.7</v>
      </c>
      <c r="BB393" s="35">
        <v>0.15046000000000001</v>
      </c>
      <c r="BD393" s="37">
        <v>827</v>
      </c>
      <c r="BE393" s="39">
        <v>39.51</v>
      </c>
      <c r="BF393" s="1995"/>
      <c r="BL393" s="37">
        <v>827</v>
      </c>
      <c r="BM393" s="2059">
        <v>1.2108000000000001</v>
      </c>
      <c r="BO393" s="40">
        <v>827</v>
      </c>
      <c r="BP393" s="41">
        <v>0.81289999999999996</v>
      </c>
    </row>
    <row r="394" spans="27:68">
      <c r="AA394" s="1994"/>
      <c r="AR394" s="30">
        <v>17.8</v>
      </c>
      <c r="AS394" s="32">
        <v>947.2</v>
      </c>
      <c r="AX394" s="30">
        <v>17.8</v>
      </c>
      <c r="AY394" s="35">
        <v>0.14799000000000001</v>
      </c>
      <c r="BA394" s="30">
        <v>17.8</v>
      </c>
      <c r="BB394" s="35">
        <v>0.15035999999999999</v>
      </c>
      <c r="BD394" s="37">
        <v>828</v>
      </c>
      <c r="BE394" s="39">
        <v>39.31</v>
      </c>
      <c r="BF394" s="1995"/>
      <c r="BL394" s="37">
        <v>828</v>
      </c>
      <c r="BM394" s="2059">
        <v>1.2093</v>
      </c>
      <c r="BO394" s="40">
        <v>828</v>
      </c>
      <c r="BP394" s="41">
        <v>0.81379999999999997</v>
      </c>
    </row>
    <row r="395" spans="27:68">
      <c r="AA395" s="1994"/>
      <c r="AR395" s="30">
        <v>17.899999999999999</v>
      </c>
      <c r="AS395" s="32">
        <v>946.6</v>
      </c>
      <c r="AX395" s="30">
        <v>17.899999999999999</v>
      </c>
      <c r="AY395" s="35">
        <v>0.14788999999999999</v>
      </c>
      <c r="BA395" s="30">
        <v>17.899999999999999</v>
      </c>
      <c r="BB395" s="35">
        <v>0.15026</v>
      </c>
      <c r="BD395" s="37">
        <v>829</v>
      </c>
      <c r="BE395" s="39">
        <v>39.1</v>
      </c>
      <c r="BF395" s="1995"/>
      <c r="BL395" s="37">
        <v>829</v>
      </c>
      <c r="BM395" s="2059">
        <v>1.2079</v>
      </c>
      <c r="BO395" s="40">
        <v>829</v>
      </c>
      <c r="BP395" s="41">
        <v>0.81479999999999997</v>
      </c>
    </row>
    <row r="396" spans="27:68">
      <c r="AA396" s="1994"/>
      <c r="AR396" s="30">
        <v>18</v>
      </c>
      <c r="AS396" s="32">
        <v>945.9</v>
      </c>
      <c r="AX396" s="30">
        <v>18</v>
      </c>
      <c r="AY396" s="35">
        <v>0.14779</v>
      </c>
      <c r="BA396" s="30">
        <v>18</v>
      </c>
      <c r="BB396" s="35">
        <v>0.15015999999999999</v>
      </c>
      <c r="BD396" s="37">
        <v>830</v>
      </c>
      <c r="BE396" s="39">
        <v>38.9</v>
      </c>
      <c r="BF396" s="1995"/>
      <c r="BL396" s="37">
        <v>830</v>
      </c>
      <c r="BM396" s="2059">
        <v>1.2063999999999999</v>
      </c>
      <c r="BO396" s="40">
        <v>830</v>
      </c>
      <c r="BP396" s="41">
        <v>0.81579999999999997</v>
      </c>
    </row>
    <row r="397" spans="27:68">
      <c r="AA397" s="1994"/>
      <c r="AR397" s="30">
        <v>18.100000000000001</v>
      </c>
      <c r="AS397" s="32">
        <v>945.3</v>
      </c>
      <c r="AX397" s="30">
        <v>18.100000000000001</v>
      </c>
      <c r="AY397" s="35">
        <v>0.14769000000000002</v>
      </c>
      <c r="BA397" s="30">
        <v>18.100000000000001</v>
      </c>
      <c r="BB397" s="35">
        <v>0.15006</v>
      </c>
      <c r="BD397" s="37">
        <v>831</v>
      </c>
      <c r="BE397" s="39">
        <v>38.69</v>
      </c>
      <c r="BF397" s="1995"/>
      <c r="BL397" s="37">
        <v>831</v>
      </c>
      <c r="BM397" s="2059">
        <v>1.2050000000000001</v>
      </c>
      <c r="BO397" s="40">
        <v>831</v>
      </c>
      <c r="BP397" s="41">
        <v>0.81679999999999997</v>
      </c>
    </row>
    <row r="398" spans="27:68">
      <c r="AA398" s="1994"/>
      <c r="AR398" s="30">
        <v>18.2</v>
      </c>
      <c r="AS398" s="32">
        <v>944.7</v>
      </c>
      <c r="AX398" s="30">
        <v>18.2</v>
      </c>
      <c r="AY398" s="35">
        <v>0.14759000000000003</v>
      </c>
      <c r="BA398" s="30">
        <v>18.2</v>
      </c>
      <c r="BB398" s="35">
        <v>0.14996000000000001</v>
      </c>
      <c r="BD398" s="37">
        <v>832</v>
      </c>
      <c r="BE398" s="39">
        <v>38.49</v>
      </c>
      <c r="BF398" s="1995"/>
      <c r="BL398" s="37">
        <v>832</v>
      </c>
      <c r="BM398" s="2059">
        <v>1.2035</v>
      </c>
      <c r="BO398" s="40">
        <v>832</v>
      </c>
      <c r="BP398" s="41">
        <v>0.81779999999999997</v>
      </c>
    </row>
    <row r="399" spans="27:68">
      <c r="AA399" s="1994"/>
      <c r="AR399" s="30">
        <v>18.3</v>
      </c>
      <c r="AS399" s="32">
        <v>944</v>
      </c>
      <c r="AX399" s="30">
        <v>18.3</v>
      </c>
      <c r="AY399" s="35">
        <v>0.14749000000000004</v>
      </c>
      <c r="BA399" s="30">
        <v>18.3</v>
      </c>
      <c r="BB399" s="35">
        <v>0.14985999999999999</v>
      </c>
      <c r="BD399" s="37">
        <v>833</v>
      </c>
      <c r="BE399" s="39">
        <v>38.28</v>
      </c>
      <c r="BF399" s="1995"/>
      <c r="BL399" s="37">
        <v>833</v>
      </c>
      <c r="BM399" s="2059">
        <v>1.2020999999999999</v>
      </c>
      <c r="BO399" s="40">
        <v>833</v>
      </c>
      <c r="BP399" s="41">
        <v>0.81879999999999997</v>
      </c>
    </row>
    <row r="400" spans="27:68">
      <c r="AA400" s="1994"/>
      <c r="AR400" s="30">
        <v>18.399999999999999</v>
      </c>
      <c r="AS400" s="32">
        <v>943.4</v>
      </c>
      <c r="AX400" s="30">
        <v>18.399999999999999</v>
      </c>
      <c r="AY400" s="35">
        <v>0.14739000000000005</v>
      </c>
      <c r="BA400" s="30">
        <v>18.399999999999999</v>
      </c>
      <c r="BB400" s="35">
        <v>0.14976</v>
      </c>
      <c r="BD400" s="37">
        <v>834</v>
      </c>
      <c r="BE400" s="39">
        <v>38.08</v>
      </c>
      <c r="BF400" s="1995"/>
      <c r="BL400" s="37">
        <v>834</v>
      </c>
      <c r="BM400" s="2059">
        <v>1.2005999999999999</v>
      </c>
      <c r="BO400" s="40">
        <v>834</v>
      </c>
      <c r="BP400" s="41">
        <v>0.81979999999999997</v>
      </c>
    </row>
    <row r="401" spans="27:68">
      <c r="AA401" s="1994"/>
      <c r="AR401" s="30">
        <v>18.5</v>
      </c>
      <c r="AS401" s="32">
        <v>942.8</v>
      </c>
      <c r="AX401" s="30">
        <v>18.5</v>
      </c>
      <c r="AY401" s="35">
        <v>0.14729000000000006</v>
      </c>
      <c r="BA401" s="30">
        <v>18.5</v>
      </c>
      <c r="BB401" s="35">
        <v>0.14965999999999999</v>
      </c>
      <c r="BD401" s="37">
        <v>835</v>
      </c>
      <c r="BE401" s="39">
        <v>37.869999999999997</v>
      </c>
      <c r="BF401" s="1995"/>
      <c r="BL401" s="37">
        <v>835</v>
      </c>
      <c r="BM401" s="2059">
        <v>1.1992</v>
      </c>
      <c r="BO401" s="40">
        <v>835</v>
      </c>
      <c r="BP401" s="41">
        <v>0.82069999999999999</v>
      </c>
    </row>
    <row r="402" spans="27:68">
      <c r="AA402" s="1994"/>
      <c r="AR402" s="30">
        <v>18.600000000000001</v>
      </c>
      <c r="AS402" s="32">
        <v>942.2</v>
      </c>
      <c r="AX402" s="30">
        <v>18.600000000000001</v>
      </c>
      <c r="AY402" s="35">
        <v>0.1472</v>
      </c>
      <c r="BA402" s="30">
        <v>18.600000000000001</v>
      </c>
      <c r="BB402" s="35">
        <v>0.14956</v>
      </c>
      <c r="BD402" s="37">
        <v>836</v>
      </c>
      <c r="BE402" s="39">
        <v>37.67</v>
      </c>
      <c r="BF402" s="1995"/>
      <c r="BL402" s="37">
        <v>836</v>
      </c>
      <c r="BM402" s="2059">
        <v>1.1977</v>
      </c>
      <c r="BO402" s="40">
        <v>836</v>
      </c>
      <c r="BP402" s="41">
        <v>0.82169999999999999</v>
      </c>
    </row>
    <row r="403" spans="27:68">
      <c r="AA403" s="1994"/>
      <c r="AR403" s="30">
        <v>18.7</v>
      </c>
      <c r="AS403" s="32">
        <v>941.5</v>
      </c>
      <c r="AX403" s="30">
        <v>18.7</v>
      </c>
      <c r="AY403" s="35">
        <v>0.14710000000000001</v>
      </c>
      <c r="BA403" s="30">
        <v>18.7</v>
      </c>
      <c r="BB403" s="35">
        <v>0.14946000000000001</v>
      </c>
      <c r="BD403" s="37">
        <v>837</v>
      </c>
      <c r="BE403" s="39">
        <v>37.47</v>
      </c>
      <c r="BF403" s="1995"/>
      <c r="BL403" s="37">
        <v>837</v>
      </c>
      <c r="BM403" s="2059">
        <v>1.1962999999999999</v>
      </c>
      <c r="BO403" s="40">
        <v>837</v>
      </c>
      <c r="BP403" s="41">
        <v>0.82269999999999999</v>
      </c>
    </row>
    <row r="404" spans="27:68">
      <c r="AA404" s="1994"/>
      <c r="AR404" s="30">
        <v>18.8</v>
      </c>
      <c r="AS404" s="32">
        <v>940.9</v>
      </c>
      <c r="AX404" s="30">
        <v>18.8</v>
      </c>
      <c r="AY404" s="35">
        <v>0.14700000000000002</v>
      </c>
      <c r="BA404" s="30">
        <v>18.8</v>
      </c>
      <c r="BB404" s="35">
        <v>0.14935999999999999</v>
      </c>
      <c r="BD404" s="37">
        <v>838</v>
      </c>
      <c r="BE404" s="39">
        <v>37.270000000000003</v>
      </c>
      <c r="BF404" s="1995"/>
      <c r="BL404" s="37">
        <v>838</v>
      </c>
      <c r="BM404" s="2059">
        <v>1.1949000000000001</v>
      </c>
      <c r="BO404" s="40">
        <v>838</v>
      </c>
      <c r="BP404" s="41">
        <v>0.82369999999999999</v>
      </c>
    </row>
    <row r="405" spans="27:68">
      <c r="AA405" s="1994"/>
      <c r="AR405" s="30">
        <v>18.899999999999999</v>
      </c>
      <c r="AS405" s="32">
        <v>940.3</v>
      </c>
      <c r="AX405" s="30">
        <v>18.899999999999999</v>
      </c>
      <c r="AY405" s="35">
        <v>0.14690000000000003</v>
      </c>
      <c r="BA405" s="30">
        <v>18.899999999999999</v>
      </c>
      <c r="BB405" s="35">
        <v>0.14926</v>
      </c>
      <c r="BD405" s="37">
        <v>839</v>
      </c>
      <c r="BE405" s="39">
        <v>37.07</v>
      </c>
      <c r="BF405" s="1995"/>
      <c r="BL405" s="37">
        <v>839</v>
      </c>
      <c r="BM405" s="2059">
        <v>1.1935</v>
      </c>
      <c r="BO405" s="40">
        <v>839</v>
      </c>
      <c r="BP405" s="41">
        <v>0.82469999999999999</v>
      </c>
    </row>
    <row r="406" spans="27:68">
      <c r="AA406" s="1994"/>
      <c r="AR406" s="30">
        <v>19</v>
      </c>
      <c r="AS406" s="32">
        <v>939.7</v>
      </c>
      <c r="AX406" s="30">
        <v>19</v>
      </c>
      <c r="AY406" s="35">
        <v>0.14680000000000004</v>
      </c>
      <c r="BA406" s="30">
        <v>19</v>
      </c>
      <c r="BB406" s="35">
        <v>0.14915999999999999</v>
      </c>
      <c r="BD406" s="37">
        <v>840</v>
      </c>
      <c r="BE406" s="39">
        <v>36.86</v>
      </c>
      <c r="BF406" s="1995"/>
      <c r="BL406" s="37">
        <v>840</v>
      </c>
      <c r="BM406" s="2059">
        <v>1.1919999999999999</v>
      </c>
      <c r="BO406" s="40">
        <v>840</v>
      </c>
      <c r="BP406" s="41">
        <v>0.82569999999999999</v>
      </c>
    </row>
    <row r="407" spans="27:68">
      <c r="AA407" s="1994"/>
      <c r="AR407" s="30">
        <v>19.100000000000001</v>
      </c>
      <c r="AS407" s="32">
        <v>939</v>
      </c>
      <c r="AX407" s="30">
        <v>19.100000000000001</v>
      </c>
      <c r="AY407" s="35">
        <v>0.14671000000000001</v>
      </c>
      <c r="BA407" s="30">
        <v>19.100000000000001</v>
      </c>
      <c r="BB407" s="35">
        <v>0.14906</v>
      </c>
      <c r="BD407" s="37">
        <v>841</v>
      </c>
      <c r="BE407" s="39">
        <v>36.659999999999997</v>
      </c>
      <c r="BF407" s="1995"/>
      <c r="BL407" s="37">
        <v>841</v>
      </c>
      <c r="BM407" s="2059">
        <v>1.1906000000000001</v>
      </c>
      <c r="BO407" s="40">
        <v>841</v>
      </c>
      <c r="BP407" s="41">
        <v>0.8266</v>
      </c>
    </row>
    <row r="408" spans="27:68">
      <c r="AA408" s="1994"/>
      <c r="AR408" s="30">
        <v>19.2</v>
      </c>
      <c r="AS408" s="32">
        <v>938.4</v>
      </c>
      <c r="AX408" s="30">
        <v>19.2</v>
      </c>
      <c r="AY408" s="35">
        <v>0.14660999999999999</v>
      </c>
      <c r="BA408" s="30">
        <v>19.2</v>
      </c>
      <c r="BB408" s="35">
        <v>0.14896000000000001</v>
      </c>
      <c r="BD408" s="37">
        <v>842</v>
      </c>
      <c r="BE408" s="39">
        <v>36.46</v>
      </c>
      <c r="BF408" s="1995"/>
      <c r="BL408" s="37">
        <v>842</v>
      </c>
      <c r="BM408" s="2059">
        <v>1.1892</v>
      </c>
      <c r="BO408" s="40">
        <v>842</v>
      </c>
      <c r="BP408" s="41">
        <v>0.8276</v>
      </c>
    </row>
    <row r="409" spans="27:68">
      <c r="AA409" s="1994"/>
      <c r="AR409" s="30">
        <v>19.3</v>
      </c>
      <c r="AS409" s="32">
        <v>937.8</v>
      </c>
      <c r="AX409" s="30">
        <v>19.3</v>
      </c>
      <c r="AY409" s="35">
        <v>0.14651</v>
      </c>
      <c r="BA409" s="30">
        <v>19.3</v>
      </c>
      <c r="BB409" s="35">
        <v>0.14885999999999999</v>
      </c>
      <c r="BD409" s="37">
        <v>843</v>
      </c>
      <c r="BE409" s="39">
        <v>36.270000000000003</v>
      </c>
      <c r="BF409" s="1995"/>
      <c r="BL409" s="37">
        <v>843</v>
      </c>
      <c r="BM409" s="2059">
        <v>1.1878</v>
      </c>
      <c r="BO409" s="40">
        <v>843</v>
      </c>
      <c r="BP409" s="41">
        <v>0.8286</v>
      </c>
    </row>
    <row r="410" spans="27:68">
      <c r="AA410" s="1994"/>
      <c r="AR410" s="30">
        <v>19.399999999999999</v>
      </c>
      <c r="AS410" s="32">
        <v>937.2</v>
      </c>
      <c r="AX410" s="30">
        <v>19.399999999999999</v>
      </c>
      <c r="AY410" s="35">
        <v>0.14641000000000001</v>
      </c>
      <c r="BA410" s="30">
        <v>19.399999999999999</v>
      </c>
      <c r="BB410" s="35">
        <v>0.14876</v>
      </c>
      <c r="BD410" s="37">
        <v>844</v>
      </c>
      <c r="BE410" s="39">
        <v>36.07</v>
      </c>
      <c r="BF410" s="1995"/>
      <c r="BL410" s="37">
        <v>844</v>
      </c>
      <c r="BM410" s="2059">
        <v>1.1863999999999999</v>
      </c>
      <c r="BO410" s="40">
        <v>844</v>
      </c>
      <c r="BP410" s="41">
        <v>0.8296</v>
      </c>
    </row>
    <row r="411" spans="27:68">
      <c r="AA411" s="1994"/>
      <c r="AR411" s="30">
        <v>19.5</v>
      </c>
      <c r="AS411" s="32">
        <v>936.5</v>
      </c>
      <c r="AX411" s="30">
        <v>19.5</v>
      </c>
      <c r="AY411" s="35">
        <v>0.14632000000000001</v>
      </c>
      <c r="BA411" s="30">
        <v>19.5</v>
      </c>
      <c r="BB411" s="35">
        <v>0.14867</v>
      </c>
      <c r="BD411" s="37">
        <v>845</v>
      </c>
      <c r="BE411" s="39">
        <v>35.869999999999997</v>
      </c>
      <c r="BF411" s="1995"/>
      <c r="BL411" s="37">
        <v>845</v>
      </c>
      <c r="BM411" s="2059">
        <v>1.1850000000000001</v>
      </c>
      <c r="BO411" s="40">
        <v>845</v>
      </c>
      <c r="BP411" s="41">
        <v>0.8306</v>
      </c>
    </row>
    <row r="412" spans="27:68">
      <c r="AA412" s="1994"/>
      <c r="AR412" s="30">
        <v>19.600000000000001</v>
      </c>
      <c r="AS412" s="32">
        <v>935.9</v>
      </c>
      <c r="AX412" s="30">
        <v>19.600000000000001</v>
      </c>
      <c r="AY412" s="35">
        <v>0.14621999999999999</v>
      </c>
      <c r="BA412" s="30">
        <v>19.600000000000001</v>
      </c>
      <c r="BB412" s="35">
        <v>0.14857000000000001</v>
      </c>
      <c r="BD412" s="37">
        <v>846</v>
      </c>
      <c r="BE412" s="39">
        <v>35.67</v>
      </c>
      <c r="BF412" s="1995"/>
      <c r="BL412" s="37">
        <v>846</v>
      </c>
      <c r="BM412" s="2059">
        <v>1.1836</v>
      </c>
      <c r="BO412" s="40">
        <v>846</v>
      </c>
      <c r="BP412" s="41">
        <v>0.83160000000000001</v>
      </c>
    </row>
    <row r="413" spans="27:68">
      <c r="AA413" s="1994"/>
      <c r="AR413" s="30">
        <v>19.7</v>
      </c>
      <c r="AS413" s="32">
        <v>935.3</v>
      </c>
      <c r="AX413" s="30">
        <v>19.7</v>
      </c>
      <c r="AY413" s="35">
        <v>0.14612</v>
      </c>
      <c r="BA413" s="30">
        <v>19.7</v>
      </c>
      <c r="BB413" s="35">
        <v>0.14846999999999999</v>
      </c>
      <c r="BD413" s="37">
        <v>847</v>
      </c>
      <c r="BE413" s="39">
        <v>35.47</v>
      </c>
      <c r="BF413" s="1995"/>
      <c r="BL413" s="37">
        <v>847</v>
      </c>
      <c r="BM413" s="2059">
        <v>1.1821999999999999</v>
      </c>
      <c r="BO413" s="40">
        <v>847</v>
      </c>
      <c r="BP413" s="41">
        <v>0.83250000000000002</v>
      </c>
    </row>
    <row r="414" spans="27:68">
      <c r="AA414" s="1994"/>
      <c r="AR414" s="30">
        <v>19.8</v>
      </c>
      <c r="AS414" s="32">
        <v>934.7</v>
      </c>
      <c r="AX414" s="30">
        <v>19.8</v>
      </c>
      <c r="AY414" s="35">
        <v>0.14602999999999999</v>
      </c>
      <c r="BA414" s="30">
        <v>19.8</v>
      </c>
      <c r="BB414" s="35">
        <v>0.14837</v>
      </c>
      <c r="BD414" s="37">
        <v>848</v>
      </c>
      <c r="BE414" s="39">
        <v>35.28</v>
      </c>
      <c r="BF414" s="1995"/>
      <c r="BL414" s="37">
        <v>848</v>
      </c>
      <c r="BM414" s="2059">
        <v>1.1808000000000001</v>
      </c>
      <c r="BO414" s="40">
        <v>848</v>
      </c>
      <c r="BP414" s="41">
        <v>0.83350000000000002</v>
      </c>
    </row>
    <row r="415" spans="27:68">
      <c r="AA415" s="1994"/>
      <c r="AR415" s="30">
        <v>19.899999999999999</v>
      </c>
      <c r="AS415" s="32">
        <v>934.1</v>
      </c>
      <c r="AX415" s="30">
        <v>19.899999999999999</v>
      </c>
      <c r="AY415" s="35">
        <v>0.14593</v>
      </c>
      <c r="BA415" s="30">
        <v>19.899999999999999</v>
      </c>
      <c r="BB415" s="35">
        <v>0.14827000000000001</v>
      </c>
      <c r="BD415" s="37">
        <v>849</v>
      </c>
      <c r="BE415" s="39">
        <v>35.08</v>
      </c>
      <c r="BF415" s="1995"/>
      <c r="BL415" s="37">
        <v>849</v>
      </c>
      <c r="BM415" s="2059">
        <v>1.1794</v>
      </c>
      <c r="BO415" s="40">
        <v>849</v>
      </c>
      <c r="BP415" s="41">
        <v>0.83450000000000002</v>
      </c>
    </row>
    <row r="416" spans="27:68">
      <c r="AA416" s="1994"/>
      <c r="AR416" s="30">
        <v>20</v>
      </c>
      <c r="AS416" s="32">
        <v>933.5</v>
      </c>
      <c r="AX416" s="30">
        <v>20</v>
      </c>
      <c r="AY416" s="35">
        <v>0.14582999999999999</v>
      </c>
      <c r="BA416" s="30">
        <v>20</v>
      </c>
      <c r="BB416" s="35">
        <v>0.14817</v>
      </c>
      <c r="BD416" s="37">
        <v>850</v>
      </c>
      <c r="BE416" s="39">
        <v>34.880000000000003</v>
      </c>
      <c r="BF416" s="1995"/>
      <c r="BL416" s="37">
        <v>850</v>
      </c>
      <c r="BM416" s="2059">
        <v>1.1779999999999999</v>
      </c>
      <c r="BO416" s="40">
        <v>850</v>
      </c>
      <c r="BP416" s="41">
        <v>0.83550000000000002</v>
      </c>
    </row>
    <row r="417" spans="27:68">
      <c r="AA417" s="1994"/>
      <c r="AR417" s="30">
        <v>20.100000000000001</v>
      </c>
      <c r="AS417" s="32">
        <v>932.8</v>
      </c>
      <c r="AX417" s="30">
        <v>20.100000000000001</v>
      </c>
      <c r="AY417" s="35">
        <v>0.14574000000000001</v>
      </c>
      <c r="BA417" s="30">
        <v>20.100000000000001</v>
      </c>
      <c r="BB417" s="35">
        <v>0.14807999999999999</v>
      </c>
      <c r="BD417" s="37">
        <v>851</v>
      </c>
      <c r="BE417" s="39">
        <v>34.69</v>
      </c>
      <c r="BF417" s="1995"/>
      <c r="BL417" s="37">
        <v>851</v>
      </c>
      <c r="BM417" s="2059">
        <v>1.1766000000000001</v>
      </c>
      <c r="BO417" s="40">
        <v>851</v>
      </c>
      <c r="BP417" s="41">
        <v>0.83650000000000002</v>
      </c>
    </row>
    <row r="418" spans="27:68">
      <c r="AA418" s="1994"/>
      <c r="AR418" s="30">
        <v>20.2</v>
      </c>
      <c r="AS418" s="32">
        <v>932.2</v>
      </c>
      <c r="AX418" s="30">
        <v>20.2</v>
      </c>
      <c r="AY418" s="35">
        <v>0.14563999999999999</v>
      </c>
      <c r="BA418" s="30">
        <v>20.2</v>
      </c>
      <c r="BB418" s="35">
        <v>0.14798</v>
      </c>
      <c r="BD418" s="37">
        <v>852</v>
      </c>
      <c r="BE418" s="39">
        <v>34.49</v>
      </c>
      <c r="BF418" s="1995"/>
      <c r="BL418" s="37">
        <v>852</v>
      </c>
      <c r="BM418" s="2059">
        <v>1.1752</v>
      </c>
      <c r="BO418" s="40">
        <v>852</v>
      </c>
      <c r="BP418" s="41">
        <v>0.83750000000000002</v>
      </c>
    </row>
    <row r="419" spans="27:68">
      <c r="AA419" s="1994"/>
      <c r="AR419" s="30">
        <v>20.3</v>
      </c>
      <c r="AS419" s="32">
        <v>931.6</v>
      </c>
      <c r="AX419" s="30">
        <v>20.3</v>
      </c>
      <c r="AY419" s="35">
        <v>0.14555000000000001</v>
      </c>
      <c r="BA419" s="30">
        <v>20.3</v>
      </c>
      <c r="BB419" s="35">
        <v>0.14788000000000001</v>
      </c>
      <c r="BD419" s="37">
        <v>853</v>
      </c>
      <c r="BE419" s="39">
        <v>34.299999999999997</v>
      </c>
      <c r="BF419" s="1995"/>
      <c r="BL419" s="37">
        <v>853</v>
      </c>
      <c r="BM419" s="2059">
        <v>1.1738</v>
      </c>
      <c r="BO419" s="40">
        <v>853</v>
      </c>
      <c r="BP419" s="41">
        <v>0.83850000000000002</v>
      </c>
    </row>
    <row r="420" spans="27:68">
      <c r="AA420" s="1994"/>
      <c r="AR420" s="30">
        <v>20.399999999999999</v>
      </c>
      <c r="AS420" s="32">
        <v>931</v>
      </c>
      <c r="AX420" s="30">
        <v>20.399999999999999</v>
      </c>
      <c r="AY420" s="35">
        <v>0.14545</v>
      </c>
      <c r="BA420" s="30">
        <v>20.399999999999999</v>
      </c>
      <c r="BB420" s="35">
        <v>0.14777999999999999</v>
      </c>
      <c r="BD420" s="37">
        <v>854</v>
      </c>
      <c r="BE420" s="39">
        <v>34.1</v>
      </c>
      <c r="BF420" s="1995"/>
      <c r="BL420" s="37">
        <v>854</v>
      </c>
      <c r="BM420" s="2059">
        <v>1.1725000000000001</v>
      </c>
      <c r="BO420" s="40">
        <v>854</v>
      </c>
      <c r="BP420" s="41">
        <v>0.83940000000000003</v>
      </c>
    </row>
    <row r="421" spans="27:68">
      <c r="AA421" s="1994"/>
      <c r="AR421" s="30">
        <v>20.5</v>
      </c>
      <c r="AS421" s="32">
        <v>930.4</v>
      </c>
      <c r="AX421" s="30">
        <v>20.5</v>
      </c>
      <c r="AY421" s="35">
        <v>0.14535000000000001</v>
      </c>
      <c r="BA421" s="30">
        <v>20.5</v>
      </c>
      <c r="BB421" s="35">
        <v>0.14768999999999999</v>
      </c>
      <c r="BD421" s="37">
        <v>855</v>
      </c>
      <c r="BE421" s="39">
        <v>33.909999999999997</v>
      </c>
      <c r="BF421" s="1995"/>
      <c r="BL421" s="37">
        <v>855</v>
      </c>
      <c r="BM421" s="2059">
        <v>1.1711</v>
      </c>
      <c r="BO421" s="40">
        <v>855</v>
      </c>
      <c r="BP421" s="41">
        <v>0.84040000000000004</v>
      </c>
    </row>
    <row r="422" spans="27:68">
      <c r="AA422" s="1994"/>
      <c r="AR422" s="30">
        <v>20.6</v>
      </c>
      <c r="AS422" s="32">
        <v>929.8</v>
      </c>
      <c r="AX422" s="30">
        <v>20.6</v>
      </c>
      <c r="AY422" s="35">
        <v>0.14526</v>
      </c>
      <c r="BA422" s="30">
        <v>20.6</v>
      </c>
      <c r="BB422" s="35">
        <v>0.14759</v>
      </c>
      <c r="BD422" s="37">
        <v>856</v>
      </c>
      <c r="BE422" s="39">
        <v>33.72</v>
      </c>
      <c r="BF422" s="1995"/>
      <c r="BL422" s="37">
        <v>856</v>
      </c>
      <c r="BM422" s="2059">
        <v>1.1697</v>
      </c>
      <c r="BO422" s="40">
        <v>856</v>
      </c>
      <c r="BP422" s="41">
        <v>0.84140000000000004</v>
      </c>
    </row>
    <row r="423" spans="27:68">
      <c r="AA423" s="1994"/>
      <c r="AR423" s="30">
        <v>20.7</v>
      </c>
      <c r="AS423" s="32">
        <v>929.2</v>
      </c>
      <c r="AX423" s="30">
        <v>20.7</v>
      </c>
      <c r="AY423" s="35">
        <v>0.14516000000000001</v>
      </c>
      <c r="BA423" s="30">
        <v>20.7</v>
      </c>
      <c r="BB423" s="35">
        <v>0.14749000000000001</v>
      </c>
      <c r="BD423" s="37">
        <v>857</v>
      </c>
      <c r="BE423" s="39">
        <v>33.520000000000003</v>
      </c>
      <c r="BF423" s="1995"/>
      <c r="BL423" s="37">
        <v>857</v>
      </c>
      <c r="BM423" s="2059">
        <v>1.1682999999999999</v>
      </c>
      <c r="BO423" s="40">
        <v>857</v>
      </c>
      <c r="BP423" s="41">
        <v>0.84240000000000004</v>
      </c>
    </row>
    <row r="424" spans="27:68">
      <c r="AA424" s="1994"/>
      <c r="AR424" s="30">
        <v>20.8</v>
      </c>
      <c r="AS424" s="32">
        <v>928.6</v>
      </c>
      <c r="AX424" s="30">
        <v>20.8</v>
      </c>
      <c r="AY424" s="35">
        <v>0.14507</v>
      </c>
      <c r="BA424" s="30">
        <v>20.8</v>
      </c>
      <c r="BB424" s="35">
        <v>0.1474</v>
      </c>
      <c r="BD424" s="37">
        <v>858</v>
      </c>
      <c r="BE424" s="39">
        <v>33.33</v>
      </c>
      <c r="BF424" s="1995"/>
      <c r="BL424" s="37">
        <v>858</v>
      </c>
      <c r="BM424" s="2059">
        <v>1.167</v>
      </c>
      <c r="BO424" s="40">
        <v>858</v>
      </c>
      <c r="BP424" s="41">
        <v>0.84340000000000004</v>
      </c>
    </row>
    <row r="425" spans="27:68">
      <c r="AA425" s="1994"/>
      <c r="AR425" s="30">
        <v>20.9</v>
      </c>
      <c r="AS425" s="32">
        <v>927.9</v>
      </c>
      <c r="AX425" s="30">
        <v>20.9</v>
      </c>
      <c r="AY425" s="35">
        <v>0.14496999999999999</v>
      </c>
      <c r="BA425" s="30">
        <v>20.9</v>
      </c>
      <c r="BB425" s="35">
        <v>0.14729999999999999</v>
      </c>
      <c r="BD425" s="37">
        <v>859</v>
      </c>
      <c r="BE425" s="39">
        <v>33.14</v>
      </c>
      <c r="BF425" s="1995"/>
      <c r="BL425" s="37">
        <v>859</v>
      </c>
      <c r="BM425" s="2059">
        <v>1.1656</v>
      </c>
      <c r="BO425" s="40">
        <v>859</v>
      </c>
      <c r="BP425" s="41">
        <v>0.84440000000000004</v>
      </c>
    </row>
    <row r="426" spans="27:68">
      <c r="AA426" s="1994"/>
      <c r="AR426" s="30">
        <v>21</v>
      </c>
      <c r="AS426" s="32">
        <v>927.3</v>
      </c>
      <c r="AX426" s="30">
        <v>21</v>
      </c>
      <c r="AY426" s="35">
        <v>0.14488000000000001</v>
      </c>
      <c r="BA426" s="30">
        <v>21</v>
      </c>
      <c r="BB426" s="35">
        <v>0.1472</v>
      </c>
      <c r="BD426" s="37">
        <v>860</v>
      </c>
      <c r="BE426" s="39">
        <v>32.950000000000003</v>
      </c>
      <c r="BF426" s="1995"/>
      <c r="BL426" s="37">
        <v>860</v>
      </c>
      <c r="BM426" s="2059">
        <v>1.1642999999999999</v>
      </c>
      <c r="BO426" s="40">
        <v>860</v>
      </c>
      <c r="BP426" s="41">
        <v>0.84530000000000005</v>
      </c>
    </row>
    <row r="427" spans="27:68">
      <c r="AA427" s="1994"/>
      <c r="AR427" s="30">
        <v>21.1</v>
      </c>
      <c r="AS427" s="32">
        <v>926.7</v>
      </c>
      <c r="AX427" s="30">
        <v>21.1</v>
      </c>
      <c r="AY427" s="35">
        <v>0.14477999999999999</v>
      </c>
      <c r="BA427" s="30">
        <v>21.1</v>
      </c>
      <c r="BB427" s="35">
        <v>0.14710000000000001</v>
      </c>
      <c r="BD427" s="37">
        <v>861</v>
      </c>
      <c r="BE427" s="39">
        <v>32.76</v>
      </c>
      <c r="BF427" s="1995"/>
      <c r="BL427" s="37">
        <v>861</v>
      </c>
      <c r="BM427" s="2059">
        <v>1.1629</v>
      </c>
      <c r="BO427" s="40">
        <v>861</v>
      </c>
      <c r="BP427" s="41">
        <v>0.84630000000000005</v>
      </c>
    </row>
    <row r="428" spans="27:68">
      <c r="AA428" s="1994"/>
      <c r="AR428" s="30">
        <v>21.2</v>
      </c>
      <c r="AS428" s="32">
        <v>926.1</v>
      </c>
      <c r="AX428" s="30">
        <v>21.2</v>
      </c>
      <c r="AY428" s="35">
        <v>0.14469000000000001</v>
      </c>
      <c r="BA428" s="30">
        <v>21.2</v>
      </c>
      <c r="BB428" s="35">
        <v>0.14701</v>
      </c>
      <c r="BD428" s="37">
        <v>862</v>
      </c>
      <c r="BE428" s="39">
        <v>32.57</v>
      </c>
      <c r="BF428" s="1995"/>
      <c r="BL428" s="37">
        <v>862</v>
      </c>
      <c r="BM428" s="2059">
        <v>1.1616</v>
      </c>
      <c r="BO428" s="40">
        <v>862</v>
      </c>
      <c r="BP428" s="41">
        <v>0.84730000000000005</v>
      </c>
    </row>
    <row r="429" spans="27:68">
      <c r="AA429" s="1994"/>
      <c r="AR429" s="30">
        <v>21.3</v>
      </c>
      <c r="AS429" s="32">
        <v>925.5</v>
      </c>
      <c r="AX429" s="30">
        <v>21.3</v>
      </c>
      <c r="AY429" s="35">
        <v>0.14459</v>
      </c>
      <c r="BA429" s="30">
        <v>21.3</v>
      </c>
      <c r="BB429" s="35">
        <v>0.14691000000000001</v>
      </c>
      <c r="BD429" s="37">
        <v>863</v>
      </c>
      <c r="BE429" s="39">
        <v>32.380000000000003</v>
      </c>
      <c r="BF429" s="1995"/>
      <c r="BL429" s="37">
        <v>863</v>
      </c>
      <c r="BM429" s="2059">
        <v>1.1601999999999999</v>
      </c>
      <c r="BO429" s="40">
        <v>863</v>
      </c>
      <c r="BP429" s="41">
        <v>0.84830000000000005</v>
      </c>
    </row>
    <row r="430" spans="27:68">
      <c r="AA430" s="1994"/>
      <c r="AR430" s="30">
        <v>21.4</v>
      </c>
      <c r="AS430" s="32">
        <v>924.9</v>
      </c>
      <c r="AX430" s="30">
        <v>21.4</v>
      </c>
      <c r="AY430" s="35">
        <v>0.14449999999999999</v>
      </c>
      <c r="BA430" s="30">
        <v>21.4</v>
      </c>
      <c r="BB430" s="35">
        <v>0.14682000000000001</v>
      </c>
      <c r="BD430" s="37">
        <v>864</v>
      </c>
      <c r="BE430" s="39">
        <v>32.19</v>
      </c>
      <c r="BF430" s="1995"/>
      <c r="BL430" s="37">
        <v>864</v>
      </c>
      <c r="BM430" s="2059">
        <v>1.1589</v>
      </c>
      <c r="BO430" s="40">
        <v>864</v>
      </c>
      <c r="BP430" s="41">
        <v>0.84930000000000005</v>
      </c>
    </row>
    <row r="431" spans="27:68">
      <c r="AA431" s="1994"/>
      <c r="AR431" s="30">
        <v>21.5</v>
      </c>
      <c r="AS431" s="32">
        <v>924.3</v>
      </c>
      <c r="AX431" s="30">
        <v>21.5</v>
      </c>
      <c r="AY431" s="35">
        <v>0.1444</v>
      </c>
      <c r="BA431" s="30">
        <v>21.5</v>
      </c>
      <c r="BB431" s="35">
        <v>0.14671999999999999</v>
      </c>
      <c r="BD431" s="37">
        <v>865</v>
      </c>
      <c r="BE431" s="39">
        <v>32</v>
      </c>
      <c r="BF431" s="1995"/>
      <c r="BL431" s="37">
        <v>865</v>
      </c>
      <c r="BM431" s="2059">
        <v>1.1575</v>
      </c>
      <c r="BO431" s="40">
        <v>865</v>
      </c>
      <c r="BP431" s="41">
        <v>0.85029999999999994</v>
      </c>
    </row>
    <row r="432" spans="27:68">
      <c r="AA432" s="1994"/>
      <c r="AR432" s="30">
        <v>21.6</v>
      </c>
      <c r="AS432" s="32">
        <v>923.7</v>
      </c>
      <c r="AX432" s="30">
        <v>21.6</v>
      </c>
      <c r="AY432" s="35">
        <v>0.14430999999999999</v>
      </c>
      <c r="BA432" s="30">
        <v>21.6</v>
      </c>
      <c r="BB432" s="35">
        <v>0.14662</v>
      </c>
      <c r="BD432" s="37">
        <v>866</v>
      </c>
      <c r="BE432" s="39">
        <v>31.81</v>
      </c>
      <c r="BF432" s="1995"/>
      <c r="BL432" s="37">
        <v>866</v>
      </c>
      <c r="BM432" s="2059">
        <v>1.1561999999999999</v>
      </c>
      <c r="BO432" s="40">
        <v>866</v>
      </c>
      <c r="BP432" s="41">
        <v>0.85129999999999995</v>
      </c>
    </row>
    <row r="433" spans="27:68">
      <c r="AA433" s="1994"/>
      <c r="AR433" s="30">
        <v>21.7</v>
      </c>
      <c r="AS433" s="32">
        <v>923.1</v>
      </c>
      <c r="AX433" s="30">
        <v>21.7</v>
      </c>
      <c r="AY433" s="35">
        <v>0.14421</v>
      </c>
      <c r="BA433" s="30">
        <v>21.7</v>
      </c>
      <c r="BB433" s="35">
        <v>0.14652999999999999</v>
      </c>
      <c r="BD433" s="37">
        <v>867</v>
      </c>
      <c r="BE433" s="39">
        <v>31.62</v>
      </c>
      <c r="BF433" s="1995"/>
      <c r="BL433" s="37">
        <v>867</v>
      </c>
      <c r="BM433" s="2059">
        <v>1.1549</v>
      </c>
      <c r="BO433" s="40">
        <v>867</v>
      </c>
      <c r="BP433" s="41">
        <v>0.85219999999999996</v>
      </c>
    </row>
    <row r="434" spans="27:68">
      <c r="AA434" s="1994"/>
      <c r="AR434" s="30">
        <v>21.8</v>
      </c>
      <c r="AS434" s="32">
        <v>922.5</v>
      </c>
      <c r="AX434" s="30">
        <v>21.8</v>
      </c>
      <c r="AY434" s="35">
        <v>0.14412</v>
      </c>
      <c r="BA434" s="30">
        <v>21.8</v>
      </c>
      <c r="BB434" s="35">
        <v>0.14643</v>
      </c>
      <c r="BD434" s="37">
        <v>868</v>
      </c>
      <c r="BE434" s="39">
        <v>31.43</v>
      </c>
      <c r="BF434" s="1995"/>
      <c r="BL434" s="37">
        <v>868</v>
      </c>
      <c r="BM434" s="2059">
        <v>1.1535</v>
      </c>
      <c r="BO434" s="40">
        <v>868</v>
      </c>
      <c r="BP434" s="41">
        <v>0.85319999999999996</v>
      </c>
    </row>
    <row r="435" spans="27:68">
      <c r="AA435" s="1994"/>
      <c r="AR435" s="30">
        <v>21.9</v>
      </c>
      <c r="AS435" s="32">
        <v>921.9</v>
      </c>
      <c r="AX435" s="30">
        <v>21.9</v>
      </c>
      <c r="AY435" s="35">
        <v>0.14402999999999999</v>
      </c>
      <c r="BA435" s="30">
        <v>21.9</v>
      </c>
      <c r="BB435" s="35">
        <v>0.14634</v>
      </c>
      <c r="BD435" s="37">
        <v>869</v>
      </c>
      <c r="BE435" s="39">
        <v>31.24</v>
      </c>
      <c r="BF435" s="1995"/>
      <c r="BL435" s="37">
        <v>869</v>
      </c>
      <c r="BM435" s="2059">
        <v>1.1521999999999999</v>
      </c>
      <c r="BO435" s="40">
        <v>869</v>
      </c>
      <c r="BP435" s="41">
        <v>0.85419999999999996</v>
      </c>
    </row>
    <row r="436" spans="27:68">
      <c r="AA436" s="1994"/>
      <c r="AR436" s="30">
        <v>22</v>
      </c>
      <c r="AS436" s="32">
        <v>921.3</v>
      </c>
      <c r="AX436" s="30">
        <v>22</v>
      </c>
      <c r="AY436" s="35">
        <v>0.14393</v>
      </c>
      <c r="BA436" s="30">
        <v>22</v>
      </c>
      <c r="BB436" s="35">
        <v>0.14624000000000001</v>
      </c>
      <c r="BD436" s="37">
        <v>870</v>
      </c>
      <c r="BE436" s="39">
        <v>31.06</v>
      </c>
      <c r="BF436" s="1995"/>
      <c r="BL436" s="37">
        <v>870</v>
      </c>
      <c r="BM436" s="2059">
        <v>1.1509</v>
      </c>
      <c r="BO436" s="40">
        <v>870</v>
      </c>
      <c r="BP436" s="41">
        <v>0.85519999999999996</v>
      </c>
    </row>
    <row r="437" spans="27:68">
      <c r="AA437" s="1994"/>
      <c r="AR437" s="30">
        <v>22.1</v>
      </c>
      <c r="AS437" s="32">
        <v>920.7</v>
      </c>
      <c r="AX437" s="30">
        <v>22.1</v>
      </c>
      <c r="AY437" s="35">
        <v>0.14384</v>
      </c>
      <c r="BA437" s="30">
        <v>22.1</v>
      </c>
      <c r="BB437" s="35">
        <v>0.14615</v>
      </c>
      <c r="BD437" s="37">
        <v>871</v>
      </c>
      <c r="BE437" s="39">
        <v>30.87</v>
      </c>
      <c r="BF437" s="1995"/>
      <c r="BL437" s="37">
        <v>871</v>
      </c>
      <c r="BM437" s="2059">
        <v>1.1495</v>
      </c>
      <c r="BO437" s="40">
        <v>871</v>
      </c>
      <c r="BP437" s="41">
        <v>0.85619999999999996</v>
      </c>
    </row>
    <row r="438" spans="27:68">
      <c r="AA438" s="1994"/>
      <c r="AR438" s="30">
        <v>22.2</v>
      </c>
      <c r="AS438" s="32">
        <v>920.1</v>
      </c>
      <c r="AX438" s="30">
        <v>22.2</v>
      </c>
      <c r="AY438" s="35">
        <v>0.14374000000000001</v>
      </c>
      <c r="BA438" s="30">
        <v>22.2</v>
      </c>
      <c r="BB438" s="35">
        <v>0.14605000000000001</v>
      </c>
      <c r="BD438" s="37">
        <v>872</v>
      </c>
      <c r="BE438" s="39">
        <v>30.68</v>
      </c>
      <c r="BF438" s="1995"/>
      <c r="BL438" s="37">
        <v>872</v>
      </c>
      <c r="BM438" s="2059">
        <v>1.1482000000000001</v>
      </c>
      <c r="BO438" s="40">
        <v>872</v>
      </c>
      <c r="BP438" s="41">
        <v>0.85719999999999996</v>
      </c>
    </row>
    <row r="439" spans="27:68">
      <c r="AA439" s="1994"/>
      <c r="AR439" s="30">
        <v>22.3</v>
      </c>
      <c r="AS439" s="32">
        <v>919.5</v>
      </c>
      <c r="AX439" s="30">
        <v>22.3</v>
      </c>
      <c r="AY439" s="35">
        <v>0.14365</v>
      </c>
      <c r="BA439" s="30">
        <v>22.3</v>
      </c>
      <c r="BB439" s="35">
        <v>0.14596000000000001</v>
      </c>
      <c r="BD439" s="37">
        <v>873</v>
      </c>
      <c r="BE439" s="39">
        <v>30.5</v>
      </c>
      <c r="BF439" s="1995"/>
      <c r="BL439" s="37">
        <v>873</v>
      </c>
      <c r="BM439" s="2059">
        <v>1.1469</v>
      </c>
      <c r="BO439" s="40">
        <v>873</v>
      </c>
      <c r="BP439" s="41">
        <v>0.85809999999999997</v>
      </c>
    </row>
    <row r="440" spans="27:68">
      <c r="AA440" s="1994"/>
      <c r="AR440" s="30">
        <v>22.4</v>
      </c>
      <c r="AS440" s="32">
        <v>918.9</v>
      </c>
      <c r="AX440" s="30">
        <v>22.4</v>
      </c>
      <c r="AY440" s="35">
        <v>0.14355999999999999</v>
      </c>
      <c r="BA440" s="30">
        <v>22.4</v>
      </c>
      <c r="BB440" s="35">
        <v>0.14585999999999999</v>
      </c>
      <c r="BD440" s="37">
        <v>874</v>
      </c>
      <c r="BE440" s="39">
        <v>30.31</v>
      </c>
      <c r="BF440" s="1995"/>
      <c r="BL440" s="37">
        <v>874</v>
      </c>
      <c r="BM440" s="2059">
        <v>1.1456</v>
      </c>
      <c r="BO440" s="40">
        <v>874</v>
      </c>
      <c r="BP440" s="41">
        <v>0.85909999999999997</v>
      </c>
    </row>
    <row r="441" spans="27:68">
      <c r="AA441" s="1994"/>
      <c r="AR441" s="30">
        <v>22.5</v>
      </c>
      <c r="AS441" s="32">
        <v>918.3</v>
      </c>
      <c r="AX441" s="30">
        <v>22.5</v>
      </c>
      <c r="AY441" s="35">
        <v>0.14346</v>
      </c>
      <c r="BA441" s="30">
        <v>22.5</v>
      </c>
      <c r="BB441" s="35">
        <v>0.14577000000000001</v>
      </c>
      <c r="BD441" s="37">
        <v>875</v>
      </c>
      <c r="BE441" s="39">
        <v>30.13</v>
      </c>
      <c r="BF441" s="1995"/>
      <c r="BL441" s="37">
        <v>875</v>
      </c>
      <c r="BM441" s="2059">
        <v>1.1443000000000001</v>
      </c>
      <c r="BO441" s="40">
        <v>875</v>
      </c>
      <c r="BP441" s="41">
        <v>0.86009999999999998</v>
      </c>
    </row>
    <row r="442" spans="27:68">
      <c r="AA442" s="1994"/>
      <c r="AR442" s="30">
        <v>22.6</v>
      </c>
      <c r="AS442" s="32">
        <v>917.7</v>
      </c>
      <c r="AX442" s="30">
        <v>22.6</v>
      </c>
      <c r="AY442" s="35">
        <v>0.14337</v>
      </c>
      <c r="BA442" s="30">
        <v>22.6</v>
      </c>
      <c r="BB442" s="35">
        <v>0.14566999999999999</v>
      </c>
      <c r="BD442" s="37">
        <v>876</v>
      </c>
      <c r="BE442" s="39">
        <v>29.94</v>
      </c>
      <c r="BF442" s="1995"/>
      <c r="BL442" s="37">
        <v>876</v>
      </c>
      <c r="BM442" s="2059">
        <v>1.143</v>
      </c>
      <c r="BO442" s="40">
        <v>876</v>
      </c>
      <c r="BP442" s="41">
        <v>0.86109999999999998</v>
      </c>
    </row>
    <row r="443" spans="27:68">
      <c r="AA443" s="1994"/>
      <c r="AR443" s="30">
        <v>22.7</v>
      </c>
      <c r="AS443" s="32">
        <v>917.1</v>
      </c>
      <c r="AX443" s="30">
        <v>22.7</v>
      </c>
      <c r="AY443" s="35">
        <v>0.14327999999999999</v>
      </c>
      <c r="BA443" s="30">
        <v>22.7</v>
      </c>
      <c r="BB443" s="35">
        <v>0.14557999999999999</v>
      </c>
      <c r="BD443" s="37">
        <v>877</v>
      </c>
      <c r="BE443" s="39">
        <v>29.76</v>
      </c>
      <c r="BF443" s="1995"/>
      <c r="BL443" s="37">
        <v>877</v>
      </c>
      <c r="BM443" s="2059">
        <v>1.1416999999999999</v>
      </c>
      <c r="BO443" s="40">
        <v>877</v>
      </c>
      <c r="BP443" s="41">
        <v>0.86209999999999998</v>
      </c>
    </row>
    <row r="444" spans="27:68">
      <c r="AA444" s="1994"/>
      <c r="AR444" s="30">
        <v>22.8</v>
      </c>
      <c r="AS444" s="32">
        <v>916.5</v>
      </c>
      <c r="AX444" s="30">
        <v>22.8</v>
      </c>
      <c r="AY444" s="35">
        <v>0.14318</v>
      </c>
      <c r="BA444" s="30">
        <v>22.8</v>
      </c>
      <c r="BB444" s="35">
        <v>0.14548</v>
      </c>
      <c r="BD444" s="37">
        <v>878</v>
      </c>
      <c r="BE444" s="39">
        <v>29.57</v>
      </c>
      <c r="BF444" s="1995"/>
      <c r="BL444" s="37">
        <v>878</v>
      </c>
      <c r="BM444" s="2059">
        <v>1.1404000000000001</v>
      </c>
      <c r="BO444" s="40">
        <v>878</v>
      </c>
      <c r="BP444" s="41">
        <v>0.86309999999999998</v>
      </c>
    </row>
    <row r="445" spans="27:68">
      <c r="AA445" s="1994"/>
      <c r="AR445" s="30">
        <v>22.9</v>
      </c>
      <c r="AS445" s="32">
        <v>915.9</v>
      </c>
      <c r="AX445" s="30">
        <v>22.9</v>
      </c>
      <c r="AY445" s="35">
        <v>0.14308999999999999</v>
      </c>
      <c r="BA445" s="30">
        <v>22.9</v>
      </c>
      <c r="BB445" s="35">
        <v>0.14538999999999999</v>
      </c>
      <c r="BD445" s="37">
        <v>879</v>
      </c>
      <c r="BE445" s="39">
        <v>29.39</v>
      </c>
      <c r="BF445" s="1995"/>
      <c r="BL445" s="37">
        <v>879</v>
      </c>
      <c r="BM445" s="2059">
        <v>1.1391</v>
      </c>
      <c r="BO445" s="40">
        <v>879</v>
      </c>
      <c r="BP445" s="41">
        <v>0.86399999999999999</v>
      </c>
    </row>
    <row r="446" spans="27:68">
      <c r="AA446" s="1994"/>
      <c r="AR446" s="30">
        <v>23</v>
      </c>
      <c r="AS446" s="32">
        <v>915.3</v>
      </c>
      <c r="AX446" s="30">
        <v>23</v>
      </c>
      <c r="AY446" s="35">
        <v>0.14299999999999999</v>
      </c>
      <c r="BA446" s="30">
        <v>23</v>
      </c>
      <c r="BB446" s="35">
        <v>0.14529</v>
      </c>
      <c r="BD446" s="37">
        <v>880</v>
      </c>
      <c r="BE446" s="39">
        <v>29.21</v>
      </c>
      <c r="BF446" s="1995"/>
      <c r="BL446" s="37">
        <v>880</v>
      </c>
      <c r="BM446" s="2059">
        <v>1.1377999999999999</v>
      </c>
      <c r="BO446" s="40">
        <v>880</v>
      </c>
      <c r="BP446" s="41">
        <v>0.86499999999999999</v>
      </c>
    </row>
    <row r="447" spans="27:68">
      <c r="AA447" s="1994"/>
      <c r="AR447" s="30">
        <v>23.1</v>
      </c>
      <c r="AS447" s="32">
        <v>914.7</v>
      </c>
      <c r="AX447" s="30">
        <v>23.1</v>
      </c>
      <c r="AY447" s="35">
        <v>0.14291000000000001</v>
      </c>
      <c r="BA447" s="30">
        <v>23.1</v>
      </c>
      <c r="BB447" s="35">
        <v>0.1452</v>
      </c>
      <c r="BD447" s="37">
        <v>881</v>
      </c>
      <c r="BE447" s="39">
        <v>29.02</v>
      </c>
      <c r="BF447" s="1995"/>
      <c r="BL447" s="37">
        <v>881</v>
      </c>
      <c r="BM447" s="2059">
        <v>1.1365000000000001</v>
      </c>
      <c r="BO447" s="40">
        <v>881</v>
      </c>
      <c r="BP447" s="41">
        <v>0.86599999999999999</v>
      </c>
    </row>
    <row r="448" spans="27:68">
      <c r="AA448" s="1994"/>
      <c r="AR448" s="30">
        <v>23.2</v>
      </c>
      <c r="AS448" s="32">
        <v>914.2</v>
      </c>
      <c r="AX448" s="30">
        <v>23.2</v>
      </c>
      <c r="AY448" s="35">
        <v>0.14280999999999999</v>
      </c>
      <c r="BA448" s="30">
        <v>23.2</v>
      </c>
      <c r="BB448" s="35">
        <v>0.14510999999999999</v>
      </c>
      <c r="BD448" s="37">
        <v>882</v>
      </c>
      <c r="BE448" s="39">
        <v>28.84</v>
      </c>
      <c r="BF448" s="1995"/>
      <c r="BL448" s="37">
        <v>882</v>
      </c>
      <c r="BM448" s="2059">
        <v>1.1352</v>
      </c>
      <c r="BO448" s="40">
        <v>882</v>
      </c>
      <c r="BP448" s="41">
        <v>0.86699999999999999</v>
      </c>
    </row>
    <row r="449" spans="27:68">
      <c r="AA449" s="1994"/>
      <c r="AR449" s="30">
        <v>23.3</v>
      </c>
      <c r="AS449" s="32">
        <v>913.6</v>
      </c>
      <c r="AX449" s="30">
        <v>23.3</v>
      </c>
      <c r="AY449" s="35">
        <v>0.14272000000000001</v>
      </c>
      <c r="BA449" s="30">
        <v>23.3</v>
      </c>
      <c r="BB449" s="35">
        <v>0.14501</v>
      </c>
      <c r="BD449" s="37">
        <v>883</v>
      </c>
      <c r="BE449" s="39">
        <v>28.66</v>
      </c>
      <c r="BF449" s="1995"/>
      <c r="BL449" s="37">
        <v>883</v>
      </c>
      <c r="BM449" s="2059">
        <v>1.1338999999999999</v>
      </c>
      <c r="BO449" s="40">
        <v>883</v>
      </c>
      <c r="BP449" s="41">
        <v>0.86799999999999999</v>
      </c>
    </row>
    <row r="450" spans="27:68">
      <c r="AA450" s="1994"/>
      <c r="AR450" s="30">
        <v>23.4</v>
      </c>
      <c r="AS450" s="32">
        <v>913</v>
      </c>
      <c r="AX450" s="30">
        <v>23.4</v>
      </c>
      <c r="AY450" s="35">
        <v>0.14263000000000001</v>
      </c>
      <c r="BA450" s="30">
        <v>23.4</v>
      </c>
      <c r="BB450" s="35">
        <v>0.14491999999999999</v>
      </c>
      <c r="BD450" s="37">
        <v>884</v>
      </c>
      <c r="BE450" s="39">
        <v>28.48</v>
      </c>
      <c r="BF450" s="1995"/>
      <c r="BL450" s="37">
        <v>884</v>
      </c>
      <c r="BM450" s="2059">
        <v>1.1326000000000001</v>
      </c>
      <c r="BO450" s="40">
        <v>884</v>
      </c>
      <c r="BP450" s="41">
        <v>0.86899999999999999</v>
      </c>
    </row>
    <row r="451" spans="27:68">
      <c r="AA451" s="1994"/>
      <c r="AR451" s="30">
        <v>23.5</v>
      </c>
      <c r="AS451" s="32">
        <v>912.4</v>
      </c>
      <c r="AX451" s="30">
        <v>23.5</v>
      </c>
      <c r="AY451" s="35">
        <v>0.14254</v>
      </c>
      <c r="BA451" s="30">
        <v>23.5</v>
      </c>
      <c r="BB451" s="35">
        <v>0.14482</v>
      </c>
      <c r="BD451" s="37">
        <v>885</v>
      </c>
      <c r="BE451" s="39">
        <v>28.3</v>
      </c>
      <c r="BF451" s="1995"/>
      <c r="BL451" s="37">
        <v>885</v>
      </c>
      <c r="BM451" s="2059">
        <v>1.1313</v>
      </c>
      <c r="BO451" s="40">
        <v>885</v>
      </c>
      <c r="BP451" s="41">
        <v>0.87</v>
      </c>
    </row>
    <row r="452" spans="27:68">
      <c r="AA452" s="1994"/>
      <c r="AR452" s="30">
        <v>23.6</v>
      </c>
      <c r="AS452" s="32">
        <v>911.8</v>
      </c>
      <c r="AX452" s="30">
        <v>23.6</v>
      </c>
      <c r="AY452" s="35">
        <v>0.14244000000000001</v>
      </c>
      <c r="BA452" s="30">
        <v>23.6</v>
      </c>
      <c r="BB452" s="35">
        <v>0.14473</v>
      </c>
      <c r="BD452" s="37">
        <v>886</v>
      </c>
      <c r="BE452" s="39">
        <v>28.12</v>
      </c>
      <c r="BF452" s="1995"/>
      <c r="BL452" s="37">
        <v>886</v>
      </c>
      <c r="BM452" s="2059">
        <v>1.1301000000000001</v>
      </c>
      <c r="BO452" s="40">
        <v>886</v>
      </c>
      <c r="BP452" s="41">
        <v>0.87090000000000001</v>
      </c>
    </row>
    <row r="453" spans="27:68">
      <c r="AA453" s="1994"/>
      <c r="AR453" s="30">
        <v>23.7</v>
      </c>
      <c r="AS453" s="32">
        <v>911.2</v>
      </c>
      <c r="AX453" s="30">
        <v>23.7</v>
      </c>
      <c r="AY453" s="35">
        <v>0.14235</v>
      </c>
      <c r="BA453" s="30">
        <v>23.7</v>
      </c>
      <c r="BB453" s="35">
        <v>0.14463999999999999</v>
      </c>
      <c r="BD453" s="37">
        <v>887</v>
      </c>
      <c r="BE453" s="39">
        <v>27.94</v>
      </c>
      <c r="BF453" s="1995"/>
      <c r="BL453" s="37">
        <v>887</v>
      </c>
      <c r="BM453" s="2059">
        <v>1.1288</v>
      </c>
      <c r="BO453" s="40">
        <v>887</v>
      </c>
      <c r="BP453" s="41">
        <v>0.87190000000000001</v>
      </c>
    </row>
    <row r="454" spans="27:68">
      <c r="AA454" s="1994"/>
      <c r="AR454" s="30">
        <v>23.8</v>
      </c>
      <c r="AS454" s="32">
        <v>910.6</v>
      </c>
      <c r="AX454" s="30">
        <v>23.8</v>
      </c>
      <c r="AY454" s="35">
        <v>0.14226</v>
      </c>
      <c r="BA454" s="30">
        <v>23.8</v>
      </c>
      <c r="BB454" s="35">
        <v>0.14454</v>
      </c>
      <c r="BD454" s="37">
        <v>888</v>
      </c>
      <c r="BE454" s="39">
        <v>27.76</v>
      </c>
      <c r="BF454" s="1995"/>
      <c r="BL454" s="37">
        <v>888</v>
      </c>
      <c r="BM454" s="2059">
        <v>1.1274999999999999</v>
      </c>
      <c r="BO454" s="40">
        <v>888</v>
      </c>
      <c r="BP454" s="41">
        <v>0.87290000000000001</v>
      </c>
    </row>
    <row r="455" spans="27:68">
      <c r="AA455" s="1994"/>
      <c r="AR455" s="30">
        <v>23.9</v>
      </c>
      <c r="AS455" s="32">
        <v>910</v>
      </c>
      <c r="AX455" s="30">
        <v>23.9</v>
      </c>
      <c r="AY455" s="35">
        <v>0.14216999999999999</v>
      </c>
      <c r="BA455" s="30">
        <v>23.9</v>
      </c>
      <c r="BB455" s="35">
        <v>0.14445</v>
      </c>
      <c r="BD455" s="37">
        <v>889</v>
      </c>
      <c r="BE455" s="39">
        <v>27.58</v>
      </c>
      <c r="BF455" s="1995"/>
      <c r="BL455" s="37">
        <v>889</v>
      </c>
      <c r="BM455" s="2059">
        <v>1.1262000000000001</v>
      </c>
      <c r="BO455" s="40">
        <v>889</v>
      </c>
      <c r="BP455" s="41">
        <v>0.87390000000000001</v>
      </c>
    </row>
    <row r="456" spans="27:68">
      <c r="AA456" s="1994"/>
      <c r="AR456" s="30">
        <v>24</v>
      </c>
      <c r="AS456" s="32">
        <v>909.5</v>
      </c>
      <c r="AX456" s="30">
        <v>24</v>
      </c>
      <c r="AY456" s="35">
        <v>0.14208000000000001</v>
      </c>
      <c r="BA456" s="30">
        <v>24</v>
      </c>
      <c r="BB456" s="35">
        <v>0.14435999999999999</v>
      </c>
      <c r="BD456" s="37">
        <v>890</v>
      </c>
      <c r="BE456" s="39">
        <v>27.4</v>
      </c>
      <c r="BF456" s="1995"/>
      <c r="BL456" s="37">
        <v>890</v>
      </c>
      <c r="BM456" s="2059">
        <v>1.125</v>
      </c>
      <c r="BO456" s="40">
        <v>890</v>
      </c>
      <c r="BP456" s="41">
        <v>0.87490000000000001</v>
      </c>
    </row>
    <row r="457" spans="27:68">
      <c r="AA457" s="1994"/>
      <c r="AR457" s="30">
        <v>24.1</v>
      </c>
      <c r="AS457" s="32">
        <v>908.9</v>
      </c>
      <c r="AX457" s="30">
        <v>24.1</v>
      </c>
      <c r="AY457" s="35">
        <v>0.14199000000000001</v>
      </c>
      <c r="BA457" s="30">
        <v>24.1</v>
      </c>
      <c r="BB457" s="35">
        <v>0.14426</v>
      </c>
      <c r="BD457" s="37">
        <v>891</v>
      </c>
      <c r="BE457" s="39">
        <v>27.22</v>
      </c>
      <c r="BF457" s="1995"/>
      <c r="BL457" s="37">
        <v>891</v>
      </c>
      <c r="BM457" s="2059">
        <v>1.1236999999999999</v>
      </c>
      <c r="BO457" s="40">
        <v>891</v>
      </c>
      <c r="BP457" s="41">
        <v>0.87590000000000001</v>
      </c>
    </row>
    <row r="458" spans="27:68">
      <c r="AA458" s="1994"/>
      <c r="AR458" s="30">
        <v>24.2</v>
      </c>
      <c r="AS458" s="32">
        <v>908.3</v>
      </c>
      <c r="AX458" s="30">
        <v>24.2</v>
      </c>
      <c r="AY458" s="35">
        <v>0.1419</v>
      </c>
      <c r="BA458" s="30">
        <v>24.2</v>
      </c>
      <c r="BB458" s="35">
        <v>0.14416999999999999</v>
      </c>
      <c r="BD458" s="37">
        <v>892</v>
      </c>
      <c r="BE458" s="39">
        <v>27.04</v>
      </c>
      <c r="BF458" s="1995"/>
      <c r="BL458" s="37">
        <v>892</v>
      </c>
      <c r="BM458" s="2059">
        <v>1.1224000000000001</v>
      </c>
      <c r="BO458" s="40">
        <v>892</v>
      </c>
      <c r="BP458" s="41">
        <v>0.87680000000000002</v>
      </c>
    </row>
    <row r="459" spans="27:68">
      <c r="AA459" s="1994"/>
      <c r="AR459" s="30">
        <v>24.3</v>
      </c>
      <c r="AS459" s="32">
        <v>907.7</v>
      </c>
      <c r="AX459" s="30">
        <v>24.3</v>
      </c>
      <c r="AY459" s="35">
        <v>0.14180000000000001</v>
      </c>
      <c r="BA459" s="30">
        <v>24.3</v>
      </c>
      <c r="BB459" s="35">
        <v>0.14408000000000001</v>
      </c>
      <c r="BD459" s="37">
        <v>893</v>
      </c>
      <c r="BE459" s="39">
        <v>26.87</v>
      </c>
      <c r="BF459" s="1995"/>
      <c r="BL459" s="37">
        <v>893</v>
      </c>
      <c r="BM459" s="2059">
        <v>1.1212</v>
      </c>
      <c r="BO459" s="40">
        <v>893</v>
      </c>
      <c r="BP459" s="41">
        <v>0.87780000000000002</v>
      </c>
    </row>
    <row r="460" spans="27:68">
      <c r="AA460" s="1994"/>
      <c r="AR460" s="30">
        <v>24.4</v>
      </c>
      <c r="AS460" s="32">
        <v>907.1</v>
      </c>
      <c r="AX460" s="30">
        <v>24.4</v>
      </c>
      <c r="AY460" s="35">
        <v>0.14171</v>
      </c>
      <c r="BA460" s="30">
        <v>24.4</v>
      </c>
      <c r="BB460" s="35">
        <v>0.14399000000000001</v>
      </c>
      <c r="BD460" s="37">
        <v>894</v>
      </c>
      <c r="BE460" s="39">
        <v>26.69</v>
      </c>
      <c r="BF460" s="1995"/>
      <c r="BL460" s="37">
        <v>894</v>
      </c>
      <c r="BM460" s="2059">
        <v>1.1198999999999999</v>
      </c>
      <c r="BO460" s="40">
        <v>894</v>
      </c>
      <c r="BP460" s="41">
        <v>0.87880000000000003</v>
      </c>
    </row>
    <row r="461" spans="27:68">
      <c r="AA461" s="1994"/>
      <c r="AR461" s="30">
        <v>24.5</v>
      </c>
      <c r="AS461" s="32">
        <v>906.5</v>
      </c>
      <c r="AX461" s="30">
        <v>24.5</v>
      </c>
      <c r="AY461" s="35">
        <v>0.14162</v>
      </c>
      <c r="BA461" s="30">
        <v>24.5</v>
      </c>
      <c r="BB461" s="35">
        <v>0.14388999999999999</v>
      </c>
      <c r="BD461" s="37">
        <v>895</v>
      </c>
      <c r="BE461" s="39">
        <v>26.51</v>
      </c>
      <c r="BF461" s="1995"/>
      <c r="BL461" s="37">
        <v>895</v>
      </c>
      <c r="BM461" s="2059">
        <v>1.1187</v>
      </c>
      <c r="BO461" s="40">
        <v>895</v>
      </c>
      <c r="BP461" s="41">
        <v>0.87980000000000003</v>
      </c>
    </row>
    <row r="462" spans="27:68">
      <c r="AA462" s="1994"/>
      <c r="AR462" s="30">
        <v>24.6</v>
      </c>
      <c r="AS462" s="32">
        <v>906</v>
      </c>
      <c r="AX462" s="30">
        <v>24.6</v>
      </c>
      <c r="AY462" s="35">
        <v>0.14152999999999999</v>
      </c>
      <c r="BA462" s="30">
        <v>24.6</v>
      </c>
      <c r="BB462" s="35">
        <v>0.14380000000000001</v>
      </c>
      <c r="BD462" s="37">
        <v>896</v>
      </c>
      <c r="BE462" s="39">
        <v>26.34</v>
      </c>
      <c r="BF462" s="1995"/>
      <c r="BL462" s="37">
        <v>896</v>
      </c>
      <c r="BM462" s="2059">
        <v>1.1173999999999999</v>
      </c>
      <c r="BO462" s="40">
        <v>896</v>
      </c>
      <c r="BP462" s="41">
        <v>0.88080000000000003</v>
      </c>
    </row>
    <row r="463" spans="27:68">
      <c r="AA463" s="1994"/>
      <c r="AR463" s="30">
        <v>24.7</v>
      </c>
      <c r="AS463" s="32">
        <v>905.4</v>
      </c>
      <c r="AX463" s="30">
        <v>24.7</v>
      </c>
      <c r="AY463" s="35">
        <v>0.14144000000000001</v>
      </c>
      <c r="BA463" s="30">
        <v>24.7</v>
      </c>
      <c r="BB463" s="35">
        <v>0.14371</v>
      </c>
      <c r="BD463" s="37">
        <v>897</v>
      </c>
      <c r="BE463" s="39">
        <v>26.16</v>
      </c>
      <c r="BF463" s="1995"/>
      <c r="BL463" s="37">
        <v>897</v>
      </c>
      <c r="BM463" s="2059">
        <v>1.1162000000000001</v>
      </c>
      <c r="BO463" s="40">
        <v>897</v>
      </c>
      <c r="BP463" s="41">
        <v>0.88180000000000003</v>
      </c>
    </row>
    <row r="464" spans="27:68">
      <c r="AA464" s="1994"/>
      <c r="AR464" s="30">
        <v>24.8</v>
      </c>
      <c r="AS464" s="32">
        <v>904.8</v>
      </c>
      <c r="AX464" s="30">
        <v>24.8</v>
      </c>
      <c r="AY464" s="35">
        <v>0.14135</v>
      </c>
      <c r="BA464" s="30">
        <v>24.8</v>
      </c>
      <c r="BB464" s="35">
        <v>0.14362</v>
      </c>
      <c r="BD464" s="37">
        <v>898</v>
      </c>
      <c r="BE464" s="39">
        <v>25.98</v>
      </c>
      <c r="BF464" s="1995"/>
      <c r="BL464" s="37">
        <v>898</v>
      </c>
      <c r="BM464" s="2059">
        <v>1.1149</v>
      </c>
      <c r="BO464" s="40">
        <v>898</v>
      </c>
      <c r="BP464" s="41">
        <v>0.88270000000000004</v>
      </c>
    </row>
    <row r="465" spans="27:68">
      <c r="AA465" s="1994"/>
      <c r="AR465" s="30">
        <v>24.9</v>
      </c>
      <c r="AS465" s="32">
        <v>904.2</v>
      </c>
      <c r="AX465" s="30">
        <v>24.9</v>
      </c>
      <c r="AY465" s="35">
        <v>0.14126</v>
      </c>
      <c r="BA465" s="30">
        <v>24.9</v>
      </c>
      <c r="BB465" s="35">
        <v>0.14352999999999999</v>
      </c>
      <c r="BD465" s="37">
        <v>899</v>
      </c>
      <c r="BE465" s="39">
        <v>25.81</v>
      </c>
      <c r="BF465" s="1995"/>
      <c r="BL465" s="37">
        <v>899</v>
      </c>
      <c r="BM465" s="2059">
        <v>1.1136999999999999</v>
      </c>
      <c r="BO465" s="40">
        <v>899</v>
      </c>
      <c r="BP465" s="41">
        <v>0.88370000000000004</v>
      </c>
    </row>
    <row r="466" spans="27:68">
      <c r="AA466" s="1994"/>
      <c r="AR466" s="30">
        <v>25</v>
      </c>
      <c r="AS466" s="32">
        <v>903.6</v>
      </c>
      <c r="AX466" s="30">
        <v>25</v>
      </c>
      <c r="AY466" s="35">
        <v>0.14116999999999999</v>
      </c>
      <c r="BA466" s="30">
        <v>25</v>
      </c>
      <c r="BB466" s="35">
        <v>0.14343</v>
      </c>
      <c r="BD466" s="37">
        <v>900</v>
      </c>
      <c r="BE466" s="39">
        <v>25.63</v>
      </c>
      <c r="BF466" s="1995"/>
      <c r="BL466" s="37">
        <v>900</v>
      </c>
      <c r="BM466" s="2059">
        <v>1.1125</v>
      </c>
      <c r="BO466" s="40">
        <v>900</v>
      </c>
      <c r="BP466" s="41">
        <v>0.88470000000000004</v>
      </c>
    </row>
    <row r="467" spans="27:68">
      <c r="AA467" s="1994"/>
      <c r="AR467" s="30">
        <v>25.1</v>
      </c>
      <c r="AS467" s="32">
        <v>903.1</v>
      </c>
      <c r="AX467" s="30">
        <v>25.1</v>
      </c>
      <c r="AY467" s="35">
        <v>0.14108000000000001</v>
      </c>
      <c r="BA467" s="30">
        <v>25.1</v>
      </c>
      <c r="BB467" s="35">
        <v>0.14334</v>
      </c>
      <c r="BD467" s="37">
        <v>901</v>
      </c>
      <c r="BE467" s="39">
        <v>25.46</v>
      </c>
      <c r="BF467" s="1995"/>
      <c r="BL467" s="37">
        <v>901</v>
      </c>
      <c r="BM467" s="2059">
        <v>1.1112</v>
      </c>
      <c r="BO467" s="40">
        <v>901</v>
      </c>
      <c r="BP467" s="41">
        <v>0.88570000000000004</v>
      </c>
    </row>
    <row r="468" spans="27:68">
      <c r="AA468" s="1994"/>
      <c r="AR468" s="30">
        <v>25.2</v>
      </c>
      <c r="AS468" s="32">
        <v>902.5</v>
      </c>
      <c r="AX468" s="30">
        <v>25.2</v>
      </c>
      <c r="AY468" s="35">
        <v>0.14099</v>
      </c>
      <c r="BA468" s="30">
        <v>25.2</v>
      </c>
      <c r="BB468" s="35">
        <v>0.14324999999999999</v>
      </c>
      <c r="BD468" s="37">
        <v>902</v>
      </c>
      <c r="BE468" s="39">
        <v>25.29</v>
      </c>
      <c r="BF468" s="1995"/>
      <c r="BL468" s="37">
        <v>902</v>
      </c>
      <c r="BM468" s="2059">
        <v>1.1100000000000001</v>
      </c>
      <c r="BO468" s="40">
        <v>902</v>
      </c>
      <c r="BP468" s="41">
        <v>0.88670000000000004</v>
      </c>
    </row>
    <row r="469" spans="27:68">
      <c r="AA469" s="1994"/>
      <c r="AR469" s="30">
        <v>25.3</v>
      </c>
      <c r="AS469" s="32">
        <v>901.9</v>
      </c>
      <c r="AX469" s="30">
        <v>25.3</v>
      </c>
      <c r="AY469" s="35">
        <v>0.1409</v>
      </c>
      <c r="BA469" s="30">
        <v>25.3</v>
      </c>
      <c r="BB469" s="35">
        <v>0.14316000000000001</v>
      </c>
      <c r="BD469" s="37">
        <v>903</v>
      </c>
      <c r="BE469" s="39">
        <v>25.11</v>
      </c>
      <c r="BF469" s="1995"/>
      <c r="BL469" s="37">
        <v>903</v>
      </c>
      <c r="BM469" s="2059">
        <v>1.1088</v>
      </c>
      <c r="BO469" s="40">
        <v>903</v>
      </c>
      <c r="BP469" s="41">
        <v>0.88770000000000004</v>
      </c>
    </row>
    <row r="470" spans="27:68">
      <c r="AA470" s="1994"/>
      <c r="AR470" s="30">
        <v>25.4</v>
      </c>
      <c r="AS470" s="32">
        <v>901.3</v>
      </c>
      <c r="AX470" s="30">
        <v>25.4</v>
      </c>
      <c r="AY470" s="35">
        <v>0.14080999999999999</v>
      </c>
      <c r="BA470" s="30">
        <v>25.4</v>
      </c>
      <c r="BB470" s="35">
        <v>0.14307</v>
      </c>
      <c r="BD470" s="37">
        <v>904</v>
      </c>
      <c r="BE470" s="39">
        <v>24.94</v>
      </c>
      <c r="BF470" s="1995"/>
      <c r="BL470" s="37">
        <v>904</v>
      </c>
      <c r="BM470" s="2059">
        <v>1.1074999999999999</v>
      </c>
      <c r="BO470" s="40">
        <v>904</v>
      </c>
      <c r="BP470" s="41">
        <v>0.88870000000000005</v>
      </c>
    </row>
    <row r="471" spans="27:68">
      <c r="AA471" s="1994"/>
      <c r="AR471" s="30">
        <v>25.5</v>
      </c>
      <c r="AS471" s="32">
        <v>900.8</v>
      </c>
      <c r="AX471" s="30">
        <v>25.5</v>
      </c>
      <c r="AY471" s="35">
        <v>0.14072000000000001</v>
      </c>
      <c r="BA471" s="30">
        <v>25.5</v>
      </c>
      <c r="BB471" s="35">
        <v>0.14298</v>
      </c>
      <c r="BD471" s="37">
        <v>905</v>
      </c>
      <c r="BE471" s="39">
        <v>24.77</v>
      </c>
      <c r="BF471" s="1995"/>
      <c r="BL471" s="37">
        <v>905</v>
      </c>
      <c r="BM471" s="2059">
        <v>1.1063000000000001</v>
      </c>
      <c r="BO471" s="40">
        <v>905</v>
      </c>
      <c r="BP471" s="41">
        <v>0.88959999999999995</v>
      </c>
    </row>
    <row r="472" spans="27:68">
      <c r="AA472" s="1994"/>
      <c r="AR472" s="30">
        <v>25.6</v>
      </c>
      <c r="AS472" s="32">
        <v>900.2</v>
      </c>
      <c r="AX472" s="30">
        <v>25.6</v>
      </c>
      <c r="AY472" s="35">
        <v>0.14063000000000001</v>
      </c>
      <c r="BA472" s="30">
        <v>25.6</v>
      </c>
      <c r="BB472" s="35">
        <v>0.14288999999999999</v>
      </c>
      <c r="BD472" s="37">
        <v>906</v>
      </c>
      <c r="BE472" s="39">
        <v>24.59</v>
      </c>
      <c r="BF472" s="1995"/>
      <c r="BL472" s="37">
        <v>906</v>
      </c>
      <c r="BM472" s="2059">
        <v>1.1051</v>
      </c>
      <c r="BO472" s="40">
        <v>906</v>
      </c>
      <c r="BP472" s="41">
        <v>0.89059999999999995</v>
      </c>
    </row>
    <row r="473" spans="27:68">
      <c r="AA473" s="1994"/>
      <c r="AR473" s="30">
        <v>25.7</v>
      </c>
      <c r="AS473" s="32">
        <v>899.6</v>
      </c>
      <c r="AX473" s="30">
        <v>25.7</v>
      </c>
      <c r="AY473" s="35">
        <v>0.14054</v>
      </c>
      <c r="BA473" s="30">
        <v>25.7</v>
      </c>
      <c r="BB473" s="35">
        <v>0.14279</v>
      </c>
      <c r="BD473" s="37">
        <v>907</v>
      </c>
      <c r="BE473" s="39">
        <v>24.42</v>
      </c>
      <c r="BF473" s="1995"/>
      <c r="BL473" s="37">
        <v>907</v>
      </c>
      <c r="BM473" s="2059">
        <v>1.1039000000000001</v>
      </c>
      <c r="BO473" s="40">
        <v>907</v>
      </c>
      <c r="BP473" s="41">
        <v>0.89159999999999995</v>
      </c>
    </row>
    <row r="474" spans="27:68">
      <c r="AA474" s="1994"/>
      <c r="AR474" s="30">
        <v>25.8</v>
      </c>
      <c r="AS474" s="32">
        <v>899.1</v>
      </c>
      <c r="AX474" s="30">
        <v>25.8</v>
      </c>
      <c r="AY474" s="35">
        <v>0.14044999999999999</v>
      </c>
      <c r="BA474" s="30">
        <v>25.8</v>
      </c>
      <c r="BB474" s="35">
        <v>0.14269999999999999</v>
      </c>
      <c r="BD474" s="37">
        <v>908</v>
      </c>
      <c r="BE474" s="39">
        <v>24.25</v>
      </c>
      <c r="BF474" s="1995"/>
      <c r="BL474" s="37">
        <v>908</v>
      </c>
      <c r="BM474" s="2059">
        <v>1.1026</v>
      </c>
      <c r="BO474" s="40">
        <v>908</v>
      </c>
      <c r="BP474" s="41">
        <v>0.89259999999999995</v>
      </c>
    </row>
    <row r="475" spans="27:68">
      <c r="AA475" s="1994"/>
      <c r="AR475" s="30">
        <v>25.9</v>
      </c>
      <c r="AS475" s="32">
        <v>898.5</v>
      </c>
      <c r="AX475" s="30">
        <v>25.9</v>
      </c>
      <c r="AY475" s="35">
        <v>0.14036000000000001</v>
      </c>
      <c r="BA475" s="30">
        <v>25.9</v>
      </c>
      <c r="BB475" s="35">
        <v>0.14260999999999999</v>
      </c>
      <c r="BD475" s="37">
        <v>909</v>
      </c>
      <c r="BE475" s="39">
        <v>24.08</v>
      </c>
      <c r="BF475" s="1995"/>
      <c r="BL475" s="37">
        <v>909</v>
      </c>
      <c r="BM475" s="2059">
        <v>1.1013999999999999</v>
      </c>
      <c r="BO475" s="40">
        <v>909</v>
      </c>
      <c r="BP475" s="41">
        <v>0.89359999999999995</v>
      </c>
    </row>
    <row r="476" spans="27:68">
      <c r="AA476" s="1994"/>
      <c r="AR476" s="30">
        <v>26</v>
      </c>
      <c r="AS476" s="32">
        <v>897.9</v>
      </c>
      <c r="AX476" s="30">
        <v>26</v>
      </c>
      <c r="AY476" s="35">
        <v>0.14027000000000001</v>
      </c>
      <c r="BA476" s="30">
        <v>26</v>
      </c>
      <c r="BB476" s="35">
        <v>0.14252000000000001</v>
      </c>
      <c r="BD476" s="37">
        <v>910</v>
      </c>
      <c r="BE476" s="39">
        <v>23.91</v>
      </c>
      <c r="BF476" s="1995"/>
      <c r="BL476" s="37">
        <v>910</v>
      </c>
      <c r="BM476" s="2059">
        <v>1.1002000000000001</v>
      </c>
      <c r="BO476" s="40">
        <v>910</v>
      </c>
      <c r="BP476" s="41">
        <v>0.89459999999999995</v>
      </c>
    </row>
    <row r="477" spans="27:68">
      <c r="AA477" s="1994"/>
      <c r="AR477" s="30">
        <v>26.1</v>
      </c>
      <c r="AS477" s="32">
        <v>897.3</v>
      </c>
      <c r="AX477" s="30">
        <v>26.1</v>
      </c>
      <c r="AY477" s="35">
        <v>0.14018</v>
      </c>
      <c r="BA477" s="30">
        <v>26.1</v>
      </c>
      <c r="BB477" s="35">
        <v>0.14243</v>
      </c>
      <c r="BD477" s="37">
        <v>911</v>
      </c>
      <c r="BE477" s="39">
        <v>23.74</v>
      </c>
      <c r="BF477" s="1995"/>
      <c r="BL477" s="37">
        <v>911</v>
      </c>
      <c r="BM477" s="2059">
        <v>1.099</v>
      </c>
      <c r="BO477" s="40">
        <v>911</v>
      </c>
      <c r="BP477" s="41">
        <v>0.89549999999999996</v>
      </c>
    </row>
    <row r="478" spans="27:68">
      <c r="AA478" s="1994"/>
      <c r="AR478" s="30">
        <v>26.2</v>
      </c>
      <c r="AS478" s="32">
        <v>896.8</v>
      </c>
      <c r="AX478" s="30">
        <v>26.2</v>
      </c>
      <c r="AY478" s="35">
        <v>0.14008999999999999</v>
      </c>
      <c r="BA478" s="30">
        <v>26.2</v>
      </c>
      <c r="BB478" s="35">
        <v>0.14233999999999999</v>
      </c>
      <c r="BD478" s="37">
        <v>912</v>
      </c>
      <c r="BE478" s="39">
        <v>23.57</v>
      </c>
      <c r="BF478" s="1995"/>
      <c r="BL478" s="37">
        <v>912</v>
      </c>
      <c r="BM478" s="2059">
        <v>1.0978000000000001</v>
      </c>
      <c r="BO478" s="40">
        <v>912</v>
      </c>
      <c r="BP478" s="41">
        <v>0.89649999999999996</v>
      </c>
    </row>
    <row r="479" spans="27:68">
      <c r="AA479" s="1994"/>
      <c r="AR479" s="30">
        <v>26.3</v>
      </c>
      <c r="AS479" s="32">
        <v>896.2</v>
      </c>
      <c r="AX479" s="30">
        <v>26.3</v>
      </c>
      <c r="AY479" s="35">
        <v>0.14000000000000001</v>
      </c>
      <c r="BA479" s="30">
        <v>26.3</v>
      </c>
      <c r="BB479" s="35">
        <v>0.14224999999999999</v>
      </c>
      <c r="BD479" s="37">
        <v>913</v>
      </c>
      <c r="BE479" s="39">
        <v>23.4</v>
      </c>
      <c r="BF479" s="1995"/>
      <c r="BL479" s="37">
        <v>913</v>
      </c>
      <c r="BM479" s="2059">
        <v>1.0966</v>
      </c>
      <c r="BO479" s="40">
        <v>913</v>
      </c>
      <c r="BP479" s="41">
        <v>0.89749999999999996</v>
      </c>
    </row>
    <row r="480" spans="27:68">
      <c r="AA480" s="1994"/>
      <c r="AR480" s="30">
        <v>26.4</v>
      </c>
      <c r="AS480" s="32">
        <v>895.6</v>
      </c>
      <c r="AX480" s="30">
        <v>26.4</v>
      </c>
      <c r="AY480" s="35">
        <v>0.13991999999999999</v>
      </c>
      <c r="BA480" s="30">
        <v>26.4</v>
      </c>
      <c r="BB480" s="35">
        <v>0.14216000000000001</v>
      </c>
      <c r="BD480" s="37">
        <v>914</v>
      </c>
      <c r="BE480" s="39">
        <v>23.23</v>
      </c>
      <c r="BF480" s="1995"/>
      <c r="BL480" s="37">
        <v>914</v>
      </c>
      <c r="BM480" s="2059">
        <v>1.0953999999999999</v>
      </c>
      <c r="BO480" s="40">
        <v>914</v>
      </c>
      <c r="BP480" s="41">
        <v>0.89849999999999997</v>
      </c>
    </row>
    <row r="481" spans="27:68">
      <c r="AA481" s="1994"/>
      <c r="AR481" s="30">
        <v>26.5</v>
      </c>
      <c r="AS481" s="32">
        <v>895.1</v>
      </c>
      <c r="AX481" s="30">
        <v>26.5</v>
      </c>
      <c r="AY481" s="35">
        <v>0.13983000000000001</v>
      </c>
      <c r="BA481" s="30">
        <v>26.5</v>
      </c>
      <c r="BB481" s="35">
        <v>0.14207</v>
      </c>
      <c r="BD481" s="37">
        <v>915</v>
      </c>
      <c r="BE481" s="39">
        <v>23.06</v>
      </c>
      <c r="BF481" s="1995"/>
      <c r="BL481" s="37">
        <v>915</v>
      </c>
      <c r="BM481" s="2059">
        <v>1.0942000000000001</v>
      </c>
      <c r="BO481" s="40">
        <v>915</v>
      </c>
      <c r="BP481" s="41">
        <v>0.89949999999999997</v>
      </c>
    </row>
    <row r="482" spans="27:68">
      <c r="AA482" s="1994"/>
      <c r="AR482" s="30">
        <v>26.6</v>
      </c>
      <c r="AS482" s="32">
        <v>894.5</v>
      </c>
      <c r="AX482" s="30">
        <v>26.6</v>
      </c>
      <c r="AY482" s="35">
        <v>0.13974</v>
      </c>
      <c r="BA482" s="30">
        <v>26.6</v>
      </c>
      <c r="BB482" s="35">
        <v>0.14198</v>
      </c>
      <c r="BD482" s="37">
        <v>916</v>
      </c>
      <c r="BE482" s="39">
        <v>22.89</v>
      </c>
      <c r="BF482" s="1995"/>
      <c r="BL482" s="37">
        <v>916</v>
      </c>
      <c r="BM482" s="2059">
        <v>1.093</v>
      </c>
      <c r="BO482" s="40">
        <v>916</v>
      </c>
      <c r="BP482" s="41">
        <v>0.90049999999999997</v>
      </c>
    </row>
    <row r="483" spans="27:68">
      <c r="AA483" s="1994"/>
      <c r="AR483" s="30">
        <v>26.7</v>
      </c>
      <c r="AS483" s="32">
        <v>893.9</v>
      </c>
      <c r="AX483" s="30">
        <v>26.7</v>
      </c>
      <c r="AY483" s="35">
        <v>0.13965</v>
      </c>
      <c r="BA483" s="30">
        <v>26.7</v>
      </c>
      <c r="BB483" s="35">
        <v>0.14188999999999999</v>
      </c>
      <c r="BD483" s="37">
        <v>917</v>
      </c>
      <c r="BE483" s="39">
        <v>22.72</v>
      </c>
      <c r="BF483" s="1995"/>
      <c r="BL483" s="37">
        <v>917</v>
      </c>
      <c r="BM483" s="2059">
        <v>1.0918000000000001</v>
      </c>
      <c r="BO483" s="40">
        <v>917</v>
      </c>
      <c r="BP483" s="41">
        <v>0.90149999999999997</v>
      </c>
    </row>
    <row r="484" spans="27:68">
      <c r="AA484" s="1994"/>
      <c r="AR484" s="30">
        <v>26.8</v>
      </c>
      <c r="AS484" s="32">
        <v>893.4</v>
      </c>
      <c r="AX484" s="30">
        <v>26.8</v>
      </c>
      <c r="AY484" s="35">
        <v>0.13955999999999999</v>
      </c>
      <c r="BA484" s="30">
        <v>26.8</v>
      </c>
      <c r="BB484" s="35">
        <v>0.14180000000000001</v>
      </c>
      <c r="BD484" s="37">
        <v>918</v>
      </c>
      <c r="BE484" s="39">
        <v>22.55</v>
      </c>
      <c r="BF484" s="1995"/>
      <c r="BL484" s="37">
        <v>918</v>
      </c>
      <c r="BM484" s="2059">
        <v>1.0906</v>
      </c>
      <c r="BO484" s="40">
        <v>918</v>
      </c>
      <c r="BP484" s="41">
        <v>0.90239999999999998</v>
      </c>
    </row>
    <row r="485" spans="27:68">
      <c r="AA485" s="1994"/>
      <c r="AR485" s="30">
        <v>26.9</v>
      </c>
      <c r="AS485" s="32">
        <v>892.8</v>
      </c>
      <c r="AX485" s="30">
        <v>26.9</v>
      </c>
      <c r="AY485" s="35">
        <v>0.13947000000000001</v>
      </c>
      <c r="BA485" s="30">
        <v>26.9</v>
      </c>
      <c r="BB485" s="35">
        <v>0.14171</v>
      </c>
      <c r="BD485" s="37">
        <v>919</v>
      </c>
      <c r="BE485" s="39">
        <v>22.38</v>
      </c>
      <c r="BF485" s="1995"/>
      <c r="BL485" s="37">
        <v>919</v>
      </c>
      <c r="BM485" s="2059">
        <v>1.0893999999999999</v>
      </c>
      <c r="BO485" s="40">
        <v>919</v>
      </c>
      <c r="BP485" s="41">
        <v>0.90339999999999998</v>
      </c>
    </row>
    <row r="486" spans="27:68">
      <c r="AA486" s="1994"/>
      <c r="AR486" s="30">
        <v>27</v>
      </c>
      <c r="AS486" s="32">
        <v>892.2</v>
      </c>
      <c r="AX486" s="30">
        <v>27</v>
      </c>
      <c r="AY486" s="35">
        <v>0.13938999999999999</v>
      </c>
      <c r="BA486" s="30">
        <v>27</v>
      </c>
      <c r="BB486" s="35">
        <v>0.14162</v>
      </c>
      <c r="BD486" s="37">
        <v>920</v>
      </c>
      <c r="BE486" s="39">
        <v>22.22</v>
      </c>
      <c r="BF486" s="1995"/>
      <c r="BL486" s="37">
        <v>920</v>
      </c>
      <c r="BM486" s="2059">
        <v>1.0882000000000001</v>
      </c>
      <c r="BO486" s="40">
        <v>920</v>
      </c>
      <c r="BP486" s="41">
        <v>0.90439999999999998</v>
      </c>
    </row>
    <row r="487" spans="27:68">
      <c r="AA487" s="1994"/>
      <c r="AR487" s="30">
        <v>27.1</v>
      </c>
      <c r="AS487" s="32">
        <v>891.7</v>
      </c>
      <c r="AX487" s="30">
        <v>27.1</v>
      </c>
      <c r="AY487" s="35">
        <v>0.13930000000000001</v>
      </c>
      <c r="BA487" s="30">
        <v>27.1</v>
      </c>
      <c r="BB487" s="35">
        <v>0.14152999999999999</v>
      </c>
      <c r="BD487" s="37">
        <v>921</v>
      </c>
      <c r="BE487" s="39">
        <v>22.05</v>
      </c>
      <c r="BF487" s="1995"/>
      <c r="BL487" s="37">
        <v>921</v>
      </c>
      <c r="BM487" s="2059">
        <v>1.0871</v>
      </c>
      <c r="BO487" s="40">
        <v>921</v>
      </c>
      <c r="BP487" s="41">
        <v>0.90539999999999998</v>
      </c>
    </row>
    <row r="488" spans="27:68">
      <c r="AA488" s="1994"/>
      <c r="AR488" s="30">
        <v>27.2</v>
      </c>
      <c r="AS488" s="32">
        <v>891.1</v>
      </c>
      <c r="AX488" s="30">
        <v>27.2</v>
      </c>
      <c r="AY488" s="35">
        <v>0.13921</v>
      </c>
      <c r="BA488" s="30">
        <v>27.2</v>
      </c>
      <c r="BB488" s="35">
        <v>0.14144000000000001</v>
      </c>
      <c r="BD488" s="37">
        <v>922</v>
      </c>
      <c r="BE488" s="39">
        <v>21.88</v>
      </c>
      <c r="BF488" s="1995"/>
      <c r="BL488" s="37">
        <v>922</v>
      </c>
      <c r="BM488" s="2059">
        <v>1.0859000000000001</v>
      </c>
      <c r="BO488" s="40">
        <v>922</v>
      </c>
      <c r="BP488" s="41">
        <v>0.90639999999999998</v>
      </c>
    </row>
    <row r="489" spans="27:68">
      <c r="AA489" s="1994"/>
      <c r="AR489" s="30">
        <v>27.3</v>
      </c>
      <c r="AS489" s="32">
        <v>890.6</v>
      </c>
      <c r="AX489" s="30">
        <v>27.3</v>
      </c>
      <c r="AY489" s="35">
        <v>0.13911999999999999</v>
      </c>
      <c r="BA489" s="30">
        <v>27.3</v>
      </c>
      <c r="BB489" s="35">
        <v>0.14135</v>
      </c>
      <c r="BD489" s="37">
        <v>923</v>
      </c>
      <c r="BE489" s="39">
        <v>21.72</v>
      </c>
      <c r="BF489" s="1995"/>
      <c r="BL489" s="37">
        <v>923</v>
      </c>
      <c r="BM489" s="2059">
        <v>1.0847</v>
      </c>
      <c r="BO489" s="40">
        <v>923</v>
      </c>
      <c r="BP489" s="41">
        <v>0.90739999999999998</v>
      </c>
    </row>
    <row r="490" spans="27:68">
      <c r="AA490" s="1994"/>
      <c r="AR490" s="30">
        <v>27.4</v>
      </c>
      <c r="AS490" s="32">
        <v>890</v>
      </c>
      <c r="AX490" s="30">
        <v>27.4</v>
      </c>
      <c r="AY490" s="35">
        <v>0.13902999999999999</v>
      </c>
      <c r="BA490" s="30">
        <v>27.4</v>
      </c>
      <c r="BB490" s="35">
        <v>0.14126</v>
      </c>
      <c r="BD490" s="37">
        <v>924</v>
      </c>
      <c r="BE490" s="39">
        <v>21.55</v>
      </c>
      <c r="BF490" s="1995"/>
      <c r="BL490" s="37">
        <v>924</v>
      </c>
      <c r="BM490" s="2059">
        <v>1.0834999999999999</v>
      </c>
      <c r="BO490" s="40">
        <v>924</v>
      </c>
      <c r="BP490" s="41">
        <v>0.9083</v>
      </c>
    </row>
    <row r="491" spans="27:68">
      <c r="AA491" s="1994"/>
      <c r="AR491" s="30">
        <v>27.5</v>
      </c>
      <c r="AS491" s="32">
        <v>889.4</v>
      </c>
      <c r="AX491" s="30">
        <v>27.5</v>
      </c>
      <c r="AY491" s="35">
        <v>0.13894999999999999</v>
      </c>
      <c r="BA491" s="30">
        <v>27.5</v>
      </c>
      <c r="BB491" s="35">
        <v>0.14118</v>
      </c>
      <c r="BD491" s="37">
        <v>925</v>
      </c>
      <c r="BE491" s="39">
        <v>21.39</v>
      </c>
      <c r="BF491" s="1995"/>
      <c r="BL491" s="37">
        <v>925</v>
      </c>
      <c r="BM491" s="2059">
        <v>1.0823</v>
      </c>
      <c r="BO491" s="40">
        <v>925</v>
      </c>
      <c r="BP491" s="41">
        <v>0.9093</v>
      </c>
    </row>
    <row r="492" spans="27:68">
      <c r="AA492" s="1994"/>
      <c r="AR492" s="30">
        <v>27.6</v>
      </c>
      <c r="AS492" s="32">
        <v>888.9</v>
      </c>
      <c r="AX492" s="30">
        <v>27.6</v>
      </c>
      <c r="AY492" s="35">
        <v>0.13886000000000001</v>
      </c>
      <c r="BA492" s="30">
        <v>27.6</v>
      </c>
      <c r="BB492" s="35">
        <v>0.14108999999999999</v>
      </c>
      <c r="BD492" s="37">
        <v>926</v>
      </c>
      <c r="BE492" s="39">
        <v>21.22</v>
      </c>
      <c r="BF492" s="1995"/>
      <c r="BL492" s="37">
        <v>926</v>
      </c>
      <c r="BM492" s="2059">
        <v>1.0811999999999999</v>
      </c>
      <c r="BO492" s="40">
        <v>926</v>
      </c>
      <c r="BP492" s="41">
        <v>0.9103</v>
      </c>
    </row>
    <row r="493" spans="27:68">
      <c r="AA493" s="1994"/>
      <c r="AR493" s="30">
        <v>27.7</v>
      </c>
      <c r="AS493" s="32">
        <v>888.3</v>
      </c>
      <c r="AX493" s="30">
        <v>27.7</v>
      </c>
      <c r="AY493" s="35">
        <v>0.13877</v>
      </c>
      <c r="BA493" s="30">
        <v>27.7</v>
      </c>
      <c r="BB493" s="35">
        <v>0.14099999999999999</v>
      </c>
      <c r="BD493" s="37">
        <v>927</v>
      </c>
      <c r="BE493" s="39">
        <v>21.06</v>
      </c>
      <c r="BF493" s="1995"/>
      <c r="BL493" s="37">
        <v>927</v>
      </c>
      <c r="BM493" s="2059">
        <v>1.08</v>
      </c>
      <c r="BO493" s="40">
        <v>927</v>
      </c>
      <c r="BP493" s="41">
        <v>0.9113</v>
      </c>
    </row>
    <row r="494" spans="27:68">
      <c r="AA494" s="1994"/>
      <c r="AR494" s="30">
        <v>27.8</v>
      </c>
      <c r="AS494" s="32">
        <v>887.8</v>
      </c>
      <c r="AX494" s="30">
        <v>27.8</v>
      </c>
      <c r="AY494" s="35">
        <v>0.13868</v>
      </c>
      <c r="BA494" s="30">
        <v>27.8</v>
      </c>
      <c r="BB494" s="35">
        <v>0.14091000000000001</v>
      </c>
      <c r="BD494" s="37">
        <v>928</v>
      </c>
      <c r="BE494" s="39">
        <v>20.89</v>
      </c>
      <c r="BF494" s="1995"/>
      <c r="BL494" s="37">
        <v>928</v>
      </c>
      <c r="BM494" s="2059">
        <v>1.0788</v>
      </c>
      <c r="BO494" s="40">
        <v>928</v>
      </c>
      <c r="BP494" s="41">
        <v>0.9123</v>
      </c>
    </row>
    <row r="495" spans="27:68">
      <c r="AA495" s="1994"/>
      <c r="AR495" s="30">
        <v>27.9</v>
      </c>
      <c r="AS495" s="32">
        <v>887.2</v>
      </c>
      <c r="AX495" s="30">
        <v>27.9</v>
      </c>
      <c r="AY495" s="35">
        <v>0.1386</v>
      </c>
      <c r="BA495" s="30">
        <v>27.9</v>
      </c>
      <c r="BB495" s="35">
        <v>0.14082</v>
      </c>
      <c r="BD495" s="37">
        <v>929</v>
      </c>
      <c r="BE495" s="39">
        <v>20.73</v>
      </c>
      <c r="BF495" s="1995"/>
      <c r="BL495" s="37">
        <v>929</v>
      </c>
      <c r="BM495" s="2059">
        <v>1.0777000000000001</v>
      </c>
      <c r="BO495" s="40">
        <v>929</v>
      </c>
      <c r="BP495" s="41">
        <v>0.9133</v>
      </c>
    </row>
    <row r="496" spans="27:68">
      <c r="AA496" s="1994"/>
      <c r="AR496" s="30">
        <v>28</v>
      </c>
      <c r="AS496" s="32">
        <v>886.7</v>
      </c>
      <c r="AX496" s="30">
        <v>28</v>
      </c>
      <c r="AY496" s="35">
        <v>0.13850999999999999</v>
      </c>
      <c r="BA496" s="30">
        <v>28</v>
      </c>
      <c r="BB496" s="35">
        <v>0.14072999999999999</v>
      </c>
      <c r="BD496" s="37">
        <v>930</v>
      </c>
      <c r="BE496" s="39">
        <v>20.56</v>
      </c>
      <c r="BF496" s="1995"/>
      <c r="BL496" s="37">
        <v>930</v>
      </c>
      <c r="BM496" s="2059">
        <v>1.0765</v>
      </c>
      <c r="BO496" s="40">
        <v>930</v>
      </c>
      <c r="BP496" s="41">
        <v>0.91420000000000001</v>
      </c>
    </row>
    <row r="497" spans="27:68">
      <c r="AA497" s="1994"/>
      <c r="AR497" s="30">
        <v>28.1</v>
      </c>
      <c r="AS497" s="32">
        <v>886.1</v>
      </c>
      <c r="AX497" s="30">
        <v>28.1</v>
      </c>
      <c r="AY497" s="35">
        <v>0.13841999999999999</v>
      </c>
      <c r="BA497" s="30">
        <v>28.1</v>
      </c>
      <c r="BB497" s="35">
        <v>0.14063999999999999</v>
      </c>
      <c r="BD497" s="37">
        <v>931</v>
      </c>
      <c r="BE497" s="39">
        <v>20.399999999999999</v>
      </c>
      <c r="BF497" s="1995"/>
      <c r="BL497" s="37">
        <v>931</v>
      </c>
      <c r="BM497" s="2059">
        <v>1.0753999999999999</v>
      </c>
      <c r="BO497" s="40">
        <v>931</v>
      </c>
      <c r="BP497" s="41">
        <v>0.91520000000000001</v>
      </c>
    </row>
    <row r="498" spans="27:68">
      <c r="AA498" s="1994"/>
      <c r="AR498" s="30">
        <v>28.2</v>
      </c>
      <c r="AS498" s="32">
        <v>885.5</v>
      </c>
      <c r="AX498" s="30">
        <v>28.2</v>
      </c>
      <c r="AY498" s="35">
        <v>0.13833999999999999</v>
      </c>
      <c r="BA498" s="30">
        <v>28.2</v>
      </c>
      <c r="BB498" s="35">
        <v>0.14055999999999999</v>
      </c>
      <c r="BD498" s="37">
        <v>932</v>
      </c>
      <c r="BE498" s="39">
        <v>20.239999999999998</v>
      </c>
      <c r="BF498" s="1995"/>
      <c r="BL498" s="37">
        <v>932</v>
      </c>
      <c r="BM498" s="2059">
        <v>1.0742</v>
      </c>
      <c r="BO498" s="40">
        <v>932</v>
      </c>
      <c r="BP498" s="41">
        <v>0.91620000000000001</v>
      </c>
    </row>
    <row r="499" spans="27:68">
      <c r="AA499" s="1994"/>
      <c r="AR499" s="30">
        <v>28.3</v>
      </c>
      <c r="AS499" s="32">
        <v>885</v>
      </c>
      <c r="AX499" s="30">
        <v>28.3</v>
      </c>
      <c r="AY499" s="35">
        <v>0.13825000000000001</v>
      </c>
      <c r="BA499" s="30">
        <v>28.3</v>
      </c>
      <c r="BB499" s="35">
        <v>0.14047000000000001</v>
      </c>
      <c r="BD499" s="37">
        <v>933</v>
      </c>
      <c r="BE499" s="39">
        <v>20.07</v>
      </c>
      <c r="BF499" s="1995"/>
      <c r="BL499" s="37">
        <v>933</v>
      </c>
      <c r="BM499" s="2059">
        <v>1.0730999999999999</v>
      </c>
      <c r="BO499" s="40">
        <v>933</v>
      </c>
      <c r="BP499" s="41">
        <v>0.91720000000000002</v>
      </c>
    </row>
    <row r="500" spans="27:68">
      <c r="AA500" s="1994"/>
      <c r="AR500" s="30">
        <v>28.4</v>
      </c>
      <c r="AS500" s="32">
        <v>884.4</v>
      </c>
      <c r="AX500" s="30">
        <v>28.4</v>
      </c>
      <c r="AY500" s="35">
        <v>0.13816000000000001</v>
      </c>
      <c r="BA500" s="30">
        <v>28.4</v>
      </c>
      <c r="BB500" s="35">
        <v>0.14038</v>
      </c>
      <c r="BD500" s="37">
        <v>934</v>
      </c>
      <c r="BE500" s="39">
        <v>19.91</v>
      </c>
      <c r="BF500" s="1995"/>
      <c r="BL500" s="37">
        <v>934</v>
      </c>
      <c r="BM500" s="2059">
        <v>1.0719000000000001</v>
      </c>
      <c r="BO500" s="40">
        <v>934</v>
      </c>
      <c r="BP500" s="41">
        <v>0.91820000000000002</v>
      </c>
    </row>
    <row r="501" spans="27:68">
      <c r="AA501" s="1994"/>
      <c r="AR501" s="30">
        <v>28.5</v>
      </c>
      <c r="AS501" s="32">
        <v>883.9</v>
      </c>
      <c r="AX501" s="30">
        <v>28.5</v>
      </c>
      <c r="AY501" s="35">
        <v>0.13808000000000001</v>
      </c>
      <c r="BA501" s="30">
        <v>28.5</v>
      </c>
      <c r="BB501" s="35">
        <v>0.14029</v>
      </c>
      <c r="BD501" s="37">
        <v>935</v>
      </c>
      <c r="BE501" s="39">
        <v>19.75</v>
      </c>
      <c r="BF501" s="1995"/>
      <c r="BL501" s="37">
        <v>935</v>
      </c>
      <c r="BM501" s="2059">
        <v>1.0708</v>
      </c>
      <c r="BO501" s="40">
        <v>935</v>
      </c>
      <c r="BP501" s="41">
        <v>0.91920000000000002</v>
      </c>
    </row>
    <row r="502" spans="27:68">
      <c r="AA502" s="1994"/>
      <c r="AR502" s="30">
        <v>28.6</v>
      </c>
      <c r="AS502" s="32">
        <v>883.3</v>
      </c>
      <c r="AX502" s="30">
        <v>28.6</v>
      </c>
      <c r="AY502" s="35">
        <v>0.13799</v>
      </c>
      <c r="BA502" s="30">
        <v>28.6</v>
      </c>
      <c r="BB502" s="35">
        <v>0.14019999999999999</v>
      </c>
      <c r="BD502" s="37">
        <v>936</v>
      </c>
      <c r="BE502" s="39">
        <v>19.59</v>
      </c>
      <c r="BF502" s="1995"/>
      <c r="BL502" s="37">
        <v>936</v>
      </c>
      <c r="BM502" s="2059">
        <v>1.0696000000000001</v>
      </c>
      <c r="BO502" s="40">
        <v>936</v>
      </c>
      <c r="BP502" s="41">
        <v>0.92020000000000002</v>
      </c>
    </row>
    <row r="503" spans="27:68">
      <c r="AA503" s="1994"/>
      <c r="AR503" s="30">
        <v>28.7</v>
      </c>
      <c r="AS503" s="32">
        <v>882.8</v>
      </c>
      <c r="AX503" s="30">
        <v>28.7</v>
      </c>
      <c r="AY503" s="35">
        <v>0.13789999999999999</v>
      </c>
      <c r="BA503" s="30">
        <v>28.7</v>
      </c>
      <c r="BB503" s="35">
        <v>0.14011999999999999</v>
      </c>
      <c r="BD503" s="37">
        <v>937</v>
      </c>
      <c r="BE503" s="39">
        <v>19.43</v>
      </c>
      <c r="BF503" s="1995"/>
      <c r="BL503" s="37">
        <v>937</v>
      </c>
      <c r="BM503" s="2059">
        <v>1.0685</v>
      </c>
      <c r="BO503" s="40">
        <v>937</v>
      </c>
      <c r="BP503" s="41">
        <v>0.92110000000000003</v>
      </c>
    </row>
    <row r="504" spans="27:68">
      <c r="AA504" s="1994"/>
      <c r="AR504" s="30">
        <v>28.8</v>
      </c>
      <c r="AS504" s="32">
        <v>882.2</v>
      </c>
      <c r="AX504" s="30">
        <v>28.8</v>
      </c>
      <c r="AY504" s="35">
        <v>0.13782</v>
      </c>
      <c r="BA504" s="30">
        <v>28.8</v>
      </c>
      <c r="BB504" s="35">
        <v>0.14002999999999999</v>
      </c>
      <c r="BD504" s="37">
        <v>938</v>
      </c>
      <c r="BE504" s="39">
        <v>19.27</v>
      </c>
      <c r="BF504" s="1995"/>
      <c r="BL504" s="37">
        <v>938</v>
      </c>
      <c r="BM504" s="2059">
        <v>1.0672999999999999</v>
      </c>
      <c r="BO504" s="40">
        <v>938</v>
      </c>
      <c r="BP504" s="41">
        <v>0.92210000000000003</v>
      </c>
    </row>
    <row r="505" spans="27:68">
      <c r="AA505" s="1994"/>
      <c r="AR505" s="30">
        <v>28.9</v>
      </c>
      <c r="AS505" s="32">
        <v>881.7</v>
      </c>
      <c r="AX505" s="30">
        <v>28.9</v>
      </c>
      <c r="AY505" s="35">
        <v>0.13772999999999999</v>
      </c>
      <c r="BA505" s="30">
        <v>28.9</v>
      </c>
      <c r="BB505" s="35">
        <v>0.13994000000000001</v>
      </c>
      <c r="BD505" s="37">
        <v>939</v>
      </c>
      <c r="BE505" s="39">
        <v>19.100000000000001</v>
      </c>
      <c r="BF505" s="1995"/>
      <c r="BL505" s="37">
        <v>939</v>
      </c>
      <c r="BM505" s="2059">
        <v>1.0662</v>
      </c>
      <c r="BO505" s="40">
        <v>939</v>
      </c>
      <c r="BP505" s="41">
        <v>0.92310000000000003</v>
      </c>
    </row>
    <row r="506" spans="27:68">
      <c r="AA506" s="1994"/>
      <c r="AR506" s="30">
        <v>29</v>
      </c>
      <c r="AS506" s="32">
        <v>881.1</v>
      </c>
      <c r="AX506" s="30">
        <v>29</v>
      </c>
      <c r="AY506" s="35">
        <v>0.13764999999999999</v>
      </c>
      <c r="BA506" s="30">
        <v>29</v>
      </c>
      <c r="BB506" s="35">
        <v>0.13985</v>
      </c>
      <c r="BD506" s="37">
        <v>940</v>
      </c>
      <c r="BE506" s="39">
        <v>18.940000000000001</v>
      </c>
      <c r="BF506" s="1995"/>
      <c r="BL506" s="37">
        <v>940</v>
      </c>
      <c r="BM506" s="2059">
        <v>1.0650999999999999</v>
      </c>
      <c r="BO506" s="40">
        <v>940</v>
      </c>
      <c r="BP506" s="41">
        <v>0.92410000000000003</v>
      </c>
    </row>
    <row r="507" spans="27:68">
      <c r="AA507" s="1994"/>
      <c r="AR507" s="30">
        <v>29.1</v>
      </c>
      <c r="AS507" s="32">
        <v>880.6</v>
      </c>
      <c r="AX507" s="30">
        <v>29.1</v>
      </c>
      <c r="AY507" s="35">
        <v>0.13755999999999999</v>
      </c>
      <c r="BA507" s="30">
        <v>29.1</v>
      </c>
      <c r="BB507" s="35">
        <v>0.13977000000000001</v>
      </c>
      <c r="BD507" s="37">
        <v>941</v>
      </c>
      <c r="BE507" s="39">
        <v>18.78</v>
      </c>
      <c r="BF507" s="1995"/>
      <c r="BL507" s="37">
        <v>941</v>
      </c>
      <c r="BM507" s="2059">
        <v>1.0639000000000001</v>
      </c>
      <c r="BO507" s="40">
        <v>941</v>
      </c>
      <c r="BP507" s="41">
        <v>0.92510000000000003</v>
      </c>
    </row>
    <row r="508" spans="27:68">
      <c r="AA508" s="1994"/>
      <c r="AR508" s="30">
        <v>29.2</v>
      </c>
      <c r="AS508" s="32">
        <v>880</v>
      </c>
      <c r="AX508" s="30">
        <v>29.2</v>
      </c>
      <c r="AY508" s="35">
        <v>0.13747000000000001</v>
      </c>
      <c r="BA508" s="30">
        <v>29.2</v>
      </c>
      <c r="BB508" s="35">
        <v>0.13968</v>
      </c>
      <c r="BD508" s="37">
        <v>942</v>
      </c>
      <c r="BE508" s="39">
        <v>18.62</v>
      </c>
      <c r="BF508" s="1995"/>
      <c r="BL508" s="37">
        <v>942</v>
      </c>
      <c r="BM508" s="2059">
        <v>1.0628</v>
      </c>
      <c r="BO508" s="40">
        <v>942</v>
      </c>
      <c r="BP508" s="41">
        <v>0.92610000000000003</v>
      </c>
    </row>
    <row r="509" spans="27:68">
      <c r="AA509" s="1994"/>
      <c r="AR509" s="30">
        <v>29.3</v>
      </c>
      <c r="AS509" s="32">
        <v>879.5</v>
      </c>
      <c r="AX509" s="30">
        <v>29.3</v>
      </c>
      <c r="AY509" s="35">
        <v>0.13739000000000001</v>
      </c>
      <c r="BA509" s="30">
        <v>29.3</v>
      </c>
      <c r="BB509" s="35">
        <v>0.13958999999999999</v>
      </c>
      <c r="BD509" s="37">
        <v>943</v>
      </c>
      <c r="BE509" s="39">
        <v>18.47</v>
      </c>
      <c r="BF509" s="1995"/>
      <c r="BL509" s="37">
        <v>943</v>
      </c>
      <c r="BM509" s="2059">
        <v>1.0617000000000001</v>
      </c>
      <c r="BO509" s="40">
        <v>943</v>
      </c>
      <c r="BP509" s="41">
        <v>0.92700000000000005</v>
      </c>
    </row>
    <row r="510" spans="27:68">
      <c r="AA510" s="1994"/>
      <c r="AR510" s="30">
        <v>29.4</v>
      </c>
      <c r="AS510" s="32">
        <v>878.9</v>
      </c>
      <c r="AX510" s="30">
        <v>29.4</v>
      </c>
      <c r="AY510" s="35">
        <v>0.13730000000000001</v>
      </c>
      <c r="BA510" s="30">
        <v>29.4</v>
      </c>
      <c r="BB510" s="35">
        <v>0.13951</v>
      </c>
      <c r="BD510" s="37">
        <v>944</v>
      </c>
      <c r="BE510" s="39">
        <v>18.309999999999999</v>
      </c>
      <c r="BF510" s="1995"/>
      <c r="BL510" s="37">
        <v>944</v>
      </c>
      <c r="BM510" s="2059">
        <v>1.0605</v>
      </c>
      <c r="BO510" s="40">
        <v>944</v>
      </c>
      <c r="BP510" s="41">
        <v>0.92800000000000005</v>
      </c>
    </row>
    <row r="511" spans="27:68">
      <c r="AA511" s="1994"/>
      <c r="AR511" s="30">
        <v>29.5</v>
      </c>
      <c r="AS511" s="32">
        <v>878.4</v>
      </c>
      <c r="AX511" s="30">
        <v>29.5</v>
      </c>
      <c r="AY511" s="35">
        <v>0.13722000000000001</v>
      </c>
      <c r="BA511" s="30">
        <v>29.5</v>
      </c>
      <c r="BB511" s="35">
        <v>0.13941999999999999</v>
      </c>
      <c r="BD511" s="37">
        <v>945</v>
      </c>
      <c r="BE511" s="39">
        <v>18.149999999999999</v>
      </c>
      <c r="BF511" s="1995"/>
      <c r="BL511" s="37">
        <v>945</v>
      </c>
      <c r="BM511" s="2059">
        <v>1.0593999999999999</v>
      </c>
      <c r="BO511" s="40">
        <v>945</v>
      </c>
      <c r="BP511" s="41">
        <v>0.92900000000000005</v>
      </c>
    </row>
    <row r="512" spans="27:68">
      <c r="AA512" s="1994"/>
      <c r="AR512" s="30">
        <v>29.6</v>
      </c>
      <c r="AS512" s="32">
        <v>877.9</v>
      </c>
      <c r="AX512" s="30">
        <v>29.6</v>
      </c>
      <c r="AY512" s="35">
        <v>0.13713</v>
      </c>
      <c r="BA512" s="30">
        <v>29.6</v>
      </c>
      <c r="BB512" s="35">
        <v>0.13933000000000001</v>
      </c>
      <c r="BD512" s="37">
        <v>946</v>
      </c>
      <c r="BE512" s="39">
        <v>17.989999999999998</v>
      </c>
      <c r="BF512" s="1995"/>
      <c r="BL512" s="37">
        <v>946</v>
      </c>
      <c r="BM512" s="2059">
        <v>1.0583</v>
      </c>
      <c r="BO512" s="40">
        <v>946</v>
      </c>
      <c r="BP512" s="41">
        <v>0.93</v>
      </c>
    </row>
    <row r="513" spans="27:68">
      <c r="AA513" s="1994"/>
      <c r="AR513" s="30">
        <v>29.7</v>
      </c>
      <c r="AS513" s="32">
        <v>877.3</v>
      </c>
      <c r="AX513" s="30">
        <v>29.7</v>
      </c>
      <c r="AY513" s="35">
        <v>0.13705000000000001</v>
      </c>
      <c r="BA513" s="30">
        <v>29.7</v>
      </c>
      <c r="BB513" s="35">
        <v>0.13925000000000001</v>
      </c>
      <c r="BD513" s="37">
        <v>947</v>
      </c>
      <c r="BE513" s="39">
        <v>17.829999999999998</v>
      </c>
      <c r="BF513" s="1995"/>
      <c r="BL513" s="37">
        <v>947</v>
      </c>
      <c r="BM513" s="2059">
        <v>1.0571999999999999</v>
      </c>
      <c r="BO513" s="40">
        <v>947</v>
      </c>
      <c r="BP513" s="41">
        <v>0.93100000000000005</v>
      </c>
    </row>
    <row r="514" spans="27:68">
      <c r="AA514" s="1994"/>
      <c r="AR514" s="30">
        <v>29.8</v>
      </c>
      <c r="AS514" s="32">
        <v>876.8</v>
      </c>
      <c r="AX514" s="30">
        <v>29.8</v>
      </c>
      <c r="AY514" s="35">
        <v>0.13696</v>
      </c>
      <c r="BA514" s="30">
        <v>29.8</v>
      </c>
      <c r="BB514" s="35">
        <v>0.13916000000000001</v>
      </c>
      <c r="BD514" s="37">
        <v>948</v>
      </c>
      <c r="BE514" s="39">
        <v>17.670000000000002</v>
      </c>
      <c r="BF514" s="1995"/>
      <c r="BL514" s="37">
        <v>948</v>
      </c>
      <c r="BM514" s="2059">
        <v>1.0561</v>
      </c>
      <c r="BO514" s="40">
        <v>948</v>
      </c>
      <c r="BP514" s="41">
        <v>0.93200000000000005</v>
      </c>
    </row>
    <row r="515" spans="27:68">
      <c r="AA515" s="1994"/>
      <c r="AR515" s="30">
        <v>29.9</v>
      </c>
      <c r="AS515" s="32">
        <v>876.2</v>
      </c>
      <c r="AX515" s="30">
        <v>29.9</v>
      </c>
      <c r="AY515" s="35">
        <v>0.13688</v>
      </c>
      <c r="BA515" s="30">
        <v>29.9</v>
      </c>
      <c r="BB515" s="35">
        <v>0.13907</v>
      </c>
      <c r="BD515" s="37">
        <v>949</v>
      </c>
      <c r="BE515" s="39">
        <v>17.52</v>
      </c>
      <c r="BF515" s="1995"/>
      <c r="BL515" s="37">
        <v>949</v>
      </c>
      <c r="BM515" s="2059">
        <v>1.0548999999999999</v>
      </c>
      <c r="BO515" s="40">
        <v>949</v>
      </c>
      <c r="BP515" s="41">
        <v>0.93300000000000005</v>
      </c>
    </row>
    <row r="516" spans="27:68">
      <c r="AA516" s="1994"/>
      <c r="AR516" s="30">
        <v>30</v>
      </c>
      <c r="AS516" s="32">
        <v>875.7</v>
      </c>
      <c r="AX516" s="30">
        <v>30</v>
      </c>
      <c r="AY516" s="35">
        <v>0.13678999999999999</v>
      </c>
      <c r="BA516" s="30">
        <v>30</v>
      </c>
      <c r="BB516" s="35">
        <v>0.13899</v>
      </c>
      <c r="BD516" s="37">
        <v>950</v>
      </c>
      <c r="BE516" s="39">
        <v>17.36</v>
      </c>
      <c r="BF516" s="1995"/>
      <c r="BL516" s="37">
        <v>950</v>
      </c>
      <c r="BM516" s="2059">
        <v>1.0538000000000001</v>
      </c>
      <c r="BO516" s="40">
        <v>950</v>
      </c>
      <c r="BP516" s="41">
        <v>0.93389999999999995</v>
      </c>
    </row>
    <row r="517" spans="27:68">
      <c r="AA517" s="1994"/>
      <c r="AR517" s="30">
        <v>30.1</v>
      </c>
      <c r="AS517" s="32">
        <v>875.1</v>
      </c>
      <c r="AX517" s="30">
        <v>30.1</v>
      </c>
      <c r="AY517" s="35">
        <v>0.13671</v>
      </c>
      <c r="BA517" s="30">
        <v>30.1</v>
      </c>
      <c r="BB517" s="35">
        <v>0.1389</v>
      </c>
      <c r="BD517" s="37">
        <v>951</v>
      </c>
      <c r="BE517" s="39">
        <v>17.2</v>
      </c>
      <c r="BF517" s="1995"/>
      <c r="BL517" s="37">
        <v>951</v>
      </c>
      <c r="BM517" s="2059">
        <v>1.0527</v>
      </c>
      <c r="BO517" s="40">
        <v>951</v>
      </c>
      <c r="BP517" s="41">
        <v>0.93489999999999995</v>
      </c>
    </row>
    <row r="518" spans="27:68">
      <c r="AA518" s="1994"/>
      <c r="AR518" s="30">
        <v>30.2</v>
      </c>
      <c r="AS518" s="32">
        <v>874.6</v>
      </c>
      <c r="AX518" s="30">
        <v>30.2</v>
      </c>
      <c r="AY518" s="35">
        <v>0.13661999999999999</v>
      </c>
      <c r="BA518" s="30">
        <v>30.2</v>
      </c>
      <c r="BB518" s="35">
        <v>0.13882</v>
      </c>
      <c r="BD518" s="37">
        <v>952</v>
      </c>
      <c r="BE518" s="39">
        <v>17.05</v>
      </c>
      <c r="BF518" s="1995"/>
      <c r="BL518" s="37">
        <v>952</v>
      </c>
      <c r="BM518" s="2059">
        <v>1.0516000000000001</v>
      </c>
      <c r="BO518" s="40">
        <v>952</v>
      </c>
      <c r="BP518" s="41">
        <v>0.93589999999999995</v>
      </c>
    </row>
    <row r="519" spans="27:68">
      <c r="AA519" s="1994"/>
      <c r="AR519" s="30">
        <v>30.3</v>
      </c>
      <c r="AS519" s="32">
        <v>874.1</v>
      </c>
      <c r="AX519" s="30">
        <v>30.3</v>
      </c>
      <c r="AY519" s="35">
        <v>0.13653999999999999</v>
      </c>
      <c r="BA519" s="30">
        <v>30.3</v>
      </c>
      <c r="BB519" s="35">
        <v>0.13872999999999999</v>
      </c>
      <c r="BD519" s="37">
        <v>953</v>
      </c>
      <c r="BE519" s="39">
        <v>16.89</v>
      </c>
      <c r="BF519" s="1995"/>
      <c r="BL519" s="37">
        <v>953</v>
      </c>
      <c r="BM519" s="2059">
        <v>1.0505</v>
      </c>
      <c r="BO519" s="40">
        <v>953</v>
      </c>
      <c r="BP519" s="41">
        <v>0.93689999999999996</v>
      </c>
    </row>
    <row r="520" spans="27:68">
      <c r="AA520" s="1994"/>
      <c r="AR520" s="30">
        <v>30.4</v>
      </c>
      <c r="AS520" s="32">
        <v>873.5</v>
      </c>
      <c r="AX520" s="30">
        <v>30.4</v>
      </c>
      <c r="AY520" s="35">
        <v>0.13644999999999999</v>
      </c>
      <c r="BA520" s="30">
        <v>30.4</v>
      </c>
      <c r="BB520" s="35">
        <v>0.13864000000000001</v>
      </c>
      <c r="BD520" s="37">
        <v>954</v>
      </c>
      <c r="BE520" s="39">
        <v>16.739999999999998</v>
      </c>
      <c r="BF520" s="1995"/>
      <c r="BL520" s="37">
        <v>954</v>
      </c>
      <c r="BM520" s="2059">
        <v>1.0494000000000001</v>
      </c>
      <c r="BO520" s="40">
        <v>954</v>
      </c>
      <c r="BP520" s="41">
        <v>0.93789999999999996</v>
      </c>
    </row>
    <row r="521" spans="27:68">
      <c r="AA521" s="1994"/>
      <c r="AR521" s="30">
        <v>30.5</v>
      </c>
      <c r="AS521" s="32">
        <v>873</v>
      </c>
      <c r="AX521" s="30">
        <v>30.5</v>
      </c>
      <c r="AY521" s="35">
        <v>0.13636999999999999</v>
      </c>
      <c r="BA521" s="30">
        <v>30.5</v>
      </c>
      <c r="BB521" s="35">
        <v>0.13855999999999999</v>
      </c>
      <c r="BD521" s="37">
        <v>955</v>
      </c>
      <c r="BE521" s="39">
        <v>16.579999999999998</v>
      </c>
      <c r="BF521" s="1995"/>
      <c r="BL521" s="37">
        <v>955</v>
      </c>
      <c r="BM521" s="2059">
        <v>1.0483</v>
      </c>
      <c r="BO521" s="40">
        <v>955</v>
      </c>
      <c r="BP521" s="41">
        <v>0.93889999999999996</v>
      </c>
    </row>
    <row r="522" spans="27:68">
      <c r="AA522" s="1994"/>
      <c r="AR522" s="30">
        <v>30.6</v>
      </c>
      <c r="AS522" s="32">
        <v>872.4</v>
      </c>
      <c r="AX522" s="30">
        <v>30.6</v>
      </c>
      <c r="AY522" s="35">
        <v>0.13628999999999999</v>
      </c>
      <c r="BA522" s="30">
        <v>30.6</v>
      </c>
      <c r="BB522" s="35">
        <v>0.13847000000000001</v>
      </c>
      <c r="BD522" s="37">
        <v>956</v>
      </c>
      <c r="BE522" s="39">
        <v>16.420000000000002</v>
      </c>
      <c r="BF522" s="1995"/>
      <c r="BL522" s="37">
        <v>956</v>
      </c>
      <c r="BM522" s="2059">
        <v>1.0471999999999999</v>
      </c>
      <c r="BO522" s="40">
        <v>956</v>
      </c>
      <c r="BP522" s="41">
        <v>0.93979999999999997</v>
      </c>
    </row>
    <row r="523" spans="27:68">
      <c r="AA523" s="1994"/>
      <c r="AR523" s="30">
        <v>30.7</v>
      </c>
      <c r="AS523" s="32">
        <v>871.9</v>
      </c>
      <c r="AX523" s="30">
        <v>30.7</v>
      </c>
      <c r="AY523" s="35">
        <v>0.13619999999999999</v>
      </c>
      <c r="BA523" s="30">
        <v>30.7</v>
      </c>
      <c r="BB523" s="35">
        <v>0.13839000000000001</v>
      </c>
      <c r="BD523" s="37">
        <v>957</v>
      </c>
      <c r="BE523" s="39">
        <v>16.27</v>
      </c>
      <c r="BF523" s="1995"/>
      <c r="BL523" s="37">
        <v>957</v>
      </c>
      <c r="BM523" s="2059">
        <v>1.0461</v>
      </c>
      <c r="BO523" s="40">
        <v>957</v>
      </c>
      <c r="BP523" s="41">
        <v>0.94079999999999997</v>
      </c>
    </row>
    <row r="524" spans="27:68">
      <c r="AA524" s="1994"/>
      <c r="AR524" s="30">
        <v>30.8</v>
      </c>
      <c r="AS524" s="32">
        <v>871.4</v>
      </c>
      <c r="AX524" s="30">
        <v>30.8</v>
      </c>
      <c r="AY524" s="35">
        <v>0.13611999999999999</v>
      </c>
      <c r="BA524" s="30">
        <v>30.8</v>
      </c>
      <c r="BB524" s="35">
        <v>0.13830000000000001</v>
      </c>
      <c r="BD524" s="37">
        <v>958</v>
      </c>
      <c r="BE524" s="39">
        <v>16.12</v>
      </c>
      <c r="BF524" s="1995"/>
      <c r="BL524" s="37">
        <v>958</v>
      </c>
      <c r="BM524" s="2059">
        <v>1.0449999999999999</v>
      </c>
      <c r="BO524" s="40">
        <v>958</v>
      </c>
      <c r="BP524" s="41">
        <v>0.94179999999999997</v>
      </c>
    </row>
    <row r="525" spans="27:68">
      <c r="AA525" s="1994"/>
      <c r="AR525" s="30">
        <v>30.9</v>
      </c>
      <c r="AS525" s="32">
        <v>870.8</v>
      </c>
      <c r="AX525" s="30">
        <v>30.9</v>
      </c>
      <c r="AY525" s="35">
        <v>0.13603000000000001</v>
      </c>
      <c r="BA525" s="30">
        <v>30.9</v>
      </c>
      <c r="BB525" s="35">
        <v>0.13822000000000001</v>
      </c>
      <c r="BD525" s="37">
        <v>959</v>
      </c>
      <c r="BE525" s="39">
        <v>15.96</v>
      </c>
      <c r="BF525" s="1995"/>
      <c r="BL525" s="37">
        <v>959</v>
      </c>
      <c r="BM525" s="2059">
        <v>1.0439000000000001</v>
      </c>
      <c r="BO525" s="40">
        <v>959</v>
      </c>
      <c r="BP525" s="41">
        <v>0.94279999999999997</v>
      </c>
    </row>
    <row r="526" spans="27:68">
      <c r="AA526" s="1994"/>
      <c r="AR526" s="30">
        <v>31</v>
      </c>
      <c r="AS526" s="32">
        <v>870.3</v>
      </c>
      <c r="AX526" s="30">
        <v>31</v>
      </c>
      <c r="AY526" s="35">
        <v>0.13594999999999999</v>
      </c>
      <c r="BA526" s="30">
        <v>31</v>
      </c>
      <c r="BB526" s="35">
        <v>0.13813</v>
      </c>
      <c r="BD526" s="37">
        <v>960</v>
      </c>
      <c r="BE526" s="39">
        <v>15.81</v>
      </c>
      <c r="BF526" s="1995"/>
      <c r="BL526" s="37">
        <v>960</v>
      </c>
      <c r="BM526" s="2059">
        <v>1.0427999999999999</v>
      </c>
      <c r="BO526" s="40">
        <v>960</v>
      </c>
      <c r="BP526" s="41">
        <v>0.94379999999999997</v>
      </c>
    </row>
    <row r="527" spans="27:68">
      <c r="AA527" s="1994"/>
      <c r="AR527" s="30">
        <v>31.1</v>
      </c>
      <c r="AS527" s="32">
        <v>869.8</v>
      </c>
      <c r="AX527" s="30">
        <v>31.1</v>
      </c>
      <c r="AY527" s="35">
        <v>0.13586999999999999</v>
      </c>
      <c r="BA527" s="30">
        <v>31.1</v>
      </c>
      <c r="BB527" s="35">
        <v>0.13805000000000001</v>
      </c>
      <c r="BD527" s="37">
        <v>961</v>
      </c>
      <c r="BE527" s="39">
        <v>15.65</v>
      </c>
      <c r="BF527" s="1995"/>
      <c r="BL527" s="37">
        <v>961</v>
      </c>
      <c r="BM527" s="2059">
        <v>1.0417000000000001</v>
      </c>
      <c r="BO527" s="40">
        <v>961</v>
      </c>
      <c r="BP527" s="41">
        <v>0.94479999999999997</v>
      </c>
    </row>
    <row r="528" spans="27:68">
      <c r="AA528" s="1994"/>
      <c r="AR528" s="30">
        <v>31.2</v>
      </c>
      <c r="AS528" s="32">
        <v>869.2</v>
      </c>
      <c r="AX528" s="30">
        <v>31.2</v>
      </c>
      <c r="AY528" s="35">
        <v>0.13578000000000001</v>
      </c>
      <c r="BA528" s="30">
        <v>31.2</v>
      </c>
      <c r="BB528" s="35">
        <v>0.13796</v>
      </c>
      <c r="BD528" s="37">
        <v>962</v>
      </c>
      <c r="BE528" s="39">
        <v>15.5</v>
      </c>
      <c r="BF528" s="1995"/>
      <c r="BL528" s="37">
        <v>962</v>
      </c>
      <c r="BM528" s="2059">
        <v>1.0407</v>
      </c>
      <c r="BO528" s="40">
        <v>962</v>
      </c>
      <c r="BP528" s="41">
        <v>0.94569999999999999</v>
      </c>
    </row>
    <row r="529" spans="27:68">
      <c r="AA529" s="1994"/>
      <c r="AR529" s="30">
        <v>31.3</v>
      </c>
      <c r="AS529" s="32">
        <v>868.7</v>
      </c>
      <c r="AX529" s="30">
        <v>31.3</v>
      </c>
      <c r="AY529" s="35">
        <v>0.13569999999999999</v>
      </c>
      <c r="BA529" s="30">
        <v>31.3</v>
      </c>
      <c r="BB529" s="35">
        <v>0.13788</v>
      </c>
      <c r="BD529" s="37">
        <v>963</v>
      </c>
      <c r="BE529" s="39">
        <v>15.35</v>
      </c>
      <c r="BF529" s="1995"/>
      <c r="BL529" s="37">
        <v>963</v>
      </c>
      <c r="BM529" s="2059">
        <v>1.0396000000000001</v>
      </c>
      <c r="BO529" s="40">
        <v>963</v>
      </c>
      <c r="BP529" s="41">
        <v>0.94669999999999999</v>
      </c>
    </row>
    <row r="530" spans="27:68">
      <c r="AA530" s="1994"/>
      <c r="AR530" s="30">
        <v>31.4</v>
      </c>
      <c r="AS530" s="32">
        <v>868.2</v>
      </c>
      <c r="AX530" s="30">
        <v>31.4</v>
      </c>
      <c r="AY530" s="35">
        <v>0.13561999999999999</v>
      </c>
      <c r="BA530" s="30">
        <v>31.4</v>
      </c>
      <c r="BB530" s="35">
        <v>0.13779</v>
      </c>
      <c r="BD530" s="37">
        <v>964</v>
      </c>
      <c r="BE530" s="39">
        <v>15.2</v>
      </c>
      <c r="BF530" s="1995"/>
      <c r="BL530" s="37">
        <v>964</v>
      </c>
      <c r="BM530" s="2059">
        <v>1.0385</v>
      </c>
      <c r="BO530" s="40">
        <v>964</v>
      </c>
      <c r="BP530" s="41">
        <v>0.94769999999999999</v>
      </c>
    </row>
    <row r="531" spans="27:68">
      <c r="AA531" s="1994"/>
      <c r="AR531" s="30">
        <v>31.5</v>
      </c>
      <c r="AS531" s="32">
        <v>867.6</v>
      </c>
      <c r="AX531" s="30">
        <v>31.5</v>
      </c>
      <c r="AY531" s="35">
        <v>0.13553000000000001</v>
      </c>
      <c r="BA531" s="30">
        <v>31.5</v>
      </c>
      <c r="BB531" s="35">
        <v>0.13771</v>
      </c>
      <c r="BD531" s="37">
        <v>965</v>
      </c>
      <c r="BE531" s="39">
        <v>15.04</v>
      </c>
      <c r="BF531" s="1995"/>
      <c r="BL531" s="37">
        <v>965</v>
      </c>
      <c r="BM531" s="2059">
        <v>1.0374000000000001</v>
      </c>
      <c r="BO531" s="40">
        <v>965</v>
      </c>
      <c r="BP531" s="41">
        <v>0.94869999999999999</v>
      </c>
    </row>
    <row r="532" spans="27:68">
      <c r="AA532" s="1994"/>
      <c r="AR532" s="30">
        <v>31.6</v>
      </c>
      <c r="AS532" s="32">
        <v>867.1</v>
      </c>
      <c r="AX532" s="30">
        <v>31.6</v>
      </c>
      <c r="AY532" s="35">
        <v>0.13544999999999999</v>
      </c>
      <c r="BA532" s="30">
        <v>31.6</v>
      </c>
      <c r="BB532" s="35">
        <v>0.13761999999999999</v>
      </c>
      <c r="BD532" s="37">
        <v>966</v>
      </c>
      <c r="BE532" s="39">
        <v>14.89</v>
      </c>
      <c r="BF532" s="1995"/>
      <c r="BL532" s="37">
        <v>966</v>
      </c>
      <c r="BM532" s="2059">
        <v>1.0363</v>
      </c>
      <c r="BO532" s="40">
        <v>966</v>
      </c>
      <c r="BP532" s="41">
        <v>0.94969999999999999</v>
      </c>
    </row>
    <row r="533" spans="27:68">
      <c r="AA533" s="1994"/>
      <c r="AR533" s="30">
        <v>31.7</v>
      </c>
      <c r="AS533" s="32">
        <v>866.6</v>
      </c>
      <c r="AX533" s="30">
        <v>31.7</v>
      </c>
      <c r="AY533" s="35">
        <v>0.13536999999999999</v>
      </c>
      <c r="BA533" s="30">
        <v>31.7</v>
      </c>
      <c r="BB533" s="35">
        <v>0.13754</v>
      </c>
      <c r="BD533" s="37">
        <v>967</v>
      </c>
      <c r="BE533" s="39">
        <v>14.74</v>
      </c>
      <c r="BF533" s="1995"/>
      <c r="BL533" s="37">
        <v>967</v>
      </c>
      <c r="BM533" s="2059">
        <v>1.0353000000000001</v>
      </c>
      <c r="BO533" s="40">
        <v>967</v>
      </c>
      <c r="BP533" s="41">
        <v>0.95069999999999999</v>
      </c>
    </row>
    <row r="534" spans="27:68">
      <c r="AA534" s="1994"/>
      <c r="AR534" s="30">
        <v>31.8</v>
      </c>
      <c r="AS534" s="32">
        <v>866</v>
      </c>
      <c r="AX534" s="30">
        <v>31.8</v>
      </c>
      <c r="AY534" s="35">
        <v>0.13528000000000001</v>
      </c>
      <c r="BA534" s="30">
        <v>31.8</v>
      </c>
      <c r="BB534" s="35">
        <v>0.13744999999999999</v>
      </c>
      <c r="BD534" s="37">
        <v>968</v>
      </c>
      <c r="BE534" s="39">
        <v>14.59</v>
      </c>
      <c r="BF534" s="1995"/>
      <c r="BL534" s="37">
        <v>968</v>
      </c>
      <c r="BM534" s="2059">
        <v>1.0342</v>
      </c>
      <c r="BO534" s="40">
        <v>968</v>
      </c>
      <c r="BP534" s="41">
        <v>0.95169999999999999</v>
      </c>
    </row>
    <row r="535" spans="27:68">
      <c r="AA535" s="1994"/>
      <c r="AR535" s="30">
        <v>31.9</v>
      </c>
      <c r="AS535" s="32">
        <v>865.5</v>
      </c>
      <c r="AX535" s="30">
        <v>31.9</v>
      </c>
      <c r="AY535" s="35">
        <v>0.13519999999999999</v>
      </c>
      <c r="BA535" s="30">
        <v>31.9</v>
      </c>
      <c r="BB535" s="35">
        <v>0.13736999999999999</v>
      </c>
      <c r="BD535" s="37">
        <v>969</v>
      </c>
      <c r="BE535" s="39">
        <v>14.44</v>
      </c>
      <c r="BF535" s="1995"/>
      <c r="BL535" s="37">
        <v>969</v>
      </c>
      <c r="BM535" s="2059">
        <v>1.0330999999999999</v>
      </c>
      <c r="BO535" s="40">
        <v>969</v>
      </c>
      <c r="BP535" s="41">
        <v>0.9526</v>
      </c>
    </row>
    <row r="536" spans="27:68">
      <c r="AA536" s="1994"/>
      <c r="AR536" s="30">
        <v>32</v>
      </c>
      <c r="AS536" s="32">
        <v>865</v>
      </c>
      <c r="AX536" s="30">
        <v>32</v>
      </c>
      <c r="AY536" s="35">
        <v>0.13511999999999999</v>
      </c>
      <c r="BA536" s="30">
        <v>32</v>
      </c>
      <c r="BB536" s="35">
        <v>0.13728000000000001</v>
      </c>
      <c r="BD536" s="37">
        <v>970</v>
      </c>
      <c r="BE536" s="39">
        <v>14.29</v>
      </c>
      <c r="BF536" s="1995"/>
      <c r="BL536" s="37">
        <v>970</v>
      </c>
      <c r="BM536" s="2059">
        <v>1.0321</v>
      </c>
      <c r="BO536" s="40">
        <v>970</v>
      </c>
      <c r="BP536" s="41">
        <v>0.9536</v>
      </c>
    </row>
    <row r="537" spans="27:68">
      <c r="AA537" s="1994"/>
      <c r="AR537" s="30">
        <v>32.1</v>
      </c>
      <c r="AS537" s="32">
        <v>864.5</v>
      </c>
      <c r="AX537" s="30">
        <v>32.1</v>
      </c>
      <c r="AY537" s="35">
        <v>0.13503000000000001</v>
      </c>
      <c r="BA537" s="30">
        <v>32.1</v>
      </c>
      <c r="BB537" s="35">
        <v>0.13719999999999999</v>
      </c>
      <c r="BD537" s="37">
        <v>971</v>
      </c>
      <c r="BE537" s="39">
        <v>14.14</v>
      </c>
      <c r="BF537" s="1995"/>
      <c r="BL537" s="37">
        <v>971</v>
      </c>
      <c r="BM537" s="2059">
        <v>1.0309999999999999</v>
      </c>
      <c r="BO537" s="40">
        <v>971</v>
      </c>
      <c r="BP537" s="41">
        <v>0.9546</v>
      </c>
    </row>
    <row r="538" spans="27:68">
      <c r="AA538" s="1994"/>
      <c r="AR538" s="30">
        <v>32.200000000000003</v>
      </c>
      <c r="AS538" s="32">
        <v>863.9</v>
      </c>
      <c r="AX538" s="30">
        <v>32.200000000000003</v>
      </c>
      <c r="AY538" s="35">
        <v>0.13494999999999999</v>
      </c>
      <c r="BA538" s="30">
        <v>32.200000000000003</v>
      </c>
      <c r="BB538" s="35">
        <v>0.13711999999999999</v>
      </c>
      <c r="BD538" s="37">
        <v>972</v>
      </c>
      <c r="BE538" s="39">
        <v>13.99</v>
      </c>
      <c r="BF538" s="1995"/>
      <c r="BL538" s="37">
        <v>972</v>
      </c>
      <c r="BM538" s="2059">
        <v>1.0299</v>
      </c>
      <c r="BO538" s="40">
        <v>972</v>
      </c>
      <c r="BP538" s="41">
        <v>0.9556</v>
      </c>
    </row>
    <row r="539" spans="27:68">
      <c r="AA539" s="1994"/>
      <c r="AR539" s="30">
        <v>32.299999999999997</v>
      </c>
      <c r="AS539" s="32">
        <v>863.4</v>
      </c>
      <c r="AX539" s="30">
        <v>32.299999999999997</v>
      </c>
      <c r="AY539" s="35">
        <v>0.13486999999999999</v>
      </c>
      <c r="BA539" s="30">
        <v>32.299999999999997</v>
      </c>
      <c r="BB539" s="35">
        <v>0.13703000000000001</v>
      </c>
      <c r="BD539" s="37">
        <v>973</v>
      </c>
      <c r="BE539" s="39">
        <v>13.84</v>
      </c>
      <c r="BF539" s="1995"/>
      <c r="BL539" s="37">
        <v>973</v>
      </c>
      <c r="BM539" s="2059">
        <v>1.0288999999999999</v>
      </c>
      <c r="BO539" s="40">
        <v>973</v>
      </c>
      <c r="BP539" s="41">
        <v>0.95660000000000001</v>
      </c>
    </row>
    <row r="540" spans="27:68">
      <c r="AA540" s="1994"/>
      <c r="AR540" s="30">
        <v>32.4</v>
      </c>
      <c r="AS540" s="32">
        <v>862.9</v>
      </c>
      <c r="AX540" s="30">
        <v>32.4</v>
      </c>
      <c r="AY540" s="35">
        <v>0.13478999999999999</v>
      </c>
      <c r="BA540" s="30">
        <v>32.4</v>
      </c>
      <c r="BB540" s="35">
        <v>0.13694999999999999</v>
      </c>
      <c r="BD540" s="37">
        <v>974</v>
      </c>
      <c r="BE540" s="39">
        <v>13.69</v>
      </c>
      <c r="BF540" s="1995"/>
      <c r="BL540" s="37">
        <v>974</v>
      </c>
      <c r="BM540" s="2059">
        <v>1.0278</v>
      </c>
      <c r="BO540" s="40">
        <v>974</v>
      </c>
      <c r="BP540" s="41">
        <v>0.95760000000000001</v>
      </c>
    </row>
    <row r="541" spans="27:68">
      <c r="AA541" s="1994"/>
      <c r="AR541" s="30">
        <v>32.5</v>
      </c>
      <c r="AS541" s="32">
        <v>862.3</v>
      </c>
      <c r="AX541" s="30">
        <v>32.5</v>
      </c>
      <c r="AY541" s="35">
        <v>0.13469999999999999</v>
      </c>
      <c r="BA541" s="30">
        <v>32.5</v>
      </c>
      <c r="BB541" s="35">
        <v>0.13686999999999999</v>
      </c>
      <c r="BD541" s="37">
        <v>975</v>
      </c>
      <c r="BE541" s="39">
        <v>13.54</v>
      </c>
      <c r="BF541" s="1995"/>
      <c r="BL541" s="37">
        <v>975</v>
      </c>
      <c r="BM541" s="2059">
        <v>1.0267999999999999</v>
      </c>
      <c r="BO541" s="40">
        <v>975</v>
      </c>
      <c r="BP541" s="41">
        <v>0.95850000000000002</v>
      </c>
    </row>
    <row r="542" spans="27:68">
      <c r="AA542" s="1994"/>
      <c r="AR542" s="30">
        <v>32.6</v>
      </c>
      <c r="AS542" s="32">
        <v>861.8</v>
      </c>
      <c r="AX542" s="30">
        <v>32.6</v>
      </c>
      <c r="AY542" s="35">
        <v>0.13461999999999999</v>
      </c>
      <c r="BA542" s="30">
        <v>32.6</v>
      </c>
      <c r="BB542" s="35">
        <v>0.13678000000000001</v>
      </c>
      <c r="BD542" s="37">
        <v>976</v>
      </c>
      <c r="BE542" s="39">
        <v>13.39</v>
      </c>
      <c r="BF542" s="1995"/>
      <c r="BL542" s="37">
        <v>976</v>
      </c>
      <c r="BM542" s="2059">
        <v>1.0257000000000001</v>
      </c>
      <c r="BO542" s="40">
        <v>976</v>
      </c>
      <c r="BP542" s="41" t="s">
        <v>37</v>
      </c>
    </row>
    <row r="543" spans="27:68">
      <c r="AA543" s="1994"/>
      <c r="AR543" s="30">
        <v>32.700000000000003</v>
      </c>
      <c r="AS543" s="32">
        <v>861.3</v>
      </c>
      <c r="AX543" s="30">
        <v>32.700000000000003</v>
      </c>
      <c r="AY543" s="35">
        <v>0.13453999999999999</v>
      </c>
      <c r="BA543" s="30">
        <v>32.700000000000003</v>
      </c>
      <c r="BB543" s="35">
        <v>0.13669999999999999</v>
      </c>
      <c r="BD543" s="37">
        <v>977</v>
      </c>
      <c r="BE543" s="39">
        <v>13.24</v>
      </c>
      <c r="BF543" s="1995"/>
      <c r="BL543" s="37">
        <v>977</v>
      </c>
      <c r="BM543" s="2059">
        <v>1.0246999999999999</v>
      </c>
      <c r="BO543" s="40">
        <v>977</v>
      </c>
      <c r="BP543" s="41">
        <v>0.96050000000000002</v>
      </c>
    </row>
    <row r="544" spans="27:68">
      <c r="AA544" s="1994"/>
      <c r="AR544" s="30">
        <v>32.799999999999997</v>
      </c>
      <c r="AS544" s="32">
        <v>860.8</v>
      </c>
      <c r="AX544" s="30">
        <v>32.799999999999997</v>
      </c>
      <c r="AY544" s="35">
        <v>0.13446</v>
      </c>
      <c r="BA544" s="30">
        <v>32.799999999999997</v>
      </c>
      <c r="BB544" s="35">
        <v>0.13661999999999999</v>
      </c>
      <c r="BD544" s="37">
        <v>978</v>
      </c>
      <c r="BE544" s="39">
        <v>13.1</v>
      </c>
      <c r="BF544" s="1995"/>
      <c r="BL544" s="37">
        <v>978</v>
      </c>
      <c r="BM544" s="2059">
        <v>1.0236000000000001</v>
      </c>
      <c r="BO544" s="40">
        <v>978</v>
      </c>
      <c r="BP544" s="41">
        <v>0.96150000000000002</v>
      </c>
    </row>
    <row r="545" spans="27:68">
      <c r="AA545" s="1994"/>
      <c r="AR545" s="30">
        <v>32.9</v>
      </c>
      <c r="AS545" s="32">
        <v>860.2</v>
      </c>
      <c r="AX545" s="30">
        <v>32.9</v>
      </c>
      <c r="AY545" s="35">
        <v>0.13438</v>
      </c>
      <c r="BA545" s="30">
        <v>32.9</v>
      </c>
      <c r="BB545" s="35">
        <v>0.13653000000000001</v>
      </c>
      <c r="BD545" s="37">
        <v>979</v>
      </c>
      <c r="BE545" s="39">
        <v>12.95</v>
      </c>
      <c r="BF545" s="1995"/>
      <c r="BL545" s="37">
        <v>979</v>
      </c>
      <c r="BM545" s="2059">
        <v>1.0226</v>
      </c>
      <c r="BO545" s="40">
        <v>979</v>
      </c>
      <c r="BP545" s="41">
        <v>0.96250000000000002</v>
      </c>
    </row>
    <row r="546" spans="27:68">
      <c r="AA546" s="1994"/>
      <c r="AR546" s="30">
        <v>33</v>
      </c>
      <c r="AS546" s="32">
        <v>859.7</v>
      </c>
      <c r="AX546" s="30">
        <v>33</v>
      </c>
      <c r="AY546" s="35">
        <v>0.13428999999999999</v>
      </c>
      <c r="BA546" s="30">
        <v>33</v>
      </c>
      <c r="BB546" s="35">
        <v>0.13644999999999999</v>
      </c>
      <c r="BD546" s="37">
        <v>980</v>
      </c>
      <c r="BE546" s="39">
        <v>12.8</v>
      </c>
      <c r="BF546" s="1995"/>
      <c r="BL546" s="37">
        <v>980</v>
      </c>
      <c r="BM546" s="2059">
        <v>1.0215000000000001</v>
      </c>
      <c r="BO546" s="40">
        <v>980</v>
      </c>
      <c r="BP546" s="41">
        <v>0.96350000000000002</v>
      </c>
    </row>
    <row r="547" spans="27:68">
      <c r="AA547" s="1994"/>
      <c r="AR547" s="30">
        <v>33.1</v>
      </c>
      <c r="AS547" s="32">
        <v>859.2</v>
      </c>
      <c r="AX547" s="30">
        <v>33.1</v>
      </c>
      <c r="AY547" s="35">
        <v>0.13421</v>
      </c>
      <c r="BA547" s="30">
        <v>33.1</v>
      </c>
      <c r="BB547" s="35">
        <v>0.13636999999999999</v>
      </c>
      <c r="BD547" s="37">
        <v>981</v>
      </c>
      <c r="BE547" s="39">
        <v>12.65</v>
      </c>
      <c r="BF547" s="1995"/>
      <c r="BL547" s="37">
        <v>981</v>
      </c>
      <c r="BM547" s="2059">
        <v>1.0205</v>
      </c>
      <c r="BO547" s="40">
        <v>981</v>
      </c>
      <c r="BP547" s="41">
        <v>0.96450000000000002</v>
      </c>
    </row>
    <row r="548" spans="27:68">
      <c r="AA548" s="1994"/>
      <c r="AR548" s="30">
        <v>33.200000000000003</v>
      </c>
      <c r="AS548" s="32">
        <v>858.7</v>
      </c>
      <c r="AX548" s="30">
        <v>33.200000000000003</v>
      </c>
      <c r="AY548" s="35">
        <v>0.13413</v>
      </c>
      <c r="BA548" s="30">
        <v>33.200000000000003</v>
      </c>
      <c r="BB548" s="35">
        <v>0.13628000000000001</v>
      </c>
      <c r="BD548" s="37">
        <v>982</v>
      </c>
      <c r="BE548" s="39">
        <v>12.51</v>
      </c>
      <c r="BF548" s="1995"/>
      <c r="BL548" s="37">
        <v>982</v>
      </c>
      <c r="BM548" s="2059">
        <v>1.0194000000000001</v>
      </c>
      <c r="BO548" s="40">
        <v>982</v>
      </c>
      <c r="BP548" s="41">
        <v>0.96540000000000004</v>
      </c>
    </row>
    <row r="549" spans="27:68">
      <c r="AA549" s="1994"/>
      <c r="AR549" s="30">
        <v>33.299999999999997</v>
      </c>
      <c r="AS549" s="32">
        <v>858.2</v>
      </c>
      <c r="AX549" s="30">
        <v>33.299999999999997</v>
      </c>
      <c r="AY549" s="35">
        <v>0.13405</v>
      </c>
      <c r="BA549" s="30">
        <v>33.299999999999997</v>
      </c>
      <c r="BB549" s="35">
        <v>0.13619999999999999</v>
      </c>
      <c r="BD549" s="37">
        <v>983</v>
      </c>
      <c r="BE549" s="39">
        <v>12.36</v>
      </c>
      <c r="BF549" s="1995"/>
      <c r="BL549" s="37">
        <v>983</v>
      </c>
      <c r="BM549" s="2059">
        <v>1.0184</v>
      </c>
      <c r="BO549" s="40">
        <v>983</v>
      </c>
      <c r="BP549" s="41">
        <v>0.96640000000000004</v>
      </c>
    </row>
    <row r="550" spans="27:68">
      <c r="AA550" s="1994"/>
      <c r="AR550" s="30">
        <v>33.4</v>
      </c>
      <c r="AS550" s="32">
        <v>857.6</v>
      </c>
      <c r="AX550" s="30">
        <v>33.4</v>
      </c>
      <c r="AY550" s="35">
        <v>0.13397000000000001</v>
      </c>
      <c r="BA550" s="30">
        <v>33.4</v>
      </c>
      <c r="BB550" s="35">
        <v>0.13611999999999999</v>
      </c>
      <c r="BD550" s="37">
        <v>984</v>
      </c>
      <c r="BE550" s="39">
        <v>12.21</v>
      </c>
      <c r="BF550" s="1995"/>
      <c r="BL550" s="37">
        <v>984</v>
      </c>
      <c r="BM550" s="2059">
        <v>1.0174000000000001</v>
      </c>
      <c r="BO550" s="40">
        <v>984</v>
      </c>
      <c r="BP550" s="41">
        <v>0.96740000000000004</v>
      </c>
    </row>
    <row r="551" spans="27:68">
      <c r="AA551" s="1994"/>
      <c r="AR551" s="30">
        <v>33.5</v>
      </c>
      <c r="AS551" s="32">
        <v>857.1</v>
      </c>
      <c r="AX551" s="30">
        <v>33.5</v>
      </c>
      <c r="AY551" s="35">
        <v>0.13389000000000001</v>
      </c>
      <c r="BA551" s="30">
        <v>33.5</v>
      </c>
      <c r="BB551" s="35">
        <v>0.13603999999999999</v>
      </c>
      <c r="BD551" s="37">
        <v>985</v>
      </c>
      <c r="BE551" s="39">
        <v>12.07</v>
      </c>
      <c r="BF551" s="1995"/>
      <c r="BL551" s="37">
        <v>985</v>
      </c>
      <c r="BM551" s="2059">
        <v>1.0163</v>
      </c>
      <c r="BO551" s="40">
        <v>985</v>
      </c>
      <c r="BP551" s="41">
        <v>0.96840000000000004</v>
      </c>
    </row>
    <row r="552" spans="27:68">
      <c r="AA552" s="1994"/>
      <c r="AR552" s="30">
        <v>33.6</v>
      </c>
      <c r="AS552" s="32">
        <v>856.6</v>
      </c>
      <c r="AX552" s="30">
        <v>33.6</v>
      </c>
      <c r="AY552" s="35">
        <v>0.13381000000000001</v>
      </c>
      <c r="BA552" s="30">
        <v>33.6</v>
      </c>
      <c r="BB552" s="35">
        <v>0.13594999999999999</v>
      </c>
      <c r="BD552" s="37">
        <v>986</v>
      </c>
      <c r="BE552" s="39">
        <v>11.92</v>
      </c>
      <c r="BF552" s="1995"/>
      <c r="BL552" s="37">
        <v>986</v>
      </c>
      <c r="BM552" s="2059">
        <v>1.0153000000000001</v>
      </c>
      <c r="BO552" s="40">
        <v>986</v>
      </c>
      <c r="BP552" s="41">
        <v>0.96940000000000004</v>
      </c>
    </row>
    <row r="553" spans="27:68">
      <c r="AA553" s="1994"/>
      <c r="AR553" s="30">
        <v>33.700000000000003</v>
      </c>
      <c r="AS553" s="32">
        <v>856.1</v>
      </c>
      <c r="AX553" s="30">
        <v>33.700000000000003</v>
      </c>
      <c r="AY553" s="35">
        <v>0.13372000000000001</v>
      </c>
      <c r="BA553" s="30">
        <v>33.700000000000003</v>
      </c>
      <c r="BB553" s="35">
        <v>0.13586999999999999</v>
      </c>
      <c r="BD553" s="37">
        <v>987</v>
      </c>
      <c r="BE553" s="39">
        <v>11.78</v>
      </c>
      <c r="BF553" s="1995"/>
      <c r="BL553" s="37">
        <v>987</v>
      </c>
      <c r="BM553" s="2059">
        <v>1.0143</v>
      </c>
      <c r="BO553" s="40">
        <v>987</v>
      </c>
      <c r="BP553" s="41">
        <v>0.97040000000000004</v>
      </c>
    </row>
    <row r="554" spans="27:68">
      <c r="AA554" s="1994"/>
      <c r="AR554" s="30">
        <v>33.799999999999997</v>
      </c>
      <c r="AS554" s="32">
        <v>855.6</v>
      </c>
      <c r="AX554" s="30">
        <v>33.799999999999997</v>
      </c>
      <c r="AY554" s="35">
        <v>0.13364000000000001</v>
      </c>
      <c r="BA554" s="30">
        <v>33.799999999999997</v>
      </c>
      <c r="BB554" s="35">
        <v>0.13578999999999999</v>
      </c>
      <c r="BD554" s="37">
        <v>988</v>
      </c>
      <c r="BE554" s="39">
        <v>11.63</v>
      </c>
      <c r="BF554" s="1995"/>
      <c r="BL554" s="37">
        <v>988</v>
      </c>
      <c r="BM554" s="2059">
        <v>1.0132000000000001</v>
      </c>
      <c r="BO554" s="40">
        <v>988</v>
      </c>
      <c r="BP554" s="41">
        <v>0.97130000000000005</v>
      </c>
    </row>
    <row r="555" spans="27:68">
      <c r="AA555" s="1994"/>
      <c r="AR555" s="30">
        <v>33.9</v>
      </c>
      <c r="AS555" s="32">
        <v>855</v>
      </c>
      <c r="AX555" s="30">
        <v>33.9</v>
      </c>
      <c r="AY555" s="35">
        <v>0.13356000000000001</v>
      </c>
      <c r="BA555" s="30">
        <v>33.9</v>
      </c>
      <c r="BB555" s="35">
        <v>0.13571</v>
      </c>
      <c r="BD555" s="37">
        <v>989</v>
      </c>
      <c r="BE555" s="39">
        <v>11.49</v>
      </c>
      <c r="BF555" s="1995"/>
      <c r="BL555" s="37">
        <v>989</v>
      </c>
      <c r="BM555" s="2059">
        <v>1.0122</v>
      </c>
      <c r="BO555" s="40">
        <v>989</v>
      </c>
      <c r="BP555" s="41">
        <v>0.97230000000000005</v>
      </c>
    </row>
    <row r="556" spans="27:68">
      <c r="AA556" s="1994"/>
      <c r="AR556" s="30">
        <v>34</v>
      </c>
      <c r="AS556" s="32">
        <v>854.5</v>
      </c>
      <c r="AX556" s="30">
        <v>34</v>
      </c>
      <c r="AY556" s="35">
        <v>0.13347999999999999</v>
      </c>
      <c r="BA556" s="30">
        <v>34</v>
      </c>
      <c r="BB556" s="35">
        <v>0.13561999999999999</v>
      </c>
      <c r="BD556" s="37">
        <v>990</v>
      </c>
      <c r="BE556" s="39">
        <v>11.34</v>
      </c>
      <c r="BF556" s="1995"/>
      <c r="BL556" s="37">
        <v>990</v>
      </c>
      <c r="BM556" s="2059">
        <v>1.0112000000000001</v>
      </c>
      <c r="BO556" s="40">
        <v>990</v>
      </c>
      <c r="BP556" s="41">
        <v>0.97330000000000005</v>
      </c>
    </row>
    <row r="557" spans="27:68">
      <c r="AA557" s="1994"/>
      <c r="AR557" s="30">
        <v>34.1</v>
      </c>
      <c r="AS557" s="32">
        <v>854</v>
      </c>
      <c r="AX557" s="30">
        <v>34.1</v>
      </c>
      <c r="AY557" s="35">
        <v>0.13339999999999999</v>
      </c>
      <c r="BA557" s="30">
        <v>34.1</v>
      </c>
      <c r="BB557" s="35">
        <v>0.13553999999999999</v>
      </c>
      <c r="BD557" s="37">
        <v>991</v>
      </c>
      <c r="BE557" s="39">
        <v>11.2</v>
      </c>
      <c r="BF557" s="1995"/>
      <c r="BL557" s="37">
        <v>991</v>
      </c>
      <c r="BM557" s="2059">
        <v>1.0102</v>
      </c>
      <c r="BO557" s="40">
        <v>991</v>
      </c>
      <c r="BP557" s="41">
        <v>0.97430000000000005</v>
      </c>
    </row>
    <row r="558" spans="27:68">
      <c r="AA558" s="1994"/>
      <c r="AR558" s="30">
        <v>34.200000000000003</v>
      </c>
      <c r="AS558" s="32">
        <v>853.5</v>
      </c>
      <c r="AX558" s="30">
        <v>34.200000000000003</v>
      </c>
      <c r="AY558" s="35">
        <v>0.13331999999999999</v>
      </c>
      <c r="BA558" s="30">
        <v>34.200000000000003</v>
      </c>
      <c r="BB558" s="35">
        <v>0.13546</v>
      </c>
      <c r="BD558" s="37">
        <v>992</v>
      </c>
      <c r="BE558" s="39">
        <v>11.05</v>
      </c>
      <c r="BF558" s="1995"/>
      <c r="BL558" s="37">
        <v>992</v>
      </c>
      <c r="BM558" s="2059">
        <v>1.0092000000000001</v>
      </c>
      <c r="BO558" s="40">
        <v>992</v>
      </c>
      <c r="BP558" s="41">
        <v>0.97529999999999994</v>
      </c>
    </row>
    <row r="559" spans="27:68">
      <c r="AA559" s="1994"/>
      <c r="AR559" s="30">
        <v>34.299999999999997</v>
      </c>
      <c r="AS559" s="32">
        <v>853</v>
      </c>
      <c r="AX559" s="30">
        <v>34.299999999999997</v>
      </c>
      <c r="AY559" s="35">
        <v>0.13324</v>
      </c>
      <c r="BA559" s="30">
        <v>34.299999999999997</v>
      </c>
      <c r="BB559" s="35">
        <v>0.13538</v>
      </c>
      <c r="BD559" s="37">
        <v>993</v>
      </c>
      <c r="BE559" s="39">
        <v>10.91</v>
      </c>
      <c r="BF559" s="1995"/>
      <c r="BL559" s="37">
        <v>993</v>
      </c>
      <c r="BM559" s="2059">
        <v>1.0081</v>
      </c>
      <c r="BO559" s="40">
        <v>993</v>
      </c>
      <c r="BP559" s="41">
        <v>0.97629999999999995</v>
      </c>
    </row>
    <row r="560" spans="27:68">
      <c r="AA560" s="1994"/>
      <c r="AR560" s="30">
        <v>34.4</v>
      </c>
      <c r="AS560" s="32">
        <v>852.5</v>
      </c>
      <c r="AX560" s="30">
        <v>34.4</v>
      </c>
      <c r="AY560" s="35">
        <v>0.13316</v>
      </c>
      <c r="BA560" s="30">
        <v>34.4</v>
      </c>
      <c r="BB560" s="35">
        <v>0.1353</v>
      </c>
      <c r="BD560" s="37">
        <v>994</v>
      </c>
      <c r="BE560" s="39">
        <v>10.77</v>
      </c>
      <c r="BF560" s="1995"/>
      <c r="BL560" s="37">
        <v>994</v>
      </c>
      <c r="BM560" s="2059">
        <v>1.0071000000000001</v>
      </c>
      <c r="BO560" s="40">
        <v>994</v>
      </c>
      <c r="BP560" s="41">
        <v>0.97719999999999996</v>
      </c>
    </row>
    <row r="561" spans="27:68">
      <c r="AA561" s="1994"/>
      <c r="AR561" s="30">
        <v>34.5</v>
      </c>
      <c r="AS561" s="32">
        <v>852</v>
      </c>
      <c r="AX561" s="30">
        <v>34.5</v>
      </c>
      <c r="AY561" s="35">
        <v>0.13308</v>
      </c>
      <c r="BA561" s="30">
        <v>34.5</v>
      </c>
      <c r="BB561" s="35">
        <v>0.13521</v>
      </c>
      <c r="BD561" s="37">
        <v>995</v>
      </c>
      <c r="BE561" s="39">
        <v>10.62</v>
      </c>
      <c r="BF561" s="1995"/>
      <c r="BL561" s="37">
        <v>995</v>
      </c>
      <c r="BM561" s="2059">
        <v>1.0061</v>
      </c>
      <c r="BO561" s="40">
        <v>995</v>
      </c>
      <c r="BP561" s="41">
        <v>0.97819999999999996</v>
      </c>
    </row>
    <row r="562" spans="27:68">
      <c r="AA562" s="1994"/>
      <c r="AR562" s="30">
        <v>34.6</v>
      </c>
      <c r="AS562" s="32">
        <v>851.4</v>
      </c>
      <c r="AX562" s="30">
        <v>34.6</v>
      </c>
      <c r="AY562" s="35">
        <v>0.13300000000000001</v>
      </c>
      <c r="BA562" s="30">
        <v>34.6</v>
      </c>
      <c r="BB562" s="35">
        <v>0.13513</v>
      </c>
      <c r="BD562" s="37">
        <v>996</v>
      </c>
      <c r="BE562" s="39">
        <v>10.48</v>
      </c>
      <c r="BF562" s="1995"/>
      <c r="BL562" s="37">
        <v>996</v>
      </c>
      <c r="BM562" s="2059">
        <v>1.0051000000000001</v>
      </c>
      <c r="BO562" s="40">
        <v>996</v>
      </c>
      <c r="BP562" s="41">
        <v>0.97919999999999996</v>
      </c>
    </row>
    <row r="563" spans="27:68">
      <c r="AA563" s="1994"/>
      <c r="AR563" s="30">
        <v>34.700000000000003</v>
      </c>
      <c r="AS563" s="32">
        <v>850.9</v>
      </c>
      <c r="AX563" s="30">
        <v>34.700000000000003</v>
      </c>
      <c r="AY563" s="35">
        <v>0.13292000000000001</v>
      </c>
      <c r="BA563" s="30">
        <v>34.700000000000003</v>
      </c>
      <c r="BB563" s="35">
        <v>0.13505</v>
      </c>
      <c r="BD563" s="37">
        <v>997</v>
      </c>
      <c r="BE563" s="39">
        <v>10.34</v>
      </c>
      <c r="BF563" s="1995"/>
      <c r="BL563" s="37">
        <v>997</v>
      </c>
      <c r="BM563" s="2059">
        <v>1.0041</v>
      </c>
      <c r="BO563" s="40">
        <v>997</v>
      </c>
      <c r="BP563" s="41">
        <v>0.98019999999999996</v>
      </c>
    </row>
    <row r="564" spans="27:68">
      <c r="AA564" s="1994"/>
      <c r="AR564" s="30">
        <v>34.799999999999997</v>
      </c>
      <c r="AS564" s="32">
        <v>850.4</v>
      </c>
      <c r="AX564" s="30">
        <v>34.799999999999997</v>
      </c>
      <c r="AY564" s="35">
        <v>0.13284000000000001</v>
      </c>
      <c r="BA564" s="30">
        <v>34.799999999999997</v>
      </c>
      <c r="BB564" s="35">
        <v>0.13497000000000001</v>
      </c>
      <c r="BD564" s="37">
        <v>998</v>
      </c>
      <c r="BE564" s="39">
        <v>10.199999999999999</v>
      </c>
      <c r="BF564" s="1995"/>
      <c r="BL564" s="37">
        <v>998</v>
      </c>
      <c r="BM564" s="2059">
        <v>1.0031000000000001</v>
      </c>
      <c r="BO564" s="40">
        <v>998</v>
      </c>
      <c r="BP564" s="41">
        <v>0.98119999999999996</v>
      </c>
    </row>
    <row r="565" spans="27:68">
      <c r="AA565" s="1994"/>
      <c r="AR565" s="30">
        <v>34.9</v>
      </c>
      <c r="AS565" s="32">
        <v>849.9</v>
      </c>
      <c r="AX565" s="30">
        <v>34.9</v>
      </c>
      <c r="AY565" s="35">
        <v>0.13275999999999999</v>
      </c>
      <c r="BA565" s="30">
        <v>34.9</v>
      </c>
      <c r="BB565" s="35">
        <v>0.13489000000000001</v>
      </c>
      <c r="BD565" s="37">
        <v>999</v>
      </c>
      <c r="BE565" s="39">
        <v>10.050000000000001</v>
      </c>
      <c r="BF565" s="1995"/>
      <c r="BL565" s="37">
        <v>999</v>
      </c>
      <c r="BM565" s="2059">
        <v>1.0021</v>
      </c>
      <c r="BO565" s="40">
        <v>999</v>
      </c>
      <c r="BP565" s="41">
        <v>0.98219999999999996</v>
      </c>
    </row>
    <row r="566" spans="27:68">
      <c r="AA566" s="1994"/>
      <c r="AR566" s="30">
        <v>35</v>
      </c>
      <c r="AS566" s="32">
        <v>849.4</v>
      </c>
      <c r="AX566" s="30">
        <v>35</v>
      </c>
      <c r="AY566" s="35">
        <v>0.13267999999999999</v>
      </c>
      <c r="BA566" s="30">
        <v>35</v>
      </c>
      <c r="BB566" s="35">
        <v>0.13481000000000001</v>
      </c>
      <c r="BD566" s="37">
        <v>1000</v>
      </c>
      <c r="BE566" s="39">
        <v>9.91</v>
      </c>
      <c r="BF566" s="1995"/>
      <c r="BL566" s="37">
        <v>1000</v>
      </c>
      <c r="BM566" s="2059">
        <v>1.0011000000000001</v>
      </c>
      <c r="BO566" s="40">
        <v>1000</v>
      </c>
      <c r="BP566" s="41">
        <v>0.98319999999999996</v>
      </c>
    </row>
    <row r="567" spans="27:68">
      <c r="AA567" s="1994"/>
      <c r="AR567" s="30">
        <v>35.1</v>
      </c>
      <c r="AS567" s="32">
        <v>848.9</v>
      </c>
      <c r="AX567" s="30">
        <v>35.1</v>
      </c>
      <c r="AY567" s="35">
        <v>0.1326</v>
      </c>
      <c r="BA567" s="30">
        <v>35.1</v>
      </c>
      <c r="BB567" s="35">
        <v>0.13472999999999999</v>
      </c>
      <c r="BD567" s="37">
        <v>1001</v>
      </c>
      <c r="BE567" s="39">
        <v>9.77</v>
      </c>
      <c r="BF567" s="1995"/>
      <c r="BL567" s="37">
        <v>1001</v>
      </c>
      <c r="BM567" s="2059">
        <v>1.0001</v>
      </c>
      <c r="BO567" s="40">
        <v>1001</v>
      </c>
      <c r="BP567" s="41">
        <v>0.98409999999999997</v>
      </c>
    </row>
    <row r="568" spans="27:68">
      <c r="AA568" s="1994"/>
      <c r="AR568" s="30">
        <v>35.200000000000003</v>
      </c>
      <c r="AS568" s="32">
        <v>848.4</v>
      </c>
      <c r="AX568" s="30">
        <v>35.200000000000003</v>
      </c>
      <c r="AY568" s="35">
        <v>0.13252</v>
      </c>
      <c r="BA568" s="30">
        <v>35.200000000000003</v>
      </c>
      <c r="BB568" s="35">
        <v>0.13464999999999999</v>
      </c>
      <c r="BD568" s="37">
        <v>1002</v>
      </c>
      <c r="BE568" s="39">
        <v>9.6300000000000008</v>
      </c>
      <c r="BF568" s="1995"/>
      <c r="BL568" s="37">
        <v>1002</v>
      </c>
      <c r="BM568" s="2059">
        <v>0.99909999999999999</v>
      </c>
      <c r="BO568" s="40">
        <v>1002</v>
      </c>
      <c r="BP568" s="41">
        <v>0.98509999999999998</v>
      </c>
    </row>
    <row r="569" spans="27:68">
      <c r="AA569" s="1994"/>
      <c r="AR569" s="30">
        <v>35.299999999999997</v>
      </c>
      <c r="AS569" s="32">
        <v>847.9</v>
      </c>
      <c r="AX569" s="30">
        <v>35.299999999999997</v>
      </c>
      <c r="AY569" s="35">
        <v>0.13244</v>
      </c>
      <c r="BA569" s="30">
        <v>35.299999999999997</v>
      </c>
      <c r="BB569" s="35">
        <v>0.13457</v>
      </c>
      <c r="BD569" s="37">
        <v>1003</v>
      </c>
      <c r="BE569" s="39">
        <v>9.49</v>
      </c>
      <c r="BF569" s="1995"/>
      <c r="BL569" s="37">
        <v>1003</v>
      </c>
      <c r="BM569" s="2059">
        <v>0.99809999999999999</v>
      </c>
      <c r="BO569" s="40">
        <v>1003</v>
      </c>
      <c r="BP569" s="41">
        <v>0.98609999999999998</v>
      </c>
    </row>
    <row r="570" spans="27:68">
      <c r="AA570" s="1994"/>
      <c r="AR570" s="30">
        <v>35.4</v>
      </c>
      <c r="AS570" s="32">
        <v>847.4</v>
      </c>
      <c r="AX570" s="30">
        <v>35.4</v>
      </c>
      <c r="AY570" s="35">
        <v>0.13236000000000001</v>
      </c>
      <c r="BA570" s="30">
        <v>35.4</v>
      </c>
      <c r="BB570" s="35">
        <v>0.13447999999999999</v>
      </c>
      <c r="BD570" s="37">
        <v>1004</v>
      </c>
      <c r="BE570" s="39">
        <v>9.35</v>
      </c>
      <c r="BF570" s="1995"/>
      <c r="BL570" s="37">
        <v>1004</v>
      </c>
      <c r="BM570" s="2059">
        <v>0.99709999999999999</v>
      </c>
      <c r="BO570" s="40">
        <v>1004</v>
      </c>
      <c r="BP570" s="41">
        <v>0.98709999999999998</v>
      </c>
    </row>
    <row r="571" spans="27:68">
      <c r="AA571" s="1994"/>
      <c r="AR571" s="30">
        <v>35.5</v>
      </c>
      <c r="AS571" s="32">
        <v>846.9</v>
      </c>
      <c r="AX571" s="30">
        <v>35.5</v>
      </c>
      <c r="AY571" s="35">
        <v>0.13228000000000001</v>
      </c>
      <c r="BA571" s="30">
        <v>35.5</v>
      </c>
      <c r="BB571" s="35">
        <v>0.13439999999999999</v>
      </c>
      <c r="BD571" s="37">
        <v>1005</v>
      </c>
      <c r="BE571" s="39">
        <v>9.2100000000000009</v>
      </c>
      <c r="BF571" s="1995"/>
      <c r="BL571" s="37">
        <v>1005</v>
      </c>
      <c r="BM571" s="2059">
        <v>0.99609999999999999</v>
      </c>
      <c r="BO571" s="40">
        <v>1005</v>
      </c>
      <c r="BP571" s="41">
        <v>0.98809999999999998</v>
      </c>
    </row>
    <row r="572" spans="27:68">
      <c r="AA572" s="1994"/>
      <c r="AR572" s="30">
        <v>35.6</v>
      </c>
      <c r="AS572" s="32">
        <v>846.4</v>
      </c>
      <c r="AX572" s="30">
        <v>35.6</v>
      </c>
      <c r="AY572" s="35">
        <v>0.13220000000000001</v>
      </c>
      <c r="BA572" s="30">
        <v>35.6</v>
      </c>
      <c r="BB572" s="35">
        <v>0.13431999999999999</v>
      </c>
      <c r="BD572" s="37">
        <v>1006</v>
      </c>
      <c r="BE572" s="39">
        <v>9.07</v>
      </c>
      <c r="BF572" s="1995"/>
      <c r="BL572" s="37">
        <v>1006</v>
      </c>
      <c r="BM572" s="2059">
        <v>0.99509999999999998</v>
      </c>
      <c r="BO572" s="40">
        <v>1006</v>
      </c>
      <c r="BP572" s="41">
        <v>0.98909999999999998</v>
      </c>
    </row>
    <row r="573" spans="27:68">
      <c r="AA573" s="1994"/>
      <c r="AR573" s="30">
        <v>35.700000000000003</v>
      </c>
      <c r="AS573" s="32">
        <v>845.8</v>
      </c>
      <c r="AX573" s="30">
        <v>35.700000000000003</v>
      </c>
      <c r="AY573" s="35">
        <v>0.13211999999999999</v>
      </c>
      <c r="BA573" s="30">
        <v>35.700000000000003</v>
      </c>
      <c r="BB573" s="35">
        <v>0.13424</v>
      </c>
      <c r="BD573" s="37">
        <v>1007</v>
      </c>
      <c r="BE573" s="39">
        <v>8.93</v>
      </c>
      <c r="BF573" s="1995"/>
      <c r="BL573" s="37">
        <v>1007</v>
      </c>
      <c r="BM573" s="2059">
        <v>0.99409999999999998</v>
      </c>
      <c r="BO573" s="40">
        <v>1007</v>
      </c>
      <c r="BP573" s="41">
        <v>0.99</v>
      </c>
    </row>
    <row r="574" spans="27:68">
      <c r="AA574" s="1994"/>
      <c r="AR574" s="30">
        <v>35.799999999999997</v>
      </c>
      <c r="AS574" s="32">
        <v>845.3</v>
      </c>
      <c r="AX574" s="30">
        <v>35.799999999999997</v>
      </c>
      <c r="AY574" s="35">
        <v>0.13203999999999999</v>
      </c>
      <c r="BA574" s="30">
        <v>35.799999999999997</v>
      </c>
      <c r="BB574" s="35">
        <v>0.13416</v>
      </c>
      <c r="BD574" s="37">
        <v>1008</v>
      </c>
      <c r="BE574" s="39">
        <v>8.7899999999999991</v>
      </c>
      <c r="BF574" s="1995"/>
      <c r="BL574" s="37">
        <v>1008</v>
      </c>
      <c r="BM574" s="2059">
        <v>0.99309999999999998</v>
      </c>
      <c r="BO574" s="40">
        <v>1008</v>
      </c>
      <c r="BP574" s="41">
        <v>0.99099999999999999</v>
      </c>
    </row>
    <row r="575" spans="27:68">
      <c r="AA575" s="1994"/>
      <c r="AR575" s="30">
        <v>35.9</v>
      </c>
      <c r="AS575" s="32">
        <v>844.8</v>
      </c>
      <c r="AX575" s="30">
        <v>35.9</v>
      </c>
      <c r="AY575" s="35">
        <v>0.13195999999999999</v>
      </c>
      <c r="BA575" s="30">
        <v>35.9</v>
      </c>
      <c r="BB575" s="35">
        <v>0.13408</v>
      </c>
      <c r="BD575" s="37">
        <v>1009</v>
      </c>
      <c r="BE575" s="39">
        <v>8.65</v>
      </c>
      <c r="BF575" s="1995"/>
      <c r="BL575" s="37">
        <v>1009</v>
      </c>
      <c r="BM575" s="2059">
        <v>0.99209999999999998</v>
      </c>
      <c r="BO575" s="40">
        <v>1009</v>
      </c>
      <c r="BP575" s="41">
        <v>0.99199999999999999</v>
      </c>
    </row>
    <row r="576" spans="27:68">
      <c r="AA576" s="1994"/>
      <c r="AR576" s="30">
        <v>36</v>
      </c>
      <c r="AS576" s="32">
        <v>844.3</v>
      </c>
      <c r="AX576" s="30">
        <v>36</v>
      </c>
      <c r="AY576" s="35">
        <v>0.13189000000000001</v>
      </c>
      <c r="BA576" s="30">
        <v>36</v>
      </c>
      <c r="BB576" s="35">
        <v>0.13400000000000001</v>
      </c>
      <c r="BD576" s="37">
        <v>1010</v>
      </c>
      <c r="BE576" s="39">
        <v>8.51</v>
      </c>
      <c r="BF576" s="1995"/>
      <c r="BL576" s="37">
        <v>1010</v>
      </c>
      <c r="BM576" s="2059">
        <v>0.99109999999999998</v>
      </c>
      <c r="BO576" s="40">
        <v>1010</v>
      </c>
      <c r="BP576" s="41">
        <v>0.99299999999999999</v>
      </c>
    </row>
    <row r="577" spans="27:68">
      <c r="AA577" s="1994"/>
      <c r="AR577" s="30">
        <v>36.1</v>
      </c>
      <c r="AS577" s="32">
        <v>843.8</v>
      </c>
      <c r="AX577" s="30">
        <v>36.1</v>
      </c>
      <c r="AY577" s="35">
        <v>0.13181000000000001</v>
      </c>
      <c r="BA577" s="30">
        <v>36.1</v>
      </c>
      <c r="BB577" s="35">
        <v>0.13392000000000001</v>
      </c>
      <c r="BD577" s="37">
        <v>1011</v>
      </c>
      <c r="BE577" s="39">
        <v>8.3699999999999992</v>
      </c>
      <c r="BF577" s="1995"/>
      <c r="BL577" s="37">
        <v>1011</v>
      </c>
      <c r="BM577" s="2059">
        <v>0.99019999999999997</v>
      </c>
      <c r="BO577" s="40">
        <v>1011</v>
      </c>
      <c r="BP577" s="41">
        <v>0.99399999999999999</v>
      </c>
    </row>
    <row r="578" spans="27:68">
      <c r="AA578" s="1994"/>
      <c r="AR578" s="30">
        <v>36.200000000000003</v>
      </c>
      <c r="AS578" s="32">
        <v>843.3</v>
      </c>
      <c r="AX578" s="30">
        <v>36.200000000000003</v>
      </c>
      <c r="AY578" s="35">
        <v>0.13173000000000001</v>
      </c>
      <c r="BA578" s="30">
        <v>36.200000000000003</v>
      </c>
      <c r="BB578" s="35">
        <v>0.13383999999999999</v>
      </c>
      <c r="BD578" s="37">
        <v>1012</v>
      </c>
      <c r="BE578" s="39">
        <v>8.24</v>
      </c>
      <c r="BF578" s="1995"/>
      <c r="BL578" s="37">
        <v>1012</v>
      </c>
      <c r="BM578" s="2059">
        <v>0.98919999999999997</v>
      </c>
      <c r="BO578" s="40">
        <v>1012</v>
      </c>
      <c r="BP578" s="41">
        <v>0.995</v>
      </c>
    </row>
    <row r="579" spans="27:68">
      <c r="AA579" s="1994"/>
      <c r="AR579" s="30">
        <v>36.299999999999997</v>
      </c>
      <c r="AS579" s="32">
        <v>842.8</v>
      </c>
      <c r="AX579" s="30">
        <v>36.299999999999997</v>
      </c>
      <c r="AY579" s="35">
        <v>0.13164999999999999</v>
      </c>
      <c r="BA579" s="30">
        <v>36.299999999999997</v>
      </c>
      <c r="BB579" s="35">
        <v>0.13375999999999999</v>
      </c>
      <c r="BD579" s="37">
        <v>1013</v>
      </c>
      <c r="BE579" s="39">
        <v>8.1</v>
      </c>
      <c r="BF579" s="1995"/>
      <c r="BL579" s="37">
        <v>1013</v>
      </c>
      <c r="BM579" s="2059">
        <v>0.98819999999999997</v>
      </c>
      <c r="BO579" s="40">
        <v>1013</v>
      </c>
      <c r="BP579" s="41">
        <v>0.996</v>
      </c>
    </row>
    <row r="580" spans="27:68">
      <c r="AA580" s="1994"/>
      <c r="AR580" s="30">
        <v>36.4</v>
      </c>
      <c r="AS580" s="32">
        <v>842.3</v>
      </c>
      <c r="AX580" s="30">
        <v>36.4</v>
      </c>
      <c r="AY580" s="35">
        <v>0.13156999999999999</v>
      </c>
      <c r="BA580" s="30">
        <v>36.4</v>
      </c>
      <c r="BB580" s="35">
        <v>0.13367999999999999</v>
      </c>
      <c r="BD580" s="37">
        <v>1014</v>
      </c>
      <c r="BE580" s="39">
        <v>7.96</v>
      </c>
      <c r="BF580" s="1995"/>
      <c r="BL580" s="37">
        <v>1014</v>
      </c>
      <c r="BM580" s="2059">
        <v>0.98719999999999997</v>
      </c>
      <c r="BO580" s="40">
        <v>1014</v>
      </c>
      <c r="BP580" s="41">
        <v>0.99690000000000001</v>
      </c>
    </row>
    <row r="581" spans="27:68">
      <c r="AA581" s="1994"/>
      <c r="AR581" s="30">
        <v>36.5</v>
      </c>
      <c r="AS581" s="32">
        <v>841.8</v>
      </c>
      <c r="AX581" s="30">
        <v>36.5</v>
      </c>
      <c r="AY581" s="35">
        <v>0.13149</v>
      </c>
      <c r="BA581" s="30">
        <v>36.5</v>
      </c>
      <c r="BB581" s="35">
        <v>0.1336</v>
      </c>
      <c r="BD581" s="37">
        <v>1015</v>
      </c>
      <c r="BE581" s="39">
        <v>7.82</v>
      </c>
      <c r="BF581" s="1995"/>
      <c r="BL581" s="37">
        <v>1015</v>
      </c>
      <c r="BM581" s="2059">
        <v>0.98629999999999995</v>
      </c>
      <c r="BO581" s="40">
        <v>1015</v>
      </c>
      <c r="BP581" s="41">
        <v>0.99790000000000001</v>
      </c>
    </row>
    <row r="582" spans="27:68">
      <c r="AA582" s="1994"/>
      <c r="AR582" s="30">
        <v>36.6</v>
      </c>
      <c r="AS582" s="32">
        <v>841.3</v>
      </c>
      <c r="AX582" s="30">
        <v>36.6</v>
      </c>
      <c r="AY582" s="35">
        <v>0.13141</v>
      </c>
      <c r="BA582" s="30">
        <v>36.6</v>
      </c>
      <c r="BB582" s="35">
        <v>0.13352</v>
      </c>
      <c r="BD582" s="37">
        <v>1016</v>
      </c>
      <c r="BE582" s="39">
        <v>7.69</v>
      </c>
      <c r="BF582" s="1995"/>
      <c r="BL582" s="37">
        <v>1016</v>
      </c>
      <c r="BM582" s="2059">
        <v>0.98529999999999995</v>
      </c>
      <c r="BO582" s="40">
        <v>1016</v>
      </c>
      <c r="BP582" s="41">
        <v>0.99890000000000001</v>
      </c>
    </row>
    <row r="583" spans="27:68">
      <c r="AA583" s="1994"/>
      <c r="AR583" s="30">
        <v>36.700000000000003</v>
      </c>
      <c r="AS583" s="32">
        <v>840.8</v>
      </c>
      <c r="AX583" s="30">
        <v>36.700000000000003</v>
      </c>
      <c r="AY583" s="35">
        <v>0.13134000000000001</v>
      </c>
      <c r="BA583" s="30">
        <v>36.700000000000003</v>
      </c>
      <c r="BB583" s="35">
        <v>0.13344</v>
      </c>
      <c r="BD583" s="37">
        <v>1017</v>
      </c>
      <c r="BE583" s="39">
        <v>7.55</v>
      </c>
      <c r="BF583" s="1995"/>
      <c r="BL583" s="37">
        <v>1017</v>
      </c>
      <c r="BM583" s="2059">
        <v>0.98429999999999995</v>
      </c>
      <c r="BO583" s="40">
        <v>1017</v>
      </c>
      <c r="BP583" s="41">
        <v>0.99990000000000001</v>
      </c>
    </row>
    <row r="584" spans="27:68">
      <c r="AA584" s="1994"/>
      <c r="AR584" s="30">
        <v>36.799999999999997</v>
      </c>
      <c r="AS584" s="32">
        <v>840.3</v>
      </c>
      <c r="AX584" s="30">
        <v>36.799999999999997</v>
      </c>
      <c r="AY584" s="35">
        <v>0.13125999999999999</v>
      </c>
      <c r="BA584" s="30">
        <v>36.799999999999997</v>
      </c>
      <c r="BB584" s="35">
        <v>0.13336000000000001</v>
      </c>
      <c r="BD584" s="37">
        <v>1018</v>
      </c>
      <c r="BE584" s="39">
        <v>7.41</v>
      </c>
      <c r="BF584" s="1995"/>
      <c r="BL584" s="37">
        <v>1018</v>
      </c>
      <c r="BM584" s="2059">
        <v>0.98329999999999995</v>
      </c>
      <c r="BO584" s="40">
        <v>1018</v>
      </c>
      <c r="BP584" s="41">
        <v>1.0008999999999999</v>
      </c>
    </row>
    <row r="585" spans="27:68">
      <c r="AA585" s="1994"/>
      <c r="AR585" s="30">
        <v>36.9</v>
      </c>
      <c r="AS585" s="32">
        <v>839.8</v>
      </c>
      <c r="AX585" s="30">
        <v>36.9</v>
      </c>
      <c r="AY585" s="35">
        <v>0.13117999999999999</v>
      </c>
      <c r="BA585" s="30">
        <v>36.9</v>
      </c>
      <c r="BB585" s="35">
        <v>0.13328000000000001</v>
      </c>
      <c r="BD585" s="37">
        <v>1019</v>
      </c>
      <c r="BE585" s="39">
        <v>7.28</v>
      </c>
      <c r="BF585" s="1995"/>
      <c r="BL585" s="37">
        <v>1019</v>
      </c>
      <c r="BM585" s="2059">
        <v>0.98240000000000005</v>
      </c>
      <c r="BO585" s="40">
        <v>1019</v>
      </c>
      <c r="BP585" s="41">
        <v>1.0019</v>
      </c>
    </row>
    <row r="586" spans="27:68">
      <c r="AA586" s="1994"/>
      <c r="AR586" s="30">
        <v>37</v>
      </c>
      <c r="AS586" s="32">
        <v>839.3</v>
      </c>
      <c r="AX586" s="30">
        <v>37</v>
      </c>
      <c r="AY586" s="35">
        <v>0.13109999999999999</v>
      </c>
      <c r="BA586" s="30">
        <v>37</v>
      </c>
      <c r="BB586" s="35">
        <v>0.13321</v>
      </c>
      <c r="BD586" s="37">
        <v>1020</v>
      </c>
      <c r="BE586" s="39">
        <v>7.14</v>
      </c>
      <c r="BF586" s="1995"/>
      <c r="BL586" s="37">
        <v>1020</v>
      </c>
      <c r="BM586" s="2059">
        <v>0.98140000000000005</v>
      </c>
      <c r="BO586" s="40">
        <v>1020</v>
      </c>
      <c r="BP586" s="41">
        <v>1.0027999999999999</v>
      </c>
    </row>
    <row r="587" spans="27:68">
      <c r="AA587" s="1994"/>
      <c r="AR587" s="30">
        <v>37.1</v>
      </c>
      <c r="AS587" s="32">
        <v>838.8</v>
      </c>
      <c r="AX587" s="30">
        <v>37.1</v>
      </c>
      <c r="AY587" s="35">
        <v>0.13102</v>
      </c>
      <c r="BA587" s="30">
        <v>37.1</v>
      </c>
      <c r="BB587" s="35">
        <v>0.13313</v>
      </c>
      <c r="BD587" s="37">
        <v>1021</v>
      </c>
      <c r="BE587" s="39">
        <v>7</v>
      </c>
      <c r="BF587" s="1995"/>
      <c r="BL587" s="37">
        <v>1021</v>
      </c>
      <c r="BM587" s="2059">
        <v>0.98050000000000004</v>
      </c>
      <c r="BO587" s="40">
        <v>1021</v>
      </c>
      <c r="BP587" s="41">
        <v>1.0038</v>
      </c>
    </row>
    <row r="588" spans="27:68">
      <c r="AA588" s="1994"/>
      <c r="AR588" s="30">
        <v>37.200000000000003</v>
      </c>
      <c r="AS588" s="32">
        <v>838.3</v>
      </c>
      <c r="AX588" s="30">
        <v>37.200000000000003</v>
      </c>
      <c r="AY588" s="35">
        <v>0.13095000000000001</v>
      </c>
      <c r="BA588" s="30">
        <v>37.200000000000003</v>
      </c>
      <c r="BB588" s="35">
        <v>0.13305</v>
      </c>
      <c r="BD588" s="37">
        <v>1022</v>
      </c>
      <c r="BE588" s="39">
        <v>6.87</v>
      </c>
      <c r="BF588" s="1995"/>
      <c r="BL588" s="37">
        <v>1022</v>
      </c>
      <c r="BM588" s="2059">
        <v>0.97950000000000004</v>
      </c>
      <c r="BO588" s="40">
        <v>1022</v>
      </c>
      <c r="BP588" s="41">
        <v>1.0047999999999999</v>
      </c>
    </row>
    <row r="589" spans="27:68">
      <c r="AA589" s="1994"/>
      <c r="AR589" s="30">
        <v>37.299999999999997</v>
      </c>
      <c r="AS589" s="32">
        <v>837.8</v>
      </c>
      <c r="AX589" s="30">
        <v>37.299999999999997</v>
      </c>
      <c r="AY589" s="35">
        <v>0.13086999999999999</v>
      </c>
      <c r="BA589" s="30">
        <v>37.299999999999997</v>
      </c>
      <c r="BB589" s="35">
        <v>0.13297</v>
      </c>
      <c r="BD589" s="37">
        <v>1023</v>
      </c>
      <c r="BE589" s="39">
        <v>6.73</v>
      </c>
      <c r="BF589" s="1995"/>
      <c r="BL589" s="37">
        <v>1023</v>
      </c>
      <c r="BM589" s="2059">
        <v>0.97850000000000004</v>
      </c>
      <c r="BO589" s="40">
        <v>1023</v>
      </c>
      <c r="BP589" s="41">
        <v>1.0058</v>
      </c>
    </row>
    <row r="590" spans="27:68">
      <c r="AA590" s="1994"/>
      <c r="AR590" s="30">
        <v>37.4</v>
      </c>
      <c r="AS590" s="32">
        <v>837.3</v>
      </c>
      <c r="AX590" s="30">
        <v>37.4</v>
      </c>
      <c r="AY590" s="35">
        <v>0.13078999999999999</v>
      </c>
      <c r="BA590" s="30">
        <v>37.4</v>
      </c>
      <c r="BB590" s="35">
        <v>0.13289000000000001</v>
      </c>
      <c r="BD590" s="37">
        <v>1024</v>
      </c>
      <c r="BE590" s="39">
        <v>6.6</v>
      </c>
      <c r="BF590" s="1995"/>
      <c r="BL590" s="37">
        <v>1024</v>
      </c>
      <c r="BM590" s="2059">
        <v>0.97760000000000002</v>
      </c>
      <c r="BO590" s="40">
        <v>1024</v>
      </c>
      <c r="BP590" s="41">
        <v>1.0067999999999999</v>
      </c>
    </row>
    <row r="591" spans="27:68">
      <c r="AA591" s="1994"/>
      <c r="AR591" s="30">
        <v>37.5</v>
      </c>
      <c r="AS591" s="32">
        <v>836.8</v>
      </c>
      <c r="AX591" s="30">
        <v>37.5</v>
      </c>
      <c r="AY591" s="35">
        <v>0.13070999999999999</v>
      </c>
      <c r="BA591" s="30">
        <v>37.5</v>
      </c>
      <c r="BB591" s="35">
        <v>0.13281000000000001</v>
      </c>
      <c r="BD591" s="37">
        <v>1025</v>
      </c>
      <c r="BE591" s="39">
        <v>6.46</v>
      </c>
      <c r="BF591" s="1995"/>
      <c r="BL591" s="37">
        <v>1025</v>
      </c>
      <c r="BM591" s="2059">
        <v>0.97660000000000002</v>
      </c>
      <c r="BO591" s="40">
        <v>1025</v>
      </c>
      <c r="BP591" s="41">
        <v>1.0078</v>
      </c>
    </row>
    <row r="592" spans="27:68">
      <c r="AA592" s="1994"/>
      <c r="AR592" s="30">
        <v>37.6</v>
      </c>
      <c r="AS592" s="32">
        <v>836.4</v>
      </c>
      <c r="AX592" s="30">
        <v>37.6</v>
      </c>
      <c r="AY592" s="35">
        <v>0.13064000000000001</v>
      </c>
      <c r="BA592" s="30">
        <v>37.6</v>
      </c>
      <c r="BB592" s="35">
        <v>0.13272999999999999</v>
      </c>
      <c r="BD592" s="37">
        <v>1026</v>
      </c>
      <c r="BE592" s="39">
        <v>6.33</v>
      </c>
      <c r="BF592" s="1995"/>
      <c r="BL592" s="37">
        <v>1026</v>
      </c>
      <c r="BM592" s="2059">
        <v>0.97570000000000001</v>
      </c>
      <c r="BO592" s="40">
        <v>1026</v>
      </c>
      <c r="BP592" s="41">
        <v>1.0086999999999999</v>
      </c>
    </row>
    <row r="593" spans="27:68">
      <c r="AA593" s="1994"/>
      <c r="AR593" s="30">
        <v>37.700000000000003</v>
      </c>
      <c r="AS593" s="32">
        <v>835.9</v>
      </c>
      <c r="AX593" s="30">
        <v>37.700000000000003</v>
      </c>
      <c r="AY593" s="35">
        <v>0.13056000000000001</v>
      </c>
      <c r="BA593" s="30">
        <v>37.700000000000003</v>
      </c>
      <c r="BB593" s="35">
        <v>0.13264999999999999</v>
      </c>
      <c r="BD593" s="37">
        <v>1027</v>
      </c>
      <c r="BE593" s="39">
        <v>6.19</v>
      </c>
      <c r="BF593" s="1995"/>
      <c r="BL593" s="37">
        <v>1027</v>
      </c>
      <c r="BM593" s="2059">
        <v>0.97470000000000001</v>
      </c>
      <c r="BO593" s="40">
        <v>1027</v>
      </c>
      <c r="BP593" s="41">
        <v>1.0097</v>
      </c>
    </row>
    <row r="594" spans="27:68">
      <c r="AA594" s="1994"/>
      <c r="AR594" s="30">
        <v>37.799999999999997</v>
      </c>
      <c r="AS594" s="32">
        <v>835.4</v>
      </c>
      <c r="AX594" s="30">
        <v>37.799999999999997</v>
      </c>
      <c r="AY594" s="35">
        <v>0.13048000000000001</v>
      </c>
      <c r="BA594" s="30">
        <v>37.799999999999997</v>
      </c>
      <c r="BB594" s="35">
        <v>0.13258</v>
      </c>
      <c r="BD594" s="37">
        <v>1028</v>
      </c>
      <c r="BE594" s="39">
        <v>6.06</v>
      </c>
      <c r="BF594" s="1995"/>
      <c r="BL594" s="37">
        <v>1028</v>
      </c>
      <c r="BM594" s="2059">
        <v>0.9738</v>
      </c>
      <c r="BO594" s="40">
        <v>1028</v>
      </c>
      <c r="BP594" s="41">
        <v>1.0106999999999999</v>
      </c>
    </row>
    <row r="595" spans="27:68">
      <c r="AA595" s="1994"/>
      <c r="AR595" s="30">
        <v>37.9</v>
      </c>
      <c r="AS595" s="32">
        <v>834.9</v>
      </c>
      <c r="AX595" s="30">
        <v>37.9</v>
      </c>
      <c r="AY595" s="35">
        <v>0.13039999999999999</v>
      </c>
      <c r="BA595" s="30">
        <v>37.9</v>
      </c>
      <c r="BB595" s="35">
        <v>0.13250000000000001</v>
      </c>
      <c r="BD595" s="37">
        <v>1029</v>
      </c>
      <c r="BE595" s="39">
        <v>5.93</v>
      </c>
      <c r="BF595" s="1995"/>
      <c r="BL595" s="37">
        <v>1029</v>
      </c>
      <c r="BM595" s="2059">
        <v>0.9728</v>
      </c>
      <c r="BO595" s="40">
        <v>1029</v>
      </c>
      <c r="BP595" s="41">
        <v>1.0117</v>
      </c>
    </row>
    <row r="596" spans="27:68">
      <c r="AA596" s="1994"/>
      <c r="AR596" s="30">
        <v>38</v>
      </c>
      <c r="AS596" s="32">
        <v>834.4</v>
      </c>
      <c r="AX596" s="30">
        <v>38</v>
      </c>
      <c r="AY596" s="35">
        <v>0.13033</v>
      </c>
      <c r="BA596" s="30">
        <v>38</v>
      </c>
      <c r="BB596" s="35">
        <v>0.13242000000000001</v>
      </c>
      <c r="BD596" s="37">
        <v>1030</v>
      </c>
      <c r="BE596" s="39">
        <v>5.79</v>
      </c>
      <c r="BF596" s="1995"/>
      <c r="BL596" s="37">
        <v>1030</v>
      </c>
      <c r="BM596" s="2059">
        <v>0.97189999999999999</v>
      </c>
      <c r="BO596" s="40">
        <v>1030</v>
      </c>
      <c r="BP596" s="41">
        <v>1.0126999999999999</v>
      </c>
    </row>
    <row r="597" spans="27:68">
      <c r="AA597" s="1994"/>
      <c r="AR597" s="30">
        <v>38.1</v>
      </c>
      <c r="AS597" s="32">
        <v>833.9</v>
      </c>
      <c r="AX597" s="30">
        <v>38.1</v>
      </c>
      <c r="AY597" s="35">
        <v>0.13025</v>
      </c>
      <c r="BA597" s="30">
        <v>38.1</v>
      </c>
      <c r="BB597" s="35">
        <v>0.13234000000000001</v>
      </c>
      <c r="BD597" s="37">
        <v>1031</v>
      </c>
      <c r="BE597" s="39">
        <v>5.66</v>
      </c>
      <c r="BF597" s="1995"/>
      <c r="BL597" s="37">
        <v>1031</v>
      </c>
      <c r="BM597" s="2059">
        <v>0.97089999999999999</v>
      </c>
      <c r="BO597" s="40">
        <v>1031</v>
      </c>
      <c r="BP597" s="41">
        <v>1.0137</v>
      </c>
    </row>
    <row r="598" spans="27:68">
      <c r="AA598" s="1994"/>
      <c r="AR598" s="30">
        <v>38.200000000000003</v>
      </c>
      <c r="AS598" s="32">
        <v>833.4</v>
      </c>
      <c r="AX598" s="30">
        <v>38.200000000000003</v>
      </c>
      <c r="AY598" s="35">
        <v>0.13017000000000001</v>
      </c>
      <c r="BA598" s="30">
        <v>38.200000000000003</v>
      </c>
      <c r="BB598" s="35">
        <v>0.13225999999999999</v>
      </c>
      <c r="BD598" s="37">
        <v>1032</v>
      </c>
      <c r="BE598" s="39">
        <v>5.53</v>
      </c>
      <c r="BF598" s="1995"/>
      <c r="BL598" s="37">
        <v>1032</v>
      </c>
      <c r="BM598" s="2059">
        <v>0.97</v>
      </c>
      <c r="BO598" s="40">
        <v>1032</v>
      </c>
      <c r="BP598" s="41">
        <v>1.0146999999999999</v>
      </c>
    </row>
    <row r="599" spans="27:68">
      <c r="AA599" s="1994"/>
      <c r="AR599" s="30">
        <v>38.299999999999997</v>
      </c>
      <c r="AS599" s="32">
        <v>832.9</v>
      </c>
      <c r="AX599" s="30">
        <v>38.299999999999997</v>
      </c>
      <c r="AY599" s="35">
        <v>0.13009999999999999</v>
      </c>
      <c r="BA599" s="30">
        <v>38.299999999999997</v>
      </c>
      <c r="BB599" s="35">
        <v>0.13217999999999999</v>
      </c>
      <c r="BD599" s="37">
        <v>1033</v>
      </c>
      <c r="BE599" s="39">
        <v>5.39</v>
      </c>
      <c r="BF599" s="1995"/>
      <c r="BL599" s="37">
        <v>1033</v>
      </c>
      <c r="BM599" s="2059">
        <v>0.96909999999999996</v>
      </c>
      <c r="BO599" s="40">
        <v>1033</v>
      </c>
      <c r="BP599" s="41">
        <v>1.0156000000000001</v>
      </c>
    </row>
    <row r="600" spans="27:68">
      <c r="AA600" s="1994"/>
      <c r="AR600" s="30">
        <v>38.4</v>
      </c>
      <c r="AS600" s="32">
        <v>832.4</v>
      </c>
      <c r="AX600" s="30">
        <v>38.4</v>
      </c>
      <c r="AY600" s="35">
        <v>0.13002</v>
      </c>
      <c r="BA600" s="30">
        <v>38.4</v>
      </c>
      <c r="BB600" s="35">
        <v>0.13211000000000001</v>
      </c>
      <c r="BD600" s="37">
        <v>1034</v>
      </c>
      <c r="BE600" s="39">
        <v>5.26</v>
      </c>
      <c r="BF600" s="1995"/>
      <c r="BL600" s="37">
        <v>1034</v>
      </c>
      <c r="BM600" s="2059">
        <v>0.96809999999999996</v>
      </c>
      <c r="BO600" s="40">
        <v>1034</v>
      </c>
      <c r="BP600" s="41">
        <v>1.0165999999999999</v>
      </c>
    </row>
    <row r="601" spans="27:68">
      <c r="AA601" s="1994"/>
      <c r="AR601" s="30">
        <v>38.5</v>
      </c>
      <c r="AS601" s="32">
        <v>831.9</v>
      </c>
      <c r="AX601" s="30">
        <v>38.5</v>
      </c>
      <c r="AY601" s="35">
        <v>0.12994</v>
      </c>
      <c r="BA601" s="30">
        <v>38.5</v>
      </c>
      <c r="BB601" s="35">
        <v>0.13203000000000001</v>
      </c>
      <c r="BD601" s="37">
        <v>1035</v>
      </c>
      <c r="BE601" s="39">
        <v>5.13</v>
      </c>
      <c r="BF601" s="1995"/>
      <c r="BL601" s="37">
        <v>1035</v>
      </c>
      <c r="BM601" s="2059">
        <v>0.96719999999999995</v>
      </c>
      <c r="BO601" s="40">
        <v>1035</v>
      </c>
      <c r="BP601" s="41">
        <v>1.0176000000000001</v>
      </c>
    </row>
    <row r="602" spans="27:68">
      <c r="AA602" s="1994"/>
      <c r="AR602" s="30">
        <v>38.6</v>
      </c>
      <c r="AS602" s="32">
        <v>831.4</v>
      </c>
      <c r="AX602" s="30">
        <v>38.6</v>
      </c>
      <c r="AY602" s="35">
        <v>0.12987000000000001</v>
      </c>
      <c r="BA602" s="30">
        <v>38.6</v>
      </c>
      <c r="BB602" s="35">
        <v>0.13195000000000001</v>
      </c>
      <c r="BD602" s="37">
        <v>1036</v>
      </c>
      <c r="BE602" s="39">
        <v>5</v>
      </c>
      <c r="BF602" s="1995"/>
      <c r="BL602" s="37">
        <v>1036</v>
      </c>
      <c r="BM602" s="2059">
        <v>0.96619999999999995</v>
      </c>
      <c r="BO602" s="40">
        <v>1036</v>
      </c>
      <c r="BP602" s="41">
        <v>1.0185999999999999</v>
      </c>
    </row>
    <row r="603" spans="27:68">
      <c r="AA603" s="1994"/>
      <c r="AR603" s="30">
        <v>38.700000000000003</v>
      </c>
      <c r="AS603" s="32">
        <v>831</v>
      </c>
      <c r="AX603" s="30">
        <v>38.700000000000003</v>
      </c>
      <c r="AY603" s="35">
        <v>0.12978999999999999</v>
      </c>
      <c r="BA603" s="30">
        <v>38.700000000000003</v>
      </c>
      <c r="BB603" s="35">
        <v>0.13186999999999999</v>
      </c>
      <c r="BD603" s="37">
        <v>1037</v>
      </c>
      <c r="BE603" s="39">
        <v>4.87</v>
      </c>
      <c r="BF603" s="1995"/>
      <c r="BL603" s="37">
        <v>1037</v>
      </c>
      <c r="BM603" s="2059">
        <v>0.96530000000000005</v>
      </c>
      <c r="BO603" s="40">
        <v>1037</v>
      </c>
      <c r="BP603" s="41">
        <v>1.0196000000000001</v>
      </c>
    </row>
    <row r="604" spans="27:68">
      <c r="AA604" s="1994"/>
      <c r="AR604" s="30">
        <v>38.799999999999997</v>
      </c>
      <c r="AS604" s="32">
        <v>830.5</v>
      </c>
      <c r="AX604" s="30">
        <v>38.799999999999997</v>
      </c>
      <c r="AY604" s="35">
        <v>0.12970999999999999</v>
      </c>
      <c r="BA604" s="30">
        <v>38.799999999999997</v>
      </c>
      <c r="BB604" s="35">
        <v>0.1318</v>
      </c>
      <c r="BD604" s="37">
        <v>1038</v>
      </c>
      <c r="BE604" s="39">
        <v>4.7300000000000004</v>
      </c>
      <c r="BF604" s="1995"/>
      <c r="BL604" s="37">
        <v>1038</v>
      </c>
      <c r="BM604" s="2059">
        <v>0.96440000000000003</v>
      </c>
      <c r="BO604" s="40">
        <v>1038</v>
      </c>
      <c r="BP604" s="41">
        <v>1.0206</v>
      </c>
    </row>
    <row r="605" spans="27:68">
      <c r="AA605" s="1994"/>
      <c r="AR605" s="30">
        <v>38.9</v>
      </c>
      <c r="AS605" s="32">
        <v>830</v>
      </c>
      <c r="AX605" s="30">
        <v>38.9</v>
      </c>
      <c r="AY605" s="35">
        <v>0.12964000000000001</v>
      </c>
      <c r="BA605" s="30">
        <v>38.9</v>
      </c>
      <c r="BB605" s="35">
        <v>0.13172</v>
      </c>
      <c r="BD605" s="37">
        <v>1039</v>
      </c>
      <c r="BE605" s="39">
        <v>4.5999999999999996</v>
      </c>
      <c r="BF605" s="1995"/>
      <c r="BL605" s="37">
        <v>1039</v>
      </c>
      <c r="BM605" s="2059">
        <v>0.96350000000000002</v>
      </c>
      <c r="BO605" s="40">
        <v>1039</v>
      </c>
      <c r="BP605" s="41">
        <v>1.0215000000000001</v>
      </c>
    </row>
    <row r="606" spans="27:68">
      <c r="AA606" s="1994"/>
      <c r="AR606" s="30">
        <v>39</v>
      </c>
      <c r="AS606" s="32">
        <v>829.5</v>
      </c>
      <c r="AX606" s="30">
        <v>39</v>
      </c>
      <c r="AY606" s="35">
        <v>0.12956000000000001</v>
      </c>
      <c r="BA606" s="30">
        <v>39</v>
      </c>
      <c r="BB606" s="35">
        <v>0.13164000000000001</v>
      </c>
      <c r="BD606" s="37">
        <v>1040</v>
      </c>
      <c r="BE606" s="39">
        <v>4.47</v>
      </c>
      <c r="BF606" s="1995"/>
      <c r="BL606" s="37">
        <v>1040</v>
      </c>
      <c r="BM606" s="2059">
        <v>0.96250000000000002</v>
      </c>
      <c r="BO606" s="40">
        <v>1040</v>
      </c>
      <c r="BP606" s="41">
        <v>1.0225</v>
      </c>
    </row>
    <row r="607" spans="27:68">
      <c r="AA607" s="1994"/>
      <c r="AR607" s="30">
        <v>39.1</v>
      </c>
      <c r="AS607" s="32">
        <v>829</v>
      </c>
      <c r="AX607" s="30">
        <v>39.1</v>
      </c>
      <c r="AY607" s="35">
        <v>0.12948999999999999</v>
      </c>
      <c r="BA607" s="30">
        <v>39.1</v>
      </c>
      <c r="BB607" s="35">
        <v>0.13156000000000001</v>
      </c>
      <c r="BD607" s="37">
        <v>1041</v>
      </c>
      <c r="BE607" s="39">
        <v>4.34</v>
      </c>
      <c r="BF607" s="1995"/>
      <c r="BL607" s="37">
        <v>1041</v>
      </c>
      <c r="BM607" s="2059">
        <v>0.96160000000000001</v>
      </c>
      <c r="BO607" s="40">
        <v>1041</v>
      </c>
      <c r="BP607" s="41">
        <v>1.0235000000000001</v>
      </c>
    </row>
    <row r="608" spans="27:68">
      <c r="AA608" s="1994"/>
      <c r="AR608" s="30">
        <v>39.200000000000003</v>
      </c>
      <c r="AS608" s="32">
        <v>828.5</v>
      </c>
      <c r="AX608" s="30">
        <v>39.200000000000003</v>
      </c>
      <c r="AY608" s="35">
        <v>0.12941</v>
      </c>
      <c r="BA608" s="30">
        <v>39.200000000000003</v>
      </c>
      <c r="BB608" s="35">
        <v>0.13149</v>
      </c>
      <c r="BD608" s="37">
        <v>1042</v>
      </c>
      <c r="BE608" s="39">
        <v>4.21</v>
      </c>
      <c r="BF608" s="1995"/>
      <c r="BL608" s="37">
        <v>1042</v>
      </c>
      <c r="BM608" s="2059">
        <v>0.9607</v>
      </c>
      <c r="BO608" s="40">
        <v>1042</v>
      </c>
      <c r="BP608" s="41">
        <v>1.0245</v>
      </c>
    </row>
    <row r="609" spans="27:68">
      <c r="AA609" s="1994"/>
      <c r="AR609" s="30">
        <v>39.299999999999997</v>
      </c>
      <c r="AS609" s="32">
        <v>828</v>
      </c>
      <c r="AX609" s="30">
        <v>39.299999999999997</v>
      </c>
      <c r="AY609" s="35">
        <v>0.12933</v>
      </c>
      <c r="BA609" s="30">
        <v>39.299999999999997</v>
      </c>
      <c r="BB609" s="35">
        <v>0.13141</v>
      </c>
      <c r="BD609" s="37">
        <v>1043</v>
      </c>
      <c r="BE609" s="39">
        <v>4.08</v>
      </c>
      <c r="BF609" s="1995"/>
      <c r="BL609" s="37">
        <v>1043</v>
      </c>
      <c r="BM609" s="2059">
        <v>0.95979999999999999</v>
      </c>
      <c r="BO609" s="40">
        <v>1043</v>
      </c>
      <c r="BP609" s="41">
        <v>1.0255000000000001</v>
      </c>
    </row>
    <row r="610" spans="27:68">
      <c r="AA610" s="1994"/>
      <c r="AR610" s="30">
        <v>39.4</v>
      </c>
      <c r="AS610" s="32">
        <v>827.6</v>
      </c>
      <c r="AX610" s="30">
        <v>39.4</v>
      </c>
      <c r="AY610" s="35">
        <v>0.12926000000000001</v>
      </c>
      <c r="BA610" s="30">
        <v>39.4</v>
      </c>
      <c r="BB610" s="35">
        <v>0.13133</v>
      </c>
      <c r="BD610" s="37">
        <v>1044</v>
      </c>
      <c r="BE610" s="39">
        <v>3.95</v>
      </c>
      <c r="BF610" s="1995"/>
      <c r="BL610" s="37">
        <v>1044</v>
      </c>
      <c r="BM610" s="2059">
        <v>0.95879999999999999</v>
      </c>
      <c r="BO610" s="40">
        <v>1044</v>
      </c>
      <c r="BP610" s="41">
        <v>1.0265</v>
      </c>
    </row>
    <row r="611" spans="27:68">
      <c r="AA611" s="1994"/>
      <c r="AR611" s="30">
        <v>39.5</v>
      </c>
      <c r="AS611" s="32">
        <v>827.13</v>
      </c>
      <c r="AX611" s="30">
        <v>39.5</v>
      </c>
      <c r="AY611" s="35">
        <v>0.12917999999999999</v>
      </c>
      <c r="BA611" s="30">
        <v>39.5</v>
      </c>
      <c r="BB611" s="35">
        <v>0.13125999999999999</v>
      </c>
      <c r="BD611" s="37">
        <v>1045</v>
      </c>
      <c r="BE611" s="39">
        <v>3.82</v>
      </c>
      <c r="BF611" s="1995"/>
      <c r="BL611" s="37">
        <v>1045</v>
      </c>
      <c r="BM611" s="2059">
        <v>0.95789999999999997</v>
      </c>
      <c r="BO611" s="40">
        <v>1045</v>
      </c>
      <c r="BP611" s="41">
        <v>1.0274000000000001</v>
      </c>
    </row>
    <row r="612" spans="27:68">
      <c r="AA612" s="1994"/>
      <c r="AR612" s="30">
        <v>39.6</v>
      </c>
      <c r="AS612" s="32">
        <v>826.6</v>
      </c>
      <c r="AX612" s="30">
        <v>39.6</v>
      </c>
      <c r="AY612" s="35">
        <v>0.12911</v>
      </c>
      <c r="BA612" s="30">
        <v>39.6</v>
      </c>
      <c r="BB612" s="35">
        <v>0.13117999999999999</v>
      </c>
      <c r="BD612" s="37">
        <v>1046</v>
      </c>
      <c r="BE612" s="39">
        <v>3.69</v>
      </c>
      <c r="BF612" s="1995"/>
      <c r="BL612" s="37">
        <v>1046</v>
      </c>
      <c r="BM612" s="2059">
        <v>0.95699999999999996</v>
      </c>
      <c r="BO612" s="40">
        <v>1046</v>
      </c>
      <c r="BP612" s="41">
        <v>1.0284</v>
      </c>
    </row>
    <row r="613" spans="27:68">
      <c r="AA613" s="1994"/>
      <c r="AR613" s="30">
        <v>39.700000000000003</v>
      </c>
      <c r="AS613" s="32">
        <v>826.1</v>
      </c>
      <c r="AX613" s="30">
        <v>39.700000000000003</v>
      </c>
      <c r="AY613" s="35">
        <v>0.12903000000000001</v>
      </c>
      <c r="BA613" s="30">
        <v>39.700000000000003</v>
      </c>
      <c r="BB613" s="35">
        <v>0.13109999999999999</v>
      </c>
      <c r="BD613" s="37">
        <v>1047</v>
      </c>
      <c r="BE613" s="39">
        <v>3.56</v>
      </c>
      <c r="BF613" s="1995"/>
      <c r="BL613" s="37">
        <v>1047</v>
      </c>
      <c r="BM613" s="2059">
        <v>0.95609999999999995</v>
      </c>
      <c r="BO613" s="40">
        <v>1047</v>
      </c>
      <c r="BP613" s="41">
        <v>1.0294000000000001</v>
      </c>
    </row>
    <row r="614" spans="27:68">
      <c r="AA614" s="1994"/>
      <c r="AR614" s="30">
        <v>39.799999999999997</v>
      </c>
      <c r="AS614" s="32">
        <v>825.6</v>
      </c>
      <c r="AX614" s="30">
        <v>39.799999999999997</v>
      </c>
      <c r="AY614" s="35">
        <v>0.12895999999999999</v>
      </c>
      <c r="BA614" s="30">
        <v>39.799999999999997</v>
      </c>
      <c r="BB614" s="35">
        <v>0.13103000000000001</v>
      </c>
      <c r="BD614" s="37">
        <v>1048</v>
      </c>
      <c r="BE614" s="39">
        <v>3.43</v>
      </c>
      <c r="BF614" s="1995"/>
      <c r="BL614" s="37">
        <v>1048</v>
      </c>
      <c r="BM614" s="2059">
        <v>0.95520000000000005</v>
      </c>
      <c r="BO614" s="40">
        <v>1048</v>
      </c>
      <c r="BP614" s="41">
        <v>1.0304</v>
      </c>
    </row>
    <row r="615" spans="27:68">
      <c r="AA615" s="1994"/>
      <c r="AR615" s="30">
        <v>39.9</v>
      </c>
      <c r="AS615" s="32">
        <v>825.1</v>
      </c>
      <c r="AX615" s="30">
        <v>39.9</v>
      </c>
      <c r="AY615" s="35">
        <v>0.12887999999999999</v>
      </c>
      <c r="BA615" s="30">
        <v>39.9</v>
      </c>
      <c r="BB615" s="35">
        <v>0.13095000000000001</v>
      </c>
      <c r="BD615" s="37">
        <v>1049</v>
      </c>
      <c r="BE615" s="39">
        <v>3.3</v>
      </c>
      <c r="BF615" s="1995"/>
      <c r="BL615" s="37">
        <v>1049</v>
      </c>
      <c r="BM615" s="2059">
        <v>0.95430000000000004</v>
      </c>
      <c r="BO615" s="40">
        <v>1049</v>
      </c>
      <c r="BP615" s="41">
        <v>1.0314000000000001</v>
      </c>
    </row>
    <row r="616" spans="27:68">
      <c r="AA616" s="1994"/>
      <c r="AR616" s="30">
        <v>40</v>
      </c>
      <c r="AS616" s="32">
        <v>824.7</v>
      </c>
      <c r="AX616" s="30">
        <v>40</v>
      </c>
      <c r="AY616" s="35">
        <v>0.12881000000000001</v>
      </c>
      <c r="BA616" s="30">
        <v>40</v>
      </c>
      <c r="BB616" s="35">
        <v>0.13086999999999999</v>
      </c>
      <c r="BD616" s="37">
        <v>1050</v>
      </c>
      <c r="BE616" s="39">
        <v>3.18</v>
      </c>
      <c r="BF616" s="1995"/>
      <c r="BL616" s="37">
        <v>1050</v>
      </c>
      <c r="BM616" s="2059">
        <v>0.95330000000000004</v>
      </c>
      <c r="BO616" s="40">
        <v>1050</v>
      </c>
      <c r="BP616" s="41">
        <v>1.0324</v>
      </c>
    </row>
    <row r="617" spans="27:68">
      <c r="AA617" s="1994"/>
      <c r="AR617" s="30">
        <v>40.1</v>
      </c>
      <c r="AS617" s="32">
        <v>824.2</v>
      </c>
      <c r="AX617" s="30">
        <v>40.1</v>
      </c>
      <c r="AY617" s="35">
        <v>0.12873000000000001</v>
      </c>
      <c r="BA617" s="30">
        <v>40.1</v>
      </c>
      <c r="BB617" s="35">
        <v>0.1308</v>
      </c>
      <c r="BD617" s="37">
        <v>1051</v>
      </c>
      <c r="BE617" s="39">
        <v>3.05</v>
      </c>
      <c r="BF617" s="1995"/>
      <c r="BL617" s="37">
        <v>1051</v>
      </c>
      <c r="BM617" s="2059">
        <v>0.95240000000000002</v>
      </c>
      <c r="BO617" s="40">
        <v>1051</v>
      </c>
      <c r="BP617" s="41">
        <v>1.0334000000000001</v>
      </c>
    </row>
    <row r="618" spans="27:68">
      <c r="AA618" s="1994"/>
      <c r="AR618" s="30">
        <v>40.200000000000003</v>
      </c>
      <c r="AS618" s="32">
        <v>823.7</v>
      </c>
      <c r="AX618" s="30">
        <v>40.200000000000003</v>
      </c>
      <c r="AY618" s="35">
        <v>0.12864999999999999</v>
      </c>
      <c r="BA618" s="30">
        <v>40.200000000000003</v>
      </c>
      <c r="BB618" s="35">
        <v>0.13072</v>
      </c>
      <c r="BD618" s="37">
        <v>1052</v>
      </c>
      <c r="BE618" s="39">
        <v>2.92</v>
      </c>
      <c r="BF618" s="1995"/>
      <c r="BL618" s="37">
        <v>1052</v>
      </c>
      <c r="BM618" s="2059">
        <v>0.95150000000000001</v>
      </c>
      <c r="BO618" s="40">
        <v>1052</v>
      </c>
      <c r="BP618" s="41">
        <v>1.0343</v>
      </c>
    </row>
    <row r="619" spans="27:68">
      <c r="AA619" s="1994"/>
      <c r="AR619" s="30">
        <v>40.299999999999997</v>
      </c>
      <c r="AS619" s="32">
        <v>823.2</v>
      </c>
      <c r="AX619" s="30">
        <v>40.299999999999997</v>
      </c>
      <c r="AY619" s="35">
        <v>0.12858</v>
      </c>
      <c r="BA619" s="30">
        <v>40.299999999999997</v>
      </c>
      <c r="BB619" s="35">
        <v>0.13064000000000001</v>
      </c>
      <c r="BD619" s="37">
        <v>1053</v>
      </c>
      <c r="BE619" s="39">
        <v>2.79</v>
      </c>
      <c r="BF619" s="1995"/>
      <c r="BL619" s="37">
        <v>1053</v>
      </c>
      <c r="BM619" s="2059">
        <v>0.9506</v>
      </c>
      <c r="BO619" s="40">
        <v>1053</v>
      </c>
      <c r="BP619" s="41">
        <v>1.0353000000000001</v>
      </c>
    </row>
    <row r="620" spans="27:68">
      <c r="AA620" s="1994"/>
      <c r="AR620" s="30">
        <v>40.4</v>
      </c>
      <c r="AS620" s="32">
        <v>822.7</v>
      </c>
      <c r="AX620" s="30">
        <v>40.4</v>
      </c>
      <c r="AY620" s="35">
        <v>0.1285</v>
      </c>
      <c r="BA620" s="30">
        <v>40.4</v>
      </c>
      <c r="BB620" s="35">
        <v>0.13056999999999999</v>
      </c>
      <c r="BD620" s="37">
        <v>1054</v>
      </c>
      <c r="BE620" s="39">
        <v>2.66</v>
      </c>
      <c r="BF620" s="1995"/>
      <c r="BL620" s="37">
        <v>1054</v>
      </c>
      <c r="BM620" s="2059">
        <v>0.94969999999999999</v>
      </c>
      <c r="BO620" s="40">
        <v>1054</v>
      </c>
      <c r="BP620" s="41">
        <v>1.0363</v>
      </c>
    </row>
    <row r="621" spans="27:68">
      <c r="AA621" s="1994"/>
      <c r="AR621" s="30">
        <v>40.5</v>
      </c>
      <c r="AS621" s="32">
        <v>822.3</v>
      </c>
      <c r="AX621" s="30">
        <v>40.5</v>
      </c>
      <c r="AY621" s="35">
        <v>0.12842999999999999</v>
      </c>
      <c r="BA621" s="30">
        <v>40.5</v>
      </c>
      <c r="BB621" s="35">
        <v>0.13048999999999999</v>
      </c>
      <c r="BD621" s="37">
        <v>1055</v>
      </c>
      <c r="BE621" s="39">
        <v>2.54</v>
      </c>
      <c r="BF621" s="1995"/>
      <c r="BL621" s="37">
        <v>1055</v>
      </c>
      <c r="BM621" s="2059">
        <v>0.94879999999999998</v>
      </c>
      <c r="BO621" s="40">
        <v>1055</v>
      </c>
      <c r="BP621" s="41">
        <v>1.0373000000000001</v>
      </c>
    </row>
    <row r="622" spans="27:68">
      <c r="AA622" s="1994"/>
      <c r="AR622" s="30">
        <v>40.6</v>
      </c>
      <c r="AS622" s="32">
        <v>821.8</v>
      </c>
      <c r="AX622" s="30">
        <v>40.6</v>
      </c>
      <c r="AY622" s="35">
        <v>0.12836</v>
      </c>
      <c r="BA622" s="30">
        <v>40.6</v>
      </c>
      <c r="BB622" s="35">
        <v>0.13042000000000001</v>
      </c>
      <c r="BD622" s="37">
        <v>1056</v>
      </c>
      <c r="BE622" s="39">
        <v>2.41</v>
      </c>
      <c r="BF622" s="1995"/>
      <c r="BL622" s="37">
        <v>1056</v>
      </c>
      <c r="BM622" s="2059">
        <v>0.94789999999999996</v>
      </c>
      <c r="BO622" s="40">
        <v>1056</v>
      </c>
      <c r="BP622" s="41">
        <v>1.0383</v>
      </c>
    </row>
    <row r="623" spans="27:68">
      <c r="AA623" s="1994"/>
      <c r="AR623" s="30">
        <v>40.700000000000003</v>
      </c>
      <c r="AS623" s="32">
        <v>821.3</v>
      </c>
      <c r="AX623" s="30">
        <v>40.700000000000003</v>
      </c>
      <c r="AY623" s="35">
        <v>0.12828000000000001</v>
      </c>
      <c r="BA623" s="30">
        <v>40.700000000000003</v>
      </c>
      <c r="BB623" s="35">
        <v>0.13034000000000001</v>
      </c>
      <c r="BD623" s="37">
        <v>1057</v>
      </c>
      <c r="BE623" s="39">
        <v>2.2799999999999998</v>
      </c>
      <c r="BF623" s="1995"/>
      <c r="BL623" s="37">
        <v>1057</v>
      </c>
      <c r="BM623" s="2059">
        <v>0.94699999999999995</v>
      </c>
      <c r="BO623" s="40">
        <v>1057</v>
      </c>
      <c r="BP623" s="41">
        <v>1.0392999999999999</v>
      </c>
    </row>
    <row r="624" spans="27:68">
      <c r="AA624" s="1994"/>
      <c r="AR624" s="30">
        <v>40.799999999999997</v>
      </c>
      <c r="AS624" s="32">
        <v>820.8</v>
      </c>
      <c r="AX624" s="30">
        <v>40.799999999999997</v>
      </c>
      <c r="AY624" s="35">
        <v>0.12820999999999999</v>
      </c>
      <c r="BA624" s="30">
        <v>40.799999999999997</v>
      </c>
      <c r="BB624" s="35">
        <v>0.13025999999999999</v>
      </c>
      <c r="BD624" s="37">
        <v>1058</v>
      </c>
      <c r="BE624" s="39">
        <v>2.16</v>
      </c>
      <c r="BF624" s="1995"/>
      <c r="BL624" s="37">
        <v>1058</v>
      </c>
      <c r="BM624" s="2059">
        <v>0.94610000000000005</v>
      </c>
      <c r="BO624" s="40">
        <v>1058</v>
      </c>
      <c r="BP624" s="41">
        <v>1.0402</v>
      </c>
    </row>
    <row r="625" spans="27:68">
      <c r="AA625" s="1994"/>
      <c r="AR625" s="30">
        <v>40.9</v>
      </c>
      <c r="AS625" s="32">
        <v>820.4</v>
      </c>
      <c r="AX625" s="30">
        <v>40.9</v>
      </c>
      <c r="AY625" s="35">
        <v>0.12812999999999999</v>
      </c>
      <c r="BA625" s="30">
        <v>40.9</v>
      </c>
      <c r="BB625" s="35">
        <v>0.13019</v>
      </c>
      <c r="BD625" s="37">
        <v>1059</v>
      </c>
      <c r="BE625" s="39">
        <v>2.0299999999999998</v>
      </c>
      <c r="BF625" s="1995"/>
      <c r="BL625" s="37">
        <v>1059</v>
      </c>
      <c r="BM625" s="2059">
        <v>0.94520000000000004</v>
      </c>
      <c r="BO625" s="40">
        <v>1059</v>
      </c>
      <c r="BP625" s="41">
        <v>1.0411999999999999</v>
      </c>
    </row>
    <row r="626" spans="27:68">
      <c r="AA626" s="1994"/>
      <c r="AR626" s="30">
        <v>41</v>
      </c>
      <c r="AS626" s="32">
        <v>819.9</v>
      </c>
      <c r="AX626" s="30">
        <v>41</v>
      </c>
      <c r="AY626" s="35">
        <v>0.12806000000000001</v>
      </c>
      <c r="BA626" s="30">
        <v>41</v>
      </c>
      <c r="BB626" s="35">
        <v>0.13011</v>
      </c>
      <c r="BD626" s="37">
        <v>1060</v>
      </c>
      <c r="BE626" s="39">
        <v>1.91</v>
      </c>
      <c r="BF626" s="1995"/>
      <c r="BL626" s="37">
        <v>1060</v>
      </c>
      <c r="BM626" s="2059">
        <v>0.94430000000000003</v>
      </c>
      <c r="BO626" s="40">
        <v>1060</v>
      </c>
      <c r="BP626" s="41">
        <v>1.0422</v>
      </c>
    </row>
    <row r="627" spans="27:68">
      <c r="AA627" s="1994"/>
      <c r="AR627" s="30">
        <v>41.1</v>
      </c>
      <c r="AS627" s="32">
        <v>819.4</v>
      </c>
      <c r="AX627" s="30">
        <v>41.1</v>
      </c>
      <c r="AY627" s="35">
        <v>0.12798000000000001</v>
      </c>
      <c r="BA627" s="30">
        <v>41.1</v>
      </c>
      <c r="BB627" s="35">
        <v>0.13003999999999999</v>
      </c>
      <c r="BD627" s="37">
        <v>1061</v>
      </c>
      <c r="BE627" s="39">
        <v>1.78</v>
      </c>
      <c r="BF627" s="1995"/>
      <c r="BL627" s="37">
        <v>1061</v>
      </c>
      <c r="BM627" s="2059">
        <v>0.94340000000000002</v>
      </c>
      <c r="BO627" s="40">
        <v>1061</v>
      </c>
      <c r="BP627" s="41">
        <v>1.0431999999999999</v>
      </c>
    </row>
    <row r="628" spans="27:68">
      <c r="AA628" s="1994"/>
      <c r="AR628" s="30">
        <v>41.2</v>
      </c>
      <c r="AS628" s="32">
        <v>818.9</v>
      </c>
      <c r="AX628" s="30">
        <v>41.2</v>
      </c>
      <c r="AY628" s="35">
        <v>0.12791</v>
      </c>
      <c r="BA628" s="30">
        <v>41.2</v>
      </c>
      <c r="BB628" s="35">
        <v>0.12995999999999999</v>
      </c>
      <c r="BD628" s="37">
        <v>1062</v>
      </c>
      <c r="BE628" s="39">
        <v>1.65</v>
      </c>
      <c r="BF628" s="1995"/>
      <c r="BL628" s="37">
        <v>1062</v>
      </c>
      <c r="BM628" s="2059">
        <v>0.94259999999999999</v>
      </c>
      <c r="BO628" s="40">
        <v>1062</v>
      </c>
      <c r="BP628" s="41">
        <v>1.0442</v>
      </c>
    </row>
    <row r="629" spans="27:68">
      <c r="AA629" s="1994"/>
      <c r="AR629" s="30">
        <v>41.3</v>
      </c>
      <c r="AS629" s="32">
        <v>818.5</v>
      </c>
      <c r="AX629" s="30">
        <v>41.3</v>
      </c>
      <c r="AY629" s="35">
        <v>0.12783</v>
      </c>
      <c r="BA629" s="30">
        <v>41.3</v>
      </c>
      <c r="BB629" s="35">
        <v>0.12989000000000001</v>
      </c>
      <c r="BD629" s="37">
        <v>1063</v>
      </c>
      <c r="BE629" s="39">
        <v>1.53</v>
      </c>
      <c r="BF629" s="1995"/>
      <c r="BL629" s="37">
        <v>1063</v>
      </c>
      <c r="BM629" s="2059">
        <v>0.94169999999999998</v>
      </c>
      <c r="BO629" s="40">
        <v>1063</v>
      </c>
      <c r="BP629" s="41">
        <v>1.0451999999999999</v>
      </c>
    </row>
    <row r="630" spans="27:68">
      <c r="AA630" s="1994"/>
      <c r="AR630" s="30">
        <v>41.4</v>
      </c>
      <c r="AS630" s="32">
        <v>818</v>
      </c>
      <c r="AX630" s="30">
        <v>41.4</v>
      </c>
      <c r="AY630" s="35">
        <v>0.12776000000000001</v>
      </c>
      <c r="BA630" s="30">
        <v>41.4</v>
      </c>
      <c r="BB630" s="35">
        <v>0.12981000000000001</v>
      </c>
      <c r="BD630" s="37">
        <v>1064</v>
      </c>
      <c r="BE630" s="39">
        <v>1.4</v>
      </c>
      <c r="BF630" s="1995"/>
      <c r="BL630" s="37">
        <v>1064</v>
      </c>
      <c r="BM630" s="2059">
        <v>0.94079999999999997</v>
      </c>
      <c r="BO630" s="40">
        <v>1064</v>
      </c>
      <c r="BP630" s="41">
        <v>1.0462</v>
      </c>
    </row>
    <row r="631" spans="27:68">
      <c r="AA631" s="1994"/>
      <c r="AR631" s="30">
        <v>41.5</v>
      </c>
      <c r="AS631" s="32">
        <v>817.5</v>
      </c>
      <c r="AX631" s="30">
        <v>41.5</v>
      </c>
      <c r="AY631" s="35">
        <v>0.12769</v>
      </c>
      <c r="BA631" s="30">
        <v>41.5</v>
      </c>
      <c r="BB631" s="35">
        <v>0.12973999999999999</v>
      </c>
      <c r="BD631" s="37">
        <v>1065</v>
      </c>
      <c r="BE631" s="39">
        <v>1.28</v>
      </c>
      <c r="BF631" s="1995"/>
      <c r="BL631" s="37">
        <v>1065</v>
      </c>
      <c r="BM631" s="2059">
        <v>0.93989999999999996</v>
      </c>
      <c r="BO631" s="40">
        <v>1065</v>
      </c>
      <c r="BP631" s="41">
        <v>1.0470999999999999</v>
      </c>
    </row>
    <row r="632" spans="27:68">
      <c r="AA632" s="1994"/>
      <c r="AR632" s="30">
        <v>41.6</v>
      </c>
      <c r="AS632" s="32">
        <v>817</v>
      </c>
      <c r="AX632" s="30">
        <v>41.6</v>
      </c>
      <c r="AY632" s="35">
        <v>0.12761</v>
      </c>
      <c r="BA632" s="30">
        <v>41.6</v>
      </c>
      <c r="BB632" s="35">
        <v>0.12966</v>
      </c>
      <c r="BD632" s="37">
        <v>1066</v>
      </c>
      <c r="BE632" s="39">
        <v>1.1499999999999999</v>
      </c>
      <c r="BF632" s="1995"/>
      <c r="BL632" s="37">
        <v>1066</v>
      </c>
      <c r="BM632" s="2059">
        <v>0.93899999999999995</v>
      </c>
      <c r="BO632" s="40">
        <v>1066</v>
      </c>
      <c r="BP632" s="41">
        <v>1.0481</v>
      </c>
    </row>
    <row r="633" spans="27:68">
      <c r="AA633" s="1994"/>
      <c r="AR633" s="30">
        <v>41.7</v>
      </c>
      <c r="AS633" s="32">
        <v>816.6</v>
      </c>
      <c r="AX633" s="30">
        <v>41.7</v>
      </c>
      <c r="AY633" s="35">
        <v>0.12753999999999999</v>
      </c>
      <c r="BA633" s="30">
        <v>41.7</v>
      </c>
      <c r="BB633" s="35">
        <v>0.12959000000000001</v>
      </c>
      <c r="BD633" s="37">
        <v>1067</v>
      </c>
      <c r="BE633" s="39">
        <v>1.03</v>
      </c>
      <c r="BF633" s="1995"/>
      <c r="BL633" s="37">
        <v>1067</v>
      </c>
      <c r="BM633" s="2059">
        <v>0.93810000000000004</v>
      </c>
      <c r="BO633" s="40">
        <v>1067</v>
      </c>
      <c r="BP633" s="41">
        <v>1.0490999999999999</v>
      </c>
    </row>
    <row r="634" spans="27:68">
      <c r="AA634" s="1994"/>
      <c r="AR634" s="30">
        <v>41.8</v>
      </c>
      <c r="AS634" s="32">
        <v>816.1</v>
      </c>
      <c r="AX634" s="30">
        <v>41.8</v>
      </c>
      <c r="AY634" s="35">
        <v>0.12747</v>
      </c>
      <c r="BA634" s="30">
        <v>41.8</v>
      </c>
      <c r="BB634" s="35">
        <v>0.12950999999999999</v>
      </c>
      <c r="BD634" s="37">
        <v>1068</v>
      </c>
      <c r="BE634" s="39">
        <v>0.91</v>
      </c>
      <c r="BF634" s="1995"/>
      <c r="BL634" s="37">
        <v>1068</v>
      </c>
      <c r="BM634" s="2059">
        <v>0.93730000000000002</v>
      </c>
      <c r="BO634" s="40">
        <v>1068</v>
      </c>
      <c r="BP634" s="41">
        <v>1.0501</v>
      </c>
    </row>
    <row r="635" spans="27:68">
      <c r="AA635" s="1994"/>
      <c r="AR635" s="30">
        <v>41.9</v>
      </c>
      <c r="AS635" s="32">
        <v>815.6</v>
      </c>
      <c r="AX635" s="30">
        <v>41.9</v>
      </c>
      <c r="AY635" s="35">
        <v>0.12739</v>
      </c>
      <c r="BA635" s="30">
        <v>41.9</v>
      </c>
      <c r="BB635" s="35">
        <v>0.12944</v>
      </c>
      <c r="BD635" s="37">
        <v>1069</v>
      </c>
      <c r="BE635" s="39">
        <v>0.78</v>
      </c>
      <c r="BF635" s="1995"/>
      <c r="BL635" s="37">
        <v>1069</v>
      </c>
      <c r="BM635" s="2059">
        <v>0.93640000000000001</v>
      </c>
      <c r="BO635" s="40">
        <v>1069</v>
      </c>
      <c r="BP635" s="41">
        <v>1.0510999999999999</v>
      </c>
    </row>
    <row r="636" spans="27:68">
      <c r="AA636" s="1994"/>
      <c r="AR636" s="30">
        <v>42</v>
      </c>
      <c r="AS636" s="32">
        <v>815.2</v>
      </c>
      <c r="AX636" s="30">
        <v>42</v>
      </c>
      <c r="AY636" s="35">
        <v>0.12731999999999999</v>
      </c>
      <c r="BA636" s="30">
        <v>42</v>
      </c>
      <c r="BB636" s="35">
        <v>0.12936</v>
      </c>
      <c r="BD636" s="37">
        <v>1070</v>
      </c>
      <c r="BE636" s="39">
        <v>0.66</v>
      </c>
      <c r="BF636" s="1995"/>
      <c r="BL636" s="37">
        <v>1070</v>
      </c>
      <c r="BM636" s="2059">
        <v>0.9355</v>
      </c>
      <c r="BO636" s="40">
        <v>1070</v>
      </c>
      <c r="BP636" s="41">
        <v>1.0521</v>
      </c>
    </row>
    <row r="637" spans="27:68">
      <c r="AA637" s="1994"/>
      <c r="AR637" s="30">
        <v>42.1</v>
      </c>
      <c r="AS637" s="32">
        <v>814.7</v>
      </c>
      <c r="AX637" s="30">
        <v>42.1</v>
      </c>
      <c r="AY637" s="35">
        <v>0.12723999999999999</v>
      </c>
      <c r="BA637" s="30">
        <v>42.1</v>
      </c>
      <c r="BB637" s="35">
        <v>0.12928999999999999</v>
      </c>
      <c r="BD637" s="37">
        <v>1071</v>
      </c>
      <c r="BE637" s="39">
        <v>0.53</v>
      </c>
      <c r="BF637" s="1995"/>
      <c r="BL637" s="37">
        <v>1071</v>
      </c>
      <c r="BM637" s="2059">
        <v>0.93459999999999999</v>
      </c>
      <c r="BO637" s="40">
        <v>1071</v>
      </c>
      <c r="BP637" s="41">
        <v>1.0529999999999999</v>
      </c>
    </row>
    <row r="638" spans="27:68">
      <c r="AA638" s="1994"/>
      <c r="AR638" s="30">
        <v>42.2</v>
      </c>
      <c r="AS638" s="32">
        <v>814.2</v>
      </c>
      <c r="AX638" s="30">
        <v>42.2</v>
      </c>
      <c r="AY638" s="35">
        <v>0.12717000000000001</v>
      </c>
      <c r="BA638" s="30">
        <v>42.2</v>
      </c>
      <c r="BB638" s="35">
        <v>0.12920999999999999</v>
      </c>
      <c r="BD638" s="37">
        <v>1072</v>
      </c>
      <c r="BE638" s="39">
        <v>0.41</v>
      </c>
      <c r="BF638" s="1995"/>
      <c r="BL638" s="37">
        <v>1072</v>
      </c>
      <c r="BM638" s="2059">
        <v>0.93379999999999996</v>
      </c>
      <c r="BO638" s="40">
        <v>1072</v>
      </c>
      <c r="BP638" s="41">
        <v>1.054</v>
      </c>
    </row>
    <row r="639" spans="27:68">
      <c r="AA639" s="1994"/>
      <c r="AR639" s="30">
        <v>42.3</v>
      </c>
      <c r="AS639" s="32">
        <v>813.8</v>
      </c>
      <c r="AX639" s="30">
        <v>42.3</v>
      </c>
      <c r="AY639" s="35">
        <v>0.12709999999999999</v>
      </c>
      <c r="BA639" s="30">
        <v>42.3</v>
      </c>
      <c r="BB639" s="35">
        <v>0.12914</v>
      </c>
      <c r="BD639" s="37">
        <v>1073</v>
      </c>
      <c r="BE639" s="39">
        <v>0.28999999999999998</v>
      </c>
      <c r="BF639" s="1995"/>
      <c r="BL639" s="37">
        <v>1073</v>
      </c>
      <c r="BM639" s="2059">
        <v>0.93289999999999995</v>
      </c>
      <c r="BO639" s="40">
        <v>1073</v>
      </c>
      <c r="BP639" s="41">
        <v>1.0549999999999999</v>
      </c>
    </row>
    <row r="640" spans="27:68">
      <c r="AA640" s="1994"/>
      <c r="AR640" s="30">
        <v>42.4</v>
      </c>
      <c r="AS640" s="32">
        <v>813.3</v>
      </c>
      <c r="AX640" s="30">
        <v>42.4</v>
      </c>
      <c r="AY640" s="35">
        <v>0.12701999999999999</v>
      </c>
      <c r="BA640" s="30">
        <v>42.4</v>
      </c>
      <c r="BB640" s="35">
        <v>0.12906000000000001</v>
      </c>
      <c r="BD640" s="37">
        <v>1074</v>
      </c>
      <c r="BE640" s="39">
        <v>0.17</v>
      </c>
      <c r="BF640" s="1995"/>
      <c r="BL640" s="37">
        <v>1074</v>
      </c>
      <c r="BM640" s="2059">
        <v>0.93200000000000005</v>
      </c>
      <c r="BO640" s="40">
        <v>1074</v>
      </c>
      <c r="BP640" s="41">
        <v>1.056</v>
      </c>
    </row>
    <row r="641" spans="27:68">
      <c r="AA641" s="1994"/>
      <c r="AR641" s="30">
        <v>42.5</v>
      </c>
      <c r="AS641" s="32">
        <v>812.8</v>
      </c>
      <c r="AX641" s="30">
        <v>42.5</v>
      </c>
      <c r="AY641" s="35">
        <v>0.12695000000000001</v>
      </c>
      <c r="BA641" s="30">
        <v>42.5</v>
      </c>
      <c r="BB641" s="35">
        <v>0.12898999999999999</v>
      </c>
      <c r="BD641" s="1726">
        <v>1075</v>
      </c>
      <c r="BE641" s="48">
        <v>0.04</v>
      </c>
      <c r="BF641" s="1995"/>
      <c r="BL641" s="1726">
        <v>1075</v>
      </c>
      <c r="BM641" s="2098">
        <v>0.93110000000000004</v>
      </c>
      <c r="BO641" s="1727">
        <v>1075</v>
      </c>
      <c r="BP641" s="51">
        <v>1.0569999999999999</v>
      </c>
    </row>
    <row r="642" spans="27:68">
      <c r="AA642" s="1994"/>
      <c r="AR642" s="30">
        <v>42.6</v>
      </c>
      <c r="AS642" s="32">
        <v>812.4</v>
      </c>
      <c r="AX642" s="30">
        <v>42.6</v>
      </c>
      <c r="AY642" s="35">
        <v>0.12687999999999999</v>
      </c>
      <c r="BA642" s="30">
        <v>42.6</v>
      </c>
      <c r="BB642" s="35">
        <v>0.12891</v>
      </c>
      <c r="BF642" s="1995"/>
    </row>
    <row r="643" spans="27:68">
      <c r="AA643" s="1994"/>
      <c r="AR643" s="30">
        <v>42.7</v>
      </c>
      <c r="AS643" s="32">
        <v>811.9</v>
      </c>
      <c r="AX643" s="30">
        <v>42.7</v>
      </c>
      <c r="AY643" s="35">
        <v>0.12681000000000001</v>
      </c>
      <c r="BA643" s="30">
        <v>42.7</v>
      </c>
      <c r="BB643" s="35">
        <v>0.12884000000000001</v>
      </c>
      <c r="BF643" s="1995"/>
    </row>
    <row r="644" spans="27:68">
      <c r="AA644" s="1994"/>
      <c r="AR644" s="30">
        <v>42.8</v>
      </c>
      <c r="AS644" s="32">
        <v>811.4</v>
      </c>
      <c r="AX644" s="30">
        <v>42.8</v>
      </c>
      <c r="AY644" s="35">
        <v>0.12673000000000001</v>
      </c>
      <c r="BA644" s="30">
        <v>42.8</v>
      </c>
      <c r="BB644" s="35">
        <v>0.12877</v>
      </c>
      <c r="BF644" s="1995"/>
    </row>
    <row r="645" spans="27:68">
      <c r="AA645" s="1994"/>
      <c r="AR645" s="30">
        <v>42.9</v>
      </c>
      <c r="AS645" s="32">
        <v>811</v>
      </c>
      <c r="AX645" s="30">
        <v>42.9</v>
      </c>
      <c r="AY645" s="35">
        <v>0.12665999999999999</v>
      </c>
      <c r="BA645" s="30">
        <v>42.9</v>
      </c>
      <c r="BB645" s="35">
        <v>0.12869</v>
      </c>
      <c r="BF645" s="1995"/>
    </row>
    <row r="646" spans="27:68">
      <c r="AA646" s="1994"/>
      <c r="AR646" s="30">
        <v>43</v>
      </c>
      <c r="AS646" s="32">
        <v>810.5</v>
      </c>
      <c r="AX646" s="30">
        <v>43</v>
      </c>
      <c r="AY646" s="35">
        <v>0.12659000000000001</v>
      </c>
      <c r="BA646" s="30">
        <v>43</v>
      </c>
      <c r="BB646" s="35">
        <v>0.12862000000000001</v>
      </c>
      <c r="BF646" s="1995"/>
    </row>
    <row r="647" spans="27:68">
      <c r="AA647" s="1994"/>
      <c r="AR647" s="30">
        <v>43.1</v>
      </c>
      <c r="AS647" s="32">
        <v>810</v>
      </c>
      <c r="AX647" s="30">
        <v>43.1</v>
      </c>
      <c r="AY647" s="35">
        <v>0.12651000000000001</v>
      </c>
      <c r="BA647" s="30">
        <v>43.1</v>
      </c>
      <c r="BB647" s="35">
        <v>0.12853999999999999</v>
      </c>
      <c r="BF647" s="1995"/>
    </row>
    <row r="648" spans="27:68">
      <c r="AA648" s="1994"/>
      <c r="AR648" s="30">
        <v>43.2</v>
      </c>
      <c r="AS648" s="32">
        <v>809.6</v>
      </c>
      <c r="AX648" s="30">
        <v>43.2</v>
      </c>
      <c r="AY648" s="35">
        <v>0.12644</v>
      </c>
      <c r="BA648" s="30">
        <v>43.2</v>
      </c>
      <c r="BB648" s="35">
        <v>0.12847</v>
      </c>
      <c r="BF648" s="1995"/>
    </row>
    <row r="649" spans="27:68">
      <c r="AA649" s="1994"/>
      <c r="AR649" s="30">
        <v>43.3</v>
      </c>
      <c r="AS649" s="32">
        <v>809.1</v>
      </c>
      <c r="AX649" s="30">
        <v>43.3</v>
      </c>
      <c r="AY649" s="35">
        <v>0.12637000000000001</v>
      </c>
      <c r="BA649" s="30">
        <v>43.3</v>
      </c>
      <c r="BB649" s="35">
        <v>0.12839999999999999</v>
      </c>
      <c r="BF649" s="1995"/>
    </row>
    <row r="650" spans="27:68">
      <c r="AA650" s="1994"/>
      <c r="AR650" s="30">
        <v>43.4</v>
      </c>
      <c r="AS650" s="32">
        <v>808.6</v>
      </c>
      <c r="AX650" s="30">
        <v>43.4</v>
      </c>
      <c r="AY650" s="35">
        <v>0.1263</v>
      </c>
      <c r="BA650" s="30">
        <v>43.4</v>
      </c>
      <c r="BB650" s="35">
        <v>0.12831999999999999</v>
      </c>
      <c r="BF650" s="1995"/>
    </row>
    <row r="651" spans="27:68">
      <c r="AA651" s="1994"/>
      <c r="AR651" s="30">
        <v>43.5</v>
      </c>
      <c r="AS651" s="32">
        <v>808.2</v>
      </c>
      <c r="AX651" s="30">
        <v>43.5</v>
      </c>
      <c r="AY651" s="35">
        <v>0.12623000000000001</v>
      </c>
      <c r="BA651" s="30">
        <v>43.5</v>
      </c>
      <c r="BB651" s="35">
        <v>0.12825</v>
      </c>
      <c r="BF651" s="1995"/>
    </row>
    <row r="652" spans="27:68">
      <c r="AA652" s="1994"/>
      <c r="AR652" s="30">
        <v>43.6</v>
      </c>
      <c r="AS652" s="32">
        <v>807.7</v>
      </c>
      <c r="AX652" s="30">
        <v>43.6</v>
      </c>
      <c r="AY652" s="35">
        <v>0.12615000000000001</v>
      </c>
      <c r="BA652" s="30">
        <v>43.6</v>
      </c>
      <c r="BB652" s="35">
        <v>0.12817999999999999</v>
      </c>
      <c r="BF652" s="1995"/>
    </row>
    <row r="653" spans="27:68">
      <c r="AA653" s="1994"/>
      <c r="AR653" s="30">
        <v>43.7</v>
      </c>
      <c r="AS653" s="32">
        <v>807.3</v>
      </c>
      <c r="AX653" s="30">
        <v>43.7</v>
      </c>
      <c r="AY653" s="35">
        <v>0.12608</v>
      </c>
      <c r="BA653" s="30">
        <v>43.7</v>
      </c>
      <c r="BB653" s="35">
        <v>0.12809999999999999</v>
      </c>
      <c r="BF653" s="1995"/>
    </row>
    <row r="654" spans="27:68">
      <c r="AA654" s="1994"/>
      <c r="AR654" s="30">
        <v>43.8</v>
      </c>
      <c r="AS654" s="32">
        <v>806.8</v>
      </c>
      <c r="AX654" s="30">
        <v>43.8</v>
      </c>
      <c r="AY654" s="35">
        <v>0.12601000000000001</v>
      </c>
      <c r="BA654" s="30">
        <v>43.8</v>
      </c>
      <c r="BB654" s="35">
        <v>0.12803</v>
      </c>
      <c r="BF654" s="1995"/>
    </row>
    <row r="655" spans="27:68">
      <c r="AA655" s="1994"/>
      <c r="AR655" s="30">
        <v>43.9</v>
      </c>
      <c r="AS655" s="32">
        <v>806.3</v>
      </c>
      <c r="AX655" s="30">
        <v>43.9</v>
      </c>
      <c r="AY655" s="35">
        <v>0.12594</v>
      </c>
      <c r="BA655" s="30">
        <v>43.9</v>
      </c>
      <c r="BB655" s="35">
        <v>0.12795999999999999</v>
      </c>
      <c r="BF655" s="1995"/>
    </row>
    <row r="656" spans="27:68">
      <c r="AA656" s="1994"/>
      <c r="AR656" s="30">
        <v>44</v>
      </c>
      <c r="AS656" s="32">
        <v>805.9</v>
      </c>
      <c r="AX656" s="30">
        <v>44</v>
      </c>
      <c r="AY656" s="35">
        <v>0.12586</v>
      </c>
      <c r="BA656" s="30">
        <v>44</v>
      </c>
      <c r="BB656" s="35">
        <v>0.12787999999999999</v>
      </c>
      <c r="BF656" s="1995"/>
    </row>
    <row r="657" spans="27:58">
      <c r="AA657" s="1994"/>
      <c r="AR657" s="30">
        <v>44.1</v>
      </c>
      <c r="AS657" s="32">
        <v>805.4</v>
      </c>
      <c r="AX657" s="30">
        <v>44.1</v>
      </c>
      <c r="AY657" s="35">
        <v>0.12579000000000001</v>
      </c>
      <c r="BA657" s="30">
        <v>44.1</v>
      </c>
      <c r="BB657" s="35">
        <v>0.12781000000000001</v>
      </c>
      <c r="BF657" s="1995"/>
    </row>
    <row r="658" spans="27:58">
      <c r="AA658" s="1994"/>
      <c r="AR658" s="30">
        <v>44.2</v>
      </c>
      <c r="AS658" s="32">
        <v>805</v>
      </c>
      <c r="AX658" s="30">
        <v>44.2</v>
      </c>
      <c r="AY658" s="35">
        <v>0.12572</v>
      </c>
      <c r="BA658" s="30">
        <v>44.2</v>
      </c>
      <c r="BB658" s="35">
        <v>0.12773999999999999</v>
      </c>
      <c r="BF658" s="1995"/>
    </row>
    <row r="659" spans="27:58">
      <c r="AA659" s="1994"/>
      <c r="AR659" s="30">
        <v>44.3</v>
      </c>
      <c r="AS659" s="32">
        <v>804.5</v>
      </c>
      <c r="AX659" s="30">
        <v>44.3</v>
      </c>
      <c r="AY659" s="35">
        <v>0.12565000000000001</v>
      </c>
      <c r="BA659" s="30">
        <v>44.3</v>
      </c>
      <c r="BB659" s="35">
        <v>0.12767000000000001</v>
      </c>
      <c r="BF659" s="1995"/>
    </row>
    <row r="660" spans="27:58">
      <c r="AA660" s="1994"/>
      <c r="AR660" s="30">
        <v>44.4</v>
      </c>
      <c r="AS660" s="32">
        <v>804.1</v>
      </c>
      <c r="AX660" s="30">
        <v>44.4</v>
      </c>
      <c r="AY660" s="35">
        <v>0.12558</v>
      </c>
      <c r="BA660" s="30">
        <v>44.4</v>
      </c>
      <c r="BB660" s="35">
        <v>0.12759000000000001</v>
      </c>
      <c r="BF660" s="1995"/>
    </row>
    <row r="661" spans="27:58">
      <c r="AA661" s="1994"/>
      <c r="AR661" s="30">
        <v>44.5</v>
      </c>
      <c r="AS661" s="32">
        <v>803.6</v>
      </c>
      <c r="AX661" s="30">
        <v>44.5</v>
      </c>
      <c r="AY661" s="35">
        <v>0.12551000000000001</v>
      </c>
      <c r="BA661" s="30">
        <v>44.5</v>
      </c>
      <c r="BB661" s="35">
        <v>0.12751999999999999</v>
      </c>
      <c r="BF661" s="1995"/>
    </row>
    <row r="662" spans="27:58">
      <c r="AA662" s="1994"/>
      <c r="AR662" s="30">
        <v>44.6</v>
      </c>
      <c r="AS662" s="32">
        <v>803.1</v>
      </c>
      <c r="AX662" s="30">
        <v>44.6</v>
      </c>
      <c r="AY662" s="35">
        <v>0.12544</v>
      </c>
      <c r="BA662" s="30">
        <v>44.6</v>
      </c>
      <c r="BB662" s="35">
        <v>0.12745000000000001</v>
      </c>
      <c r="BF662" s="1995"/>
    </row>
    <row r="663" spans="27:58">
      <c r="AA663" s="1994"/>
      <c r="AR663" s="30">
        <v>44.7</v>
      </c>
      <c r="AS663" s="32">
        <v>802.7</v>
      </c>
      <c r="AX663" s="30">
        <v>44.7</v>
      </c>
      <c r="AY663" s="35">
        <v>0.12536</v>
      </c>
      <c r="BA663" s="30">
        <v>44.7</v>
      </c>
      <c r="BB663" s="35">
        <v>0.12737999999999999</v>
      </c>
      <c r="BF663" s="1995"/>
    </row>
    <row r="664" spans="27:58">
      <c r="AA664" s="1994"/>
      <c r="AR664" s="30">
        <v>44.8</v>
      </c>
      <c r="AS664" s="32">
        <v>802.2</v>
      </c>
      <c r="AX664" s="30">
        <v>44.8</v>
      </c>
      <c r="AY664" s="35">
        <v>0.12529000000000001</v>
      </c>
      <c r="BA664" s="30">
        <v>44.8</v>
      </c>
      <c r="BB664" s="35">
        <v>0.1273</v>
      </c>
      <c r="BF664" s="1995"/>
    </row>
    <row r="665" spans="27:58">
      <c r="AA665" s="1994"/>
      <c r="AR665" s="30">
        <v>44.9</v>
      </c>
      <c r="AS665" s="32">
        <v>801.8</v>
      </c>
      <c r="AX665" s="30">
        <v>44.9</v>
      </c>
      <c r="AY665" s="35">
        <v>0.12522</v>
      </c>
      <c r="BA665" s="30">
        <v>44.9</v>
      </c>
      <c r="BB665" s="35">
        <v>0.12723000000000001</v>
      </c>
      <c r="BF665" s="1995"/>
    </row>
    <row r="666" spans="27:58">
      <c r="AA666" s="1994"/>
      <c r="AR666" s="30">
        <v>45</v>
      </c>
      <c r="AS666" s="32">
        <v>801.3</v>
      </c>
      <c r="AX666" s="30">
        <v>45</v>
      </c>
      <c r="AY666" s="35">
        <v>0.12515000000000001</v>
      </c>
      <c r="BA666" s="30">
        <v>45</v>
      </c>
      <c r="BB666" s="35">
        <v>0.12716</v>
      </c>
      <c r="BF666" s="1995"/>
    </row>
    <row r="667" spans="27:58">
      <c r="AA667" s="1994"/>
      <c r="AR667" s="30">
        <v>45.1</v>
      </c>
      <c r="AS667" s="32">
        <v>800.9</v>
      </c>
      <c r="AX667" s="30">
        <v>45.1</v>
      </c>
      <c r="AY667" s="35">
        <v>0.12508</v>
      </c>
      <c r="BA667" s="30">
        <v>45.1</v>
      </c>
      <c r="BB667" s="35">
        <v>0.12709000000000001</v>
      </c>
      <c r="BF667" s="1995"/>
    </row>
    <row r="668" spans="27:58">
      <c r="AA668" s="1994"/>
      <c r="AR668" s="30">
        <v>45.2</v>
      </c>
      <c r="AS668" s="32">
        <v>800.4</v>
      </c>
      <c r="AX668" s="30">
        <v>45.2</v>
      </c>
      <c r="AY668" s="35">
        <v>0.12501000000000001</v>
      </c>
      <c r="BA668" s="30">
        <v>45.2</v>
      </c>
      <c r="BB668" s="35">
        <v>0.12701000000000001</v>
      </c>
      <c r="BF668" s="1995"/>
    </row>
    <row r="669" spans="27:58">
      <c r="AA669" s="1994"/>
      <c r="AR669" s="30">
        <v>45.3</v>
      </c>
      <c r="AS669" s="32">
        <v>800</v>
      </c>
      <c r="AX669" s="30">
        <v>45.3</v>
      </c>
      <c r="AY669" s="35">
        <v>0.12494</v>
      </c>
      <c r="BA669" s="30">
        <v>45.3</v>
      </c>
      <c r="BB669" s="35">
        <v>0.12694</v>
      </c>
      <c r="BF669" s="1995"/>
    </row>
    <row r="670" spans="27:58">
      <c r="AA670" s="1994"/>
      <c r="AR670" s="30">
        <v>45.4</v>
      </c>
      <c r="AS670" s="32">
        <v>799.5</v>
      </c>
      <c r="AX670" s="30">
        <v>45.4</v>
      </c>
      <c r="AY670" s="35">
        <v>0.12486999999999999</v>
      </c>
      <c r="BA670" s="30">
        <v>45.4</v>
      </c>
      <c r="BB670" s="35">
        <v>0.12687000000000001</v>
      </c>
      <c r="BF670" s="1995"/>
    </row>
    <row r="671" spans="27:58">
      <c r="AA671" s="1994"/>
      <c r="AR671" s="30">
        <v>45.5</v>
      </c>
      <c r="AS671" s="32">
        <v>799.1</v>
      </c>
      <c r="AX671" s="30">
        <v>45.5</v>
      </c>
      <c r="AY671" s="35">
        <v>0.12479999999999999</v>
      </c>
      <c r="BA671" s="30">
        <v>45.5</v>
      </c>
      <c r="BB671" s="35">
        <v>0.1268</v>
      </c>
      <c r="BF671" s="1995"/>
    </row>
    <row r="672" spans="27:58">
      <c r="AA672" s="1994"/>
      <c r="AR672" s="30">
        <v>45.6</v>
      </c>
      <c r="AS672" s="32">
        <v>798.6</v>
      </c>
      <c r="AX672" s="30">
        <v>45.6</v>
      </c>
      <c r="AY672" s="35">
        <v>0.12472999999999999</v>
      </c>
      <c r="BA672" s="30">
        <v>45.6</v>
      </c>
      <c r="BB672" s="35">
        <v>0.12673000000000001</v>
      </c>
      <c r="BF672" s="1995"/>
    </row>
    <row r="673" spans="27:58">
      <c r="AA673" s="1994"/>
      <c r="AR673" s="30">
        <v>45.7</v>
      </c>
      <c r="AS673" s="32">
        <v>798.2</v>
      </c>
      <c r="AX673" s="30">
        <v>45.7</v>
      </c>
      <c r="AY673" s="35">
        <v>0.12466000000000001</v>
      </c>
      <c r="BA673" s="30">
        <v>45.7</v>
      </c>
      <c r="BB673" s="35">
        <v>0.12665999999999999</v>
      </c>
      <c r="BF673" s="1995"/>
    </row>
    <row r="674" spans="27:58">
      <c r="AA674" s="1994"/>
      <c r="AR674" s="30">
        <v>45.8</v>
      </c>
      <c r="AS674" s="32">
        <v>797.7</v>
      </c>
      <c r="AX674" s="30">
        <v>45.8</v>
      </c>
      <c r="AY674" s="35">
        <v>0.12459000000000001</v>
      </c>
      <c r="BA674" s="30">
        <v>45.8</v>
      </c>
      <c r="BB674" s="35">
        <v>0.12658</v>
      </c>
      <c r="BF674" s="1995"/>
    </row>
    <row r="675" spans="27:58">
      <c r="AA675" s="1994"/>
      <c r="AR675" s="30">
        <v>45.9</v>
      </c>
      <c r="AS675" s="32">
        <v>797.3</v>
      </c>
      <c r="AX675" s="30">
        <v>45.9</v>
      </c>
      <c r="AY675" s="35">
        <v>0.12451</v>
      </c>
      <c r="BA675" s="30">
        <v>45.9</v>
      </c>
      <c r="BB675" s="35">
        <v>0.12651000000000001</v>
      </c>
      <c r="BF675" s="1995"/>
    </row>
    <row r="676" spans="27:58">
      <c r="AA676" s="1994"/>
      <c r="AR676" s="30">
        <v>46</v>
      </c>
      <c r="AS676" s="32">
        <v>796.8</v>
      </c>
      <c r="AX676" s="30">
        <v>46</v>
      </c>
      <c r="AY676" s="35">
        <v>0.12444</v>
      </c>
      <c r="BA676" s="30">
        <v>46</v>
      </c>
      <c r="BB676" s="35">
        <v>0.12644</v>
      </c>
      <c r="BF676" s="1995"/>
    </row>
    <row r="677" spans="27:58">
      <c r="AA677" s="1994"/>
      <c r="AR677" s="30">
        <v>46.1</v>
      </c>
      <c r="AS677" s="32">
        <v>796.4</v>
      </c>
      <c r="AX677" s="30">
        <v>46.1</v>
      </c>
      <c r="AY677" s="35">
        <v>0.12436999999999999</v>
      </c>
      <c r="BA677" s="30">
        <v>46.1</v>
      </c>
      <c r="BB677" s="35">
        <v>0.12637000000000001</v>
      </c>
      <c r="BF677" s="1995"/>
    </row>
    <row r="678" spans="27:58">
      <c r="AA678" s="1994"/>
      <c r="AR678" s="30">
        <v>46.2</v>
      </c>
      <c r="AS678" s="32">
        <v>795.9</v>
      </c>
      <c r="AX678" s="30">
        <v>46.2</v>
      </c>
      <c r="AY678" s="35">
        <v>0.12429999999999999</v>
      </c>
      <c r="BA678" s="30">
        <v>46.2</v>
      </c>
      <c r="BB678" s="35">
        <v>0.1263</v>
      </c>
      <c r="BF678" s="1995"/>
    </row>
    <row r="679" spans="27:58">
      <c r="AA679" s="1994"/>
      <c r="AR679" s="30">
        <v>46.3</v>
      </c>
      <c r="AS679" s="32">
        <v>795.5</v>
      </c>
      <c r="AX679" s="30">
        <v>46.3</v>
      </c>
      <c r="AY679" s="35">
        <v>0.12422999999999999</v>
      </c>
      <c r="BA679" s="30">
        <v>46.3</v>
      </c>
      <c r="BB679" s="35">
        <v>0.12623000000000001</v>
      </c>
      <c r="BF679" s="1995"/>
    </row>
    <row r="680" spans="27:58">
      <c r="AA680" s="1994"/>
      <c r="AR680" s="30">
        <v>46.4</v>
      </c>
      <c r="AS680" s="32">
        <v>795</v>
      </c>
      <c r="AX680" s="30">
        <v>46.4</v>
      </c>
      <c r="AY680" s="35">
        <v>0.12416000000000001</v>
      </c>
      <c r="BA680" s="30">
        <v>46.4</v>
      </c>
      <c r="BB680" s="35">
        <v>0.12615999999999999</v>
      </c>
      <c r="BF680" s="1995"/>
    </row>
    <row r="681" spans="27:58">
      <c r="AA681" s="1994"/>
      <c r="AR681" s="30">
        <v>46.5</v>
      </c>
      <c r="AS681" s="32">
        <v>794.6</v>
      </c>
      <c r="AX681" s="30">
        <v>46.5</v>
      </c>
      <c r="AY681" s="35">
        <v>0.12409000000000001</v>
      </c>
      <c r="BA681" s="30">
        <v>46.5</v>
      </c>
      <c r="BB681" s="35">
        <v>0.12609000000000001</v>
      </c>
      <c r="BF681" s="1995"/>
    </row>
    <row r="682" spans="27:58">
      <c r="AA682" s="1994"/>
      <c r="AR682" s="30">
        <v>46.6</v>
      </c>
      <c r="AS682" s="32">
        <v>794.1</v>
      </c>
      <c r="AX682" s="30">
        <v>46.6</v>
      </c>
      <c r="AY682" s="35">
        <v>0.12402000000000001</v>
      </c>
      <c r="BA682" s="30">
        <v>46.6</v>
      </c>
      <c r="BB682" s="35">
        <v>0.12601000000000001</v>
      </c>
      <c r="BF682" s="1995"/>
    </row>
    <row r="683" spans="27:58">
      <c r="AA683" s="1994"/>
      <c r="AR683" s="30">
        <v>46.7</v>
      </c>
      <c r="AS683" s="32">
        <v>793.7</v>
      </c>
      <c r="AX683" s="30">
        <v>46.7</v>
      </c>
      <c r="AY683" s="35">
        <v>0.12396</v>
      </c>
      <c r="BA683" s="30">
        <v>46.7</v>
      </c>
      <c r="BB683" s="35">
        <v>0.12594</v>
      </c>
      <c r="BF683" s="1995"/>
    </row>
    <row r="684" spans="27:58">
      <c r="AA684" s="1994"/>
      <c r="AR684" s="30">
        <v>46.8</v>
      </c>
      <c r="AS684" s="32">
        <v>793.2</v>
      </c>
      <c r="AX684" s="30">
        <v>46.8</v>
      </c>
      <c r="AY684" s="35">
        <v>0.12389</v>
      </c>
      <c r="BA684" s="30">
        <v>46.8</v>
      </c>
      <c r="BB684" s="35">
        <v>0.12587000000000001</v>
      </c>
      <c r="BF684" s="1995"/>
    </row>
    <row r="685" spans="27:58">
      <c r="AA685" s="1994"/>
      <c r="AR685" s="30">
        <v>46.9</v>
      </c>
      <c r="AS685" s="32">
        <v>792.8</v>
      </c>
      <c r="AX685" s="30">
        <v>46.9</v>
      </c>
      <c r="AY685" s="35">
        <v>0.12382</v>
      </c>
      <c r="BA685" s="30">
        <v>46.9</v>
      </c>
      <c r="BB685" s="35">
        <v>0.1258</v>
      </c>
      <c r="BF685" s="1995"/>
    </row>
    <row r="686" spans="27:58">
      <c r="AA686" s="1994"/>
      <c r="AR686" s="30">
        <v>47</v>
      </c>
      <c r="AS686" s="32">
        <v>792.4</v>
      </c>
      <c r="AX686" s="30">
        <v>47</v>
      </c>
      <c r="AY686" s="35">
        <v>0.12375</v>
      </c>
      <c r="BA686" s="30">
        <v>47</v>
      </c>
      <c r="BB686" s="35">
        <v>0.12573000000000001</v>
      </c>
      <c r="BF686" s="1995"/>
    </row>
    <row r="687" spans="27:58">
      <c r="AA687" s="1994"/>
      <c r="AR687" s="30">
        <v>47.1</v>
      </c>
      <c r="AS687" s="32">
        <v>791.9</v>
      </c>
      <c r="AX687" s="30">
        <v>47.1</v>
      </c>
      <c r="AY687" s="35">
        <v>0.12368</v>
      </c>
      <c r="BA687" s="30">
        <v>47.1</v>
      </c>
      <c r="BB687" s="35">
        <v>0.12565999999999999</v>
      </c>
      <c r="BF687" s="1995"/>
    </row>
    <row r="688" spans="27:58">
      <c r="AA688" s="1994"/>
      <c r="AR688" s="30">
        <v>47.2</v>
      </c>
      <c r="AS688" s="32">
        <v>791.5</v>
      </c>
      <c r="AX688" s="30">
        <v>47.2</v>
      </c>
      <c r="AY688" s="35">
        <v>0.12361</v>
      </c>
      <c r="BA688" s="30">
        <v>47.2</v>
      </c>
      <c r="BB688" s="35">
        <v>0.12559000000000001</v>
      </c>
      <c r="BF688" s="1995"/>
    </row>
    <row r="689" spans="27:58">
      <c r="AA689" s="1994"/>
      <c r="AR689" s="30">
        <v>47.3</v>
      </c>
      <c r="AS689" s="32">
        <v>791</v>
      </c>
      <c r="AX689" s="30">
        <v>47.3</v>
      </c>
      <c r="AY689" s="35">
        <v>0.12354</v>
      </c>
      <c r="BA689" s="30">
        <v>47.3</v>
      </c>
      <c r="BB689" s="35">
        <v>0.12551999999999999</v>
      </c>
      <c r="BF689" s="1995"/>
    </row>
    <row r="690" spans="27:58">
      <c r="AA690" s="1994"/>
      <c r="AR690" s="30">
        <v>47.4</v>
      </c>
      <c r="AS690" s="32">
        <v>790.6</v>
      </c>
      <c r="AX690" s="30">
        <v>47.4</v>
      </c>
      <c r="AY690" s="35">
        <v>0.12347</v>
      </c>
      <c r="BA690" s="30">
        <v>47.4</v>
      </c>
      <c r="BB690" s="35">
        <v>0.12545000000000001</v>
      </c>
      <c r="BF690" s="1995"/>
    </row>
    <row r="691" spans="27:58">
      <c r="AA691" s="1994"/>
      <c r="AR691" s="30">
        <v>47.5</v>
      </c>
      <c r="AS691" s="32">
        <v>790.1</v>
      </c>
      <c r="AX691" s="30">
        <v>47.5</v>
      </c>
      <c r="AY691" s="35">
        <v>0.1234</v>
      </c>
      <c r="BA691" s="30">
        <v>47.5</v>
      </c>
      <c r="BB691" s="35">
        <v>0.12537999999999999</v>
      </c>
      <c r="BF691" s="1995"/>
    </row>
    <row r="692" spans="27:58">
      <c r="AA692" s="1994"/>
      <c r="AR692" s="30">
        <v>47.6</v>
      </c>
      <c r="AS692" s="32">
        <v>789.7</v>
      </c>
      <c r="AX692" s="30">
        <v>47.6</v>
      </c>
      <c r="AY692" s="35">
        <v>0.12333</v>
      </c>
      <c r="BA692" s="30">
        <v>47.6</v>
      </c>
      <c r="BB692" s="35">
        <v>0.12531</v>
      </c>
      <c r="BF692" s="1995"/>
    </row>
    <row r="693" spans="27:58">
      <c r="AA693" s="1994"/>
      <c r="AR693" s="30">
        <v>47.7</v>
      </c>
      <c r="AS693" s="32">
        <v>789.3</v>
      </c>
      <c r="AX693" s="30">
        <v>47.7</v>
      </c>
      <c r="AY693" s="35">
        <v>0.12325999999999999</v>
      </c>
      <c r="BA693" s="30">
        <v>47.7</v>
      </c>
      <c r="BB693" s="35">
        <v>0.12523999999999999</v>
      </c>
      <c r="BF693" s="1995"/>
    </row>
    <row r="694" spans="27:58">
      <c r="AA694" s="1994"/>
      <c r="AR694" s="30">
        <v>47.8</v>
      </c>
      <c r="AS694" s="32">
        <v>788.8</v>
      </c>
      <c r="AX694" s="30">
        <v>47.8</v>
      </c>
      <c r="AY694" s="35">
        <v>0.12318999999999999</v>
      </c>
      <c r="BA694" s="30">
        <v>47.8</v>
      </c>
      <c r="BB694" s="35">
        <v>0.12517</v>
      </c>
      <c r="BF694" s="1995"/>
    </row>
    <row r="695" spans="27:58">
      <c r="AA695" s="1994"/>
      <c r="AR695" s="30">
        <v>47.9</v>
      </c>
      <c r="AS695" s="32">
        <v>788.4</v>
      </c>
      <c r="AX695" s="30">
        <v>47.9</v>
      </c>
      <c r="AY695" s="35">
        <v>0.12311999999999999</v>
      </c>
      <c r="BA695" s="30">
        <v>47.9</v>
      </c>
      <c r="BB695" s="35">
        <v>0.12509999999999999</v>
      </c>
      <c r="BF695" s="1995"/>
    </row>
    <row r="696" spans="27:58">
      <c r="AA696" s="1994"/>
      <c r="AR696" s="30">
        <v>48</v>
      </c>
      <c r="AS696" s="32">
        <v>787.9</v>
      </c>
      <c r="AX696" s="30">
        <v>48</v>
      </c>
      <c r="AY696" s="35">
        <v>0.12306</v>
      </c>
      <c r="BA696" s="30">
        <v>48</v>
      </c>
      <c r="BB696" s="35">
        <v>0.12503</v>
      </c>
      <c r="BF696" s="1995"/>
    </row>
    <row r="697" spans="27:58">
      <c r="AA697" s="1994"/>
      <c r="AR697" s="30">
        <v>48.1</v>
      </c>
      <c r="AS697" s="32">
        <v>787.5</v>
      </c>
      <c r="AX697" s="30">
        <v>48.1</v>
      </c>
      <c r="AY697" s="35">
        <v>0.12299</v>
      </c>
      <c r="BA697" s="30">
        <v>48.1</v>
      </c>
      <c r="BB697" s="35">
        <v>0.12496</v>
      </c>
      <c r="BF697" s="1995"/>
    </row>
    <row r="698" spans="27:58">
      <c r="AA698" s="1994"/>
      <c r="AR698" s="30">
        <v>48.2</v>
      </c>
      <c r="AS698" s="32">
        <v>787.13</v>
      </c>
      <c r="AX698" s="30">
        <v>48.2</v>
      </c>
      <c r="AY698" s="35">
        <v>0.12292</v>
      </c>
      <c r="BA698" s="30">
        <v>48.2</v>
      </c>
      <c r="BB698" s="35">
        <v>0.12489</v>
      </c>
      <c r="BF698" s="1995"/>
    </row>
    <row r="699" spans="27:58">
      <c r="AA699" s="1994"/>
      <c r="AR699" s="30">
        <v>48.3</v>
      </c>
      <c r="AS699" s="32">
        <v>786.6</v>
      </c>
      <c r="AX699" s="30">
        <v>48.3</v>
      </c>
      <c r="AY699" s="35">
        <v>0.12285</v>
      </c>
      <c r="BA699" s="30">
        <v>48.3</v>
      </c>
      <c r="BB699" s="35">
        <v>0.12482</v>
      </c>
      <c r="BF699" s="1995"/>
    </row>
    <row r="700" spans="27:58">
      <c r="AA700" s="1994"/>
      <c r="AR700" s="30">
        <v>48.4</v>
      </c>
      <c r="AS700" s="32">
        <v>786.2</v>
      </c>
      <c r="AX700" s="30">
        <v>48.4</v>
      </c>
      <c r="AY700" s="35">
        <v>0.12278</v>
      </c>
      <c r="BA700" s="30">
        <v>48.4</v>
      </c>
      <c r="BB700" s="35">
        <v>0.12475</v>
      </c>
      <c r="BF700" s="1995"/>
    </row>
    <row r="701" spans="27:58">
      <c r="AA701" s="1994"/>
      <c r="AR701" s="30">
        <v>48.5</v>
      </c>
      <c r="AS701" s="32">
        <v>785.8</v>
      </c>
      <c r="AX701" s="30">
        <v>48.5</v>
      </c>
      <c r="AY701" s="35">
        <v>0.12271</v>
      </c>
      <c r="BA701" s="30">
        <v>48.5</v>
      </c>
      <c r="BB701" s="35">
        <v>0.12468</v>
      </c>
      <c r="BF701" s="1995"/>
    </row>
    <row r="702" spans="27:58">
      <c r="AA702" s="1994"/>
      <c r="AR702" s="30">
        <v>48.6</v>
      </c>
      <c r="AS702" s="32">
        <v>785.3</v>
      </c>
      <c r="AX702" s="30">
        <v>48.6</v>
      </c>
      <c r="AY702" s="35">
        <v>0.12265</v>
      </c>
      <c r="BA702" s="30">
        <v>48.6</v>
      </c>
      <c r="BB702" s="35">
        <v>0.12461</v>
      </c>
      <c r="BF702" s="1995"/>
    </row>
    <row r="703" spans="27:58">
      <c r="AA703" s="1994"/>
      <c r="AR703" s="30">
        <v>48.7</v>
      </c>
      <c r="AS703" s="32">
        <v>784.9</v>
      </c>
      <c r="AX703" s="30">
        <v>48.7</v>
      </c>
      <c r="AY703" s="35">
        <v>0.12257999999999999</v>
      </c>
      <c r="BA703" s="30">
        <v>48.7</v>
      </c>
      <c r="BB703" s="35">
        <v>0.12454</v>
      </c>
      <c r="BF703" s="1995"/>
    </row>
    <row r="704" spans="27:58">
      <c r="AA704" s="1994"/>
      <c r="AR704" s="30">
        <v>48.8</v>
      </c>
      <c r="AS704" s="32">
        <v>784.5</v>
      </c>
      <c r="AX704" s="30">
        <v>48.8</v>
      </c>
      <c r="AY704" s="35">
        <v>0.12250999999999999</v>
      </c>
      <c r="BA704" s="30">
        <v>48.8</v>
      </c>
      <c r="BB704" s="35">
        <v>0.12447999999999999</v>
      </c>
      <c r="BF704" s="1995"/>
    </row>
    <row r="705" spans="27:58">
      <c r="AA705" s="1994"/>
      <c r="AR705" s="30">
        <v>48.9</v>
      </c>
      <c r="AS705" s="32">
        <v>784</v>
      </c>
      <c r="AX705" s="30">
        <v>48.9</v>
      </c>
      <c r="AY705" s="35">
        <v>0.12243999999999999</v>
      </c>
      <c r="BA705" s="30">
        <v>48.9</v>
      </c>
      <c r="BB705" s="35">
        <v>0.12441000000000001</v>
      </c>
      <c r="BF705" s="1995"/>
    </row>
    <row r="706" spans="27:58">
      <c r="AA706" s="1994"/>
      <c r="AR706" s="30">
        <v>49</v>
      </c>
      <c r="AS706" s="32">
        <v>783.6</v>
      </c>
      <c r="AX706" s="30">
        <v>49</v>
      </c>
      <c r="AY706" s="35">
        <v>0.12237000000000001</v>
      </c>
      <c r="BA706" s="30">
        <v>49</v>
      </c>
      <c r="BB706" s="35">
        <v>0.12434000000000001</v>
      </c>
      <c r="BF706" s="1995"/>
    </row>
    <row r="707" spans="27:58">
      <c r="AA707" s="1994"/>
      <c r="AR707" s="30">
        <v>49.1</v>
      </c>
      <c r="AS707" s="32">
        <v>783.2</v>
      </c>
      <c r="AX707" s="30">
        <v>49.1</v>
      </c>
      <c r="AY707" s="35">
        <v>0.12231</v>
      </c>
      <c r="BA707" s="30">
        <v>49.1</v>
      </c>
      <c r="BB707" s="35">
        <v>0.12427000000000001</v>
      </c>
      <c r="BF707" s="1995"/>
    </row>
    <row r="708" spans="27:58">
      <c r="AA708" s="1994"/>
      <c r="AR708" s="30">
        <v>49.2</v>
      </c>
      <c r="AS708" s="32">
        <v>782.7</v>
      </c>
      <c r="AX708" s="30">
        <v>49.2</v>
      </c>
      <c r="AY708" s="35">
        <v>0.12224</v>
      </c>
      <c r="BA708" s="30">
        <v>49.2</v>
      </c>
      <c r="BB708" s="35">
        <v>0.1242</v>
      </c>
      <c r="BF708" s="1995"/>
    </row>
    <row r="709" spans="27:58">
      <c r="AA709" s="1994"/>
      <c r="AR709" s="30">
        <v>49.3</v>
      </c>
      <c r="AS709" s="32">
        <v>782.3</v>
      </c>
      <c r="AX709" s="30">
        <v>49.3</v>
      </c>
      <c r="AY709" s="35">
        <v>0.12217</v>
      </c>
      <c r="BA709" s="30">
        <v>49.3</v>
      </c>
      <c r="BB709" s="35">
        <v>0.12413</v>
      </c>
      <c r="BF709" s="1995"/>
    </row>
    <row r="710" spans="27:58">
      <c r="AA710" s="1994"/>
      <c r="AR710" s="30">
        <v>49.4</v>
      </c>
      <c r="AS710" s="32">
        <v>781.9</v>
      </c>
      <c r="AX710" s="30">
        <v>49.4</v>
      </c>
      <c r="AY710" s="35">
        <v>0.1221</v>
      </c>
      <c r="BA710" s="30">
        <v>49.4</v>
      </c>
      <c r="BB710" s="35">
        <v>0.12406</v>
      </c>
      <c r="BF710" s="1995"/>
    </row>
    <row r="711" spans="27:58">
      <c r="AA711" s="1994"/>
      <c r="AR711" s="30">
        <v>49.5</v>
      </c>
      <c r="AS711" s="32">
        <v>781.4</v>
      </c>
      <c r="AX711" s="30">
        <v>49.5</v>
      </c>
      <c r="AY711" s="35">
        <v>0.12203</v>
      </c>
      <c r="BA711" s="30">
        <v>49.5</v>
      </c>
      <c r="BB711" s="35">
        <v>0.12399</v>
      </c>
      <c r="BF711" s="1995"/>
    </row>
    <row r="712" spans="27:58">
      <c r="AA712" s="1994"/>
      <c r="AR712" s="30">
        <v>49.6</v>
      </c>
      <c r="AS712" s="32">
        <v>781</v>
      </c>
      <c r="AX712" s="30">
        <v>49.6</v>
      </c>
      <c r="AY712" s="35">
        <v>0.12197</v>
      </c>
      <c r="BA712" s="30">
        <v>49.6</v>
      </c>
      <c r="BB712" s="35">
        <v>0.12392</v>
      </c>
      <c r="BF712" s="1995"/>
    </row>
    <row r="713" spans="27:58">
      <c r="AA713" s="1994"/>
      <c r="AR713" s="30">
        <v>49.7</v>
      </c>
      <c r="AS713" s="32">
        <v>780.6</v>
      </c>
      <c r="AX713" s="30">
        <v>49.7</v>
      </c>
      <c r="AY713" s="35">
        <v>0.12189999999999999</v>
      </c>
      <c r="BA713" s="30">
        <v>49.7</v>
      </c>
      <c r="BB713" s="35">
        <v>0.12386</v>
      </c>
      <c r="BF713" s="1995"/>
    </row>
    <row r="714" spans="27:58">
      <c r="AA714" s="1994"/>
      <c r="AR714" s="30">
        <v>49.8</v>
      </c>
      <c r="AS714" s="32">
        <v>780.2</v>
      </c>
      <c r="AX714" s="30">
        <v>49.8</v>
      </c>
      <c r="AY714" s="35">
        <v>0.12182999999999999</v>
      </c>
      <c r="BA714" s="30">
        <v>49.8</v>
      </c>
      <c r="BB714" s="35">
        <v>0.12379</v>
      </c>
      <c r="BF714" s="1995"/>
    </row>
    <row r="715" spans="27:58">
      <c r="AA715" s="1994"/>
      <c r="AR715" s="30">
        <v>49.9</v>
      </c>
      <c r="AS715" s="32">
        <v>779.7</v>
      </c>
      <c r="AX715" s="30">
        <v>49.9</v>
      </c>
      <c r="AY715" s="35">
        <v>0.12177</v>
      </c>
      <c r="BA715" s="30">
        <v>49.9</v>
      </c>
      <c r="BB715" s="35">
        <v>0.12372</v>
      </c>
      <c r="BF715" s="1995"/>
    </row>
    <row r="716" spans="27:58">
      <c r="AA716" s="1994"/>
      <c r="AR716" s="30">
        <v>50</v>
      </c>
      <c r="AS716" s="32">
        <v>779.3</v>
      </c>
      <c r="AX716" s="30">
        <v>50</v>
      </c>
      <c r="AY716" s="35">
        <v>0.1217</v>
      </c>
      <c r="BA716" s="30">
        <v>50</v>
      </c>
      <c r="BB716" s="35">
        <v>0.12365</v>
      </c>
      <c r="BF716" s="1995"/>
    </row>
    <row r="717" spans="27:58">
      <c r="AA717" s="1994"/>
      <c r="AR717" s="30">
        <v>50.1</v>
      </c>
      <c r="AS717" s="32">
        <v>778.9</v>
      </c>
      <c r="AX717" s="30">
        <v>50.1</v>
      </c>
      <c r="AY717" s="35">
        <v>0.12163</v>
      </c>
      <c r="BA717" s="30">
        <v>50.1</v>
      </c>
      <c r="BB717" s="35">
        <v>0.12358</v>
      </c>
      <c r="BF717" s="1995"/>
    </row>
    <row r="718" spans="27:58">
      <c r="AA718" s="1994"/>
      <c r="AR718" s="30">
        <v>50.2</v>
      </c>
      <c r="AS718" s="32">
        <v>778.4</v>
      </c>
      <c r="AX718" s="30">
        <v>50.2</v>
      </c>
      <c r="AY718" s="35">
        <v>0.12156</v>
      </c>
      <c r="BA718" s="30">
        <v>50.2</v>
      </c>
      <c r="BB718" s="35">
        <v>0.12350999999999999</v>
      </c>
      <c r="BF718" s="1995"/>
    </row>
    <row r="719" spans="27:58">
      <c r="AA719" s="1994"/>
      <c r="AR719" s="30">
        <v>50.3</v>
      </c>
      <c r="AS719" s="32">
        <v>778</v>
      </c>
      <c r="AX719" s="30">
        <v>50.3</v>
      </c>
      <c r="AY719" s="35">
        <v>0.1215</v>
      </c>
      <c r="BA719" s="30">
        <v>50.3</v>
      </c>
      <c r="BB719" s="35">
        <v>0.12345</v>
      </c>
      <c r="BF719" s="1995"/>
    </row>
    <row r="720" spans="27:58">
      <c r="AA720" s="1994"/>
      <c r="AR720" s="30">
        <v>50.4</v>
      </c>
      <c r="AS720" s="32">
        <v>777.6</v>
      </c>
      <c r="AX720" s="30">
        <v>50.4</v>
      </c>
      <c r="AY720" s="35">
        <v>0.12143</v>
      </c>
      <c r="BA720" s="30">
        <v>50.4</v>
      </c>
      <c r="BB720" s="35">
        <v>0.12338</v>
      </c>
      <c r="BF720" s="1995"/>
    </row>
    <row r="721" spans="27:58">
      <c r="AA721" s="1994"/>
      <c r="AR721" s="30">
        <v>50.5</v>
      </c>
      <c r="AS721" s="32">
        <v>777.2</v>
      </c>
      <c r="AX721" s="30">
        <v>50.5</v>
      </c>
      <c r="AY721" s="35">
        <v>0.12136</v>
      </c>
      <c r="BA721" s="30">
        <v>50.5</v>
      </c>
      <c r="BB721" s="35">
        <v>0.12331</v>
      </c>
      <c r="BF721" s="1995"/>
    </row>
    <row r="722" spans="27:58">
      <c r="AA722" s="1994"/>
      <c r="AR722" s="30">
        <v>50.6</v>
      </c>
      <c r="AS722" s="32">
        <v>776.7</v>
      </c>
      <c r="AX722" s="30">
        <v>50.6</v>
      </c>
      <c r="AY722" s="35">
        <v>0.12130000000000001</v>
      </c>
      <c r="BA722" s="30">
        <v>50.6</v>
      </c>
      <c r="BB722" s="35">
        <v>0.12324</v>
      </c>
      <c r="BF722" s="1995"/>
    </row>
    <row r="723" spans="27:58">
      <c r="AA723" s="1994"/>
      <c r="AR723" s="30">
        <v>50.7</v>
      </c>
      <c r="AS723" s="32">
        <v>776.3</v>
      </c>
      <c r="AX723" s="30">
        <v>50.7</v>
      </c>
      <c r="AY723" s="35">
        <v>0.12123</v>
      </c>
      <c r="BA723" s="30">
        <v>50.7</v>
      </c>
      <c r="BB723" s="35">
        <v>0.12317</v>
      </c>
      <c r="BF723" s="1995"/>
    </row>
    <row r="724" spans="27:58">
      <c r="AA724" s="1994"/>
      <c r="AR724" s="30">
        <v>50.8</v>
      </c>
      <c r="AS724" s="32">
        <v>775.9</v>
      </c>
      <c r="AX724" s="30">
        <v>50.8</v>
      </c>
      <c r="AY724" s="35">
        <v>0.12116</v>
      </c>
      <c r="BA724" s="30">
        <v>50.8</v>
      </c>
      <c r="BB724" s="35">
        <v>0.12311</v>
      </c>
      <c r="BF724" s="1995"/>
    </row>
    <row r="725" spans="27:58">
      <c r="AA725" s="1994"/>
      <c r="AR725" s="30">
        <v>50.9</v>
      </c>
      <c r="AS725" s="32">
        <v>775.5</v>
      </c>
      <c r="AX725" s="30">
        <v>50.9</v>
      </c>
      <c r="AY725" s="35">
        <v>0.1211</v>
      </c>
      <c r="BA725" s="30">
        <v>50.9</v>
      </c>
      <c r="BB725" s="35">
        <v>0.12304</v>
      </c>
      <c r="BF725" s="1995"/>
    </row>
    <row r="726" spans="27:58">
      <c r="AA726" s="1994"/>
      <c r="AR726" s="30">
        <v>51</v>
      </c>
      <c r="AS726" s="32">
        <v>775.1</v>
      </c>
      <c r="AX726" s="30">
        <v>51</v>
      </c>
      <c r="AY726" s="35">
        <v>0.12103</v>
      </c>
      <c r="BA726" s="30">
        <v>51</v>
      </c>
      <c r="BB726" s="35">
        <v>0.12297</v>
      </c>
      <c r="BF726" s="1995"/>
    </row>
    <row r="727" spans="27:58">
      <c r="AA727" s="1994"/>
      <c r="AR727" s="30">
        <v>51.1</v>
      </c>
      <c r="AS727" s="32">
        <v>774.6</v>
      </c>
      <c r="AX727" s="30">
        <v>51.1</v>
      </c>
      <c r="AY727" s="35">
        <v>0.12096</v>
      </c>
      <c r="BA727" s="30">
        <v>51.1</v>
      </c>
      <c r="BB727" s="35">
        <v>0.1229</v>
      </c>
      <c r="BF727" s="1995"/>
    </row>
    <row r="728" spans="27:58">
      <c r="AA728" s="1994"/>
      <c r="AR728" s="30">
        <v>51.2</v>
      </c>
      <c r="AS728" s="32">
        <v>774.2</v>
      </c>
      <c r="AX728" s="30">
        <v>51.2</v>
      </c>
      <c r="AY728" s="35">
        <v>0.12089999999999999</v>
      </c>
      <c r="BA728" s="30">
        <v>51.2</v>
      </c>
      <c r="BB728" s="35">
        <v>0.12284</v>
      </c>
      <c r="BF728" s="1995"/>
    </row>
    <row r="729" spans="27:58">
      <c r="AA729" s="1994"/>
      <c r="AR729" s="30">
        <v>51.3</v>
      </c>
      <c r="AS729" s="32">
        <v>773.8</v>
      </c>
      <c r="AX729" s="30">
        <v>51.3</v>
      </c>
      <c r="AY729" s="35">
        <v>0.12083000000000001</v>
      </c>
      <c r="BA729" s="30">
        <v>51.3</v>
      </c>
      <c r="BB729" s="35">
        <v>0.12277</v>
      </c>
      <c r="BF729" s="1995"/>
    </row>
    <row r="730" spans="27:58">
      <c r="AA730" s="1994"/>
      <c r="AR730" s="30">
        <v>51.4</v>
      </c>
      <c r="AS730" s="32">
        <v>773.4</v>
      </c>
      <c r="AX730" s="30">
        <v>51.4</v>
      </c>
      <c r="AY730" s="35">
        <v>0.12076000000000001</v>
      </c>
      <c r="BA730" s="30">
        <v>51.4</v>
      </c>
      <c r="BB730" s="35">
        <v>0.1227</v>
      </c>
      <c r="BF730" s="1995"/>
    </row>
    <row r="731" spans="27:58">
      <c r="AA731" s="1994"/>
      <c r="AR731" s="30">
        <v>51.5</v>
      </c>
      <c r="AS731" s="32">
        <v>772.9</v>
      </c>
      <c r="AX731" s="30">
        <v>51.5</v>
      </c>
      <c r="AY731" s="35">
        <v>0.1207</v>
      </c>
      <c r="BA731" s="30">
        <v>51.5</v>
      </c>
      <c r="BB731" s="35">
        <v>0.12264</v>
      </c>
      <c r="BF731" s="1995"/>
    </row>
    <row r="732" spans="27:58">
      <c r="AA732" s="1994"/>
      <c r="AR732" s="30">
        <v>51.6</v>
      </c>
      <c r="AS732" s="32">
        <v>772.5</v>
      </c>
      <c r="AX732" s="30">
        <v>51.6</v>
      </c>
      <c r="AY732" s="35">
        <v>0.12063</v>
      </c>
      <c r="BA732" s="30">
        <v>51.6</v>
      </c>
      <c r="BB732" s="35">
        <v>0.12257</v>
      </c>
      <c r="BF732" s="1995"/>
    </row>
    <row r="733" spans="27:58">
      <c r="AA733" s="1994"/>
      <c r="AR733" s="30">
        <v>51.7</v>
      </c>
      <c r="AS733" s="32">
        <v>772.1</v>
      </c>
      <c r="AX733" s="30">
        <v>51.7</v>
      </c>
      <c r="AY733" s="35">
        <v>0.12057</v>
      </c>
      <c r="BA733" s="30">
        <v>51.7</v>
      </c>
      <c r="BB733" s="35">
        <v>0.1225</v>
      </c>
      <c r="BF733" s="1995"/>
    </row>
    <row r="734" spans="27:58">
      <c r="AA734" s="1994"/>
      <c r="AR734" s="30">
        <v>51.8</v>
      </c>
      <c r="AS734" s="32">
        <v>771.7</v>
      </c>
      <c r="AX734" s="30">
        <v>51.8</v>
      </c>
      <c r="AY734" s="35">
        <v>0.1205</v>
      </c>
      <c r="BA734" s="30">
        <v>51.8</v>
      </c>
      <c r="BB734" s="35">
        <v>0.12243</v>
      </c>
      <c r="BF734" s="1995"/>
    </row>
    <row r="735" spans="27:58">
      <c r="AA735" s="1994"/>
      <c r="AR735" s="30">
        <v>51.9</v>
      </c>
      <c r="AS735" s="32">
        <v>771.3</v>
      </c>
      <c r="AX735" s="30">
        <v>51.9</v>
      </c>
      <c r="AY735" s="35">
        <v>0.12044000000000001</v>
      </c>
      <c r="BA735" s="30">
        <v>51.9</v>
      </c>
      <c r="BB735" s="35">
        <v>0.12237000000000001</v>
      </c>
      <c r="BF735" s="1995"/>
    </row>
    <row r="736" spans="27:58">
      <c r="AA736" s="1994"/>
      <c r="AR736" s="30">
        <v>52</v>
      </c>
      <c r="AS736" s="32">
        <v>770.8</v>
      </c>
      <c r="AX736" s="30">
        <v>52</v>
      </c>
      <c r="AY736" s="35">
        <v>0.12037</v>
      </c>
      <c r="BA736" s="30">
        <v>52</v>
      </c>
      <c r="BB736" s="35">
        <v>0.12230000000000001</v>
      </c>
      <c r="BF736" s="1995"/>
    </row>
    <row r="737" spans="27:58">
      <c r="AA737" s="1994"/>
      <c r="AR737" s="30">
        <v>52.1</v>
      </c>
      <c r="AS737" s="32">
        <v>770.4</v>
      </c>
      <c r="AX737" s="30">
        <v>52.1</v>
      </c>
      <c r="AY737" s="35">
        <v>0.1203</v>
      </c>
      <c r="BA737" s="30">
        <v>52.1</v>
      </c>
      <c r="BB737" s="35">
        <v>0.12223000000000001</v>
      </c>
      <c r="BF737" s="1995"/>
    </row>
    <row r="738" spans="27:58">
      <c r="AA738" s="1994"/>
      <c r="AR738" s="30">
        <v>52.2</v>
      </c>
      <c r="AS738" s="32">
        <v>770</v>
      </c>
      <c r="AX738" s="30">
        <v>52.2</v>
      </c>
      <c r="AY738" s="35">
        <v>0.12024</v>
      </c>
      <c r="BA738" s="30">
        <v>52.2</v>
      </c>
      <c r="BB738" s="35">
        <v>0.12217</v>
      </c>
      <c r="BF738" s="1995"/>
    </row>
    <row r="739" spans="27:58">
      <c r="AA739" s="1994"/>
      <c r="AR739" s="30">
        <v>52.3</v>
      </c>
      <c r="AS739" s="32">
        <v>769.6</v>
      </c>
      <c r="AX739" s="30">
        <v>52.3</v>
      </c>
      <c r="AY739" s="35">
        <v>0.12017</v>
      </c>
      <c r="BA739" s="30">
        <v>52.3</v>
      </c>
      <c r="BB739" s="35">
        <v>0.1221</v>
      </c>
      <c r="BF739" s="1995"/>
    </row>
    <row r="740" spans="27:58">
      <c r="AA740" s="1994"/>
      <c r="AR740" s="30">
        <v>52.4</v>
      </c>
      <c r="AS740" s="32">
        <v>769.2</v>
      </c>
      <c r="AX740" s="30">
        <v>52.4</v>
      </c>
      <c r="AY740" s="35">
        <v>0.12010999999999999</v>
      </c>
      <c r="BA740" s="30">
        <v>52.4</v>
      </c>
      <c r="BB740" s="35">
        <v>0.12203</v>
      </c>
      <c r="BF740" s="1995"/>
    </row>
    <row r="741" spans="27:58">
      <c r="AA741" s="1994"/>
      <c r="AR741" s="30">
        <v>52.5</v>
      </c>
      <c r="AS741" s="32">
        <v>768.8</v>
      </c>
      <c r="AX741" s="30">
        <v>52.5</v>
      </c>
      <c r="AY741" s="35">
        <v>0.12003999999999999</v>
      </c>
      <c r="BA741" s="30">
        <v>52.5</v>
      </c>
      <c r="BB741" s="35">
        <v>0.12197</v>
      </c>
      <c r="BF741" s="1995"/>
    </row>
    <row r="742" spans="27:58">
      <c r="AA742" s="1994"/>
      <c r="AR742" s="30">
        <v>52.6</v>
      </c>
      <c r="AS742" s="32">
        <v>768.3</v>
      </c>
      <c r="AX742" s="30">
        <v>52.6</v>
      </c>
      <c r="AY742" s="35">
        <v>0.11998</v>
      </c>
      <c r="BA742" s="30">
        <v>52.6</v>
      </c>
      <c r="BB742" s="35">
        <v>0.12189999999999999</v>
      </c>
      <c r="BF742" s="1995"/>
    </row>
    <row r="743" spans="27:58">
      <c r="AA743" s="1994"/>
      <c r="AR743" s="30">
        <v>52.7</v>
      </c>
      <c r="AS743" s="32">
        <v>767.9</v>
      </c>
      <c r="AX743" s="30">
        <v>52.7</v>
      </c>
      <c r="AY743" s="35">
        <v>0.11991</v>
      </c>
      <c r="BA743" s="30">
        <v>52.7</v>
      </c>
      <c r="BB743" s="35">
        <v>0.12184</v>
      </c>
      <c r="BF743" s="1995"/>
    </row>
    <row r="744" spans="27:58">
      <c r="AA744" s="1994"/>
      <c r="AR744" s="30">
        <v>52.8</v>
      </c>
      <c r="AS744" s="32">
        <v>767.5</v>
      </c>
      <c r="AX744" s="30">
        <v>52.8</v>
      </c>
      <c r="AY744" s="35">
        <v>0.11985</v>
      </c>
      <c r="BA744" s="30">
        <v>52.8</v>
      </c>
      <c r="BB744" s="35">
        <v>0.12177</v>
      </c>
      <c r="BF744" s="1995"/>
    </row>
    <row r="745" spans="27:58">
      <c r="AA745" s="1994"/>
      <c r="AR745" s="30">
        <v>52.9</v>
      </c>
      <c r="AS745" s="32">
        <v>767.1</v>
      </c>
      <c r="AX745" s="30">
        <v>52.9</v>
      </c>
      <c r="AY745" s="35">
        <v>0.11978</v>
      </c>
      <c r="BA745" s="30">
        <v>52.9</v>
      </c>
      <c r="BB745" s="35">
        <v>0.1217</v>
      </c>
      <c r="BF745" s="1995"/>
    </row>
    <row r="746" spans="27:58">
      <c r="AA746" s="1994"/>
      <c r="AR746" s="30">
        <v>53</v>
      </c>
      <c r="AS746" s="32">
        <v>766.7</v>
      </c>
      <c r="AX746" s="30">
        <v>53</v>
      </c>
      <c r="AY746" s="35">
        <v>0.11971999999999999</v>
      </c>
      <c r="BA746" s="30">
        <v>53</v>
      </c>
      <c r="BB746" s="35">
        <v>0.12164</v>
      </c>
      <c r="BF746" s="1995"/>
    </row>
    <row r="747" spans="27:58">
      <c r="AA747" s="1994"/>
      <c r="AR747" s="30">
        <v>53.1</v>
      </c>
      <c r="AS747" s="32">
        <v>766.3</v>
      </c>
      <c r="AX747" s="30">
        <v>53.1</v>
      </c>
      <c r="AY747" s="35">
        <v>0.11965000000000001</v>
      </c>
      <c r="BA747" s="30">
        <v>53.1</v>
      </c>
      <c r="BB747" s="35">
        <v>0.12157</v>
      </c>
      <c r="BF747" s="1995"/>
    </row>
    <row r="748" spans="27:58">
      <c r="AA748" s="1994"/>
      <c r="AR748" s="30">
        <v>53.2</v>
      </c>
      <c r="AS748" s="32">
        <v>765.8</v>
      </c>
      <c r="AX748" s="30">
        <v>53.2</v>
      </c>
      <c r="AY748" s="35">
        <v>0.11959</v>
      </c>
      <c r="BA748" s="30">
        <v>53.2</v>
      </c>
      <c r="BB748" s="35">
        <v>0.12151000000000001</v>
      </c>
      <c r="BF748" s="1995"/>
    </row>
    <row r="749" spans="27:58">
      <c r="AA749" s="1994"/>
      <c r="AR749" s="30">
        <v>53.3</v>
      </c>
      <c r="AS749" s="32">
        <v>765.4</v>
      </c>
      <c r="AX749" s="30">
        <v>53.3</v>
      </c>
      <c r="AY749" s="35">
        <v>0.11952</v>
      </c>
      <c r="BA749" s="30">
        <v>53.3</v>
      </c>
      <c r="BB749" s="35">
        <v>0.12144000000000001</v>
      </c>
      <c r="BF749" s="1995"/>
    </row>
    <row r="750" spans="27:58">
      <c r="AA750" s="1994"/>
      <c r="AR750" s="30">
        <v>53.4</v>
      </c>
      <c r="AS750" s="32">
        <v>765</v>
      </c>
      <c r="AX750" s="30">
        <v>53.4</v>
      </c>
      <c r="AY750" s="35">
        <v>0.11946</v>
      </c>
      <c r="BA750" s="30">
        <v>53.4</v>
      </c>
      <c r="BB750" s="35">
        <v>0.12137000000000001</v>
      </c>
      <c r="BF750" s="1995"/>
    </row>
    <row r="751" spans="27:58">
      <c r="AA751" s="1994"/>
      <c r="AR751" s="30">
        <v>53.5</v>
      </c>
      <c r="AS751" s="32">
        <v>764.6</v>
      </c>
      <c r="AX751" s="30">
        <v>53.5</v>
      </c>
      <c r="AY751" s="35">
        <v>0.11939</v>
      </c>
      <c r="BA751" s="30">
        <v>53.5</v>
      </c>
      <c r="BB751" s="35">
        <v>0.12131</v>
      </c>
      <c r="BF751" s="1995"/>
    </row>
    <row r="752" spans="27:58">
      <c r="AA752" s="1994"/>
      <c r="AR752" s="30">
        <v>53.6</v>
      </c>
      <c r="AS752" s="32">
        <v>764.2</v>
      </c>
      <c r="AX752" s="30">
        <v>53.6</v>
      </c>
      <c r="AY752" s="35">
        <v>0.11933000000000001</v>
      </c>
      <c r="BA752" s="30">
        <v>53.6</v>
      </c>
      <c r="BB752" s="35">
        <v>0.12124</v>
      </c>
      <c r="BF752" s="1995"/>
    </row>
    <row r="753" spans="27:58">
      <c r="AA753" s="1994"/>
      <c r="AR753" s="30">
        <v>53.7</v>
      </c>
      <c r="AS753" s="32">
        <v>763.8</v>
      </c>
      <c r="AX753" s="30">
        <v>53.7</v>
      </c>
      <c r="AY753" s="35">
        <v>0.11926</v>
      </c>
      <c r="BA753" s="30">
        <v>53.7</v>
      </c>
      <c r="BB753" s="35">
        <v>0.12118</v>
      </c>
      <c r="BF753" s="1995"/>
    </row>
    <row r="754" spans="27:58">
      <c r="AA754" s="1994"/>
      <c r="AR754" s="30">
        <v>53.8</v>
      </c>
      <c r="AS754" s="32">
        <v>763.4</v>
      </c>
      <c r="AX754" s="30">
        <v>53.8</v>
      </c>
      <c r="AY754" s="35">
        <v>0.1192</v>
      </c>
      <c r="BA754" s="30">
        <v>53.8</v>
      </c>
      <c r="BB754" s="35">
        <v>0.12111</v>
      </c>
      <c r="BF754" s="1995"/>
    </row>
    <row r="755" spans="27:58">
      <c r="AA755" s="1994"/>
      <c r="AR755" s="30">
        <v>53.9</v>
      </c>
      <c r="AS755" s="32">
        <v>763</v>
      </c>
      <c r="AX755" s="30">
        <v>53.9</v>
      </c>
      <c r="AY755" s="35">
        <v>0.11913</v>
      </c>
      <c r="BA755" s="30">
        <v>53.9</v>
      </c>
      <c r="BB755" s="35">
        <v>0.12105</v>
      </c>
      <c r="BF755" s="1995"/>
    </row>
    <row r="756" spans="27:58">
      <c r="AA756" s="1994"/>
      <c r="AR756" s="30">
        <v>54</v>
      </c>
      <c r="AS756" s="32">
        <v>762.5</v>
      </c>
      <c r="AX756" s="30">
        <v>54</v>
      </c>
      <c r="AY756" s="35">
        <v>0.11907</v>
      </c>
      <c r="BA756" s="30">
        <v>54</v>
      </c>
      <c r="BB756" s="35">
        <v>0.12098</v>
      </c>
      <c r="BF756" s="1995"/>
    </row>
    <row r="757" spans="27:58">
      <c r="AA757" s="1994"/>
      <c r="AR757" s="30">
        <v>54.1</v>
      </c>
      <c r="AS757" s="32">
        <v>762.1</v>
      </c>
      <c r="AX757" s="30">
        <v>54.1</v>
      </c>
      <c r="AY757" s="35">
        <v>0.11901</v>
      </c>
      <c r="BA757" s="30">
        <v>54.1</v>
      </c>
      <c r="BB757" s="35">
        <v>0.12091</v>
      </c>
      <c r="BF757" s="1995"/>
    </row>
    <row r="758" spans="27:58">
      <c r="AA758" s="1994"/>
      <c r="AR758" s="30">
        <v>54.2</v>
      </c>
      <c r="AS758" s="32">
        <v>761.7</v>
      </c>
      <c r="AX758" s="30">
        <v>54.2</v>
      </c>
      <c r="AY758" s="35">
        <v>0.11894</v>
      </c>
      <c r="BA758" s="30">
        <v>54.2</v>
      </c>
      <c r="BB758" s="35">
        <v>0.12085</v>
      </c>
      <c r="BF758" s="1995"/>
    </row>
    <row r="759" spans="27:58">
      <c r="AA759" s="1994"/>
      <c r="AR759" s="30">
        <v>54.3</v>
      </c>
      <c r="AS759" s="32">
        <v>761.3</v>
      </c>
      <c r="AX759" s="30">
        <v>54.3</v>
      </c>
      <c r="AY759" s="35">
        <v>0.11888</v>
      </c>
      <c r="BA759" s="30">
        <v>54.3</v>
      </c>
      <c r="BB759" s="35">
        <v>0.12078</v>
      </c>
      <c r="BF759" s="1995"/>
    </row>
    <row r="760" spans="27:58">
      <c r="AA760" s="1994"/>
      <c r="AR760" s="30">
        <v>54.4</v>
      </c>
      <c r="AS760" s="32">
        <v>760.9</v>
      </c>
      <c r="AX760" s="30">
        <v>54.4</v>
      </c>
      <c r="AY760" s="35">
        <v>0.11881</v>
      </c>
      <c r="BA760" s="30">
        <v>54.4</v>
      </c>
      <c r="BB760" s="35">
        <v>0.12071999999999999</v>
      </c>
      <c r="BF760" s="1995"/>
    </row>
    <row r="761" spans="27:58">
      <c r="AA761" s="1994"/>
      <c r="AR761" s="30">
        <v>54.5</v>
      </c>
      <c r="AS761" s="32">
        <v>760.5</v>
      </c>
      <c r="AX761" s="30">
        <v>54.5</v>
      </c>
      <c r="AY761" s="35">
        <v>0.11874999999999999</v>
      </c>
      <c r="BA761" s="30">
        <v>54.5</v>
      </c>
      <c r="BB761" s="35">
        <v>0.12064999999999999</v>
      </c>
      <c r="BF761" s="1995"/>
    </row>
    <row r="762" spans="27:58">
      <c r="AA762" s="1994"/>
      <c r="AR762" s="30">
        <v>54.6</v>
      </c>
      <c r="AS762" s="32">
        <v>760.1</v>
      </c>
      <c r="AX762" s="30">
        <v>54.6</v>
      </c>
      <c r="AY762" s="35">
        <v>0.11869</v>
      </c>
      <c r="BA762" s="30">
        <v>54.6</v>
      </c>
      <c r="BB762" s="35">
        <v>0.12059</v>
      </c>
      <c r="BF762" s="1995"/>
    </row>
    <row r="763" spans="27:58">
      <c r="AA763" s="1994"/>
      <c r="AR763" s="30">
        <v>54.7</v>
      </c>
      <c r="AS763" s="32">
        <v>759.7</v>
      </c>
      <c r="AX763" s="30">
        <v>54.7</v>
      </c>
      <c r="AY763" s="35">
        <v>0.11862</v>
      </c>
      <c r="BA763" s="30">
        <v>54.7</v>
      </c>
      <c r="BB763" s="35">
        <v>0.12052</v>
      </c>
      <c r="BF763" s="1995"/>
    </row>
    <row r="764" spans="27:58">
      <c r="AA764" s="1994"/>
      <c r="AR764" s="30">
        <v>54.8</v>
      </c>
      <c r="AS764" s="32">
        <v>759.3</v>
      </c>
      <c r="AX764" s="30">
        <v>54.8</v>
      </c>
      <c r="AY764" s="35">
        <v>0.11856</v>
      </c>
      <c r="BA764" s="30">
        <v>54.8</v>
      </c>
      <c r="BB764" s="35">
        <v>0.12046</v>
      </c>
      <c r="BF764" s="1995"/>
    </row>
    <row r="765" spans="27:58">
      <c r="AA765" s="1994"/>
      <c r="AR765" s="30">
        <v>54.9</v>
      </c>
      <c r="AS765" s="32">
        <v>758.9</v>
      </c>
      <c r="AX765" s="30">
        <v>54.9</v>
      </c>
      <c r="AY765" s="35">
        <v>0.11849</v>
      </c>
      <c r="BA765" s="30">
        <v>54.9</v>
      </c>
      <c r="BB765" s="35">
        <v>0.12039999999999999</v>
      </c>
      <c r="BF765" s="1995"/>
    </row>
    <row r="766" spans="27:58">
      <c r="AA766" s="1994"/>
      <c r="AR766" s="30">
        <v>55</v>
      </c>
      <c r="AS766" s="32">
        <v>758.5</v>
      </c>
      <c r="AX766" s="30">
        <v>55</v>
      </c>
      <c r="AY766" s="35">
        <v>0.11842999999999999</v>
      </c>
      <c r="BA766" s="30">
        <v>55</v>
      </c>
      <c r="BB766" s="35">
        <v>0.12033000000000001</v>
      </c>
      <c r="BF766" s="1995"/>
    </row>
    <row r="767" spans="27:58">
      <c r="AA767" s="1994"/>
      <c r="AR767" s="30">
        <v>55.1</v>
      </c>
      <c r="AS767" s="32">
        <v>758.1</v>
      </c>
      <c r="AX767" s="30">
        <v>55.1</v>
      </c>
      <c r="AY767" s="35">
        <v>0.11837</v>
      </c>
      <c r="BA767" s="30">
        <v>55.1</v>
      </c>
      <c r="BB767" s="35">
        <v>0.12027</v>
      </c>
      <c r="BF767" s="1995"/>
    </row>
    <row r="768" spans="27:58">
      <c r="AA768" s="1994"/>
      <c r="AR768" s="30">
        <v>55.2</v>
      </c>
      <c r="AS768" s="32">
        <v>757.6</v>
      </c>
      <c r="AX768" s="30">
        <v>55.2</v>
      </c>
      <c r="AY768" s="35">
        <v>0.1183</v>
      </c>
      <c r="BA768" s="30">
        <v>55.2</v>
      </c>
      <c r="BB768" s="35">
        <v>0.1202</v>
      </c>
      <c r="BF768" s="1995"/>
    </row>
    <row r="769" spans="27:58">
      <c r="AA769" s="1994"/>
      <c r="AR769" s="30">
        <v>55.3</v>
      </c>
      <c r="AS769" s="32">
        <v>757.2</v>
      </c>
      <c r="AX769" s="30">
        <v>55.3</v>
      </c>
      <c r="AY769" s="35">
        <v>0.11824</v>
      </c>
      <c r="BA769" s="30">
        <v>55.3</v>
      </c>
      <c r="BB769" s="35">
        <v>0.12014</v>
      </c>
      <c r="BF769" s="1995"/>
    </row>
    <row r="770" spans="27:58">
      <c r="AA770" s="1994"/>
      <c r="AR770" s="30">
        <v>55.4</v>
      </c>
      <c r="AS770" s="32">
        <v>756.8</v>
      </c>
      <c r="AX770" s="30">
        <v>55.4</v>
      </c>
      <c r="AY770" s="35">
        <v>0.11817999999999999</v>
      </c>
      <c r="BA770" s="30">
        <v>55.4</v>
      </c>
      <c r="BB770" s="35">
        <v>0.12007</v>
      </c>
      <c r="BF770" s="1995"/>
    </row>
    <row r="771" spans="27:58">
      <c r="AA771" s="1994"/>
      <c r="AR771" s="30">
        <v>55.5</v>
      </c>
      <c r="AS771" s="32">
        <v>756.4</v>
      </c>
      <c r="AX771" s="30">
        <v>55.5</v>
      </c>
      <c r="AY771" s="35">
        <v>0.11811000000000001</v>
      </c>
      <c r="BA771" s="30">
        <v>55.5</v>
      </c>
      <c r="BB771" s="35">
        <v>0.12001000000000001</v>
      </c>
      <c r="BF771" s="1995"/>
    </row>
    <row r="772" spans="27:58">
      <c r="AA772" s="1994"/>
      <c r="AR772" s="30">
        <v>55.6</v>
      </c>
      <c r="AS772" s="32">
        <v>756</v>
      </c>
      <c r="AX772" s="30">
        <v>55.6</v>
      </c>
      <c r="AY772" s="35">
        <v>0.11805</v>
      </c>
      <c r="BA772" s="30">
        <v>55.6</v>
      </c>
      <c r="BB772" s="35">
        <v>0.11994</v>
      </c>
      <c r="BF772" s="1995"/>
    </row>
    <row r="773" spans="27:58">
      <c r="AA773" s="1994"/>
      <c r="AR773" s="30">
        <v>55.7</v>
      </c>
      <c r="AS773" s="32">
        <v>755.6</v>
      </c>
      <c r="AX773" s="30">
        <v>55.7</v>
      </c>
      <c r="AY773" s="35">
        <v>0.11799</v>
      </c>
      <c r="BA773" s="30">
        <v>55.7</v>
      </c>
      <c r="BB773" s="35">
        <v>0.11988</v>
      </c>
      <c r="BF773" s="1995"/>
    </row>
    <row r="774" spans="27:58">
      <c r="AA774" s="1994"/>
      <c r="AR774" s="30">
        <v>55.8</v>
      </c>
      <c r="AS774" s="32">
        <v>755.2</v>
      </c>
      <c r="AX774" s="30">
        <v>55.8</v>
      </c>
      <c r="AY774" s="35">
        <v>0.11792</v>
      </c>
      <c r="BA774" s="30">
        <v>55.8</v>
      </c>
      <c r="BB774" s="35">
        <v>0.11982</v>
      </c>
      <c r="BF774" s="1995"/>
    </row>
    <row r="775" spans="27:58">
      <c r="AA775" s="1994"/>
      <c r="AR775" s="30">
        <v>55.9</v>
      </c>
      <c r="AS775" s="32">
        <v>754.8</v>
      </c>
      <c r="AX775" s="30">
        <v>55.9</v>
      </c>
      <c r="AY775" s="35">
        <v>0.11786000000000001</v>
      </c>
      <c r="BA775" s="30">
        <v>55.9</v>
      </c>
      <c r="BB775" s="35">
        <v>0.11975</v>
      </c>
      <c r="BF775" s="1995"/>
    </row>
    <row r="776" spans="27:58">
      <c r="AA776" s="1994"/>
      <c r="AR776" s="30">
        <v>56</v>
      </c>
      <c r="AS776" s="32">
        <v>754.4</v>
      </c>
      <c r="AX776" s="30">
        <v>56</v>
      </c>
      <c r="AY776" s="35">
        <v>0.1178</v>
      </c>
      <c r="BA776" s="30">
        <v>56</v>
      </c>
      <c r="BB776" s="35">
        <v>0.11969</v>
      </c>
      <c r="BF776" s="1995"/>
    </row>
    <row r="777" spans="27:58">
      <c r="AA777" s="1994"/>
      <c r="AR777" s="30">
        <v>56.1</v>
      </c>
      <c r="AS777" s="32">
        <v>754</v>
      </c>
      <c r="AX777" s="30">
        <v>56.1</v>
      </c>
      <c r="AY777" s="35">
        <v>0.11773</v>
      </c>
      <c r="BA777" s="30">
        <v>56.1</v>
      </c>
      <c r="BB777" s="35">
        <v>0.11962</v>
      </c>
      <c r="BF777" s="1995"/>
    </row>
    <row r="778" spans="27:58">
      <c r="AA778" s="1994"/>
      <c r="AR778" s="30">
        <v>56.2</v>
      </c>
      <c r="AS778" s="32">
        <v>753.6</v>
      </c>
      <c r="AX778" s="30">
        <v>56.2</v>
      </c>
      <c r="AY778" s="35">
        <v>0.11767</v>
      </c>
      <c r="BA778" s="30">
        <v>56.2</v>
      </c>
      <c r="BB778" s="35">
        <v>0.11956</v>
      </c>
      <c r="BF778" s="1995"/>
    </row>
    <row r="779" spans="27:58">
      <c r="AA779" s="1994"/>
      <c r="AR779" s="30">
        <v>56.3</v>
      </c>
      <c r="AS779" s="32">
        <v>753.2</v>
      </c>
      <c r="AX779" s="30">
        <v>56.3</v>
      </c>
      <c r="AY779" s="35">
        <v>0.11761000000000001</v>
      </c>
      <c r="BA779" s="30">
        <v>56.3</v>
      </c>
      <c r="BB779" s="35">
        <v>0.1195</v>
      </c>
      <c r="BF779" s="1995"/>
    </row>
    <row r="780" spans="27:58">
      <c r="AA780" s="1994"/>
      <c r="AR780" s="30">
        <v>56.4</v>
      </c>
      <c r="AS780" s="32">
        <v>752.8</v>
      </c>
      <c r="AX780" s="30">
        <v>56.4</v>
      </c>
      <c r="AY780" s="35">
        <v>0.11755</v>
      </c>
      <c r="BA780" s="30">
        <v>56.4</v>
      </c>
      <c r="BB780" s="35">
        <v>0.11942999999999999</v>
      </c>
      <c r="BF780" s="1995"/>
    </row>
    <row r="781" spans="27:58">
      <c r="AA781" s="1994"/>
      <c r="AR781" s="30">
        <v>56.5</v>
      </c>
      <c r="AS781" s="32">
        <v>752.4</v>
      </c>
      <c r="AX781" s="30">
        <v>56.5</v>
      </c>
      <c r="AY781" s="35">
        <v>0.11748</v>
      </c>
      <c r="BA781" s="30">
        <v>56.5</v>
      </c>
      <c r="BB781" s="35">
        <v>0.11937</v>
      </c>
      <c r="BF781" s="1995"/>
    </row>
    <row r="782" spans="27:58">
      <c r="AA782" s="1994"/>
      <c r="AR782" s="30">
        <v>56.6</v>
      </c>
      <c r="AS782" s="32">
        <v>752</v>
      </c>
      <c r="AX782" s="30">
        <v>56.6</v>
      </c>
      <c r="AY782" s="35">
        <v>0.11742</v>
      </c>
      <c r="BA782" s="30">
        <v>56.6</v>
      </c>
      <c r="BB782" s="35">
        <v>0.11931</v>
      </c>
      <c r="BF782" s="1995"/>
    </row>
    <row r="783" spans="27:58">
      <c r="AA783" s="1994"/>
      <c r="AR783" s="30">
        <v>56.7</v>
      </c>
      <c r="AS783" s="32">
        <v>751.6</v>
      </c>
      <c r="AX783" s="30">
        <v>56.7</v>
      </c>
      <c r="AY783" s="35">
        <v>0.11736000000000001</v>
      </c>
      <c r="BA783" s="30">
        <v>56.7</v>
      </c>
      <c r="BB783" s="35">
        <v>0.11924</v>
      </c>
      <c r="BF783" s="1995"/>
    </row>
    <row r="784" spans="27:58">
      <c r="AA784" s="1994"/>
      <c r="AR784" s="30">
        <v>56.8</v>
      </c>
      <c r="AS784" s="32">
        <v>751.2</v>
      </c>
      <c r="AX784" s="30">
        <v>56.8</v>
      </c>
      <c r="AY784" s="35">
        <v>0.1173</v>
      </c>
      <c r="BA784" s="30">
        <v>56.8</v>
      </c>
      <c r="BB784" s="35">
        <v>0.11917999999999999</v>
      </c>
      <c r="BF784" s="1995"/>
    </row>
    <row r="785" spans="27:58">
      <c r="AA785" s="1994"/>
      <c r="AR785" s="30">
        <v>56.9</v>
      </c>
      <c r="AS785" s="32">
        <v>750.8</v>
      </c>
      <c r="AX785" s="30">
        <v>56.9</v>
      </c>
      <c r="AY785" s="35">
        <v>0.11723</v>
      </c>
      <c r="BA785" s="30">
        <v>56.9</v>
      </c>
      <c r="BB785" s="35">
        <v>0.11912</v>
      </c>
      <c r="BF785" s="1995"/>
    </row>
    <row r="786" spans="27:58">
      <c r="AA786" s="1994"/>
      <c r="AR786" s="30">
        <v>57</v>
      </c>
      <c r="AS786" s="32">
        <v>750.4</v>
      </c>
      <c r="AX786" s="30">
        <v>57</v>
      </c>
      <c r="AY786" s="35">
        <v>0.11717</v>
      </c>
      <c r="BA786" s="30">
        <v>57</v>
      </c>
      <c r="BB786" s="35">
        <v>0.11905</v>
      </c>
      <c r="BF786" s="1995"/>
    </row>
    <row r="787" spans="27:58">
      <c r="AA787" s="1994"/>
      <c r="AR787" s="30">
        <v>57.1</v>
      </c>
      <c r="AS787" s="32">
        <v>750</v>
      </c>
      <c r="AX787" s="30">
        <v>57.1</v>
      </c>
      <c r="AY787" s="35">
        <v>0.11711000000000001</v>
      </c>
      <c r="BA787" s="30">
        <v>57.1</v>
      </c>
      <c r="BB787" s="35">
        <v>0.11899</v>
      </c>
      <c r="BF787" s="1995"/>
    </row>
    <row r="788" spans="27:58">
      <c r="AA788" s="1994"/>
      <c r="AR788" s="30">
        <v>57.2</v>
      </c>
      <c r="AS788" s="32">
        <v>749.6</v>
      </c>
      <c r="AX788" s="30">
        <v>57.2</v>
      </c>
      <c r="AY788" s="35">
        <v>0.11705</v>
      </c>
      <c r="BA788" s="30">
        <v>57.2</v>
      </c>
      <c r="BB788" s="35">
        <v>0.11892999999999999</v>
      </c>
      <c r="BF788" s="1995"/>
    </row>
    <row r="789" spans="27:58">
      <c r="AA789" s="1994"/>
      <c r="AR789" s="30">
        <v>57.3</v>
      </c>
      <c r="AS789" s="32">
        <v>749.2</v>
      </c>
      <c r="AX789" s="30">
        <v>57.3</v>
      </c>
      <c r="AY789" s="35">
        <v>0.11699</v>
      </c>
      <c r="BA789" s="30">
        <v>57.3</v>
      </c>
      <c r="BB789" s="35">
        <v>0.11885999999999999</v>
      </c>
      <c r="BF789" s="1995"/>
    </row>
    <row r="790" spans="27:58">
      <c r="AA790" s="1994"/>
      <c r="AR790" s="30">
        <v>57.4</v>
      </c>
      <c r="AS790" s="32">
        <v>748.8</v>
      </c>
      <c r="AX790" s="30">
        <v>57.4</v>
      </c>
      <c r="AY790" s="35">
        <v>0.11692</v>
      </c>
      <c r="BA790" s="30">
        <v>57.4</v>
      </c>
      <c r="BB790" s="35">
        <v>0.1188</v>
      </c>
      <c r="BF790" s="1995"/>
    </row>
    <row r="791" spans="27:58">
      <c r="AA791" s="1994"/>
      <c r="AR791" s="30">
        <v>57.5</v>
      </c>
      <c r="AS791" s="32">
        <v>748.4</v>
      </c>
      <c r="AX791" s="30">
        <v>57.5</v>
      </c>
      <c r="AY791" s="35">
        <v>0.11686000000000001</v>
      </c>
      <c r="BA791" s="30">
        <v>57.5</v>
      </c>
      <c r="BB791" s="35">
        <v>0.11874</v>
      </c>
      <c r="BF791" s="1995"/>
    </row>
    <row r="792" spans="27:58">
      <c r="AA792" s="1994"/>
      <c r="AR792" s="30">
        <v>57.6</v>
      </c>
      <c r="AS792" s="32">
        <v>748</v>
      </c>
      <c r="AX792" s="30">
        <v>57.6</v>
      </c>
      <c r="AY792" s="35">
        <v>0.1168</v>
      </c>
      <c r="BA792" s="30">
        <v>57.6</v>
      </c>
      <c r="BB792" s="35">
        <v>0.11867</v>
      </c>
      <c r="BF792" s="1995"/>
    </row>
    <row r="793" spans="27:58">
      <c r="AA793" s="1994"/>
      <c r="AR793" s="30">
        <v>57.7</v>
      </c>
      <c r="AS793" s="32">
        <v>747.6</v>
      </c>
      <c r="AX793" s="30">
        <v>57.7</v>
      </c>
      <c r="AY793" s="35">
        <v>0.11674</v>
      </c>
      <c r="BA793" s="30">
        <v>57.7</v>
      </c>
      <c r="BB793" s="35">
        <v>0.11860999999999999</v>
      </c>
      <c r="BF793" s="1995"/>
    </row>
    <row r="794" spans="27:58">
      <c r="AA794" s="1994"/>
      <c r="AR794" s="30">
        <v>57.8</v>
      </c>
      <c r="AS794" s="32">
        <v>747.3</v>
      </c>
      <c r="AX794" s="30">
        <v>57.8</v>
      </c>
      <c r="AY794" s="35">
        <v>0.11668000000000001</v>
      </c>
      <c r="BA794" s="30">
        <v>57.8</v>
      </c>
      <c r="BB794" s="35">
        <v>0.11855</v>
      </c>
      <c r="BF794" s="1995"/>
    </row>
    <row r="795" spans="27:58">
      <c r="AA795" s="1994"/>
      <c r="AR795" s="30">
        <v>57.9</v>
      </c>
      <c r="AS795" s="32">
        <v>746.9</v>
      </c>
      <c r="AX795" s="30">
        <v>57.9</v>
      </c>
      <c r="AY795" s="35">
        <v>0.11661000000000001</v>
      </c>
      <c r="BA795" s="30">
        <v>57.9</v>
      </c>
      <c r="BB795" s="35">
        <v>0.11849</v>
      </c>
      <c r="BF795" s="1995"/>
    </row>
    <row r="796" spans="27:58">
      <c r="AA796" s="1994"/>
      <c r="AR796" s="30">
        <v>58</v>
      </c>
      <c r="AS796" s="32">
        <v>746.5</v>
      </c>
      <c r="AX796" s="30">
        <v>58</v>
      </c>
      <c r="AY796" s="35">
        <v>0.11655</v>
      </c>
      <c r="BA796" s="30">
        <v>58</v>
      </c>
      <c r="BB796" s="35">
        <v>0.11842</v>
      </c>
      <c r="BF796" s="1995"/>
    </row>
    <row r="797" spans="27:58">
      <c r="AA797" s="1994"/>
      <c r="AR797" s="30">
        <v>58.1</v>
      </c>
      <c r="AS797" s="32">
        <v>746.1</v>
      </c>
      <c r="AX797" s="30">
        <v>58.1</v>
      </c>
      <c r="AY797" s="35">
        <v>0.11649</v>
      </c>
      <c r="BA797" s="30">
        <v>58.1</v>
      </c>
      <c r="BB797" s="35">
        <v>0.11836000000000001</v>
      </c>
      <c r="BF797" s="1995"/>
    </row>
    <row r="798" spans="27:58">
      <c r="AA798" s="1994"/>
      <c r="AR798" s="30">
        <v>58.2</v>
      </c>
      <c r="AS798" s="32">
        <v>745.7</v>
      </c>
      <c r="AX798" s="30">
        <v>58.2</v>
      </c>
      <c r="AY798" s="35">
        <v>0.11643000000000001</v>
      </c>
      <c r="BA798" s="30">
        <v>58.2</v>
      </c>
      <c r="BB798" s="35">
        <v>0.1183</v>
      </c>
      <c r="BF798" s="1995"/>
    </row>
    <row r="799" spans="27:58">
      <c r="AA799" s="1994"/>
      <c r="AR799" s="30">
        <v>58.3</v>
      </c>
      <c r="AS799" s="32">
        <v>745.3</v>
      </c>
      <c r="AX799" s="30">
        <v>58.3</v>
      </c>
      <c r="AY799" s="35">
        <v>0.11637</v>
      </c>
      <c r="BA799" s="30">
        <v>58.3</v>
      </c>
      <c r="BB799" s="35">
        <v>0.11824</v>
      </c>
      <c r="BF799" s="1995"/>
    </row>
    <row r="800" spans="27:58">
      <c r="AA800" s="1994"/>
      <c r="AR800" s="30">
        <v>58.4</v>
      </c>
      <c r="AS800" s="32">
        <v>744.9</v>
      </c>
      <c r="AX800" s="30">
        <v>58.4</v>
      </c>
      <c r="AY800" s="35">
        <v>0.11631</v>
      </c>
      <c r="BA800" s="30">
        <v>58.4</v>
      </c>
      <c r="BB800" s="35">
        <v>0.11817</v>
      </c>
      <c r="BF800" s="1995"/>
    </row>
    <row r="801" spans="27:58">
      <c r="AA801" s="1994"/>
      <c r="AR801" s="30">
        <v>58.5</v>
      </c>
      <c r="AS801" s="32">
        <v>744.5</v>
      </c>
      <c r="AX801" s="30">
        <v>58.5</v>
      </c>
      <c r="AY801" s="35">
        <v>0.11624</v>
      </c>
      <c r="BA801" s="30">
        <v>58.5</v>
      </c>
      <c r="BB801" s="35">
        <v>0.11811000000000001</v>
      </c>
      <c r="BF801" s="1995"/>
    </row>
    <row r="802" spans="27:58">
      <c r="AA802" s="1994"/>
      <c r="AR802" s="30">
        <v>58.6</v>
      </c>
      <c r="AS802" s="32">
        <v>744.13</v>
      </c>
      <c r="AX802" s="30">
        <v>58.6</v>
      </c>
      <c r="AY802" s="35">
        <v>0.11618000000000001</v>
      </c>
      <c r="BA802" s="30">
        <v>58.6</v>
      </c>
      <c r="BB802" s="35">
        <v>0.11805</v>
      </c>
      <c r="BF802" s="1995"/>
    </row>
    <row r="803" spans="27:58">
      <c r="AA803" s="1994"/>
      <c r="AR803" s="30">
        <v>58.7</v>
      </c>
      <c r="AS803" s="32">
        <v>743.7</v>
      </c>
      <c r="AX803" s="30">
        <v>58.7</v>
      </c>
      <c r="AY803" s="35">
        <v>0.11612</v>
      </c>
      <c r="BA803" s="30">
        <v>58.7</v>
      </c>
      <c r="BB803" s="35">
        <v>0.11799</v>
      </c>
      <c r="BF803" s="1995"/>
    </row>
    <row r="804" spans="27:58">
      <c r="AA804" s="1994"/>
      <c r="AR804" s="30">
        <v>58.8</v>
      </c>
      <c r="AS804" s="32">
        <v>743.3</v>
      </c>
      <c r="AX804" s="30">
        <v>58.8</v>
      </c>
      <c r="AY804" s="35">
        <v>0.11606</v>
      </c>
      <c r="BA804" s="30">
        <v>58.8</v>
      </c>
      <c r="BB804" s="35">
        <v>0.11792</v>
      </c>
      <c r="BF804" s="1995"/>
    </row>
    <row r="805" spans="27:58">
      <c r="AA805" s="1994"/>
      <c r="AR805" s="30">
        <v>58.9</v>
      </c>
      <c r="AS805" s="32">
        <v>742.9</v>
      </c>
      <c r="AX805" s="30">
        <v>58.9</v>
      </c>
      <c r="AY805" s="35">
        <v>0.11600000000000001</v>
      </c>
      <c r="BA805" s="30">
        <v>58.9</v>
      </c>
      <c r="BB805" s="35">
        <v>0.11786000000000001</v>
      </c>
      <c r="BF805" s="1995"/>
    </row>
    <row r="806" spans="27:58">
      <c r="AA806" s="1994"/>
      <c r="AR806" s="30">
        <v>59</v>
      </c>
      <c r="AS806" s="32">
        <v>742.6</v>
      </c>
      <c r="AX806" s="30">
        <v>59</v>
      </c>
      <c r="AY806" s="35">
        <v>0.11594</v>
      </c>
      <c r="BA806" s="30">
        <v>59</v>
      </c>
      <c r="BB806" s="35">
        <v>0.1178</v>
      </c>
      <c r="BF806" s="1995"/>
    </row>
    <row r="807" spans="27:58">
      <c r="AA807" s="1994"/>
      <c r="AR807" s="30">
        <v>59.1</v>
      </c>
      <c r="AS807" s="32">
        <v>742.2</v>
      </c>
      <c r="AX807" s="30">
        <v>59.1</v>
      </c>
      <c r="AY807" s="35">
        <v>0.11588</v>
      </c>
      <c r="BA807" s="30">
        <v>59.1</v>
      </c>
      <c r="BB807" s="35">
        <v>0.11774</v>
      </c>
      <c r="BF807" s="1995"/>
    </row>
    <row r="808" spans="27:58">
      <c r="AA808" s="1994"/>
      <c r="AR808" s="30">
        <v>59.2</v>
      </c>
      <c r="AS808" s="32">
        <v>741.8</v>
      </c>
      <c r="AX808" s="30">
        <v>59.2</v>
      </c>
      <c r="AY808" s="35">
        <v>0.11582000000000001</v>
      </c>
      <c r="BA808" s="30">
        <v>59.2</v>
      </c>
      <c r="BB808" s="35">
        <v>0.11768000000000001</v>
      </c>
      <c r="BF808" s="1995"/>
    </row>
    <row r="809" spans="27:58">
      <c r="AA809" s="1994"/>
      <c r="AR809" s="30">
        <v>59.3</v>
      </c>
      <c r="AS809" s="32">
        <v>741.4</v>
      </c>
      <c r="AX809" s="30">
        <v>59.3</v>
      </c>
      <c r="AY809" s="35">
        <v>0.11576</v>
      </c>
      <c r="BA809" s="30">
        <v>59.3</v>
      </c>
      <c r="BB809" s="35">
        <v>0.11761000000000001</v>
      </c>
      <c r="BF809" s="1995"/>
    </row>
    <row r="810" spans="27:58">
      <c r="AA810" s="1994"/>
      <c r="AR810" s="30">
        <v>59.4</v>
      </c>
      <c r="AS810" s="32">
        <v>741</v>
      </c>
      <c r="AX810" s="30">
        <v>59.4</v>
      </c>
      <c r="AY810" s="35">
        <v>0.1157</v>
      </c>
      <c r="BA810" s="30">
        <v>59.4</v>
      </c>
      <c r="BB810" s="35">
        <v>0.11755</v>
      </c>
      <c r="BF810" s="1995"/>
    </row>
    <row r="811" spans="27:58">
      <c r="AA811" s="1994"/>
      <c r="AR811" s="30">
        <v>59.5</v>
      </c>
      <c r="AS811" s="32">
        <v>740.6</v>
      </c>
      <c r="AX811" s="30">
        <v>59.5</v>
      </c>
      <c r="AY811" s="35">
        <v>0.11564000000000001</v>
      </c>
      <c r="BA811" s="30">
        <v>59.5</v>
      </c>
      <c r="BB811" s="35">
        <v>0.11749</v>
      </c>
      <c r="BF811" s="1995"/>
    </row>
    <row r="812" spans="27:58">
      <c r="AA812" s="1994"/>
      <c r="AR812" s="30">
        <v>59.6</v>
      </c>
      <c r="AS812" s="32">
        <v>740.2</v>
      </c>
      <c r="AX812" s="30">
        <v>59.6</v>
      </c>
      <c r="AY812" s="35">
        <v>0.11557000000000001</v>
      </c>
      <c r="BA812" s="30">
        <v>59.6</v>
      </c>
      <c r="BB812" s="35">
        <v>0.11743000000000001</v>
      </c>
      <c r="BF812" s="1995"/>
    </row>
    <row r="813" spans="27:58">
      <c r="AA813" s="1994"/>
      <c r="AR813" s="30">
        <v>59.7</v>
      </c>
      <c r="AS813" s="32">
        <v>739.8</v>
      </c>
      <c r="AX813" s="30">
        <v>59.7</v>
      </c>
      <c r="AY813" s="35">
        <v>0.11551</v>
      </c>
      <c r="BA813" s="30">
        <v>59.7</v>
      </c>
      <c r="BB813" s="35">
        <v>0.11737</v>
      </c>
      <c r="BF813" s="1995"/>
    </row>
    <row r="814" spans="27:58">
      <c r="AA814" s="1994"/>
      <c r="AR814" s="30">
        <v>59.8</v>
      </c>
      <c r="AS814" s="32">
        <v>739.4</v>
      </c>
      <c r="AX814" s="30">
        <v>59.8</v>
      </c>
      <c r="AY814" s="35">
        <v>0.11545</v>
      </c>
      <c r="BA814" s="30">
        <v>59.8</v>
      </c>
      <c r="BB814" s="35">
        <v>0.11731</v>
      </c>
      <c r="BF814" s="1995"/>
    </row>
    <row r="815" spans="27:58">
      <c r="AA815" s="1994"/>
      <c r="AR815" s="30">
        <v>59.9</v>
      </c>
      <c r="AS815" s="32">
        <v>739.1</v>
      </c>
      <c r="AX815" s="30">
        <v>59.9</v>
      </c>
      <c r="AY815" s="35">
        <v>0.11539000000000001</v>
      </c>
      <c r="BA815" s="30">
        <v>59.9</v>
      </c>
      <c r="BB815" s="35">
        <v>0.11724999999999999</v>
      </c>
      <c r="BF815" s="1995"/>
    </row>
    <row r="816" spans="27:58">
      <c r="AA816" s="1994"/>
      <c r="AR816" s="30">
        <v>60</v>
      </c>
      <c r="AS816" s="32">
        <v>738.7</v>
      </c>
      <c r="AX816" s="30">
        <v>60</v>
      </c>
      <c r="AY816" s="35">
        <v>0.11533</v>
      </c>
      <c r="BA816" s="30">
        <v>60</v>
      </c>
      <c r="BB816" s="35">
        <v>0.11718000000000001</v>
      </c>
      <c r="BF816" s="1995"/>
    </row>
    <row r="817" spans="27:58">
      <c r="AA817" s="1994"/>
      <c r="AR817" s="30">
        <v>60.1</v>
      </c>
      <c r="AS817" s="32">
        <v>738.3</v>
      </c>
      <c r="AX817" s="30">
        <v>60.1</v>
      </c>
      <c r="AY817" s="35">
        <v>0.11527</v>
      </c>
      <c r="BA817" s="30">
        <v>60.1</v>
      </c>
      <c r="BB817" s="35">
        <v>0.11712</v>
      </c>
      <c r="BF817" s="1995"/>
    </row>
    <row r="818" spans="27:58">
      <c r="AA818" s="1994"/>
      <c r="AR818" s="30">
        <v>60.2</v>
      </c>
      <c r="AS818" s="32">
        <v>737.9</v>
      </c>
      <c r="AX818" s="30">
        <v>60.2</v>
      </c>
      <c r="AY818" s="35">
        <v>0.11521000000000001</v>
      </c>
      <c r="BA818" s="30">
        <v>60.2</v>
      </c>
      <c r="BB818" s="35">
        <v>0.11706</v>
      </c>
      <c r="BF818" s="1995"/>
    </row>
    <row r="819" spans="27:58">
      <c r="AA819" s="1994"/>
      <c r="AR819" s="30">
        <v>60.3</v>
      </c>
      <c r="AS819" s="32">
        <v>737.5</v>
      </c>
      <c r="AX819" s="30">
        <v>60.3</v>
      </c>
      <c r="AY819" s="35">
        <v>0.11515</v>
      </c>
      <c r="BA819" s="30">
        <v>60.3</v>
      </c>
      <c r="BB819" s="35">
        <v>0.11700000000000001</v>
      </c>
      <c r="BF819" s="1995"/>
    </row>
    <row r="820" spans="27:58">
      <c r="AA820" s="1994"/>
      <c r="AR820" s="30">
        <v>60.4</v>
      </c>
      <c r="AS820" s="32">
        <v>737.1</v>
      </c>
      <c r="AX820" s="30">
        <v>60.4</v>
      </c>
      <c r="AY820" s="35">
        <v>0.11509</v>
      </c>
      <c r="BA820" s="30">
        <v>60.4</v>
      </c>
      <c r="BB820" s="35">
        <v>0.11694</v>
      </c>
      <c r="BF820" s="1995"/>
    </row>
    <row r="821" spans="27:58">
      <c r="AA821" s="1994"/>
      <c r="AR821" s="30">
        <v>60.5</v>
      </c>
      <c r="AS821" s="32">
        <v>736.8</v>
      </c>
      <c r="AX821" s="30">
        <v>60.5</v>
      </c>
      <c r="AY821" s="35">
        <v>0.11502999999999999</v>
      </c>
      <c r="BA821" s="30">
        <v>60.5</v>
      </c>
      <c r="BB821" s="35">
        <v>0.11688</v>
      </c>
      <c r="BF821" s="1995"/>
    </row>
    <row r="822" spans="27:58">
      <c r="AA822" s="1994"/>
      <c r="AR822" s="30">
        <v>60.6</v>
      </c>
      <c r="AS822" s="32">
        <v>736.4</v>
      </c>
      <c r="AX822" s="30">
        <v>60.6</v>
      </c>
      <c r="AY822" s="35">
        <v>0.11497</v>
      </c>
      <c r="BA822" s="30">
        <v>60.6</v>
      </c>
      <c r="BB822" s="35">
        <v>0.11681999999999999</v>
      </c>
      <c r="BF822" s="1995"/>
    </row>
    <row r="823" spans="27:58">
      <c r="AA823" s="1994"/>
      <c r="AR823" s="30">
        <v>60.7</v>
      </c>
      <c r="AS823" s="32">
        <v>736</v>
      </c>
      <c r="AX823" s="30">
        <v>60.7</v>
      </c>
      <c r="AY823" s="35">
        <v>0.11491</v>
      </c>
      <c r="BA823" s="30">
        <v>60.7</v>
      </c>
      <c r="BB823" s="35">
        <v>0.11676</v>
      </c>
      <c r="BF823" s="1995"/>
    </row>
    <row r="824" spans="27:58">
      <c r="AA824" s="1994"/>
      <c r="AR824" s="30">
        <v>60.8</v>
      </c>
      <c r="AS824" s="32">
        <v>735.6</v>
      </c>
      <c r="AX824" s="30">
        <v>60.8</v>
      </c>
      <c r="AY824" s="35">
        <v>0.11484999999999999</v>
      </c>
      <c r="BA824" s="30">
        <v>60.8</v>
      </c>
      <c r="BB824" s="35">
        <v>0.1167</v>
      </c>
      <c r="BF824" s="1995"/>
    </row>
    <row r="825" spans="27:58">
      <c r="AA825" s="1994"/>
      <c r="AR825" s="30">
        <v>60.9</v>
      </c>
      <c r="AS825" s="32">
        <v>735.2</v>
      </c>
      <c r="AX825" s="30">
        <v>60.9</v>
      </c>
      <c r="AY825" s="35">
        <v>0.11479</v>
      </c>
      <c r="BA825" s="30">
        <v>60.9</v>
      </c>
      <c r="BB825" s="35">
        <v>0.11663</v>
      </c>
      <c r="BF825" s="1995"/>
    </row>
    <row r="826" spans="27:58">
      <c r="AA826" s="1994"/>
      <c r="AR826" s="30">
        <v>61</v>
      </c>
      <c r="AS826" s="32">
        <v>734.8</v>
      </c>
      <c r="AX826" s="30">
        <v>61</v>
      </c>
      <c r="AY826" s="35">
        <v>0.11473</v>
      </c>
      <c r="BA826" s="30">
        <v>61</v>
      </c>
      <c r="BB826" s="35">
        <v>0.11656999999999999</v>
      </c>
      <c r="BF826" s="1995"/>
    </row>
    <row r="827" spans="27:58">
      <c r="AA827" s="1994"/>
      <c r="AR827" s="30">
        <v>61.1</v>
      </c>
      <c r="AS827" s="32">
        <v>734.5</v>
      </c>
      <c r="AX827" s="30">
        <v>61.1</v>
      </c>
      <c r="AY827" s="35">
        <v>0.11466999999999999</v>
      </c>
      <c r="BA827" s="30">
        <v>61.1</v>
      </c>
      <c r="BB827" s="35">
        <v>0.11651</v>
      </c>
      <c r="BF827" s="1995"/>
    </row>
    <row r="828" spans="27:58">
      <c r="AA828" s="1994"/>
      <c r="AR828" s="30">
        <v>61.2</v>
      </c>
      <c r="AS828" s="32">
        <v>734.1</v>
      </c>
      <c r="AX828" s="30">
        <v>61.2</v>
      </c>
      <c r="AY828" s="35">
        <v>0.11461</v>
      </c>
      <c r="BA828" s="30">
        <v>61.2</v>
      </c>
      <c r="BB828" s="35">
        <v>0.11645</v>
      </c>
      <c r="BF828" s="1995"/>
    </row>
    <row r="829" spans="27:58">
      <c r="AA829" s="1994"/>
      <c r="AR829" s="30">
        <v>61.3</v>
      </c>
      <c r="AS829" s="32">
        <v>733.7</v>
      </c>
      <c r="AX829" s="30">
        <v>61.3</v>
      </c>
      <c r="AY829" s="35">
        <v>0.11455</v>
      </c>
      <c r="BA829" s="30">
        <v>61.3</v>
      </c>
      <c r="BB829" s="35">
        <v>0.11638999999999999</v>
      </c>
      <c r="BF829" s="1995"/>
    </row>
    <row r="830" spans="27:58">
      <c r="AA830" s="1994"/>
      <c r="AR830" s="30">
        <v>61.4</v>
      </c>
      <c r="AS830" s="32">
        <v>733.3</v>
      </c>
      <c r="AX830" s="30">
        <v>61.4</v>
      </c>
      <c r="AY830" s="35">
        <v>0.11448999999999999</v>
      </c>
      <c r="BA830" s="30">
        <v>61.4</v>
      </c>
      <c r="BB830" s="35">
        <v>0.11633</v>
      </c>
      <c r="BF830" s="1995"/>
    </row>
    <row r="831" spans="27:58">
      <c r="AA831" s="1994"/>
      <c r="AR831" s="30">
        <v>61.5</v>
      </c>
      <c r="AS831" s="32">
        <v>732.9</v>
      </c>
      <c r="AX831" s="30">
        <v>61.5</v>
      </c>
      <c r="AY831" s="35">
        <v>0.11444</v>
      </c>
      <c r="BA831" s="30">
        <v>61.5</v>
      </c>
      <c r="BB831" s="35">
        <v>0.11627</v>
      </c>
      <c r="BF831" s="1995"/>
    </row>
    <row r="832" spans="27:58">
      <c r="AA832" s="1994"/>
      <c r="AR832" s="30">
        <v>61.6</v>
      </c>
      <c r="AS832" s="32">
        <v>732.6</v>
      </c>
      <c r="AX832" s="30">
        <v>61.6</v>
      </c>
      <c r="AY832" s="35">
        <v>0.11438</v>
      </c>
      <c r="BA832" s="30">
        <v>61.6</v>
      </c>
      <c r="BB832" s="35">
        <v>0.11620999999999999</v>
      </c>
      <c r="BF832" s="1995"/>
    </row>
    <row r="833" spans="27:58">
      <c r="AA833" s="1994"/>
      <c r="AR833" s="30">
        <v>61.7</v>
      </c>
      <c r="AS833" s="32">
        <v>732.2</v>
      </c>
      <c r="AX833" s="30">
        <v>61.7</v>
      </c>
      <c r="AY833" s="35">
        <v>0.11432</v>
      </c>
      <c r="BA833" s="30">
        <v>61.7</v>
      </c>
      <c r="BB833" s="35">
        <v>0.11615</v>
      </c>
      <c r="BF833" s="1995"/>
    </row>
    <row r="834" spans="27:58">
      <c r="AA834" s="1994"/>
      <c r="AR834" s="30">
        <v>61.8</v>
      </c>
      <c r="AS834" s="32">
        <v>731.8</v>
      </c>
      <c r="AX834" s="30">
        <v>61.8</v>
      </c>
      <c r="AY834" s="35">
        <v>0.11426</v>
      </c>
      <c r="BA834" s="30">
        <v>61.8</v>
      </c>
      <c r="BB834" s="35">
        <v>0.11609</v>
      </c>
      <c r="BF834" s="1995"/>
    </row>
    <row r="835" spans="27:58">
      <c r="AA835" s="1994"/>
      <c r="AR835" s="30">
        <v>61.9</v>
      </c>
      <c r="AS835" s="32">
        <v>731.4</v>
      </c>
      <c r="AX835" s="30">
        <v>61.9</v>
      </c>
      <c r="AY835" s="35">
        <v>0.1142</v>
      </c>
      <c r="BA835" s="30">
        <v>61.9</v>
      </c>
      <c r="BB835" s="35">
        <v>0.11602999999999999</v>
      </c>
      <c r="BF835" s="1995"/>
    </row>
    <row r="836" spans="27:58">
      <c r="AA836" s="1994"/>
      <c r="AR836" s="30">
        <v>62</v>
      </c>
      <c r="AS836" s="32">
        <v>731.1</v>
      </c>
      <c r="AX836" s="30">
        <v>62</v>
      </c>
      <c r="AY836" s="35">
        <v>0.11414000000000001</v>
      </c>
      <c r="BA836" s="30">
        <v>62</v>
      </c>
      <c r="BB836" s="35">
        <v>0.11597</v>
      </c>
      <c r="BF836" s="1995"/>
    </row>
    <row r="837" spans="27:58">
      <c r="AA837" s="1994"/>
      <c r="AR837" s="30">
        <v>62.1</v>
      </c>
      <c r="AS837" s="32">
        <v>730.7</v>
      </c>
      <c r="AX837" s="30">
        <v>62.1</v>
      </c>
      <c r="AY837" s="35">
        <v>0.11408</v>
      </c>
      <c r="BA837" s="30">
        <v>62.1</v>
      </c>
      <c r="BB837" s="35">
        <v>0.11591</v>
      </c>
      <c r="BF837" s="1995"/>
    </row>
    <row r="838" spans="27:58">
      <c r="AA838" s="1994"/>
      <c r="AR838" s="30">
        <v>62.2</v>
      </c>
      <c r="AS838" s="32">
        <v>730.3</v>
      </c>
      <c r="AX838" s="30">
        <v>62.2</v>
      </c>
      <c r="AY838" s="35">
        <v>0.11402</v>
      </c>
      <c r="BA838" s="30">
        <v>62.2</v>
      </c>
      <c r="BB838" s="35">
        <v>0.11584999999999999</v>
      </c>
      <c r="BF838" s="1995"/>
    </row>
    <row r="839" spans="27:58">
      <c r="AA839" s="1994"/>
      <c r="AR839" s="30">
        <v>62.3</v>
      </c>
      <c r="AS839" s="32">
        <v>729.9</v>
      </c>
      <c r="AX839" s="30">
        <v>62.3</v>
      </c>
      <c r="AY839" s="35">
        <v>0.11396000000000001</v>
      </c>
      <c r="BA839" s="30">
        <v>62.3</v>
      </c>
      <c r="BB839" s="35">
        <v>0.11579</v>
      </c>
      <c r="BF839" s="1995"/>
    </row>
    <row r="840" spans="27:58">
      <c r="AA840" s="1994"/>
      <c r="AR840" s="30">
        <v>62.4</v>
      </c>
      <c r="AS840" s="32">
        <v>729.5</v>
      </c>
      <c r="AX840" s="30">
        <v>62.4</v>
      </c>
      <c r="AY840" s="35">
        <v>0.1139</v>
      </c>
      <c r="BA840" s="30">
        <v>62.4</v>
      </c>
      <c r="BB840" s="35">
        <v>0.11573</v>
      </c>
      <c r="BF840" s="1995"/>
    </row>
    <row r="841" spans="27:58">
      <c r="AA841" s="1994"/>
      <c r="AR841" s="30">
        <v>62.5</v>
      </c>
      <c r="AS841" s="32">
        <v>729.2</v>
      </c>
      <c r="AX841" s="30">
        <v>62.5</v>
      </c>
      <c r="AY841" s="35">
        <v>0.11384</v>
      </c>
      <c r="BA841" s="30">
        <v>62.5</v>
      </c>
      <c r="BB841" s="35">
        <v>0.11567</v>
      </c>
      <c r="BF841" s="1995"/>
    </row>
    <row r="842" spans="27:58">
      <c r="AA842" s="1994"/>
      <c r="AR842" s="30">
        <v>62.6</v>
      </c>
      <c r="AS842" s="32">
        <v>728.8</v>
      </c>
      <c r="AX842" s="30">
        <v>62.6</v>
      </c>
      <c r="AY842" s="35">
        <v>0.11379</v>
      </c>
      <c r="BA842" s="30">
        <v>62.6</v>
      </c>
      <c r="BB842" s="35">
        <v>0.11561</v>
      </c>
      <c r="BF842" s="1995"/>
    </row>
    <row r="843" spans="27:58">
      <c r="AA843" s="1994"/>
      <c r="AR843" s="30">
        <v>62.7</v>
      </c>
      <c r="AS843" s="32">
        <v>728.4</v>
      </c>
      <c r="AX843" s="30">
        <v>62.7</v>
      </c>
      <c r="AY843" s="35">
        <v>0.11373</v>
      </c>
      <c r="BA843" s="30">
        <v>62.7</v>
      </c>
      <c r="BB843" s="35">
        <v>0.11555</v>
      </c>
      <c r="BF843" s="1995"/>
    </row>
    <row r="844" spans="27:58">
      <c r="AA844" s="1994"/>
      <c r="AR844" s="30">
        <v>62.8</v>
      </c>
      <c r="AS844" s="32">
        <v>728</v>
      </c>
      <c r="AX844" s="30">
        <v>62.8</v>
      </c>
      <c r="AY844" s="35">
        <v>0.11366999999999999</v>
      </c>
      <c r="BA844" s="30">
        <v>62.8</v>
      </c>
      <c r="BB844" s="35">
        <v>0.11549</v>
      </c>
      <c r="BF844" s="1995"/>
    </row>
    <row r="845" spans="27:58">
      <c r="AA845" s="1994"/>
      <c r="AR845" s="30">
        <v>62.9</v>
      </c>
      <c r="AS845" s="32">
        <v>727.7</v>
      </c>
      <c r="AX845" s="30">
        <v>62.9</v>
      </c>
      <c r="AY845" s="35">
        <v>0.11361</v>
      </c>
      <c r="BA845" s="30">
        <v>62.9</v>
      </c>
      <c r="BB845" s="35">
        <v>0.11543</v>
      </c>
      <c r="BF845" s="1995"/>
    </row>
    <row r="846" spans="27:58">
      <c r="AA846" s="1994"/>
      <c r="AR846" s="30">
        <v>63</v>
      </c>
      <c r="AS846" s="32">
        <v>727.3</v>
      </c>
      <c r="AX846" s="30">
        <v>63</v>
      </c>
      <c r="AY846" s="35">
        <v>0.11355</v>
      </c>
      <c r="BA846" s="30">
        <v>63</v>
      </c>
      <c r="BB846" s="35">
        <v>0.11537</v>
      </c>
      <c r="BF846" s="1995"/>
    </row>
    <row r="847" spans="27:58">
      <c r="AA847" s="1994"/>
      <c r="AR847" s="30">
        <v>63.1</v>
      </c>
      <c r="AS847" s="32">
        <v>726.9</v>
      </c>
      <c r="AX847" s="30">
        <v>63.1</v>
      </c>
      <c r="AY847" s="35">
        <v>0.11348999999999999</v>
      </c>
      <c r="BA847" s="30">
        <v>63.1</v>
      </c>
      <c r="BB847" s="35">
        <v>0.11531</v>
      </c>
      <c r="BF847" s="1995"/>
    </row>
    <row r="848" spans="27:58">
      <c r="AA848" s="1994"/>
      <c r="AR848" s="30">
        <v>63.2</v>
      </c>
      <c r="AS848" s="32">
        <v>726.5</v>
      </c>
      <c r="AX848" s="30">
        <v>63.2</v>
      </c>
      <c r="AY848" s="35">
        <v>0.11343</v>
      </c>
      <c r="BA848" s="30">
        <v>63.2</v>
      </c>
      <c r="BB848" s="35">
        <v>0.11525000000000001</v>
      </c>
      <c r="BF848" s="1995"/>
    </row>
    <row r="849" spans="27:58">
      <c r="AA849" s="1994"/>
      <c r="AR849" s="30">
        <v>63.3</v>
      </c>
      <c r="AS849" s="32">
        <v>726.2</v>
      </c>
      <c r="AX849" s="30">
        <v>63.3</v>
      </c>
      <c r="AY849" s="35">
        <v>0.11337999999999999</v>
      </c>
      <c r="BA849" s="30">
        <v>63.3</v>
      </c>
      <c r="BB849" s="35">
        <v>0.1152</v>
      </c>
      <c r="BF849" s="1995"/>
    </row>
    <row r="850" spans="27:58">
      <c r="AA850" s="1994"/>
      <c r="AR850" s="30">
        <v>63.4</v>
      </c>
      <c r="AS850" s="32">
        <v>725.8</v>
      </c>
      <c r="AX850" s="30">
        <v>63.4</v>
      </c>
      <c r="AY850" s="35">
        <v>0.11332</v>
      </c>
      <c r="BA850" s="30">
        <v>63.4</v>
      </c>
      <c r="BB850" s="35">
        <v>0.11514000000000001</v>
      </c>
      <c r="BF850" s="1995"/>
    </row>
    <row r="851" spans="27:58">
      <c r="AA851" s="1994"/>
      <c r="AR851" s="30">
        <v>63.5</v>
      </c>
      <c r="AS851" s="32">
        <v>725.4</v>
      </c>
      <c r="AX851" s="30">
        <v>63.5</v>
      </c>
      <c r="AY851" s="35">
        <v>0.11326</v>
      </c>
      <c r="BA851" s="30">
        <v>63.5</v>
      </c>
      <c r="BB851" s="35">
        <v>0.11508</v>
      </c>
      <c r="BF851" s="1995"/>
    </row>
    <row r="852" spans="27:58">
      <c r="AA852" s="1994"/>
      <c r="AR852" s="30">
        <v>63.6</v>
      </c>
      <c r="AS852" s="32">
        <v>725.1</v>
      </c>
      <c r="AX852" s="30">
        <v>63.6</v>
      </c>
      <c r="AY852" s="35">
        <v>0.1132</v>
      </c>
      <c r="BA852" s="30">
        <v>63.6</v>
      </c>
      <c r="BB852" s="35">
        <v>0.11502</v>
      </c>
      <c r="BF852" s="1995"/>
    </row>
    <row r="853" spans="27:58">
      <c r="AA853" s="1994"/>
      <c r="AR853" s="30">
        <v>63.7</v>
      </c>
      <c r="AS853" s="32">
        <v>724.7</v>
      </c>
      <c r="AX853" s="30">
        <v>63.7</v>
      </c>
      <c r="AY853" s="35">
        <v>0.11314</v>
      </c>
      <c r="BA853" s="30">
        <v>63.7</v>
      </c>
      <c r="BB853" s="35">
        <v>0.11496000000000001</v>
      </c>
      <c r="BF853" s="1995"/>
    </row>
    <row r="854" spans="27:58">
      <c r="AA854" s="1994"/>
      <c r="AR854" s="30">
        <v>63.8</v>
      </c>
      <c r="AS854" s="32">
        <v>724.3</v>
      </c>
      <c r="AX854" s="30">
        <v>63.8</v>
      </c>
      <c r="AY854" s="35">
        <v>0.11309</v>
      </c>
      <c r="BA854" s="30">
        <v>63.8</v>
      </c>
      <c r="BB854" s="35">
        <v>0.1149</v>
      </c>
      <c r="BF854" s="1995"/>
    </row>
    <row r="855" spans="27:58">
      <c r="AA855" s="1994"/>
      <c r="AR855" s="30">
        <v>63.9</v>
      </c>
      <c r="AS855" s="32">
        <v>723.9</v>
      </c>
      <c r="AX855" s="30">
        <v>63.9</v>
      </c>
      <c r="AY855" s="35">
        <v>0.11303000000000001</v>
      </c>
      <c r="BA855" s="30">
        <v>63.9</v>
      </c>
      <c r="BB855" s="35">
        <v>0.11484</v>
      </c>
      <c r="BF855" s="1995"/>
    </row>
    <row r="856" spans="27:58">
      <c r="AA856" s="1994"/>
      <c r="AR856" s="30">
        <v>64</v>
      </c>
      <c r="AS856" s="32">
        <v>723.6</v>
      </c>
      <c r="AX856" s="30">
        <v>64</v>
      </c>
      <c r="AY856" s="35">
        <v>0.11297</v>
      </c>
      <c r="BA856" s="30">
        <v>64</v>
      </c>
      <c r="BB856" s="35">
        <v>0.11477999999999999</v>
      </c>
      <c r="BF856" s="1995"/>
    </row>
    <row r="857" spans="27:58">
      <c r="AA857" s="1994"/>
      <c r="AR857" s="30">
        <v>64.099999999999994</v>
      </c>
      <c r="AS857" s="32">
        <v>723.2</v>
      </c>
      <c r="AX857" s="30">
        <v>64.099999999999994</v>
      </c>
      <c r="AY857" s="35">
        <v>0.11291</v>
      </c>
      <c r="BA857" s="30">
        <v>64.099999999999994</v>
      </c>
      <c r="BB857" s="35">
        <v>0.11472</v>
      </c>
      <c r="BF857" s="1995"/>
    </row>
    <row r="858" spans="27:58">
      <c r="AA858" s="1994"/>
      <c r="AR858" s="30">
        <v>64.2</v>
      </c>
      <c r="AS858" s="32">
        <v>722.8</v>
      </c>
      <c r="AX858" s="30">
        <v>64.2</v>
      </c>
      <c r="AY858" s="35">
        <v>0.11285000000000001</v>
      </c>
      <c r="BA858" s="30">
        <v>64.2</v>
      </c>
      <c r="BB858" s="35">
        <v>0.11466</v>
      </c>
      <c r="BF858" s="1995"/>
    </row>
    <row r="859" spans="27:58">
      <c r="AA859" s="1994"/>
      <c r="AR859" s="30">
        <v>64.3</v>
      </c>
      <c r="AS859" s="32">
        <v>722.5</v>
      </c>
      <c r="AX859" s="30">
        <v>64.3</v>
      </c>
      <c r="AY859" s="35">
        <v>0.1128</v>
      </c>
      <c r="BA859" s="30">
        <v>64.3</v>
      </c>
      <c r="BB859" s="35">
        <v>0.11461</v>
      </c>
      <c r="BF859" s="1995"/>
    </row>
    <row r="860" spans="27:58">
      <c r="AA860" s="1994"/>
      <c r="AR860" s="30">
        <v>64.400000000000006</v>
      </c>
      <c r="AS860" s="32">
        <v>722.1</v>
      </c>
      <c r="AX860" s="30">
        <v>64.400000000000006</v>
      </c>
      <c r="AY860" s="35">
        <v>0.11274000000000001</v>
      </c>
      <c r="BA860" s="30">
        <v>64.400000000000006</v>
      </c>
      <c r="BB860" s="35">
        <v>0.11455</v>
      </c>
      <c r="BF860" s="1995"/>
    </row>
    <row r="861" spans="27:58">
      <c r="AA861" s="1994"/>
      <c r="AR861" s="30">
        <v>64.5</v>
      </c>
      <c r="AS861" s="32">
        <v>721.7</v>
      </c>
      <c r="AX861" s="30">
        <v>64.5</v>
      </c>
      <c r="AY861" s="35">
        <v>0.11268</v>
      </c>
      <c r="BA861" s="30">
        <v>64.5</v>
      </c>
      <c r="BB861" s="35">
        <v>0.11448999999999999</v>
      </c>
      <c r="BF861" s="1995"/>
    </row>
    <row r="862" spans="27:58">
      <c r="AA862" s="1994"/>
      <c r="AR862" s="30">
        <v>64.599999999999994</v>
      </c>
      <c r="AS862" s="32">
        <v>721.4</v>
      </c>
      <c r="AX862" s="30">
        <v>64.599999999999994</v>
      </c>
      <c r="AY862" s="35">
        <v>0.11262</v>
      </c>
      <c r="BA862" s="30">
        <v>64.599999999999994</v>
      </c>
      <c r="BB862" s="35">
        <v>0.11443</v>
      </c>
      <c r="BF862" s="1995"/>
    </row>
    <row r="863" spans="27:58">
      <c r="AA863" s="1994"/>
      <c r="AR863" s="30">
        <v>64.7</v>
      </c>
      <c r="AS863" s="32">
        <v>721</v>
      </c>
      <c r="AX863" s="30">
        <v>64.7</v>
      </c>
      <c r="AY863" s="35">
        <v>0.11257</v>
      </c>
      <c r="BA863" s="30">
        <v>64.7</v>
      </c>
      <c r="BB863" s="35">
        <v>0.11437</v>
      </c>
      <c r="BF863" s="1995"/>
    </row>
    <row r="864" spans="27:58">
      <c r="AA864" s="1994"/>
      <c r="AR864" s="30">
        <v>64.8</v>
      </c>
      <c r="AS864" s="32">
        <v>720.6</v>
      </c>
      <c r="AX864" s="30">
        <v>64.8</v>
      </c>
      <c r="AY864" s="35">
        <v>0.11251</v>
      </c>
      <c r="BA864" s="30">
        <v>64.8</v>
      </c>
      <c r="BB864" s="35">
        <v>0.11430999999999999</v>
      </c>
      <c r="BF864" s="1995"/>
    </row>
    <row r="865" spans="27:58">
      <c r="AA865" s="1994"/>
      <c r="AR865" s="30">
        <v>64.900000000000006</v>
      </c>
      <c r="AS865" s="32">
        <v>720.3</v>
      </c>
      <c r="AX865" s="30">
        <v>64.900000000000006</v>
      </c>
      <c r="AY865" s="35">
        <v>0.11244999999999999</v>
      </c>
      <c r="BA865" s="30">
        <v>64.900000000000006</v>
      </c>
      <c r="BB865" s="35">
        <v>0.11426</v>
      </c>
      <c r="BF865" s="1995"/>
    </row>
    <row r="866" spans="27:58">
      <c r="AA866" s="1994"/>
      <c r="AR866" s="30">
        <v>65</v>
      </c>
      <c r="AS866" s="32">
        <v>719.9</v>
      </c>
      <c r="AX866" s="30">
        <v>65</v>
      </c>
      <c r="AY866" s="35">
        <v>0.11239</v>
      </c>
      <c r="BA866" s="30">
        <v>65</v>
      </c>
      <c r="BB866" s="35">
        <v>0.1142</v>
      </c>
      <c r="BF866" s="1995"/>
    </row>
    <row r="867" spans="27:58">
      <c r="AA867" s="1994"/>
      <c r="AR867" s="30">
        <v>65.099999999999994</v>
      </c>
      <c r="AS867" s="32">
        <v>719.5</v>
      </c>
      <c r="AX867" s="30">
        <v>65.099999999999994</v>
      </c>
      <c r="AY867" s="35">
        <v>0.11234</v>
      </c>
      <c r="BA867" s="30">
        <v>65.099999999999994</v>
      </c>
      <c r="BB867" s="35">
        <v>0.11414000000000001</v>
      </c>
      <c r="BF867" s="1995"/>
    </row>
    <row r="868" spans="27:58">
      <c r="AA868" s="1994"/>
      <c r="AR868" s="30">
        <v>65.2</v>
      </c>
      <c r="AS868" s="32">
        <v>719.2</v>
      </c>
      <c r="AX868" s="30">
        <v>65.2</v>
      </c>
      <c r="AY868" s="35">
        <v>0.11228</v>
      </c>
      <c r="BA868" s="30">
        <v>65.2</v>
      </c>
      <c r="BB868" s="35">
        <v>0.11408</v>
      </c>
      <c r="BF868" s="1995"/>
    </row>
    <row r="869" spans="27:58">
      <c r="AA869" s="1994"/>
      <c r="AR869" s="30">
        <v>65.3</v>
      </c>
      <c r="AS869" s="32">
        <v>718.8</v>
      </c>
      <c r="AX869" s="30">
        <v>65.3</v>
      </c>
      <c r="AY869" s="35">
        <v>0.11222</v>
      </c>
      <c r="BA869" s="30">
        <v>65.3</v>
      </c>
      <c r="BB869" s="35">
        <v>0.11402</v>
      </c>
      <c r="BF869" s="1995"/>
    </row>
    <row r="870" spans="27:58">
      <c r="AA870" s="1994"/>
      <c r="AR870" s="30">
        <v>65.400000000000006</v>
      </c>
      <c r="AS870" s="32">
        <v>718.4</v>
      </c>
      <c r="AX870" s="30">
        <v>65.400000000000006</v>
      </c>
      <c r="AY870" s="35">
        <v>0.11216</v>
      </c>
      <c r="BA870" s="30">
        <v>65.400000000000006</v>
      </c>
      <c r="BB870" s="35">
        <v>0.11396000000000001</v>
      </c>
      <c r="BF870" s="1995"/>
    </row>
    <row r="871" spans="27:58">
      <c r="AA871" s="1994"/>
      <c r="AR871" s="30">
        <v>65.5</v>
      </c>
      <c r="AS871" s="32">
        <v>718.1</v>
      </c>
      <c r="AX871" s="30">
        <v>65.5</v>
      </c>
      <c r="AY871" s="35">
        <v>0.11211</v>
      </c>
      <c r="BA871" s="30">
        <v>65.5</v>
      </c>
      <c r="BB871" s="35">
        <v>0.11391</v>
      </c>
      <c r="BF871" s="1995"/>
    </row>
    <row r="872" spans="27:58">
      <c r="AA872" s="1994"/>
      <c r="AR872" s="30">
        <v>65.599999999999994</v>
      </c>
      <c r="AS872" s="32">
        <v>717.7</v>
      </c>
      <c r="AX872" s="30">
        <v>65.599999999999994</v>
      </c>
      <c r="AY872" s="35">
        <v>0.11205</v>
      </c>
      <c r="BA872" s="30">
        <v>65.599999999999994</v>
      </c>
      <c r="BB872" s="35">
        <v>0.11385000000000001</v>
      </c>
      <c r="BF872" s="1995"/>
    </row>
    <row r="873" spans="27:58">
      <c r="AA873" s="1994"/>
      <c r="AR873" s="30">
        <v>65.7</v>
      </c>
      <c r="AS873" s="32">
        <v>717.3</v>
      </c>
      <c r="AX873" s="30">
        <v>65.7</v>
      </c>
      <c r="AY873" s="35">
        <v>0.11199000000000001</v>
      </c>
      <c r="BA873" s="30">
        <v>65.7</v>
      </c>
      <c r="BB873" s="35">
        <v>0.11379</v>
      </c>
      <c r="BF873" s="1995"/>
    </row>
    <row r="874" spans="27:58">
      <c r="AA874" s="1994"/>
      <c r="AR874" s="30">
        <v>65.8</v>
      </c>
      <c r="AS874" s="32">
        <v>717</v>
      </c>
      <c r="AX874" s="30">
        <v>65.8</v>
      </c>
      <c r="AY874" s="35">
        <v>0.11194</v>
      </c>
      <c r="BA874" s="30">
        <v>65.8</v>
      </c>
      <c r="BB874" s="35">
        <v>0.11373</v>
      </c>
      <c r="BF874" s="1995"/>
    </row>
    <row r="875" spans="27:58">
      <c r="AA875" s="1994"/>
      <c r="AR875" s="30">
        <v>65.900000000000006</v>
      </c>
      <c r="AS875" s="32">
        <v>716.6</v>
      </c>
      <c r="AX875" s="30">
        <v>65.900000000000006</v>
      </c>
      <c r="AY875" s="35">
        <v>0.11187999999999999</v>
      </c>
      <c r="BA875" s="30">
        <v>65.900000000000006</v>
      </c>
      <c r="BB875" s="35">
        <v>0.11368</v>
      </c>
      <c r="BF875" s="1995"/>
    </row>
    <row r="876" spans="27:58">
      <c r="AA876" s="1994"/>
      <c r="AR876" s="30">
        <v>66</v>
      </c>
      <c r="AS876" s="32">
        <v>716.3</v>
      </c>
      <c r="AX876" s="30">
        <v>66</v>
      </c>
      <c r="AY876" s="35">
        <v>0.11182</v>
      </c>
      <c r="BA876" s="30">
        <v>66</v>
      </c>
      <c r="BB876" s="35">
        <v>0.11362</v>
      </c>
      <c r="BF876" s="1995"/>
    </row>
    <row r="877" spans="27:58">
      <c r="AA877" s="1994"/>
      <c r="AR877" s="30">
        <v>66.099999999999994</v>
      </c>
      <c r="AS877" s="32">
        <v>715.9</v>
      </c>
      <c r="AX877" s="30">
        <v>66.099999999999994</v>
      </c>
      <c r="AY877" s="35">
        <v>0.11176999999999999</v>
      </c>
      <c r="BA877" s="30">
        <v>66.099999999999994</v>
      </c>
      <c r="BB877" s="35">
        <v>0.11355999999999999</v>
      </c>
      <c r="BF877" s="1995"/>
    </row>
    <row r="878" spans="27:58">
      <c r="AA878" s="1994"/>
      <c r="AR878" s="30">
        <v>66.2</v>
      </c>
      <c r="AS878" s="32">
        <v>715.5</v>
      </c>
      <c r="AX878" s="30">
        <v>66.2</v>
      </c>
      <c r="AY878" s="35">
        <v>0.11171</v>
      </c>
      <c r="BA878" s="30">
        <v>66.2</v>
      </c>
      <c r="BB878" s="35">
        <v>0.1135</v>
      </c>
      <c r="BF878" s="1995"/>
    </row>
    <row r="879" spans="27:58">
      <c r="AA879" s="1994"/>
      <c r="AR879" s="30">
        <v>66.3</v>
      </c>
      <c r="AS879" s="32">
        <v>715.2</v>
      </c>
      <c r="AX879" s="30">
        <v>66.3</v>
      </c>
      <c r="AY879" s="35">
        <v>0.11165</v>
      </c>
      <c r="BA879" s="30">
        <v>66.3</v>
      </c>
      <c r="BB879" s="35">
        <v>0.11345</v>
      </c>
      <c r="BF879" s="1995"/>
    </row>
    <row r="880" spans="27:58">
      <c r="AA880" s="1994"/>
      <c r="AR880" s="30">
        <v>66.400000000000006</v>
      </c>
      <c r="AS880" s="32">
        <v>714.8</v>
      </c>
      <c r="AX880" s="30">
        <v>66.400000000000006</v>
      </c>
      <c r="AY880" s="35">
        <v>0.1116</v>
      </c>
      <c r="BA880" s="30">
        <v>66.400000000000006</v>
      </c>
      <c r="BB880" s="35">
        <v>0.11339</v>
      </c>
      <c r="BF880" s="1995"/>
    </row>
    <row r="881" spans="27:58">
      <c r="AA881" s="1994"/>
      <c r="AR881" s="30">
        <v>66.5</v>
      </c>
      <c r="AS881" s="32">
        <v>714.5</v>
      </c>
      <c r="AX881" s="30">
        <v>66.5</v>
      </c>
      <c r="AY881" s="35">
        <v>0.11154</v>
      </c>
      <c r="BA881" s="30">
        <v>66.5</v>
      </c>
      <c r="BB881" s="35">
        <v>0.11333</v>
      </c>
      <c r="BF881" s="1995"/>
    </row>
    <row r="882" spans="27:58">
      <c r="AA882" s="1994"/>
      <c r="AR882" s="30">
        <v>66.599999999999994</v>
      </c>
      <c r="AS882" s="32">
        <v>714.1</v>
      </c>
      <c r="AX882" s="30">
        <v>66.599999999999994</v>
      </c>
      <c r="AY882" s="35">
        <v>0.11148</v>
      </c>
      <c r="BA882" s="30">
        <v>66.599999999999994</v>
      </c>
      <c r="BB882" s="35">
        <v>0.11327</v>
      </c>
      <c r="BF882" s="1995"/>
    </row>
    <row r="883" spans="27:58">
      <c r="AA883" s="1994"/>
      <c r="AR883" s="30">
        <v>66.7</v>
      </c>
      <c r="AS883" s="32">
        <v>713.7</v>
      </c>
      <c r="AX883" s="30">
        <v>66.7</v>
      </c>
      <c r="AY883" s="35">
        <v>0.11143</v>
      </c>
      <c r="BA883" s="30">
        <v>66.7</v>
      </c>
      <c r="BB883" s="35">
        <v>0.11322</v>
      </c>
      <c r="BF883" s="1995"/>
    </row>
    <row r="884" spans="27:58">
      <c r="AA884" s="1994"/>
      <c r="AR884" s="30">
        <v>66.8</v>
      </c>
      <c r="AS884" s="32">
        <v>713.4</v>
      </c>
      <c r="AX884" s="30">
        <v>66.8</v>
      </c>
      <c r="AY884" s="35">
        <v>0.11137</v>
      </c>
      <c r="BA884" s="30">
        <v>66.8</v>
      </c>
      <c r="BB884" s="35">
        <v>0.11316</v>
      </c>
      <c r="BF884" s="1995"/>
    </row>
    <row r="885" spans="27:58">
      <c r="AA885" s="1994"/>
      <c r="AR885" s="30">
        <v>66.900000000000006</v>
      </c>
      <c r="AS885" s="32">
        <v>713</v>
      </c>
      <c r="AX885" s="30">
        <v>66.900000000000006</v>
      </c>
      <c r="AY885" s="35">
        <v>0.11132</v>
      </c>
      <c r="BA885" s="30">
        <v>66.900000000000006</v>
      </c>
      <c r="BB885" s="35">
        <v>0.11310000000000001</v>
      </c>
      <c r="BF885" s="1995"/>
    </row>
    <row r="886" spans="27:58">
      <c r="AA886" s="1994"/>
      <c r="AR886" s="30">
        <v>67</v>
      </c>
      <c r="AS886" s="32">
        <v>712.7</v>
      </c>
      <c r="AX886" s="30">
        <v>67</v>
      </c>
      <c r="AY886" s="35">
        <v>0.11126</v>
      </c>
      <c r="BA886" s="30">
        <v>67</v>
      </c>
      <c r="BB886" s="35">
        <v>0.11304</v>
      </c>
      <c r="BF886" s="1995"/>
    </row>
    <row r="887" spans="27:58">
      <c r="AA887" s="1994"/>
      <c r="AR887" s="30">
        <v>67.099999999999994</v>
      </c>
      <c r="AS887" s="32">
        <v>712.3</v>
      </c>
      <c r="AX887" s="30">
        <v>67.099999999999994</v>
      </c>
      <c r="AY887" s="35">
        <v>0.11119999999999999</v>
      </c>
      <c r="BA887" s="30">
        <v>67.099999999999994</v>
      </c>
      <c r="BB887" s="35">
        <v>0.11298999999999999</v>
      </c>
      <c r="BF887" s="1995"/>
    </row>
    <row r="888" spans="27:58">
      <c r="AA888" s="1994"/>
      <c r="AR888" s="30">
        <v>67.2</v>
      </c>
      <c r="AS888" s="32">
        <v>711.9</v>
      </c>
      <c r="AX888" s="30">
        <v>67.2</v>
      </c>
      <c r="AY888" s="35">
        <v>0.11115</v>
      </c>
      <c r="BA888" s="30">
        <v>67.2</v>
      </c>
      <c r="BB888" s="35">
        <v>0.11293</v>
      </c>
      <c r="BF888" s="1995"/>
    </row>
    <row r="889" spans="27:58">
      <c r="AA889" s="1994"/>
      <c r="AR889" s="30">
        <v>67.3</v>
      </c>
      <c r="AS889" s="32">
        <v>711.6</v>
      </c>
      <c r="AX889" s="30">
        <v>67.3</v>
      </c>
      <c r="AY889" s="35">
        <v>0.11108999999999999</v>
      </c>
      <c r="BA889" s="30">
        <v>67.3</v>
      </c>
      <c r="BB889" s="35">
        <v>0.11287</v>
      </c>
      <c r="BF889" s="1995"/>
    </row>
    <row r="890" spans="27:58">
      <c r="AA890" s="1994"/>
      <c r="AR890" s="30">
        <v>67.400000000000006</v>
      </c>
      <c r="AS890" s="32">
        <v>711.2</v>
      </c>
      <c r="AX890" s="30">
        <v>67.400000000000006</v>
      </c>
      <c r="AY890" s="35">
        <v>0.11103</v>
      </c>
      <c r="BA890" s="30">
        <v>67.400000000000006</v>
      </c>
      <c r="BB890" s="35">
        <v>0.11282</v>
      </c>
      <c r="BF890" s="1995"/>
    </row>
    <row r="891" spans="27:58">
      <c r="AA891" s="1994"/>
      <c r="AR891" s="30">
        <v>67.5</v>
      </c>
      <c r="AS891" s="32">
        <v>710.9</v>
      </c>
      <c r="AX891" s="30">
        <v>67.5</v>
      </c>
      <c r="AY891" s="35">
        <v>0.11098</v>
      </c>
      <c r="BA891" s="30">
        <v>67.5</v>
      </c>
      <c r="BB891" s="35">
        <v>0.11276</v>
      </c>
      <c r="BF891" s="1995"/>
    </row>
    <row r="892" spans="27:58">
      <c r="AA892" s="1994"/>
      <c r="AR892" s="30">
        <v>67.599999999999994</v>
      </c>
      <c r="AS892" s="32">
        <v>710.5</v>
      </c>
      <c r="AX892" s="30">
        <v>67.599999999999994</v>
      </c>
      <c r="AY892" s="35">
        <v>0.11092</v>
      </c>
      <c r="BA892" s="30">
        <v>67.599999999999994</v>
      </c>
      <c r="BB892" s="35">
        <v>0.11269999999999999</v>
      </c>
      <c r="BF892" s="1995"/>
    </row>
    <row r="893" spans="27:58">
      <c r="AA893" s="1994"/>
      <c r="AR893" s="30">
        <v>67.7</v>
      </c>
      <c r="AS893" s="32">
        <v>710.2</v>
      </c>
      <c r="AX893" s="30">
        <v>67.7</v>
      </c>
      <c r="AY893" s="35">
        <v>0.11087</v>
      </c>
      <c r="BA893" s="30">
        <v>67.7</v>
      </c>
      <c r="BB893" s="35">
        <v>0.11265</v>
      </c>
      <c r="BF893" s="1995"/>
    </row>
    <row r="894" spans="27:58">
      <c r="AA894" s="1994"/>
      <c r="AR894" s="30">
        <v>67.8</v>
      </c>
      <c r="AS894" s="32">
        <v>709.8</v>
      </c>
      <c r="AX894" s="30">
        <v>67.8</v>
      </c>
      <c r="AY894" s="35">
        <v>0.11081000000000001</v>
      </c>
      <c r="BA894" s="30">
        <v>67.8</v>
      </c>
      <c r="BB894" s="35">
        <v>0.11259</v>
      </c>
      <c r="BF894" s="1995"/>
    </row>
    <row r="895" spans="27:58">
      <c r="AA895" s="1994"/>
      <c r="AR895" s="30">
        <v>67.900000000000006</v>
      </c>
      <c r="AS895" s="32">
        <v>709.4</v>
      </c>
      <c r="AX895" s="30">
        <v>67.900000000000006</v>
      </c>
      <c r="AY895" s="35">
        <v>0.11076</v>
      </c>
      <c r="BA895" s="30">
        <v>67.900000000000006</v>
      </c>
      <c r="BB895" s="35">
        <v>0.11253000000000001</v>
      </c>
      <c r="BF895" s="1995"/>
    </row>
    <row r="896" spans="27:58">
      <c r="AA896" s="1994"/>
      <c r="AR896" s="30">
        <v>68</v>
      </c>
      <c r="AS896" s="32">
        <v>709.1</v>
      </c>
      <c r="AX896" s="30">
        <v>68</v>
      </c>
      <c r="AY896" s="35">
        <v>0.11070000000000001</v>
      </c>
      <c r="BA896" s="30">
        <v>68</v>
      </c>
      <c r="BB896" s="35">
        <v>0.11248</v>
      </c>
      <c r="BF896" s="1995"/>
    </row>
    <row r="897" spans="27:58">
      <c r="AA897" s="1994"/>
      <c r="AR897" s="30">
        <v>68.099999999999994</v>
      </c>
      <c r="AS897" s="32">
        <v>708.7</v>
      </c>
      <c r="AX897" s="30">
        <v>68.099999999999994</v>
      </c>
      <c r="AY897" s="35">
        <v>0.11064</v>
      </c>
      <c r="BA897" s="30">
        <v>68.099999999999994</v>
      </c>
      <c r="BB897" s="35">
        <v>0.11242000000000001</v>
      </c>
      <c r="BF897" s="1995"/>
    </row>
    <row r="898" spans="27:58">
      <c r="AA898" s="1994"/>
      <c r="AR898" s="30">
        <v>68.2</v>
      </c>
      <c r="AS898" s="32">
        <v>708.4</v>
      </c>
      <c r="AX898" s="30">
        <v>68.2</v>
      </c>
      <c r="AY898" s="35">
        <v>0.11058999999999999</v>
      </c>
      <c r="BA898" s="30">
        <v>68.2</v>
      </c>
      <c r="BB898" s="35">
        <v>0.11236</v>
      </c>
      <c r="BF898" s="1995"/>
    </row>
    <row r="899" spans="27:58">
      <c r="AA899" s="1994"/>
      <c r="AR899" s="30">
        <v>68.3</v>
      </c>
      <c r="AS899" s="32">
        <v>708</v>
      </c>
      <c r="AX899" s="30">
        <v>68.3</v>
      </c>
      <c r="AY899" s="35">
        <v>0.11053</v>
      </c>
      <c r="BA899" s="30">
        <v>68.3</v>
      </c>
      <c r="BB899" s="35">
        <v>0.11230999999999999</v>
      </c>
      <c r="BF899" s="1995"/>
    </row>
    <row r="900" spans="27:58">
      <c r="AA900" s="1994"/>
      <c r="AR900" s="30">
        <v>68.400000000000006</v>
      </c>
      <c r="AS900" s="32">
        <v>707.7</v>
      </c>
      <c r="AX900" s="30">
        <v>68.400000000000006</v>
      </c>
      <c r="AY900" s="35">
        <v>0.11047999999999999</v>
      </c>
      <c r="BA900" s="30">
        <v>68.400000000000006</v>
      </c>
      <c r="BB900" s="35">
        <v>0.11225</v>
      </c>
      <c r="BF900" s="1995"/>
    </row>
    <row r="901" spans="27:58">
      <c r="AA901" s="1994"/>
      <c r="AR901" s="30">
        <v>68.5</v>
      </c>
      <c r="AS901" s="32">
        <v>707.3</v>
      </c>
      <c r="AX901" s="30">
        <v>68.5</v>
      </c>
      <c r="AY901" s="35">
        <v>0.11042</v>
      </c>
      <c r="BA901" s="30">
        <v>68.5</v>
      </c>
      <c r="BB901" s="35">
        <v>0.11219999999999999</v>
      </c>
      <c r="BF901" s="1995"/>
    </row>
    <row r="902" spans="27:58">
      <c r="AA902" s="1994"/>
      <c r="AR902" s="30">
        <v>68.599999999999994</v>
      </c>
      <c r="AS902" s="32">
        <v>707</v>
      </c>
      <c r="AX902" s="30">
        <v>68.599999999999994</v>
      </c>
      <c r="AY902" s="35">
        <v>0.11037</v>
      </c>
      <c r="BA902" s="30">
        <v>68.599999999999994</v>
      </c>
      <c r="BB902" s="35">
        <v>0.11214</v>
      </c>
      <c r="BF902" s="1995"/>
    </row>
    <row r="903" spans="27:58">
      <c r="AA903" s="1994"/>
      <c r="AR903" s="30">
        <v>68.7</v>
      </c>
      <c r="AS903" s="32">
        <v>706.6</v>
      </c>
      <c r="AX903" s="30">
        <v>68.7</v>
      </c>
      <c r="AY903" s="35">
        <v>0.11031000000000001</v>
      </c>
      <c r="BA903" s="30">
        <v>68.7</v>
      </c>
      <c r="BB903" s="35">
        <v>0.11208</v>
      </c>
      <c r="BF903" s="1995"/>
    </row>
    <row r="904" spans="27:58">
      <c r="AA904" s="1994"/>
      <c r="AR904" s="30">
        <v>68.8</v>
      </c>
      <c r="AS904" s="32">
        <v>706.3</v>
      </c>
      <c r="AX904" s="30">
        <v>68.8</v>
      </c>
      <c r="AY904" s="35">
        <v>0.11026</v>
      </c>
      <c r="BA904" s="30">
        <v>68.8</v>
      </c>
      <c r="BB904" s="35">
        <v>0.11203</v>
      </c>
      <c r="BF904" s="1995"/>
    </row>
    <row r="905" spans="27:58">
      <c r="AA905" s="1994"/>
      <c r="AR905" s="30">
        <v>68.900000000000006</v>
      </c>
      <c r="AS905" s="32">
        <v>705.9</v>
      </c>
      <c r="AX905" s="30">
        <v>68.900000000000006</v>
      </c>
      <c r="AY905" s="35">
        <v>0.11020000000000001</v>
      </c>
      <c r="BA905" s="30">
        <v>68.900000000000006</v>
      </c>
      <c r="BB905" s="35">
        <v>0.11197</v>
      </c>
      <c r="BF905" s="1995"/>
    </row>
    <row r="906" spans="27:58">
      <c r="AA906" s="1994"/>
      <c r="AR906" s="30">
        <v>69</v>
      </c>
      <c r="AS906" s="32">
        <v>705.6</v>
      </c>
      <c r="AX906" s="30">
        <v>69</v>
      </c>
      <c r="AY906" s="35">
        <v>0.11015</v>
      </c>
      <c r="BA906" s="30">
        <v>69</v>
      </c>
      <c r="BB906" s="35">
        <v>0.11191</v>
      </c>
      <c r="BF906" s="1995"/>
    </row>
    <row r="907" spans="27:58">
      <c r="AA907" s="1994"/>
      <c r="AR907" s="30">
        <v>69.099999999999994</v>
      </c>
      <c r="AS907" s="32">
        <v>705.2</v>
      </c>
      <c r="AX907" s="30">
        <v>69.099999999999994</v>
      </c>
      <c r="AY907" s="35">
        <v>0.11008999999999999</v>
      </c>
      <c r="BA907" s="30">
        <v>69.099999999999994</v>
      </c>
      <c r="BB907" s="35">
        <v>0.11186</v>
      </c>
      <c r="BF907" s="1995"/>
    </row>
    <row r="908" spans="27:58">
      <c r="AA908" s="1994"/>
      <c r="AR908" s="30">
        <v>69.2</v>
      </c>
      <c r="AS908" s="32">
        <v>704.9</v>
      </c>
      <c r="AX908" s="30">
        <v>69.2</v>
      </c>
      <c r="AY908" s="35">
        <v>0.11004</v>
      </c>
      <c r="BA908" s="30">
        <v>69.2</v>
      </c>
      <c r="BB908" s="35">
        <v>0.1118</v>
      </c>
      <c r="BF908" s="1995"/>
    </row>
    <row r="909" spans="27:58">
      <c r="AA909" s="1994"/>
      <c r="AR909" s="30">
        <v>69.3</v>
      </c>
      <c r="AS909" s="32">
        <v>704.5</v>
      </c>
      <c r="AX909" s="30">
        <v>69.3</v>
      </c>
      <c r="AY909" s="35">
        <v>0.10997999999999999</v>
      </c>
      <c r="BA909" s="30">
        <v>69.3</v>
      </c>
      <c r="BB909" s="35">
        <v>0.11175</v>
      </c>
      <c r="BF909" s="1995"/>
    </row>
    <row r="910" spans="27:58">
      <c r="AA910" s="1994"/>
      <c r="AR910" s="30">
        <v>69.400000000000006</v>
      </c>
      <c r="AS910" s="32">
        <v>704.2</v>
      </c>
      <c r="AX910" s="30">
        <v>69.400000000000006</v>
      </c>
      <c r="AY910" s="35">
        <v>0.10993</v>
      </c>
      <c r="BA910" s="30">
        <v>69.400000000000006</v>
      </c>
      <c r="BB910" s="35">
        <v>0.11169</v>
      </c>
      <c r="BF910" s="1995"/>
    </row>
    <row r="911" spans="27:58">
      <c r="AA911" s="1994"/>
      <c r="AR911" s="30">
        <v>69.5</v>
      </c>
      <c r="AS911" s="32">
        <v>703.8</v>
      </c>
      <c r="AX911" s="30">
        <v>69.5</v>
      </c>
      <c r="AY911" s="35">
        <v>0.10987</v>
      </c>
      <c r="BA911" s="30">
        <v>69.5</v>
      </c>
      <c r="BB911" s="35">
        <v>0.11164</v>
      </c>
      <c r="BF911" s="1995"/>
    </row>
    <row r="912" spans="27:58">
      <c r="AA912" s="1994"/>
      <c r="AR912" s="30">
        <v>69.599999999999994</v>
      </c>
      <c r="AS912" s="32">
        <v>703.5</v>
      </c>
      <c r="AX912" s="30">
        <v>69.599999999999994</v>
      </c>
      <c r="AY912" s="35">
        <v>0.10982</v>
      </c>
      <c r="BA912" s="30">
        <v>69.599999999999994</v>
      </c>
      <c r="BB912" s="35">
        <v>0.11158</v>
      </c>
      <c r="BF912" s="1995"/>
    </row>
    <row r="913" spans="27:58">
      <c r="AA913" s="1994"/>
      <c r="AR913" s="30">
        <v>69.7</v>
      </c>
      <c r="AS913" s="32">
        <v>703.1</v>
      </c>
      <c r="AX913" s="30">
        <v>69.7</v>
      </c>
      <c r="AY913" s="35">
        <v>0.10976</v>
      </c>
      <c r="BA913" s="30">
        <v>69.7</v>
      </c>
      <c r="BB913" s="35">
        <v>0.11151999999999999</v>
      </c>
      <c r="BF913" s="1995"/>
    </row>
    <row r="914" spans="27:58">
      <c r="AA914" s="1994"/>
      <c r="AR914" s="30">
        <v>69.8</v>
      </c>
      <c r="AS914" s="32">
        <v>702.8</v>
      </c>
      <c r="AX914" s="30">
        <v>69.8</v>
      </c>
      <c r="AY914" s="35">
        <v>0.10971</v>
      </c>
      <c r="BA914" s="30">
        <v>69.8</v>
      </c>
      <c r="BB914" s="35">
        <v>0.11147</v>
      </c>
      <c r="BF914" s="1995"/>
    </row>
    <row r="915" spans="27:58">
      <c r="AA915" s="1994"/>
      <c r="AR915" s="30">
        <v>69.900000000000006</v>
      </c>
      <c r="AS915" s="32">
        <v>702.4</v>
      </c>
      <c r="AX915" s="30">
        <v>69.900000000000006</v>
      </c>
      <c r="AY915" s="35">
        <v>0.10965</v>
      </c>
      <c r="BA915" s="30">
        <v>69.900000000000006</v>
      </c>
      <c r="BB915" s="35">
        <v>0.11141</v>
      </c>
      <c r="BF915" s="1995"/>
    </row>
    <row r="916" spans="27:58">
      <c r="AA916" s="1994"/>
      <c r="AR916" s="30">
        <v>70</v>
      </c>
      <c r="AS916" s="32">
        <v>702.1</v>
      </c>
      <c r="AX916" s="30">
        <v>70</v>
      </c>
      <c r="AY916" s="35">
        <v>0.1096</v>
      </c>
      <c r="BA916" s="30">
        <v>70</v>
      </c>
      <c r="BB916" s="35">
        <v>0.11136</v>
      </c>
      <c r="BF916" s="1995"/>
    </row>
    <row r="917" spans="27:58">
      <c r="AA917" s="1994"/>
      <c r="AR917" s="30">
        <v>70.099999999999994</v>
      </c>
      <c r="AS917" s="32">
        <v>701.7</v>
      </c>
      <c r="AX917" s="30">
        <v>70.099999999999994</v>
      </c>
      <c r="AY917" s="35">
        <v>0.10954999999999999</v>
      </c>
      <c r="BA917" s="30">
        <v>70.099999999999994</v>
      </c>
      <c r="BB917" s="35">
        <v>0.1113</v>
      </c>
      <c r="BF917" s="1995"/>
    </row>
    <row r="918" spans="27:58">
      <c r="AA918" s="1994"/>
      <c r="AR918" s="30">
        <v>70.2</v>
      </c>
      <c r="AS918" s="32">
        <v>701.4</v>
      </c>
      <c r="AX918" s="30">
        <v>70.2</v>
      </c>
      <c r="AY918" s="35">
        <v>0.10949</v>
      </c>
      <c r="BA918" s="30">
        <v>70.2</v>
      </c>
      <c r="BB918" s="35">
        <v>0.11125</v>
      </c>
      <c r="BF918" s="1995"/>
    </row>
    <row r="919" spans="27:58">
      <c r="AA919" s="1994"/>
      <c r="AR919" s="30">
        <v>70.3</v>
      </c>
      <c r="AS919" s="32">
        <v>701</v>
      </c>
      <c r="AX919" s="30">
        <v>70.3</v>
      </c>
      <c r="AY919" s="35">
        <v>0.10944</v>
      </c>
      <c r="BA919" s="30">
        <v>70.3</v>
      </c>
      <c r="BB919" s="35">
        <v>0.11119</v>
      </c>
      <c r="BF919" s="1995"/>
    </row>
    <row r="920" spans="27:58">
      <c r="AA920" s="1994"/>
      <c r="AR920" s="30">
        <v>70.400000000000006</v>
      </c>
      <c r="AS920" s="32">
        <v>700.7</v>
      </c>
      <c r="AX920" s="30">
        <v>70.400000000000006</v>
      </c>
      <c r="AY920" s="35">
        <v>0.10938000000000001</v>
      </c>
      <c r="BA920" s="30">
        <v>70.400000000000006</v>
      </c>
      <c r="BB920" s="35">
        <v>0.11114</v>
      </c>
      <c r="BF920" s="1995"/>
    </row>
    <row r="921" spans="27:58">
      <c r="AA921" s="1994"/>
      <c r="AR921" s="30">
        <v>70.5</v>
      </c>
      <c r="AS921" s="32">
        <v>700.3</v>
      </c>
      <c r="AX921" s="30">
        <v>70.5</v>
      </c>
      <c r="AY921" s="35">
        <v>0.10933</v>
      </c>
      <c r="BA921" s="30">
        <v>70.5</v>
      </c>
      <c r="BB921" s="35">
        <v>0.11108</v>
      </c>
      <c r="BF921" s="1995"/>
    </row>
    <row r="922" spans="27:58">
      <c r="AA922" s="1994"/>
      <c r="AR922" s="30">
        <v>70.599999999999994</v>
      </c>
      <c r="AS922" s="32">
        <v>700</v>
      </c>
      <c r="AX922" s="30">
        <v>70.599999999999994</v>
      </c>
      <c r="AY922" s="35">
        <v>0.10927000000000001</v>
      </c>
      <c r="BA922" s="30">
        <v>70.599999999999994</v>
      </c>
      <c r="BB922" s="35">
        <v>0.11103</v>
      </c>
      <c r="BF922" s="1995"/>
    </row>
    <row r="923" spans="27:58">
      <c r="AA923" s="1994"/>
      <c r="AR923" s="30">
        <v>70.7</v>
      </c>
      <c r="AS923" s="32">
        <v>699.6</v>
      </c>
      <c r="AX923" s="30">
        <v>70.7</v>
      </c>
      <c r="AY923" s="35">
        <v>0.10922</v>
      </c>
      <c r="BA923" s="30">
        <v>70.7</v>
      </c>
      <c r="BB923" s="35">
        <v>0.11097</v>
      </c>
      <c r="BF923" s="1995"/>
    </row>
    <row r="924" spans="27:58">
      <c r="AA924" s="1994"/>
      <c r="AR924" s="30">
        <v>70.8</v>
      </c>
      <c r="AS924" s="32">
        <v>699.3</v>
      </c>
      <c r="AX924" s="30">
        <v>70.8</v>
      </c>
      <c r="AY924" s="35">
        <v>0.10917</v>
      </c>
      <c r="BA924" s="30">
        <v>70.8</v>
      </c>
      <c r="BB924" s="35">
        <v>0.11092</v>
      </c>
      <c r="BF924" s="1995"/>
    </row>
    <row r="925" spans="27:58">
      <c r="AA925" s="1994"/>
      <c r="AR925" s="30">
        <v>70.900000000000006</v>
      </c>
      <c r="AS925" s="32">
        <v>698.9</v>
      </c>
      <c r="AX925" s="30">
        <v>70.900000000000006</v>
      </c>
      <c r="AY925" s="35">
        <v>0.10911</v>
      </c>
      <c r="BA925" s="30">
        <v>70.900000000000006</v>
      </c>
      <c r="BB925" s="35">
        <v>0.11086</v>
      </c>
      <c r="BF925" s="1995"/>
    </row>
    <row r="926" spans="27:58">
      <c r="AA926" s="1994"/>
      <c r="AR926" s="30">
        <v>71</v>
      </c>
      <c r="AS926" s="32">
        <v>698.6</v>
      </c>
      <c r="AX926" s="30">
        <v>71</v>
      </c>
      <c r="AY926" s="35">
        <v>0.10906</v>
      </c>
      <c r="BA926" s="30">
        <v>71</v>
      </c>
      <c r="BB926" s="35">
        <v>0.11081000000000001</v>
      </c>
      <c r="BF926" s="1995"/>
    </row>
    <row r="927" spans="27:58">
      <c r="AA927" s="1994"/>
      <c r="AR927" s="30">
        <v>71.099999999999994</v>
      </c>
      <c r="AS927" s="32">
        <v>698.2</v>
      </c>
      <c r="AX927" s="30">
        <v>71.099999999999994</v>
      </c>
      <c r="AY927" s="35">
        <v>0.109</v>
      </c>
      <c r="BA927" s="30">
        <v>71.099999999999994</v>
      </c>
      <c r="BB927" s="35">
        <v>0.11075</v>
      </c>
      <c r="BF927" s="1995"/>
    </row>
    <row r="928" spans="27:58">
      <c r="AA928" s="1994"/>
      <c r="AR928" s="30">
        <v>71.2</v>
      </c>
      <c r="AS928" s="32">
        <v>697.9</v>
      </c>
      <c r="AX928" s="30">
        <v>71.2</v>
      </c>
      <c r="AY928" s="35">
        <v>0.10895000000000001</v>
      </c>
      <c r="BA928" s="30">
        <v>71.2</v>
      </c>
      <c r="BB928" s="35">
        <v>0.11070000000000001</v>
      </c>
      <c r="BF928" s="1995"/>
    </row>
    <row r="929" spans="27:58">
      <c r="AA929" s="1994"/>
      <c r="AR929" s="30">
        <v>71.3</v>
      </c>
      <c r="AS929" s="32">
        <v>697.6</v>
      </c>
      <c r="AX929" s="30">
        <v>71.3</v>
      </c>
      <c r="AY929" s="35">
        <v>0.1089</v>
      </c>
      <c r="BA929" s="30">
        <v>71.3</v>
      </c>
      <c r="BB929" s="35">
        <v>0.11064</v>
      </c>
      <c r="BF929" s="1995"/>
    </row>
    <row r="930" spans="27:58">
      <c r="AA930" s="1994"/>
      <c r="AR930" s="30">
        <v>71.400000000000006</v>
      </c>
      <c r="AS930" s="32">
        <v>697.2</v>
      </c>
      <c r="AX930" s="30">
        <v>71.400000000000006</v>
      </c>
      <c r="AY930" s="35">
        <v>0.10884000000000001</v>
      </c>
      <c r="BA930" s="30">
        <v>71.400000000000006</v>
      </c>
      <c r="BB930" s="35">
        <v>0.11058999999999999</v>
      </c>
      <c r="BF930" s="1995"/>
    </row>
    <row r="931" spans="27:58">
      <c r="AA931" s="1994"/>
      <c r="AR931" s="30">
        <v>71.5</v>
      </c>
      <c r="AS931" s="32">
        <v>696.9</v>
      </c>
      <c r="AX931" s="30">
        <v>71.5</v>
      </c>
      <c r="AY931" s="35">
        <v>0.10879</v>
      </c>
      <c r="BA931" s="30">
        <v>71.5</v>
      </c>
      <c r="BB931" s="35">
        <v>0.11053</v>
      </c>
      <c r="BF931" s="1995"/>
    </row>
    <row r="932" spans="27:58">
      <c r="AA932" s="1994"/>
      <c r="AR932" s="30">
        <v>71.599999999999994</v>
      </c>
      <c r="AS932" s="32">
        <v>696.5</v>
      </c>
      <c r="AX932" s="30">
        <v>71.599999999999994</v>
      </c>
      <c r="AY932" s="35">
        <v>0.10872999999999999</v>
      </c>
      <c r="BA932" s="30">
        <v>71.599999999999994</v>
      </c>
      <c r="BB932" s="35">
        <v>0.11047999999999999</v>
      </c>
      <c r="BF932" s="1995"/>
    </row>
    <row r="933" spans="27:58">
      <c r="AA933" s="1994"/>
      <c r="AR933" s="30">
        <v>71.7</v>
      </c>
      <c r="AS933" s="32">
        <v>696.2</v>
      </c>
      <c r="AX933" s="30">
        <v>71.7</v>
      </c>
      <c r="AY933" s="35">
        <v>0.10868</v>
      </c>
      <c r="BA933" s="30">
        <v>71.7</v>
      </c>
      <c r="BB933" s="35">
        <v>0.11043</v>
      </c>
      <c r="BF933" s="1995"/>
    </row>
    <row r="934" spans="27:58">
      <c r="AA934" s="1994"/>
      <c r="AR934" s="30">
        <v>71.8</v>
      </c>
      <c r="AS934" s="32">
        <v>695.8</v>
      </c>
      <c r="AX934" s="30">
        <v>71.8</v>
      </c>
      <c r="AY934" s="35">
        <v>0.10863</v>
      </c>
      <c r="BA934" s="30">
        <v>71.8</v>
      </c>
      <c r="BB934" s="35">
        <v>0.11037</v>
      </c>
      <c r="BF934" s="1995"/>
    </row>
    <row r="935" spans="27:58">
      <c r="AA935" s="1994"/>
      <c r="AR935" s="30">
        <v>71.900000000000006</v>
      </c>
      <c r="AS935" s="32">
        <v>695.5</v>
      </c>
      <c r="AX935" s="30">
        <v>71.900000000000006</v>
      </c>
      <c r="AY935" s="35">
        <v>0.10857</v>
      </c>
      <c r="BA935" s="30">
        <v>71.900000000000006</v>
      </c>
      <c r="BB935" s="35">
        <v>0.11032</v>
      </c>
      <c r="BF935" s="1995"/>
    </row>
    <row r="936" spans="27:58">
      <c r="AA936" s="1994"/>
      <c r="AR936" s="30">
        <v>72</v>
      </c>
      <c r="AS936" s="32">
        <v>695.2</v>
      </c>
      <c r="AX936" s="30">
        <v>72</v>
      </c>
      <c r="AY936" s="35">
        <v>0.10852000000000001</v>
      </c>
      <c r="BA936" s="30">
        <v>72</v>
      </c>
      <c r="BB936" s="35">
        <v>0.11026</v>
      </c>
      <c r="BF936" s="1995"/>
    </row>
    <row r="937" spans="27:58">
      <c r="AA937" s="1994"/>
      <c r="AR937" s="30">
        <v>72.099999999999994</v>
      </c>
      <c r="AS937" s="32">
        <v>694.8</v>
      </c>
      <c r="AX937" s="30">
        <v>72.099999999999994</v>
      </c>
      <c r="AY937" s="35">
        <v>0.10847</v>
      </c>
      <c r="BA937" s="30">
        <v>72.099999999999994</v>
      </c>
      <c r="BB937" s="35">
        <v>0.11021</v>
      </c>
      <c r="BF937" s="1995"/>
    </row>
    <row r="938" spans="27:58">
      <c r="AA938" s="1994"/>
      <c r="AR938" s="30">
        <v>72.2</v>
      </c>
      <c r="AS938" s="32">
        <v>694.5</v>
      </c>
      <c r="AX938" s="30">
        <v>72.2</v>
      </c>
      <c r="AY938" s="35">
        <v>0.10841000000000001</v>
      </c>
      <c r="BA938" s="30">
        <v>72.2</v>
      </c>
      <c r="BB938" s="35">
        <v>0.11015</v>
      </c>
      <c r="BF938" s="1995"/>
    </row>
    <row r="939" spans="27:58">
      <c r="AA939" s="1994"/>
      <c r="AR939" s="30">
        <v>72.3</v>
      </c>
      <c r="AS939" s="32">
        <v>694.1</v>
      </c>
      <c r="AX939" s="30">
        <v>72.3</v>
      </c>
      <c r="AY939" s="35">
        <v>0.10836</v>
      </c>
      <c r="BA939" s="30">
        <v>72.3</v>
      </c>
      <c r="BB939" s="35">
        <v>0.1101</v>
      </c>
      <c r="BF939" s="1995"/>
    </row>
    <row r="940" spans="27:58">
      <c r="AA940" s="1994"/>
      <c r="AR940" s="30">
        <v>72.400000000000006</v>
      </c>
      <c r="AS940" s="32">
        <v>693.8</v>
      </c>
      <c r="AX940" s="30">
        <v>72.400000000000006</v>
      </c>
      <c r="AY940" s="35">
        <v>0.10831</v>
      </c>
      <c r="BA940" s="30">
        <v>72.400000000000006</v>
      </c>
      <c r="BB940" s="35">
        <v>0.11005</v>
      </c>
      <c r="BF940" s="1995"/>
    </row>
    <row r="941" spans="27:58">
      <c r="AA941" s="1994"/>
      <c r="AR941" s="30">
        <v>72.5</v>
      </c>
      <c r="AS941" s="32">
        <v>693.5</v>
      </c>
      <c r="AX941" s="30">
        <v>72.5</v>
      </c>
      <c r="AY941" s="35">
        <v>0.10825</v>
      </c>
      <c r="BA941" s="30">
        <v>72.5</v>
      </c>
      <c r="BB941" s="35">
        <v>0.10999</v>
      </c>
      <c r="BF941" s="1995"/>
    </row>
    <row r="942" spans="27:58">
      <c r="AA942" s="1994"/>
      <c r="AR942" s="30">
        <v>72.599999999999994</v>
      </c>
      <c r="AS942" s="32">
        <v>693.1</v>
      </c>
      <c r="AX942" s="30">
        <v>72.599999999999994</v>
      </c>
      <c r="AY942" s="35">
        <v>0.1082</v>
      </c>
      <c r="BA942" s="30">
        <v>72.599999999999994</v>
      </c>
      <c r="BB942" s="35">
        <v>0.10994</v>
      </c>
      <c r="BF942" s="1995"/>
    </row>
    <row r="943" spans="27:58">
      <c r="AA943" s="1994"/>
      <c r="AR943" s="30">
        <v>72.7</v>
      </c>
      <c r="AS943" s="32">
        <v>692.8</v>
      </c>
      <c r="AX943" s="30">
        <v>72.7</v>
      </c>
      <c r="AY943" s="35">
        <v>0.10815</v>
      </c>
      <c r="BA943" s="30">
        <v>72.7</v>
      </c>
      <c r="BB943" s="35">
        <v>0.10988000000000001</v>
      </c>
      <c r="BF943" s="1995"/>
    </row>
    <row r="944" spans="27:58">
      <c r="AA944" s="1994"/>
      <c r="AR944" s="30">
        <v>72.8</v>
      </c>
      <c r="AS944" s="32">
        <v>692.4</v>
      </c>
      <c r="AX944" s="30">
        <v>72.8</v>
      </c>
      <c r="AY944" s="35">
        <v>0.1081</v>
      </c>
      <c r="BA944" s="30">
        <v>72.8</v>
      </c>
      <c r="BB944" s="35">
        <v>0.10983</v>
      </c>
      <c r="BF944" s="1995"/>
    </row>
    <row r="945" spans="27:58">
      <c r="AA945" s="1994"/>
      <c r="AR945" s="30">
        <v>72.900000000000006</v>
      </c>
      <c r="AS945" s="32">
        <v>692.1</v>
      </c>
      <c r="AX945" s="30">
        <v>72.900000000000006</v>
      </c>
      <c r="AY945" s="35">
        <v>0.10804</v>
      </c>
      <c r="BA945" s="30">
        <v>72.900000000000006</v>
      </c>
      <c r="BB945" s="35">
        <v>0.10978</v>
      </c>
      <c r="BF945" s="1995"/>
    </row>
    <row r="946" spans="27:58">
      <c r="AA946" s="1994"/>
      <c r="AR946" s="30">
        <v>73</v>
      </c>
      <c r="AS946" s="32">
        <v>691.8</v>
      </c>
      <c r="AX946" s="30">
        <v>73</v>
      </c>
      <c r="AY946" s="35">
        <v>0.10799</v>
      </c>
      <c r="BA946" s="30">
        <v>73</v>
      </c>
      <c r="BB946" s="35">
        <v>0.10972</v>
      </c>
      <c r="BF946" s="1995"/>
    </row>
    <row r="947" spans="27:58">
      <c r="AA947" s="1994"/>
      <c r="AR947" s="30">
        <v>73.099999999999994</v>
      </c>
      <c r="AS947" s="32">
        <v>691.4</v>
      </c>
      <c r="AX947" s="30">
        <v>73.099999999999994</v>
      </c>
      <c r="AY947" s="35">
        <v>0.10793999999999999</v>
      </c>
      <c r="BA947" s="30">
        <v>73.099999999999994</v>
      </c>
      <c r="BB947" s="35">
        <v>0.10967</v>
      </c>
      <c r="BF947" s="1995"/>
    </row>
    <row r="948" spans="27:58">
      <c r="AA948" s="1994"/>
      <c r="AR948" s="30">
        <v>73.2</v>
      </c>
      <c r="AS948" s="32">
        <v>691.1</v>
      </c>
      <c r="AX948" s="30">
        <v>73.2</v>
      </c>
      <c r="AY948" s="35">
        <v>0.10788</v>
      </c>
      <c r="BA948" s="30">
        <v>73.2</v>
      </c>
      <c r="BB948" s="35">
        <v>0.10961</v>
      </c>
      <c r="BF948" s="1995"/>
    </row>
    <row r="949" spans="27:58">
      <c r="AA949" s="1994"/>
      <c r="AR949" s="30">
        <v>73.3</v>
      </c>
      <c r="AS949" s="32">
        <v>690.8</v>
      </c>
      <c r="AX949" s="30">
        <v>73.3</v>
      </c>
      <c r="AY949" s="35">
        <v>0.10783</v>
      </c>
      <c r="BA949" s="30">
        <v>73.3</v>
      </c>
      <c r="BB949" s="35">
        <v>0.10956</v>
      </c>
      <c r="BF949" s="1995"/>
    </row>
    <row r="950" spans="27:58">
      <c r="AA950" s="1994"/>
      <c r="AR950" s="30">
        <v>73.400000000000006</v>
      </c>
      <c r="AS950" s="32">
        <v>690.4</v>
      </c>
      <c r="AX950" s="30">
        <v>73.400000000000006</v>
      </c>
      <c r="AY950" s="35">
        <v>0.10778</v>
      </c>
      <c r="BA950" s="30">
        <v>73.400000000000006</v>
      </c>
      <c r="BB950" s="35">
        <v>0.10951</v>
      </c>
      <c r="BF950" s="1995"/>
    </row>
    <row r="951" spans="27:58">
      <c r="AA951" s="1994"/>
      <c r="AR951" s="30">
        <v>73.5</v>
      </c>
      <c r="AS951" s="32">
        <v>690.1</v>
      </c>
      <c r="AX951" s="30">
        <v>73.5</v>
      </c>
      <c r="AY951" s="35">
        <v>0.10773000000000001</v>
      </c>
      <c r="BA951" s="30">
        <v>73.5</v>
      </c>
      <c r="BB951" s="35">
        <v>0.10945000000000001</v>
      </c>
      <c r="BF951" s="1995"/>
    </row>
    <row r="952" spans="27:58">
      <c r="AA952" s="1994"/>
      <c r="AR952" s="30">
        <v>73.599999999999994</v>
      </c>
      <c r="AS952" s="32">
        <v>689.7</v>
      </c>
      <c r="AX952" s="30">
        <v>73.599999999999994</v>
      </c>
      <c r="AY952" s="35">
        <v>0.10767</v>
      </c>
      <c r="BA952" s="30">
        <v>73.599999999999994</v>
      </c>
      <c r="BB952" s="35">
        <v>0.1094</v>
      </c>
      <c r="BF952" s="1995"/>
    </row>
    <row r="953" spans="27:58">
      <c r="AA953" s="1994"/>
      <c r="AR953" s="30">
        <v>73.7</v>
      </c>
      <c r="AS953" s="32">
        <v>689.4</v>
      </c>
      <c r="AX953" s="30">
        <v>73.7</v>
      </c>
      <c r="AY953" s="35">
        <v>0.10761999999999999</v>
      </c>
      <c r="BA953" s="30">
        <v>73.7</v>
      </c>
      <c r="BB953" s="35">
        <v>0.10935</v>
      </c>
      <c r="BF953" s="1995"/>
    </row>
    <row r="954" spans="27:58">
      <c r="AA954" s="1994"/>
      <c r="AR954" s="30">
        <v>73.8</v>
      </c>
      <c r="AS954" s="32">
        <v>689.1</v>
      </c>
      <c r="AX954" s="30">
        <v>73.8</v>
      </c>
      <c r="AY954" s="35">
        <v>0.10757</v>
      </c>
      <c r="BA954" s="30">
        <v>73.8</v>
      </c>
      <c r="BB954" s="35">
        <v>0.10929</v>
      </c>
      <c r="BF954" s="1995"/>
    </row>
    <row r="955" spans="27:58">
      <c r="AA955" s="1994"/>
      <c r="AR955" s="30">
        <v>73.900000000000006</v>
      </c>
      <c r="AS955" s="32">
        <v>688.7</v>
      </c>
      <c r="AX955" s="30">
        <v>73.900000000000006</v>
      </c>
      <c r="AY955" s="35">
        <v>0.10752</v>
      </c>
      <c r="BA955" s="30">
        <v>73.900000000000006</v>
      </c>
      <c r="BB955" s="35">
        <v>0.10924</v>
      </c>
      <c r="BF955" s="1995"/>
    </row>
    <row r="956" spans="27:58">
      <c r="AA956" s="1994"/>
      <c r="AR956" s="30">
        <v>74</v>
      </c>
      <c r="AS956" s="32">
        <v>688.4</v>
      </c>
      <c r="AX956" s="30">
        <v>74</v>
      </c>
      <c r="AY956" s="35">
        <v>0.10746</v>
      </c>
      <c r="BA956" s="30">
        <v>74</v>
      </c>
      <c r="BB956" s="35">
        <v>0.10919</v>
      </c>
      <c r="BF956" s="1995"/>
    </row>
    <row r="957" spans="27:58">
      <c r="AA957" s="1994"/>
      <c r="AR957" s="30">
        <v>74.099999999999994</v>
      </c>
      <c r="AS957" s="32">
        <v>688.1</v>
      </c>
      <c r="AX957" s="30">
        <v>74.099999999999994</v>
      </c>
      <c r="AY957" s="35">
        <v>0.10741000000000001</v>
      </c>
      <c r="BA957" s="30">
        <v>74.099999999999994</v>
      </c>
      <c r="BB957" s="35">
        <v>0.10913</v>
      </c>
      <c r="BF957" s="1995"/>
    </row>
    <row r="958" spans="27:58">
      <c r="AA958" s="1994"/>
      <c r="AR958" s="30">
        <v>74.2</v>
      </c>
      <c r="AS958" s="32">
        <v>687.7</v>
      </c>
      <c r="AX958" s="30">
        <v>74.2</v>
      </c>
      <c r="AY958" s="35">
        <v>0.10736</v>
      </c>
      <c r="BA958" s="30">
        <v>74.2</v>
      </c>
      <c r="BB958" s="35">
        <v>0.10908</v>
      </c>
      <c r="BF958" s="1995"/>
    </row>
    <row r="959" spans="27:58">
      <c r="AA959" s="1994"/>
      <c r="AR959" s="30">
        <v>74.3</v>
      </c>
      <c r="AS959" s="32">
        <v>687.4</v>
      </c>
      <c r="AX959" s="30">
        <v>74.3</v>
      </c>
      <c r="AY959" s="35">
        <v>0.10731</v>
      </c>
      <c r="BA959" s="30">
        <v>74.3</v>
      </c>
      <c r="BB959" s="35">
        <v>0.10903</v>
      </c>
      <c r="BF959" s="1995"/>
    </row>
    <row r="960" spans="27:58">
      <c r="AA960" s="1994"/>
      <c r="AR960" s="30">
        <v>74.400000000000006</v>
      </c>
      <c r="AS960" s="32">
        <v>687.1</v>
      </c>
      <c r="AX960" s="30">
        <v>74.400000000000006</v>
      </c>
      <c r="AY960" s="35">
        <v>0.10725</v>
      </c>
      <c r="BA960" s="30">
        <v>74.400000000000006</v>
      </c>
      <c r="BB960" s="35">
        <v>0.10897</v>
      </c>
      <c r="BF960" s="1995"/>
    </row>
    <row r="961" spans="27:58">
      <c r="AA961" s="1994"/>
      <c r="AR961" s="30">
        <v>74.5</v>
      </c>
      <c r="AS961" s="32">
        <v>686.7</v>
      </c>
      <c r="AX961" s="30">
        <v>74.5</v>
      </c>
      <c r="AY961" s="35">
        <v>0.1072</v>
      </c>
      <c r="BA961" s="30">
        <v>74.5</v>
      </c>
      <c r="BB961" s="35">
        <v>0.10892</v>
      </c>
      <c r="BF961" s="1995"/>
    </row>
    <row r="962" spans="27:58">
      <c r="AA962" s="1994"/>
      <c r="AR962" s="30">
        <v>74.599999999999994</v>
      </c>
      <c r="AS962" s="32">
        <v>686.4</v>
      </c>
      <c r="AX962" s="30">
        <v>74.599999999999994</v>
      </c>
      <c r="AY962" s="35">
        <v>0.10715</v>
      </c>
      <c r="BA962" s="30">
        <v>74.599999999999994</v>
      </c>
      <c r="BB962" s="35">
        <v>0.10886999999999999</v>
      </c>
      <c r="BF962" s="1995"/>
    </row>
    <row r="963" spans="27:58">
      <c r="AA963" s="1994"/>
      <c r="AR963" s="30">
        <v>74.7</v>
      </c>
      <c r="AS963" s="32">
        <v>686.1</v>
      </c>
      <c r="AX963" s="30">
        <v>74.7</v>
      </c>
      <c r="AY963" s="35">
        <v>0.1071</v>
      </c>
      <c r="BA963" s="30">
        <v>74.7</v>
      </c>
      <c r="BB963" s="35">
        <v>0.10882</v>
      </c>
      <c r="BF963" s="1995"/>
    </row>
    <row r="964" spans="27:58">
      <c r="AA964" s="1994"/>
      <c r="AR964" s="30">
        <v>74.8</v>
      </c>
      <c r="AS964" s="32">
        <v>685.7</v>
      </c>
      <c r="AX964" s="30">
        <v>74.8</v>
      </c>
      <c r="AY964" s="35">
        <v>0.10705000000000001</v>
      </c>
      <c r="BA964" s="30">
        <v>74.8</v>
      </c>
      <c r="BB964" s="35">
        <v>0.10876</v>
      </c>
      <c r="BF964" s="1995"/>
    </row>
    <row r="965" spans="27:58">
      <c r="AA965" s="1994"/>
      <c r="AR965" s="30">
        <v>74.900000000000006</v>
      </c>
      <c r="AS965" s="32">
        <v>685.4</v>
      </c>
      <c r="AX965" s="30">
        <v>74.900000000000006</v>
      </c>
      <c r="AY965" s="35">
        <v>0.10699</v>
      </c>
      <c r="BA965" s="30">
        <v>74.900000000000006</v>
      </c>
      <c r="BB965" s="35">
        <v>0.10871</v>
      </c>
      <c r="BF965" s="1995"/>
    </row>
    <row r="966" spans="27:58">
      <c r="AA966" s="1994"/>
      <c r="AR966" s="30">
        <v>75</v>
      </c>
      <c r="AS966" s="32">
        <v>685.1</v>
      </c>
      <c r="AX966" s="30">
        <v>75</v>
      </c>
      <c r="AY966" s="35">
        <v>0.10693999999999999</v>
      </c>
      <c r="BA966" s="30">
        <v>75</v>
      </c>
      <c r="BB966" s="35">
        <v>0.10866000000000001</v>
      </c>
      <c r="BF966" s="1995"/>
    </row>
    <row r="967" spans="27:58">
      <c r="AA967" s="1994"/>
      <c r="AR967" s="30">
        <v>75.099999999999994</v>
      </c>
      <c r="AS967" s="32">
        <v>684.7</v>
      </c>
      <c r="AX967" s="30">
        <v>75.099999999999994</v>
      </c>
      <c r="AY967" s="35">
        <v>0.10689</v>
      </c>
      <c r="BA967" s="30">
        <v>75.099999999999994</v>
      </c>
      <c r="BB967" s="35">
        <v>0.1086</v>
      </c>
      <c r="BF967" s="1995"/>
    </row>
    <row r="968" spans="27:58">
      <c r="AA968" s="1994"/>
      <c r="AR968" s="30">
        <v>75.2</v>
      </c>
      <c r="AS968" s="32">
        <v>684.4</v>
      </c>
      <c r="AX968" s="30">
        <v>75.2</v>
      </c>
      <c r="AY968" s="35">
        <v>0.10684</v>
      </c>
      <c r="BA968" s="30">
        <v>75.2</v>
      </c>
      <c r="BB968" s="35">
        <v>0.10854999999999999</v>
      </c>
      <c r="BF968" s="1995"/>
    </row>
    <row r="969" spans="27:58">
      <c r="AA969" s="1994"/>
      <c r="AR969" s="30">
        <v>75.3</v>
      </c>
      <c r="AS969" s="32">
        <v>684.1</v>
      </c>
      <c r="AX969" s="30">
        <v>75.3</v>
      </c>
      <c r="AY969" s="35">
        <v>0.10679</v>
      </c>
      <c r="BA969" s="30">
        <v>75.3</v>
      </c>
      <c r="BB969" s="35">
        <v>0.1085</v>
      </c>
      <c r="BF969" s="1995"/>
    </row>
    <row r="970" spans="27:58">
      <c r="AA970" s="1994"/>
      <c r="AR970" s="30">
        <v>75.400000000000006</v>
      </c>
      <c r="AS970" s="32">
        <v>683.8</v>
      </c>
      <c r="AX970" s="30">
        <v>75.400000000000006</v>
      </c>
      <c r="AY970" s="35">
        <v>0.10673000000000001</v>
      </c>
      <c r="BA970" s="30">
        <v>75.400000000000006</v>
      </c>
      <c r="BB970" s="35">
        <v>0.10845</v>
      </c>
      <c r="BF970" s="1995"/>
    </row>
    <row r="971" spans="27:58">
      <c r="AA971" s="1994"/>
      <c r="AR971" s="30">
        <v>75.5</v>
      </c>
      <c r="AS971" s="32">
        <v>683.4</v>
      </c>
      <c r="AX971" s="30">
        <v>75.5</v>
      </c>
      <c r="AY971" s="35">
        <v>0.10668</v>
      </c>
      <c r="BA971" s="30">
        <v>75.5</v>
      </c>
      <c r="BB971" s="35">
        <v>0.10839</v>
      </c>
      <c r="BF971" s="1995"/>
    </row>
    <row r="972" spans="27:58">
      <c r="AA972" s="1994"/>
      <c r="AR972" s="30">
        <v>75.599999999999994</v>
      </c>
      <c r="AS972" s="32">
        <v>683.1</v>
      </c>
      <c r="AX972" s="30">
        <v>75.599999999999994</v>
      </c>
      <c r="AY972" s="35">
        <v>0.10663</v>
      </c>
      <c r="BA972" s="30">
        <v>75.599999999999994</v>
      </c>
      <c r="BB972" s="35">
        <v>0.10834000000000001</v>
      </c>
      <c r="BF972" s="1995"/>
    </row>
    <row r="973" spans="27:58">
      <c r="AA973" s="1994"/>
      <c r="AR973" s="30">
        <v>75.7</v>
      </c>
      <c r="AS973" s="32">
        <v>682.8</v>
      </c>
      <c r="AX973" s="30">
        <v>75.7</v>
      </c>
      <c r="AY973" s="35">
        <v>0.10657999999999999</v>
      </c>
      <c r="BA973" s="30">
        <v>75.7</v>
      </c>
      <c r="BB973" s="35">
        <v>0.10829</v>
      </c>
      <c r="BF973" s="1995"/>
    </row>
    <row r="974" spans="27:58">
      <c r="AA974" s="1994"/>
      <c r="AR974" s="30">
        <v>75.8</v>
      </c>
      <c r="AS974" s="32">
        <v>682.4</v>
      </c>
      <c r="AX974" s="30">
        <v>75.8</v>
      </c>
      <c r="AY974" s="35">
        <v>0.10653</v>
      </c>
      <c r="BA974" s="30">
        <v>75.8</v>
      </c>
      <c r="BB974" s="35">
        <v>0.10824</v>
      </c>
      <c r="BF974" s="1995"/>
    </row>
    <row r="975" spans="27:58">
      <c r="AA975" s="1994"/>
      <c r="AR975" s="30">
        <v>75.900000000000006</v>
      </c>
      <c r="AS975" s="32">
        <v>682.1</v>
      </c>
      <c r="AX975" s="30">
        <v>75.900000000000006</v>
      </c>
      <c r="AY975" s="35">
        <v>0.10648000000000001</v>
      </c>
      <c r="BA975" s="30">
        <v>75.900000000000006</v>
      </c>
      <c r="BB975" s="35">
        <v>0.10818999999999999</v>
      </c>
      <c r="BF975" s="1995"/>
    </row>
    <row r="976" spans="27:58">
      <c r="AA976" s="1994"/>
      <c r="AR976" s="30">
        <v>76</v>
      </c>
      <c r="AS976" s="32">
        <v>681.8</v>
      </c>
      <c r="AX976" s="30">
        <v>76</v>
      </c>
      <c r="AY976" s="35">
        <v>0.10643</v>
      </c>
      <c r="BA976" s="30">
        <v>76</v>
      </c>
      <c r="BB976" s="35">
        <v>0.10813</v>
      </c>
      <c r="BF976" s="1995"/>
    </row>
    <row r="977" spans="27:58">
      <c r="AA977" s="1994"/>
      <c r="AR977" s="30">
        <v>76.099999999999994</v>
      </c>
      <c r="AS977" s="32">
        <v>681.5</v>
      </c>
      <c r="AX977" s="30">
        <v>76.099999999999994</v>
      </c>
      <c r="AY977" s="35">
        <v>0.10637000000000001</v>
      </c>
      <c r="BA977" s="30">
        <v>76.099999999999994</v>
      </c>
      <c r="BB977" s="35">
        <v>0.10808</v>
      </c>
      <c r="BF977" s="1995"/>
    </row>
    <row r="978" spans="27:58">
      <c r="AA978" s="1994"/>
      <c r="AR978" s="30">
        <v>76.2</v>
      </c>
      <c r="AS978" s="32">
        <v>681.1</v>
      </c>
      <c r="AX978" s="30">
        <v>76.2</v>
      </c>
      <c r="AY978" s="35">
        <v>0.10632</v>
      </c>
      <c r="BA978" s="30">
        <v>76.2</v>
      </c>
      <c r="BB978" s="35">
        <v>0.10803</v>
      </c>
      <c r="BF978" s="1995"/>
    </row>
    <row r="979" spans="27:58">
      <c r="AA979" s="1994"/>
      <c r="AR979" s="30">
        <v>76.3</v>
      </c>
      <c r="AS979" s="32">
        <v>680.8</v>
      </c>
      <c r="AX979" s="30">
        <v>76.3</v>
      </c>
      <c r="AY979" s="35">
        <v>0.10627</v>
      </c>
      <c r="BA979" s="30">
        <v>76.3</v>
      </c>
      <c r="BB979" s="35">
        <v>0.10798000000000001</v>
      </c>
      <c r="BF979" s="1995"/>
    </row>
    <row r="980" spans="27:58">
      <c r="AA980" s="1994"/>
      <c r="AR980" s="30">
        <v>76.400000000000006</v>
      </c>
      <c r="AS980" s="32">
        <v>680.5</v>
      </c>
      <c r="AX980" s="30">
        <v>76.400000000000006</v>
      </c>
      <c r="AY980" s="35">
        <v>0.10621999999999999</v>
      </c>
      <c r="BA980" s="30">
        <v>76.400000000000006</v>
      </c>
      <c r="BB980" s="35">
        <v>0.10792</v>
      </c>
      <c r="BF980" s="1995"/>
    </row>
    <row r="981" spans="27:58">
      <c r="AA981" s="1994"/>
      <c r="AR981" s="30">
        <v>76.5</v>
      </c>
      <c r="AS981" s="32">
        <v>680.1</v>
      </c>
      <c r="AX981" s="30">
        <v>76.5</v>
      </c>
      <c r="AY981" s="35">
        <v>0.10617</v>
      </c>
      <c r="BA981" s="30">
        <v>76.5</v>
      </c>
      <c r="BB981" s="35">
        <v>0.10786999999999999</v>
      </c>
      <c r="BF981" s="1995"/>
    </row>
    <row r="982" spans="27:58">
      <c r="AA982" s="1994"/>
      <c r="AR982" s="30">
        <v>76.599999999999994</v>
      </c>
      <c r="AS982" s="32">
        <v>679.8</v>
      </c>
      <c r="AX982" s="30">
        <v>76.599999999999994</v>
      </c>
      <c r="AY982" s="35">
        <v>0.10612000000000001</v>
      </c>
      <c r="BA982" s="30">
        <v>76.599999999999994</v>
      </c>
      <c r="BB982" s="35">
        <v>0.10782</v>
      </c>
      <c r="BF982" s="1995"/>
    </row>
    <row r="983" spans="27:58">
      <c r="AA983" s="1994"/>
      <c r="AR983" s="30">
        <v>76.7</v>
      </c>
      <c r="AS983" s="32">
        <v>679.5</v>
      </c>
      <c r="AX983" s="30">
        <v>76.7</v>
      </c>
      <c r="AY983" s="35">
        <v>0.10607</v>
      </c>
      <c r="BA983" s="30">
        <v>76.7</v>
      </c>
      <c r="BB983" s="35">
        <v>0.10777</v>
      </c>
      <c r="BF983" s="1995"/>
    </row>
    <row r="984" spans="27:58">
      <c r="AA984" s="1994"/>
      <c r="AR984" s="30">
        <v>76.8</v>
      </c>
      <c r="AS984" s="32">
        <v>679.2</v>
      </c>
      <c r="AX984" s="30">
        <v>76.8</v>
      </c>
      <c r="AY984" s="35">
        <v>0.10602</v>
      </c>
      <c r="BA984" s="30">
        <v>76.8</v>
      </c>
      <c r="BB984" s="35">
        <v>0.10772</v>
      </c>
      <c r="BF984" s="1995"/>
    </row>
    <row r="985" spans="27:58">
      <c r="AA985" s="1994"/>
      <c r="AR985" s="30">
        <v>76.900000000000006</v>
      </c>
      <c r="AS985" s="32">
        <v>678.8</v>
      </c>
      <c r="AX985" s="30">
        <v>76.900000000000006</v>
      </c>
      <c r="AY985" s="35">
        <v>0.10596</v>
      </c>
      <c r="BA985" s="30">
        <v>76.900000000000006</v>
      </c>
      <c r="BB985" s="35">
        <v>0.10767</v>
      </c>
      <c r="BF985" s="1995"/>
    </row>
    <row r="986" spans="27:58">
      <c r="AA986" s="1994"/>
      <c r="AR986" s="30">
        <v>77</v>
      </c>
      <c r="AS986" s="32">
        <v>678.5</v>
      </c>
      <c r="AX986" s="30">
        <v>77</v>
      </c>
      <c r="AY986" s="35">
        <v>0.10591</v>
      </c>
      <c r="BA986" s="30">
        <v>77</v>
      </c>
      <c r="BB986" s="35">
        <v>0.10761</v>
      </c>
      <c r="BF986" s="1995"/>
    </row>
    <row r="987" spans="27:58">
      <c r="AA987" s="1994"/>
      <c r="AR987" s="30">
        <v>77.099999999999994</v>
      </c>
      <c r="AS987" s="32">
        <v>678.2</v>
      </c>
      <c r="AX987" s="30">
        <v>77.099999999999994</v>
      </c>
      <c r="AY987" s="35">
        <v>0.10586</v>
      </c>
      <c r="BA987" s="30">
        <v>77.099999999999994</v>
      </c>
      <c r="BB987" s="35">
        <v>0.10756</v>
      </c>
      <c r="BF987" s="1995"/>
    </row>
    <row r="988" spans="27:58">
      <c r="AA988" s="1994"/>
      <c r="AR988" s="30">
        <v>77.2</v>
      </c>
      <c r="AS988" s="32">
        <v>677.9</v>
      </c>
      <c r="AX988" s="30">
        <v>77.2</v>
      </c>
      <c r="AY988" s="35">
        <v>0.10581</v>
      </c>
      <c r="BA988" s="30">
        <v>77.2</v>
      </c>
      <c r="BB988" s="35">
        <v>0.10750999999999999</v>
      </c>
      <c r="BF988" s="1995"/>
    </row>
    <row r="989" spans="27:58">
      <c r="AA989" s="1994"/>
      <c r="AR989" s="30">
        <v>77.3</v>
      </c>
      <c r="AS989" s="32">
        <v>677.5</v>
      </c>
      <c r="AX989" s="30">
        <v>77.3</v>
      </c>
      <c r="AY989" s="35">
        <v>0.10576000000000001</v>
      </c>
      <c r="BA989" s="30">
        <v>77.3</v>
      </c>
      <c r="BB989" s="35">
        <v>0.10746</v>
      </c>
      <c r="BF989" s="1995"/>
    </row>
    <row r="990" spans="27:58">
      <c r="AA990" s="1994"/>
      <c r="AR990" s="30">
        <v>77.400000000000006</v>
      </c>
      <c r="AS990" s="32">
        <v>677.2</v>
      </c>
      <c r="AX990" s="30">
        <v>77.400000000000006</v>
      </c>
      <c r="AY990" s="35">
        <v>0.10571</v>
      </c>
      <c r="BA990" s="30">
        <v>77.400000000000006</v>
      </c>
      <c r="BB990" s="35">
        <v>0.10741000000000001</v>
      </c>
      <c r="BF990" s="1995"/>
    </row>
    <row r="991" spans="27:58">
      <c r="AA991" s="1994"/>
      <c r="AR991" s="30">
        <v>77.5</v>
      </c>
      <c r="AS991" s="32">
        <v>676.9</v>
      </c>
      <c r="AX991" s="30">
        <v>77.5</v>
      </c>
      <c r="AY991" s="35">
        <v>0.10566</v>
      </c>
      <c r="BA991" s="30">
        <v>77.5</v>
      </c>
      <c r="BB991" s="35">
        <v>0.10736</v>
      </c>
      <c r="BF991" s="1995"/>
    </row>
    <row r="992" spans="27:58">
      <c r="AA992" s="1994"/>
      <c r="AR992" s="30">
        <v>77.599999999999994</v>
      </c>
      <c r="AS992" s="32">
        <v>676.6</v>
      </c>
      <c r="AX992" s="30">
        <v>77.599999999999994</v>
      </c>
      <c r="AY992" s="35">
        <v>0.10561</v>
      </c>
      <c r="BA992" s="30">
        <v>77.599999999999994</v>
      </c>
      <c r="BB992" s="35">
        <v>0.10730000000000001</v>
      </c>
      <c r="BF992" s="1995"/>
    </row>
    <row r="993" spans="27:58">
      <c r="AA993" s="1994"/>
      <c r="AR993" s="30">
        <v>77.7</v>
      </c>
      <c r="AS993" s="32">
        <v>676.2</v>
      </c>
      <c r="AX993" s="30">
        <v>77.7</v>
      </c>
      <c r="AY993" s="35">
        <v>0.10556</v>
      </c>
      <c r="BA993" s="30">
        <v>77.7</v>
      </c>
      <c r="BB993" s="35">
        <v>0.10725</v>
      </c>
      <c r="BF993" s="1995"/>
    </row>
    <row r="994" spans="27:58">
      <c r="AA994" s="1994"/>
      <c r="AR994" s="30">
        <v>77.8</v>
      </c>
      <c r="AS994" s="32">
        <v>675.9</v>
      </c>
      <c r="AX994" s="30">
        <v>77.8</v>
      </c>
      <c r="AY994" s="35">
        <v>0.10551000000000001</v>
      </c>
      <c r="BA994" s="30">
        <v>77.8</v>
      </c>
      <c r="BB994" s="35">
        <v>0.1072</v>
      </c>
      <c r="BF994" s="1995"/>
    </row>
    <row r="995" spans="27:58">
      <c r="AA995" s="1994"/>
      <c r="AR995" s="30">
        <v>77.900000000000006</v>
      </c>
      <c r="AS995" s="32">
        <v>675.6</v>
      </c>
      <c r="AX995" s="30">
        <v>77.900000000000006</v>
      </c>
      <c r="AY995" s="35">
        <v>0.10546</v>
      </c>
      <c r="BA995" s="30">
        <v>77.900000000000006</v>
      </c>
      <c r="BB995" s="35">
        <v>0.10715</v>
      </c>
      <c r="BF995" s="1995"/>
    </row>
    <row r="996" spans="27:58">
      <c r="AA996" s="1994"/>
      <c r="AR996" s="30">
        <v>78</v>
      </c>
      <c r="AS996" s="32">
        <v>675.3</v>
      </c>
      <c r="AX996" s="30">
        <v>78</v>
      </c>
      <c r="AY996" s="35">
        <v>0.10541</v>
      </c>
      <c r="BA996" s="30">
        <v>78</v>
      </c>
      <c r="BB996" s="35">
        <v>0.1071</v>
      </c>
      <c r="BF996" s="1995"/>
    </row>
    <row r="997" spans="27:58">
      <c r="AA997" s="1994"/>
      <c r="AR997" s="30">
        <v>78.099999999999994</v>
      </c>
      <c r="AS997" s="32">
        <v>675</v>
      </c>
      <c r="AX997" s="30">
        <v>78.099999999999994</v>
      </c>
      <c r="AY997" s="35">
        <v>0.10536</v>
      </c>
      <c r="BA997" s="30">
        <v>78.099999999999994</v>
      </c>
      <c r="BB997" s="35">
        <v>0.10705000000000001</v>
      </c>
      <c r="BF997" s="1995"/>
    </row>
    <row r="998" spans="27:58">
      <c r="AA998" s="1994"/>
      <c r="AR998" s="30">
        <v>78.2</v>
      </c>
      <c r="AS998" s="32">
        <v>674.6</v>
      </c>
      <c r="AX998" s="30">
        <v>78.2</v>
      </c>
      <c r="AY998" s="35">
        <v>0.10531</v>
      </c>
      <c r="BA998" s="30">
        <v>78.2</v>
      </c>
      <c r="BB998" s="35">
        <v>0.107</v>
      </c>
      <c r="BF998" s="1995"/>
    </row>
    <row r="999" spans="27:58">
      <c r="AA999" s="1994"/>
      <c r="AR999" s="30">
        <v>78.3</v>
      </c>
      <c r="AS999" s="32">
        <v>674.3</v>
      </c>
      <c r="AX999" s="30">
        <v>78.3</v>
      </c>
      <c r="AY999" s="35">
        <v>0.10526000000000001</v>
      </c>
      <c r="BA999" s="30">
        <v>78.3</v>
      </c>
      <c r="BB999" s="35">
        <v>0.10695</v>
      </c>
      <c r="BF999" s="1995"/>
    </row>
    <row r="1000" spans="27:58">
      <c r="AA1000" s="1994"/>
      <c r="AR1000" s="30">
        <v>78.400000000000006</v>
      </c>
      <c r="AS1000" s="32">
        <v>674</v>
      </c>
      <c r="AX1000" s="30">
        <v>78.400000000000006</v>
      </c>
      <c r="AY1000" s="35">
        <v>0.10521</v>
      </c>
      <c r="BA1000" s="30">
        <v>78.400000000000006</v>
      </c>
      <c r="BB1000" s="35">
        <v>0.10689</v>
      </c>
      <c r="BF1000" s="1995"/>
    </row>
    <row r="1001" spans="27:58">
      <c r="AA1001" s="1994"/>
      <c r="AR1001" s="30">
        <v>78.5</v>
      </c>
      <c r="AS1001" s="32">
        <v>673.7</v>
      </c>
      <c r="AX1001" s="30">
        <v>78.5</v>
      </c>
      <c r="AY1001" s="35">
        <v>0.10516</v>
      </c>
      <c r="BA1001" s="30">
        <v>78.5</v>
      </c>
      <c r="BB1001" s="35">
        <v>0.10684</v>
      </c>
      <c r="BF1001" s="1995"/>
    </row>
    <row r="1002" spans="27:58">
      <c r="AA1002" s="1994"/>
      <c r="AR1002" s="30">
        <v>78.599999999999994</v>
      </c>
      <c r="AS1002" s="32">
        <v>673.4</v>
      </c>
      <c r="AX1002" s="30">
        <v>78.599999999999994</v>
      </c>
      <c r="AY1002" s="35">
        <v>0.10511</v>
      </c>
      <c r="BA1002" s="30">
        <v>78.599999999999994</v>
      </c>
      <c r="BB1002" s="35">
        <v>0.10679</v>
      </c>
      <c r="BF1002" s="1995"/>
    </row>
    <row r="1003" spans="27:58">
      <c r="AA1003" s="1994"/>
      <c r="AR1003" s="30">
        <v>78.7</v>
      </c>
      <c r="AS1003" s="32">
        <v>673</v>
      </c>
      <c r="AX1003" s="30">
        <v>78.7</v>
      </c>
      <c r="AY1003" s="35">
        <v>0.10506</v>
      </c>
      <c r="BA1003" s="30">
        <v>78.7</v>
      </c>
      <c r="BB1003" s="35">
        <v>0.10674</v>
      </c>
      <c r="BF1003" s="1995"/>
    </row>
    <row r="1004" spans="27:58">
      <c r="AA1004" s="1994"/>
      <c r="AR1004" s="30">
        <v>78.8</v>
      </c>
      <c r="AS1004" s="32">
        <v>672.7</v>
      </c>
      <c r="AX1004" s="30">
        <v>78.8</v>
      </c>
      <c r="AY1004" s="35">
        <v>0.10501000000000001</v>
      </c>
      <c r="BA1004" s="30">
        <v>78.8</v>
      </c>
      <c r="BB1004" s="35">
        <v>0.10668999999999999</v>
      </c>
      <c r="BF1004" s="1995"/>
    </row>
    <row r="1005" spans="27:58">
      <c r="AA1005" s="1994"/>
      <c r="AR1005" s="30">
        <v>78.900000000000006</v>
      </c>
      <c r="AS1005" s="32">
        <v>672.4</v>
      </c>
      <c r="AX1005" s="30">
        <v>78.900000000000006</v>
      </c>
      <c r="AY1005" s="35">
        <v>0.10496</v>
      </c>
      <c r="BA1005" s="30">
        <v>78.900000000000006</v>
      </c>
      <c r="BB1005" s="35">
        <v>0.10664</v>
      </c>
      <c r="BF1005" s="1995"/>
    </row>
    <row r="1006" spans="27:58">
      <c r="AA1006" s="1994"/>
      <c r="AR1006" s="30">
        <v>79</v>
      </c>
      <c r="AS1006" s="32">
        <v>672.1</v>
      </c>
      <c r="AX1006" s="30">
        <v>79</v>
      </c>
      <c r="AY1006" s="35">
        <v>0.10491</v>
      </c>
      <c r="BA1006" s="30">
        <v>79</v>
      </c>
      <c r="BB1006" s="35">
        <v>0.10659</v>
      </c>
      <c r="BF1006" s="1995"/>
    </row>
    <row r="1007" spans="27:58">
      <c r="AA1007" s="1994"/>
      <c r="AR1007" s="30">
        <v>79.099999999999994</v>
      </c>
      <c r="AS1007" s="32">
        <v>671.8</v>
      </c>
      <c r="AX1007" s="30">
        <v>79.099999999999994</v>
      </c>
      <c r="AY1007" s="35">
        <v>0.10485999999999999</v>
      </c>
      <c r="BA1007" s="30">
        <v>79.099999999999994</v>
      </c>
      <c r="BB1007" s="35">
        <v>0.10654</v>
      </c>
      <c r="BF1007" s="1995"/>
    </row>
    <row r="1008" spans="27:58">
      <c r="AA1008" s="1994"/>
      <c r="AR1008" s="30">
        <v>79.2</v>
      </c>
      <c r="AS1008" s="32">
        <v>671.4</v>
      </c>
      <c r="AX1008" s="30">
        <v>79.2</v>
      </c>
      <c r="AY1008" s="35">
        <v>0.10481</v>
      </c>
      <c r="BA1008" s="30">
        <v>79.2</v>
      </c>
      <c r="BB1008" s="35">
        <v>0.10649</v>
      </c>
      <c r="BF1008" s="1995"/>
    </row>
    <row r="1009" spans="27:58">
      <c r="AA1009" s="1994"/>
      <c r="AR1009" s="30">
        <v>79.3</v>
      </c>
      <c r="AS1009" s="32">
        <v>671.1</v>
      </c>
      <c r="AX1009" s="30">
        <v>79.3</v>
      </c>
      <c r="AY1009" s="35">
        <v>0.10476000000000001</v>
      </c>
      <c r="BA1009" s="30">
        <v>79.3</v>
      </c>
      <c r="BB1009" s="35">
        <v>0.10644000000000001</v>
      </c>
      <c r="BF1009" s="1995"/>
    </row>
    <row r="1010" spans="27:58">
      <c r="AA1010" s="1994"/>
      <c r="AR1010" s="30">
        <v>79.400000000000006</v>
      </c>
      <c r="AS1010" s="32">
        <v>670.8</v>
      </c>
      <c r="AX1010" s="30">
        <v>79.400000000000006</v>
      </c>
      <c r="AY1010" s="35">
        <v>0.10471</v>
      </c>
      <c r="BA1010" s="30">
        <v>79.400000000000006</v>
      </c>
      <c r="BB1010" s="35">
        <v>0.10639</v>
      </c>
      <c r="BF1010" s="1995"/>
    </row>
    <row r="1011" spans="27:58">
      <c r="AA1011" s="1994"/>
      <c r="AR1011" s="30">
        <v>79.5</v>
      </c>
      <c r="AS1011" s="32">
        <v>670.5</v>
      </c>
      <c r="AX1011" s="30">
        <v>79.5</v>
      </c>
      <c r="AY1011" s="35">
        <v>0.10466</v>
      </c>
      <c r="BA1011" s="30">
        <v>79.5</v>
      </c>
      <c r="BB1011" s="35">
        <v>0.10634</v>
      </c>
      <c r="BF1011" s="1995"/>
    </row>
    <row r="1012" spans="27:58">
      <c r="AA1012" s="1994"/>
      <c r="AR1012" s="30">
        <v>79.599999999999994</v>
      </c>
      <c r="AS1012" s="32">
        <v>670.2</v>
      </c>
      <c r="AX1012" s="30">
        <v>79.599999999999994</v>
      </c>
      <c r="AY1012" s="35">
        <v>0.10460999999999999</v>
      </c>
      <c r="BA1012" s="30">
        <v>79.599999999999994</v>
      </c>
      <c r="BB1012" s="35">
        <v>0.10629</v>
      </c>
      <c r="BF1012" s="1995"/>
    </row>
    <row r="1013" spans="27:58">
      <c r="AA1013" s="1994"/>
      <c r="AR1013" s="30">
        <v>79.7</v>
      </c>
      <c r="AS1013" s="32">
        <v>669.9</v>
      </c>
      <c r="AX1013" s="30">
        <v>79.7</v>
      </c>
      <c r="AY1013" s="35">
        <v>0.10456</v>
      </c>
      <c r="BA1013" s="30">
        <v>79.7</v>
      </c>
      <c r="BB1013" s="35">
        <v>0.10624</v>
      </c>
      <c r="BF1013" s="1995"/>
    </row>
    <row r="1014" spans="27:58">
      <c r="AA1014" s="1994"/>
      <c r="AR1014" s="30">
        <v>79.8</v>
      </c>
      <c r="AS1014" s="32">
        <v>669.5</v>
      </c>
      <c r="AX1014" s="30">
        <v>79.8</v>
      </c>
      <c r="AY1014" s="35">
        <v>0.10451000000000001</v>
      </c>
      <c r="BA1014" s="30">
        <v>79.8</v>
      </c>
      <c r="BB1014" s="35">
        <v>0.10618</v>
      </c>
      <c r="BF1014" s="1995"/>
    </row>
    <row r="1015" spans="27:58">
      <c r="AA1015" s="1994"/>
      <c r="AR1015" s="30">
        <v>79.900000000000006</v>
      </c>
      <c r="AS1015" s="32">
        <v>669.2</v>
      </c>
      <c r="AX1015" s="30">
        <v>79.900000000000006</v>
      </c>
      <c r="AY1015" s="35">
        <v>0.10446</v>
      </c>
      <c r="BA1015" s="30">
        <v>79.900000000000006</v>
      </c>
      <c r="BB1015" s="35">
        <v>0.10613</v>
      </c>
      <c r="BF1015" s="1995"/>
    </row>
    <row r="1016" spans="27:58">
      <c r="AA1016" s="1994"/>
      <c r="AR1016" s="30">
        <v>80</v>
      </c>
      <c r="AS1016" s="32">
        <v>668.9</v>
      </c>
      <c r="AX1016" s="30">
        <v>80</v>
      </c>
      <c r="AY1016" s="35">
        <v>0.10441</v>
      </c>
      <c r="BA1016" s="30">
        <v>80</v>
      </c>
      <c r="BB1016" s="35">
        <v>0.10607999999999999</v>
      </c>
      <c r="BF1016" s="1995"/>
    </row>
    <row r="1017" spans="27:58">
      <c r="AA1017" s="1994"/>
      <c r="AR1017" s="30">
        <v>80.099999999999994</v>
      </c>
      <c r="AS1017" s="32">
        <v>668.6</v>
      </c>
      <c r="AX1017" s="30">
        <v>80.099999999999994</v>
      </c>
      <c r="AY1017" s="35">
        <v>0.10435999999999999</v>
      </c>
      <c r="BA1017" s="30">
        <v>80.099999999999994</v>
      </c>
      <c r="BB1017" s="35">
        <v>0.10603</v>
      </c>
      <c r="BF1017" s="1995"/>
    </row>
    <row r="1018" spans="27:58">
      <c r="AA1018" s="1994"/>
      <c r="AR1018" s="30">
        <v>80.2</v>
      </c>
      <c r="AS1018" s="32">
        <v>668.3</v>
      </c>
      <c r="AX1018" s="30">
        <v>80.2</v>
      </c>
      <c r="AY1018" s="35">
        <v>0.10431</v>
      </c>
      <c r="BA1018" s="30">
        <v>80.2</v>
      </c>
      <c r="BB1018" s="35">
        <v>0.10598</v>
      </c>
      <c r="BF1018" s="1995"/>
    </row>
    <row r="1019" spans="27:58">
      <c r="AA1019" s="1994"/>
      <c r="AR1019" s="30">
        <v>80.3</v>
      </c>
      <c r="AS1019" s="32">
        <v>668</v>
      </c>
      <c r="AX1019" s="30">
        <v>80.3</v>
      </c>
      <c r="AY1019" s="35">
        <v>0.10426000000000001</v>
      </c>
      <c r="BA1019" s="30">
        <v>80.3</v>
      </c>
      <c r="BB1019" s="35">
        <v>0.10593</v>
      </c>
      <c r="BF1019" s="1995"/>
    </row>
    <row r="1020" spans="27:58">
      <c r="AA1020" s="1994"/>
      <c r="AR1020" s="30">
        <v>80.400000000000006</v>
      </c>
      <c r="AS1020" s="32">
        <v>667.6</v>
      </c>
      <c r="AX1020" s="30">
        <v>80.400000000000006</v>
      </c>
      <c r="AY1020" s="35">
        <v>0.10421</v>
      </c>
      <c r="BA1020" s="30">
        <v>80.400000000000006</v>
      </c>
      <c r="BB1020" s="35">
        <v>0.10588</v>
      </c>
      <c r="BF1020" s="1995"/>
    </row>
    <row r="1021" spans="27:58">
      <c r="AA1021" s="1994"/>
      <c r="AR1021" s="30">
        <v>80.5</v>
      </c>
      <c r="AS1021" s="32">
        <v>667.3</v>
      </c>
      <c r="AX1021" s="30">
        <v>80.5</v>
      </c>
      <c r="AY1021" s="35">
        <v>0.10416</v>
      </c>
      <c r="BA1021" s="30">
        <v>80.5</v>
      </c>
      <c r="BB1021" s="35">
        <v>0.10582999999999999</v>
      </c>
      <c r="BF1021" s="1995"/>
    </row>
    <row r="1022" spans="27:58">
      <c r="AA1022" s="1994"/>
      <c r="AR1022" s="30">
        <v>80.599999999999994</v>
      </c>
      <c r="AS1022" s="32">
        <v>667</v>
      </c>
      <c r="AX1022" s="30">
        <v>80.599999999999994</v>
      </c>
      <c r="AY1022" s="35">
        <v>0.10410999999999999</v>
      </c>
      <c r="BA1022" s="30">
        <v>80.599999999999994</v>
      </c>
      <c r="BB1022" s="35">
        <v>0.10578</v>
      </c>
      <c r="BF1022" s="1995"/>
    </row>
    <row r="1023" spans="27:58">
      <c r="AA1023" s="1994"/>
      <c r="AR1023" s="30">
        <v>80.7</v>
      </c>
      <c r="AS1023" s="32">
        <v>666.7</v>
      </c>
      <c r="AX1023" s="30">
        <v>80.7</v>
      </c>
      <c r="AY1023" s="35">
        <v>0.10406</v>
      </c>
      <c r="BA1023" s="30">
        <v>80.7</v>
      </c>
      <c r="BB1023" s="35">
        <v>0.10573</v>
      </c>
      <c r="BF1023" s="1995"/>
    </row>
    <row r="1024" spans="27:58">
      <c r="AA1024" s="1994"/>
      <c r="AR1024" s="30">
        <v>80.8</v>
      </c>
      <c r="AS1024" s="32">
        <v>666.4</v>
      </c>
      <c r="AX1024" s="30">
        <v>80.8</v>
      </c>
      <c r="AY1024" s="35">
        <v>0.10401000000000001</v>
      </c>
      <c r="BA1024" s="30">
        <v>80.8</v>
      </c>
      <c r="BB1024" s="35">
        <v>0.10568</v>
      </c>
      <c r="BF1024" s="1995"/>
    </row>
    <row r="1025" spans="27:58">
      <c r="AA1025" s="1994"/>
      <c r="AR1025" s="30">
        <v>80.900000000000006</v>
      </c>
      <c r="AS1025" s="32">
        <v>666.1</v>
      </c>
      <c r="AX1025" s="30">
        <v>80.900000000000006</v>
      </c>
      <c r="AY1025" s="35">
        <v>0.10397000000000001</v>
      </c>
      <c r="BA1025" s="30">
        <v>80.900000000000006</v>
      </c>
      <c r="BB1025" s="35">
        <v>0.10563</v>
      </c>
      <c r="BF1025" s="1995"/>
    </row>
    <row r="1026" spans="27:58">
      <c r="AA1026" s="1994"/>
      <c r="AR1026" s="30">
        <v>81</v>
      </c>
      <c r="AS1026" s="32">
        <v>665.8</v>
      </c>
      <c r="AX1026" s="30">
        <v>81</v>
      </c>
      <c r="AY1026" s="35">
        <v>0.10392</v>
      </c>
      <c r="BA1026" s="30">
        <v>81</v>
      </c>
      <c r="BB1026" s="35">
        <v>0.10557999999999999</v>
      </c>
      <c r="BF1026" s="1995"/>
    </row>
    <row r="1027" spans="27:58">
      <c r="AA1027" s="1994"/>
      <c r="AR1027" s="30">
        <v>81.099999999999994</v>
      </c>
      <c r="AS1027" s="32">
        <v>665.4</v>
      </c>
      <c r="AX1027" s="30">
        <v>81.099999999999994</v>
      </c>
      <c r="AY1027" s="35">
        <v>0.10387</v>
      </c>
      <c r="BA1027" s="30">
        <v>81.099999999999994</v>
      </c>
      <c r="BB1027" s="35">
        <v>0.10553</v>
      </c>
      <c r="BF1027" s="1995"/>
    </row>
    <row r="1028" spans="27:58">
      <c r="AA1028" s="1994"/>
      <c r="AR1028" s="30">
        <v>81.2</v>
      </c>
      <c r="AS1028" s="32">
        <v>665.1</v>
      </c>
      <c r="AX1028" s="30">
        <v>81.2</v>
      </c>
      <c r="AY1028" s="35">
        <v>0.10382</v>
      </c>
      <c r="BA1028" s="30">
        <v>81.2</v>
      </c>
      <c r="BB1028" s="35">
        <v>0.10548</v>
      </c>
      <c r="BF1028" s="1995"/>
    </row>
    <row r="1029" spans="27:58">
      <c r="AA1029" s="1994"/>
      <c r="AR1029" s="30">
        <v>81.3</v>
      </c>
      <c r="AS1029" s="32">
        <v>664.8</v>
      </c>
      <c r="AX1029" s="30">
        <v>81.3</v>
      </c>
      <c r="AY1029" s="35">
        <v>0.10377</v>
      </c>
      <c r="BA1029" s="30">
        <v>81.3</v>
      </c>
      <c r="BB1029" s="35">
        <v>0.10543</v>
      </c>
      <c r="BF1029" s="1995"/>
    </row>
    <row r="1030" spans="27:58">
      <c r="AA1030" s="1994"/>
      <c r="AR1030" s="30">
        <v>81.400000000000006</v>
      </c>
      <c r="AS1030" s="32">
        <v>664.5</v>
      </c>
      <c r="AX1030" s="30">
        <v>81.400000000000006</v>
      </c>
      <c r="AY1030" s="35">
        <v>0.10372000000000001</v>
      </c>
      <c r="BA1030" s="30">
        <v>81.400000000000006</v>
      </c>
      <c r="BB1030" s="35">
        <v>0.10539</v>
      </c>
      <c r="BF1030" s="1995"/>
    </row>
    <row r="1031" spans="27:58">
      <c r="AA1031" s="1994"/>
      <c r="AR1031" s="30">
        <v>81.5</v>
      </c>
      <c r="AS1031" s="32">
        <v>664.2</v>
      </c>
      <c r="AX1031" s="30">
        <v>81.5</v>
      </c>
      <c r="AY1031" s="35">
        <v>0.10367</v>
      </c>
      <c r="BA1031" s="30">
        <v>81.5</v>
      </c>
      <c r="BB1031" s="35">
        <v>0.10534</v>
      </c>
      <c r="BF1031" s="1995"/>
    </row>
    <row r="1032" spans="27:58">
      <c r="AA1032" s="1994"/>
      <c r="AR1032" s="30">
        <v>81.599999999999994</v>
      </c>
      <c r="AS1032" s="32">
        <v>663.9</v>
      </c>
      <c r="AX1032" s="30">
        <v>81.599999999999994</v>
      </c>
      <c r="AY1032" s="35">
        <v>0.10362</v>
      </c>
      <c r="BA1032" s="30">
        <v>81.599999999999994</v>
      </c>
      <c r="BB1032" s="35">
        <v>0.10528999999999999</v>
      </c>
      <c r="BF1032" s="1995"/>
    </row>
    <row r="1033" spans="27:58">
      <c r="AA1033" s="1994"/>
      <c r="AR1033" s="30">
        <v>81.7</v>
      </c>
      <c r="AS1033" s="32">
        <v>663.6</v>
      </c>
      <c r="AX1033" s="30">
        <v>81.7</v>
      </c>
      <c r="AY1033" s="35">
        <v>0.10357</v>
      </c>
      <c r="BA1033" s="30">
        <v>81.7</v>
      </c>
      <c r="BB1033" s="35">
        <v>0.10524</v>
      </c>
      <c r="BF1033" s="1995"/>
    </row>
    <row r="1034" spans="27:58">
      <c r="AA1034" s="1994"/>
      <c r="AR1034" s="30">
        <v>81.8</v>
      </c>
      <c r="AS1034" s="32">
        <v>663.3</v>
      </c>
      <c r="AX1034" s="30">
        <v>81.8</v>
      </c>
      <c r="AY1034" s="35">
        <v>0.10353</v>
      </c>
      <c r="BA1034" s="30">
        <v>81.8</v>
      </c>
      <c r="BB1034" s="35">
        <v>0.10519000000000001</v>
      </c>
      <c r="BF1034" s="1995"/>
    </row>
    <row r="1035" spans="27:58">
      <c r="AA1035" s="1994"/>
      <c r="AR1035" s="30">
        <v>81.900000000000006</v>
      </c>
      <c r="AS1035" s="32">
        <v>663</v>
      </c>
      <c r="AX1035" s="30">
        <v>81.900000000000006</v>
      </c>
      <c r="AY1035" s="35">
        <v>0.10348</v>
      </c>
      <c r="BA1035" s="30">
        <v>81.900000000000006</v>
      </c>
      <c r="BB1035" s="35">
        <v>0.10514</v>
      </c>
      <c r="BF1035" s="1995"/>
    </row>
    <row r="1036" spans="27:58">
      <c r="AA1036" s="1994"/>
      <c r="AR1036" s="30">
        <v>82</v>
      </c>
      <c r="AS1036" s="32">
        <v>662.6</v>
      </c>
      <c r="AX1036" s="30">
        <v>82</v>
      </c>
      <c r="AY1036" s="35">
        <v>0.10342999999999999</v>
      </c>
      <c r="BA1036" s="30">
        <v>82</v>
      </c>
      <c r="BB1036" s="35">
        <v>0.10509</v>
      </c>
      <c r="BF1036" s="1995"/>
    </row>
    <row r="1037" spans="27:58">
      <c r="AA1037" s="1994"/>
      <c r="AR1037" s="30">
        <v>82.1</v>
      </c>
      <c r="AS1037" s="32">
        <v>662.3</v>
      </c>
      <c r="AX1037" s="30">
        <v>82.1</v>
      </c>
      <c r="AY1037" s="35">
        <v>0.10338</v>
      </c>
      <c r="BA1037" s="30">
        <v>82.1</v>
      </c>
      <c r="BB1037" s="35">
        <v>0.10503999999999999</v>
      </c>
      <c r="BF1037" s="1995"/>
    </row>
    <row r="1038" spans="27:58">
      <c r="AA1038" s="1994"/>
      <c r="AR1038" s="30">
        <v>82.2</v>
      </c>
      <c r="AS1038" s="32">
        <v>662</v>
      </c>
      <c r="AX1038" s="30">
        <v>82.2</v>
      </c>
      <c r="AY1038" s="35">
        <v>0.10333000000000001</v>
      </c>
      <c r="BA1038" s="30">
        <v>82.2</v>
      </c>
      <c r="BB1038" s="35">
        <v>0.10499</v>
      </c>
      <c r="BF1038" s="1995"/>
    </row>
    <row r="1039" spans="27:58">
      <c r="AA1039" s="1994"/>
      <c r="AR1039" s="30">
        <v>82.3</v>
      </c>
      <c r="AS1039" s="32">
        <v>661.7</v>
      </c>
      <c r="AX1039" s="30">
        <v>82.3</v>
      </c>
      <c r="AY1039" s="35">
        <v>0.10328</v>
      </c>
      <c r="BA1039" s="30">
        <v>82.3</v>
      </c>
      <c r="BB1039" s="35">
        <v>0.10494000000000001</v>
      </c>
      <c r="BF1039" s="1995"/>
    </row>
    <row r="1040" spans="27:58">
      <c r="AA1040" s="1994"/>
      <c r="AR1040" s="30">
        <v>82.4</v>
      </c>
      <c r="AS1040" s="32">
        <v>661.4</v>
      </c>
      <c r="AX1040" s="30">
        <v>82.4</v>
      </c>
      <c r="AY1040" s="35">
        <v>0.10324</v>
      </c>
      <c r="BA1040" s="30">
        <v>82.4</v>
      </c>
      <c r="BB1040" s="35">
        <v>0.10489</v>
      </c>
      <c r="BF1040" s="1995"/>
    </row>
    <row r="1041" spans="27:58">
      <c r="AA1041" s="1994"/>
      <c r="AR1041" s="30">
        <v>82.5</v>
      </c>
      <c r="AS1041" s="32">
        <v>661.1</v>
      </c>
      <c r="AX1041" s="30">
        <v>82.5</v>
      </c>
      <c r="AY1041" s="35">
        <v>0.10319</v>
      </c>
      <c r="BA1041" s="30">
        <v>82.5</v>
      </c>
      <c r="BB1041" s="35">
        <v>0.10484</v>
      </c>
      <c r="BF1041" s="1995"/>
    </row>
    <row r="1042" spans="27:58">
      <c r="AA1042" s="1994"/>
      <c r="AR1042" s="30">
        <v>82.6</v>
      </c>
      <c r="AS1042" s="32">
        <v>660.8</v>
      </c>
      <c r="AX1042" s="30">
        <v>82.6</v>
      </c>
      <c r="AY1042" s="35">
        <v>0.10314</v>
      </c>
      <c r="BA1042" s="30">
        <v>82.6</v>
      </c>
      <c r="BB1042" s="35">
        <v>0.10478999999999999</v>
      </c>
      <c r="BF1042" s="1995"/>
    </row>
    <row r="1043" spans="27:58">
      <c r="AA1043" s="1994"/>
      <c r="AR1043" s="30">
        <v>82.7</v>
      </c>
      <c r="AS1043" s="32">
        <v>660.5</v>
      </c>
      <c r="AX1043" s="30">
        <v>82.7</v>
      </c>
      <c r="AY1043" s="35">
        <v>0.10309</v>
      </c>
      <c r="BA1043" s="30">
        <v>82.7</v>
      </c>
      <c r="BB1043" s="35">
        <v>0.10474</v>
      </c>
      <c r="BF1043" s="1995"/>
    </row>
    <row r="1044" spans="27:58">
      <c r="AA1044" s="1994"/>
      <c r="AR1044" s="30">
        <v>82.8</v>
      </c>
      <c r="AS1044" s="32">
        <v>660.2</v>
      </c>
      <c r="AX1044" s="30">
        <v>82.8</v>
      </c>
      <c r="AY1044" s="35">
        <v>0.10304000000000001</v>
      </c>
      <c r="BA1044" s="30">
        <v>82.8</v>
      </c>
      <c r="BB1044" s="35">
        <v>0.1047</v>
      </c>
      <c r="BF1044" s="1995"/>
    </row>
    <row r="1045" spans="27:58">
      <c r="AA1045" s="1994"/>
      <c r="AR1045" s="30">
        <v>82.9</v>
      </c>
      <c r="AS1045" s="32">
        <v>659.9</v>
      </c>
      <c r="AX1045" s="30">
        <v>82.9</v>
      </c>
      <c r="AY1045" s="35">
        <v>0.10299</v>
      </c>
      <c r="BA1045" s="30">
        <v>82.9</v>
      </c>
      <c r="BB1045" s="35">
        <v>0.10465000000000001</v>
      </c>
      <c r="BF1045" s="1995"/>
    </row>
    <row r="1046" spans="27:58">
      <c r="AA1046" s="1994"/>
      <c r="AR1046" s="30">
        <v>83</v>
      </c>
      <c r="AS1046" s="32">
        <v>659.6</v>
      </c>
      <c r="AX1046" s="30">
        <v>83</v>
      </c>
      <c r="AY1046" s="35">
        <v>0.10295</v>
      </c>
      <c r="BA1046" s="30">
        <v>83</v>
      </c>
      <c r="BB1046" s="35">
        <v>0.1046</v>
      </c>
      <c r="BF1046" s="1995"/>
    </row>
    <row r="1047" spans="27:58">
      <c r="AA1047" s="1994"/>
      <c r="AR1047" s="30">
        <v>83.1</v>
      </c>
      <c r="AS1047" s="32">
        <v>659.3</v>
      </c>
      <c r="AX1047" s="30">
        <v>83.1</v>
      </c>
      <c r="AY1047" s="35">
        <v>0.10290000000000001</v>
      </c>
      <c r="BA1047" s="30">
        <v>83.1</v>
      </c>
      <c r="BB1047" s="35">
        <v>0.10455</v>
      </c>
      <c r="BF1047" s="1995"/>
    </row>
    <row r="1048" spans="27:58">
      <c r="AA1048" s="1994"/>
      <c r="AR1048" s="30">
        <v>83.2</v>
      </c>
      <c r="AS1048" s="32">
        <v>658.9</v>
      </c>
      <c r="AX1048" s="30">
        <v>83.2</v>
      </c>
      <c r="AY1048" s="35">
        <v>0.10285000000000001</v>
      </c>
      <c r="BA1048" s="30">
        <v>83.2</v>
      </c>
      <c r="BB1048" s="35">
        <v>0.1045</v>
      </c>
      <c r="BF1048" s="1995"/>
    </row>
    <row r="1049" spans="27:58">
      <c r="AA1049" s="1994"/>
      <c r="AR1049" s="30">
        <v>83.3</v>
      </c>
      <c r="AS1049" s="32">
        <v>658.6</v>
      </c>
      <c r="AX1049" s="30">
        <v>83.3</v>
      </c>
      <c r="AY1049" s="35">
        <v>0.10280000000000002</v>
      </c>
      <c r="BA1049" s="30">
        <v>83.3</v>
      </c>
      <c r="BB1049" s="35">
        <v>0.10445</v>
      </c>
      <c r="BF1049" s="1995"/>
    </row>
    <row r="1050" spans="27:58">
      <c r="AA1050" s="1994"/>
      <c r="AR1050" s="30">
        <v>83.4</v>
      </c>
      <c r="AS1050" s="32">
        <v>658.3</v>
      </c>
      <c r="AX1050" s="30">
        <v>83.4</v>
      </c>
      <c r="AY1050" s="35">
        <v>0.10275000000000002</v>
      </c>
      <c r="BA1050" s="30">
        <v>83.4</v>
      </c>
      <c r="BB1050" s="35">
        <v>0.10440000000000001</v>
      </c>
      <c r="BF1050" s="1995"/>
    </row>
    <row r="1051" spans="27:58">
      <c r="AA1051" s="1994"/>
      <c r="AR1051" s="30">
        <v>83.5</v>
      </c>
      <c r="AS1051" s="32">
        <v>658</v>
      </c>
      <c r="AX1051" s="30">
        <v>83.5</v>
      </c>
      <c r="AY1051" s="35">
        <v>0.10271</v>
      </c>
      <c r="BA1051" s="30">
        <v>83.5</v>
      </c>
      <c r="BB1051" s="35">
        <v>0.10435000000000001</v>
      </c>
      <c r="BF1051" s="1995"/>
    </row>
    <row r="1052" spans="27:58">
      <c r="AA1052" s="1994"/>
      <c r="AR1052" s="30">
        <v>83.6</v>
      </c>
      <c r="AS1052" s="32">
        <v>657.7</v>
      </c>
      <c r="AX1052" s="30">
        <v>83.6</v>
      </c>
      <c r="AY1052" s="35">
        <v>0.10266</v>
      </c>
      <c r="BA1052" s="30">
        <v>83.6</v>
      </c>
      <c r="BB1052" s="35">
        <v>0.10431</v>
      </c>
      <c r="BF1052" s="1995"/>
    </row>
    <row r="1053" spans="27:58">
      <c r="AA1053" s="1994"/>
      <c r="AR1053" s="30">
        <v>83.7</v>
      </c>
      <c r="AS1053" s="32">
        <v>657.4</v>
      </c>
      <c r="AX1053" s="30">
        <v>83.7</v>
      </c>
      <c r="AY1053" s="35">
        <v>0.10261000000000001</v>
      </c>
      <c r="BA1053" s="30">
        <v>83.7</v>
      </c>
      <c r="BB1053" s="35">
        <v>0.10426000000000001</v>
      </c>
      <c r="BF1053" s="1995"/>
    </row>
    <row r="1054" spans="27:58">
      <c r="AA1054" s="1994"/>
      <c r="AR1054" s="30">
        <v>83.8</v>
      </c>
      <c r="AS1054" s="32">
        <v>657.1</v>
      </c>
      <c r="AX1054" s="30">
        <v>83.8</v>
      </c>
      <c r="AY1054" s="35">
        <v>0.10256</v>
      </c>
      <c r="BA1054" s="30">
        <v>83.8</v>
      </c>
      <c r="BB1054" s="35">
        <v>0.10421000000000001</v>
      </c>
      <c r="BF1054" s="1995"/>
    </row>
    <row r="1055" spans="27:58">
      <c r="AA1055" s="1994"/>
      <c r="AR1055" s="30">
        <v>83.9</v>
      </c>
      <c r="AS1055" s="32">
        <v>656.8</v>
      </c>
      <c r="AX1055" s="30">
        <v>83.9</v>
      </c>
      <c r="AY1055" s="35">
        <v>0.10251</v>
      </c>
      <c r="BA1055" s="30">
        <v>83.9</v>
      </c>
      <c r="BB1055" s="35">
        <v>0.10416000000000002</v>
      </c>
      <c r="BF1055" s="1995"/>
    </row>
    <row r="1056" spans="27:58">
      <c r="AA1056" s="1994"/>
      <c r="AR1056" s="30">
        <v>84</v>
      </c>
      <c r="AS1056" s="32">
        <v>656.5</v>
      </c>
      <c r="AX1056" s="30">
        <v>84</v>
      </c>
      <c r="AY1056" s="35">
        <v>0.10247000000000001</v>
      </c>
      <c r="BA1056" s="30">
        <v>84</v>
      </c>
      <c r="BB1056" s="35">
        <v>0.10411000000000002</v>
      </c>
      <c r="BF1056" s="1995"/>
    </row>
    <row r="1057" spans="27:58">
      <c r="AA1057" s="1994"/>
      <c r="AR1057" s="30">
        <v>84.1</v>
      </c>
      <c r="AS1057" s="32">
        <v>656.2</v>
      </c>
      <c r="AX1057" s="30">
        <v>84.1</v>
      </c>
      <c r="AY1057" s="35">
        <v>0.10242</v>
      </c>
      <c r="BA1057" s="30">
        <v>84.1</v>
      </c>
      <c r="BB1057" s="35">
        <v>0.10406000000000003</v>
      </c>
      <c r="BF1057" s="1995"/>
    </row>
    <row r="1058" spans="27:58">
      <c r="AA1058" s="1994"/>
      <c r="AR1058" s="30">
        <v>84.2</v>
      </c>
      <c r="AS1058" s="32">
        <v>655.9</v>
      </c>
      <c r="AX1058" s="30">
        <v>84.2</v>
      </c>
      <c r="AY1058" s="35">
        <v>0.10237</v>
      </c>
      <c r="BA1058" s="30">
        <v>84.2</v>
      </c>
      <c r="BB1058" s="35">
        <v>0.10401000000000003</v>
      </c>
      <c r="BF1058" s="1995"/>
    </row>
    <row r="1059" spans="27:58">
      <c r="AA1059" s="1994"/>
      <c r="AR1059" s="30">
        <v>84.3</v>
      </c>
      <c r="AS1059" s="32">
        <v>655.6</v>
      </c>
      <c r="AX1059" s="30">
        <v>84.3</v>
      </c>
      <c r="AY1059" s="35">
        <v>0.10231999999999999</v>
      </c>
      <c r="BA1059" s="30">
        <v>84.3</v>
      </c>
      <c r="BB1059" s="35">
        <v>0.10397000000000001</v>
      </c>
      <c r="BF1059" s="1995"/>
    </row>
    <row r="1060" spans="27:58">
      <c r="AA1060" s="1994"/>
      <c r="AR1060" s="30">
        <v>84.4</v>
      </c>
      <c r="AS1060" s="32">
        <v>655.29999999999995</v>
      </c>
      <c r="AX1060" s="30">
        <v>84.4</v>
      </c>
      <c r="AY1060" s="35">
        <v>0.10228</v>
      </c>
      <c r="BA1060" s="30">
        <v>84.4</v>
      </c>
      <c r="BB1060" s="35">
        <v>0.10392</v>
      </c>
      <c r="BF1060" s="1995"/>
    </row>
    <row r="1061" spans="27:58">
      <c r="AA1061" s="1994"/>
      <c r="AR1061" s="30">
        <v>84.5</v>
      </c>
      <c r="AS1061" s="32">
        <v>655</v>
      </c>
      <c r="AX1061" s="30">
        <v>84.5</v>
      </c>
      <c r="AY1061" s="35">
        <v>0.10223</v>
      </c>
      <c r="BA1061" s="30">
        <v>84.5</v>
      </c>
      <c r="BB1061" s="35">
        <v>0.10386999999999999</v>
      </c>
      <c r="BF1061" s="1995"/>
    </row>
    <row r="1062" spans="27:58">
      <c r="AA1062" s="1994"/>
      <c r="AR1062" s="30">
        <v>84.6</v>
      </c>
      <c r="AS1062" s="32">
        <v>654.70000000000005</v>
      </c>
      <c r="AX1062" s="30">
        <v>84.6</v>
      </c>
      <c r="AY1062" s="35">
        <v>0.10218000000000001</v>
      </c>
      <c r="BA1062" s="30">
        <v>84.6</v>
      </c>
      <c r="BB1062" s="35">
        <v>0.10381999999999998</v>
      </c>
      <c r="BF1062" s="1995"/>
    </row>
    <row r="1063" spans="27:58">
      <c r="AA1063" s="1994"/>
      <c r="AR1063" s="30">
        <v>84.7</v>
      </c>
      <c r="AS1063" s="32">
        <v>654.4</v>
      </c>
      <c r="AX1063" s="30">
        <v>84.7</v>
      </c>
      <c r="AY1063" s="35">
        <v>0.10213</v>
      </c>
      <c r="BA1063" s="30">
        <v>84.7</v>
      </c>
      <c r="BB1063" s="35">
        <v>0.10376999999999997</v>
      </c>
      <c r="BF1063" s="1995"/>
    </row>
    <row r="1064" spans="27:58">
      <c r="AA1064" s="1994"/>
      <c r="AR1064" s="30">
        <v>84.8</v>
      </c>
      <c r="AS1064" s="32">
        <v>654.1</v>
      </c>
      <c r="AX1064" s="30">
        <v>84.8</v>
      </c>
      <c r="AY1064" s="35">
        <v>0.10209</v>
      </c>
      <c r="BA1064" s="30">
        <v>84.8</v>
      </c>
      <c r="BB1064" s="35">
        <v>0.10373</v>
      </c>
      <c r="BF1064" s="1995"/>
    </row>
    <row r="1065" spans="27:58">
      <c r="AA1065" s="1994"/>
      <c r="AR1065" s="30">
        <v>84.9</v>
      </c>
      <c r="AS1065" s="32">
        <v>653.79999999999995</v>
      </c>
      <c r="AX1065" s="30">
        <v>84.9</v>
      </c>
      <c r="AY1065" s="35">
        <v>0.10204000000000001</v>
      </c>
      <c r="BA1065" s="30">
        <v>84.9</v>
      </c>
      <c r="BB1065" s="35">
        <v>0.10367999999999999</v>
      </c>
      <c r="BF1065" s="1995"/>
    </row>
    <row r="1066" spans="27:58">
      <c r="AA1066" s="1994"/>
      <c r="AR1066" s="1728">
        <v>85</v>
      </c>
      <c r="AS1066" s="1729">
        <v>653.5</v>
      </c>
      <c r="AX1066" s="1728">
        <v>85</v>
      </c>
      <c r="AY1066" s="204">
        <v>0.10199</v>
      </c>
      <c r="BA1066" s="1728">
        <v>85</v>
      </c>
      <c r="BB1066" s="204">
        <v>0.10363</v>
      </c>
      <c r="BF1066" s="1995"/>
    </row>
    <row r="1067" spans="27:58">
      <c r="AA1067" s="1994"/>
      <c r="BF1067" s="1995"/>
    </row>
    <row r="1068" spans="27:58">
      <c r="AA1068" s="1994"/>
      <c r="AR1068" s="2610"/>
      <c r="AS1068" s="2610"/>
      <c r="AT1068" s="2610"/>
      <c r="AU1068" s="2610"/>
      <c r="AV1068" s="2610"/>
      <c r="AW1068" s="2610"/>
      <c r="AX1068" s="2610"/>
      <c r="AY1068" s="2610"/>
      <c r="AZ1068" s="2610"/>
      <c r="BA1068" s="2610"/>
      <c r="BB1068" s="2610"/>
      <c r="BC1068" s="2610"/>
      <c r="BD1068" s="2610"/>
      <c r="BE1068" s="2610"/>
      <c r="BF1068" s="2610"/>
    </row>
    <row r="1069" spans="27:58">
      <c r="AA1069" s="1994"/>
    </row>
    <row r="1070" spans="27:58">
      <c r="AA1070" s="1994"/>
    </row>
    <row r="1071" spans="27:58">
      <c r="AA1071" s="1994"/>
    </row>
    <row r="1072" spans="27:58">
      <c r="AA1072" s="1994"/>
    </row>
    <row r="1073" spans="27:43">
      <c r="AA1073" s="1994"/>
      <c r="AC1073" s="2009"/>
    </row>
    <row r="1074" spans="27:43">
      <c r="AA1074" s="1994"/>
    </row>
    <row r="1075" spans="27:43">
      <c r="AA1075" s="1994"/>
    </row>
    <row r="1076" spans="27:43">
      <c r="AA1076" s="1994"/>
    </row>
    <row r="1077" spans="27:43">
      <c r="AA1077" s="1994"/>
      <c r="AQ1077" s="2009"/>
    </row>
    <row r="1078" spans="27:43">
      <c r="AA1078" s="2008"/>
      <c r="AB1078" s="2009"/>
    </row>
    <row r="1083" spans="27:43">
      <c r="AD1083" s="2009"/>
      <c r="AE1083" s="2009"/>
      <c r="AF1083" s="2009"/>
      <c r="AG1083" s="2009"/>
      <c r="AH1083" s="2009"/>
      <c r="AI1083" s="2009"/>
      <c r="AJ1083" s="2009"/>
      <c r="AK1083" s="2009"/>
      <c r="AL1083" s="2009"/>
      <c r="AM1083" s="2009"/>
      <c r="AN1083" s="2009"/>
      <c r="AO1083" s="2009"/>
      <c r="AP1083" s="2009"/>
    </row>
  </sheetData>
  <mergeCells count="1">
    <mergeCell ref="B2:B3"/>
  </mergeCells>
  <conditionalFormatting sqref="AD220">
    <cfRule type="expression" dxfId="85" priority="1" stopIfTrue="1">
      <formula>$AA$219=1</formula>
    </cfRule>
  </conditionalFormatting>
  <conditionalFormatting sqref="AE221">
    <cfRule type="expression" dxfId="84" priority="2" stopIfTrue="1">
      <formula>$AA$219=2</formula>
    </cfRule>
  </conditionalFormatting>
  <hyperlinks>
    <hyperlink ref="B2:B3" location="Home!A1" display="HOME" xr:uid="{624642D4-848A-47DA-8AC0-6263CD03B663}"/>
    <hyperlink ref="AA199" location="'ASTM Shore Line Displacement'!A1" display="Go to Up" xr:uid="{9E176F94-2689-4FC5-AE13-1918D736237F}"/>
    <hyperlink ref="B5" location="'Documents Manager'!A1" display="DOCUMENTS MANAGER" xr:uid="{F187E1DC-2ABA-4157-8DE0-9B3D0236BE38}"/>
    <hyperlink ref="B25" location="Disclaimer!A1" display="Disclaimer" xr:uid="{1B8E5D74-6CAB-4DBD-A503-3284D4889DEC}"/>
    <hyperlink ref="B24" location="Help!A1" display="Help" xr:uid="{59F2EDC8-85E7-4E3F-91C4-C5924BB6223A}"/>
    <hyperlink ref="B22" location="'Source - Links'!A1" display="SOURCE / LINKS" xr:uid="{D4F5DCD3-0224-4F2B-9E42-7B84AE44257D}"/>
    <hyperlink ref="B9" location="'ASTM Calculator V.W.'!A1" display="• Calculator - Volume &amp; Weght" xr:uid="{F84ECCE8-6553-4B4A-8B58-EC6593159270}"/>
    <hyperlink ref="B17" location="'ASTM Calc BL Outturn Compare'!A1" display="• BL Figures &amp; Outturn Compare" xr:uid="{7CB9CFED-28D3-4290-91AD-C12DB8BB82AF}"/>
    <hyperlink ref="B8" location="'ASTM Calculator V.W.'!A1" display="ASTM - CALCULATORS" xr:uid="{54689958-A262-47B9-8231-AC6852F1F544}"/>
    <hyperlink ref="B6" location="'ASTM Vol. XI - Tab.1'!A1" display="ASTM TABLES" xr:uid="{9037B8D0-E114-4723-897E-615401BCC687}"/>
    <hyperlink ref="B7" location="'ASTM Converter (Tab.1)'!A1" display="ASTM - CONVERTERS" xr:uid="{A90E0594-DD0A-47A7-8356-DE91741F5DDF}"/>
    <hyperlink ref="B13" location="'ASTM CP min CARGO Check'!A1" display="• Calculator - C/P min CARGO Check" xr:uid="{5D5C9C92-4833-44C9-955D-2EE44392E9CA}"/>
    <hyperlink ref="B18" location="'Initial&amp;Max. Loading Rate'!A1" display="CARGO - CALCULATORS" xr:uid="{153505C1-9895-4BD3-A96F-B72BB75E6EB7}"/>
    <hyperlink ref="B14" location="'ASTM Calculator Blended Cargo'!A1" display="• Calculator - Blended Cargo" xr:uid="{C5742CB7-F047-40FE-9ADE-7B35C434D2FA}"/>
    <hyperlink ref="B15" location="'ASTM Blended Cargo Prediction'!A1" display="• Calculator - Blended Cargo Prediction" xr:uid="{10A7366B-2E8F-473F-ABE0-C66B958FB73C}"/>
    <hyperlink ref="B16" location="'ASTM Shore Line Displacement'!A1" display="• Calculator - Shore Line Displacement" xr:uid="{6EE2ED8A-F2F7-4EB1-91CB-2E12C14A2DB1}"/>
    <hyperlink ref="AL199" location="'ASTM Shore Line Displacement'!A1" display="Go to Up" xr:uid="{33E1F460-44FF-4A69-BEE3-FA3BDB950B05}"/>
    <hyperlink ref="AR199" location="'ASTM Shore Line Displacement'!A1" display="Go to Up" xr:uid="{82601C5A-52A4-41BB-A1A5-AA7A8884A2E5}"/>
    <hyperlink ref="BL199" location="'ASTM Shore Line Displacement'!A1" display="Go to Up" xr:uid="{75AE0115-D384-44FD-B8F9-8243885D7296}"/>
    <hyperlink ref="BS199" location="'ASTM Shore Line Displacement'!A1" display="Go to Up" xr:uid="{FF16F60D-DD6F-48BF-963E-AD4BEBBC246C}"/>
    <hyperlink ref="CC199" location="'ASTM Shore Line Displacement'!A1" display="Go to Up" xr:uid="{565917CA-FDB2-4AB0-B3DC-E6405DB14773}"/>
    <hyperlink ref="M9" location="'ASTM Shore Line Displacement'!AQ230" display="Go to Calc " xr:uid="{D2FA12CB-C3ED-4041-98D9-1B4898DC3EAC}"/>
    <hyperlink ref="B121" location="'ASTM Shore Line Displacement'!A1" display="Go to Up" xr:uid="{02353A35-2BE9-4E52-98AF-7C4FD7CD8F85}"/>
    <hyperlink ref="B152" location="'ASTM Shore Line Displacement'!A1" display="Go to Up" xr:uid="{F8AA0F0F-6DF1-47B7-9F9D-8B9988D358A7}"/>
    <hyperlink ref="B179" location="'ASTM Shore Line Displacement'!A1" display="Go to Up" xr:uid="{826D1550-5ED6-4D37-B15D-E7701EB93C12}"/>
    <hyperlink ref="B210" location="'ASTM Shore Line Displacement'!A1" display="Go to Up" xr:uid="{5872F62D-09A6-4FE1-AF25-C5FA5BF5E8D4}"/>
    <hyperlink ref="B10" location="'ASTM Calculator Volume T.E.(1)'!A1" display="• Calculator - Volume (Therm. expansion) " xr:uid="{092D7B01-531D-453D-BE48-6B9C4A1A12D1}"/>
    <hyperlink ref="B12" location="'ASTM Calculator Volume T.E.(3)'!A1" display="• Calculator - Volume (Therm. expan. 3) " xr:uid="{38DFE33C-DB1E-43F0-85C7-4EA32E3E2E79}"/>
    <hyperlink ref="B11" location="'ASTM Calculator Volume T.E.(2)'!A1" display="• Calculator - Volume (Therm. expan. 2) " xr:uid="{DD244C94-AF00-42CF-87D6-7605A70308D8}"/>
    <hyperlink ref="B20" location="'Guidelines - Definitions'!A1" display="GUIDELINES" xr:uid="{9FD72944-15A1-4FC4-9907-385C50822206}"/>
    <hyperlink ref="B21" location="'Guidelines - Bottom Lines'!A1" display="GUIDELINES - CARGO" xr:uid="{FE77DCB0-DD4C-47DE-94EC-D1A50049202F}"/>
  </hyperlinks>
  <pageMargins left="0.75" right="0.75" top="1" bottom="1" header="0.5" footer="0.5"/>
  <pageSetup paperSize="9" orientation="portrait" horizontalDpi="4294967294"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9921" r:id="rId4" name="Drop Down 1">
              <controlPr defaultSize="0" autoLine="0" autoPict="0">
                <anchor moveWithCells="1">
                  <from>
                    <xdr:col>11</xdr:col>
                    <xdr:colOff>28575</xdr:colOff>
                    <xdr:row>12</xdr:row>
                    <xdr:rowOff>0</xdr:rowOff>
                  </from>
                  <to>
                    <xdr:col>12</xdr:col>
                    <xdr:colOff>485775</xdr:colOff>
                    <xdr:row>12</xdr:row>
                    <xdr:rowOff>252413</xdr:rowOff>
                  </to>
                </anchor>
              </controlPr>
            </control>
          </mc:Choice>
        </mc:AlternateContent>
        <mc:AlternateContent xmlns:mc="http://schemas.openxmlformats.org/markup-compatibility/2006">
          <mc:Choice Requires="x14">
            <control shapeId="209922" r:id="rId5" name="Option Button 2">
              <controlPr locked="0" defaultSize="0" autoFill="0" autoLine="0" autoPict="0">
                <anchor moveWithCells="1">
                  <from>
                    <xdr:col>5</xdr:col>
                    <xdr:colOff>152400</xdr:colOff>
                    <xdr:row>8</xdr:row>
                    <xdr:rowOff>28575</xdr:rowOff>
                  </from>
                  <to>
                    <xdr:col>5</xdr:col>
                    <xdr:colOff>571500</xdr:colOff>
                    <xdr:row>8</xdr:row>
                    <xdr:rowOff>190500</xdr:rowOff>
                  </to>
                </anchor>
              </controlPr>
            </control>
          </mc:Choice>
        </mc:AlternateContent>
        <mc:AlternateContent xmlns:mc="http://schemas.openxmlformats.org/markup-compatibility/2006">
          <mc:Choice Requires="x14">
            <control shapeId="209923" r:id="rId6" name="Option Button 3">
              <controlPr locked="0" defaultSize="0" autoFill="0" autoLine="0" autoPict="0">
                <anchor moveWithCells="1">
                  <from>
                    <xdr:col>5</xdr:col>
                    <xdr:colOff>542925</xdr:colOff>
                    <xdr:row>8</xdr:row>
                    <xdr:rowOff>28575</xdr:rowOff>
                  </from>
                  <to>
                    <xdr:col>6</xdr:col>
                    <xdr:colOff>390525</xdr:colOff>
                    <xdr:row>8</xdr:row>
                    <xdr:rowOff>190500</xdr:rowOff>
                  </to>
                </anchor>
              </controlPr>
            </control>
          </mc:Choice>
        </mc:AlternateContent>
        <mc:AlternateContent xmlns:mc="http://schemas.openxmlformats.org/markup-compatibility/2006">
          <mc:Choice Requires="x14">
            <control shapeId="209924" r:id="rId7" name="Drop Down 4">
              <controlPr defaultSize="0" autoLine="0" autoPict="0">
                <anchor moveWithCells="1">
                  <from>
                    <xdr:col>8</xdr:col>
                    <xdr:colOff>390525</xdr:colOff>
                    <xdr:row>7</xdr:row>
                    <xdr:rowOff>257175</xdr:rowOff>
                  </from>
                  <to>
                    <xdr:col>9</xdr:col>
                    <xdr:colOff>457200</xdr:colOff>
                    <xdr:row>8</xdr:row>
                    <xdr:rowOff>176213</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008080"/>
  </sheetPr>
  <dimension ref="A1:X186"/>
  <sheetViews>
    <sheetView showGridLines="0" showRowColHeaders="0" topLeftCell="B1" workbookViewId="0">
      <selection activeCell="B18" sqref="B18"/>
    </sheetView>
  </sheetViews>
  <sheetFormatPr defaultColWidth="9.1328125" defaultRowHeight="12.75"/>
  <cols>
    <col min="1" max="1" width="0" hidden="1" customWidth="1"/>
    <col min="2" max="2" width="36.6640625" style="11" customWidth="1"/>
    <col min="3" max="3" width="2.6640625" style="5" customWidth="1"/>
    <col min="4" max="4" width="1.6640625" style="5" customWidth="1"/>
    <col min="5" max="5" width="23.6640625" style="5" customWidth="1"/>
    <col min="6" max="6" width="18.6640625" style="5" customWidth="1"/>
    <col min="7" max="8" width="1.6640625" style="5" customWidth="1"/>
    <col min="9" max="9" width="15.46484375" style="5" bestFit="1" customWidth="1"/>
    <col min="10" max="10" width="23.6640625" style="5" customWidth="1"/>
    <col min="11" max="11" width="18.6640625" style="5" customWidth="1"/>
    <col min="12" max="12" width="1.6640625" style="5" customWidth="1"/>
    <col min="13" max="13" width="13.53125" style="5" customWidth="1"/>
    <col min="14" max="14" width="11.33203125" style="5" customWidth="1"/>
    <col min="15" max="15" width="1.6640625" style="5" customWidth="1"/>
    <col min="16" max="17" width="9.1328125" style="5" customWidth="1"/>
    <col min="18" max="16384" width="9.1328125" style="5"/>
  </cols>
  <sheetData>
    <row r="1" spans="1:24" ht="12.75" customHeight="1">
      <c r="A1" s="1"/>
      <c r="B1" s="63"/>
      <c r="C1" s="2"/>
      <c r="D1" s="3"/>
      <c r="E1" s="4"/>
      <c r="F1" s="4"/>
    </row>
    <row r="2" spans="1:24" s="247" customFormat="1" ht="21" customHeight="1">
      <c r="A2" s="1"/>
      <c r="B2" s="3319" t="s">
        <v>0</v>
      </c>
      <c r="C2" s="2"/>
      <c r="D2" s="332" t="s">
        <v>560</v>
      </c>
      <c r="E2" s="245"/>
      <c r="F2" s="245"/>
      <c r="G2" s="333"/>
      <c r="H2" s="333"/>
      <c r="I2" s="333"/>
      <c r="J2" s="333"/>
      <c r="K2" s="333"/>
      <c r="L2" s="1404"/>
      <c r="M2" s="1404"/>
      <c r="N2" s="1404"/>
      <c r="O2" s="333"/>
      <c r="P2" s="246"/>
      <c r="Q2" s="246"/>
      <c r="R2" s="246"/>
      <c r="S2" s="246"/>
      <c r="T2" s="246"/>
      <c r="U2" s="246"/>
      <c r="V2" s="246"/>
      <c r="W2" s="246"/>
      <c r="X2" s="246"/>
    </row>
    <row r="3" spans="1:24" ht="21" customHeight="1">
      <c r="A3" s="1"/>
      <c r="B3" s="3319"/>
      <c r="C3" s="2"/>
      <c r="E3" s="342"/>
    </row>
    <row r="4" spans="1:24" ht="21" customHeight="1">
      <c r="A4" s="1"/>
      <c r="B4" s="63"/>
      <c r="C4" s="2"/>
      <c r="D4" s="3321" t="s">
        <v>155</v>
      </c>
      <c r="E4" s="3322"/>
      <c r="F4" s="3322"/>
      <c r="G4" s="3323"/>
      <c r="H4" s="3316" t="s">
        <v>171</v>
      </c>
      <c r="I4" s="3317"/>
      <c r="J4" s="3317"/>
      <c r="K4" s="3317"/>
      <c r="L4" s="3317"/>
      <c r="M4" s="3317"/>
      <c r="N4" s="3317"/>
      <c r="O4" s="3318"/>
    </row>
    <row r="5" spans="1:24" ht="21" customHeight="1">
      <c r="A5" s="1"/>
      <c r="B5" s="62" t="s">
        <v>1</v>
      </c>
      <c r="D5" s="596"/>
      <c r="E5" s="342"/>
      <c r="F5" s="635"/>
      <c r="G5" s="396"/>
      <c r="H5" s="597"/>
      <c r="O5" s="396"/>
    </row>
    <row r="6" spans="1:24" ht="21" customHeight="1">
      <c r="A6" s="1"/>
      <c r="B6" s="62" t="s">
        <v>452</v>
      </c>
      <c r="D6" s="596"/>
      <c r="G6" s="396"/>
      <c r="H6" s="597"/>
      <c r="J6" s="287" t="s">
        <v>130</v>
      </c>
      <c r="K6" s="636">
        <f>'Calc BL-Outturn Compare'!M8</f>
        <v>32.6</v>
      </c>
      <c r="L6" s="836"/>
      <c r="M6" s="836"/>
      <c r="N6" s="836"/>
      <c r="O6" s="396"/>
    </row>
    <row r="7" spans="1:24" ht="21" customHeight="1">
      <c r="A7" s="1"/>
      <c r="B7" s="62" t="s">
        <v>239</v>
      </c>
      <c r="D7" s="596"/>
      <c r="G7" s="396"/>
      <c r="H7" s="597"/>
      <c r="J7" s="287" t="s">
        <v>132</v>
      </c>
      <c r="K7" s="636">
        <f>'Calc BL-Outturn Compare'!M9</f>
        <v>0.86229999999999996</v>
      </c>
      <c r="L7" s="836"/>
      <c r="M7" s="836"/>
      <c r="N7" s="836"/>
      <c r="O7" s="396"/>
    </row>
    <row r="8" spans="1:24" ht="21" customHeight="1">
      <c r="A8" s="1"/>
      <c r="B8" s="146" t="s">
        <v>1263</v>
      </c>
      <c r="C8" s="2"/>
      <c r="D8" s="596"/>
      <c r="G8" s="396"/>
      <c r="H8" s="597"/>
      <c r="J8" s="287" t="s">
        <v>131</v>
      </c>
      <c r="K8" s="475">
        <f>'Calc BL-Outturn Compare'!M10</f>
        <v>861.8</v>
      </c>
      <c r="L8" s="837"/>
      <c r="M8" s="837"/>
      <c r="N8" s="837"/>
      <c r="O8" s="396"/>
    </row>
    <row r="9" spans="1:24" ht="21" customHeight="1">
      <c r="A9" s="1"/>
      <c r="B9" s="145" t="s">
        <v>486</v>
      </c>
      <c r="C9" s="2"/>
      <c r="D9" s="637"/>
      <c r="G9" s="396"/>
      <c r="H9" s="597"/>
      <c r="J9" s="287" t="s">
        <v>131</v>
      </c>
      <c r="K9" s="476">
        <f>'Calc BL-Outturn Compare'!M11</f>
        <v>0.8617999999999999</v>
      </c>
      <c r="L9" s="838"/>
      <c r="M9" s="838"/>
      <c r="N9" s="838"/>
      <c r="O9" s="396"/>
    </row>
    <row r="10" spans="1:24" ht="21" customHeight="1">
      <c r="A10" s="1"/>
      <c r="B10" s="145" t="s">
        <v>487</v>
      </c>
      <c r="C10" s="2"/>
      <c r="D10" s="637"/>
      <c r="G10" s="396"/>
      <c r="H10" s="597"/>
      <c r="J10" s="287" t="s">
        <v>131</v>
      </c>
      <c r="K10" s="2824">
        <f>K8/1000</f>
        <v>0.8617999999999999</v>
      </c>
      <c r="L10" s="838"/>
      <c r="M10" s="838"/>
      <c r="N10" s="838"/>
      <c r="O10" s="396"/>
    </row>
    <row r="11" spans="1:24" ht="21" customHeight="1">
      <c r="A11" s="1"/>
      <c r="B11" s="145" t="s">
        <v>1273</v>
      </c>
      <c r="C11" s="2"/>
      <c r="D11" s="637"/>
      <c r="E11" s="244"/>
      <c r="F11" s="291"/>
      <c r="G11" s="396"/>
      <c r="H11" s="597"/>
      <c r="I11" s="287"/>
      <c r="J11" s="373"/>
      <c r="O11" s="396"/>
    </row>
    <row r="12" spans="1:24" ht="21" customHeight="1">
      <c r="A12" s="1"/>
      <c r="B12" s="145" t="s">
        <v>1276</v>
      </c>
      <c r="C12" s="2"/>
      <c r="D12" s="637"/>
      <c r="E12" s="634" t="s">
        <v>178</v>
      </c>
      <c r="F12" s="474">
        <v>32.6</v>
      </c>
      <c r="G12" s="396"/>
      <c r="H12" s="597"/>
      <c r="I12" s="441" t="s">
        <v>190</v>
      </c>
      <c r="J12" s="642" t="s">
        <v>44</v>
      </c>
      <c r="K12" s="643">
        <v>150000</v>
      </c>
      <c r="L12" s="839"/>
      <c r="M12" s="3324" t="s">
        <v>450</v>
      </c>
      <c r="N12" s="3325"/>
      <c r="O12" s="396"/>
    </row>
    <row r="13" spans="1:24" ht="21" customHeight="1">
      <c r="A13" s="1"/>
      <c r="B13" s="145" t="s">
        <v>1264</v>
      </c>
      <c r="C13" s="2"/>
      <c r="D13" s="637"/>
      <c r="E13" s="638" t="str">
        <f>'Calc BL-Outturn Compare'!D18</f>
        <v>LITERS at 15°C</v>
      </c>
      <c r="F13" s="472"/>
      <c r="G13" s="396"/>
      <c r="H13" s="597"/>
      <c r="J13" s="638" t="str">
        <f t="shared" ref="J13:J20" si="0">E13</f>
        <v>LITERS at 15°C</v>
      </c>
      <c r="K13" s="670" t="str">
        <f>IF(F13=0,"",'Calc BL-Outturn Compare'!E18)</f>
        <v/>
      </c>
      <c r="L13" s="840"/>
      <c r="M13" s="670" t="str">
        <f>IF(F13=0,"",K13-F13)</f>
        <v/>
      </c>
      <c r="N13" s="842" t="str">
        <f>IF(F13=0,"",M13/F13)</f>
        <v/>
      </c>
      <c r="O13" s="396"/>
    </row>
    <row r="14" spans="1:24" ht="21" customHeight="1">
      <c r="A14" s="1"/>
      <c r="B14" s="145" t="s">
        <v>1265</v>
      </c>
      <c r="C14" s="2"/>
      <c r="D14" s="639"/>
      <c r="E14" s="638" t="str">
        <f>'Calc BL-Outturn Compare'!D19</f>
        <v>CUBIC METERS at 15°C</v>
      </c>
      <c r="F14" s="473"/>
      <c r="G14" s="396"/>
      <c r="H14" s="597"/>
      <c r="J14" s="638" t="str">
        <f t="shared" si="0"/>
        <v>CUBIC METERS at 15°C</v>
      </c>
      <c r="K14" s="671" t="str">
        <f>IF(F14=0,"",'Calc BL-Outturn Compare'!E19)</f>
        <v/>
      </c>
      <c r="L14" s="841"/>
      <c r="M14" s="670" t="str">
        <f t="shared" ref="M14:M20" si="1">IF(F14=0,"",K14-F14)</f>
        <v/>
      </c>
      <c r="N14" s="842" t="str">
        <f t="shared" ref="N14:N20" si="2">IF(F14=0,"",M14/F14)</f>
        <v/>
      </c>
      <c r="O14" s="396"/>
      <c r="P14" s="510"/>
    </row>
    <row r="15" spans="1:24" ht="21" customHeight="1">
      <c r="A15" s="1"/>
      <c r="B15" s="145" t="s">
        <v>1266</v>
      </c>
      <c r="C15" s="396"/>
      <c r="D15" s="639"/>
      <c r="E15" s="638" t="str">
        <f>'Calc BL-Outturn Compare'!D20</f>
        <v>METRIC TONS (in AIR)</v>
      </c>
      <c r="F15" s="473">
        <v>129151</v>
      </c>
      <c r="G15" s="396"/>
      <c r="H15" s="597"/>
      <c r="J15" s="638" t="str">
        <f t="shared" si="0"/>
        <v>METRIC TONS (in AIR)</v>
      </c>
      <c r="K15" s="671">
        <f>IF(F15=0,"",'Calc BL-Outturn Compare'!E20)</f>
        <v>129104</v>
      </c>
      <c r="L15" s="841"/>
      <c r="M15" s="670">
        <f t="shared" si="1"/>
        <v>-47</v>
      </c>
      <c r="N15" s="842">
        <f t="shared" si="2"/>
        <v>-3.6391510712267035E-4</v>
      </c>
      <c r="O15" s="396"/>
      <c r="P15" s="510"/>
    </row>
    <row r="16" spans="1:24" ht="21" customHeight="1">
      <c r="A16" s="1"/>
      <c r="B16" s="145" t="s">
        <v>1267</v>
      </c>
      <c r="D16" s="639"/>
      <c r="E16" s="638" t="str">
        <f>'Calc BL-Outturn Compare'!D21</f>
        <v>METRIC TONS (in VAC)</v>
      </c>
      <c r="F16" s="473"/>
      <c r="G16" s="396"/>
      <c r="H16" s="597"/>
      <c r="J16" s="638" t="str">
        <f t="shared" si="0"/>
        <v>METRIC TONS (in VAC)</v>
      </c>
      <c r="K16" s="671" t="str">
        <f>IF(F16=0,"",'Calc BL-Outturn Compare'!E21)</f>
        <v/>
      </c>
      <c r="L16" s="841"/>
      <c r="M16" s="670" t="str">
        <f>IF(F16=0,"",K16-F16)</f>
        <v/>
      </c>
      <c r="N16" s="842" t="str">
        <f t="shared" si="2"/>
        <v/>
      </c>
      <c r="O16" s="396"/>
      <c r="P16" s="510"/>
    </row>
    <row r="17" spans="1:17" ht="21" customHeight="1">
      <c r="A17" s="1"/>
      <c r="B17" s="147" t="s">
        <v>556</v>
      </c>
      <c r="C17" s="2"/>
      <c r="D17" s="639"/>
      <c r="E17" s="638" t="str">
        <f>'Calc BL-Outturn Compare'!D22</f>
        <v>LONG TONS</v>
      </c>
      <c r="F17" s="473">
        <v>127111</v>
      </c>
      <c r="G17" s="396"/>
      <c r="H17" s="597"/>
      <c r="J17" s="638" t="str">
        <f t="shared" si="0"/>
        <v>LONG TONS</v>
      </c>
      <c r="K17" s="671">
        <f>IF(F17=0,"",'Calc BL-Outturn Compare'!E22)</f>
        <v>127064.803</v>
      </c>
      <c r="L17" s="841"/>
      <c r="M17" s="670">
        <f t="shared" si="1"/>
        <v>-46.197000000000116</v>
      </c>
      <c r="N17" s="842">
        <f t="shared" si="2"/>
        <v>-3.6343825475372013E-4</v>
      </c>
      <c r="O17" s="396"/>
      <c r="P17" s="470"/>
      <c r="Q17" s="470"/>
    </row>
    <row r="18" spans="1:17" ht="21" customHeight="1">
      <c r="A18" s="1"/>
      <c r="B18" s="62" t="s">
        <v>557</v>
      </c>
      <c r="C18" s="2"/>
      <c r="D18" s="597"/>
      <c r="E18" s="638" t="str">
        <f>'Calc BL-Outturn Compare'!D23</f>
        <v>POUNDS LBS</v>
      </c>
      <c r="F18" s="472"/>
      <c r="G18" s="396"/>
      <c r="H18" s="597"/>
      <c r="J18" s="638" t="str">
        <f t="shared" si="0"/>
        <v>POUNDS LBS</v>
      </c>
      <c r="K18" s="670" t="str">
        <f>IF(F18=0,"",'Calc BL-Outturn Compare'!E23)</f>
        <v/>
      </c>
      <c r="L18" s="840"/>
      <c r="M18" s="670" t="str">
        <f t="shared" si="1"/>
        <v/>
      </c>
      <c r="N18" s="842" t="str">
        <f t="shared" si="2"/>
        <v/>
      </c>
      <c r="O18" s="396"/>
    </row>
    <row r="19" spans="1:17" ht="21" customHeight="1">
      <c r="A19" s="1"/>
      <c r="B19" s="62" t="s">
        <v>238</v>
      </c>
      <c r="C19" s="2"/>
      <c r="D19" s="640"/>
      <c r="E19" s="638" t="str">
        <f>'Calc BL-Outturn Compare'!D24</f>
        <v>US GALLONS at 60°F</v>
      </c>
      <c r="F19" s="472">
        <v>39657282</v>
      </c>
      <c r="G19" s="396"/>
      <c r="H19" s="597"/>
      <c r="J19" s="638" t="str">
        <f t="shared" si="0"/>
        <v>US GALLONS at 60°F</v>
      </c>
      <c r="K19" s="670">
        <f>IF(F19=0,"",'Calc BL-Outturn Compare'!E24)</f>
        <v>39643735</v>
      </c>
      <c r="L19" s="840"/>
      <c r="M19" s="670">
        <f t="shared" si="1"/>
        <v>-13547</v>
      </c>
      <c r="N19" s="842">
        <f t="shared" si="2"/>
        <v>-3.4160182737687369E-4</v>
      </c>
      <c r="O19" s="396"/>
      <c r="P19" s="511"/>
    </row>
    <row r="20" spans="1:17" ht="21" customHeight="1">
      <c r="A20" s="1"/>
      <c r="B20" s="62" t="s">
        <v>1652</v>
      </c>
      <c r="C20" s="2"/>
      <c r="D20" s="597"/>
      <c r="E20" s="638" t="str">
        <f>'Calc BL-Outturn Compare'!D25</f>
        <v>US BARRELS at 60°F</v>
      </c>
      <c r="F20" s="472">
        <v>944221</v>
      </c>
      <c r="G20" s="396"/>
      <c r="H20" s="597"/>
      <c r="J20" s="638" t="str">
        <f t="shared" si="0"/>
        <v>US BARRELS at 60°F</v>
      </c>
      <c r="K20" s="670">
        <f>IF(F20=0,"",'Calc BL-Outturn Compare'!E25)</f>
        <v>943871</v>
      </c>
      <c r="L20" s="840"/>
      <c r="M20" s="670">
        <f t="shared" si="1"/>
        <v>-350</v>
      </c>
      <c r="N20" s="842">
        <f t="shared" si="2"/>
        <v>-3.7067593285893875E-4</v>
      </c>
      <c r="O20" s="396"/>
    </row>
    <row r="21" spans="1:17" ht="21" customHeight="1">
      <c r="A21" s="1"/>
      <c r="B21" s="62" t="s">
        <v>1653</v>
      </c>
      <c r="C21" s="2"/>
      <c r="D21" s="598"/>
      <c r="E21" s="463"/>
      <c r="F21" s="463"/>
      <c r="G21" s="462"/>
      <c r="N21" s="463"/>
      <c r="O21" s="462"/>
    </row>
    <row r="22" spans="1:17" ht="21" customHeight="1">
      <c r="A22" s="1"/>
      <c r="B22" s="62" t="s">
        <v>40</v>
      </c>
      <c r="C22" s="2"/>
      <c r="D22" s="662"/>
      <c r="E22" s="662"/>
      <c r="F22" s="662"/>
      <c r="G22" s="662"/>
      <c r="H22" s="662"/>
      <c r="I22" s="662"/>
      <c r="J22" s="662"/>
      <c r="K22" s="662"/>
      <c r="L22" s="662"/>
      <c r="M22" s="662"/>
      <c r="N22" s="662"/>
      <c r="O22" s="662"/>
    </row>
    <row r="23" spans="1:17" ht="21" customHeight="1">
      <c r="A23" s="1"/>
      <c r="B23" s="62" t="s">
        <v>238</v>
      </c>
      <c r="C23" s="2"/>
    </row>
    <row r="24" spans="1:17" ht="21" customHeight="1">
      <c r="A24" s="1"/>
      <c r="B24" s="62" t="s">
        <v>39</v>
      </c>
      <c r="C24" s="2"/>
    </row>
    <row r="25" spans="1:17" ht="21" customHeight="1">
      <c r="A25" s="1"/>
      <c r="B25" s="62" t="s">
        <v>38</v>
      </c>
      <c r="C25" s="2"/>
      <c r="E25" s="3320"/>
      <c r="F25" s="3320"/>
    </row>
    <row r="26" spans="1:17" ht="21" customHeight="1">
      <c r="A26" s="1"/>
      <c r="B26" s="62"/>
      <c r="C26" s="2"/>
    </row>
    <row r="27" spans="1:17" ht="21" customHeight="1">
      <c r="A27" s="1"/>
      <c r="B27" s="62"/>
      <c r="C27" s="2"/>
      <c r="E27" s="641"/>
      <c r="F27" s="641"/>
    </row>
    <row r="28" spans="1:17" ht="21" customHeight="1">
      <c r="A28" s="1"/>
      <c r="B28" s="565"/>
      <c r="C28" s="2"/>
      <c r="E28" s="641"/>
      <c r="F28" s="641"/>
    </row>
    <row r="29" spans="1:17" ht="21" customHeight="1">
      <c r="A29" s="1"/>
      <c r="B29" s="8"/>
      <c r="C29" s="2"/>
      <c r="E29" s="641"/>
      <c r="F29" s="641"/>
    </row>
    <row r="30" spans="1:17" ht="21" customHeight="1">
      <c r="A30" s="1"/>
      <c r="B30" s="8"/>
      <c r="C30" s="2"/>
    </row>
    <row r="31" spans="1:17" ht="21" customHeight="1">
      <c r="A31" s="1"/>
      <c r="B31" s="8"/>
      <c r="C31" s="2"/>
    </row>
    <row r="32" spans="1:17" ht="21" customHeight="1">
      <c r="A32" s="1"/>
      <c r="B32" s="10"/>
      <c r="C32" s="2"/>
    </row>
    <row r="33" spans="1:3" ht="21" customHeight="1">
      <c r="A33" s="1"/>
      <c r="B33" s="10"/>
      <c r="C33" s="2"/>
    </row>
    <row r="34" spans="1:3" ht="21" customHeight="1">
      <c r="A34" s="1"/>
      <c r="B34" s="10"/>
      <c r="C34" s="2"/>
    </row>
    <row r="35" spans="1:3" ht="21" customHeight="1">
      <c r="A35" s="1"/>
      <c r="B35" s="10"/>
      <c r="C35" s="2"/>
    </row>
    <row r="36" spans="1:3" ht="21" customHeight="1">
      <c r="A36" s="1"/>
      <c r="B36" s="10"/>
      <c r="C36" s="2"/>
    </row>
    <row r="37" spans="1:3" ht="21" customHeight="1">
      <c r="A37" s="1"/>
      <c r="B37" s="10"/>
      <c r="C37" s="2"/>
    </row>
    <row r="38" spans="1:3" ht="21" customHeight="1">
      <c r="A38" s="1"/>
      <c r="B38" s="10"/>
      <c r="C38" s="2"/>
    </row>
    <row r="39" spans="1:3" ht="21" customHeight="1">
      <c r="A39" s="1"/>
      <c r="B39" s="10"/>
      <c r="C39" s="2"/>
    </row>
    <row r="40" spans="1:3" ht="15" customHeight="1">
      <c r="A40" s="1"/>
      <c r="B40" s="10"/>
      <c r="C40" s="2"/>
    </row>
    <row r="41" spans="1:3" ht="15" customHeight="1">
      <c r="A41" s="1"/>
      <c r="B41" s="10"/>
      <c r="C41" s="2"/>
    </row>
    <row r="42" spans="1:3" ht="15" customHeight="1">
      <c r="A42" s="1"/>
      <c r="B42" s="10"/>
      <c r="C42" s="2"/>
    </row>
    <row r="43" spans="1:3" ht="15" customHeight="1">
      <c r="A43" s="1"/>
      <c r="B43" s="10"/>
      <c r="C43" s="2"/>
    </row>
    <row r="44" spans="1:3" ht="15" customHeight="1">
      <c r="A44" s="1"/>
      <c r="B44" s="10"/>
      <c r="C44" s="2"/>
    </row>
    <row r="45" spans="1:3" ht="15" customHeight="1">
      <c r="A45" s="1"/>
      <c r="B45" s="10"/>
      <c r="C45" s="2"/>
    </row>
    <row r="46" spans="1:3" ht="15" customHeight="1">
      <c r="A46" s="1"/>
      <c r="B46" s="10"/>
      <c r="C46" s="2"/>
    </row>
    <row r="47" spans="1:3" ht="15" customHeight="1">
      <c r="A47" s="1"/>
      <c r="B47" s="10"/>
      <c r="C47" s="2"/>
    </row>
    <row r="48" spans="1:3" ht="15" customHeight="1">
      <c r="A48" s="1"/>
      <c r="B48" s="10"/>
      <c r="C48" s="2"/>
    </row>
    <row r="49" spans="1:3" ht="15" customHeight="1">
      <c r="A49" s="1"/>
      <c r="B49" s="10"/>
      <c r="C49" s="2"/>
    </row>
    <row r="50" spans="1:3" ht="15" customHeight="1">
      <c r="A50" s="1"/>
      <c r="B50" s="10"/>
      <c r="C50" s="2"/>
    </row>
    <row r="51" spans="1:3" ht="15" customHeight="1">
      <c r="A51" s="1"/>
      <c r="B51" s="10"/>
      <c r="C51" s="2"/>
    </row>
    <row r="52" spans="1:3" ht="15" customHeight="1">
      <c r="A52" s="1"/>
      <c r="B52" s="10"/>
      <c r="C52" s="2"/>
    </row>
    <row r="53" spans="1:3" ht="15" customHeight="1">
      <c r="A53" s="1"/>
      <c r="B53" s="10"/>
      <c r="C53" s="2"/>
    </row>
    <row r="54" spans="1:3" ht="15" customHeight="1">
      <c r="A54" s="1"/>
      <c r="B54" s="10"/>
      <c r="C54" s="2"/>
    </row>
    <row r="55" spans="1:3" ht="15" customHeight="1">
      <c r="A55" s="1"/>
      <c r="B55" s="10"/>
      <c r="C55" s="2"/>
    </row>
    <row r="56" spans="1:3" ht="15" customHeight="1">
      <c r="A56" s="1"/>
      <c r="B56" s="10"/>
      <c r="C56" s="2"/>
    </row>
    <row r="57" spans="1:3" ht="15" customHeight="1">
      <c r="A57" s="1"/>
      <c r="B57" s="10"/>
      <c r="C57" s="2"/>
    </row>
    <row r="58" spans="1:3" ht="15" customHeight="1">
      <c r="A58" s="1"/>
      <c r="B58" s="10"/>
      <c r="C58" s="2"/>
    </row>
    <row r="59" spans="1:3" ht="15" customHeight="1">
      <c r="A59" s="1"/>
      <c r="B59" s="10"/>
      <c r="C59" s="2"/>
    </row>
    <row r="60" spans="1:3" ht="15" customHeight="1">
      <c r="A60" s="1"/>
      <c r="B60" s="10"/>
      <c r="C60" s="2"/>
    </row>
    <row r="61" spans="1:3">
      <c r="A61" s="1"/>
      <c r="B61" s="10"/>
      <c r="C61" s="2"/>
    </row>
    <row r="62" spans="1:3">
      <c r="A62" s="1"/>
      <c r="B62" s="10"/>
      <c r="C62" s="2"/>
    </row>
    <row r="63" spans="1:3">
      <c r="A63" s="1"/>
      <c r="B63" s="10"/>
      <c r="C63" s="2"/>
    </row>
    <row r="64" spans="1:3">
      <c r="A64" s="1"/>
      <c r="B64" s="10"/>
      <c r="C64" s="2"/>
    </row>
    <row r="65" spans="1:3">
      <c r="A65" s="1"/>
      <c r="B65" s="10"/>
      <c r="C65" s="2"/>
    </row>
    <row r="66" spans="1:3">
      <c r="A66" s="1"/>
      <c r="B66" s="10"/>
      <c r="C66" s="2"/>
    </row>
    <row r="67" spans="1:3">
      <c r="A67" s="1"/>
      <c r="B67" s="10"/>
      <c r="C67" s="2"/>
    </row>
    <row r="68" spans="1:3">
      <c r="A68" s="1"/>
      <c r="B68" s="10"/>
      <c r="C68" s="2"/>
    </row>
    <row r="69" spans="1:3">
      <c r="A69" s="1"/>
      <c r="B69" s="10"/>
      <c r="C69" s="2"/>
    </row>
    <row r="70" spans="1:3">
      <c r="A70" s="1"/>
      <c r="B70" s="10"/>
      <c r="C70" s="2"/>
    </row>
    <row r="71" spans="1:3">
      <c r="A71" s="1"/>
      <c r="B71" s="10"/>
      <c r="C71" s="2"/>
    </row>
    <row r="72" spans="1:3">
      <c r="A72" s="1"/>
      <c r="B72" s="10"/>
      <c r="C72" s="2"/>
    </row>
    <row r="73" spans="1:3">
      <c r="A73" s="1"/>
      <c r="B73" s="10"/>
      <c r="C73" s="2"/>
    </row>
    <row r="74" spans="1:3">
      <c r="A74" s="1"/>
      <c r="B74" s="10"/>
      <c r="C74" s="2"/>
    </row>
    <row r="75" spans="1:3">
      <c r="A75" s="1"/>
      <c r="B75" s="10"/>
      <c r="C75" s="2"/>
    </row>
    <row r="76" spans="1:3" ht="15.95" customHeight="1">
      <c r="A76" s="1"/>
      <c r="B76" s="10"/>
      <c r="C76" s="2"/>
    </row>
    <row r="77" spans="1:3" ht="15.95" customHeight="1">
      <c r="A77" s="1"/>
      <c r="B77" s="10"/>
      <c r="C77" s="2"/>
    </row>
    <row r="78" spans="1:3" ht="15.95" customHeight="1">
      <c r="A78" s="1"/>
      <c r="B78" s="10"/>
      <c r="C78" s="2"/>
    </row>
    <row r="79" spans="1:3" ht="15.95" customHeight="1">
      <c r="A79" s="1"/>
      <c r="B79" s="10"/>
      <c r="C79" s="2"/>
    </row>
    <row r="80" spans="1:3" ht="15.95" customHeight="1">
      <c r="A80" s="1"/>
      <c r="B80" s="10"/>
      <c r="C80" s="2"/>
    </row>
    <row r="81" spans="1:3">
      <c r="A81" s="1"/>
      <c r="B81" s="10"/>
      <c r="C81" s="2"/>
    </row>
    <row r="82" spans="1:3">
      <c r="A82" s="1"/>
      <c r="B82" s="10"/>
      <c r="C82" s="2"/>
    </row>
    <row r="83" spans="1:3">
      <c r="A83" s="1"/>
      <c r="B83" s="10"/>
      <c r="C83" s="2"/>
    </row>
    <row r="84" spans="1:3">
      <c r="A84" s="1"/>
      <c r="B84" s="10"/>
      <c r="C84" s="2"/>
    </row>
    <row r="85" spans="1:3" ht="15.95" customHeight="1">
      <c r="A85" s="1"/>
      <c r="B85" s="10"/>
      <c r="C85" s="2"/>
    </row>
    <row r="86" spans="1:3" ht="15.95" customHeight="1">
      <c r="A86" s="1"/>
      <c r="B86" s="10"/>
      <c r="C86" s="2"/>
    </row>
    <row r="87" spans="1:3" ht="15.95" customHeight="1">
      <c r="A87" s="1"/>
      <c r="B87" s="10"/>
      <c r="C87" s="2"/>
    </row>
    <row r="88" spans="1:3" ht="15.95" customHeight="1">
      <c r="A88" s="1"/>
      <c r="B88" s="10"/>
      <c r="C88" s="2"/>
    </row>
    <row r="89" spans="1:3" ht="15.95" customHeight="1">
      <c r="A89" s="1"/>
      <c r="B89" s="10"/>
      <c r="C89" s="2"/>
    </row>
    <row r="90" spans="1:3" ht="15.95" customHeight="1">
      <c r="A90" s="1"/>
      <c r="B90" s="10"/>
      <c r="C90" s="2"/>
    </row>
    <row r="91" spans="1:3" ht="15.95" customHeight="1">
      <c r="A91" s="1"/>
      <c r="B91" s="10"/>
      <c r="C91" s="2"/>
    </row>
    <row r="92" spans="1:3">
      <c r="A92" s="1"/>
      <c r="B92" s="10"/>
      <c r="C92" s="2"/>
    </row>
    <row r="93" spans="1:3">
      <c r="A93" s="1"/>
      <c r="B93" s="10"/>
      <c r="C93" s="2"/>
    </row>
    <row r="94" spans="1:3">
      <c r="A94" s="1"/>
      <c r="B94" s="10"/>
      <c r="C94" s="2"/>
    </row>
    <row r="95" spans="1:3">
      <c r="A95" s="1"/>
      <c r="B95" s="10"/>
      <c r="C95" s="2"/>
    </row>
    <row r="96" spans="1:3" ht="15.95" customHeight="1">
      <c r="A96" s="1"/>
      <c r="B96" s="10"/>
      <c r="C96" s="2"/>
    </row>
    <row r="97" spans="1:3" ht="15.95" customHeight="1">
      <c r="A97" s="1"/>
      <c r="B97" s="10"/>
      <c r="C97" s="2"/>
    </row>
    <row r="98" spans="1:3" ht="15.95" customHeight="1">
      <c r="A98" s="1"/>
      <c r="B98" s="10"/>
      <c r="C98" s="2"/>
    </row>
    <row r="99" spans="1:3" ht="15.95" customHeight="1">
      <c r="A99" s="1"/>
      <c r="B99" s="10"/>
      <c r="C99" s="2"/>
    </row>
    <row r="100" spans="1:3" ht="15.95" customHeight="1">
      <c r="A100" s="1"/>
      <c r="B100" s="10"/>
      <c r="C100" s="2"/>
    </row>
    <row r="101" spans="1:3">
      <c r="A101" s="1"/>
      <c r="B101" s="10"/>
    </row>
    <row r="102" spans="1:3">
      <c r="A102" s="1"/>
      <c r="B102" s="10"/>
    </row>
    <row r="103" spans="1:3">
      <c r="B103" s="10"/>
    </row>
    <row r="104" spans="1:3">
      <c r="B104" s="10"/>
    </row>
    <row r="105" spans="1:3">
      <c r="B105" s="10"/>
    </row>
    <row r="106" spans="1:3">
      <c r="B106" s="10"/>
    </row>
    <row r="107" spans="1:3">
      <c r="B107" s="10"/>
    </row>
    <row r="108" spans="1:3">
      <c r="B108" s="10"/>
    </row>
    <row r="109" spans="1:3">
      <c r="B109" s="10"/>
    </row>
    <row r="110" spans="1:3">
      <c r="B110" s="10"/>
    </row>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sheetData>
  <mergeCells count="5">
    <mergeCell ref="H4:O4"/>
    <mergeCell ref="B2:B3"/>
    <mergeCell ref="E25:F25"/>
    <mergeCell ref="D4:G4"/>
    <mergeCell ref="M12:N12"/>
  </mergeCells>
  <conditionalFormatting sqref="K13:N20">
    <cfRule type="expression" dxfId="83" priority="1">
      <formula>K13=$K$12</formula>
    </cfRule>
  </conditionalFormatting>
  <dataValidations count="1">
    <dataValidation type="list" allowBlank="1" showInputMessage="1" showErrorMessage="1" sqref="J12" xr:uid="{00000000-0002-0000-0500-000000000000}">
      <formula1>$E$13:$E$20</formula1>
    </dataValidation>
  </dataValidations>
  <hyperlinks>
    <hyperlink ref="B2:B3" location="Home!A1" display="HOME" xr:uid="{00000000-0004-0000-0500-000000000000}"/>
    <hyperlink ref="H4:K4" location="'Guidelines - Saybolt Manual'!A260" display="OUTTURN COMPARE" xr:uid="{00000000-0004-0000-0500-000001000000}"/>
    <hyperlink ref="H4:O4" location="'Guidelines - Definitions'!A37" display="OUTTURN COMPARE" xr:uid="{00000000-0004-0000-0500-00000B000000}"/>
    <hyperlink ref="B5" location="'Documents Manager'!A1" display="DOCUMENTS MANAGER" xr:uid="{ED86FCB9-94E6-4F52-B1F8-C21375293140}"/>
    <hyperlink ref="B25" location="Disclaimer!A1" display="Disclaimer" xr:uid="{4BF7CCE8-FD45-418C-AF37-150A301921C4}"/>
    <hyperlink ref="B24" location="Help!A1" display="Help" xr:uid="{B612CA23-799D-470F-A288-248031B38B86}"/>
    <hyperlink ref="B22" location="'Source - Links'!A1" display="SOURCE / LINKS" xr:uid="{9301395F-178A-445D-AC4E-845463C778EC}"/>
    <hyperlink ref="B9" location="'ASTM Calculator V.W.'!A1" display="• Calculator - Volume &amp; Weght" xr:uid="{36626A1B-710E-4DDD-B50D-9FFBEFD6E3AE}"/>
    <hyperlink ref="B17" location="'ASTM Calc BL Outturn Compare'!A1" display="• BL Figures &amp; Outturn Compare" xr:uid="{4256CAB2-A235-4401-A446-764D97892E0C}"/>
    <hyperlink ref="B8" location="'ASTM Calculator V.W.'!A1" display="ASTM - CALCULATORS" xr:uid="{3DFA3DDC-25C5-48D5-87A8-2915DE6BF37E}"/>
    <hyperlink ref="B6" location="'ASTM Vol. XI - Tab.1'!A1" display="ASTM TABLES" xr:uid="{ECBB5A41-58B8-4D87-8141-CC87065C9550}"/>
    <hyperlink ref="B7" location="'ASTM Converter (Tab.1)'!A1" display="ASTM - CONVERTERS" xr:uid="{375680E4-B82D-4236-B064-CBC5D66A4B19}"/>
    <hyperlink ref="B13" location="'ASTM CP min CARGO Check'!A1" display="• Calculator - C/P min CARGO Check" xr:uid="{17553C12-5BD7-47BE-AF12-D810AB044E1F}"/>
    <hyperlink ref="B18" location="'Initial&amp;Max. Loading Rate'!A1" display="CARGO - CALCULATORS" xr:uid="{A0B601C7-9219-4C45-AF5A-2361F7BCC1BB}"/>
    <hyperlink ref="B14" location="'ASTM Calculator Blended Cargo'!A1" display="• Calculator - Blended Cargo" xr:uid="{402CE95C-DEDD-4836-8011-3F9320A9083F}"/>
    <hyperlink ref="B15" location="'ASTM Blended Cargo Prediction'!A1" display="• Calculator - Blended Cargo Prediction" xr:uid="{E435F7D2-67E5-4058-9F50-FB74C7F3D559}"/>
    <hyperlink ref="B16" location="'ASTM Shore Line Displacement'!A1" display="• Calculator - Shore Line Displacement" xr:uid="{C6CC69AD-8AD3-4F02-8928-3F7D61C10224}"/>
    <hyperlink ref="B10" location="'ASTM Calculator Volume T.E.(1)'!A1" display="• Calculator - Volume (Therm. expansion) " xr:uid="{378C881F-9ACD-46F3-B6B3-CDA945DC3487}"/>
    <hyperlink ref="B12" location="'ASTM Calculator Volume T.E.(3)'!A1" display="• Calculator - Volume (Therm. expan. 3) " xr:uid="{76EC8AC3-6D3C-4888-8C85-B2A21F9127B2}"/>
    <hyperlink ref="B11" location="'ASTM Calculator Volume T.E.(2)'!A1" display="• Calculator - Volume (Therm. expan. 2) " xr:uid="{6E03B237-612E-4226-AD39-FB0CE15C9A6A}"/>
    <hyperlink ref="B20" location="'Guidelines - Definitions'!A1" display="GUIDELINES" xr:uid="{704B6DE8-1B5E-4860-96F2-942F9F6C059E}"/>
    <hyperlink ref="B21" location="'Guidelines - Bottom Lines'!A1" display="GUIDELINES - CARGO" xr:uid="{F8BE4C88-BA5B-4257-B2B5-DD90778D04F1}"/>
  </hyperlinks>
  <pageMargins left="0.98425196850393704" right="0.98425196850393704" top="0.78740157480314965" bottom="0.39370078740157483" header="0" footer="0"/>
  <pageSetup paperSize="9" orientation="landscape" horizontalDpi="300" verticalDpi="300"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'Calc BL-Outturn Compare'!$D$8:$D$11</xm:f>
          </x14:formula1>
          <xm:sqref>E12</xm:sqref>
        </x14:dataValidation>
      </x14:dataValidations>
    </ext>
  </extLst>
</worksheet>
</file>

<file path=xl/worksheets/sheet26.xml><?xml version="1.0" encoding="UTF-8" standalone="yes"?>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mc:Ignorable="x14ac xr xr2 xr3" xmlns:x14ac="http://schemas.microsoft.com/office/spreadsheetml/2009/9/ac" xmlns:xr="http://schemas.microsoft.com/office/spreadsheetml/2014/revision" xmlns:xr2="http://schemas.microsoft.com/office/spreadsheetml/2015/revision2" xmlns:xr3="http://schemas.microsoft.com/office/spreadsheetml/2016/revision3" xr:uid="{E904F0E3-0E8B-4E99-8A58-04620C6778FD}"><sheetPr><tabColor rgb="FFFFC000"/></sheetPr><dimension ref="A1:IZ115"/><sheetViews><sheetView showGridLines="0" showRowColHeaders="0" topLeftCell="B1" zoomScaleNormal="100" workbookViewId="0"><selection activeCell="B5" sqref="B5"/></sheetView></sheetViews><sheetFormatPr defaultColWidth="9.1328125" defaultRowHeight="12.75"/><cols><col min="1" max="1" width="0" style="514" hidden="1" customWidth="1"/><col min="2" max="2" width="36.6640625" style="631" customWidth="1"/><col min="3" max="3" width="2.6640625" style="514" customWidth="1"/><col min="4" max="4" width="3.6640625" style="514" customWidth="1"/><col min="5" max="5" width="13.1328125" style="514" customWidth="1"/><col min="6" max="7" width="14.33203125" style="514" customWidth="1"/><col min="8" max="8" width="15.86328125" style="514" customWidth="1"/><col min="9" max="9" width="14.796875" style="514" customWidth="1"/><col min="10" max="10" width="3.6640625" style="514" customWidth="1"/><col min="11" max="11" width="13.6640625" style="514" customWidth="1"/><col min="12" max="12" width="11.86328125" style="514" customWidth="1"/><col min="13" max="13" width="12.86328125" style="514" customWidth="1"/><col min="14" max="15" width="3.6640625" style="514" customWidth="1"/><col min="16" max="18" width="9.1328125" style="514" customWidth="1"/><col min="19" max="19" width="13.46484375" style="514" bestFit="1" customWidth="1"/><col min="20" max="26" width="9.1328125" style="514" customWidth="1"/><col min="27" max="27" width="13.46484375" style="514" bestFit="1" customWidth="1"/><col min="28" max="28" width="6" style="514" customWidth="1"/><col min="29" max="29" width="8.19921875" style="514" bestFit="1" customWidth="1"/><col min="30" max="30" width="7.46484375" style="514" bestFit="1" customWidth="1"/><col min="31" max="31" width="10.6640625" style="514" customWidth="1"/><col min="32" max="32" width="12" style="514" bestFit="1" customWidth="1"/><col min="33" max="33" width="14.46484375" style="514" bestFit="1" customWidth="1"/><col min="34" max="34" width="16" style="514" bestFit="1" customWidth="1"/><col min="35" max="36" width="15.6640625" style="514" bestFit="1" customWidth="1"/><col min="37" max="37" width="12.53125" style="514" bestFit="1" customWidth="1"/><col min="38" max="38" width="14.33203125" style="514" customWidth="1"/><col min="39" max="39" width="11.53125" style="514" customWidth="1"/><col min="40" max="40" width="16.796875" style="514" customWidth="1"/><col min="41" max="41" width="17.53125" style="514" customWidth="1"/><col min="42" max="42" width="12.6640625" style="514" bestFit="1" customWidth="1"/><col min="43" max="43" width="18.1328125" style="514" bestFit="1" customWidth="1"/><col min="44" max="44" width="9.1328125" style="514"/><col min="45" max="45" width="9" style="514" customWidth="1"/><col min="46" max="46" width="13.6640625" style="514" customWidth="1"/><col min="47" max="47" width="17.19921875" style="514" customWidth="1"/><col min="48" max="16384" width="9.1328125" style="514"/></cols><sheetData><row r="1" spans="1:260" ht="12.75" customHeight="1"><c r="B1" s="612"/></row><row r="2" spans="1:260" s="618" customFormat="1" ht="21" customHeight="1"><c r="A2" s="514"/><c r="B2" s="3210" t="s"><v>0</v></c><c r="C2" s="514"/><c r="D2" s="613" t="s"><v>681</v></c><c r="E2" s="614"/><c r="F2" s="615"/><c r="G2" s="615"/><c r="H2" s="615"/><c r="I2" s="615"/><c r="J2" s="615"/><c r="K2" s="615"/><c r="L2" s="615"/><c r="M2" s="615"/><c r="N2" s="615"/><c r="O2" s="615"/><c r="P2" s="617"/><c r="Q2" s="615"/><c r="R2" s="617"/><c r="S2" s="617"/><c r="T2" s="615"/><c r="U2" s="615"/><c r="V2" s="615"/><c r="W2" s="615"/><c r="X2" s="615"/><c r="Y2" s="615"/><c r="Z2" s="615"/><c r="AA2" s="615"/><c r="AB2" s="615"/><c r="AC2" s="615"/><c r="AD2" s="615"/><c r="AE2" s="615"/><c r="AF2" s="615"/><c r="AG2" s="615"/><c r="AH2" s="615"/><c r="AI2" s="615"/><c r="AJ2" s="615"/><c r="AK2" s="615"/><c r="AL2" s="615"/><c r="AM2" s="615"/><c r="AN2" s="615"/><c r="AO2" s="615"/><c r="AP2" s="615"/><c r="AQ2" s="615"/><c r="AR2" s="615"/><c r="AS2" s="615"/><c r="AT2" s="615"/><c r="AU2" s="615"/><c r="AV2" s="615"/><c r="AW2" s="615"/><c r="AX2" s="615"/><c r="AY2" s="615"/><c r="AZ2" s="615"/><c r="BA2" s="615"/><c r="BB2" s="615"/><c r="BC2" s="615"/><c r="BD2" s="615"/><c r="BE2" s="615"/><c r="BF2" s="615"/><c r="BG2" s="615"/><c r="BH2" s="615"/><c r="BI2" s="615"/><c r="BJ2" s="615"/><c r="BK2" s="615"/><c r="BL2" s="615"/><c r="BM2" s="615"/><c r="BN2" s="615"/><c r="BO2" s="615"/><c r="BP2" s="615"/><c r="BQ2" s="615"/><c r="BR2" s="615"/><c r="BS2" s="615"/><c r="BT2" s="615"/><c r="BU2" s="615"/><c r="BV2" s="615"/><c r="BW2" s="615"/><c r="BX2" s="615"/><c r="BY2" s="615"/><c r="BZ2" s="615"/><c r="CA2" s="615"/><c r="CB2" s="615"/><c r="CC2" s="615"/><c r="CD2" s="615"/><c r="CE2" s="615"/><c r="CF2" s="615"/><c r="CG2" s="615"/><c r="CH2" s="615"/><c r="CI2" s="615"/><c r="CJ2" s="615"/><c r="CK2" s="615"/><c r="CL2" s="615"/><c r="CM2" s="615"/><c r="CN2" s="615"/><c r="CO2" s="615"/><c r="CP2" s="615"/><c r="CQ2" s="615"/><c r="CR2" s="615"/><c r="CS2" s="615"/><c r="CT2" s="615"/><c r="CU2" s="615"/><c r="CV2" s="615"/><c r="CW2" s="615"/><c r="CX2" s="615"/><c r="CY2" s="615"/><c r="CZ2" s="615"/><c r="DA2" s="615"/><c r="DB2" s="615"/><c r="DC2" s="615"/><c r="DD2" s="615"/><c r="DE2" s="615"/><c r="DF2" s="615"/><c r="DG2" s="615"/><c r="DH2" s="615"/><c r="DI2" s="615"/><c r="DJ2" s="615"/><c r="DK2" s="615"/><c r="DL2" s="615"/><c r="DM2" s="615"/><c r="DN2" s="615"/><c r="DO2" s="615"/><c r="DP2" s="615"/><c r="DQ2" s="615"/><c r="DR2" s="615"/><c r="DS2" s="615"/><c r="DT2" s="615"/><c r="DU2" s="615"/><c r="DV2" s="615"/><c r="DW2" s="615"/><c r="DX2" s="615"/><c r="DY2" s="615"/><c r="DZ2" s="615"/><c r="EA2" s="615"/><c r="EB2" s="615"/><c r="EC2" s="615"/><c r="ED2" s="615"/><c r="EE2" s="615"/><c r="EF2" s="615"/><c r="EG2" s="615"/><c r="EH2" s="615"/><c r="EI2" s="615"/><c r="EJ2" s="615"/><c r="EK2" s="615"/><c r="EL2" s="615"/><c r="EM2" s="615"/><c r="EN2" s="615"/><c r="EO2" s="615"/><c r="EP2" s="615"/><c r="EQ2" s="615"/><c r="ER2" s="615"/><c r="ES2" s="615"/><c r="ET2" s="615"/><c r="EU2" s="615"/><c r="EV2" s="615"/><c r="EW2" s="615"/><c r="EX2" s="615"/><c r="EY2" s="615"/><c r="EZ2" s="615"/><c r="FA2" s="615"/><c r="FB2" s="615"/><c r="FC2" s="615"/><c r="FD2" s="615"/><c r="FE2" s="615"/><c r="FF2" s="615"/><c r="FG2" s="615"/><c r="FH2" s="615"/><c r="FI2" s="615"/><c r="FJ2" s="615"/><c r="FK2" s="615"/><c r="FL2" s="615"/><c r="FM2" s="615"/><c r="FN2" s="615"/><c r="FO2" s="615"/><c r="FP2" s="615"/><c r="FQ2" s="615"/><c r="FR2" s="615"/><c r="FS2" s="615"/><c r="FT2" s="615"/><c r="FU2" s="615"/><c r="FV2" s="615"/><c r="FW2" s="615"/><c r="FX2" s="615"/><c r="FY2" s="615"/><c r="FZ2" s="615"/><c r="GA2" s="615"/><c r="GB2" s="615"/><c r="GC2" s="615"/><c r="GD2" s="615"/><c r="GE2" s="615"/><c r="GF2" s="615"/><c r="GG2" s="615"/><c r="GH2" s="615"/><c r="GI2" s="615"/><c r="GJ2" s="615"/><c r="GK2" s="615"/><c r="GL2" s="615"/><c r="GM2" s="615"/><c r="GN2" s="615"/><c r="GO2" s="615"/><c r="GP2" s="615"/><c r="GQ2" s="615"/><c r="GR2" s="615"/><c r="GS2" s="615"/><c r="GT2" s="615"/><c r="GU2" s="615"/><c r="GV2" s="615"/><c r="GW2" s="615"/><c r="GX2" s="615"/><c r="GY2" s="615"/><c r="GZ2" s="615"/><c r="HA2" s="615"/><c r="HB2" s="615"/><c r="HC2" s="615"/><c r="HD2" s="615"/><c r="HE2" s="615"/><c r="HF2" s="615"/><c r="HG2" s="615"/><c r="HH2" s="615"/><c r="HI2" s="615"/><c r="HJ2" s="615"/><c r="HK2" s="615"/><c r="HL2" s="615"/><c r="HM2" s="615"/><c r="HN2" s="615"/><c r="HO2" s="615"/><c r="HP2" s="615"/><c r="HQ2" s="615"/><c r="HR2" s="615"/><c r="HS2" s="615"/><c r="HT2" s="615"/><c r="HU2" s="615"/><c r="HV2" s="615"/><c r="HW2" s="615"/><c r="HX2" s="615"/><c r="HY2" s="615"/><c r="HZ2" s="615"/><c r="IA2" s="615"/><c r="IB2" s="615"/><c r="IC2" s="615"/><c r="ID2" s="615"/><c r="IE2" s="615"/><c r="IF2" s="615"/><c r="IG2" s="615"/><c r="IH2" s="615"/><c r="II2" s="615"/><c r="IJ2" s="615"/><c r="IK2" s="615"/><c r="IL2" s="615"/><c r="IM2" s="615"/><c r="IN2" s="615"/><c r="IO2" s="615"/><c r="IP2" s="615"/><c r="IQ2" s="615"/><c r="IR2" s="615"/><c r="IS2" s="615"/><c r="IT2" s="615"/><c r="IU2" s="615"/><c r="IV2" s="615"/><c r="IW2" s="615"/><c r="IX2" s="615"/><c r="IY2" s="615"/><c r="IZ2" s="615"/></row><row r="3" spans="1:260" ht="21" customHeight="1"><c r="B3" s="3210"/><c r="D3" s="619"/><c r="E3" s="619"/><c r="F3" s="619"/><c r="G3" s="5"/><c r="H3" s="5"/><c r="I3" s="5"/><c r="J3" s="5"/><c r="K3" s="5"/><c r="L3" s="5"/><c r="M3" s="5"/></row><row r="4" spans="1:260" ht="21" customHeight="1"><c r="B4" s="63"/><c r="D4" s="787"/><c r="E4" s="620"/><c r="F4" s="1066"/><c r="G4" s="1066"/><c r="H4" s="1067"/><c r="I4" s="1067"/><c r="J4" s="1067"/><c r="K4" s="1202"/><c r="L4" s="620"/><c r="M4" s="620"/><c r="N4" s="620"/><c r="O4" s="621"/></row><row r="5" spans="1:260" ht="21" customHeight="1"><c r="B5" s="62" t="s"><v>1</v></c><c r="D5" s="622"/><c r="E5" s="1192" t="s"><v>682</v></c><c r="F5" s="1193"/><c r="G5" s="1193"/><c r="H5" s="1193"/><c r="I5" s="1194"/><c r="J5" s="1098"/><c r="K5" s="1192" t="s"><v>623</v></c><c r="L5" s="1193"/><c r="M5" s="1193"/><c r="N5" s="1194"/><c r="O5" s="1183"/><c r="P5" s="1098"/><c r="Q5" s="1098"/><c r="R5" s="1098"/><c r="S5" s="1098"/><c r="T5" s="1098"/><c r="U5" s="1098"/><c r="V5" s="12"/><c r="W5" s="12"/><c r="X5" s="12"/><c r="Y5" s="12"/><c r="Z5" s="12"/><c r="AA5" s="12"/><c r="AB5" s="12"/></row><row r="6" spans="1:260" ht="21" customHeight="1"><c r="B6" s="397" t="s"><v>452</v></c><c r="D6" s="622"/><c r="E6" s="1182"/><c r="F6" s="1098"/><c r="G6" s="1098"/><c r="H6" s="1098"/><c r="I6" s="1183"/><c r="J6" s="1098"/><c r="K6" s="1182"/><c r="L6" s="1098"/><c r="M6" s="1098"/><c r="N6" s="1183"/><c r="O6" s="1183"/><c r="P6" s="1098"/><c r="Q6" s="1098"/><c r="R6" s="1098"/><c r="S6" s="1098"/><c r="T6" s="1098"/><c r="U6" s="1098"/><c r="V6" s="12"/><c r="W6" s="12"/><c r="X6" s="12"/><c r="Y6" s="12"/><c r="Z6" s="12"/><c r="AA6" s="12"/><c r="AB6" s="12"/></row><row r="7" spans="1:260" ht="21" customHeight="1"><c r="B7" s="62" t="s"><v>239</v></c><c r="D7" s="622"/><c r="E7" s="1182"/><c r="F7" s="1098"/><c r="G7" s="3327" t="s"><v>647</v></c><c r="H7" s="1195" t="s"><v>682</v></c><c r="I7" s="1196"/><c r="J7" s="1203"/><c r="K7" s="1206" t="s"><v>625</v></c><c r="L7" s="1200"/><c r="M7" s="1186" t="s"><v>626</v></c><c r="N7" s="1183"/><c r="O7" s="1183"/><c r="P7" s="1098"/><c r="Q7" s="1098"/><c r="R7" s="1098"/><c r="S7" s="1098"/><c r="T7" s="1098"/><c r="U7" s="1098"/><c r="V7" s="12"/><c r="W7" s="12"/><c r="X7" s="12"/><c r="Y7" s="12"/><c r="Z7" s="12"/><c r="AA7" s="12"/><c r="AB7" s="12"/></row><row r="8" spans="1:260" ht="21" customHeight="1"><c r="B8" s="62" t="s"><v>1263</v></c><c r="D8" s="622"/><c r="E8" s="1182"/><c r="F8" s="1186" t="s"><v>627</v></c><c r="G8" s="3327"/><c r="H8" s="1197" t="s"><v>651</v></c><c r="I8" s="1198" t="s"><v>652</v></c><c r="J8" s="1203"/><c r="K8" s="1207" t="s"><v>629</v></c><c r="L8" s="1167" t="s"><v>630</v></c><c r="M8" s="1167" t="s"><v>631</v></c><c r="N8" s="1183"/><c r="O8" s="1183"/><c r="P8" s="1098"/><c r="U8" s="1098"/><c r="V8" s="12"/><c r="W8" s="12"/><c r="X8" s="12"/><c r="Y8" s="12"/><c r="Z8" s="12"/><c r="AA8" s="12"/><c r="AB8" s="12"/></row><row r="9" spans="1:260" ht="21" customHeight="1"><c r="B9" s="977" t="s"><v>557</v></c><c r="D9" s="622"/><c r="E9" s="1184" t="s"><v>633</v></c><c r="F9" s="1188"/><c r="G9" s="1181"><v>1</v></c><c r="H9" s="1256"><f>PI()*((AA107/2)/1000)^2*(G9*3600)</f><v>165.58580894834938</v></c><c r="I9" s="1211"><f>H9*6.28981</f><v>1041.5032769814175</v></c><c r="J9" s="1203"/><c r="K9" s="1208" t="s"><v>634</v></c><c r="L9" s="1201" t="s"><v>635</v></c><c r="M9" s="1179"><v>97.1</v></c><c r="N9" s="1183"/><c r="O9" s="1183"/><c r="P9" s="1098"/><c r="U9" s="1098"/><c r="V9" s="12"/><c r="W9" s="12"/><c r="X9" s="12"/><c r="Y9" s="12"/><c r="Z9" s="12"/><c r="AA9" s="12"/><c r="AB9" s="12"/></row><row r="10" spans="1:260" ht="21" customHeight="1"><c r="B10" s="147" t="s"><v>680</v></c><c r="D10" s="622"/><c r="E10" s="1184" t="s"><v>633</v></c><c r="F10" s="1188"/><c r="G10" s="1181"><v>1</v></c><c r="H10" s="1256"><f>PI()*((AA109/2)/1000)^2*(G10*3600)</f><v>308.28083028291758</v></c><c r="I10" s="1211"><f>H10*6.28981</f><v>1939.0278491217978</v></c><c r="J10" s="1204"/><c r="K10" s="1208" t="s"><v>636</v></c><c r="L10" s="1201" t="s"><v>637</v></c><c r="M10" s="1179"><v>151</v></c><c r="N10" s="1183"/><c r="O10" s="1183"/><c r="P10" s="1098"/><c r="U10" s="1098"/><c r="V10" s="12"/><c r="W10" s="12"/><c r="X10" s="12"/><c r="Y10" s="12"/><c r="Z10" s="12"/><c r="AA10" s="12"/><c r="AB10" s="12"/></row><row r="11" spans="1:260" ht="21" customHeight="1"><c r="B11" s="145" t="s"><v>621</v></c><c r="D11" s="622"/><c r="E11" s="1184" t="s"><v>633</v></c><c r="F11" s="1188"/><c r="G11" s="1181"><v>1</v></c><c r="H11" s="1256"><f>PI()*((AA111/2)/1000)^2*(G11*3600)</f><v>424.33769688827908</v></c><c r="I11" s="1211"><f>H11*6.28981</f><v>2669.0034892648669</v></c><c r="J11" s="1203"/><c r="K11" s="1208" t="s"><v>639</v></c><c r="L11" s="1186" t="s"><v>640</v></c><c r="M11" s="1179"><v>190.9</v></c><c r="N11" s="1183"/><c r="O11" s="1183"/><c r="P11" s="1098"/><c r="U11" s="1098"/><c r="V11" s="12"/><c r="W11" s="12"/><c r="X11" s="12"/><c r="Y11" s="12"/><c r="Z11" s="12"/><c r="AA11" s="12"/><c r="AB11" s="12"/></row><row r="12" spans="1:260" ht="21" customHeight="1"><c r="B12" s="145" t="s"><v>562</v></c><c r="D12" s="622"/><c r="E12" s="1189"/><c r="F12" s="1190"/><c r="G12" s="1190"/><c r="H12" s="1190"/><c r="I12" s="1199"/><c r="J12" s="1203"/><c r="K12" s="1208" t="s"><v>643</v></c><c r="L12" s="1186" t="s"><v>644</v></c><c r="M12" s="1179"><v>242</v></c><c r="N12" s="1183"/><c r="O12" s="1183"/><c r="P12" s="1098"/><c r="U12" s="1098"/><c r="V12" s="12"/><c r="W12" s="12"/><c r="X12" s="12"/><c r="Y12" s="12"/><c r="Z12" s="12"/><c r="AA12" s="12"/><c r="AB12" s="12"/></row><row r="13" spans="1:260" ht="21" customHeight="1"><c r="B13" s="145" t="s"><v>563</v></c><c r="D13" s="622"/><c r="E13" s="3330" t="s"><v>683</v></c><c r="F13" s="3330"/><c r="G13" s="3330"/><c r="H13" s="3330"/><c r="I13" s="3330"/><c r="J13" s="1203"/><c r="K13" s="1208" t="s"><v>645</v></c><c r="L13" s="1186" t="s"><v>646</v></c><c r="M13" s="1179"><v>293.10000000000002</v></c><c r="N13" s="1183"/><c r="O13" s="1183"/><c r="P13" s="1098"/><c r="U13" s="1098"/><c r="V13" s="12"/><c r="W13" s="12"/><c r="X13" s="12"/><c r="Y13" s="12"/><c r="Z13" s="12"/><c r="AA13" s="12"/><c r="AB13" s="12"/></row><row r="14" spans="1:260" ht="21" customHeight="1"><c r="B14" s="145" t="s"><v>589</v></c><c r="D14" s="622"/><c r="J14" s="1203"/><c r="K14" s="1208" t="s"><v>649</v></c><c r="L14" s="1186" t="s"><v>650</v></c><c r="M14" s="1179"><v>330.2</v></c><c r="N14" s="1183"/><c r="O14" s="1183"/><c r="P14" s="1098"/><c r="U14" s="1098"/><c r="V14" s="12"/><c r="W14" s="12"/><c r="X14" s="12"/><c r="Y14" s="12"/><c r="Z14" s="12"/><c r="AA14" s="12"/><c r="AB14" s="12"/></row><row r="15" spans="1:260" ht="21" customHeight="1"><c r="B15" s="145" t="s"><v>1290</v></c><c r="D15" s="622"/><c r="E15" s="3328" t="s"><v>684</v></c><c r="F15" s="3328"/><c r="G15" s="3328"/><c r="H15" s="3328"/><c r="I15" s="3328"/><c r="J15" s="1203"/><c r="K15" s="1208" t="s"><v>653</v></c><c r="L15" s="1186" t="s"><v>654</v></c><c r="M15" s="1179"><v>387.4</v></c><c r="N15" s="1183"/><c r="O15" s="1183"/><c r="P15" s="1098"/><c r="U15" s="1098"/><c r="V15" s="12"/><c r="W15" s="12"/><c r="X15" s="12"/><c r="Y15" s="12"/><c r="Z15" s="12"/><c r="AA15" s="12"/><c r="AB15" s="12"/></row><row r="16" spans="1:260" ht="21" customHeight="1"><c r="B16" s="145" t="s"><v>1293</v></c><c r="D16" s="622"/><c r="E16" s="3329"/><c r="F16" s="3329"/><c r="G16" s="3329"/><c r="H16" s="3329"/><c r="I16" s="3329"/><c r="J16" s="1203"/><c r="K16" s="1208" t="s"><v>655</v></c><c r="L16" s="1186" t="s"><v>656</v></c><c r="M16" s="1179"><v>482.6</v></c><c r="N16" s="1183"/><c r="O16" s="1183"/><c r="P16" s="1098"/><c r="U16" s="1098"/><c r="V16" s="12"/><c r="W16" s="12"/><c r="X16" s="12"/><c r="Y16" s="12"/><c r="Z16" s="12"/><c r="AA16" s="12"/><c r="AB16" s="12"/></row><row r="17" spans="2:21" ht="21" customHeight="1"><c r="B17" s="145" t="s"><v>1153</v></c><c r="D17" s="622"/><c r="E17" s="1192" t="s"><v>642</v></c><c r="F17" s="1193"/><c r="G17" s="1193"/><c r="H17" s="1193"/><c r="I17" s="1194"/><c r="J17" s="1098"/><c r="K17" s="1208" t="s"><v>657</v></c><c r="L17" s="1186" t="s"><v>658</v></c><c r="M17" s="1179"><v>584.20000000000005</v></c><c r="N17" s="1183"/><c r="O17" s="1183"/><c r="P17" s="1098"/><c r="U17" s="1098"/></row><row r="18" spans="2:21" ht="21" customHeight="1"><c r="B18" s="145" t="s"><v>1308</v></c><c r="D18" s="622"/><c r="E18" s="1182"/><c r="F18" s="1098"/><c r="G18" s="1098"/><c r="H18" s="1098"/><c r="I18" s="1183"/><c r="J18" s="1098"/><c r="K18" s="1208" t="s"><v>659</v></c><c r="L18" s="1186" t="s"><v>660</v></c><c r="M18" s="1179"><v>635</v></c><c r="N18" s="1183"/><c r="O18" s="1183"/><c r="P18" s="1098"/><c r="U18" s="1098"/></row><row r="19" spans="2:21" ht="21" customHeight="1"><c r="B19" s="145" t="s"><v>1307</v></c><c r="D19" s="622"/><c r="E19" s="1182"/><c r="F19" s="1098"/><c r="G19" s="3327" t="s"><v>647</v></c><c r="H19" s="1195" t="s"><v>648</v></c><c r="I19" s="1196"/><c r="J19" s="1098"/><c r="K19" s="1208" t="s"><v>661</v></c><c r="L19" s="1186" t="s"><v>662</v></c><c r="M19" s="1179"><v>685.8</v></c><c r="N19" s="1183"/><c r="O19" s="1183"/><c r="P19" s="1098"/><c r="U19" s="1098"/></row><row r="20" spans="2:21" ht="21" customHeight="1"><c r="B20" s="145" t="s"><v>667</v></c><c r="D20" s="622"/><c r="E20" s="1182"/><c r="F20" s="1186" t="s"><v>627</v></c><c r="G20" s="3327"/><c r="H20" s="1197" t="s"><v>651</v></c><c r="I20" s="1198" t="s"><v>652</v></c><c r="J20" s="1098"/><c r="K20" s="1208" t="s"><v>663</v></c><c r="L20" s="1186" t="s"><v>664</v></c><c r="M20" s="1179"/><c r="N20" s="1183"/><c r="O20" s="1183"/><c r="P20" s="1098"/><c r="U20" s="1098"/></row><row r="21" spans="2:21" ht="21" customHeight="1"><c r="B21" s="145" t="s"><v>1291</v></c><c r="D21" s="622"/><c r="E21" s="1184" t="s"><v>633</v></c><c r="F21" s="1188"/><c r="G21" s="1181"><v>7</v></c><c r="H21" s="1210"><f>PI()*((AA114/2)/1000)^2*(G21*3600)</f><v>4609.6192788457574</v></c><c r="I21" s="1211"><f>H21*6.28981</f><v>28993.629436276835</v></c><c r="J21" s="1098"/><c r="K21" s="1208" t="s"><v>665</v></c><c r="L21" s="1186" t="s"><v>666</v></c><c r="M21" s="1179"/><c r="N21" s="1183"/><c r="O21" s="1183"/><c r="P21" s="1098"/><c r="U21" s="1098"/></row><row r="22" spans="2:21" ht="21" customHeight="1"><c r="B22" s="145" t="s"><v>1322</v></c><c r="D22" s="622"/><c r="E22" s="1189"/><c r="F22" s="1190"/><c r="G22" s="1190"/><c r="H22" s="1190"/><c r="I22" s="1199"/><c r="J22" s="1098"/><c r="K22" s="1189"/><c r="L22" s="1190"/><c r="M22" s="1190"/><c r="N22" s="1191"/><c r="O22" s="1183"/><c r="P22" s="1098"/><c r="U22" s="1098"/></row><row r="23" spans="2:21" ht="21" customHeight="1"><c r="B23" s="145" t="s"><v>1292</v></c><c r="D23" s="624"/><c r="E23" s="1190"/><c r="F23" s="1190"/><c r="G23" s="1190"/><c r="H23" s="1190"/><c r="I23" s="1190"/><c r="J23" s="1190"/><c r="K23" s="1205"/><c r="L23" s="1205"/><c r="M23" s="1205"/><c r="N23" s="1205"/><c r="O23" s="1191"/><c r="P23" s="1098"/><c r="Q23" s="1098"/><c r="R23" s="1098"/><c r="S23" s="1098"/><c r="T23" s="1098"/><c r="U23" s="1098"/></row><row r="24" spans="2:21" ht="21" customHeight="1"><c r="B24" s="62" t="s"><v>238</v></c><c r="J24" s="1098"/><c r="K24" s="1098"/><c r="L24" s="1098"/><c r="M24" s="1098"/><c r="N24" s="1098"/><c r="O24" s="1098"/><c r="P24" s="1098"/><c r="Q24" s="1098"/><c r="R24" s="1098"/><c r="S24" s="1098"/><c r="T24" s="1098"/><c r="U24" s="1098"/></row><row r="25" spans="2:21" ht="21" customHeight="1"><c r="B25" s="62" t="s"><v>1652</v></c><c r="K25" s="12"/><c r="L25" s="1098"/><c r="Q25" s="1098"/><c r="R25" s="1098"/><c r="S25" s="1098"/><c r="T25" s="1098"/></row><row r="26" spans="2:21" ht="21" customHeight="1"><c r="B26" s="62" t="s"><v>1653</v></c><c r="K26" s="1098"/><c r="L26" s="1100"/><c r="M26" s="1099"/><c r="O26" s="12"/><c r="P26" s="12"/><c r="Q26" s="12"/><c r="R26" s="12"/><c r="S26" s="12"/></row><row r="27" spans="2:21" ht="21" customHeight="1"><c r="B27" s="62" t="s"><v>40</v></c><c r="K27" s="1098"/><c r="L27" s="1098"/><c r="M27" s="1098"/><c r="O27" s="12"/><c r="P27" s="12"/><c r="Q27" s="12"/><c r="R27" s="12"/></row><row r="28" spans="2:21" ht="21" customHeight="1"><c r="B28" s="62" t="s"><v>238</v></c><c r="O28" s="12"/><c r="P28" s="12"/><c r="Q28" s="12"/><c r="R28" s="12"/></row><row r="29" spans="2:21" ht="21" customHeight="1"><c r="B29" s="62" t="s"><v>39</v></c><c r="O29" s="12"/><c r="P29" s="12"/><c r="Q29" s="12"/><c r="R29" s="12"/></row><row r="30" spans="2:21" ht="21" customHeight="1"><c r="B30" s="62" t="s"><v>38</v></c><c r="Q30" s="12"/><c r="R30" s="12"/></row><row r="31" spans="2:21" ht="21" customHeight="1"><c r="B31" s="62"/></row><row r="32" spans="2:21" ht="21" customHeight="1"><c r="B32" s="62"/></row><row r="33" spans="2:2" ht="21" customHeight="1"><c r="B33" s="565"/></row><row r="34" spans="2:2" ht="21" customHeight="1"><c r="B34" s="565"/></row><row r="35" spans="2:2" ht="21" customHeight="1"><c r="B35" s="565"/></row><row r="36" spans="2:2" ht="21" customHeight="1"><c r="B36" s="565"/></row><row r="37" spans="2:2" ht="21" customHeight="1"><c r="B37" s="565"/></row><row r="38" spans="2:2" ht="21" customHeight="1"><c r="B38" s="565"/></row><row r="39" spans="2:2" ht="21" customHeight="1"><c r="B39" s="565"/></row><row r="40" spans="2:2" ht="21" customHeight="1"><c r="B40" s="565"/></row><row r="41" spans="2:2" ht="21" customHeight="1"><c r="B41" s="565"/></row><row r="42" spans="2:2"><c r="B42" s="565"/></row><row r="43" spans="2:2"><c r="B43" s="565"/></row><row r="44" spans="2:2"><c r="B44" s="565"/></row><row r="45" spans="2:2"><c r="B45" s="565"/></row><row r="46" spans="2:2"><c r="B46" s="565"/></row><row r="47" spans="2:2"><c r="B47" s="565"/></row><row r="48" spans="2:2"><c r="B48" s="565"/></row><row r="49" spans="2:37"><c r="B49" s="565"/></row><row r="50" spans="2:37"><c r="B50" s="565"/></row><row r="51" spans="2:37"><c r="B51" s="565"/></row><row r="52" spans="2:37"><c r="B52" s="565"/></row><row r="53" spans="2:37"><c r="B53" s="565"/></row><row r="54" spans="2:37"><c r="B54" s="565"/></row><row r="55" spans="2:37"><c r="B55" s="565"/></row><row r="56" spans="2:37"><c r="B56" s="565"/></row><row r="57" spans="2:37"><c r="B57" s="565"/></row><row r="58" spans="2:37"><c r="B58" s="565"/></row><row r="59" spans="2:37"><c r="B59" s="565"/></row><row r="60" spans="2:37"><c r="B60" s="565"/></row><row r="61" spans="2:37"><c r="B61" s="565"/></row><row r="62" spans="2:37"><c r="B62" s="565"/><c r="U62" s="5"/><c r="V62" s="5"/><c r="W62" s="5"/><c r="X62" s="5"/><c r="Y62" s="5"/><c r="Z62" s="5"/><c r="AA62" s="5"/><c r="AB62" s="5"/><c r="AC62" s="5"/><c r="AD62" s="5"/><c r="AE62" s="5"/><c r="AF62" s="5"/><c r="AG62" s="5"/><c r="AH62" s="5"/><c r="AI62" s="5"/><c r="AJ62" s="5"/><c r="AK62" s="5"/></row><row r="63" spans="2:37"><c r="B63" s="565"/><c r="T63" s="5"/><c r="U63" s="5"/><c r="V63" s="5"/><c r="W63" s="5"/><c r="X63" s="5"/><c r="Y63" s="5"/><c r="Z63" s="5"/><c r="AA63" s="5"/><c r="AB63" s="5"/><c r="AC63" s="5"/><c r="AD63" s="5"/><c r="AE63" s="5"/><c r="AF63" s="5"/><c r="AG63" s="5"/><c r="AH63" s="5"/><c r="AI63" s="5"/><c r="AJ63" s="5"/><c r="AK63" s="5"/></row><row r="64" spans="2:37"><c r="B64" s="565"/><c r="T64" s="5"/></row><row r="65" spans="2:2"><c r="B65" s="565"/></row><row r="66" spans="2:2"><c r="B66" s="565"/></row><row r="67" spans="2:2"><c r="B67" s="565"/></row><row r="68" spans="2:2"><c r="B68" s="565"/></row><row r="69" spans="2:2"><c r="B69" s="565"/></row><row r="70" spans="2:2"><c r="B70" s="565"/></row><row r="71" spans="2:2"><c r="B71" s="565"/></row><row r="100" spans="27:51"><c r="AA100" s="566" t="s"><v>550</v></c><c r="AB100" s="12"/><c r="AC100" s="12"/><c r="AD100" s="12"/><c r="AE100" s="12"/><c r="AF100" s="12"/><c r="AG100" s="12"/><c r="AH100" s="12"/><c r="AI100" s="12"/></row><row r="101" spans="27:51" ht="13.15"><c r="AA101" s="1178" t="s"><v>632</v></c><c r="AB101" s="1212"/><c r="AC101" s="1212"/><c r="AD101" s="1213"/><c r="AE101" s="1222"/><c r="AF101" s="1222"/><c r="AG101" s="1222"/><c r="AH101" s="1222"/><c r="AI101" s="1222"/><c r="AJ101" s="1222"/><c r="AK101" s="1222"/><c r="AL101" s="1222"/><c r="AM101" s="1223"/><c r="AN101" s="1222"/><c r="AO101" s="1222"/><c r="AP101" s="1222"/><c r="AQ101" s="1222"/><c r="AR101" s="1222"/><c r="AS101" s="1222"/><c r="AT101" s="1222"/><c r="AU101" s="1222"/><c r="AV101" s="1224"/><c r="AW101" s="1224"/><c r="AX101" s="1224"/><c r="AY101" s="1224"/></row><row r="102" spans="27:51" ht="13.9"><c r="AA102" s="1219"/><c r="AB102" s="1214"/><c r="AC102" s="1215" t="s"><v>630</v></c><c r="AD102" s="1216" t="s"><v>631</v></c><c r="AE102" s="12"/><c r="AF102" s="12"/><c r="AG102" s="12"/><c r="AH102" s="12"/><c r="AI102" s="12"/><c r="AJ102" s="12"/><c r="AK102" s="12"/><c r="AL102" s="12"/><c r="AM102" s="12"/><c r="AN102" s="3326"/><c r="AO102" s="3326"/><c r="AP102" s="12"/><c r="AQ102" s="12"/><c r="AR102" s="12"/><c r="AS102" s="12"/><c r="AT102" s="12"/><c r="AU102" s="12"/></row><row r="103" spans="27:51"><c r="AA103" s="1168"><v>1</v></c><c r="AB103" s="1169"><v>1</v></c><c r="AC103" s="1217" t="str"><f t="shared" ref="AC103:AC115" si="0">IF($N$6=1,K9,L9)</f><v>4"</v></c><c r="AD103" s="1226"><f t="shared" ref="AD103:AD115" si="1">M9</f><v>97.1</v></c><c r="AE103" s="12"/><c r="AF103" s="12"/><c r="AG103" s="12"/><c r="AH103" s="12"/><c r="AI103" s="12"/><c r="AJ103" s="12"/><c r="AK103" s="12"/><c r="AL103" s="12"/><c r="AM103" s="12"/><c r="AN103" s="675"/><c r="AO103" s="1220"/><c r="AP103" s="12"/><c r="AQ103" s="12"/><c r="AR103" s="12"/><c r="AS103" s="12"/><c r="AT103" s="12"/><c r="AU103" s="12"/></row><row r="104" spans="27:51"><c r="AA104" s="1170" t="s"><v>638</v></c><c r="AB104" s="1166"><v>2</v></c><c r="AC104" s="1225" t="str"><f t="shared" si="0"/><v>6"</v></c><c r="AD104" s="1227"><f t="shared" si="1"/><v>151</v></c><c r="AE104" s="12"/><c r="AF104" s="12"/><c r="AG104" s="12"/><c r="AH104" s="12"/><c r="AI104" s="12"/><c r="AJ104" s="12"/><c r="AK104" s="12"/><c r="AL104" s="12"/><c r="AM104" s="12"/><c r="AN104" s="278"/><c r="AO104" s="1221"/><c r="AP104" s="12"/><c r="AQ104" s="12"/><c r="AR104" s="12"/><c r="AS104" s="12"/><c r="AT104" s="12"/><c r="AU104" s="12"/></row><row r="105" spans="27:51"><c r="AA105" s="1171" t="s"><v>641</v></c><c r="AB105" s="1166"><v>3</v></c><c r="AC105" s="1225" t="str"><f t="shared" si="0"/><v>8"</v></c><c r="AD105" s="1227"><f t="shared" si="1"/><v>190.9</v></c><c r="AE105" s="12"/><c r="AF105" s="12"/><c r="AG105" s="12"/><c r="AH105" s="12"/><c r="AI105" s="12"/><c r="AJ105" s="12"/><c r="AK105" s="12"/><c r="AL105" s="12"/><c r="AM105" s="12"/><c r="AN105" s="278"/><c r="AO105" s="1221"/><c r="AP105" s="12"/><c r="AQ105" s="12"/><c r="AR105" s="12"/><c r="AS105" s="12"/><c r="AT105" s="12"/><c r="AU105" s="12"/></row><row r="106" spans="27:51"><c r="AA106" s="1172"><v>4</v></c><c r="AB106" s="1166"><v>4</v></c><c r="AC106" s="1225" t="str"><f t="shared" si="0"/><v>10"</v></c><c r="AD106" s="1227"><f t="shared" si="1"/><v>242</v></c><c r="AE106" s="12"/><c r="AF106" s="12"/><c r="AG106" s="12"/><c r="AH106" s="12"/><c r="AI106" s="12"/><c r="AJ106" s="12"/><c r="AK106" s="12"/><c r="AL106" s="12"/><c r="AM106" s="12"/><c r="AN106" s="278"/><c r="AO106" s="1221"/><c r="AP106" s="12"/><c r="AQ106" s="12"/><c r="AR106" s="12"/><c r="AS106" s="12"/><c r="AT106" s="12"/><c r="AU106" s="12"/></row><row r="107" spans="27:51"><c r="AA107" s="1254"><f>VLOOKUP(AA106,AB103:AD115,3)</f><v>242</v></c><c r="AB107" s="1166"><v>5</v></c><c r="AC107" s="1225" t="str"><f t="shared" si="0"/><v>12"</v></c><c r="AD107" s="1227"><f t="shared" si="1"/><v>293.10000000000002</v></c><c r="AE107" s="12"/><c r="AF107" s="12"/><c r="AG107" s="12"/><c r="AH107" s="12"/><c r="AI107" s="12"/><c r="AJ107" s="12"/><c r="AK107" s="12"/><c r="AL107" s="12"/><c r="AM107" s="12"/><c r="AN107" s="278"/><c r="AO107" s="1221"/><c r="AP107" s="12"/><c r="AQ107" s="12"/><c r="AR107" s="12"/><c r="AS107" s="12"/><c r="AT107" s="12"/><c r="AU107" s="12"/></row><row r="108" spans="27:51"><c r="AA108" s="524"><v>6</v></c><c r="AB108" s="1166"><v>6</v></c><c r="AC108" s="1225" t="str"><f t="shared" si="0"/><v>14"</v></c><c r="AD108" s="1227"><f t="shared" si="1"/><v>330.2</v></c><c r="AE108" s="12"/><c r="AF108" s="12"/><c r="AG108" s="12"/><c r="AH108" s="12"/><c r="AI108" s="12"/><c r="AJ108" s="12"/><c r="AK108" s="12"/><c r="AL108" s="12"/><c r="AM108" s="12"/><c r="AN108" s="278"/><c r="AO108" s="1220"/><c r="AP108" s="12"/><c r="AQ108" s="12"/><c r="AR108" s="12"/><c r="AS108" s="12"/><c r="AT108" s="12"/><c r="AU108" s="12"/></row><row r="109" spans="27:51"><c r="AA109" s="1091"><f>VLOOKUP(AA108,AB103:AD115,3)</f><v>330.2</v></c><c r="AB109" s="1203"><v>7</v></c><c r="AC109" s="1225" t="str"><f t="shared" si="0"/><v>16"</v></c><c r="AD109" s="1227"><f t="shared" si="1"/><v>387.4</v></c><c r="AE109" s="12"/><c r="AF109" s="12"/><c r="AG109" s="12"/><c r="AH109" s="12"/><c r="AI109" s="12"/><c r="AJ109" s="12"/><c r="AK109" s="12"/><c r="AL109" s="12"/><c r="AM109" s="12"/><c r="AN109" s="278"/><c r="AO109" s="1220"/><c r="AP109" s="12"/><c r="AQ109" s="12"/><c r="AR109" s="12"/><c r="AS109" s="12"/><c r="AT109" s="12"/><c r="AU109" s="12"/></row><row r="110" spans="27:51"><c r="AA110" s="524"><v>7</v></c><c r="AB110" s="1203"><v>8</v></c><c r="AC110" s="1225" t="str"><f t="shared" si="0"/><v>20"</v></c><c r="AD110" s="1227"><f t="shared" si="1"/><v>482.6</v></c><c r="AE110" s="12"/><c r="AF110" s="12"/><c r="AG110" s="12"/><c r="AH110" s="12"/><c r="AI110" s="12"/></row><row r="111" spans="27:51"><c r="AA111" s="1174"><f>VLOOKUP(AA110,AB103:AD115,3)</f><v>387.4</v></c><c r="AB111" s="1203"><v>9</v></c><c r="AC111" s="1225" t="str"><f t="shared" si="0"/><v>24"</v></c><c r="AD111" s="1227"><f t="shared" si="1"/><v>584.20000000000005</v></c></row><row r="112" spans="27:51"><c r="AA112" s="1174"/><c r="AB112" s="1203"><v>10</v></c><c r="AC112" s="1225" t="str"><f t="shared" si="0"/><v>26"</v></c><c r="AD112" s="1227"><f t="shared" si="1"/><v>635</v></c></row><row r="113" spans="27:30"><c r="AA113" s="1173"><v>8</v></c><c r="AB113" s="1203"><v>11</v></c><c r="AC113" s="1225" t="str"><f t="shared" si="0"/><v>28"</v></c><c r="AD113" s="1227"><f t="shared" si="1"/><v>685.8</v></c></row><row r="114" spans="27:30"><c r="AA114" s="1174"><f>VLOOKUP(AA113,AB103:AD115,3)</f><v>482.6</v></c><c r="AB114" s="1203"><v>12</v></c><c r="AC114" s="1225" t="str"><f t="shared" si="0"/><v>30"</v></c><c r="AD114" s="1227"><f t="shared" si="1"/><v>0</v></c></row><row r="115" spans="27:30"><c r="AA115" s="1176"/><c r="AB115" s="1177"><v>13</v></c><c r="AC115" s="1218" t="str"><f t="shared" si="0"/><v>32"</v></c><c r="AD115" s="1228"><f t="shared" si="1"/><v>0</v></c></row></sheetData><mergeCell ref="AN102:AO102"/><mergeCell ref="G19:G20"/><mergeCell ref="B2:B3"/><mergeCell ref="G7:G8"/><mergeCell ref="E15:I16"/><mergeCell ref="E13:I13"/></mergeCells><hyperlinks><hyperlink ref="B2:B3" location="Home!A1" display="HOME" xr:uid="{4FD7EC5E-47EE-40BB-A52B-009F5C9C5CB4}"/><hyperlink ref="B5" location="'Documents Manager'!A1" display="DOCUMENTS MANAGER" xr:uid="{464FB38E-2EAB-4BDC-91CA-92C4AA78D5CB}"/><hyperlink ref="B30" location="Disclaimer!A1" display="Disclaimer" xr:uid="{683D6EE8-C776-4686-B958-456D73FA5797}"/><hyperlink ref="B29" location="Help!A1" display="Help" xr:uid="{6C2BD6FD-24FD-4C58-AE30-9C6D718C6B36}"/><hyperlink ref="B27" location="'Source - Links'!A1" display="SOURCE / LINKS" xr:uid="{D21590C9-6CF2-4355-8204-235367D1AC99}"/><hyperlink ref="AA100" location="'Initial&amp;Max. Loading Rate'!A1" display="Go to Up" xr:uid="{72484478-5A6D-4EC6-A058-2B54AB970B98}"/><hyperlink ref="E13:I13" location="'Guidelines - ISGOTT-6 '!A96" display="ISGOTT Sixth Edition - 2.1.7.3 During the initial filling of a tank" xr:uid="{1D5D46F9-8C9E-48B7-93B0-446175E800DB}"/><hyperlink ref="E15:I16" location="'Guidelines - ISGOTT-6 '!A324" display="ISGOTT Sixth Edition - 12.1.7.8 Limitation of product velocity (loading rates) after the initial filling period (bulk loading) " xr:uid="{B607A830-3945-4DF7-A25B-B2BB3FC28AE1}"/><hyperlink ref="B12" location="'ETC Cargo operation'!A1" display="• ETC Cargo operation" xr:uid="{CD75140C-E981-4F36-8ECA-121AFF3D64CE}"/><hyperlink ref="B14" location="'Volume Interpolation'!A1" display="• Volume Interpolation" xr:uid="{6DFDED91-C965-41B8-82DD-203F5153914C}"/><hyperlink ref="B11" location="'One Tank Filling Rate'!A1" display="• One Tank Filling Rate" xr:uid="{732FA139-6F59-4989-954C-1357694C7FF7}"/><hyperlink ref="B10" location="'Initial&amp;Max. Loading Rate'!A1" display="• Initial &amp; Max. Loading Rate" xr:uid="{D1D222A4-2D4C-4E89-A330-F874AFCD5B6E}"/><hyperlink ref="B13" location="'Average Gravity-Temp'!A1" display="• Calculator - Average Gravity/Temp" xr:uid="{B6EF70E7-A3DC-4D4C-A943-C5B99D6D35A9}"/><hyperlink ref="B15" location="'Cargo Lines Volume'!A1" display="• Volume of Cargo Lines Calculator" xr:uid="{3071B3CB-5593-4EAC-831F-18C765D69D96}"/><hyperlink ref="B20" location="'Pipelines Capacities'!A1" display="• Pipelines Capacities" xr:uid="{B7E4D4EE-7885-4839-A645-1B39C2D5F05E}"/><hyperlink ref="B17" location="'Blended API'!A1" display="• Blended API" xr:uid="{D733AB9A-E5C4-448E-AEE8-698C4F57F292}"/><hyperlink ref="B18:B19" location="'Blended Cargo Prediction'!A1" display="• Blended Cargo Prediction" xr:uid="{D8066CED-9534-4186-934D-C134F9A8687C}"/><hyperlink ref="B18" location="'Commingle-LOADING'!A1" display="• Commingle-LOADING" xr:uid="{F26BBDAE-08AE-4806-A3CC-7AA4207F91A5}"/><hyperlink ref="B19" location="'Commingle-LOADING-DISCHARGING'!A1" display="• Commingle-LOADING-DISCHARGING" xr:uid="{0E310CD2-D343-49E6-A9B7-451B29285F40}"/><hyperlink ref="B9" location="'Initial&amp;Max. Loading Rate'!A1" display="CARGO - CALCULATORS" xr:uid="{05598F97-81BD-48F0-9230-53F1E3778EEE}"/><hyperlink ref="B21" location="'IG Pressure Change'!A1" display="• Pipelines Capacities Calculator" xr:uid="{7D6C19AE-3D7E-473C-AFD8-04FE2ACEAAC9}"/><hyperlink ref="B16" location="'Wedge Volume Calculator'!A1" display="• Volume Calculator - Wedge formula" xr:uid="{1F92E1E0-BECF-42F9-9E7F-30E14FC66E35}"/><hyperlink ref="B6" location="'ASTM Table Series'!A1" display="ASTM TABLES" xr:uid="{91D946F4-9C20-46FC-BDF3-5D115F4DF3DA}"/><hyperlink ref="B7" location="'ASTM Converter (Tab.1)'!A1" display="ASTM - CONVERTERS" xr:uid="{D4912F0E-B406-431C-93A1-DE78974C72F8}"/><hyperlink ref="B8" location="'ASTM Calculator V.W.'!A1" display="ASTM - CALCULATORS" xr:uid="{86542570-6C34-41CE-85EC-7D5DF246894B}"/><hyperlink ref="B23" location="'Converter Pressure '!A1" display="• Units Converter Pressure" xr:uid="{F5D7B09C-7A67-4B68-A1E6-0908089DF654}"/><hyperlink ref="B22" location="'IG Pressure Change (2)'!A1" display="• IG Pressure Change-2" xr:uid="{897CA532-6965-465D-9261-8DD5FC7190D0}"/><hyperlink ref="B25" location="'Guidelines - Definitions'!A1" display="GUIDELINES" xr:uid="{37387D38-5D43-4686-AD4C-F2A0ECD7E62F}"/><hyperlink ref="B26" location="'Guidelines - Bottom Lines'!A1" display="GUIDELINES - CARGO" xr:uid="{F75723EB-C293-43C5-A51A-2EE36A4404C7}"/></hyperlinks><pageMargins left="0.75" right="0.75" top="1" bottom="1" header="0.5" footer="0.5"/><pageSetup paperSize="9" orientation="portrait" horizontalDpi="1200" verticalDpi="1200" r:id="rId1"/><headerFooter alignWithMargins="0"/><drawing r:id="rId2"/><legacyDrawing r:id="rId3"/><mc:AlternateContent xmlns:mc="http://schemas.openxmlformats.org/markup-compatibility/2006"><mc:Choice Requires="x14"><controls><mc:AlternateContent xmlns:mc="http://schemas.openxmlformats.org/markup-compatibility/2006"><mc:Choice Requires="x14"><control shapeId="184326" r:id="rId4" name="Drop Down 6"><controlPr defaultSize="0" autoLine="0" autoPict="0"><anchor moveWithCells="1"><from><xdr:col>5</xdr:col><xdr:colOff>0</xdr:colOff><xdr:row>20</xdr:row><xdr:rowOff>9525</xdr:rowOff></from><to><xdr:col>5</xdr:col><xdr:colOff>747713</xdr:colOff><xdr:row>20</xdr:row><xdr:rowOff>228600</xdr:rowOff></to></anchor></controlPr></control></mc:Choice></mc:AlternateContent><mc:AlternateContent xmlns:mc="http://schemas.openxmlformats.org/markup-compatibility/2006"><mc:Choice Requires="x14"><control shapeId="184327" r:id="rId5" name="Drop Down 7"><controlPr defaultSize="0" autoLine="0" autoPict="0"><anchor moveWithCells="1"><from><xdr:col>5</xdr:col><xdr:colOff>0</xdr:colOff><xdr:row>8</xdr:row><xdr:rowOff>9525</xdr:rowOff></from><to><xdr:col>5</xdr:col><xdr:colOff>747713</xdr:colOff><xdr:row>8</xdr:row><xdr:rowOff>228600</xdr:rowOff></to></anchor></controlPr></control></mc:Choice></mc:AlternateContent><mc:AlternateContent xmlns:mc="http://schemas.openxmlformats.org/markup-compatibility/2006"><mc:Choice Requires="x14"><control shapeId="184328" r:id="rId6" name="Drop Down 8"><controlPr defaultSize="0" autoLine="0" autoPict="0"><anchor moveWithCells="1"><from><xdr:col>5</xdr:col><xdr:colOff>0</xdr:colOff><xdr:row>9</xdr:row><xdr:rowOff>9525</xdr:rowOff></from><to><xdr:col>5</xdr:col><xdr:colOff>747713</xdr:colOff><xdr:row>9</xdr:row><xdr:rowOff>228600</xdr:rowOff></to></anchor></controlPr></control></mc:Choice></mc:AlternateContent><mc:AlternateContent xmlns:mc="http://schemas.openxmlformats.org/markup-compatibility/2006"><mc:Choice Requires="x14"><control shapeId="184329" r:id="rId7" name="Drop Down 9"><controlPr defaultSize="0" autoLine="0" autoPict="0"><anchor moveWithCells="1"><from><xdr:col>5</xdr:col><xdr:colOff>0</xdr:colOff><xdr:row>10</xdr:row><xdr:rowOff>9525</xdr:rowOff></from><to><xdr:col>5</xdr:col><xdr:colOff>747713</xdr:colOff><xdr:row>10</xdr:row><xdr:rowOff>228600</xdr:rowOff></to></anchor></controlPr></control></mc:Choice></mc:AlternateContent></controls></mc:Choice></mc:AlternateContent></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B7D7-656F-4E8F-9790-3DB973B7E076}">
  <sheetPr>
    <tabColor rgb="FFFFC000"/>
  </sheetPr>
  <dimension ref="A1:IZ110"/>
  <sheetViews>
    <sheetView showGridLines="0" showRowColHeaders="0" topLeftCell="B1" zoomScaleNormal="100" workbookViewId="0">
      <selection activeCell="F10" sqref="F10"/>
    </sheetView>
  </sheetViews>
  <sheetFormatPr defaultColWidth="9.1328125" defaultRowHeight="12.75"/>
  <cols>
    <col min="1" max="1" width="0" style="514" hidden="1" customWidth="1"/>
    <col min="2" max="2" width="36.6640625" style="631" customWidth="1"/>
    <col min="3" max="3" width="2.6640625" style="514" customWidth="1"/>
    <col min="4" max="4" width="9.46484375" style="514" customWidth="1"/>
    <col min="5" max="5" width="6.6640625" style="514" customWidth="1"/>
    <col min="6" max="7" width="7.796875" style="514" customWidth="1"/>
    <col min="8" max="8" width="7.19921875" style="514" bestFit="1" customWidth="1"/>
    <col min="9" max="18" width="6.6640625" style="514" customWidth="1"/>
    <col min="19" max="19" width="13.46484375" style="514" bestFit="1" customWidth="1"/>
    <col min="20" max="26" width="9.1328125" style="514" customWidth="1"/>
    <col min="27" max="27" width="13.46484375" style="514" bestFit="1" customWidth="1"/>
    <col min="28" max="28" width="11.796875" style="514" bestFit="1" customWidth="1"/>
    <col min="29" max="29" width="8.19921875" style="514" bestFit="1" customWidth="1"/>
    <col min="30" max="30" width="14.796875" style="514" customWidth="1"/>
    <col min="31" max="31" width="10.6640625" style="514" customWidth="1"/>
    <col min="32" max="32" width="12" style="514" bestFit="1" customWidth="1"/>
    <col min="33" max="33" width="14.46484375" style="514" bestFit="1" customWidth="1"/>
    <col min="34" max="34" width="16" style="514" bestFit="1" customWidth="1"/>
    <col min="35" max="36" width="15.6640625" style="514" bestFit="1" customWidth="1"/>
    <col min="37" max="37" width="12.53125" style="514" bestFit="1" customWidth="1"/>
    <col min="38" max="38" width="14.33203125" style="514" customWidth="1"/>
    <col min="39" max="39" width="11.53125" style="514" customWidth="1"/>
    <col min="40" max="40" width="16.796875" style="514" customWidth="1"/>
    <col min="41" max="41" width="17.53125" style="514" customWidth="1"/>
    <col min="42" max="42" width="12.6640625" style="514" bestFit="1" customWidth="1"/>
    <col min="43" max="43" width="18.1328125" style="514" bestFit="1" customWidth="1"/>
    <col min="44" max="44" width="9.1328125" style="514"/>
    <col min="45" max="45" width="9" style="514" customWidth="1"/>
    <col min="46" max="46" width="13.6640625" style="514" customWidth="1"/>
    <col min="47" max="47" width="17.19921875" style="514" customWidth="1"/>
    <col min="48" max="16384" width="9.1328125" style="514"/>
  </cols>
  <sheetData>
    <row r="1" spans="1:260" ht="12.75" customHeight="1">
      <c r="B1" s="612"/>
    </row>
    <row r="2" spans="1:260" s="618" customFormat="1" ht="21" customHeight="1">
      <c r="A2" s="514"/>
      <c r="B2" s="3210" t="s">
        <v>0</v>
      </c>
      <c r="C2" s="514"/>
      <c r="D2" s="613" t="s">
        <v>620</v>
      </c>
      <c r="E2" s="614"/>
      <c r="F2" s="615"/>
      <c r="G2" s="615"/>
      <c r="H2" s="615"/>
      <c r="I2" s="615"/>
      <c r="J2" s="615"/>
      <c r="K2" s="615"/>
      <c r="L2" s="615"/>
      <c r="M2" s="615"/>
      <c r="N2" s="615"/>
      <c r="O2" s="615"/>
      <c r="P2" s="615"/>
      <c r="Q2" s="615"/>
      <c r="R2" s="615"/>
      <c r="S2" s="617"/>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c r="IX2" s="615"/>
      <c r="IY2" s="615"/>
      <c r="IZ2" s="615"/>
    </row>
    <row r="3" spans="1:260" ht="21" customHeight="1">
      <c r="B3" s="3210"/>
      <c r="D3" s="619"/>
      <c r="E3" s="619"/>
      <c r="F3" s="619"/>
      <c r="G3" s="5"/>
      <c r="H3" s="5"/>
      <c r="I3" s="5"/>
      <c r="J3" s="5"/>
      <c r="K3" s="5"/>
      <c r="L3" s="5"/>
      <c r="M3" s="5"/>
      <c r="N3" s="5"/>
    </row>
    <row r="4" spans="1:260" ht="21" customHeight="1">
      <c r="B4" s="63"/>
      <c r="D4" s="787"/>
      <c r="E4" s="1066"/>
      <c r="F4" s="1066"/>
      <c r="G4" s="1067"/>
      <c r="H4" s="1067"/>
      <c r="I4" s="1067"/>
      <c r="J4" s="1128"/>
      <c r="K4" s="620"/>
      <c r="L4" s="620"/>
      <c r="M4" s="620"/>
      <c r="N4" s="620"/>
      <c r="O4" s="620"/>
      <c r="P4" s="620"/>
      <c r="Q4" s="620"/>
      <c r="R4" s="621"/>
    </row>
    <row r="5" spans="1:260" ht="21" customHeight="1">
      <c r="B5" s="62" t="s">
        <v>1</v>
      </c>
      <c r="D5" s="622"/>
      <c r="E5" s="1146" t="s">
        <v>599</v>
      </c>
      <c r="F5" s="1147">
        <v>1</v>
      </c>
      <c r="G5" s="1148" t="s">
        <v>600</v>
      </c>
      <c r="H5" s="1148"/>
      <c r="I5" s="1148"/>
      <c r="J5" s="1148"/>
      <c r="K5" s="1148"/>
      <c r="L5" s="1148"/>
      <c r="M5" s="1148"/>
      <c r="N5" s="1148"/>
      <c r="O5" s="1148"/>
      <c r="P5" s="1149"/>
      <c r="Q5" s="1150"/>
      <c r="R5" s="1069"/>
      <c r="S5" s="12"/>
      <c r="T5" s="12"/>
      <c r="U5" s="12"/>
      <c r="V5" s="12"/>
      <c r="W5" s="12"/>
      <c r="X5" s="12"/>
      <c r="Y5" s="12"/>
      <c r="Z5" s="12"/>
      <c r="AA5" s="12"/>
    </row>
    <row r="6" spans="1:260" ht="21" customHeight="1">
      <c r="B6" s="397" t="s">
        <v>452</v>
      </c>
      <c r="D6" s="622"/>
      <c r="E6" s="3331" t="s">
        <v>601</v>
      </c>
      <c r="F6" s="3336" t="s">
        <v>622</v>
      </c>
      <c r="G6" s="3338" t="s">
        <v>622</v>
      </c>
      <c r="H6" s="1124" t="str">
        <f>IF($F$5=1,"Loading rate ( m3/hour)","Loading rate ( bbls/hour)")</f>
        <v>Loading rate ( m3/hour)</v>
      </c>
      <c r="I6" s="1124"/>
      <c r="J6" s="1124"/>
      <c r="K6" s="1124"/>
      <c r="L6" s="1125"/>
      <c r="M6" s="1123" t="str">
        <f>IF($F$5=1,"Loading rate ( m3/hour)","Loading rate ( bbls/hour)")</f>
        <v>Loading rate ( m3/hour)</v>
      </c>
      <c r="N6" s="1124"/>
      <c r="O6" s="1124"/>
      <c r="P6" s="1124"/>
      <c r="Q6" s="1125"/>
      <c r="R6" s="1069"/>
      <c r="S6" s="12"/>
      <c r="T6" s="12"/>
      <c r="U6" s="12"/>
      <c r="V6" s="12"/>
      <c r="W6" s="12"/>
      <c r="X6" s="12"/>
      <c r="Y6" s="12"/>
      <c r="Z6" s="12"/>
      <c r="AA6" s="12"/>
    </row>
    <row r="7" spans="1:260" ht="21" customHeight="1">
      <c r="B7" s="62" t="s">
        <v>239</v>
      </c>
      <c r="D7" s="622"/>
      <c r="E7" s="3332"/>
      <c r="F7" s="3337"/>
      <c r="G7" s="3339"/>
      <c r="H7" s="1131">
        <f>IF($F$5=1,2000,10000)</f>
        <v>2000</v>
      </c>
      <c r="I7" s="1132">
        <f>IF($F$5=1,2500,15000)</f>
        <v>2500</v>
      </c>
      <c r="J7" s="1132">
        <f>IF($F$5=1,3000,20000)</f>
        <v>3000</v>
      </c>
      <c r="K7" s="1132">
        <f>IF($F$5=1,4000,25000)</f>
        <v>4000</v>
      </c>
      <c r="L7" s="1133">
        <f>IF($F$5=1,5000,30000)</f>
        <v>5000</v>
      </c>
      <c r="M7" s="1134">
        <f>IF($F$5=1,2000,10000)</f>
        <v>2000</v>
      </c>
      <c r="N7" s="1135">
        <f>IF($F$5=1,2500,15000)</f>
        <v>2500</v>
      </c>
      <c r="O7" s="1135">
        <f>IF($F$5=1,3000,20000)</f>
        <v>3000</v>
      </c>
      <c r="P7" s="1135">
        <f>IF($F$5=1,4000,25000)</f>
        <v>4000</v>
      </c>
      <c r="Q7" s="1136">
        <f>IF($F$5=1,5000,30000)</f>
        <v>5000</v>
      </c>
      <c r="R7" s="1069"/>
      <c r="S7" s="12"/>
      <c r="T7" s="12"/>
      <c r="U7" s="12"/>
      <c r="V7" s="12"/>
      <c r="W7" s="12"/>
      <c r="X7" s="12"/>
      <c r="Y7" s="12"/>
      <c r="Z7" s="12"/>
      <c r="AA7" s="12"/>
    </row>
    <row r="8" spans="1:260" ht="21" customHeight="1">
      <c r="B8" s="62" t="s">
        <v>1263</v>
      </c>
      <c r="D8" s="622"/>
      <c r="E8" s="3333"/>
      <c r="F8" s="1164" t="s">
        <v>602</v>
      </c>
      <c r="G8" s="1165" t="s">
        <v>603</v>
      </c>
      <c r="H8" s="3334" t="s">
        <v>604</v>
      </c>
      <c r="I8" s="3335"/>
      <c r="J8" s="3335"/>
      <c r="K8" s="3335"/>
      <c r="L8" s="3335"/>
      <c r="M8" s="3335" t="s">
        <v>605</v>
      </c>
      <c r="N8" s="3335"/>
      <c r="O8" s="3335"/>
      <c r="P8" s="3335"/>
      <c r="Q8" s="3335"/>
      <c r="R8" s="1069"/>
      <c r="S8" s="12"/>
      <c r="T8" s="12"/>
      <c r="U8" s="12"/>
      <c r="V8" s="12"/>
      <c r="W8" s="12"/>
      <c r="X8" s="12"/>
      <c r="Y8" s="12"/>
      <c r="Z8" s="12"/>
      <c r="AA8" s="12"/>
    </row>
    <row r="9" spans="1:260" ht="21" customHeight="1">
      <c r="B9" s="977" t="s">
        <v>557</v>
      </c>
      <c r="D9" s="622"/>
      <c r="E9" s="2871" t="s">
        <v>606</v>
      </c>
      <c r="F9" s="2872">
        <v>10</v>
      </c>
      <c r="G9" s="1151">
        <f>F9*6.28981</f>
        <v>62.898099999999999</v>
      </c>
      <c r="H9" s="1154">
        <f t="shared" ref="H9:L21" si="0">IF($F9=0,"",IF($F$5=1,(H$7/60)/$F9,(H$7/60)/$G9))</f>
        <v>3.3333333333333335</v>
      </c>
      <c r="I9" s="1155">
        <f t="shared" si="0"/>
        <v>4.1666666666666661</v>
      </c>
      <c r="J9" s="1155">
        <f t="shared" si="0"/>
        <v>5</v>
      </c>
      <c r="K9" s="1155">
        <f t="shared" si="0"/>
        <v>6.666666666666667</v>
      </c>
      <c r="L9" s="1156">
        <f t="shared" si="0"/>
        <v>8.3333333333333321</v>
      </c>
      <c r="M9" s="1137">
        <f t="shared" ref="M9:Q21" si="1">IF($F9=0,"",IF($F$5=1,(M$7/$F9)/100,(M$7/$G9)/100))</f>
        <v>2</v>
      </c>
      <c r="N9" s="1138">
        <f t="shared" si="1"/>
        <v>2.5</v>
      </c>
      <c r="O9" s="1138">
        <f t="shared" si="1"/>
        <v>3</v>
      </c>
      <c r="P9" s="1138">
        <f t="shared" si="1"/>
        <v>4</v>
      </c>
      <c r="Q9" s="1139">
        <f t="shared" si="1"/>
        <v>5</v>
      </c>
      <c r="R9" s="1069"/>
      <c r="S9" s="12"/>
      <c r="T9" s="12"/>
      <c r="U9" s="12"/>
      <c r="V9" s="12"/>
      <c r="W9" s="12"/>
      <c r="X9" s="12"/>
      <c r="Y9" s="12"/>
      <c r="Z9" s="12"/>
      <c r="AA9" s="12"/>
    </row>
    <row r="10" spans="1:260" ht="21" customHeight="1">
      <c r="B10" s="145" t="s">
        <v>680</v>
      </c>
      <c r="D10" s="622"/>
      <c r="E10" s="2873" t="s">
        <v>607</v>
      </c>
      <c r="F10" s="2874">
        <v>11.1</v>
      </c>
      <c r="G10" s="1152">
        <f t="shared" ref="G10:G19" si="2">F10*6.28981</f>
        <v>69.816890999999998</v>
      </c>
      <c r="H10" s="1157">
        <f t="shared" si="0"/>
        <v>3.0030030030030033</v>
      </c>
      <c r="I10" s="1158">
        <f t="shared" si="0"/>
        <v>3.7537537537537538</v>
      </c>
      <c r="J10" s="1158">
        <f t="shared" si="0"/>
        <v>4.5045045045045047</v>
      </c>
      <c r="K10" s="1158">
        <f t="shared" si="0"/>
        <v>6.0060060060060065</v>
      </c>
      <c r="L10" s="1159">
        <f t="shared" si="0"/>
        <v>7.5075075075075075</v>
      </c>
      <c r="M10" s="1140">
        <f t="shared" si="1"/>
        <v>1.8018018018018018</v>
      </c>
      <c r="N10" s="1141">
        <f t="shared" si="1"/>
        <v>2.2522522522522523</v>
      </c>
      <c r="O10" s="1141">
        <f t="shared" si="1"/>
        <v>2.7027027027027026</v>
      </c>
      <c r="P10" s="1141">
        <f t="shared" si="1"/>
        <v>3.6036036036036037</v>
      </c>
      <c r="Q10" s="1142">
        <f t="shared" si="1"/>
        <v>4.5045045045045047</v>
      </c>
      <c r="R10" s="1069"/>
      <c r="S10" s="12"/>
      <c r="T10" s="12"/>
      <c r="U10" s="12"/>
      <c r="V10" s="12"/>
      <c r="W10" s="12"/>
      <c r="X10" s="12"/>
      <c r="Y10" s="12"/>
      <c r="Z10" s="12"/>
      <c r="AA10" s="12"/>
    </row>
    <row r="11" spans="1:260" ht="21" customHeight="1">
      <c r="B11" s="147" t="s">
        <v>621</v>
      </c>
      <c r="D11" s="622"/>
      <c r="E11" s="2873" t="s">
        <v>608</v>
      </c>
      <c r="F11" s="2874">
        <v>11.1</v>
      </c>
      <c r="G11" s="1152">
        <f t="shared" si="2"/>
        <v>69.816890999999998</v>
      </c>
      <c r="H11" s="1157">
        <f t="shared" si="0"/>
        <v>3.0030030030030033</v>
      </c>
      <c r="I11" s="1158">
        <f t="shared" si="0"/>
        <v>3.7537537537537538</v>
      </c>
      <c r="J11" s="1158">
        <f t="shared" si="0"/>
        <v>4.5045045045045047</v>
      </c>
      <c r="K11" s="1158">
        <f t="shared" si="0"/>
        <v>6.0060060060060065</v>
      </c>
      <c r="L11" s="1159">
        <f t="shared" si="0"/>
        <v>7.5075075075075075</v>
      </c>
      <c r="M11" s="1140">
        <f t="shared" si="1"/>
        <v>1.8018018018018018</v>
      </c>
      <c r="N11" s="1141">
        <f t="shared" si="1"/>
        <v>2.2522522522522523</v>
      </c>
      <c r="O11" s="1141">
        <f t="shared" si="1"/>
        <v>2.7027027027027026</v>
      </c>
      <c r="P11" s="1141">
        <f t="shared" si="1"/>
        <v>3.6036036036036037</v>
      </c>
      <c r="Q11" s="1142">
        <f t="shared" si="1"/>
        <v>4.5045045045045047</v>
      </c>
      <c r="R11" s="1069"/>
      <c r="S11" s="12"/>
      <c r="T11" s="12"/>
      <c r="U11" s="12"/>
      <c r="V11" s="12"/>
      <c r="W11" s="12"/>
      <c r="X11" s="12"/>
      <c r="Y11" s="12"/>
      <c r="Z11" s="12"/>
      <c r="AA11" s="12"/>
    </row>
    <row r="12" spans="1:260" ht="21" customHeight="1">
      <c r="B12" s="145" t="s">
        <v>562</v>
      </c>
      <c r="D12" s="622"/>
      <c r="E12" s="2873" t="s">
        <v>609</v>
      </c>
      <c r="F12" s="2874">
        <v>11.1</v>
      </c>
      <c r="G12" s="1152">
        <f t="shared" si="2"/>
        <v>69.816890999999998</v>
      </c>
      <c r="H12" s="1157">
        <f t="shared" si="0"/>
        <v>3.0030030030030033</v>
      </c>
      <c r="I12" s="1158">
        <f t="shared" si="0"/>
        <v>3.7537537537537538</v>
      </c>
      <c r="J12" s="1158">
        <f t="shared" si="0"/>
        <v>4.5045045045045047</v>
      </c>
      <c r="K12" s="1158">
        <f t="shared" si="0"/>
        <v>6.0060060060060065</v>
      </c>
      <c r="L12" s="1159">
        <f t="shared" si="0"/>
        <v>7.5075075075075075</v>
      </c>
      <c r="M12" s="1140">
        <f t="shared" si="1"/>
        <v>1.8018018018018018</v>
      </c>
      <c r="N12" s="1141">
        <f t="shared" si="1"/>
        <v>2.2522522522522523</v>
      </c>
      <c r="O12" s="1141">
        <f t="shared" si="1"/>
        <v>2.7027027027027026</v>
      </c>
      <c r="P12" s="1141">
        <f t="shared" si="1"/>
        <v>3.6036036036036037</v>
      </c>
      <c r="Q12" s="1142">
        <f t="shared" si="1"/>
        <v>4.5045045045045047</v>
      </c>
      <c r="R12" s="1069"/>
      <c r="S12" s="12"/>
      <c r="T12" s="12"/>
      <c r="U12" s="12"/>
      <c r="V12" s="12"/>
      <c r="W12" s="12"/>
      <c r="X12" s="12"/>
      <c r="Y12" s="12"/>
      <c r="Z12" s="12"/>
      <c r="AA12" s="12"/>
    </row>
    <row r="13" spans="1:260" ht="21" customHeight="1">
      <c r="B13" s="145" t="s">
        <v>563</v>
      </c>
      <c r="D13" s="622"/>
      <c r="E13" s="2873" t="s">
        <v>610</v>
      </c>
      <c r="F13" s="2874">
        <v>10.7</v>
      </c>
      <c r="G13" s="1152">
        <f t="shared" si="2"/>
        <v>67.300967</v>
      </c>
      <c r="H13" s="1157">
        <f t="shared" si="0"/>
        <v>3.1152647975077885</v>
      </c>
      <c r="I13" s="1158">
        <f t="shared" si="0"/>
        <v>3.8940809968847354</v>
      </c>
      <c r="J13" s="1158">
        <f t="shared" si="0"/>
        <v>4.6728971962616823</v>
      </c>
      <c r="K13" s="1158">
        <f t="shared" si="0"/>
        <v>6.230529595015577</v>
      </c>
      <c r="L13" s="1159">
        <f t="shared" si="0"/>
        <v>7.7881619937694708</v>
      </c>
      <c r="M13" s="1140">
        <f t="shared" si="1"/>
        <v>1.8691588785046731</v>
      </c>
      <c r="N13" s="1141">
        <f t="shared" si="1"/>
        <v>2.3364485981308416</v>
      </c>
      <c r="O13" s="1141">
        <f t="shared" si="1"/>
        <v>2.8037383177570097</v>
      </c>
      <c r="P13" s="1141">
        <f t="shared" si="1"/>
        <v>3.7383177570093462</v>
      </c>
      <c r="Q13" s="1142">
        <f t="shared" si="1"/>
        <v>4.6728971962616832</v>
      </c>
      <c r="R13" s="1069"/>
      <c r="S13" s="12"/>
      <c r="T13" s="12"/>
      <c r="U13" s="12"/>
      <c r="V13" s="12"/>
      <c r="W13" s="12"/>
      <c r="X13" s="12"/>
      <c r="Y13" s="12"/>
      <c r="Z13" s="12"/>
      <c r="AA13" s="12"/>
    </row>
    <row r="14" spans="1:260" ht="21" customHeight="1">
      <c r="B14" s="145" t="s">
        <v>589</v>
      </c>
      <c r="D14" s="622"/>
      <c r="E14" s="2873" t="s">
        <v>611</v>
      </c>
      <c r="F14" s="2874">
        <v>11.6</v>
      </c>
      <c r="G14" s="1152">
        <f t="shared" si="2"/>
        <v>72.961795999999993</v>
      </c>
      <c r="H14" s="1157">
        <f t="shared" si="0"/>
        <v>2.8735632183908049</v>
      </c>
      <c r="I14" s="1158">
        <f t="shared" si="0"/>
        <v>3.5919540229885056</v>
      </c>
      <c r="J14" s="1158">
        <f t="shared" si="0"/>
        <v>4.3103448275862073</v>
      </c>
      <c r="K14" s="1158">
        <f t="shared" si="0"/>
        <v>5.7471264367816097</v>
      </c>
      <c r="L14" s="1159">
        <f t="shared" si="0"/>
        <v>7.1839080459770113</v>
      </c>
      <c r="M14" s="1140">
        <f t="shared" si="1"/>
        <v>1.7241379310344829</v>
      </c>
      <c r="N14" s="1141">
        <f t="shared" si="1"/>
        <v>2.1551724137931036</v>
      </c>
      <c r="O14" s="1141">
        <f t="shared" si="1"/>
        <v>2.5862068965517242</v>
      </c>
      <c r="P14" s="1141">
        <f t="shared" si="1"/>
        <v>3.4482758620689657</v>
      </c>
      <c r="Q14" s="1142">
        <f t="shared" si="1"/>
        <v>4.3103448275862073</v>
      </c>
      <c r="R14" s="1069"/>
      <c r="S14" s="12"/>
      <c r="T14" s="12"/>
      <c r="U14" s="12"/>
      <c r="V14" s="12"/>
      <c r="W14" s="12"/>
      <c r="X14" s="12"/>
      <c r="Y14" s="12"/>
      <c r="Z14" s="12"/>
      <c r="AA14" s="12"/>
    </row>
    <row r="15" spans="1:260" ht="21" customHeight="1">
      <c r="B15" s="145" t="s">
        <v>1290</v>
      </c>
      <c r="D15" s="876"/>
      <c r="E15" s="2873" t="s">
        <v>612</v>
      </c>
      <c r="F15" s="2874">
        <v>14.8</v>
      </c>
      <c r="G15" s="1152">
        <f t="shared" si="2"/>
        <v>93.089188000000007</v>
      </c>
      <c r="H15" s="1157">
        <f t="shared" si="0"/>
        <v>2.2522522522522523</v>
      </c>
      <c r="I15" s="1158">
        <f t="shared" si="0"/>
        <v>2.8153153153153152</v>
      </c>
      <c r="J15" s="1158">
        <f t="shared" si="0"/>
        <v>3.3783783783783781</v>
      </c>
      <c r="K15" s="1158">
        <f t="shared" si="0"/>
        <v>4.5045045045045047</v>
      </c>
      <c r="L15" s="1159">
        <f t="shared" si="0"/>
        <v>5.6306306306306304</v>
      </c>
      <c r="M15" s="1140">
        <f t="shared" si="1"/>
        <v>1.3513513513513513</v>
      </c>
      <c r="N15" s="1141">
        <f t="shared" si="1"/>
        <v>1.689189189189189</v>
      </c>
      <c r="O15" s="1141">
        <f t="shared" si="1"/>
        <v>2.0270270270270268</v>
      </c>
      <c r="P15" s="1141">
        <f t="shared" si="1"/>
        <v>2.7027027027027026</v>
      </c>
      <c r="Q15" s="1142">
        <f t="shared" si="1"/>
        <v>3.3783783783783781</v>
      </c>
      <c r="R15" s="1069"/>
      <c r="S15" s="12"/>
      <c r="T15" s="12"/>
      <c r="U15" s="12"/>
      <c r="V15" s="12"/>
      <c r="W15" s="12"/>
      <c r="X15" s="12"/>
      <c r="Y15" s="12"/>
      <c r="Z15" s="12"/>
      <c r="AA15" s="12"/>
    </row>
    <row r="16" spans="1:260" ht="21" customHeight="1">
      <c r="B16" s="145" t="s">
        <v>1293</v>
      </c>
      <c r="D16" s="622"/>
      <c r="E16" s="2873" t="s">
        <v>613</v>
      </c>
      <c r="F16" s="2874">
        <v>14.8</v>
      </c>
      <c r="G16" s="1152">
        <f t="shared" si="2"/>
        <v>93.089188000000007</v>
      </c>
      <c r="H16" s="1157">
        <f t="shared" si="0"/>
        <v>2.2522522522522523</v>
      </c>
      <c r="I16" s="1158">
        <f t="shared" si="0"/>
        <v>2.8153153153153152</v>
      </c>
      <c r="J16" s="1158">
        <f t="shared" si="0"/>
        <v>3.3783783783783781</v>
      </c>
      <c r="K16" s="1158">
        <f t="shared" si="0"/>
        <v>4.5045045045045047</v>
      </c>
      <c r="L16" s="1159">
        <f t="shared" si="0"/>
        <v>5.6306306306306304</v>
      </c>
      <c r="M16" s="1140">
        <f t="shared" si="1"/>
        <v>1.3513513513513513</v>
      </c>
      <c r="N16" s="1141">
        <f t="shared" si="1"/>
        <v>1.689189189189189</v>
      </c>
      <c r="O16" s="1141">
        <f t="shared" si="1"/>
        <v>2.0270270270270268</v>
      </c>
      <c r="P16" s="1141">
        <f t="shared" si="1"/>
        <v>2.7027027027027026</v>
      </c>
      <c r="Q16" s="1142">
        <f t="shared" si="1"/>
        <v>3.3783783783783781</v>
      </c>
      <c r="R16" s="1069"/>
      <c r="S16" s="12"/>
      <c r="T16" s="12"/>
      <c r="U16" s="12"/>
      <c r="V16" s="12"/>
      <c r="W16" s="12"/>
      <c r="X16" s="12"/>
      <c r="Y16" s="12"/>
      <c r="Z16" s="12"/>
      <c r="AA16" s="12"/>
    </row>
    <row r="17" spans="2:18" ht="21" customHeight="1">
      <c r="B17" s="145" t="s">
        <v>1153</v>
      </c>
      <c r="D17" s="622"/>
      <c r="E17" s="2873" t="s">
        <v>614</v>
      </c>
      <c r="F17" s="2874">
        <v>14.8</v>
      </c>
      <c r="G17" s="1152">
        <f t="shared" si="2"/>
        <v>93.089188000000007</v>
      </c>
      <c r="H17" s="1157">
        <f t="shared" si="0"/>
        <v>2.2522522522522523</v>
      </c>
      <c r="I17" s="1158">
        <f t="shared" si="0"/>
        <v>2.8153153153153152</v>
      </c>
      <c r="J17" s="1158">
        <f t="shared" si="0"/>
        <v>3.3783783783783781</v>
      </c>
      <c r="K17" s="1158">
        <f t="shared" si="0"/>
        <v>4.5045045045045047</v>
      </c>
      <c r="L17" s="1159">
        <f t="shared" si="0"/>
        <v>5.6306306306306304</v>
      </c>
      <c r="M17" s="1140">
        <f t="shared" si="1"/>
        <v>1.3513513513513513</v>
      </c>
      <c r="N17" s="1141">
        <f t="shared" si="1"/>
        <v>1.689189189189189</v>
      </c>
      <c r="O17" s="1141">
        <f t="shared" si="1"/>
        <v>2.0270270270270268</v>
      </c>
      <c r="P17" s="1141">
        <f t="shared" si="1"/>
        <v>2.7027027027027026</v>
      </c>
      <c r="Q17" s="1142">
        <f t="shared" si="1"/>
        <v>3.3783783783783781</v>
      </c>
      <c r="R17" s="1069"/>
    </row>
    <row r="18" spans="2:18" ht="21" customHeight="1">
      <c r="B18" s="145" t="s">
        <v>1308</v>
      </c>
      <c r="D18" s="622"/>
      <c r="E18" s="2873" t="s">
        <v>615</v>
      </c>
      <c r="F18" s="2874">
        <v>10.4</v>
      </c>
      <c r="G18" s="1152">
        <f t="shared" si="2"/>
        <v>65.414023999999998</v>
      </c>
      <c r="H18" s="1157">
        <f t="shared" si="0"/>
        <v>3.2051282051282053</v>
      </c>
      <c r="I18" s="1158">
        <f t="shared" si="0"/>
        <v>4.0064102564102564</v>
      </c>
      <c r="J18" s="1158">
        <f t="shared" si="0"/>
        <v>4.8076923076923075</v>
      </c>
      <c r="K18" s="1158">
        <f t="shared" si="0"/>
        <v>6.4102564102564106</v>
      </c>
      <c r="L18" s="1159">
        <f t="shared" si="0"/>
        <v>8.0128205128205128</v>
      </c>
      <c r="M18" s="1140">
        <f t="shared" si="1"/>
        <v>1.9230769230769229</v>
      </c>
      <c r="N18" s="1141">
        <f t="shared" si="1"/>
        <v>2.4038461538461537</v>
      </c>
      <c r="O18" s="1141">
        <f t="shared" si="1"/>
        <v>2.8846153846153846</v>
      </c>
      <c r="P18" s="1141">
        <f t="shared" si="1"/>
        <v>3.8461538461538458</v>
      </c>
      <c r="Q18" s="1142">
        <f t="shared" si="1"/>
        <v>4.8076923076923075</v>
      </c>
      <c r="R18" s="1069"/>
    </row>
    <row r="19" spans="2:18" ht="21" customHeight="1">
      <c r="B19" s="145" t="s">
        <v>1307</v>
      </c>
      <c r="D19" s="622"/>
      <c r="E19" s="2873" t="s">
        <v>616</v>
      </c>
      <c r="F19" s="2874">
        <v>3.6</v>
      </c>
      <c r="G19" s="1152">
        <f t="shared" si="2"/>
        <v>22.643316000000002</v>
      </c>
      <c r="H19" s="1157">
        <f t="shared" si="0"/>
        <v>9.2592592592592595</v>
      </c>
      <c r="I19" s="1158">
        <f t="shared" si="0"/>
        <v>11.574074074074073</v>
      </c>
      <c r="J19" s="1158">
        <f t="shared" si="0"/>
        <v>13.888888888888889</v>
      </c>
      <c r="K19" s="1158">
        <f t="shared" si="0"/>
        <v>18.518518518518519</v>
      </c>
      <c r="L19" s="1159">
        <f t="shared" si="0"/>
        <v>23.148148148148145</v>
      </c>
      <c r="M19" s="1140">
        <f t="shared" si="1"/>
        <v>5.5555555555555554</v>
      </c>
      <c r="N19" s="1141">
        <f t="shared" si="1"/>
        <v>6.9444444444444446</v>
      </c>
      <c r="O19" s="1141">
        <f t="shared" si="1"/>
        <v>8.3333333333333321</v>
      </c>
      <c r="P19" s="1141">
        <f t="shared" si="1"/>
        <v>11.111111111111111</v>
      </c>
      <c r="Q19" s="1142">
        <f t="shared" si="1"/>
        <v>13.888888888888889</v>
      </c>
      <c r="R19" s="1069"/>
    </row>
    <row r="20" spans="2:18" ht="21" customHeight="1">
      <c r="B20" s="145" t="s">
        <v>667</v>
      </c>
      <c r="D20" s="622"/>
      <c r="E20" s="2873"/>
      <c r="F20" s="2874"/>
      <c r="G20" s="1152" t="str">
        <f>IF($F20=0,"",F20*6.28981)</f>
        <v/>
      </c>
      <c r="H20" s="1157" t="str">
        <f t="shared" si="0"/>
        <v/>
      </c>
      <c r="I20" s="1158" t="str">
        <f t="shared" si="0"/>
        <v/>
      </c>
      <c r="J20" s="1158" t="str">
        <f t="shared" si="0"/>
        <v/>
      </c>
      <c r="K20" s="1158" t="str">
        <f t="shared" si="0"/>
        <v/>
      </c>
      <c r="L20" s="1159" t="str">
        <f t="shared" si="0"/>
        <v/>
      </c>
      <c r="M20" s="1140" t="str">
        <f t="shared" si="1"/>
        <v/>
      </c>
      <c r="N20" s="1141" t="str">
        <f t="shared" si="1"/>
        <v/>
      </c>
      <c r="O20" s="1141" t="str">
        <f t="shared" si="1"/>
        <v/>
      </c>
      <c r="P20" s="1141" t="str">
        <f t="shared" si="1"/>
        <v/>
      </c>
      <c r="Q20" s="1142" t="str">
        <f t="shared" si="1"/>
        <v/>
      </c>
      <c r="R20" s="1069"/>
    </row>
    <row r="21" spans="2:18" ht="21" customHeight="1">
      <c r="B21" s="145" t="s">
        <v>1291</v>
      </c>
      <c r="D21" s="622"/>
      <c r="E21" s="2875"/>
      <c r="F21" s="2876"/>
      <c r="G21" s="1153" t="str">
        <f>IF($F21=0,"",F21*6.28981)</f>
        <v/>
      </c>
      <c r="H21" s="1160" t="str">
        <f t="shared" si="0"/>
        <v/>
      </c>
      <c r="I21" s="1161" t="str">
        <f t="shared" si="0"/>
        <v/>
      </c>
      <c r="J21" s="1161" t="str">
        <f t="shared" si="0"/>
        <v/>
      </c>
      <c r="K21" s="1161" t="str">
        <f t="shared" si="0"/>
        <v/>
      </c>
      <c r="L21" s="1162" t="str">
        <f t="shared" si="0"/>
        <v/>
      </c>
      <c r="M21" s="1143" t="str">
        <f t="shared" si="1"/>
        <v/>
      </c>
      <c r="N21" s="1144" t="str">
        <f t="shared" si="1"/>
        <v/>
      </c>
      <c r="O21" s="1144" t="str">
        <f t="shared" si="1"/>
        <v/>
      </c>
      <c r="P21" s="1144" t="str">
        <f t="shared" si="1"/>
        <v/>
      </c>
      <c r="Q21" s="1145" t="str">
        <f t="shared" si="1"/>
        <v/>
      </c>
      <c r="R21" s="1069"/>
    </row>
    <row r="22" spans="2:18" ht="21" customHeight="1">
      <c r="B22" s="145" t="s">
        <v>1322</v>
      </c>
      <c r="D22" s="622"/>
      <c r="E22" s="1126" t="s">
        <v>617</v>
      </c>
      <c r="F22" s="1130" t="s">
        <v>618</v>
      </c>
      <c r="G22" s="1127"/>
      <c r="H22" s="1127"/>
      <c r="I22" s="1127"/>
      <c r="J22" s="1127"/>
      <c r="K22" s="1127"/>
      <c r="L22" s="1127"/>
      <c r="M22" s="1127"/>
      <c r="N22" s="1127"/>
      <c r="O22" s="1127"/>
      <c r="P22" s="1127"/>
      <c r="Q22" s="1127"/>
      <c r="R22" s="1069"/>
    </row>
    <row r="23" spans="2:18" ht="21" customHeight="1">
      <c r="B23" s="145" t="s">
        <v>1292</v>
      </c>
      <c r="D23" s="624"/>
      <c r="E23" s="1129"/>
      <c r="F23" s="1163" t="s">
        <v>619</v>
      </c>
      <c r="G23" s="1129"/>
      <c r="H23" s="1129"/>
      <c r="I23" s="1129"/>
      <c r="J23" s="1129"/>
      <c r="K23" s="1129"/>
      <c r="L23" s="1129"/>
      <c r="M23" s="1129"/>
      <c r="N23" s="1129"/>
      <c r="O23" s="1129"/>
      <c r="P23" s="1129"/>
      <c r="Q23" s="1129"/>
      <c r="R23" s="1071"/>
    </row>
    <row r="24" spans="2:18" ht="21" customHeight="1">
      <c r="B24" s="62" t="s">
        <v>238</v>
      </c>
      <c r="E24" s="12"/>
      <c r="F24" s="12"/>
      <c r="G24" s="12"/>
      <c r="H24" s="12"/>
      <c r="I24" s="12"/>
      <c r="J24" s="12"/>
      <c r="K24" s="12"/>
      <c r="L24" s="1098"/>
      <c r="O24" s="12"/>
      <c r="P24" s="12"/>
      <c r="Q24" s="12"/>
      <c r="R24" s="12"/>
    </row>
    <row r="25" spans="2:18" ht="21" customHeight="1">
      <c r="B25" s="62" t="s">
        <v>1652</v>
      </c>
      <c r="E25" s="12"/>
      <c r="F25" s="12"/>
      <c r="G25" s="12"/>
      <c r="R25" s="12"/>
    </row>
    <row r="26" spans="2:18" ht="21" customHeight="1">
      <c r="B26" s="62" t="s">
        <v>1653</v>
      </c>
      <c r="E26" s="12"/>
      <c r="F26" s="12"/>
      <c r="G26" s="12"/>
      <c r="H26" s="12"/>
      <c r="I26" s="12"/>
      <c r="J26" s="12"/>
      <c r="K26" s="12"/>
      <c r="L26" s="1098"/>
      <c r="M26" s="1100"/>
      <c r="N26" s="1099"/>
      <c r="P26" s="12"/>
      <c r="Q26" s="12"/>
      <c r="R26" s="12"/>
    </row>
    <row r="27" spans="2:18" ht="21" customHeight="1">
      <c r="B27" s="62" t="s">
        <v>40</v>
      </c>
      <c r="E27" s="12"/>
      <c r="F27" s="12"/>
      <c r="G27" s="12"/>
      <c r="H27" s="12"/>
      <c r="I27" s="12"/>
      <c r="J27" s="12"/>
      <c r="K27" s="12"/>
      <c r="L27" s="1098"/>
      <c r="M27" s="1098"/>
      <c r="N27" s="1098"/>
      <c r="P27" s="12"/>
      <c r="Q27" s="12"/>
      <c r="R27" s="12"/>
    </row>
    <row r="28" spans="2:18" ht="21" customHeight="1">
      <c r="B28" s="62" t="s">
        <v>238</v>
      </c>
      <c r="E28" s="12"/>
      <c r="F28" s="12"/>
      <c r="G28" s="12"/>
      <c r="H28" s="12"/>
      <c r="I28" s="12"/>
      <c r="J28" s="12"/>
      <c r="K28" s="12"/>
      <c r="P28" s="12"/>
      <c r="Q28" s="12"/>
      <c r="R28" s="12"/>
    </row>
    <row r="29" spans="2:18" ht="21" customHeight="1">
      <c r="B29" s="62" t="s">
        <v>39</v>
      </c>
      <c r="J29" s="12"/>
      <c r="K29" s="12"/>
      <c r="P29" s="12"/>
      <c r="Q29" s="12"/>
      <c r="R29" s="12"/>
    </row>
    <row r="30" spans="2:18" ht="21" customHeight="1">
      <c r="B30" s="62" t="s">
        <v>38</v>
      </c>
    </row>
    <row r="31" spans="2:18" ht="21" customHeight="1">
      <c r="B31" s="62"/>
    </row>
    <row r="32" spans="2:18" ht="21" customHeight="1">
      <c r="B32" s="62"/>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37">
      <c r="B49" s="565"/>
    </row>
    <row r="50" spans="2:37">
      <c r="B50" s="565"/>
    </row>
    <row r="51" spans="2:37">
      <c r="B51" s="565"/>
    </row>
    <row r="52" spans="2:37">
      <c r="B52" s="565"/>
    </row>
    <row r="53" spans="2:37">
      <c r="B53" s="565"/>
    </row>
    <row r="54" spans="2:37">
      <c r="B54" s="565"/>
    </row>
    <row r="55" spans="2:37">
      <c r="B55" s="565"/>
    </row>
    <row r="56" spans="2:37">
      <c r="B56" s="565"/>
    </row>
    <row r="57" spans="2:37">
      <c r="B57" s="565"/>
    </row>
    <row r="58" spans="2:37">
      <c r="B58" s="565"/>
    </row>
    <row r="59" spans="2:37">
      <c r="B59" s="565"/>
    </row>
    <row r="60" spans="2:37">
      <c r="B60" s="565"/>
    </row>
    <row r="61" spans="2:37">
      <c r="B61" s="565"/>
    </row>
    <row r="62" spans="2:37">
      <c r="B62" s="565"/>
      <c r="T62" s="5"/>
      <c r="U62" s="5"/>
      <c r="V62" s="5"/>
      <c r="W62" s="5"/>
      <c r="X62" s="5"/>
      <c r="Y62" s="5"/>
      <c r="Z62" s="5"/>
      <c r="AA62" s="5"/>
      <c r="AB62" s="5"/>
      <c r="AC62" s="5"/>
      <c r="AD62" s="5"/>
      <c r="AE62" s="5"/>
      <c r="AF62" s="5"/>
      <c r="AG62" s="5"/>
      <c r="AH62" s="5"/>
      <c r="AI62" s="5"/>
      <c r="AJ62" s="5"/>
      <c r="AK62" s="5"/>
    </row>
    <row r="63" spans="2:37">
      <c r="B63" s="565"/>
      <c r="T63" s="5"/>
      <c r="U63" s="5"/>
      <c r="V63" s="5"/>
      <c r="W63" s="5"/>
      <c r="X63" s="5"/>
      <c r="Y63" s="5"/>
      <c r="Z63" s="5"/>
      <c r="AA63" s="5"/>
      <c r="AB63" s="5"/>
      <c r="AC63" s="5"/>
      <c r="AD63" s="5"/>
      <c r="AE63" s="5"/>
      <c r="AF63" s="5"/>
      <c r="AG63" s="5"/>
      <c r="AH63" s="5"/>
      <c r="AI63" s="5"/>
      <c r="AJ63" s="5"/>
      <c r="AK63" s="5"/>
    </row>
    <row r="64" spans="2:37">
      <c r="B64" s="565"/>
    </row>
    <row r="65" spans="2:2">
      <c r="B65" s="565"/>
    </row>
    <row r="66" spans="2:2">
      <c r="B66" s="565"/>
    </row>
    <row r="67" spans="2:2">
      <c r="B67" s="565"/>
    </row>
    <row r="68" spans="2:2">
      <c r="B68" s="565"/>
    </row>
    <row r="69" spans="2:2">
      <c r="B69" s="565"/>
    </row>
    <row r="70" spans="2:2">
      <c r="B70" s="565"/>
    </row>
    <row r="71" spans="2:2">
      <c r="B71" s="565"/>
    </row>
    <row r="100" spans="27:47">
      <c r="AA100" s="566" t="s">
        <v>550</v>
      </c>
      <c r="AB100" s="12"/>
      <c r="AC100" s="12"/>
      <c r="AD100" s="12"/>
      <c r="AE100" s="12"/>
      <c r="AF100" s="12"/>
      <c r="AG100" s="12"/>
      <c r="AH100" s="12"/>
      <c r="AI100" s="12"/>
    </row>
    <row r="101" spans="27:47">
      <c r="AA101" s="1073" t="s">
        <v>575</v>
      </c>
      <c r="AB101" s="1056"/>
      <c r="AC101" s="1057"/>
      <c r="AD101" s="1058"/>
      <c r="AE101" s="1058"/>
      <c r="AF101" s="1058"/>
      <c r="AG101" s="1058"/>
      <c r="AH101" s="1058"/>
      <c r="AI101" s="1058"/>
      <c r="AJ101" s="1058"/>
      <c r="AK101" s="1058"/>
      <c r="AL101" s="1058"/>
      <c r="AM101" s="1074" t="s">
        <v>575</v>
      </c>
      <c r="AN101" s="1058"/>
      <c r="AO101" s="1058"/>
      <c r="AP101" s="1058"/>
      <c r="AQ101" s="1058"/>
      <c r="AR101" s="1058"/>
      <c r="AS101" s="1058"/>
      <c r="AT101" s="1058"/>
      <c r="AU101" s="1059"/>
    </row>
    <row r="102" spans="27:47" ht="13.15">
      <c r="AA102" s="1062"/>
      <c r="AB102" s="1076"/>
      <c r="AC102" s="1060"/>
      <c r="AD102" s="1060"/>
      <c r="AE102" s="1060"/>
      <c r="AF102" s="1060"/>
      <c r="AG102" s="1060"/>
      <c r="AH102" s="1060"/>
      <c r="AI102" s="1060"/>
      <c r="AJ102" s="1060"/>
      <c r="AK102" s="1060"/>
      <c r="AL102" s="1060"/>
      <c r="AM102" s="1060"/>
      <c r="AN102" s="3208"/>
      <c r="AO102" s="3209"/>
      <c r="AP102" s="1060"/>
      <c r="AQ102" s="1060"/>
      <c r="AR102" s="1060"/>
      <c r="AS102" s="1060"/>
      <c r="AT102" s="1060"/>
      <c r="AU102" s="1061"/>
    </row>
    <row r="103" spans="27:47">
      <c r="AA103" s="1085"/>
      <c r="AB103" s="1086"/>
      <c r="AC103" s="1087"/>
      <c r="AD103" s="1087"/>
      <c r="AE103" s="1087"/>
      <c r="AF103" s="1087"/>
      <c r="AG103" s="1087"/>
      <c r="AH103" s="1087"/>
      <c r="AI103" s="1087"/>
      <c r="AJ103" s="1087"/>
      <c r="AK103" s="1087"/>
      <c r="AL103" s="1087"/>
      <c r="AM103" s="1087"/>
      <c r="AN103" s="1082"/>
      <c r="AO103" s="1079"/>
      <c r="AP103" s="1087"/>
      <c r="AQ103" s="1087"/>
      <c r="AR103" s="1087"/>
      <c r="AS103" s="1087"/>
      <c r="AT103" s="1087"/>
      <c r="AU103" s="1088"/>
    </row>
    <row r="104" spans="27:47">
      <c r="AA104" s="1085"/>
      <c r="AB104" s="1086"/>
      <c r="AC104" s="1087"/>
      <c r="AD104" s="1087"/>
      <c r="AE104" s="1087"/>
      <c r="AF104" s="1087"/>
      <c r="AG104" s="1087"/>
      <c r="AH104" s="1087"/>
      <c r="AI104" s="1087"/>
      <c r="AJ104" s="1087"/>
      <c r="AK104" s="1087"/>
      <c r="AL104" s="1087"/>
      <c r="AM104" s="1087"/>
      <c r="AN104" s="1080"/>
      <c r="AO104" s="1077"/>
      <c r="AP104" s="1087"/>
      <c r="AQ104" s="1087"/>
      <c r="AR104" s="1087"/>
      <c r="AS104" s="1087"/>
      <c r="AT104" s="1087"/>
      <c r="AU104" s="1088"/>
    </row>
    <row r="105" spans="27:47">
      <c r="AA105" s="1085"/>
      <c r="AB105" s="1086"/>
      <c r="AC105" s="1087"/>
      <c r="AD105" s="1087"/>
      <c r="AE105" s="1087"/>
      <c r="AF105" s="1087"/>
      <c r="AG105" s="1087"/>
      <c r="AH105" s="1087"/>
      <c r="AI105" s="1087"/>
      <c r="AJ105" s="1087"/>
      <c r="AK105" s="1087"/>
      <c r="AL105" s="1087"/>
      <c r="AM105" s="1087"/>
      <c r="AN105" s="1081"/>
      <c r="AO105" s="1078"/>
      <c r="AP105" s="1087"/>
      <c r="AQ105" s="1087"/>
      <c r="AR105" s="1087"/>
      <c r="AS105" s="1087"/>
      <c r="AT105" s="1087"/>
      <c r="AU105" s="1088"/>
    </row>
    <row r="106" spans="27:47">
      <c r="AA106" s="1085"/>
      <c r="AB106" s="1086"/>
      <c r="AC106" s="1087"/>
      <c r="AD106" s="1087"/>
      <c r="AE106" s="1087"/>
      <c r="AF106" s="1087"/>
      <c r="AG106" s="1087"/>
      <c r="AH106" s="1087"/>
      <c r="AI106" s="1087"/>
      <c r="AJ106" s="1087"/>
      <c r="AK106" s="1087"/>
      <c r="AL106" s="1087"/>
      <c r="AM106" s="1087"/>
      <c r="AN106" s="1081"/>
      <c r="AO106" s="1078"/>
      <c r="AP106" s="1087"/>
      <c r="AQ106" s="1087"/>
      <c r="AR106" s="1087"/>
      <c r="AS106" s="1087"/>
      <c r="AT106" s="1087"/>
      <c r="AU106" s="1088"/>
    </row>
    <row r="107" spans="27:47">
      <c r="AA107" s="1085"/>
      <c r="AB107" s="1086"/>
      <c r="AC107" s="1087"/>
      <c r="AD107" s="1087"/>
      <c r="AE107" s="1087"/>
      <c r="AF107" s="1087"/>
      <c r="AG107" s="1087"/>
      <c r="AH107" s="1087"/>
      <c r="AI107" s="1087"/>
      <c r="AJ107" s="1087"/>
      <c r="AK107" s="1087"/>
      <c r="AL107" s="1087"/>
      <c r="AM107" s="1087"/>
      <c r="AN107" s="1081"/>
      <c r="AO107" s="1078"/>
      <c r="AP107" s="1087"/>
      <c r="AQ107" s="1087"/>
      <c r="AR107" s="1087"/>
      <c r="AS107" s="1087"/>
      <c r="AT107" s="1087"/>
      <c r="AU107" s="1088"/>
    </row>
    <row r="108" spans="27:47">
      <c r="AA108" s="1085"/>
      <c r="AB108" s="1086"/>
      <c r="AC108" s="1087"/>
      <c r="AD108" s="1087"/>
      <c r="AE108" s="1087"/>
      <c r="AF108" s="1087"/>
      <c r="AG108" s="1087"/>
      <c r="AH108" s="1087"/>
      <c r="AI108" s="1087"/>
      <c r="AJ108" s="1087"/>
      <c r="AK108" s="1087"/>
      <c r="AL108" s="1087"/>
      <c r="AM108" s="1087"/>
      <c r="AN108" s="1081"/>
      <c r="AO108" s="1079"/>
      <c r="AP108" s="1087"/>
      <c r="AQ108" s="1087"/>
      <c r="AR108" s="1087"/>
      <c r="AS108" s="1087"/>
      <c r="AT108" s="1087"/>
      <c r="AU108" s="1088"/>
    </row>
    <row r="109" spans="27:47">
      <c r="AA109" s="1085"/>
      <c r="AB109" s="1086"/>
      <c r="AC109" s="1087"/>
      <c r="AD109" s="1087"/>
      <c r="AE109" s="1087"/>
      <c r="AF109" s="1087"/>
      <c r="AG109" s="1087"/>
      <c r="AH109" s="1087"/>
      <c r="AI109" s="1087"/>
      <c r="AJ109" s="1087"/>
      <c r="AK109" s="1087"/>
      <c r="AL109" s="1087"/>
      <c r="AM109" s="1087"/>
      <c r="AN109" s="1089"/>
      <c r="AO109" s="1090"/>
      <c r="AP109" s="1087"/>
      <c r="AQ109" s="1087"/>
      <c r="AR109" s="1087"/>
      <c r="AS109" s="1087"/>
      <c r="AT109" s="1087"/>
      <c r="AU109" s="1088"/>
    </row>
    <row r="110" spans="27:47">
      <c r="AA110" s="1095"/>
      <c r="AB110" s="399"/>
      <c r="AC110" s="399"/>
      <c r="AD110" s="399"/>
      <c r="AE110" s="399"/>
      <c r="AF110" s="399"/>
      <c r="AG110" s="399"/>
      <c r="AH110" s="399"/>
      <c r="AI110" s="399"/>
      <c r="AJ110" s="538"/>
      <c r="AK110" s="538"/>
      <c r="AL110" s="538"/>
      <c r="AM110" s="538"/>
      <c r="AN110" s="538"/>
      <c r="AO110" s="538"/>
      <c r="AP110" s="538"/>
      <c r="AQ110" s="538"/>
      <c r="AR110" s="538"/>
      <c r="AS110" s="538"/>
      <c r="AT110" s="538"/>
      <c r="AU110" s="537"/>
    </row>
  </sheetData>
  <mergeCells count="7">
    <mergeCell ref="B2:B3"/>
    <mergeCell ref="AN102:AO102"/>
    <mergeCell ref="E6:E8"/>
    <mergeCell ref="H8:L8"/>
    <mergeCell ref="M8:Q8"/>
    <mergeCell ref="F6:F7"/>
    <mergeCell ref="G6:G7"/>
  </mergeCells>
  <conditionalFormatting sqref="G6 G8:G21">
    <cfRule type="expression" dxfId="82" priority="1" stopIfTrue="1">
      <formula>$F$5=1</formula>
    </cfRule>
  </conditionalFormatting>
  <hyperlinks>
    <hyperlink ref="B2:B3" location="Home!A1" display="HOME" xr:uid="{9187120A-3113-46F9-839C-724987C8BF1D}"/>
    <hyperlink ref="AA100" location="'Volume Interpolation'!A1" display="Go to Up" xr:uid="{3B96ABBB-18D9-42F3-ADB9-4FDF2A1260D1}"/>
    <hyperlink ref="B5" location="'Documents Manager'!A1" display="DOCUMENTS MANAGER" xr:uid="{D578376F-BA64-4AA7-B3B0-35FCC641C75B}"/>
    <hyperlink ref="B30" location="Disclaimer!A1" display="Disclaimer" xr:uid="{8DA3503A-D0F1-4BF9-AF58-88114D9E8444}"/>
    <hyperlink ref="B29" location="Help!A1" display="Help" xr:uid="{ED8ABB8A-A18B-4692-8C83-B4ABF8A7D994}"/>
    <hyperlink ref="B27" location="'Source - Links'!A1" display="SOURCE / LINKS" xr:uid="{95E28F8B-7AA9-48B8-9846-E56BAA621588}"/>
    <hyperlink ref="B6" location="'ASTM Table Series'!A1" display="ASTM TABLES" xr:uid="{2956008F-5D4F-4D88-A683-91161C529B81}"/>
    <hyperlink ref="B7" location="'ASTM Converter (Tab.1)'!A1" display="ASTM - CONVERTERS" xr:uid="{6FC8A302-652A-4706-AB80-B01CEF8C269F}"/>
    <hyperlink ref="B8" location="'ASTM Calculator V.W.'!A1" display="ASTM - CALCULATORS" xr:uid="{5A058B0F-44C7-49BC-B52F-0779DB6D230D}"/>
    <hyperlink ref="B9" location="'Initial&amp;Max. Loading Rate'!A1" display="CARGO - CALCULATORS" xr:uid="{2EC23DFF-3B00-4A8C-B35A-7C4ACC961D45}"/>
    <hyperlink ref="B12" location="'ETC Cargo operation'!A1" display="• ETC Cargo operation" xr:uid="{DF2593AC-AA41-4CFA-BC7B-6B04A7BD48B5}"/>
    <hyperlink ref="B14" location="'Volume Interpolation'!A1" display="• Volume Interpolation" xr:uid="{06EFF8DA-BB5B-43DF-B72F-AD888954922C}"/>
    <hyperlink ref="B11" location="'One Tank Filling Rate'!A1" display="• One Tank Filling Rate" xr:uid="{1D96B844-5D1D-4269-A267-18479F782ED0}"/>
    <hyperlink ref="B10" location="'Initial&amp;Max. Loading Rate'!A1" display="• Initial &amp; Max. Loading Rate" xr:uid="{BC734619-38D5-4E8C-B271-ED0288082532}"/>
    <hyperlink ref="B13" location="'Average Gravity-Temp'!A1" display="• Calculator - Average Gravity/Temp" xr:uid="{1325282C-ECD0-43EE-8967-12CF6D98EB95}"/>
    <hyperlink ref="B15" location="'Cargo Lines Volume'!A1" display="• Volume of Cargo Lines Calculator" xr:uid="{871C3C6F-8729-499B-98E7-1875D1A07703}"/>
    <hyperlink ref="B20" location="'Pipelines Capacities'!A1" display="• Pipelines Capacities" xr:uid="{BCC91AC4-2D07-422C-88E8-45AB66905124}"/>
    <hyperlink ref="B17" location="'Blended API'!A1" display="• Blended API" xr:uid="{9DB9D54A-9F24-4CBC-824E-1148992702F4}"/>
    <hyperlink ref="B18:B19" location="'Blended Cargo Prediction'!A1" display="• Blended Cargo Prediction" xr:uid="{63AB4005-0758-4188-A99B-80D22FFEC7CD}"/>
    <hyperlink ref="B18" location="'Commingle-LOADING'!A1" display="• Commingle-LOADING" xr:uid="{B87D0880-BF49-4336-AC87-8A35DF6FA40A}"/>
    <hyperlink ref="B19" location="'Commingle-LOADING-DISCHARGING'!A1" display="• Commingle-LOADING-DISCHARGING" xr:uid="{C9F9A39C-9C91-449C-A9DF-4E0CA2EE5E4E}"/>
    <hyperlink ref="B21" location="'IG Pressure Change'!A1" display="• Pipelines Capacities Calculator" xr:uid="{FF418EA6-CFB3-43A6-A72A-884F63E276D9}"/>
    <hyperlink ref="B16" location="'Wedge Volume Calculator'!A1" display="• Volume Calculator - Wedge formula" xr:uid="{9BA69D78-07C4-4E14-B289-FBDBC196F8E0}"/>
    <hyperlink ref="B23" location="'Converter Pressure '!A1" display="• Units Converter Pressure" xr:uid="{A45CBDCE-5487-4D63-81A4-942DAA2DF5C6}"/>
    <hyperlink ref="B22" location="'IG Pressure Change (2)'!A1" display="• IG Pressure Change-2" xr:uid="{ABED9687-FF90-4236-95E6-92A44CE7E345}"/>
    <hyperlink ref="B25" location="'Guidelines - Definitions'!A1" display="GUIDELINES" xr:uid="{115F103B-1C61-44EE-A178-B32584996FD9}"/>
    <hyperlink ref="B26" location="'Guidelines - Bottom Lines'!A1" display="GUIDELINES - CARGO" xr:uid="{9B67EE76-12F9-488A-8AFD-1945529246E4}"/>
  </hyperlinks>
  <pageMargins left="0.75" right="0.75" top="1" bottom="1" header="0.5" footer="0.5"/>
  <pageSetup paperSize="9"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9201" r:id="rId4" name="Option Button 1">
              <controlPr defaultSize="0" autoFill="0" autoLine="0" autoPict="0">
                <anchor moveWithCells="1">
                  <from>
                    <xdr:col>5</xdr:col>
                    <xdr:colOff>138113</xdr:colOff>
                    <xdr:row>3</xdr:row>
                    <xdr:rowOff>252413</xdr:rowOff>
                  </from>
                  <to>
                    <xdr:col>6</xdr:col>
                    <xdr:colOff>61913</xdr:colOff>
                    <xdr:row>5</xdr:row>
                    <xdr:rowOff>23813</xdr:rowOff>
                  </to>
                </anchor>
              </controlPr>
            </control>
          </mc:Choice>
        </mc:AlternateContent>
        <mc:AlternateContent xmlns:mc="http://schemas.openxmlformats.org/markup-compatibility/2006">
          <mc:Choice Requires="x14">
            <control shapeId="179202" r:id="rId5" name="Option Button 2">
              <controlPr defaultSize="0" autoFill="0" autoLine="0" autoPict="0">
                <anchor moveWithCells="1">
                  <from>
                    <xdr:col>6</xdr:col>
                    <xdr:colOff>66675</xdr:colOff>
                    <xdr:row>3</xdr:row>
                    <xdr:rowOff>257175</xdr:rowOff>
                  </from>
                  <to>
                    <xdr:col>7</xdr:col>
                    <xdr:colOff>52388</xdr:colOff>
                    <xdr:row>5</xdr:row>
                    <xdr:rowOff>14288</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08E5-948B-4F71-9459-4E7D8FF3EE25}">
  <sheetPr>
    <tabColor rgb="FFFFC000"/>
  </sheetPr>
  <dimension ref="A1:IZ114"/>
  <sheetViews>
    <sheetView showGridLines="0" showRowColHeaders="0" topLeftCell="B1" zoomScaleNormal="100" workbookViewId="0">
      <selection activeCell="B5" sqref="B5"/>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22" style="514" customWidth="1"/>
    <col min="6" max="6" width="17.796875" style="514" customWidth="1"/>
    <col min="7" max="7" width="11.19921875" style="514" customWidth="1"/>
    <col min="8" max="8" width="10.53125" style="514" bestFit="1" customWidth="1"/>
    <col min="9" max="9" width="11" style="514" customWidth="1"/>
    <col min="10" max="10" width="3.6640625" style="514" customWidth="1"/>
    <col min="11" max="11" width="22.6640625" style="514" customWidth="1"/>
    <col min="12" max="12" width="13.6640625" style="514" customWidth="1"/>
    <col min="13" max="13" width="11.86328125" style="514" customWidth="1"/>
    <col min="14" max="14" width="12.86328125" style="514" customWidth="1"/>
    <col min="15" max="18" width="9.1328125" style="514" customWidth="1"/>
    <col min="19" max="19" width="11.19921875" style="514" bestFit="1" customWidth="1"/>
    <col min="20" max="26" width="9.1328125" style="514" customWidth="1"/>
    <col min="27" max="27" width="3.796875" style="514" customWidth="1"/>
    <col min="28" max="28" width="10.1328125" style="514" bestFit="1" customWidth="1"/>
    <col min="29" max="29" width="9.1328125" style="514" customWidth="1"/>
    <col min="30" max="30" width="14.796875" style="514" customWidth="1"/>
    <col min="31" max="31" width="10.6640625" style="514" customWidth="1"/>
    <col min="32" max="32" width="19.46484375" style="514" bestFit="1" customWidth="1"/>
    <col min="33" max="41" width="9.1328125" style="514" customWidth="1"/>
    <col min="42" max="16384" width="9.1328125" style="514"/>
  </cols>
  <sheetData>
    <row r="1" spans="1:260" ht="12.75" customHeight="1">
      <c r="B1" s="612"/>
    </row>
    <row r="2" spans="1:260" s="618" customFormat="1" ht="21" customHeight="1">
      <c r="A2" s="514"/>
      <c r="B2" s="3210" t="s">
        <v>0</v>
      </c>
      <c r="C2" s="514"/>
      <c r="D2" s="613" t="s">
        <v>564</v>
      </c>
      <c r="E2" s="614"/>
      <c r="F2" s="615"/>
      <c r="G2" s="615"/>
      <c r="H2" s="615"/>
      <c r="I2" s="615"/>
      <c r="J2" s="617"/>
      <c r="K2" s="615"/>
      <c r="L2" s="615"/>
      <c r="M2" s="615"/>
      <c r="N2" s="616"/>
      <c r="O2" s="615"/>
      <c r="P2" s="615"/>
      <c r="Q2" s="615"/>
      <c r="R2" s="617"/>
      <c r="S2" s="617"/>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c r="IX2" s="615"/>
      <c r="IY2" s="615"/>
      <c r="IZ2" s="615"/>
    </row>
    <row r="3" spans="1:260" ht="21" customHeight="1">
      <c r="B3" s="3210"/>
      <c r="D3" s="619"/>
      <c r="E3" s="619"/>
      <c r="F3" s="619"/>
      <c r="G3" s="5"/>
      <c r="H3" s="5"/>
      <c r="I3" s="5"/>
      <c r="J3" s="5"/>
      <c r="K3" s="5"/>
      <c r="L3" s="5"/>
      <c r="M3" s="5"/>
      <c r="N3" s="5"/>
    </row>
    <row r="4" spans="1:260" ht="21" customHeight="1">
      <c r="B4" s="63"/>
      <c r="D4" s="644"/>
      <c r="E4" s="645"/>
      <c r="F4" s="646"/>
      <c r="G4" s="647"/>
      <c r="H4" s="647"/>
      <c r="I4" s="647"/>
      <c r="J4" s="1013"/>
    </row>
    <row r="5" spans="1:260" ht="21" customHeight="1">
      <c r="B5" s="62" t="s">
        <v>1</v>
      </c>
      <c r="D5" s="622"/>
      <c r="E5" s="342" t="s">
        <v>694</v>
      </c>
      <c r="F5" s="2877">
        <v>39514.333333333336</v>
      </c>
      <c r="G5" s="342"/>
      <c r="H5" s="892"/>
      <c r="I5" s="892"/>
      <c r="J5" s="1013"/>
    </row>
    <row r="6" spans="1:260" ht="21" customHeight="1">
      <c r="B6" s="397" t="s">
        <v>452</v>
      </c>
      <c r="D6" s="622"/>
      <c r="E6" s="342" t="s">
        <v>565</v>
      </c>
      <c r="F6" s="2878">
        <v>100000</v>
      </c>
      <c r="G6" s="2881" t="s">
        <v>570</v>
      </c>
      <c r="H6" s="1043">
        <f>IF(G6=" Bbls",F6/6.28981,F6*6.28981)</f>
        <v>628981</v>
      </c>
      <c r="I6" s="342" t="str">
        <f>IF(G6=" Bbls","Cub.m.","Bbls")</f>
        <v>Bbls</v>
      </c>
      <c r="J6" s="650"/>
      <c r="K6" s="651"/>
    </row>
    <row r="7" spans="1:260" ht="21" customHeight="1">
      <c r="B7" s="62" t="s">
        <v>239</v>
      </c>
      <c r="D7" s="622"/>
      <c r="E7" s="342" t="s">
        <v>566</v>
      </c>
      <c r="F7" s="2879">
        <v>1900</v>
      </c>
      <c r="G7" s="2881" t="s">
        <v>569</v>
      </c>
      <c r="H7" s="1043">
        <f>IF(G7=" Bbls/hr",F7/6.28981,F7*6.28981)</f>
        <v>11950.639000000001</v>
      </c>
      <c r="I7" s="342" t="str">
        <f>IF(G7=" Bbls/hr","Cub.m./hr","Bbls/hr")</f>
        <v>Bbls/hr</v>
      </c>
      <c r="J7" s="653"/>
    </row>
    <row r="8" spans="1:260" ht="21" customHeight="1">
      <c r="B8" s="62" t="s">
        <v>1263</v>
      </c>
      <c r="D8" s="622"/>
      <c r="E8" s="342" t="s">
        <v>689</v>
      </c>
      <c r="F8" s="1259">
        <f>ROUND(F6/F7,1)</f>
        <v>52.6</v>
      </c>
      <c r="G8" s="1261" t="s">
        <v>686</v>
      </c>
      <c r="H8" s="892"/>
      <c r="I8" s="892"/>
      <c r="J8" s="653"/>
    </row>
    <row r="9" spans="1:260" ht="21" customHeight="1">
      <c r="B9" s="977" t="s">
        <v>557</v>
      </c>
      <c r="D9" s="622"/>
      <c r="E9" s="675" t="s">
        <v>690</v>
      </c>
      <c r="F9" s="2880">
        <v>3</v>
      </c>
      <c r="G9" s="1261" t="s">
        <v>686</v>
      </c>
      <c r="H9" s="892"/>
      <c r="I9" s="892"/>
      <c r="J9" s="657"/>
      <c r="K9" s="654"/>
      <c r="L9" s="654"/>
      <c r="M9" s="789"/>
    </row>
    <row r="10" spans="1:260" ht="21" customHeight="1">
      <c r="B10" s="145" t="s">
        <v>680</v>
      </c>
      <c r="D10" s="622"/>
      <c r="E10" s="675" t="s">
        <v>691</v>
      </c>
      <c r="F10" s="2880">
        <v>3</v>
      </c>
      <c r="G10" s="1261" t="s">
        <v>686</v>
      </c>
      <c r="H10" s="892"/>
      <c r="I10" s="892"/>
      <c r="J10" s="657"/>
      <c r="K10" s="803"/>
      <c r="L10" s="803"/>
      <c r="M10" s="803"/>
    </row>
    <row r="11" spans="1:260" ht="21" customHeight="1">
      <c r="B11" s="145" t="s">
        <v>621</v>
      </c>
      <c r="D11" s="622"/>
      <c r="E11" s="675" t="s">
        <v>693</v>
      </c>
      <c r="F11" s="1260">
        <f>SUM(F8:F10)</f>
        <v>58.6</v>
      </c>
      <c r="G11" s="1261" t="s">
        <v>686</v>
      </c>
      <c r="H11" s="892"/>
      <c r="I11" s="892"/>
      <c r="J11" s="657"/>
      <c r="K11" s="803"/>
      <c r="L11" s="803"/>
      <c r="M11" s="803"/>
    </row>
    <row r="12" spans="1:260" ht="21" customHeight="1">
      <c r="B12" s="147" t="s">
        <v>562</v>
      </c>
      <c r="D12" s="622"/>
      <c r="E12" s="342" t="s">
        <v>692</v>
      </c>
      <c r="F12" s="1044" t="str">
        <f>CONCATENATE(TRUNC(F11),":",ROUND(MOD(F11,1)*60,0))</f>
        <v>58:36</v>
      </c>
      <c r="G12" s="342" t="s">
        <v>687</v>
      </c>
      <c r="H12" s="892"/>
      <c r="I12" s="892"/>
      <c r="J12" s="657"/>
      <c r="K12" s="654"/>
      <c r="L12" s="803"/>
      <c r="M12" s="743"/>
    </row>
    <row r="13" spans="1:260" ht="21" customHeight="1">
      <c r="B13" s="145" t="s">
        <v>563</v>
      </c>
      <c r="D13" s="622"/>
      <c r="E13" s="342" t="s">
        <v>693</v>
      </c>
      <c r="F13" s="1044" t="str">
        <f>CONCATENATE(TRUNC((F11)/24),"d. ",INT(MOD((F11)/24,1)*24),":",ROUND(MOD(F11,1)*60,0))</f>
        <v>2d. 10:36</v>
      </c>
      <c r="G13" s="342" t="s">
        <v>688</v>
      </c>
      <c r="H13" s="892"/>
      <c r="I13" s="892"/>
      <c r="J13" s="622"/>
      <c r="K13" s="654"/>
      <c r="M13" s="937"/>
    </row>
    <row r="14" spans="1:260" ht="21" customHeight="1">
      <c r="B14" s="145" t="s">
        <v>589</v>
      </c>
      <c r="D14" s="622"/>
      <c r="E14" s="1262" t="s">
        <v>695</v>
      </c>
      <c r="F14" s="1263">
        <f>F5+(F11)/24</f>
        <v>39516.775000000001</v>
      </c>
      <c r="G14" s="892"/>
      <c r="H14" s="892"/>
      <c r="I14" s="656"/>
      <c r="J14" s="622"/>
    </row>
    <row r="15" spans="1:260" ht="21" customHeight="1">
      <c r="B15" s="145" t="s">
        <v>1290</v>
      </c>
      <c r="D15" s="622"/>
      <c r="E15" s="892"/>
      <c r="F15" s="892"/>
      <c r="G15" s="892"/>
      <c r="H15" s="892"/>
      <c r="I15" s="623"/>
      <c r="J15" s="622"/>
      <c r="K15" s="654"/>
      <c r="M15" s="937"/>
    </row>
    <row r="16" spans="1:260" ht="21" customHeight="1">
      <c r="B16" s="145" t="s">
        <v>1293</v>
      </c>
      <c r="D16" s="876"/>
      <c r="E16" s="892"/>
      <c r="F16" s="1045"/>
      <c r="G16" s="892"/>
      <c r="H16" s="892"/>
      <c r="I16" s="878"/>
      <c r="J16" s="622"/>
    </row>
    <row r="17" spans="2:14" ht="21" customHeight="1">
      <c r="B17" s="145" t="s">
        <v>1153</v>
      </c>
      <c r="D17" s="622"/>
      <c r="E17" s="892"/>
      <c r="F17" s="1046"/>
      <c r="G17" s="892"/>
      <c r="H17" s="892"/>
      <c r="I17" s="878"/>
      <c r="J17" s="622"/>
    </row>
    <row r="18" spans="2:14" ht="21" customHeight="1">
      <c r="B18" s="145" t="s">
        <v>1308</v>
      </c>
      <c r="D18" s="622"/>
      <c r="E18" s="892"/>
      <c r="F18" s="892"/>
      <c r="G18" s="892"/>
      <c r="H18" s="892"/>
      <c r="I18" s="878"/>
      <c r="K18" s="803"/>
      <c r="L18" s="803"/>
      <c r="M18" s="803"/>
    </row>
    <row r="19" spans="2:14" ht="21" customHeight="1">
      <c r="B19" s="145" t="s">
        <v>1307</v>
      </c>
      <c r="D19" s="622"/>
      <c r="E19" s="892"/>
      <c r="F19" s="892"/>
      <c r="G19" s="892"/>
      <c r="H19" s="892"/>
      <c r="I19" s="878"/>
      <c r="K19" s="803"/>
      <c r="L19" s="803"/>
      <c r="M19" s="803"/>
    </row>
    <row r="20" spans="2:14" ht="21" customHeight="1">
      <c r="B20" s="145" t="s">
        <v>667</v>
      </c>
      <c r="D20" s="622"/>
      <c r="E20" s="892"/>
      <c r="F20" s="892"/>
      <c r="G20" s="892"/>
      <c r="H20" s="892"/>
      <c r="I20" s="878"/>
      <c r="K20" s="803"/>
      <c r="L20" s="803"/>
      <c r="M20" s="803"/>
    </row>
    <row r="21" spans="2:14" ht="21" customHeight="1">
      <c r="B21" s="145" t="s">
        <v>1291</v>
      </c>
      <c r="D21" s="622"/>
      <c r="E21" s="892"/>
      <c r="F21" s="892"/>
      <c r="G21" s="892"/>
      <c r="H21" s="892"/>
      <c r="I21" s="883"/>
      <c r="J21" s="622"/>
      <c r="M21" s="803"/>
    </row>
    <row r="22" spans="2:14" ht="21" customHeight="1">
      <c r="B22" s="145" t="s">
        <v>1322</v>
      </c>
      <c r="D22" s="624"/>
      <c r="E22" s="625"/>
      <c r="F22" s="625"/>
      <c r="G22" s="625"/>
      <c r="H22" s="625"/>
      <c r="I22" s="630"/>
      <c r="K22" s="803"/>
      <c r="L22" s="803"/>
      <c r="M22" s="803"/>
    </row>
    <row r="23" spans="2:14" ht="21" customHeight="1">
      <c r="B23" s="145" t="s">
        <v>1292</v>
      </c>
      <c r="D23" s="620"/>
      <c r="E23" s="620"/>
      <c r="F23" s="620"/>
      <c r="G23" s="620"/>
      <c r="H23" s="620"/>
      <c r="I23" s="620"/>
      <c r="J23" s="885"/>
      <c r="K23" s="885"/>
      <c r="L23" s="885"/>
      <c r="M23" s="885"/>
      <c r="N23" s="885"/>
    </row>
    <row r="24" spans="2:14" ht="21" customHeight="1">
      <c r="B24" s="62" t="s">
        <v>238</v>
      </c>
      <c r="J24" s="675"/>
      <c r="K24" s="675"/>
      <c r="L24" s="675"/>
      <c r="M24" s="675"/>
      <c r="N24" s="675"/>
    </row>
    <row r="25" spans="2:14" ht="21" customHeight="1">
      <c r="B25" s="62" t="s">
        <v>1652</v>
      </c>
    </row>
    <row r="26" spans="2:14" ht="21" customHeight="1">
      <c r="B26" s="62" t="s">
        <v>1653</v>
      </c>
    </row>
    <row r="27" spans="2:14" ht="21" customHeight="1">
      <c r="B27" s="62" t="s">
        <v>40</v>
      </c>
    </row>
    <row r="28" spans="2:14" ht="21" customHeight="1">
      <c r="B28" s="62" t="s">
        <v>238</v>
      </c>
    </row>
    <row r="29" spans="2:14" ht="21" customHeight="1">
      <c r="B29" s="62" t="s">
        <v>39</v>
      </c>
    </row>
    <row r="30" spans="2:14" ht="21" customHeight="1">
      <c r="B30" s="62" t="s">
        <v>38</v>
      </c>
    </row>
    <row r="31" spans="2:14" ht="21" customHeight="1">
      <c r="B31" s="62"/>
    </row>
    <row r="32" spans="2:14" ht="21" customHeight="1">
      <c r="B32" s="62"/>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ht="21" customHeight="1">
      <c r="B42" s="565"/>
    </row>
    <row r="43" spans="2:2" ht="21" customHeight="1">
      <c r="B43" s="565"/>
    </row>
    <row r="44" spans="2:2" ht="21" customHeight="1">
      <c r="B44" s="565"/>
    </row>
    <row r="45" spans="2:2" ht="21" customHeight="1">
      <c r="B45" s="565"/>
    </row>
    <row r="46" spans="2:2" ht="21" customHeight="1">
      <c r="B46" s="565"/>
    </row>
    <row r="47" spans="2:2">
      <c r="B47" s="565"/>
    </row>
    <row r="48" spans="2:2">
      <c r="B48" s="565"/>
    </row>
    <row r="49" spans="2:2">
      <c r="B49" s="565"/>
    </row>
    <row r="50" spans="2:2">
      <c r="B50" s="565"/>
    </row>
    <row r="51" spans="2:2">
      <c r="B51" s="565"/>
    </row>
    <row r="52" spans="2:2">
      <c r="B52" s="565"/>
    </row>
    <row r="53" spans="2:2">
      <c r="B53" s="565"/>
    </row>
    <row r="54" spans="2:2">
      <c r="B54" s="565"/>
    </row>
    <row r="55" spans="2:2">
      <c r="B55" s="565"/>
    </row>
    <row r="56" spans="2:2">
      <c r="B56" s="565"/>
    </row>
    <row r="57" spans="2:2">
      <c r="B57" s="565"/>
    </row>
    <row r="58" spans="2:2">
      <c r="B58" s="565"/>
    </row>
    <row r="59" spans="2:2">
      <c r="B59" s="565"/>
    </row>
    <row r="60" spans="2:2">
      <c r="B60" s="565"/>
    </row>
    <row r="61" spans="2:2">
      <c r="B61" s="565"/>
    </row>
    <row r="62" spans="2:2">
      <c r="B62" s="565"/>
    </row>
    <row r="63" spans="2:2">
      <c r="B63" s="565"/>
    </row>
    <row r="64" spans="2:2">
      <c r="B64" s="565"/>
    </row>
    <row r="65" spans="2:2">
      <c r="B65" s="565"/>
    </row>
    <row r="66" spans="2:2">
      <c r="B66" s="565"/>
    </row>
    <row r="67" spans="2:2">
      <c r="B67" s="565"/>
    </row>
    <row r="68" spans="2:2">
      <c r="B68" s="565"/>
    </row>
    <row r="69" spans="2:2">
      <c r="B69" s="565"/>
    </row>
    <row r="70" spans="2:2">
      <c r="B70" s="565"/>
    </row>
    <row r="71" spans="2:2">
      <c r="B71" s="565"/>
    </row>
    <row r="72" spans="2:2">
      <c r="B72" s="565"/>
    </row>
    <row r="73" spans="2:2">
      <c r="B73" s="565"/>
    </row>
    <row r="74" spans="2:2">
      <c r="B74" s="565"/>
    </row>
    <row r="75" spans="2:2">
      <c r="B75" s="565"/>
    </row>
    <row r="76" spans="2:2">
      <c r="B76" s="565"/>
    </row>
    <row r="77" spans="2:2">
      <c r="B77" s="565"/>
    </row>
    <row r="78" spans="2:2">
      <c r="B78" s="565"/>
    </row>
    <row r="79" spans="2:2">
      <c r="B79" s="565"/>
    </row>
    <row r="80" spans="2:2">
      <c r="B80" s="565"/>
    </row>
    <row r="81" spans="2:2">
      <c r="B81" s="565"/>
    </row>
    <row r="82" spans="2:2">
      <c r="B82" s="565"/>
    </row>
    <row r="83" spans="2:2">
      <c r="B83" s="565"/>
    </row>
    <row r="84" spans="2:2">
      <c r="B84" s="565"/>
    </row>
    <row r="85" spans="2:2">
      <c r="B85" s="565"/>
    </row>
    <row r="86" spans="2:2">
      <c r="B86" s="565"/>
    </row>
    <row r="87" spans="2:2">
      <c r="B87" s="565"/>
    </row>
    <row r="88" spans="2:2">
      <c r="B88" s="565"/>
    </row>
    <row r="89" spans="2:2">
      <c r="B89" s="565"/>
    </row>
    <row r="90" spans="2:2">
      <c r="B90" s="565"/>
    </row>
    <row r="91" spans="2:2">
      <c r="B91" s="565"/>
    </row>
    <row r="92" spans="2:2">
      <c r="B92" s="565"/>
    </row>
    <row r="93" spans="2:2">
      <c r="B93" s="565"/>
    </row>
    <row r="94" spans="2:2">
      <c r="B94" s="565"/>
    </row>
    <row r="95" spans="2:2">
      <c r="B95" s="565"/>
    </row>
    <row r="96" spans="2:2">
      <c r="B96" s="565"/>
    </row>
    <row r="97" spans="2:32">
      <c r="B97" s="565"/>
    </row>
    <row r="98" spans="2:32">
      <c r="B98" s="565"/>
    </row>
    <row r="99" spans="2:32">
      <c r="B99" s="565"/>
    </row>
    <row r="100" spans="2:32">
      <c r="B100" s="565"/>
      <c r="AA100" s="3340" t="s">
        <v>550</v>
      </c>
      <c r="AB100" s="3340"/>
    </row>
    <row r="101" spans="2:32">
      <c r="B101" s="565"/>
      <c r="AA101" s="1033" t="s">
        <v>551</v>
      </c>
      <c r="AB101" s="1034"/>
      <c r="AC101" s="1034"/>
      <c r="AD101" s="1034"/>
      <c r="AE101" s="1034"/>
      <c r="AF101" s="1035"/>
    </row>
    <row r="102" spans="2:32" ht="13.5">
      <c r="B102" s="565"/>
      <c r="AA102" s="1040"/>
      <c r="AB102" s="1041"/>
      <c r="AC102" s="1042"/>
      <c r="AD102" s="1047"/>
      <c r="AE102" s="1048"/>
      <c r="AF102" s="1049"/>
    </row>
    <row r="103" spans="2:32" ht="13.5">
      <c r="B103" s="565"/>
      <c r="AA103" s="1038">
        <v>1</v>
      </c>
      <c r="AB103" s="1038" t="s">
        <v>568</v>
      </c>
      <c r="AC103" s="677" t="s">
        <v>567</v>
      </c>
      <c r="AD103" s="1050"/>
      <c r="AE103" s="889"/>
      <c r="AF103" s="1051"/>
    </row>
    <row r="104" spans="2:32" ht="13.5">
      <c r="B104" s="565"/>
      <c r="AA104" s="1039">
        <v>2</v>
      </c>
      <c r="AB104" s="533" t="s">
        <v>569</v>
      </c>
      <c r="AC104" s="533" t="s">
        <v>570</v>
      </c>
      <c r="AD104" s="1052"/>
      <c r="AE104" s="889"/>
      <c r="AF104" s="1051"/>
    </row>
    <row r="105" spans="2:32" ht="13.15">
      <c r="B105" s="565"/>
      <c r="AA105" s="536"/>
      <c r="AB105" s="538"/>
      <c r="AC105" s="538"/>
      <c r="AD105" s="1055"/>
      <c r="AE105" s="1053"/>
      <c r="AF105" s="1054"/>
    </row>
    <row r="106" spans="2:32">
      <c r="B106" s="565"/>
    </row>
    <row r="107" spans="2:32">
      <c r="B107" s="565"/>
    </row>
    <row r="108" spans="2:32">
      <c r="B108" s="565"/>
    </row>
    <row r="109" spans="2:32">
      <c r="B109" s="565"/>
    </row>
    <row r="110" spans="2:32">
      <c r="B110" s="565"/>
    </row>
    <row r="111" spans="2:32">
      <c r="B111" s="565"/>
    </row>
    <row r="112" spans="2:32">
      <c r="B112" s="565"/>
    </row>
    <row r="113" spans="2:2">
      <c r="B113" s="565"/>
    </row>
    <row r="114" spans="2:2">
      <c r="B114" s="565"/>
    </row>
  </sheetData>
  <mergeCells count="2">
    <mergeCell ref="B2:B3"/>
    <mergeCell ref="AA100:AB100"/>
  </mergeCells>
  <conditionalFormatting sqref="G12:G13">
    <cfRule type="expression" dxfId="81" priority="1">
      <formula>G12=#REF!</formula>
    </cfRule>
  </conditionalFormatting>
  <dataValidations count="2">
    <dataValidation type="list" allowBlank="1" showInputMessage="1" showErrorMessage="1" sqref="G7" xr:uid="{009C852C-AE7A-4DE1-9FB2-BD7ABF5B5AC5}">
      <formula1>$AB$103:$AB$104</formula1>
    </dataValidation>
    <dataValidation type="list" allowBlank="1" showInputMessage="1" showErrorMessage="1" sqref="G6" xr:uid="{A53C37E9-2DA8-456D-977C-D6389547CD2A}">
      <formula1>$AC$103:$AC$104</formula1>
    </dataValidation>
  </dataValidations>
  <hyperlinks>
    <hyperlink ref="B2:B3" location="Home!A1" display="HOME" xr:uid="{3C92BA7A-4AE1-4323-B230-6B9F6B04FEDA}"/>
    <hyperlink ref="AA100" location="'Average Gravity-Temp'!A1" display="Go to Up" xr:uid="{FFDFF6FE-0D0C-469A-BDD8-FA5DA8E90BA5}"/>
    <hyperlink ref="AA100:AB100" location="'ETC Cargo operation'!A1" display="Go to Up" xr:uid="{150D75A2-9B8D-41B1-AF33-BB1BE5ED8775}"/>
    <hyperlink ref="B5" location="'Documents Manager'!A1" display="DOCUMENTS MANAGER" xr:uid="{C70D4D8B-3253-42BA-A6F8-9021E8F4AC05}"/>
    <hyperlink ref="B30" location="Disclaimer!A1" display="Disclaimer" xr:uid="{1DD35D82-7FEF-4DD3-AF10-4345BE7CD67A}"/>
    <hyperlink ref="B29" location="Help!A1" display="Help" xr:uid="{EEF21EA9-7560-4A01-82C7-82F2225A7861}"/>
    <hyperlink ref="B27" location="'Source - Links'!A1" display="SOURCE / LINKS" xr:uid="{F6453CE2-1A20-4B2E-AA90-FBB6FADC424E}"/>
    <hyperlink ref="B6" location="'ASTM Table Series'!A1" display="ASTM TABLES" xr:uid="{5F198431-78BF-46D0-ADCB-4F57144864D1}"/>
    <hyperlink ref="B7" location="'ASTM Converter (Tab.1)'!A1" display="ASTM - CONVERTERS" xr:uid="{3D900B2C-FF0F-4434-93BC-B5C78AB969D6}"/>
    <hyperlink ref="B8" location="'ASTM Calculator V.W.'!A1" display="ASTM - CALCULATORS" xr:uid="{A0AAF016-EA42-4A8A-B277-8B6C128817C2}"/>
    <hyperlink ref="B9" location="'Initial&amp;Max. Loading Rate'!A1" display="CARGO - CALCULATORS" xr:uid="{9897D6E8-0240-4942-BE08-6B32515D3F4D}"/>
    <hyperlink ref="B12" location="'ETC Cargo operation'!A1" display="• ETC Cargo operation" xr:uid="{10C49F6C-9754-472E-AC92-9067E8F02233}"/>
    <hyperlink ref="B14" location="'Volume Interpolation'!A1" display="• Volume Interpolation" xr:uid="{FD43C873-3CDD-4F9D-9E11-66405CE2B4CD}"/>
    <hyperlink ref="B11" location="'One Tank Filling Rate'!A1" display="• One Tank Filling Rate" xr:uid="{C1BB0932-3AF9-44AD-B760-DB5D83336DA7}"/>
    <hyperlink ref="B10" location="'Initial&amp;Max. Loading Rate'!A1" display="• Initial &amp; Max. Loading Rate" xr:uid="{14496ED3-A6E5-4508-8B0F-A103BFE8B62C}"/>
    <hyperlink ref="B13" location="'Average Gravity-Temp'!A1" display="• Calculator - Average Gravity/Temp" xr:uid="{2DB5B592-3B87-4AAB-B7AC-93635F245431}"/>
    <hyperlink ref="B15" location="'Cargo Lines Volume'!A1" display="• Volume of Cargo Lines Calculator" xr:uid="{B74E6E3E-6A94-453C-B165-1A2477591057}"/>
    <hyperlink ref="B20" location="'Pipelines Capacities'!A1" display="• Pipelines Capacities" xr:uid="{B5DFA135-2DC9-4690-999B-B910DD104CA2}"/>
    <hyperlink ref="B17" location="'Blended API'!A1" display="• Blended API" xr:uid="{E1CDD561-04B4-4A39-9BF4-372F5D7A1461}"/>
    <hyperlink ref="B18:B19" location="'Blended Cargo Prediction'!A1" display="• Blended Cargo Prediction" xr:uid="{C0131C11-7C04-4CE2-A544-93F0F35FDB7F}"/>
    <hyperlink ref="B18" location="'Commingle-LOADING'!A1" display="• Commingle-LOADING" xr:uid="{97A1B8AD-11F5-42AC-8C19-5599CD54073E}"/>
    <hyperlink ref="B19" location="'Commingle-LOADING-DISCHARGING'!A1" display="• Commingle-LOADING-DISCHARGING" xr:uid="{5B7B9F0B-CE34-4182-95A0-C5F091BBBC5A}"/>
    <hyperlink ref="B21" location="'IG Pressure Change'!A1" display="• Pipelines Capacities Calculator" xr:uid="{F7567E65-1213-4D9F-92CA-A0E4E4508233}"/>
    <hyperlink ref="B16" location="'Wedge Volume Calculator'!A1" display="• Volume Calculator - Wedge formula" xr:uid="{1B9F5A5C-F96D-4FE1-81C3-014BB3A42110}"/>
    <hyperlink ref="B23" location="'Converter Pressure '!A1" display="• Units Converter Pressure" xr:uid="{BFB04A41-A75B-4146-95F0-D3BC57A3727C}"/>
    <hyperlink ref="B22" location="'IG Pressure Change (2)'!A1" display="• IG Pressure Change-2" xr:uid="{FC8A7838-B142-4CC7-BBBA-76373CA69BB0}"/>
    <hyperlink ref="B25" location="'Guidelines - Definitions'!A1" display="GUIDELINES" xr:uid="{0E1FF375-F475-44AF-8D9A-79C66AF149A3}"/>
    <hyperlink ref="B26" location="'Guidelines - Bottom Lines'!A1" display="GUIDELINES - CARGO" xr:uid="{5BDF3BD9-60CC-41DF-A678-E3EA87E22EB8}"/>
  </hyperlinks>
  <pageMargins left="0.75" right="0.75" top="1" bottom="1" header="0.5" footer="0.5"/>
  <pageSetup paperSize="9" orientation="portrait" horizontalDpi="1200" verticalDpi="1200" r:id="rId1"/>
  <headerFooter alignWithMargins="0"/>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2FE2-6500-4AFC-B916-66AFEF910138}">
  <sheetPr>
    <tabColor rgb="FFFFC000"/>
  </sheetPr>
  <dimension ref="A1:IZ115"/>
  <sheetViews>
    <sheetView showGridLines="0" showRowColHeaders="0" topLeftCell="B1" zoomScaleNormal="100" workbookViewId="0">
      <selection activeCell="G12" sqref="G12"/>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16.86328125" style="514" customWidth="1"/>
    <col min="6" max="6" width="13.6640625" style="514" customWidth="1"/>
    <col min="7" max="7" width="18" style="514" customWidth="1"/>
    <col min="8" max="8" width="15.86328125" style="514" customWidth="1"/>
    <col min="9" max="10" width="3.6640625" style="514" customWidth="1"/>
    <col min="11" max="11" width="22.6640625" style="514" customWidth="1"/>
    <col min="12" max="12" width="13.6640625" style="514" customWidth="1"/>
    <col min="13" max="13" width="11.86328125" style="514" customWidth="1"/>
    <col min="14" max="14" width="3.6640625" style="514" customWidth="1"/>
    <col min="15" max="18" width="9.1328125" style="514" customWidth="1"/>
    <col min="19" max="19" width="11.19921875" style="514" bestFit="1" customWidth="1"/>
    <col min="20" max="26" width="9.1328125" style="514" customWidth="1"/>
    <col min="27" max="27" width="3.796875" style="514" customWidth="1"/>
    <col min="28" max="28" width="10.1328125" style="514" bestFit="1" customWidth="1"/>
    <col min="29" max="29" width="9.1328125" style="514" customWidth="1"/>
    <col min="30" max="30" width="14.796875" style="514" customWidth="1"/>
    <col min="31" max="31" width="10.6640625" style="514" customWidth="1"/>
    <col min="32" max="32" width="19.46484375" style="514" bestFit="1" customWidth="1"/>
    <col min="33" max="41" width="9.1328125" style="514" customWidth="1"/>
    <col min="42" max="16384" width="9.1328125" style="514"/>
  </cols>
  <sheetData>
    <row r="1" spans="1:260" ht="12.75" customHeight="1">
      <c r="B1" s="612"/>
    </row>
    <row r="2" spans="1:260" s="618" customFormat="1" ht="21" customHeight="1">
      <c r="A2" s="514"/>
      <c r="B2" s="3210" t="s">
        <v>0</v>
      </c>
      <c r="C2" s="514"/>
      <c r="D2" s="613" t="s">
        <v>1289</v>
      </c>
      <c r="E2" s="614"/>
      <c r="F2" s="615"/>
      <c r="G2" s="615"/>
      <c r="H2" s="615"/>
      <c r="I2" s="615"/>
      <c r="J2" s="617"/>
      <c r="K2" s="615"/>
      <c r="L2" s="615"/>
      <c r="M2" s="615"/>
      <c r="N2" s="616"/>
      <c r="O2" s="615"/>
      <c r="P2" s="615"/>
      <c r="Q2" s="615"/>
      <c r="R2" s="617"/>
      <c r="S2" s="617"/>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c r="IX2" s="615"/>
      <c r="IY2" s="615"/>
      <c r="IZ2" s="615"/>
    </row>
    <row r="3" spans="1:260" ht="21" customHeight="1">
      <c r="B3" s="3210"/>
      <c r="D3" s="619"/>
      <c r="E3" s="619"/>
      <c r="F3" s="619"/>
      <c r="G3" s="5"/>
      <c r="H3" s="5"/>
      <c r="I3" s="5"/>
      <c r="J3" s="5"/>
      <c r="K3" s="5"/>
      <c r="L3" s="5"/>
      <c r="M3" s="5"/>
      <c r="N3" s="5"/>
    </row>
    <row r="4" spans="1:260" ht="21" customHeight="1">
      <c r="B4" s="63"/>
      <c r="D4" s="644"/>
      <c r="E4" s="645"/>
      <c r="F4" s="646"/>
      <c r="G4" s="647"/>
      <c r="H4" s="647"/>
      <c r="I4" s="647"/>
      <c r="J4" s="1013"/>
    </row>
    <row r="5" spans="1:260" ht="21" customHeight="1">
      <c r="B5" s="62" t="s">
        <v>1</v>
      </c>
      <c r="D5" s="622"/>
      <c r="F5" s="1016" t="s">
        <v>548</v>
      </c>
      <c r="G5" s="1018" t="s">
        <v>547</v>
      </c>
      <c r="H5" s="1021"/>
      <c r="I5" s="648"/>
      <c r="J5" s="1013"/>
    </row>
    <row r="6" spans="1:260" ht="21" customHeight="1">
      <c r="B6" s="397" t="s">
        <v>452</v>
      </c>
      <c r="D6" s="622"/>
      <c r="F6" s="1017" t="s">
        <v>549</v>
      </c>
      <c r="G6" s="1029" t="str">
        <f>G9</f>
        <v>API 60°F</v>
      </c>
      <c r="I6" s="649"/>
      <c r="J6" s="650"/>
      <c r="K6" s="651"/>
      <c r="L6" s="651"/>
      <c r="M6" s="743"/>
    </row>
    <row r="7" spans="1:260" ht="21" customHeight="1">
      <c r="B7" s="62" t="s">
        <v>239</v>
      </c>
      <c r="D7" s="622"/>
      <c r="F7" s="1028">
        <f>AD114</f>
        <v>326000</v>
      </c>
      <c r="G7" s="1031">
        <f>IF(AE114="","",IF($AA$102=1,ROUND(AE114,2),IF($AA$102=2,ROUND(AE114,4),IF($AA$102=3,AE115,ROUND(AE114,2)))))</f>
        <v>31.84</v>
      </c>
      <c r="I7" s="652"/>
      <c r="J7" s="653"/>
      <c r="K7" s="654"/>
      <c r="L7" s="654"/>
      <c r="M7" s="743"/>
    </row>
    <row r="8" spans="1:260" ht="21" customHeight="1">
      <c r="B8" s="62" t="s">
        <v>1263</v>
      </c>
      <c r="D8" s="622"/>
      <c r="H8" s="729"/>
      <c r="I8" s="652"/>
      <c r="J8" s="653"/>
      <c r="K8" s="654"/>
      <c r="M8" s="937"/>
    </row>
    <row r="9" spans="1:260" ht="21" customHeight="1">
      <c r="B9" s="977" t="s">
        <v>557</v>
      </c>
      <c r="D9" s="622"/>
      <c r="F9" s="1019" t="s">
        <v>549</v>
      </c>
      <c r="G9" s="1030" t="s">
        <v>543</v>
      </c>
      <c r="H9" s="1020"/>
      <c r="I9" s="656"/>
      <c r="J9" s="657"/>
      <c r="K9" s="654"/>
      <c r="L9" s="654"/>
      <c r="M9" s="789"/>
    </row>
    <row r="10" spans="1:260" ht="21" customHeight="1">
      <c r="B10" s="145" t="s">
        <v>680</v>
      </c>
      <c r="D10" s="622"/>
      <c r="F10" s="979">
        <v>26000</v>
      </c>
      <c r="G10" s="1032">
        <v>30</v>
      </c>
      <c r="H10" s="1020" t="str">
        <f>IF(G10="","",IF(OR($AA$102=1,$AA$102=2,$AA$102=4),"",IF(AND($AA$102=3,G10&gt;1)," kg/M3 @15°C",IF(AND($AA$102=3,G10&lt;1)," kg/L @15°C",""))))</f>
        <v/>
      </c>
      <c r="I10" s="656"/>
      <c r="J10" s="657"/>
      <c r="K10" s="803"/>
      <c r="L10" s="803"/>
      <c r="M10" s="803"/>
    </row>
    <row r="11" spans="1:260" ht="21" customHeight="1">
      <c r="B11" s="145" t="s">
        <v>621</v>
      </c>
      <c r="D11" s="622"/>
      <c r="F11" s="979">
        <v>300000</v>
      </c>
      <c r="G11" s="1032">
        <v>32</v>
      </c>
      <c r="H11" s="1020" t="str">
        <f t="shared" ref="H11:H21" si="0">IF(G11="","",IF(OR($AA$102=1,$AA$102=2,$AA$102=4),"",IF(AND($AA$102=3,G11&gt;1)," kg/M3 @15°C",IF(AND($AA$102=3,G11&lt;1)," kg/L @15°C",""))))</f>
        <v/>
      </c>
      <c r="I11" s="656"/>
      <c r="J11" s="657"/>
      <c r="K11" s="803"/>
      <c r="L11" s="803"/>
      <c r="M11" s="803"/>
    </row>
    <row r="12" spans="1:260" ht="21" customHeight="1">
      <c r="B12" s="145" t="s">
        <v>562</v>
      </c>
      <c r="D12" s="622"/>
      <c r="F12" s="979"/>
      <c r="G12" s="1032"/>
      <c r="H12" s="1020" t="str">
        <f t="shared" si="0"/>
        <v/>
      </c>
      <c r="I12" s="656"/>
      <c r="J12" s="657"/>
      <c r="K12" s="654"/>
      <c r="L12" s="803"/>
      <c r="M12" s="743"/>
    </row>
    <row r="13" spans="1:260" ht="21" customHeight="1">
      <c r="B13" s="147" t="s">
        <v>563</v>
      </c>
      <c r="D13" s="622"/>
      <c r="F13" s="979"/>
      <c r="G13" s="1032"/>
      <c r="H13" s="1020" t="str">
        <f t="shared" si="0"/>
        <v/>
      </c>
      <c r="I13" s="623"/>
      <c r="J13" s="622"/>
      <c r="K13" s="654"/>
      <c r="M13" s="937"/>
    </row>
    <row r="14" spans="1:260" ht="21" customHeight="1">
      <c r="B14" s="145" t="s">
        <v>589</v>
      </c>
      <c r="D14" s="622"/>
      <c r="F14" s="979"/>
      <c r="G14" s="1032"/>
      <c r="H14" s="1020" t="str">
        <f t="shared" si="0"/>
        <v/>
      </c>
      <c r="I14" s="878"/>
      <c r="J14" s="622"/>
    </row>
    <row r="15" spans="1:260" ht="21" customHeight="1">
      <c r="B15" s="145" t="s">
        <v>1290</v>
      </c>
      <c r="D15" s="622"/>
      <c r="F15" s="979"/>
      <c r="G15" s="1032"/>
      <c r="H15" s="1020" t="str">
        <f t="shared" si="0"/>
        <v/>
      </c>
      <c r="I15" s="878"/>
      <c r="J15" s="622"/>
      <c r="K15" s="654"/>
      <c r="M15" s="937"/>
    </row>
    <row r="16" spans="1:260" ht="21" customHeight="1">
      <c r="B16" s="145" t="s">
        <v>1293</v>
      </c>
      <c r="D16" s="876"/>
      <c r="F16" s="979"/>
      <c r="G16" s="1032"/>
      <c r="H16" s="1020" t="str">
        <f t="shared" si="0"/>
        <v/>
      </c>
      <c r="I16" s="878"/>
      <c r="J16" s="622"/>
    </row>
    <row r="17" spans="2:14" ht="21" customHeight="1">
      <c r="B17" s="145" t="s">
        <v>1153</v>
      </c>
      <c r="D17" s="622"/>
      <c r="F17" s="979"/>
      <c r="G17" s="1032"/>
      <c r="H17" s="1020" t="str">
        <f t="shared" si="0"/>
        <v/>
      </c>
      <c r="I17" s="878"/>
      <c r="J17" s="622"/>
    </row>
    <row r="18" spans="2:14" ht="21" customHeight="1">
      <c r="B18" s="145" t="s">
        <v>1308</v>
      </c>
      <c r="D18" s="622"/>
      <c r="F18" s="979"/>
      <c r="G18" s="1032"/>
      <c r="H18" s="1020" t="str">
        <f t="shared" si="0"/>
        <v/>
      </c>
      <c r="I18" s="878"/>
      <c r="K18" s="803"/>
      <c r="L18" s="803"/>
      <c r="M18" s="803"/>
    </row>
    <row r="19" spans="2:14" ht="21" customHeight="1">
      <c r="B19" s="145" t="s">
        <v>1307</v>
      </c>
      <c r="D19" s="622"/>
      <c r="F19" s="979"/>
      <c r="G19" s="1032"/>
      <c r="H19" s="1020"/>
      <c r="I19" s="878"/>
      <c r="K19" s="803"/>
      <c r="L19" s="803"/>
      <c r="M19" s="803"/>
    </row>
    <row r="20" spans="2:14" ht="21" customHeight="1">
      <c r="B20" s="145" t="s">
        <v>667</v>
      </c>
      <c r="D20" s="622"/>
      <c r="F20" s="979"/>
      <c r="G20" s="1032"/>
      <c r="H20" s="1020" t="str">
        <f t="shared" si="0"/>
        <v/>
      </c>
      <c r="I20" s="878"/>
      <c r="K20" s="803"/>
      <c r="L20" s="803"/>
      <c r="M20" s="803"/>
    </row>
    <row r="21" spans="2:14" ht="21" customHeight="1">
      <c r="B21" s="145" t="s">
        <v>1291</v>
      </c>
      <c r="D21" s="622"/>
      <c r="F21" s="979"/>
      <c r="G21" s="1032"/>
      <c r="H21" s="1020" t="str">
        <f t="shared" si="0"/>
        <v/>
      </c>
      <c r="I21" s="883"/>
      <c r="J21" s="622"/>
      <c r="M21" s="803"/>
    </row>
    <row r="22" spans="2:14" ht="21" customHeight="1">
      <c r="B22" s="145" t="s">
        <v>1322</v>
      </c>
      <c r="D22" s="624"/>
      <c r="E22" s="625"/>
      <c r="F22" s="625"/>
      <c r="G22" s="625"/>
      <c r="H22" s="625"/>
      <c r="I22" s="630"/>
      <c r="K22" s="803"/>
      <c r="L22" s="803"/>
      <c r="M22" s="803"/>
    </row>
    <row r="23" spans="2:14" ht="21" customHeight="1">
      <c r="B23" s="145" t="s">
        <v>1292</v>
      </c>
      <c r="D23" s="620"/>
      <c r="E23" s="620"/>
      <c r="F23" s="620"/>
      <c r="G23" s="620"/>
      <c r="H23" s="620"/>
      <c r="I23" s="620"/>
      <c r="J23" s="885"/>
      <c r="K23" s="885"/>
      <c r="L23" s="885"/>
      <c r="M23" s="885"/>
      <c r="N23" s="885"/>
    </row>
    <row r="24" spans="2:14" ht="21" customHeight="1">
      <c r="B24" s="62" t="s">
        <v>238</v>
      </c>
      <c r="J24" s="675"/>
      <c r="K24" s="675"/>
      <c r="L24" s="675"/>
      <c r="M24" s="675"/>
      <c r="N24" s="675"/>
    </row>
    <row r="25" spans="2:14" ht="21" customHeight="1">
      <c r="B25" s="62" t="s">
        <v>1652</v>
      </c>
    </row>
    <row r="26" spans="2:14" ht="21" customHeight="1">
      <c r="B26" s="62" t="s">
        <v>1653</v>
      </c>
    </row>
    <row r="27" spans="2:14" ht="21" customHeight="1">
      <c r="B27" s="62" t="s">
        <v>40</v>
      </c>
    </row>
    <row r="28" spans="2:14" ht="21" customHeight="1">
      <c r="B28" s="62" t="s">
        <v>238</v>
      </c>
    </row>
    <row r="29" spans="2:14" ht="21" customHeight="1">
      <c r="B29" s="62" t="s">
        <v>39</v>
      </c>
    </row>
    <row r="30" spans="2:14" ht="21" customHeight="1">
      <c r="B30" s="62" t="s">
        <v>38</v>
      </c>
    </row>
    <row r="31" spans="2:14" ht="21" customHeight="1">
      <c r="B31" s="62"/>
    </row>
    <row r="32" spans="2:14" ht="21" customHeight="1">
      <c r="B32" s="62"/>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ht="21" customHeight="1">
      <c r="B42" s="565"/>
    </row>
    <row r="43" spans="2:2" ht="21" customHeight="1">
      <c r="B43" s="565"/>
    </row>
    <row r="44" spans="2:2" ht="21" customHeight="1">
      <c r="B44" s="565"/>
    </row>
    <row r="45" spans="2:2" ht="21" customHeight="1">
      <c r="B45" s="565"/>
    </row>
    <row r="46" spans="2:2" ht="21" customHeight="1">
      <c r="B46" s="565"/>
    </row>
    <row r="47" spans="2:2">
      <c r="B47" s="565"/>
    </row>
    <row r="48" spans="2:2">
      <c r="B48" s="565"/>
    </row>
    <row r="49" spans="2:2">
      <c r="B49" s="565"/>
    </row>
    <row r="50" spans="2:2">
      <c r="B50" s="565"/>
    </row>
    <row r="51" spans="2:2">
      <c r="B51" s="565"/>
    </row>
    <row r="52" spans="2:2">
      <c r="B52" s="565"/>
    </row>
    <row r="53" spans="2:2">
      <c r="B53" s="565"/>
    </row>
    <row r="54" spans="2:2">
      <c r="B54" s="565"/>
    </row>
    <row r="55" spans="2:2">
      <c r="B55" s="565"/>
    </row>
    <row r="56" spans="2:2">
      <c r="B56" s="565"/>
    </row>
    <row r="57" spans="2:2">
      <c r="B57" s="565"/>
    </row>
    <row r="58" spans="2:2">
      <c r="B58" s="565"/>
    </row>
    <row r="59" spans="2:2">
      <c r="B59" s="565"/>
    </row>
    <row r="60" spans="2:2">
      <c r="B60" s="565"/>
    </row>
    <row r="61" spans="2:2">
      <c r="B61" s="565"/>
    </row>
    <row r="62" spans="2:2">
      <c r="B62" s="565"/>
    </row>
    <row r="63" spans="2:2">
      <c r="B63" s="565"/>
    </row>
    <row r="64" spans="2:2">
      <c r="B64" s="565"/>
    </row>
    <row r="65" spans="2:2">
      <c r="B65" s="565"/>
    </row>
    <row r="66" spans="2:2">
      <c r="B66" s="565"/>
    </row>
    <row r="67" spans="2:2">
      <c r="B67" s="565"/>
    </row>
    <row r="68" spans="2:2">
      <c r="B68" s="565"/>
    </row>
    <row r="69" spans="2:2">
      <c r="B69" s="565"/>
    </row>
    <row r="70" spans="2:2">
      <c r="B70" s="565"/>
    </row>
    <row r="71" spans="2:2">
      <c r="B71" s="565"/>
    </row>
    <row r="72" spans="2:2">
      <c r="B72" s="565"/>
    </row>
    <row r="73" spans="2:2">
      <c r="B73" s="565"/>
    </row>
    <row r="74" spans="2:2">
      <c r="B74" s="565"/>
    </row>
    <row r="75" spans="2:2">
      <c r="B75" s="565"/>
    </row>
    <row r="76" spans="2:2">
      <c r="B76" s="565"/>
    </row>
    <row r="77" spans="2:2">
      <c r="B77" s="565"/>
    </row>
    <row r="78" spans="2:2">
      <c r="B78" s="565"/>
    </row>
    <row r="79" spans="2:2">
      <c r="B79" s="565"/>
    </row>
    <row r="80" spans="2:2">
      <c r="B80" s="565"/>
    </row>
    <row r="81" spans="2:2">
      <c r="B81" s="565"/>
    </row>
    <row r="82" spans="2:2">
      <c r="B82" s="565"/>
    </row>
    <row r="83" spans="2:2">
      <c r="B83" s="565"/>
    </row>
    <row r="84" spans="2:2">
      <c r="B84" s="565"/>
    </row>
    <row r="85" spans="2:2">
      <c r="B85" s="565"/>
    </row>
    <row r="86" spans="2:2">
      <c r="B86" s="565"/>
    </row>
    <row r="87" spans="2:2">
      <c r="B87" s="565"/>
    </row>
    <row r="88" spans="2:2">
      <c r="B88" s="565"/>
    </row>
    <row r="89" spans="2:2">
      <c r="B89" s="565"/>
    </row>
    <row r="90" spans="2:2">
      <c r="B90" s="565"/>
    </row>
    <row r="91" spans="2:2">
      <c r="B91" s="565"/>
    </row>
    <row r="92" spans="2:2">
      <c r="B92" s="565"/>
    </row>
    <row r="93" spans="2:2">
      <c r="B93" s="565"/>
    </row>
    <row r="94" spans="2:2">
      <c r="B94" s="565"/>
    </row>
    <row r="95" spans="2:2">
      <c r="B95" s="565"/>
    </row>
    <row r="96" spans="2:2">
      <c r="B96" s="565"/>
    </row>
    <row r="97" spans="2:32">
      <c r="B97" s="565"/>
    </row>
    <row r="98" spans="2:32">
      <c r="B98" s="565"/>
    </row>
    <row r="99" spans="2:32">
      <c r="B99" s="565"/>
    </row>
    <row r="100" spans="2:32">
      <c r="B100" s="565"/>
      <c r="AA100" s="3340" t="s">
        <v>550</v>
      </c>
      <c r="AB100" s="3340"/>
    </row>
    <row r="101" spans="2:32">
      <c r="B101" s="565"/>
      <c r="AA101" s="1033" t="s">
        <v>551</v>
      </c>
      <c r="AB101" s="1034"/>
      <c r="AC101" s="1034"/>
      <c r="AD101" s="1034"/>
      <c r="AE101" s="1034"/>
      <c r="AF101" s="1035"/>
    </row>
    <row r="102" spans="2:32" ht="13.15">
      <c r="B102" s="565"/>
      <c r="AA102" s="1026">
        <f>MATCH(AB102,AB103:AB108,0)</f>
        <v>1</v>
      </c>
      <c r="AB102" s="1027" t="str">
        <f>G9</f>
        <v>API 60°F</v>
      </c>
      <c r="AD102" s="1015" t="str">
        <f>F9</f>
        <v>VOLUME</v>
      </c>
      <c r="AE102" s="1015" t="str">
        <f>G9</f>
        <v>API 60°F</v>
      </c>
      <c r="AF102" s="1015" t="str">
        <f>CONCATENATE(AD102," x ",AE102)</f>
        <v>VOLUME x API 60°F</v>
      </c>
    </row>
    <row r="103" spans="2:32" ht="13.5">
      <c r="B103" s="565"/>
      <c r="AA103" s="1014">
        <v>1</v>
      </c>
      <c r="AB103" s="677" t="s">
        <v>543</v>
      </c>
      <c r="AD103" s="1023">
        <f t="shared" ref="AD103:AD111" si="1">IF(AE103="","",F10)</f>
        <v>26000</v>
      </c>
      <c r="AE103" s="1022">
        <f t="shared" ref="AE103:AE111" si="2">IF(G10=0,"",G10)</f>
        <v>30</v>
      </c>
      <c r="AF103" s="1023">
        <f>IF(AND(AD103="",AE103=""),"",AD103*AE103)</f>
        <v>780000</v>
      </c>
    </row>
    <row r="104" spans="2:32" ht="13.5">
      <c r="B104" s="565"/>
      <c r="AA104" s="528">
        <v>2</v>
      </c>
      <c r="AB104" s="532" t="s">
        <v>544</v>
      </c>
      <c r="AD104" s="1036">
        <f t="shared" si="1"/>
        <v>300000</v>
      </c>
      <c r="AE104" s="1022">
        <f t="shared" si="2"/>
        <v>32</v>
      </c>
      <c r="AF104" s="1023">
        <f t="shared" ref="AF104:AF113" si="3">IF(AND(AD104="",AE104=""),"",AD104*AE104)</f>
        <v>9600000</v>
      </c>
    </row>
    <row r="105" spans="2:32" ht="13.5">
      <c r="B105" s="565"/>
      <c r="AA105" s="528">
        <v>3</v>
      </c>
      <c r="AB105" s="532" t="s">
        <v>545</v>
      </c>
      <c r="AD105" s="1023" t="str">
        <f t="shared" si="1"/>
        <v/>
      </c>
      <c r="AE105" s="1022" t="str">
        <f t="shared" si="2"/>
        <v/>
      </c>
      <c r="AF105" s="1023" t="str">
        <f t="shared" si="3"/>
        <v/>
      </c>
    </row>
    <row r="106" spans="2:32" ht="13.5">
      <c r="B106" s="565"/>
      <c r="AA106" s="1015">
        <v>4</v>
      </c>
      <c r="AB106" s="533" t="s">
        <v>546</v>
      </c>
      <c r="AD106" s="1023" t="str">
        <f t="shared" si="1"/>
        <v/>
      </c>
      <c r="AE106" s="1022" t="str">
        <f t="shared" si="2"/>
        <v/>
      </c>
      <c r="AF106" s="1023" t="str">
        <f t="shared" si="3"/>
        <v/>
      </c>
    </row>
    <row r="107" spans="2:32" ht="13.5">
      <c r="B107" s="565"/>
      <c r="AA107" s="534"/>
      <c r="AD107" s="1023" t="str">
        <f t="shared" si="1"/>
        <v/>
      </c>
      <c r="AE107" s="1022" t="str">
        <f t="shared" si="2"/>
        <v/>
      </c>
      <c r="AF107" s="1023" t="str">
        <f t="shared" si="3"/>
        <v/>
      </c>
    </row>
    <row r="108" spans="2:32" ht="13.5">
      <c r="B108" s="565"/>
      <c r="AA108" s="534"/>
      <c r="AD108" s="1023" t="str">
        <f t="shared" si="1"/>
        <v/>
      </c>
      <c r="AE108" s="1022" t="str">
        <f t="shared" si="2"/>
        <v/>
      </c>
      <c r="AF108" s="1023" t="str">
        <f t="shared" si="3"/>
        <v/>
      </c>
    </row>
    <row r="109" spans="2:32" ht="13.5">
      <c r="B109" s="565"/>
      <c r="AA109" s="534"/>
      <c r="AD109" s="1023" t="str">
        <f t="shared" si="1"/>
        <v/>
      </c>
      <c r="AE109" s="1022" t="str">
        <f t="shared" si="2"/>
        <v/>
      </c>
      <c r="AF109" s="1023" t="str">
        <f t="shared" si="3"/>
        <v/>
      </c>
    </row>
    <row r="110" spans="2:32" ht="13.5">
      <c r="B110" s="565"/>
      <c r="AA110" s="534"/>
      <c r="AD110" s="1023" t="str">
        <f t="shared" si="1"/>
        <v/>
      </c>
      <c r="AE110" s="1022" t="str">
        <f t="shared" si="2"/>
        <v/>
      </c>
      <c r="AF110" s="1023" t="str">
        <f t="shared" si="3"/>
        <v/>
      </c>
    </row>
    <row r="111" spans="2:32" ht="13.5">
      <c r="B111" s="565"/>
      <c r="AA111" s="534"/>
      <c r="AD111" s="1023" t="str">
        <f t="shared" si="1"/>
        <v/>
      </c>
      <c r="AE111" s="1022" t="str">
        <f t="shared" si="2"/>
        <v/>
      </c>
      <c r="AF111" s="1023" t="str">
        <f t="shared" si="3"/>
        <v/>
      </c>
    </row>
    <row r="112" spans="2:32" ht="13.5">
      <c r="B112" s="565"/>
      <c r="AA112" s="534"/>
      <c r="AD112" s="1023" t="str">
        <f>IF(AE112="","",F20)</f>
        <v/>
      </c>
      <c r="AE112" s="1022" t="str">
        <f>IF(G20=0,"",G20)</f>
        <v/>
      </c>
      <c r="AF112" s="1023" t="str">
        <f t="shared" si="3"/>
        <v/>
      </c>
    </row>
    <row r="113" spans="2:32" ht="13.5">
      <c r="B113" s="565"/>
      <c r="AA113" s="534"/>
      <c r="AD113" s="1023" t="str">
        <f>IF(AE113="","",F21)</f>
        <v/>
      </c>
      <c r="AE113" s="1022" t="str">
        <f>IF(G21=0,"",G21)</f>
        <v/>
      </c>
      <c r="AF113" s="1023" t="str">
        <f t="shared" si="3"/>
        <v/>
      </c>
    </row>
    <row r="114" spans="2:32" ht="13.15">
      <c r="B114" s="565"/>
      <c r="AA114" s="536"/>
      <c r="AB114" s="538"/>
      <c r="AC114" s="538"/>
      <c r="AD114" s="1024">
        <f>SUM(AD103:AD113)</f>
        <v>326000</v>
      </c>
      <c r="AE114" s="1025">
        <f>IF(AF114=0,"",AF114/AD114)</f>
        <v>31.840490797546011</v>
      </c>
      <c r="AF114" s="1024">
        <f>SUM(AF103:AF113)</f>
        <v>10380000</v>
      </c>
    </row>
    <row r="115" spans="2:32" ht="13.15">
      <c r="AE115" s="1025" t="str">
        <f>IF(AND($AA$102=3,G10&gt;1),ROUND(AE114,1),IF(AND($AA$102=3,G10&lt;1),ROUND(AE114,4),""))</f>
        <v/>
      </c>
    </row>
  </sheetData>
  <mergeCells count="2">
    <mergeCell ref="B2:B3"/>
    <mergeCell ref="AA100:AB100"/>
  </mergeCells>
  <conditionalFormatting sqref="G9:G21">
    <cfRule type="expression" dxfId="80" priority="4">
      <formula>G9=#REF!</formula>
    </cfRule>
  </conditionalFormatting>
  <dataValidations count="1">
    <dataValidation type="list" allowBlank="1" showInputMessage="1" showErrorMessage="1" sqref="G9" xr:uid="{DE7DB89C-EE32-4F3B-B179-FF36D3BB1930}">
      <formula1>$AB$103:$AB$106</formula1>
    </dataValidation>
  </dataValidations>
  <hyperlinks>
    <hyperlink ref="B2:B3" location="Home!A1" display="HOME" xr:uid="{6D0FCC5B-4F45-4CDB-A435-F5782BDF214F}"/>
    <hyperlink ref="AA100" location="'Average Gravity-Temp'!A1" display="Go to Up" xr:uid="{B10EEB0D-41F3-49D4-A6F8-E10AF5A8438A}"/>
    <hyperlink ref="B5" location="'Documents Manager'!A1" display="DOCUMENTS MANAGER" xr:uid="{2BE86983-9B8C-4343-9ABB-B4D4FF413F70}"/>
    <hyperlink ref="B30" location="Disclaimer!A1" display="Disclaimer" xr:uid="{21497485-FF34-43CA-807E-09EA1ABADFBF}"/>
    <hyperlink ref="B29" location="Help!A1" display="Help" xr:uid="{595DD28B-6FE8-4C2E-987B-EB81E8BFC8BE}"/>
    <hyperlink ref="B27" location="'Source - Links'!A1" display="SOURCE / LINKS" xr:uid="{55F7E366-3442-4381-9DA0-8B9F7F767E30}"/>
    <hyperlink ref="B6" location="'ASTM Table Series'!A1" display="ASTM TABLES" xr:uid="{831D9F25-B2B9-4CFB-9A13-98AF9C534632}"/>
    <hyperlink ref="B7" location="'ASTM Converter (Tab.1)'!A1" display="ASTM - CONVERTERS" xr:uid="{BD057F70-05DB-450C-88D4-0564B0220F02}"/>
    <hyperlink ref="B8" location="'ASTM Calculator V.W.'!A1" display="ASTM - CALCULATORS" xr:uid="{318C07DE-93AC-4072-A29C-82CC7968966D}"/>
    <hyperlink ref="B9" location="'Initial&amp;Max. Loading Rate'!A1" display="CARGO - CALCULATORS" xr:uid="{A7EC3D2A-6C82-48A9-BE6C-7FE46DD1955E}"/>
    <hyperlink ref="B12" location="'ETC Cargo operation'!A1" display="• ETC Cargo operation" xr:uid="{61563DC2-9FCF-4CBB-BC6F-608B2360C3F7}"/>
    <hyperlink ref="B14" location="'Volume Interpolation'!A1" display="• Volume Interpolation" xr:uid="{8BD2FC60-F7B8-40E2-B2A0-C87D8D73B995}"/>
    <hyperlink ref="B11" location="'One Tank Filling Rate'!A1" display="• One Tank Filling Rate" xr:uid="{C87915AC-2303-474B-8BA6-ADF3466C673B}"/>
    <hyperlink ref="B10" location="'Initial&amp;Max. Loading Rate'!A1" display="• Initial &amp; Max. Loading Rate" xr:uid="{DF258111-195D-470E-B885-FC4FDAA7DCC1}"/>
    <hyperlink ref="B13" location="'Average Gravity-Temp'!A1" display="• Calculator - Average Gravity/Temp" xr:uid="{FEB4F61F-698D-4875-8E61-E5099F4CC7D3}"/>
    <hyperlink ref="B15" location="'Cargo Lines Volume'!A1" display="• Volume of Cargo Lines Calculator" xr:uid="{080EA3CB-9310-4CE5-BF52-E7BE839672A0}"/>
    <hyperlink ref="B20" location="'Pipelines Capacities'!A1" display="• Pipelines Capacities" xr:uid="{A8D5C3EE-1383-48B7-B632-56F88420CDB6}"/>
    <hyperlink ref="B17" location="'Blended API'!A1" display="• Blended API" xr:uid="{FEACE2C7-D307-4EAE-BAA0-47FCC245C52E}"/>
    <hyperlink ref="B18:B19" location="'Blended Cargo Prediction'!A1" display="• Blended Cargo Prediction" xr:uid="{D9ECC0B0-5690-49C6-9C7D-C47A9702630F}"/>
    <hyperlink ref="B18" location="'Commingle-LOADING'!A1" display="• Commingle-LOADING" xr:uid="{3D9E7B93-EF02-4866-8413-00FF7E53014E}"/>
    <hyperlink ref="B19" location="'Commingle-LOADING-DISCHARGING'!A1" display="• Commingle-LOADING-DISCHARGING" xr:uid="{7D1B0BC9-D8C4-4E34-8B2C-BEE22A95F6D8}"/>
    <hyperlink ref="B21" location="'IG Pressure Change'!A1" display="• Pipelines Capacities Calculator" xr:uid="{9047D2AD-062F-467A-AC5E-59F622B39C8B}"/>
    <hyperlink ref="B16" location="'Wedge Volume Calculator'!A1" display="• Volume Calculator - Wedge formula" xr:uid="{1CEAD334-6E6F-483E-B53B-AB1931BBD11A}"/>
    <hyperlink ref="B23" location="'Converter Pressure '!A1" display="• Units Converter Pressure" xr:uid="{1E7CA5AD-EC04-4C6B-96F3-E38CAEB31871}"/>
    <hyperlink ref="B22" location="'IG Pressure Change (2)'!A1" display="• IG Pressure Change-2" xr:uid="{8EB120CC-F4FA-406D-8064-D46F0193EF69}"/>
    <hyperlink ref="B25" location="'Guidelines - Definitions'!A1" display="GUIDELINES" xr:uid="{97B5ACC9-0789-47B1-8BC8-55D255E59526}"/>
    <hyperlink ref="B26" location="'Guidelines - Bottom Lines'!A1" display="GUIDELINES - CARGO" xr:uid="{1440EF7D-EB99-4AF0-A1F1-4C2B84ECB55E}"/>
  </hyperlinks>
  <pageMargins left="0.75" right="0.75" top="1" bottom="1" header="0.5" footer="0.5"/>
  <pageSetup paperSize="9" orientation="portrait" horizontalDpi="1200" verticalDpi="1200" r:id="rId1"/>
  <headerFooter alignWithMargins="0"/>
  <ignoredErrors>
    <ignoredError sqref="AD103 AD104:AF113 AF103 AD114 AF114" unlockedFormula="1"/>
  </ignoredErrors>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6828A-C32B-46A3-AC82-B2ADEAEE6105}">
  <sheetPr>
    <tabColor rgb="FFFFC000"/>
  </sheetPr>
  <dimension ref="A1:IZ110"/>
  <sheetViews>
    <sheetView showGridLines="0" showRowColHeaders="0" tabSelected="1" topLeftCell="B1" zoomScaleNormal="100" workbookViewId="0"/>
  </sheetViews>
  <sheetFormatPr defaultColWidth="9.1328125" defaultRowHeight="12.75"/>
  <cols>
    <col min="1" max="1" width="0" style="514" hidden="1" customWidth="1"/>
    <col min="2" max="2" width="36.6640625" style="631" customWidth="1"/>
    <col min="3" max="3" width="2.6640625" style="514" customWidth="1"/>
    <col min="4" max="4" width="9.46484375" style="514" customWidth="1"/>
    <col min="5" max="8" width="14.33203125" style="514" customWidth="1"/>
    <col min="9" max="9" width="9.46484375" style="514" customWidth="1"/>
    <col min="10" max="10" width="3.6640625" style="514" customWidth="1"/>
    <col min="11" max="11" width="22.6640625" style="514" customWidth="1"/>
    <col min="12" max="12" width="13.6640625" style="514" customWidth="1"/>
    <col min="13" max="13" width="11.86328125" style="514" customWidth="1"/>
    <col min="14" max="14" width="12.86328125" style="514" customWidth="1"/>
    <col min="15" max="18" width="9.1328125" style="514" customWidth="1"/>
    <col min="19" max="19" width="13.46484375" style="514" bestFit="1" customWidth="1"/>
    <col min="20" max="26" width="9.1328125" style="514" customWidth="1"/>
    <col min="27" max="27" width="13.46484375" style="514" bestFit="1" customWidth="1"/>
    <col min="28" max="28" width="11.796875" style="514" bestFit="1" customWidth="1"/>
    <col min="29" max="29" width="8.19921875" style="514" bestFit="1" customWidth="1"/>
    <col min="30" max="30" width="14.796875" style="514" customWidth="1"/>
    <col min="31" max="31" width="10.6640625" style="514" customWidth="1"/>
    <col min="32" max="32" width="12" style="514" bestFit="1" customWidth="1"/>
    <col min="33" max="33" width="14.46484375" style="514" bestFit="1" customWidth="1"/>
    <col min="34" max="34" width="16" style="514" bestFit="1" customWidth="1"/>
    <col min="35" max="36" width="15.6640625" style="514" bestFit="1" customWidth="1"/>
    <col min="37" max="37" width="12.53125" style="514" bestFit="1" customWidth="1"/>
    <col min="38" max="38" width="14.33203125" style="514" customWidth="1"/>
    <col min="39" max="39" width="11.53125" style="514" customWidth="1"/>
    <col min="40" max="40" width="16.796875" style="514" customWidth="1"/>
    <col min="41" max="41" width="17.53125" style="514" customWidth="1"/>
    <col min="42" max="42" width="12.6640625" style="514" bestFit="1" customWidth="1"/>
    <col min="43" max="43" width="18.1328125" style="514" bestFit="1" customWidth="1"/>
    <col min="44" max="44" width="9.1328125" style="514"/>
    <col min="45" max="45" width="9" style="514" customWidth="1"/>
    <col min="46" max="46" width="13.6640625" style="514" customWidth="1"/>
    <col min="47" max="47" width="17.19921875" style="514" customWidth="1"/>
    <col min="48" max="16384" width="9.1328125" style="514"/>
  </cols>
  <sheetData>
    <row r="1" spans="1:260" ht="12.75" customHeight="1">
      <c r="B1" s="612"/>
    </row>
    <row r="2" spans="1:260" s="618" customFormat="1" ht="21" customHeight="1">
      <c r="A2" s="514"/>
      <c r="B2" s="3210" t="s">
        <v>0</v>
      </c>
      <c r="C2" s="514"/>
      <c r="D2" s="613" t="s">
        <v>588</v>
      </c>
      <c r="E2" s="614"/>
      <c r="F2" s="615"/>
      <c r="G2" s="615"/>
      <c r="H2" s="615"/>
      <c r="I2" s="615"/>
      <c r="J2" s="617"/>
      <c r="K2" s="615"/>
      <c r="L2" s="615"/>
      <c r="M2" s="615"/>
      <c r="N2" s="616"/>
      <c r="O2" s="615"/>
      <c r="P2" s="615"/>
      <c r="Q2" s="615"/>
      <c r="R2" s="617"/>
      <c r="S2" s="617"/>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c r="IX2" s="615"/>
      <c r="IY2" s="615"/>
      <c r="IZ2" s="615"/>
    </row>
    <row r="3" spans="1:260" ht="21" customHeight="1">
      <c r="B3" s="3210"/>
      <c r="D3" s="619"/>
      <c r="E3" s="619"/>
      <c r="F3" s="619"/>
      <c r="G3" s="5"/>
      <c r="H3" s="5"/>
      <c r="I3" s="5"/>
      <c r="J3" s="5"/>
      <c r="K3" s="5"/>
      <c r="L3" s="5"/>
      <c r="M3" s="5"/>
      <c r="N3" s="5"/>
    </row>
    <row r="4" spans="1:260" ht="21" customHeight="1">
      <c r="B4" s="63"/>
      <c r="D4" s="787"/>
      <c r="E4" s="1066"/>
      <c r="F4" s="1066"/>
      <c r="G4" s="1067"/>
      <c r="H4" s="1067"/>
      <c r="I4" s="1068"/>
      <c r="J4" s="648"/>
    </row>
    <row r="5" spans="1:260" ht="21" customHeight="1">
      <c r="B5" s="62" t="s">
        <v>1</v>
      </c>
      <c r="D5" s="622"/>
      <c r="E5" s="1101" t="s">
        <v>590</v>
      </c>
      <c r="F5" s="1102" t="s">
        <v>592</v>
      </c>
      <c r="G5" s="12"/>
      <c r="H5" s="12"/>
      <c r="I5" s="1069"/>
      <c r="J5" s="1065"/>
      <c r="K5" s="1064"/>
      <c r="L5" s="12"/>
      <c r="M5" s="12"/>
      <c r="N5" s="12"/>
      <c r="O5" s="12"/>
      <c r="P5" s="12"/>
      <c r="Q5" s="12"/>
      <c r="R5" s="12"/>
      <c r="S5" s="12"/>
      <c r="T5" s="12"/>
      <c r="U5" s="12"/>
      <c r="V5" s="12"/>
      <c r="W5" s="12"/>
      <c r="X5" s="12"/>
      <c r="Y5" s="12"/>
      <c r="Z5" s="12"/>
      <c r="AA5" s="12"/>
    </row>
    <row r="6" spans="1:260" ht="21" customHeight="1">
      <c r="B6" s="397" t="s">
        <v>452</v>
      </c>
      <c r="D6" s="622"/>
      <c r="E6" s="2863">
        <v>0</v>
      </c>
      <c r="F6" s="2865">
        <v>23</v>
      </c>
      <c r="G6" s="12"/>
      <c r="H6" s="12"/>
      <c r="I6" s="1069"/>
      <c r="J6" s="1065"/>
      <c r="K6" s="1064"/>
      <c r="L6" s="12"/>
      <c r="M6" s="12"/>
      <c r="N6" s="12"/>
      <c r="O6" s="12"/>
      <c r="P6" s="12"/>
      <c r="Q6" s="12"/>
      <c r="R6" s="12"/>
      <c r="S6" s="12"/>
      <c r="T6" s="12"/>
      <c r="U6" s="12"/>
      <c r="V6" s="12"/>
      <c r="W6" s="12"/>
      <c r="X6" s="12"/>
      <c r="Y6" s="12"/>
      <c r="Z6" s="12"/>
      <c r="AA6" s="12"/>
    </row>
    <row r="7" spans="1:260" ht="21" customHeight="1">
      <c r="B7" s="62" t="s">
        <v>239</v>
      </c>
      <c r="D7" s="622"/>
      <c r="E7" s="2864">
        <v>4.2</v>
      </c>
      <c r="F7" s="2868">
        <f>F6+((E7-E6)/(E8-E6))*(F8-F6)</f>
        <v>23.167999999999999</v>
      </c>
      <c r="H7" s="12"/>
      <c r="I7" s="1069"/>
      <c r="J7" s="12"/>
      <c r="K7" s="12"/>
      <c r="L7" s="12"/>
      <c r="M7" s="12"/>
      <c r="N7" s="12"/>
      <c r="O7" s="12"/>
      <c r="P7" s="12"/>
      <c r="Q7" s="12"/>
      <c r="R7" s="12"/>
      <c r="S7" s="12"/>
      <c r="T7" s="12"/>
      <c r="U7" s="12"/>
      <c r="V7" s="12"/>
      <c r="W7" s="12"/>
      <c r="X7" s="12"/>
      <c r="Y7" s="12"/>
      <c r="Z7" s="12"/>
      <c r="AA7" s="12"/>
    </row>
    <row r="8" spans="1:260" ht="21" customHeight="1">
      <c r="B8" s="62" t="s">
        <v>1263</v>
      </c>
      <c r="D8" s="622"/>
      <c r="E8" s="2863">
        <v>10</v>
      </c>
      <c r="F8" s="2865">
        <v>23.4</v>
      </c>
      <c r="H8" s="12"/>
      <c r="I8" s="1072"/>
      <c r="J8" s="12"/>
      <c r="K8" s="12"/>
      <c r="L8" s="12"/>
      <c r="M8" s="12"/>
      <c r="N8" s="12"/>
      <c r="O8" s="12"/>
      <c r="P8" s="12"/>
      <c r="Q8" s="12"/>
      <c r="R8" s="12"/>
      <c r="S8" s="12"/>
      <c r="T8" s="12"/>
      <c r="U8" s="12"/>
      <c r="V8" s="12"/>
      <c r="W8" s="12"/>
      <c r="X8" s="12"/>
      <c r="Y8" s="12"/>
      <c r="Z8" s="12"/>
      <c r="AA8" s="12"/>
    </row>
    <row r="9" spans="1:260" ht="21" customHeight="1">
      <c r="B9" s="977" t="s">
        <v>557</v>
      </c>
      <c r="D9" s="622"/>
      <c r="H9" s="12"/>
      <c r="I9" s="1069"/>
      <c r="J9" s="12"/>
      <c r="K9" s="12"/>
      <c r="L9" s="12"/>
      <c r="M9" s="12"/>
      <c r="N9" s="12"/>
      <c r="O9" s="12"/>
      <c r="P9" s="12"/>
      <c r="Q9" s="12"/>
      <c r="R9" s="12"/>
      <c r="S9" s="12"/>
      <c r="T9" s="12"/>
      <c r="U9" s="12"/>
      <c r="V9" s="12"/>
      <c r="W9" s="12"/>
      <c r="X9" s="12"/>
      <c r="Y9" s="12"/>
      <c r="Z9" s="12"/>
      <c r="AA9" s="12"/>
    </row>
    <row r="10" spans="1:260" ht="21" customHeight="1">
      <c r="B10" s="145" t="s">
        <v>680</v>
      </c>
      <c r="D10" s="622"/>
      <c r="E10" s="3341" t="s">
        <v>591</v>
      </c>
      <c r="F10" s="2866">
        <v>0</v>
      </c>
      <c r="G10" s="2867">
        <v>0.7</v>
      </c>
      <c r="H10" s="2866">
        <v>1</v>
      </c>
      <c r="I10" s="1069"/>
      <c r="J10" s="12"/>
      <c r="K10" s="12"/>
      <c r="L10" s="12"/>
      <c r="M10" s="12"/>
      <c r="N10" s="12"/>
      <c r="O10" s="12"/>
      <c r="P10" s="12"/>
      <c r="Q10" s="12"/>
      <c r="R10" s="12"/>
      <c r="S10" s="12"/>
      <c r="T10" s="12"/>
      <c r="U10" s="12"/>
      <c r="V10" s="12"/>
      <c r="W10" s="12"/>
      <c r="X10" s="12"/>
      <c r="Y10" s="12"/>
      <c r="Z10" s="12"/>
      <c r="AA10" s="12"/>
    </row>
    <row r="11" spans="1:260" ht="21" customHeight="1">
      <c r="B11" s="145" t="s">
        <v>621</v>
      </c>
      <c r="D11" s="622"/>
      <c r="E11" s="3342"/>
      <c r="F11" s="3343" t="s">
        <v>592</v>
      </c>
      <c r="G11" s="3344"/>
      <c r="H11" s="3345"/>
      <c r="I11" s="1069"/>
      <c r="J11" s="12"/>
      <c r="K11" s="12"/>
      <c r="L11" s="12"/>
      <c r="M11" s="12"/>
      <c r="R11" s="12"/>
      <c r="S11" s="12"/>
      <c r="T11" s="12"/>
      <c r="U11" s="12"/>
      <c r="V11" s="12"/>
      <c r="W11" s="12"/>
      <c r="X11" s="12"/>
      <c r="Y11" s="12"/>
      <c r="Z11" s="12"/>
      <c r="AA11" s="12"/>
    </row>
    <row r="12" spans="1:260" ht="21" customHeight="1">
      <c r="B12" s="145" t="s">
        <v>562</v>
      </c>
      <c r="D12" s="622"/>
      <c r="E12" s="2863">
        <v>2.2999999999999998</v>
      </c>
      <c r="F12" s="2865">
        <v>5000</v>
      </c>
      <c r="G12" s="2099">
        <f>F12-(F12-H12)*((G10-F10)/(H10-F10))</f>
        <v>5070</v>
      </c>
      <c r="H12" s="2865">
        <v>5100</v>
      </c>
      <c r="I12" s="1069"/>
      <c r="J12" s="12"/>
      <c r="K12" s="12"/>
      <c r="R12" s="12"/>
      <c r="S12" s="12"/>
      <c r="T12" s="12"/>
      <c r="U12" s="12"/>
      <c r="V12" s="12"/>
      <c r="W12" s="12"/>
      <c r="X12" s="12"/>
      <c r="Y12" s="12"/>
      <c r="Z12" s="12"/>
      <c r="AA12" s="12"/>
    </row>
    <row r="13" spans="1:260" ht="21" customHeight="1">
      <c r="B13" s="145" t="s">
        <v>563</v>
      </c>
      <c r="D13" s="622"/>
      <c r="E13" s="2864">
        <v>2.35</v>
      </c>
      <c r="F13" s="2099">
        <f>F12+((E13-E12)/(E14-E12))*(F14-F12)</f>
        <v>4499.9999999999982</v>
      </c>
      <c r="G13" s="1096">
        <f>G12+((E13-E12)/(E14-E12))*(G14-G12)</f>
        <v>4569.9999999999982</v>
      </c>
      <c r="H13" s="2099">
        <f>H12+((E13-E12)/(E14-E12))*(H14-H12)</f>
        <v>4599.9999999999982</v>
      </c>
      <c r="I13" s="1069"/>
      <c r="J13" s="12"/>
      <c r="K13" s="12"/>
      <c r="R13" s="12"/>
      <c r="S13" s="12"/>
      <c r="T13" s="12"/>
      <c r="U13" s="12"/>
      <c r="V13" s="12"/>
      <c r="W13" s="12"/>
      <c r="X13" s="12"/>
      <c r="Y13" s="12"/>
      <c r="Z13" s="12"/>
      <c r="AA13" s="12"/>
    </row>
    <row r="14" spans="1:260" ht="21" customHeight="1">
      <c r="B14" s="147" t="s">
        <v>589</v>
      </c>
      <c r="D14" s="622"/>
      <c r="E14" s="2863">
        <v>2.4</v>
      </c>
      <c r="F14" s="2865">
        <v>4000</v>
      </c>
      <c r="G14" s="2099">
        <f>F14-(F14-H14)*((G10-F10)/(H10-F10))</f>
        <v>4070</v>
      </c>
      <c r="H14" s="2865">
        <v>4100</v>
      </c>
      <c r="I14" s="1069"/>
      <c r="J14" s="12"/>
      <c r="K14" s="12"/>
      <c r="R14" s="12"/>
      <c r="S14" s="12"/>
      <c r="T14" s="12"/>
      <c r="U14" s="12"/>
      <c r="V14" s="12"/>
      <c r="W14" s="12"/>
      <c r="X14" s="12"/>
      <c r="Y14" s="12"/>
      <c r="Z14" s="12"/>
      <c r="AA14" s="12"/>
    </row>
    <row r="15" spans="1:260" ht="21" customHeight="1">
      <c r="B15" s="145" t="s">
        <v>1290</v>
      </c>
      <c r="D15" s="876"/>
      <c r="H15" s="12"/>
      <c r="I15" s="1069"/>
      <c r="J15" s="12"/>
      <c r="K15" s="12"/>
      <c r="R15" s="12"/>
      <c r="S15" s="12"/>
      <c r="T15" s="12"/>
      <c r="U15" s="12"/>
      <c r="V15" s="12"/>
      <c r="W15" s="12"/>
      <c r="X15" s="12"/>
      <c r="Y15" s="12"/>
      <c r="Z15" s="12"/>
      <c r="AA15" s="12"/>
    </row>
    <row r="16" spans="1:260" ht="21" customHeight="1">
      <c r="B16" s="145" t="s">
        <v>1293</v>
      </c>
      <c r="D16" s="622"/>
      <c r="I16" s="1069"/>
      <c r="J16" s="12"/>
      <c r="K16" s="12"/>
      <c r="L16" s="12"/>
      <c r="M16" s="12"/>
      <c r="N16" s="12"/>
      <c r="O16" s="12"/>
      <c r="P16" s="12"/>
      <c r="Q16" s="12"/>
      <c r="R16" s="12"/>
      <c r="S16" s="12"/>
      <c r="T16" s="12"/>
      <c r="U16" s="12"/>
      <c r="V16" s="12"/>
      <c r="W16" s="12"/>
      <c r="X16" s="12"/>
      <c r="Y16" s="12"/>
      <c r="Z16" s="12"/>
      <c r="AA16" s="12"/>
    </row>
    <row r="17" spans="2:18" ht="21" customHeight="1">
      <c r="B17" s="145" t="s">
        <v>1153</v>
      </c>
      <c r="D17" s="622"/>
      <c r="I17" s="1069"/>
      <c r="J17" s="12"/>
      <c r="K17" s="12"/>
      <c r="L17" s="12"/>
      <c r="M17" s="12"/>
      <c r="N17" s="12"/>
      <c r="O17" s="12"/>
      <c r="P17" s="12"/>
      <c r="Q17" s="12"/>
      <c r="R17" s="12"/>
    </row>
    <row r="18" spans="2:18" ht="21" customHeight="1">
      <c r="B18" s="145" t="s">
        <v>1308</v>
      </c>
      <c r="D18" s="622"/>
      <c r="H18" s="12"/>
      <c r="I18" s="1069"/>
      <c r="J18" s="12"/>
      <c r="K18" s="12"/>
      <c r="L18" s="12"/>
      <c r="M18" s="12"/>
      <c r="N18" s="12"/>
      <c r="O18" s="12"/>
      <c r="P18" s="12"/>
      <c r="Q18" s="12"/>
      <c r="R18" s="12"/>
    </row>
    <row r="19" spans="2:18" ht="21" customHeight="1">
      <c r="B19" s="145" t="s">
        <v>1307</v>
      </c>
      <c r="D19" s="622"/>
      <c r="H19" s="12"/>
      <c r="I19" s="1069"/>
      <c r="J19" s="12"/>
      <c r="K19" s="12"/>
      <c r="L19" s="1097"/>
      <c r="P19" s="12"/>
      <c r="Q19" s="12"/>
      <c r="R19" s="12"/>
    </row>
    <row r="20" spans="2:18" ht="21" customHeight="1">
      <c r="B20" s="145" t="s">
        <v>667</v>
      </c>
      <c r="D20" s="622"/>
      <c r="H20" s="12"/>
      <c r="I20" s="1069"/>
      <c r="J20" s="12"/>
      <c r="K20" s="12"/>
      <c r="L20" s="1097"/>
      <c r="P20" s="12"/>
      <c r="Q20" s="12"/>
      <c r="R20" s="12"/>
    </row>
    <row r="21" spans="2:18" ht="21" customHeight="1">
      <c r="B21" s="145" t="s">
        <v>1291</v>
      </c>
      <c r="D21" s="622"/>
      <c r="H21" s="12"/>
      <c r="I21" s="1069"/>
      <c r="J21" s="12"/>
      <c r="K21" s="12"/>
      <c r="L21" s="1098"/>
      <c r="P21" s="12"/>
      <c r="Q21" s="12"/>
      <c r="R21" s="12"/>
    </row>
    <row r="22" spans="2:18" ht="21" customHeight="1">
      <c r="B22" s="145" t="s">
        <v>1322</v>
      </c>
      <c r="D22" s="624"/>
      <c r="E22" s="1070"/>
      <c r="F22" s="1070"/>
      <c r="G22" s="1070"/>
      <c r="H22" s="1070"/>
      <c r="I22" s="1071"/>
      <c r="J22" s="12"/>
      <c r="K22" s="12"/>
      <c r="L22" s="1098"/>
      <c r="M22" s="1098"/>
      <c r="N22" s="1098"/>
      <c r="O22" s="12"/>
      <c r="P22" s="12"/>
      <c r="Q22" s="12"/>
      <c r="R22" s="12"/>
    </row>
    <row r="23" spans="2:18" ht="21" customHeight="1">
      <c r="B23" s="145" t="s">
        <v>1292</v>
      </c>
      <c r="E23" s="12"/>
      <c r="F23" s="12"/>
      <c r="G23" s="12"/>
      <c r="H23" s="12"/>
      <c r="I23" s="12"/>
      <c r="J23" s="12"/>
      <c r="K23" s="12"/>
      <c r="L23" s="1097"/>
      <c r="O23" s="12"/>
      <c r="P23" s="12"/>
      <c r="Q23" s="12"/>
      <c r="R23" s="12"/>
    </row>
    <row r="24" spans="2:18" ht="21" customHeight="1">
      <c r="B24" s="62" t="s">
        <v>238</v>
      </c>
      <c r="E24" s="12"/>
      <c r="F24" s="12"/>
      <c r="G24" s="12"/>
      <c r="H24" s="12"/>
      <c r="I24" s="12"/>
      <c r="J24" s="12"/>
      <c r="K24" s="12"/>
      <c r="L24" s="1098"/>
      <c r="O24" s="12"/>
      <c r="P24" s="12"/>
      <c r="Q24" s="12"/>
      <c r="R24" s="12"/>
    </row>
    <row r="25" spans="2:18" ht="21" customHeight="1">
      <c r="B25" s="62" t="s">
        <v>1652</v>
      </c>
      <c r="E25" s="12"/>
      <c r="F25" s="12"/>
      <c r="G25" s="12"/>
      <c r="H25" s="12"/>
      <c r="I25" s="12"/>
      <c r="J25" s="12"/>
      <c r="K25" s="12"/>
      <c r="L25" s="1098"/>
      <c r="P25" s="12"/>
      <c r="Q25" s="12"/>
      <c r="R25" s="12"/>
    </row>
    <row r="26" spans="2:18" ht="21" customHeight="1">
      <c r="B26" s="62" t="s">
        <v>1653</v>
      </c>
      <c r="E26" s="12"/>
      <c r="F26" s="12"/>
      <c r="G26" s="12"/>
      <c r="H26" s="12"/>
      <c r="I26" s="12"/>
      <c r="J26" s="12"/>
      <c r="K26" s="12"/>
      <c r="L26" s="1098"/>
      <c r="M26" s="1100"/>
      <c r="N26" s="1099"/>
      <c r="P26" s="12"/>
      <c r="Q26" s="12"/>
      <c r="R26" s="12"/>
    </row>
    <row r="27" spans="2:18" ht="21" customHeight="1">
      <c r="B27" s="62" t="s">
        <v>40</v>
      </c>
      <c r="E27" s="12"/>
      <c r="F27" s="12"/>
      <c r="G27" s="12"/>
      <c r="H27" s="12"/>
      <c r="I27" s="12"/>
      <c r="J27" s="12"/>
      <c r="K27" s="12"/>
      <c r="L27" s="1098"/>
      <c r="M27" s="1098"/>
      <c r="N27" s="1098"/>
      <c r="P27" s="12"/>
      <c r="Q27" s="12"/>
      <c r="R27" s="12"/>
    </row>
    <row r="28" spans="2:18" ht="21" customHeight="1">
      <c r="B28" s="62" t="s">
        <v>238</v>
      </c>
      <c r="E28" s="12"/>
      <c r="F28" s="12"/>
      <c r="G28" s="12"/>
      <c r="H28" s="12"/>
      <c r="I28" s="12"/>
      <c r="J28" s="12"/>
      <c r="K28" s="12"/>
      <c r="P28" s="12"/>
      <c r="Q28" s="12"/>
      <c r="R28" s="12"/>
    </row>
    <row r="29" spans="2:18" ht="21" customHeight="1">
      <c r="B29" s="62" t="s">
        <v>39</v>
      </c>
      <c r="J29" s="12"/>
      <c r="K29" s="12"/>
      <c r="P29" s="12"/>
      <c r="Q29" s="12"/>
      <c r="R29" s="12"/>
    </row>
    <row r="30" spans="2:18" ht="21" customHeight="1">
      <c r="B30" s="62" t="s">
        <v>38</v>
      </c>
    </row>
    <row r="31" spans="2:18" ht="21" customHeight="1">
      <c r="B31" s="62"/>
    </row>
    <row r="32" spans="2:18" ht="21" customHeight="1">
      <c r="B32" s="62"/>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37">
      <c r="B49" s="565"/>
    </row>
    <row r="50" spans="2:37">
      <c r="B50" s="565"/>
    </row>
    <row r="51" spans="2:37">
      <c r="B51" s="565"/>
    </row>
    <row r="52" spans="2:37">
      <c r="B52" s="565"/>
    </row>
    <row r="53" spans="2:37">
      <c r="B53" s="565"/>
    </row>
    <row r="54" spans="2:37">
      <c r="B54" s="565"/>
    </row>
    <row r="55" spans="2:37">
      <c r="B55" s="565"/>
    </row>
    <row r="56" spans="2:37">
      <c r="B56" s="565"/>
    </row>
    <row r="57" spans="2:37">
      <c r="B57" s="565"/>
    </row>
    <row r="58" spans="2:37">
      <c r="B58" s="565"/>
    </row>
    <row r="59" spans="2:37">
      <c r="B59" s="565"/>
    </row>
    <row r="60" spans="2:37">
      <c r="B60" s="565"/>
    </row>
    <row r="61" spans="2:37">
      <c r="B61" s="565"/>
    </row>
    <row r="62" spans="2:37">
      <c r="B62" s="565"/>
      <c r="T62" s="5"/>
      <c r="U62" s="5"/>
      <c r="V62" s="5"/>
      <c r="W62" s="5"/>
      <c r="X62" s="5"/>
      <c r="Y62" s="5"/>
      <c r="Z62" s="5"/>
      <c r="AA62" s="5"/>
      <c r="AB62" s="5"/>
      <c r="AC62" s="5"/>
      <c r="AD62" s="5"/>
      <c r="AE62" s="5"/>
      <c r="AF62" s="5"/>
      <c r="AG62" s="5"/>
      <c r="AH62" s="5"/>
      <c r="AI62" s="5"/>
      <c r="AJ62" s="5"/>
      <c r="AK62" s="5"/>
    </row>
    <row r="63" spans="2:37">
      <c r="B63" s="565"/>
      <c r="T63" s="5"/>
      <c r="U63" s="5"/>
      <c r="V63" s="5"/>
      <c r="W63" s="5"/>
      <c r="X63" s="5"/>
      <c r="Y63" s="5"/>
      <c r="Z63" s="5"/>
      <c r="AA63" s="5"/>
      <c r="AB63" s="5"/>
      <c r="AC63" s="5"/>
      <c r="AD63" s="5"/>
      <c r="AE63" s="5"/>
      <c r="AF63" s="5"/>
      <c r="AG63" s="5"/>
      <c r="AH63" s="5"/>
      <c r="AI63" s="5"/>
      <c r="AJ63" s="5"/>
      <c r="AK63" s="5"/>
    </row>
    <row r="64" spans="2:37">
      <c r="B64" s="565"/>
    </row>
    <row r="65" spans="2:2">
      <c r="B65" s="565"/>
    </row>
    <row r="66" spans="2:2">
      <c r="B66" s="565"/>
    </row>
    <row r="67" spans="2:2">
      <c r="B67" s="565"/>
    </row>
    <row r="68" spans="2:2">
      <c r="B68" s="565"/>
    </row>
    <row r="69" spans="2:2">
      <c r="B69" s="565"/>
    </row>
    <row r="70" spans="2:2">
      <c r="B70" s="565"/>
    </row>
    <row r="71" spans="2:2">
      <c r="B71" s="565"/>
    </row>
    <row r="100" spans="27:47">
      <c r="AA100" s="566" t="s">
        <v>550</v>
      </c>
      <c r="AB100" s="12"/>
      <c r="AC100" s="12"/>
      <c r="AD100" s="12"/>
      <c r="AE100" s="12"/>
      <c r="AF100" s="12"/>
      <c r="AG100" s="12"/>
      <c r="AH100" s="12"/>
      <c r="AI100" s="12"/>
    </row>
    <row r="101" spans="27:47">
      <c r="AA101" s="1073" t="s">
        <v>575</v>
      </c>
      <c r="AB101" s="1056"/>
      <c r="AC101" s="1057"/>
      <c r="AD101" s="1058"/>
      <c r="AE101" s="1058"/>
      <c r="AF101" s="1058"/>
      <c r="AG101" s="1058"/>
      <c r="AH101" s="1058"/>
      <c r="AI101" s="1058"/>
      <c r="AJ101" s="1058"/>
      <c r="AK101" s="1058"/>
      <c r="AL101" s="1058"/>
      <c r="AM101" s="1074" t="s">
        <v>575</v>
      </c>
      <c r="AN101" s="1058"/>
      <c r="AO101" s="1058"/>
      <c r="AP101" s="1058"/>
      <c r="AQ101" s="1058"/>
      <c r="AR101" s="1058"/>
      <c r="AS101" s="1058"/>
      <c r="AT101" s="1058"/>
      <c r="AU101" s="1059"/>
    </row>
    <row r="102" spans="27:47" ht="13.15">
      <c r="AA102" s="1062"/>
      <c r="AB102" s="1076"/>
      <c r="AC102" s="1060"/>
      <c r="AD102" s="1060"/>
      <c r="AE102" s="1060"/>
      <c r="AF102" s="1060"/>
      <c r="AG102" s="1060"/>
      <c r="AH102" s="1060"/>
      <c r="AI102" s="1060"/>
      <c r="AJ102" s="1060"/>
      <c r="AK102" s="1060"/>
      <c r="AL102" s="1060"/>
      <c r="AM102" s="1060"/>
      <c r="AN102" s="3208"/>
      <c r="AO102" s="3209"/>
      <c r="AP102" s="1060"/>
      <c r="AQ102" s="1060"/>
      <c r="AR102" s="1060"/>
      <c r="AS102" s="1060"/>
      <c r="AT102" s="1060"/>
      <c r="AU102" s="1061"/>
    </row>
    <row r="103" spans="27:47">
      <c r="AA103" s="1085"/>
      <c r="AB103" s="1086"/>
      <c r="AC103" s="1087"/>
      <c r="AD103" s="1087"/>
      <c r="AE103" s="1087"/>
      <c r="AF103" s="1087"/>
      <c r="AG103" s="1087"/>
      <c r="AH103" s="1087"/>
      <c r="AI103" s="1087"/>
      <c r="AJ103" s="1087"/>
      <c r="AK103" s="1087"/>
      <c r="AL103" s="1087"/>
      <c r="AM103" s="1087"/>
      <c r="AN103" s="1082"/>
      <c r="AO103" s="1079"/>
      <c r="AP103" s="1087"/>
      <c r="AQ103" s="1087"/>
      <c r="AR103" s="1087"/>
      <c r="AS103" s="1087"/>
      <c r="AT103" s="1087"/>
      <c r="AU103" s="1088"/>
    </row>
    <row r="104" spans="27:47">
      <c r="AA104" s="1085"/>
      <c r="AB104" s="1086"/>
      <c r="AC104" s="1087"/>
      <c r="AD104" s="1087"/>
      <c r="AE104" s="1087"/>
      <c r="AF104" s="1087"/>
      <c r="AG104" s="1087"/>
      <c r="AH104" s="1087"/>
      <c r="AI104" s="1087"/>
      <c r="AJ104" s="1087"/>
      <c r="AK104" s="1087"/>
      <c r="AL104" s="1087"/>
      <c r="AM104" s="1087"/>
      <c r="AN104" s="1080"/>
      <c r="AO104" s="1077"/>
      <c r="AP104" s="1087"/>
      <c r="AQ104" s="1087"/>
      <c r="AR104" s="1087"/>
      <c r="AS104" s="1087"/>
      <c r="AT104" s="1087"/>
      <c r="AU104" s="1088"/>
    </row>
    <row r="105" spans="27:47">
      <c r="AA105" s="1085"/>
      <c r="AB105" s="1086"/>
      <c r="AC105" s="1087"/>
      <c r="AD105" s="1087"/>
      <c r="AE105" s="1087"/>
      <c r="AF105" s="1087"/>
      <c r="AG105" s="1087"/>
      <c r="AH105" s="1087"/>
      <c r="AI105" s="1087"/>
      <c r="AJ105" s="1087"/>
      <c r="AK105" s="1087"/>
      <c r="AL105" s="1087"/>
      <c r="AM105" s="1087"/>
      <c r="AN105" s="1081"/>
      <c r="AO105" s="1078"/>
      <c r="AP105" s="1087"/>
      <c r="AQ105" s="1087"/>
      <c r="AR105" s="1087"/>
      <c r="AS105" s="1087"/>
      <c r="AT105" s="1087"/>
      <c r="AU105" s="1088"/>
    </row>
    <row r="106" spans="27:47">
      <c r="AA106" s="1085"/>
      <c r="AB106" s="1086"/>
      <c r="AC106" s="1087"/>
      <c r="AD106" s="1087"/>
      <c r="AE106" s="1087"/>
      <c r="AF106" s="1087"/>
      <c r="AG106" s="1087"/>
      <c r="AH106" s="1087"/>
      <c r="AI106" s="1087"/>
      <c r="AJ106" s="1087"/>
      <c r="AK106" s="1087"/>
      <c r="AL106" s="1087"/>
      <c r="AM106" s="1087"/>
      <c r="AN106" s="1081"/>
      <c r="AO106" s="1078"/>
      <c r="AP106" s="1087"/>
      <c r="AQ106" s="1087"/>
      <c r="AR106" s="1087"/>
      <c r="AS106" s="1087"/>
      <c r="AT106" s="1087"/>
      <c r="AU106" s="1088"/>
    </row>
    <row r="107" spans="27:47">
      <c r="AA107" s="1085"/>
      <c r="AB107" s="1086"/>
      <c r="AC107" s="1087"/>
      <c r="AD107" s="1087"/>
      <c r="AE107" s="1087"/>
      <c r="AF107" s="1087"/>
      <c r="AG107" s="1087"/>
      <c r="AH107" s="1087"/>
      <c r="AI107" s="1087"/>
      <c r="AJ107" s="1087"/>
      <c r="AK107" s="1087"/>
      <c r="AL107" s="1087"/>
      <c r="AM107" s="1087"/>
      <c r="AN107" s="1081"/>
      <c r="AO107" s="1078"/>
      <c r="AP107" s="1087"/>
      <c r="AQ107" s="1087"/>
      <c r="AR107" s="1087"/>
      <c r="AS107" s="1087"/>
      <c r="AT107" s="1087"/>
      <c r="AU107" s="1088"/>
    </row>
    <row r="108" spans="27:47">
      <c r="AA108" s="1085"/>
      <c r="AB108" s="1086"/>
      <c r="AC108" s="1087"/>
      <c r="AD108" s="1087"/>
      <c r="AE108" s="1087"/>
      <c r="AF108" s="1087"/>
      <c r="AG108" s="1087"/>
      <c r="AH108" s="1087"/>
      <c r="AI108" s="1087"/>
      <c r="AJ108" s="1087"/>
      <c r="AK108" s="1087"/>
      <c r="AL108" s="1087"/>
      <c r="AM108" s="1087"/>
      <c r="AN108" s="1081"/>
      <c r="AO108" s="1079"/>
      <c r="AP108" s="1087"/>
      <c r="AQ108" s="1087"/>
      <c r="AR108" s="1087"/>
      <c r="AS108" s="1087"/>
      <c r="AT108" s="1087"/>
      <c r="AU108" s="1088"/>
    </row>
    <row r="109" spans="27:47">
      <c r="AA109" s="1085"/>
      <c r="AB109" s="1086"/>
      <c r="AC109" s="1087"/>
      <c r="AD109" s="1087"/>
      <c r="AE109" s="1087"/>
      <c r="AF109" s="1087"/>
      <c r="AG109" s="1087"/>
      <c r="AH109" s="1087"/>
      <c r="AI109" s="1087"/>
      <c r="AJ109" s="1087"/>
      <c r="AK109" s="1087"/>
      <c r="AL109" s="1087"/>
      <c r="AM109" s="1087"/>
      <c r="AN109" s="1089"/>
      <c r="AO109" s="1090"/>
      <c r="AP109" s="1087"/>
      <c r="AQ109" s="1087"/>
      <c r="AR109" s="1087"/>
      <c r="AS109" s="1087"/>
      <c r="AT109" s="1087"/>
      <c r="AU109" s="1088"/>
    </row>
    <row r="110" spans="27:47">
      <c r="AA110" s="1095"/>
      <c r="AB110" s="399"/>
      <c r="AC110" s="399"/>
      <c r="AD110" s="399"/>
      <c r="AE110" s="399"/>
      <c r="AF110" s="399"/>
      <c r="AG110" s="399"/>
      <c r="AH110" s="399"/>
      <c r="AI110" s="399"/>
      <c r="AJ110" s="538"/>
      <c r="AK110" s="538"/>
      <c r="AL110" s="538"/>
      <c r="AM110" s="538"/>
      <c r="AN110" s="538"/>
      <c r="AO110" s="538"/>
      <c r="AP110" s="538"/>
      <c r="AQ110" s="538"/>
      <c r="AR110" s="538"/>
      <c r="AS110" s="538"/>
      <c r="AT110" s="538"/>
      <c r="AU110" s="537"/>
    </row>
  </sheetData>
  <mergeCells count="4">
    <mergeCell ref="B2:B3"/>
    <mergeCell ref="AN102:AO102"/>
    <mergeCell ref="E10:E11"/>
    <mergeCell ref="F11:H11"/>
  </mergeCells>
  <hyperlinks>
    <hyperlink ref="B2:B3" location="Home!A1" display="HOME" xr:uid="{EC7DD428-B995-4C13-AB39-ACAF493CD9EE}"/>
    <hyperlink ref="AA100" location="'Volume Interpolation'!A1" display="Go to Up" xr:uid="{96DFF6A7-486F-4F06-BFE3-3174A12454F6}"/>
    <hyperlink ref="B5" location="'Documents Manager'!A1" display="DOCUMENTS MANAGER" xr:uid="{350B09F9-8598-4466-B3E9-E3A9D21351BF}"/>
    <hyperlink ref="B30" location="Disclaimer!A1" display="Disclaimer" xr:uid="{E15B7038-0F82-4638-950C-123841DB6E97}"/>
    <hyperlink ref="B29" location="Help!A1" display="Help" xr:uid="{24501B30-E8C5-422C-B367-AC9BD7FF16BC}"/>
    <hyperlink ref="B27" location="'Source - Links'!A1" display="SOURCE / LINKS" xr:uid="{707EA98F-A8F0-4F8A-905B-611845E29B9A}"/>
    <hyperlink ref="B6" location="'ASTM Table Series'!A1" display="ASTM TABLES" xr:uid="{B28A9215-5333-437D-AF96-C7F9DAAE256E}"/>
    <hyperlink ref="B7" location="'ASTM Converter (Tab.1)'!A1" display="ASTM - CONVERTERS" xr:uid="{0C3CBF65-F753-45FA-810C-25905EDB24DD}"/>
    <hyperlink ref="B8" location="'ASTM Calculator V.W.'!A1" display="ASTM - CALCULATORS" xr:uid="{C0271AF6-AC8A-4BAA-BDFB-68A32FEDA065}"/>
    <hyperlink ref="B9" location="'Initial&amp;Max. Loading Rate'!A1" display="CARGO - CALCULATORS" xr:uid="{D783384D-1FEF-427F-B18F-C5CF00837681}"/>
    <hyperlink ref="B12" location="'ETC Cargo operation'!A1" display="• ETC Cargo operation" xr:uid="{9789A1A1-FAE7-4382-B523-522C57BE824A}"/>
    <hyperlink ref="B14" location="'Volume Interpolation'!A1" display="• Volume Interpolation" xr:uid="{D07296EC-A8F6-4C00-AC95-3588D7AE93D3}"/>
    <hyperlink ref="B11" location="'One Tank Filling Rate'!A1" display="• One Tank Filling Rate" xr:uid="{5EC4AA7F-27C4-4CC3-A425-350718FC5B44}"/>
    <hyperlink ref="B10" location="'Initial&amp;Max. Loading Rate'!A1" display="• Initial &amp; Max. Loading Rate" xr:uid="{DCB3BC3A-0B2F-4764-BD94-6D66EF326439}"/>
    <hyperlink ref="B13" location="'Average Gravity-Temp'!A1" display="• Calculator - Average Gravity/Temp" xr:uid="{96F7B55A-5965-4744-AAEE-F88B13D5149A}"/>
    <hyperlink ref="B15" location="'Cargo Lines Volume'!A1" display="• Volume of Cargo Lines Calculator" xr:uid="{85F8E37A-B33F-48ED-90F2-D9A1BD56BF18}"/>
    <hyperlink ref="B20" location="'Pipelines Capacities'!A1" display="• Pipelines Capacities" xr:uid="{EFDE877B-1B70-4C94-9E3C-8C42D0F94580}"/>
    <hyperlink ref="B17" location="'Blended API'!A1" display="• Blended API" xr:uid="{F214F166-D770-42AD-A9CB-3DB3D116E6E8}"/>
    <hyperlink ref="B18:B19" location="'Blended Cargo Prediction'!A1" display="• Blended Cargo Prediction" xr:uid="{70B44454-CEDF-461B-9456-43A20EC95B1D}"/>
    <hyperlink ref="B18" location="'Commingle-LOADING'!A1" display="• Commingle-LOADING" xr:uid="{7D8C6558-0096-4CA6-9ACE-C777B56960D9}"/>
    <hyperlink ref="B19" location="'Commingle-LOADING-DISCHARGING'!A1" display="• Commingle-LOADING-DISCHARGING" xr:uid="{2C1842E7-4D2A-49C6-AECA-581FF1312CCF}"/>
    <hyperlink ref="B21" location="'IG Pressure Change'!A1" display="• Pipelines Capacities Calculator" xr:uid="{DC228B0E-EFE4-4C88-B3C9-3C3BF9682041}"/>
    <hyperlink ref="B16" location="'Wedge Volume Calculator'!A1" display="• Volume Calculator - Wedge formula" xr:uid="{D261D9AF-F9C4-46A7-A64C-D1E6DEE7A2CA}"/>
    <hyperlink ref="B23" location="'Converter Pressure '!A1" display="• Units Converter Pressure" xr:uid="{C6A21028-980A-423E-88D6-5B531271279D}"/>
    <hyperlink ref="B22" location="'IG Pressure Change (2)'!A1" display="• IG Pressure Change-2" xr:uid="{766EBF4F-CDB3-4658-9B44-24A54C70E6EC}"/>
    <hyperlink ref="B25" location="'Guidelines - Definitions'!A1" display="GUIDELINES" xr:uid="{FE6CAE73-126D-49B6-9315-EBCC2F0760B4}"/>
    <hyperlink ref="B26" location="'Guidelines - Bottom Lines'!A1" display="GUIDELINES - CARGO" xr:uid="{2863FE90-3B23-4B1B-9FC8-8A065921BFA6}"/>
  </hyperlinks>
  <pageMargins left="0.75" right="0.75" top="1" bottom="1" header="0.5" footer="0.5"/>
  <pageSetup paperSize="9" orientation="portrait" horizontalDpi="1200" verticalDpi="1200" r:id="rId1"/>
  <headerFooter alignWithMargins="0"/>
  <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70B5-F701-43D2-A3E3-3F9342513BFC}">
  <sheetPr codeName="Module____361">
    <tabColor rgb="FFFFC000"/>
  </sheetPr>
  <dimension ref="A1:BM138"/>
  <sheetViews>
    <sheetView showGridLines="0" showRowColHeaders="0" topLeftCell="B1" zoomScaleNormal="100" workbookViewId="0">
      <selection activeCell="B28" sqref="B28:B29"/>
    </sheetView>
  </sheetViews>
  <sheetFormatPr defaultColWidth="9.1328125" defaultRowHeight="12.75"/>
  <cols>
    <col min="1" max="1" width="1.53125" style="1506" hidden="1" customWidth="1"/>
    <col min="2" max="2" width="36.6640625" style="65" customWidth="1"/>
    <col min="3" max="3" width="2.6640625" style="1443" customWidth="1"/>
    <col min="4" max="4" width="12.33203125" style="1443" customWidth="1"/>
    <col min="5" max="11" width="1.6640625" style="1443" customWidth="1"/>
    <col min="12" max="12" width="11.6640625" style="1443" customWidth="1"/>
    <col min="13" max="14" width="18.6640625" style="1443" customWidth="1"/>
    <col min="15" max="27" width="1.6640625" style="1443" customWidth="1"/>
    <col min="28" max="30" width="18.6640625" style="1443" customWidth="1"/>
    <col min="31" max="31" width="6.86328125" style="1443" customWidth="1"/>
    <col min="32" max="35" width="9.1328125" style="1443" customWidth="1"/>
    <col min="36" max="36" width="16.6640625" style="1443" customWidth="1"/>
    <col min="37" max="37" width="9.1328125" style="1443" customWidth="1"/>
    <col min="38" max="53" width="9.1328125" style="1443"/>
    <col min="54" max="54" width="26.6640625" style="1443" customWidth="1"/>
    <col min="55" max="16384" width="9.1328125" style="1443"/>
  </cols>
  <sheetData>
    <row r="1" spans="1:65" ht="12.75" customHeight="1">
      <c r="A1" s="1442"/>
      <c r="B1" s="1271"/>
      <c r="C1" s="66"/>
      <c r="D1" s="66"/>
      <c r="E1" s="66"/>
      <c r="F1" s="66"/>
      <c r="G1" s="66"/>
      <c r="H1" s="66"/>
      <c r="I1" s="66"/>
      <c r="J1" s="66"/>
    </row>
    <row r="2" spans="1:65" s="1538" customFormat="1" ht="21" customHeight="1">
      <c r="A2" s="1442"/>
      <c r="B2" s="3284" t="s">
        <v>0</v>
      </c>
      <c r="C2" s="66"/>
      <c r="D2" s="1533" t="s">
        <v>940</v>
      </c>
      <c r="E2" s="1534"/>
      <c r="F2" s="1533"/>
      <c r="G2" s="1534"/>
      <c r="H2" s="1534"/>
      <c r="I2" s="1535"/>
      <c r="J2" s="1535"/>
      <c r="K2" s="1535"/>
      <c r="L2" s="1535"/>
      <c r="M2" s="1535"/>
      <c r="N2" s="1535"/>
      <c r="O2" s="1535"/>
      <c r="P2" s="1535"/>
      <c r="Q2" s="1535"/>
      <c r="R2" s="1535"/>
      <c r="S2" s="1535"/>
      <c r="T2" s="1535"/>
      <c r="U2" s="1535"/>
      <c r="V2" s="1535"/>
      <c r="W2" s="1535"/>
      <c r="X2" s="1535"/>
      <c r="Y2" s="1535"/>
      <c r="Z2" s="1535"/>
      <c r="AA2" s="1535"/>
      <c r="AB2" s="1535"/>
      <c r="AC2" s="1535"/>
      <c r="AD2" s="1536"/>
      <c r="AE2" s="1536"/>
      <c r="AF2" s="1537"/>
      <c r="AG2" s="1537"/>
      <c r="AH2" s="1537"/>
      <c r="AI2" s="1537"/>
      <c r="AJ2" s="1537"/>
      <c r="AK2" s="1537"/>
      <c r="AL2" s="1537"/>
      <c r="AM2" s="1537"/>
      <c r="AN2" s="1537"/>
      <c r="AO2" s="1537"/>
      <c r="AP2" s="1537"/>
      <c r="AQ2" s="1537"/>
      <c r="AR2" s="1537"/>
      <c r="AS2" s="1537"/>
      <c r="AT2" s="1537"/>
      <c r="AU2" s="1537"/>
      <c r="AV2" s="1537"/>
      <c r="AW2" s="1537"/>
      <c r="AX2" s="1537"/>
      <c r="AY2" s="1537"/>
      <c r="AZ2" s="1537"/>
      <c r="BA2" s="1537"/>
      <c r="BB2" s="1537"/>
      <c r="BC2" s="1537"/>
      <c r="BD2" s="1537"/>
      <c r="BE2" s="1537"/>
      <c r="BF2" s="1537"/>
      <c r="BG2" s="1537"/>
      <c r="BH2" s="1537"/>
      <c r="BI2" s="1537"/>
      <c r="BJ2" s="1537"/>
      <c r="BK2" s="1537"/>
      <c r="BL2" s="1537"/>
      <c r="BM2" s="1537"/>
    </row>
    <row r="3" spans="1:65" ht="21" customHeight="1">
      <c r="A3" s="1442"/>
      <c r="B3" s="3284"/>
      <c r="C3" s="1444"/>
      <c r="D3" s="1444"/>
      <c r="E3" s="1444"/>
      <c r="F3" s="1445"/>
      <c r="G3" s="1445"/>
      <c r="H3" s="1445"/>
      <c r="I3" s="1446"/>
      <c r="J3" s="1446"/>
      <c r="K3" s="1446"/>
      <c r="L3" s="1446"/>
      <c r="M3" s="1446"/>
      <c r="N3" s="1446"/>
      <c r="O3" s="1446"/>
      <c r="P3" s="1446"/>
      <c r="Q3" s="1446"/>
      <c r="R3" s="1446"/>
      <c r="S3" s="1446"/>
      <c r="T3" s="1446"/>
      <c r="U3" s="1446"/>
      <c r="V3" s="1446"/>
      <c r="W3" s="1446"/>
      <c r="X3" s="1446"/>
      <c r="Y3" s="1446"/>
      <c r="Z3" s="1446"/>
      <c r="AA3" s="1446"/>
      <c r="AB3" s="1446"/>
      <c r="AC3" s="1446"/>
      <c r="AD3" s="1447"/>
      <c r="AE3" s="1447"/>
      <c r="AF3" s="1448"/>
      <c r="AG3" s="1448"/>
      <c r="AH3" s="1448"/>
      <c r="AI3" s="1448"/>
      <c r="AJ3" s="1448"/>
      <c r="AK3" s="1448"/>
      <c r="AL3" s="1448"/>
    </row>
    <row r="4" spans="1:65" ht="11" customHeight="1">
      <c r="A4" s="1442"/>
      <c r="B4" s="1280"/>
      <c r="C4" s="66"/>
      <c r="E4" s="66"/>
      <c r="F4" s="1445"/>
      <c r="G4" s="1445"/>
      <c r="H4" s="1445"/>
      <c r="I4" s="1446"/>
      <c r="J4" s="1446"/>
      <c r="K4" s="1446"/>
      <c r="L4" s="1446"/>
      <c r="M4" s="1446"/>
      <c r="N4" s="1446"/>
      <c r="O4" s="1446"/>
      <c r="P4" s="1446"/>
      <c r="Q4" s="1446"/>
      <c r="R4" s="1446"/>
      <c r="S4" s="1446"/>
      <c r="T4" s="1446"/>
      <c r="U4" s="1446"/>
      <c r="V4" s="1446"/>
      <c r="W4" s="1446"/>
      <c r="X4" s="1446"/>
      <c r="Y4" s="1446"/>
      <c r="Z4" s="1446"/>
      <c r="AA4" s="1446"/>
      <c r="AB4" s="3389" t="s">
        <v>884</v>
      </c>
      <c r="AC4" s="3389" t="s">
        <v>885</v>
      </c>
      <c r="AD4" s="3389" t="s">
        <v>886</v>
      </c>
      <c r="AE4" s="1447"/>
      <c r="AK4" s="1448"/>
      <c r="AL4" s="1448"/>
    </row>
    <row r="5" spans="1:65" ht="11" customHeight="1">
      <c r="A5" s="1442"/>
      <c r="B5" s="1280"/>
      <c r="C5" s="66"/>
      <c r="E5" s="66"/>
      <c r="F5" s="1445"/>
      <c r="G5" s="1445"/>
      <c r="H5" s="1445"/>
      <c r="I5" s="1446"/>
      <c r="J5" s="1446"/>
      <c r="K5" s="1446"/>
      <c r="L5" s="1446"/>
      <c r="M5" s="1446"/>
      <c r="N5" s="1446"/>
      <c r="O5" s="1446"/>
      <c r="P5" s="1446"/>
      <c r="Q5" s="1446"/>
      <c r="R5" s="1446"/>
      <c r="S5" s="1446"/>
      <c r="T5" s="1446"/>
      <c r="U5" s="1446"/>
      <c r="V5" s="1449"/>
      <c r="W5" s="1446"/>
      <c r="X5" s="1449"/>
      <c r="Y5" s="1446"/>
      <c r="Z5" s="1450"/>
      <c r="AB5" s="3390"/>
      <c r="AC5" s="3390"/>
      <c r="AD5" s="3390"/>
      <c r="AE5" s="3392" t="s">
        <v>887</v>
      </c>
      <c r="AF5" s="3393"/>
      <c r="AK5" s="1448"/>
      <c r="AL5" s="1448"/>
    </row>
    <row r="6" spans="1:65" ht="11" customHeight="1">
      <c r="A6" s="1442"/>
      <c r="B6" s="3387" t="s">
        <v>1</v>
      </c>
      <c r="C6" s="66"/>
      <c r="E6" s="66"/>
      <c r="F6" s="1445"/>
      <c r="G6" s="1445"/>
      <c r="H6" s="1445"/>
      <c r="I6" s="1446"/>
      <c r="J6" s="1451"/>
      <c r="K6" s="1452"/>
      <c r="L6" s="1452"/>
      <c r="M6" s="1452"/>
      <c r="N6" s="1452"/>
      <c r="O6" s="1453"/>
      <c r="P6" s="1454"/>
      <c r="Q6" s="1452"/>
      <c r="R6" s="1452"/>
      <c r="S6" s="1452"/>
      <c r="T6" s="1452"/>
      <c r="U6" s="1452"/>
      <c r="V6" s="1455"/>
      <c r="W6" s="1456"/>
      <c r="X6" s="1455"/>
      <c r="Y6" s="1446"/>
      <c r="Z6" s="1457"/>
      <c r="AB6" s="3391">
        <v>11.33</v>
      </c>
      <c r="AC6" s="3391">
        <v>4.5970000000000004</v>
      </c>
      <c r="AD6" s="3391">
        <v>6.64</v>
      </c>
      <c r="AE6" s="1458"/>
      <c r="AF6" s="3399">
        <f>SUM(AB6:AE7)</f>
        <v>22.567</v>
      </c>
      <c r="AH6" s="1459"/>
      <c r="AI6" s="1458"/>
      <c r="AJ6" s="1460"/>
    </row>
    <row r="7" spans="1:65" ht="11" customHeight="1">
      <c r="A7" s="1442"/>
      <c r="B7" s="3387"/>
      <c r="C7" s="66"/>
      <c r="E7" s="66"/>
      <c r="F7" s="1445"/>
      <c r="G7" s="1445"/>
      <c r="H7" s="1445"/>
      <c r="I7" s="1446"/>
      <c r="J7" s="1461"/>
      <c r="K7" s="1446"/>
      <c r="L7" s="1446"/>
      <c r="M7" s="1446"/>
      <c r="N7" s="1446"/>
      <c r="O7" s="1446"/>
      <c r="P7" s="1461"/>
      <c r="Q7" s="1446"/>
      <c r="R7" s="1446"/>
      <c r="S7" s="1446"/>
      <c r="T7" s="1446"/>
      <c r="U7" s="1446"/>
      <c r="V7" s="1461"/>
      <c r="W7" s="1446"/>
      <c r="X7" s="1455"/>
      <c r="Y7" s="1446"/>
      <c r="Z7" s="1457"/>
      <c r="AB7" s="3391"/>
      <c r="AC7" s="3391"/>
      <c r="AD7" s="3391"/>
      <c r="AE7" s="1447"/>
      <c r="AF7" s="3399"/>
      <c r="AH7" s="1459"/>
      <c r="AI7" s="1458"/>
      <c r="AJ7" s="1460"/>
    </row>
    <row r="8" spans="1:65" ht="11" customHeight="1">
      <c r="A8" s="1442"/>
      <c r="B8" s="3387" t="s">
        <v>452</v>
      </c>
      <c r="C8" s="66"/>
      <c r="E8" s="66"/>
      <c r="F8" s="1445"/>
      <c r="G8" s="1445"/>
      <c r="H8" s="1462"/>
      <c r="I8" s="1452"/>
      <c r="J8" s="1452"/>
      <c r="K8" s="1452"/>
      <c r="L8" s="1452"/>
      <c r="M8" s="1452"/>
      <c r="N8" s="1452"/>
      <c r="O8" s="1453"/>
      <c r="P8" s="1452"/>
      <c r="Q8" s="1452"/>
      <c r="R8" s="1454"/>
      <c r="S8" s="1452"/>
      <c r="T8" s="1452"/>
      <c r="U8" s="1452"/>
      <c r="V8" s="1452"/>
      <c r="W8" s="1452"/>
      <c r="X8" s="1455"/>
      <c r="Y8" s="1446"/>
      <c r="Z8" s="1457"/>
      <c r="AB8" s="3391">
        <v>11.55</v>
      </c>
      <c r="AC8" s="3391">
        <v>5.83</v>
      </c>
      <c r="AD8" s="3391">
        <v>5.5430000000000001</v>
      </c>
      <c r="AF8" s="3399">
        <f>SUM(AB8:AE9)</f>
        <v>22.923000000000002</v>
      </c>
      <c r="AH8" s="1459"/>
      <c r="AI8" s="1458"/>
      <c r="AJ8" s="1463"/>
    </row>
    <row r="9" spans="1:65" ht="11" customHeight="1">
      <c r="A9" s="1442"/>
      <c r="B9" s="3387"/>
      <c r="C9" s="66"/>
      <c r="E9" s="66"/>
      <c r="F9" s="1444"/>
      <c r="G9" s="1444"/>
      <c r="H9" s="1464"/>
      <c r="I9" s="1444"/>
      <c r="J9" s="1465"/>
      <c r="P9" s="1466"/>
      <c r="R9" s="1461"/>
      <c r="V9" s="1466"/>
      <c r="X9" s="1461"/>
      <c r="Z9" s="1457"/>
      <c r="AB9" s="3391"/>
      <c r="AC9" s="3391"/>
      <c r="AD9" s="3391"/>
      <c r="AF9" s="3399"/>
    </row>
    <row r="10" spans="1:65" ht="11" customHeight="1">
      <c r="A10" s="1442"/>
      <c r="B10" s="3387" t="s">
        <v>239</v>
      </c>
      <c r="C10" s="66"/>
      <c r="E10" s="66"/>
      <c r="F10" s="1467"/>
      <c r="G10" s="1468"/>
      <c r="H10" s="1468"/>
      <c r="I10" s="1468"/>
      <c r="J10" s="1468"/>
      <c r="K10" s="1469"/>
      <c r="L10" s="1469"/>
      <c r="M10" s="1469"/>
      <c r="N10" s="1469"/>
      <c r="O10" s="1470"/>
      <c r="P10" s="1469"/>
      <c r="Q10" s="1469"/>
      <c r="R10" s="1469"/>
      <c r="S10" s="1469"/>
      <c r="T10" s="1471"/>
      <c r="U10" s="1469"/>
      <c r="V10" s="1469"/>
      <c r="W10" s="1469"/>
      <c r="X10" s="1469"/>
      <c r="Y10" s="1469"/>
      <c r="Z10" s="1457"/>
      <c r="AB10" s="3391">
        <v>11.33</v>
      </c>
      <c r="AC10" s="3391">
        <v>6.4059999999999997</v>
      </c>
      <c r="AD10" s="3391">
        <v>5.5419999999999998</v>
      </c>
      <c r="AF10" s="3399">
        <f>SUM(AB10:AE11)</f>
        <v>23.277999999999999</v>
      </c>
    </row>
    <row r="11" spans="1:65" ht="11" customHeight="1">
      <c r="A11" s="1442"/>
      <c r="B11" s="3387"/>
      <c r="C11" s="66"/>
      <c r="E11" s="66"/>
      <c r="F11" s="1472"/>
      <c r="G11" s="66"/>
      <c r="H11" s="1473"/>
      <c r="I11" s="66"/>
      <c r="J11" s="1473"/>
      <c r="P11" s="1449"/>
      <c r="R11" s="1449"/>
      <c r="T11" s="1457"/>
      <c r="V11" s="1466"/>
      <c r="X11" s="1466"/>
      <c r="Z11" s="1474"/>
      <c r="AB11" s="3391"/>
      <c r="AC11" s="3391"/>
      <c r="AD11" s="3391"/>
      <c r="AF11" s="3399"/>
    </row>
    <row r="12" spans="1:65" ht="11" customHeight="1" thickBot="1">
      <c r="A12" s="1442"/>
      <c r="B12" s="3387" t="s">
        <v>1263</v>
      </c>
      <c r="C12" s="66"/>
      <c r="D12" s="66"/>
      <c r="E12" s="66"/>
      <c r="F12" s="1475"/>
      <c r="G12" s="66"/>
      <c r="H12" s="1475"/>
      <c r="I12" s="66"/>
      <c r="J12" s="1475"/>
      <c r="P12" s="1476"/>
      <c r="R12" s="1476"/>
      <c r="T12" s="1477"/>
      <c r="AD12" s="1478"/>
      <c r="AE12" s="1479"/>
    </row>
    <row r="13" spans="1:65" ht="11" customHeight="1">
      <c r="A13" s="1442"/>
      <c r="B13" s="3388"/>
      <c r="C13" s="66"/>
      <c r="D13" s="3382" t="s">
        <v>888</v>
      </c>
      <c r="E13" s="66"/>
      <c r="F13" s="1472"/>
      <c r="G13" s="66"/>
      <c r="H13" s="1472"/>
      <c r="I13" s="66"/>
      <c r="J13" s="1472"/>
      <c r="L13" s="3380" t="s">
        <v>889</v>
      </c>
      <c r="M13" s="3376" t="s">
        <v>890</v>
      </c>
      <c r="N13" s="3378" t="s">
        <v>891</v>
      </c>
      <c r="O13" s="3367" t="s">
        <v>892</v>
      </c>
      <c r="P13" s="3368"/>
      <c r="Q13" s="3368"/>
      <c r="R13" s="3368"/>
      <c r="S13" s="3368"/>
      <c r="T13" s="3368"/>
      <c r="U13" s="3368"/>
      <c r="V13" s="3368"/>
      <c r="W13" s="3368"/>
      <c r="X13" s="3368"/>
      <c r="Y13" s="3368"/>
      <c r="Z13" s="3368"/>
      <c r="AA13" s="3369"/>
      <c r="AB13" s="3376" t="s">
        <v>893</v>
      </c>
      <c r="AC13" s="3378" t="s">
        <v>894</v>
      </c>
      <c r="AD13" s="3380" t="s">
        <v>895</v>
      </c>
      <c r="AE13" s="3350"/>
    </row>
    <row r="14" spans="1:65" ht="11" customHeight="1">
      <c r="A14" s="1442"/>
      <c r="B14" s="3385" t="s">
        <v>557</v>
      </c>
      <c r="C14" s="66"/>
      <c r="D14" s="3383"/>
      <c r="E14" s="66"/>
      <c r="F14" s="1472"/>
      <c r="G14" s="66"/>
      <c r="H14" s="1472"/>
      <c r="I14" s="66"/>
      <c r="J14" s="1472"/>
      <c r="L14" s="3381"/>
      <c r="M14" s="3377"/>
      <c r="N14" s="3379"/>
      <c r="O14" s="3370"/>
      <c r="P14" s="3371"/>
      <c r="Q14" s="3371"/>
      <c r="R14" s="3371"/>
      <c r="S14" s="3371"/>
      <c r="T14" s="3371"/>
      <c r="U14" s="3371"/>
      <c r="V14" s="3371"/>
      <c r="W14" s="3371"/>
      <c r="X14" s="3371"/>
      <c r="Y14" s="3371"/>
      <c r="Z14" s="3371"/>
      <c r="AA14" s="3372"/>
      <c r="AB14" s="3377"/>
      <c r="AC14" s="3379"/>
      <c r="AD14" s="3381"/>
      <c r="AE14" s="3351"/>
    </row>
    <row r="15" spans="1:65" ht="11" customHeight="1">
      <c r="A15" s="1442"/>
      <c r="B15" s="3386"/>
      <c r="C15" s="66"/>
      <c r="D15" s="3383"/>
      <c r="E15" s="66"/>
      <c r="F15" s="1472"/>
      <c r="G15" s="66"/>
      <c r="H15" s="1472"/>
      <c r="I15" s="66"/>
      <c r="J15" s="1472"/>
      <c r="L15" s="1480"/>
      <c r="M15" s="1480"/>
      <c r="N15" s="1480"/>
      <c r="O15" s="3394" t="s">
        <v>896</v>
      </c>
      <c r="P15" s="1481"/>
      <c r="R15" s="1481"/>
      <c r="T15" s="1481"/>
      <c r="AA15" s="1482"/>
      <c r="AB15" s="1482"/>
      <c r="AC15" s="1483"/>
      <c r="AD15" s="1483"/>
      <c r="AE15" s="3351"/>
    </row>
    <row r="16" spans="1:65" ht="11" customHeight="1">
      <c r="A16" s="1442"/>
      <c r="B16" s="3347" t="s">
        <v>680</v>
      </c>
      <c r="C16" s="66"/>
      <c r="D16" s="3384"/>
      <c r="E16" s="66"/>
      <c r="F16" s="1472"/>
      <c r="G16" s="66"/>
      <c r="H16" s="1472"/>
      <c r="I16" s="66"/>
      <c r="J16" s="1472"/>
      <c r="L16" s="1480"/>
      <c r="M16" s="1480"/>
      <c r="N16" s="1480"/>
      <c r="O16" s="3394"/>
      <c r="P16" s="1481"/>
      <c r="R16" s="1481"/>
      <c r="T16" s="1481"/>
      <c r="AA16" s="1482"/>
      <c r="AB16" s="1482"/>
      <c r="AC16" s="1483"/>
      <c r="AD16" s="1483"/>
      <c r="AE16" s="3351"/>
    </row>
    <row r="17" spans="1:39" ht="11" customHeight="1">
      <c r="A17" s="1442"/>
      <c r="B17" s="3347"/>
      <c r="C17" s="66"/>
      <c r="D17" s="3396">
        <f>BC138</f>
        <v>42.018000000000008</v>
      </c>
      <c r="E17" s="66"/>
      <c r="F17" s="1472"/>
      <c r="G17" s="66"/>
      <c r="H17" s="1472"/>
      <c r="I17" s="66"/>
      <c r="J17" s="1472"/>
      <c r="L17" s="1480"/>
      <c r="M17" s="1480"/>
      <c r="N17" s="1480"/>
      <c r="O17" s="3394"/>
      <c r="P17" s="1481"/>
      <c r="R17" s="1481"/>
      <c r="T17" s="1481"/>
      <c r="AA17" s="1482"/>
      <c r="AB17" s="1482"/>
      <c r="AC17" s="1483"/>
      <c r="AD17" s="1483"/>
      <c r="AE17" s="3351"/>
      <c r="AH17" s="1484"/>
      <c r="AI17" s="1484"/>
      <c r="AJ17" s="1484"/>
      <c r="AK17" s="1484"/>
      <c r="AL17" s="1484"/>
      <c r="AM17" s="1484"/>
    </row>
    <row r="18" spans="1:39" ht="11" customHeight="1">
      <c r="A18" s="1442"/>
      <c r="B18" s="3347" t="s">
        <v>621</v>
      </c>
      <c r="C18" s="66"/>
      <c r="D18" s="3397"/>
      <c r="E18" s="66"/>
      <c r="F18" s="1472"/>
      <c r="G18" s="66"/>
      <c r="H18" s="1472"/>
      <c r="I18" s="66"/>
      <c r="J18" s="1472"/>
      <c r="L18" s="1480"/>
      <c r="M18" s="1480"/>
      <c r="N18" s="1480"/>
      <c r="O18" s="3394"/>
      <c r="P18" s="1481"/>
      <c r="R18" s="1481"/>
      <c r="T18" s="1481"/>
      <c r="AA18" s="1482"/>
      <c r="AB18" s="1482"/>
      <c r="AC18" s="1483"/>
      <c r="AD18" s="1483"/>
      <c r="AE18" s="3351"/>
    </row>
    <row r="19" spans="1:39" ht="11" customHeight="1">
      <c r="A19" s="1442"/>
      <c r="B19" s="3347"/>
      <c r="C19" s="66"/>
      <c r="D19" s="3398"/>
      <c r="E19" s="66"/>
      <c r="F19" s="1472"/>
      <c r="G19" s="66"/>
      <c r="H19" s="1472"/>
      <c r="I19" s="66"/>
      <c r="J19" s="1472"/>
      <c r="L19" s="1480"/>
      <c r="M19" s="1480"/>
      <c r="N19" s="1480"/>
      <c r="O19" s="3394"/>
      <c r="P19" s="1481"/>
      <c r="R19" s="1481"/>
      <c r="T19" s="1481"/>
      <c r="AA19" s="1482"/>
      <c r="AB19" s="1482"/>
      <c r="AC19" s="1483"/>
      <c r="AD19" s="1483"/>
      <c r="AE19" s="3351"/>
    </row>
    <row r="20" spans="1:39" ht="11" customHeight="1">
      <c r="A20" s="1442"/>
      <c r="B20" s="3347" t="s">
        <v>562</v>
      </c>
      <c r="C20" s="66"/>
      <c r="D20" s="3400">
        <f>BD138</f>
        <v>264.28523658</v>
      </c>
      <c r="E20" s="66"/>
      <c r="F20" s="1472"/>
      <c r="G20" s="66"/>
      <c r="H20" s="1472"/>
      <c r="I20" s="66"/>
      <c r="J20" s="1472"/>
      <c r="L20" s="1480"/>
      <c r="M20" s="1480"/>
      <c r="N20" s="1480"/>
      <c r="O20" s="3394"/>
      <c r="P20" s="1481"/>
      <c r="R20" s="1481"/>
      <c r="T20" s="1481"/>
      <c r="AA20" s="1482"/>
      <c r="AB20" s="1482"/>
      <c r="AC20" s="1483"/>
      <c r="AD20" s="1483"/>
      <c r="AE20" s="3351"/>
    </row>
    <row r="21" spans="1:39" ht="11" customHeight="1">
      <c r="A21" s="1442"/>
      <c r="B21" s="3347"/>
      <c r="C21" s="66"/>
      <c r="D21" s="3401"/>
      <c r="E21" s="66"/>
      <c r="F21" s="1472"/>
      <c r="G21" s="66"/>
      <c r="H21" s="1472"/>
      <c r="I21" s="66"/>
      <c r="J21" s="1472"/>
      <c r="L21" s="1480"/>
      <c r="M21" s="1480"/>
      <c r="N21" s="1480"/>
      <c r="O21" s="3394"/>
      <c r="P21" s="1481"/>
      <c r="R21" s="1481"/>
      <c r="T21" s="1481"/>
      <c r="AA21" s="1482"/>
      <c r="AB21" s="1482"/>
      <c r="AC21" s="1483"/>
      <c r="AD21" s="1483"/>
      <c r="AE21" s="3351"/>
    </row>
    <row r="22" spans="1:39" ht="11" customHeight="1">
      <c r="A22" s="1442"/>
      <c r="B22" s="3347" t="s">
        <v>563</v>
      </c>
      <c r="C22" s="66"/>
      <c r="D22" s="3402"/>
      <c r="E22" s="66"/>
      <c r="F22" s="1472"/>
      <c r="G22" s="66"/>
      <c r="H22" s="1472"/>
      <c r="I22" s="66"/>
      <c r="J22" s="1472"/>
      <c r="L22" s="1483" t="s">
        <v>897</v>
      </c>
      <c r="M22" s="1485" t="s">
        <v>897</v>
      </c>
      <c r="N22" s="1485" t="s">
        <v>897</v>
      </c>
      <c r="O22" s="3395"/>
      <c r="P22" s="1481"/>
      <c r="R22" s="1481"/>
      <c r="T22" s="1481"/>
      <c r="U22" s="3373" t="s">
        <v>897</v>
      </c>
      <c r="V22" s="3374"/>
      <c r="W22" s="3374"/>
      <c r="X22" s="3374"/>
      <c r="Y22" s="3374"/>
      <c r="Z22" s="3374"/>
      <c r="AA22" s="3375"/>
      <c r="AB22" s="1485" t="s">
        <v>897</v>
      </c>
      <c r="AC22" s="1485" t="s">
        <v>897</v>
      </c>
      <c r="AD22" s="1485" t="s">
        <v>897</v>
      </c>
      <c r="AE22" s="3351"/>
    </row>
    <row r="23" spans="1:39" ht="11" customHeight="1">
      <c r="A23" s="1442"/>
      <c r="B23" s="3347"/>
      <c r="C23" s="66"/>
      <c r="E23" s="66"/>
      <c r="F23" s="1472"/>
      <c r="G23" s="66"/>
      <c r="H23" s="1472"/>
      <c r="I23" s="66"/>
      <c r="J23" s="1486"/>
      <c r="K23" s="1487"/>
      <c r="L23" s="1488"/>
      <c r="M23" s="1488"/>
      <c r="N23" s="1488"/>
      <c r="O23" s="1489"/>
      <c r="P23" s="1490"/>
      <c r="Q23" s="1491"/>
      <c r="R23" s="1481"/>
      <c r="S23" s="1491"/>
      <c r="T23" s="1481"/>
      <c r="U23" s="1491"/>
      <c r="V23" s="1491"/>
      <c r="W23" s="1491"/>
      <c r="X23" s="1491"/>
      <c r="Y23" s="1491"/>
      <c r="Z23" s="1491"/>
      <c r="AA23" s="1492"/>
      <c r="AB23" s="1488"/>
      <c r="AC23" s="1493"/>
      <c r="AD23" s="1493"/>
      <c r="AE23" s="3351"/>
    </row>
    <row r="24" spans="1:39" ht="11" customHeight="1">
      <c r="A24" s="1442"/>
      <c r="B24" s="3347" t="s">
        <v>589</v>
      </c>
      <c r="C24" s="66"/>
      <c r="E24" s="66"/>
      <c r="F24" s="1472"/>
      <c r="G24" s="66"/>
      <c r="H24" s="1472"/>
      <c r="I24" s="66"/>
      <c r="J24" s="66"/>
      <c r="L24" s="1483"/>
      <c r="M24" s="1483"/>
      <c r="N24" s="1483"/>
      <c r="O24" s="1494"/>
      <c r="R24" s="1481"/>
      <c r="T24" s="1481"/>
      <c r="AA24" s="1482"/>
      <c r="AB24" s="1483"/>
      <c r="AC24" s="1483"/>
      <c r="AD24" s="1483"/>
      <c r="AE24" s="3351"/>
    </row>
    <row r="25" spans="1:39" ht="11" customHeight="1">
      <c r="A25" s="1442"/>
      <c r="B25" s="3347"/>
      <c r="C25" s="66"/>
      <c r="E25" s="66"/>
      <c r="F25" s="1472"/>
      <c r="G25" s="66"/>
      <c r="H25" s="1486"/>
      <c r="I25" s="1469"/>
      <c r="J25" s="1469"/>
      <c r="K25" s="1487"/>
      <c r="L25" s="1488"/>
      <c r="M25" s="1488"/>
      <c r="N25" s="1488"/>
      <c r="O25" s="1489"/>
      <c r="P25" s="1491"/>
      <c r="Q25" s="1491"/>
      <c r="R25" s="1490"/>
      <c r="S25" s="1491"/>
      <c r="T25" s="1481"/>
      <c r="U25" s="1491"/>
      <c r="V25" s="1491"/>
      <c r="W25" s="1491"/>
      <c r="X25" s="1491"/>
      <c r="Y25" s="1491"/>
      <c r="Z25" s="1491"/>
      <c r="AA25" s="1492"/>
      <c r="AB25" s="1488"/>
      <c r="AC25" s="1488"/>
      <c r="AD25" s="1493"/>
      <c r="AE25" s="3351"/>
    </row>
    <row r="26" spans="1:39" ht="11" customHeight="1">
      <c r="A26" s="1442"/>
      <c r="B26" s="3348" t="s">
        <v>1290</v>
      </c>
      <c r="C26" s="66"/>
      <c r="E26" s="66"/>
      <c r="F26" s="1472"/>
      <c r="G26" s="66"/>
      <c r="H26" s="66"/>
      <c r="I26" s="66"/>
      <c r="J26" s="66"/>
      <c r="L26" s="1483"/>
      <c r="M26" s="1483"/>
      <c r="N26" s="1483"/>
      <c r="O26" s="1494"/>
      <c r="T26" s="1481"/>
      <c r="AA26" s="1482"/>
      <c r="AB26" s="1483"/>
      <c r="AC26" s="1483"/>
      <c r="AD26" s="1483"/>
      <c r="AE26" s="3351"/>
    </row>
    <row r="27" spans="1:39" ht="11" customHeight="1">
      <c r="A27" s="1442"/>
      <c r="B27" s="3349"/>
      <c r="C27" s="66"/>
      <c r="E27" s="66"/>
      <c r="F27" s="1486"/>
      <c r="G27" s="1469"/>
      <c r="H27" s="1469"/>
      <c r="I27" s="1469"/>
      <c r="J27" s="1469"/>
      <c r="K27" s="1487"/>
      <c r="L27" s="1488"/>
      <c r="M27" s="1488"/>
      <c r="N27" s="1488"/>
      <c r="O27" s="1489"/>
      <c r="P27" s="1491"/>
      <c r="Q27" s="1491"/>
      <c r="R27" s="1491"/>
      <c r="S27" s="1491"/>
      <c r="T27" s="1490"/>
      <c r="U27" s="1491"/>
      <c r="V27" s="1491"/>
      <c r="W27" s="1491"/>
      <c r="X27" s="1491"/>
      <c r="Y27" s="1491"/>
      <c r="Z27" s="1491"/>
      <c r="AA27" s="1492"/>
      <c r="AB27" s="1488"/>
      <c r="AC27" s="1488"/>
      <c r="AD27" s="1488"/>
      <c r="AE27" s="3351"/>
    </row>
    <row r="28" spans="1:39" ht="11" customHeight="1" thickBot="1">
      <c r="A28" s="1442"/>
      <c r="B28" s="3346" t="s">
        <v>1309</v>
      </c>
      <c r="C28" s="66"/>
      <c r="D28" s="66"/>
      <c r="E28" s="66"/>
      <c r="F28" s="66"/>
      <c r="G28" s="66"/>
      <c r="H28" s="66"/>
      <c r="I28" s="66"/>
      <c r="J28" s="66"/>
      <c r="L28" s="1495"/>
      <c r="M28" s="1495"/>
      <c r="N28" s="1495"/>
      <c r="O28" s="1496"/>
      <c r="P28" s="1478"/>
      <c r="Q28" s="1478"/>
      <c r="R28" s="1478"/>
      <c r="S28" s="1478"/>
      <c r="T28" s="1478"/>
      <c r="U28" s="1478"/>
      <c r="V28" s="1478"/>
      <c r="W28" s="1478"/>
      <c r="X28" s="1478"/>
      <c r="Y28" s="1478"/>
      <c r="Z28" s="1478"/>
      <c r="AA28" s="1497"/>
      <c r="AB28" s="1495"/>
      <c r="AC28" s="1495"/>
      <c r="AD28" s="1495"/>
      <c r="AE28" s="3351"/>
    </row>
    <row r="29" spans="1:39" ht="11" customHeight="1">
      <c r="A29" s="1442"/>
      <c r="B29" s="3347"/>
      <c r="C29" s="66"/>
      <c r="D29" s="66"/>
      <c r="E29" s="66"/>
      <c r="F29" s="66"/>
      <c r="G29" s="66"/>
      <c r="H29" s="66"/>
      <c r="I29" s="66"/>
      <c r="J29" s="66"/>
      <c r="L29" s="1498"/>
      <c r="AD29" s="1499"/>
    </row>
    <row r="30" spans="1:39" ht="11" customHeight="1">
      <c r="A30" s="1442"/>
      <c r="B30" s="3347" t="s">
        <v>1153</v>
      </c>
      <c r="C30" s="66"/>
      <c r="D30" s="66"/>
      <c r="E30" s="66"/>
      <c r="F30" s="66"/>
      <c r="G30" s="66"/>
      <c r="H30" s="66"/>
      <c r="I30" s="66"/>
      <c r="J30" s="66"/>
      <c r="L30" s="1498"/>
      <c r="AL30" s="1500"/>
    </row>
    <row r="31" spans="1:39" ht="11" customHeight="1">
      <c r="A31" s="1442"/>
      <c r="B31" s="3347"/>
      <c r="C31" s="66"/>
      <c r="D31" s="66"/>
      <c r="E31" s="66"/>
      <c r="F31" s="3355" t="s">
        <v>898</v>
      </c>
      <c r="G31" s="3356"/>
      <c r="H31" s="3356"/>
      <c r="I31" s="3356"/>
      <c r="J31" s="3356"/>
      <c r="K31" s="3357"/>
      <c r="L31" s="3361" t="s">
        <v>899</v>
      </c>
      <c r="M31" s="3362"/>
      <c r="N31" s="3362"/>
      <c r="O31" s="3362"/>
      <c r="P31" s="3362"/>
      <c r="Q31" s="3362"/>
      <c r="R31" s="3362"/>
      <c r="S31" s="3362"/>
      <c r="T31" s="3362"/>
      <c r="U31" s="3362"/>
      <c r="V31" s="3362"/>
      <c r="W31" s="3362"/>
      <c r="X31" s="3362"/>
      <c r="Y31" s="3362"/>
      <c r="Z31" s="3362"/>
      <c r="AA31" s="3362"/>
      <c r="AB31" s="3362"/>
      <c r="AC31" s="3362"/>
      <c r="AD31" s="3363"/>
      <c r="AL31" s="1500"/>
    </row>
    <row r="32" spans="1:39" ht="21" customHeight="1">
      <c r="A32" s="1442"/>
      <c r="B32" s="145" t="s">
        <v>1308</v>
      </c>
      <c r="C32" s="66"/>
      <c r="D32" s="66"/>
      <c r="E32" s="66"/>
      <c r="F32" s="3358"/>
      <c r="G32" s="3359"/>
      <c r="H32" s="3359"/>
      <c r="I32" s="3359"/>
      <c r="J32" s="3359"/>
      <c r="K32" s="3360"/>
      <c r="L32" s="1501" t="s">
        <v>889</v>
      </c>
      <c r="M32" s="1501" t="s">
        <v>890</v>
      </c>
      <c r="N32" s="1501" t="s">
        <v>891</v>
      </c>
      <c r="O32" s="3364" t="s">
        <v>892</v>
      </c>
      <c r="P32" s="3365"/>
      <c r="Q32" s="3365"/>
      <c r="R32" s="3365"/>
      <c r="S32" s="3365"/>
      <c r="T32" s="3365"/>
      <c r="U32" s="3365"/>
      <c r="V32" s="3365"/>
      <c r="W32" s="3365"/>
      <c r="X32" s="3365"/>
      <c r="Y32" s="3365"/>
      <c r="Z32" s="3365"/>
      <c r="AA32" s="3366"/>
      <c r="AB32" s="1501" t="s">
        <v>893</v>
      </c>
      <c r="AC32" s="1501" t="s">
        <v>894</v>
      </c>
      <c r="AD32" s="1501" t="s">
        <v>895</v>
      </c>
    </row>
    <row r="33" spans="1:30" ht="21" customHeight="1">
      <c r="A33" s="1442"/>
      <c r="B33" s="145" t="s">
        <v>1307</v>
      </c>
      <c r="C33" s="66"/>
      <c r="D33" s="66"/>
      <c r="E33" s="66"/>
      <c r="F33" s="3352">
        <v>7.577</v>
      </c>
      <c r="G33" s="3353"/>
      <c r="H33" s="3353"/>
      <c r="I33" s="3353"/>
      <c r="J33" s="3353"/>
      <c r="K33" s="3354"/>
      <c r="L33" s="2882">
        <v>1.244</v>
      </c>
      <c r="M33" s="2882">
        <v>7.3760000000000003</v>
      </c>
      <c r="N33" s="2882">
        <v>6.4059999999999997</v>
      </c>
      <c r="O33" s="3352">
        <v>9.9619999999999997</v>
      </c>
      <c r="P33" s="3353"/>
      <c r="Q33" s="3353"/>
      <c r="R33" s="3353"/>
      <c r="S33" s="3353"/>
      <c r="T33" s="3353"/>
      <c r="U33" s="3353"/>
      <c r="V33" s="3353"/>
      <c r="W33" s="3353"/>
      <c r="X33" s="3353"/>
      <c r="Y33" s="3353"/>
      <c r="Z33" s="3353"/>
      <c r="AA33" s="3354"/>
      <c r="AB33" s="2882">
        <v>4.1900000000000004</v>
      </c>
      <c r="AC33" s="2883"/>
      <c r="AD33" s="2883"/>
    </row>
    <row r="34" spans="1:30" ht="21" customHeight="1">
      <c r="A34" s="1442"/>
      <c r="B34" s="145" t="s">
        <v>667</v>
      </c>
      <c r="C34" s="66"/>
      <c r="D34" s="66"/>
      <c r="E34" s="66"/>
      <c r="F34" s="3352">
        <v>7.1470000000000002</v>
      </c>
      <c r="G34" s="3353"/>
      <c r="H34" s="3353"/>
      <c r="I34" s="3353"/>
      <c r="J34" s="3353"/>
      <c r="K34" s="3354"/>
      <c r="L34" s="2882">
        <v>1.502</v>
      </c>
      <c r="M34" s="2882">
        <v>6.4039999999999999</v>
      </c>
      <c r="N34" s="2882">
        <v>8.3529999999999998</v>
      </c>
      <c r="O34" s="3352">
        <v>9.9619999999999997</v>
      </c>
      <c r="P34" s="3353"/>
      <c r="Q34" s="3353"/>
      <c r="R34" s="3353"/>
      <c r="S34" s="3353"/>
      <c r="T34" s="3353"/>
      <c r="U34" s="3353"/>
      <c r="V34" s="3353"/>
      <c r="W34" s="3353"/>
      <c r="X34" s="3353"/>
      <c r="Y34" s="3353"/>
      <c r="Z34" s="3353"/>
      <c r="AA34" s="3354"/>
      <c r="AB34" s="2882">
        <v>6.4039999999999999</v>
      </c>
      <c r="AC34" s="2882">
        <v>3.2879999999999998</v>
      </c>
      <c r="AD34" s="2883"/>
    </row>
    <row r="35" spans="1:30" ht="21" customHeight="1">
      <c r="A35" s="1442"/>
      <c r="B35" s="145" t="s">
        <v>1291</v>
      </c>
      <c r="C35" s="66"/>
      <c r="D35" s="66"/>
      <c r="E35" s="66"/>
      <c r="F35" s="3352">
        <v>7.8680000000000003</v>
      </c>
      <c r="G35" s="3353"/>
      <c r="H35" s="3353"/>
      <c r="I35" s="3353"/>
      <c r="J35" s="3353"/>
      <c r="K35" s="3354"/>
      <c r="L35" s="2882">
        <v>2.6389999999999998</v>
      </c>
      <c r="M35" s="2882">
        <v>6.4039999999999999</v>
      </c>
      <c r="N35" s="2882">
        <v>6.4059999999999997</v>
      </c>
      <c r="O35" s="3352">
        <v>11.909000000000001</v>
      </c>
      <c r="P35" s="3353"/>
      <c r="Q35" s="3353"/>
      <c r="R35" s="3353"/>
      <c r="S35" s="3353"/>
      <c r="T35" s="3353"/>
      <c r="U35" s="3353"/>
      <c r="V35" s="3353"/>
      <c r="W35" s="3353"/>
      <c r="X35" s="3353"/>
      <c r="Y35" s="3353"/>
      <c r="Z35" s="3353"/>
      <c r="AA35" s="3354"/>
      <c r="AB35" s="2882">
        <v>6.4039999999999999</v>
      </c>
      <c r="AC35" s="2882">
        <v>6.4119999999999999</v>
      </c>
      <c r="AD35" s="2882">
        <v>1.8440000000000001</v>
      </c>
    </row>
    <row r="36" spans="1:30" ht="21" customHeight="1">
      <c r="A36" s="1442"/>
      <c r="B36" s="145" t="s">
        <v>1322</v>
      </c>
      <c r="C36" s="66"/>
      <c r="D36" s="66"/>
      <c r="E36" s="66"/>
      <c r="F36" s="66"/>
      <c r="G36" s="66"/>
      <c r="H36" s="66"/>
      <c r="I36" s="66"/>
      <c r="J36" s="66"/>
    </row>
    <row r="37" spans="1:30" ht="21" customHeight="1">
      <c r="A37" s="1442"/>
      <c r="B37" s="145" t="s">
        <v>1292</v>
      </c>
      <c r="C37" s="66"/>
      <c r="D37" s="66"/>
      <c r="E37" s="66"/>
      <c r="F37" s="66"/>
      <c r="G37" s="66"/>
      <c r="H37" s="66"/>
      <c r="I37" s="66"/>
      <c r="J37" s="66"/>
      <c r="N37" s="1502"/>
    </row>
    <row r="38" spans="1:30" ht="21" customHeight="1">
      <c r="A38" s="1442"/>
      <c r="B38" s="62" t="s">
        <v>238</v>
      </c>
      <c r="C38" s="66"/>
      <c r="D38" s="66"/>
      <c r="E38" s="66"/>
      <c r="F38" s="66"/>
      <c r="G38" s="66"/>
      <c r="H38" s="66"/>
      <c r="I38" s="66"/>
      <c r="J38" s="66"/>
      <c r="N38" s="1503"/>
    </row>
    <row r="39" spans="1:30" ht="21" customHeight="1">
      <c r="A39" s="1442"/>
      <c r="B39" s="62" t="s">
        <v>1652</v>
      </c>
      <c r="C39" s="66"/>
      <c r="D39" s="66"/>
      <c r="E39" s="66"/>
      <c r="F39" s="66"/>
      <c r="G39" s="66"/>
      <c r="H39" s="66"/>
      <c r="I39" s="66"/>
      <c r="J39" s="66"/>
      <c r="N39" s="1503"/>
    </row>
    <row r="40" spans="1:30" ht="21" customHeight="1">
      <c r="A40" s="1442"/>
      <c r="B40" s="62" t="s">
        <v>1653</v>
      </c>
      <c r="C40" s="66"/>
      <c r="D40" s="66"/>
      <c r="E40" s="66"/>
      <c r="F40" s="66"/>
      <c r="G40" s="66"/>
      <c r="H40" s="66"/>
      <c r="I40" s="66"/>
      <c r="J40" s="66"/>
    </row>
    <row r="41" spans="1:30" ht="21" customHeight="1">
      <c r="A41" s="1442"/>
      <c r="B41" s="62" t="s">
        <v>40</v>
      </c>
      <c r="C41" s="66"/>
      <c r="D41" s="66"/>
      <c r="E41" s="66"/>
      <c r="F41" s="66"/>
      <c r="G41" s="66"/>
      <c r="H41" s="66"/>
      <c r="I41" s="66"/>
      <c r="J41" s="66"/>
      <c r="N41" s="1504"/>
    </row>
    <row r="42" spans="1:30" ht="21" customHeight="1">
      <c r="A42" s="1442"/>
      <c r="B42" s="62" t="s">
        <v>238</v>
      </c>
      <c r="C42" s="66"/>
      <c r="D42" s="66"/>
      <c r="E42" s="66"/>
      <c r="F42" s="66"/>
      <c r="G42" s="66"/>
      <c r="H42" s="66"/>
      <c r="I42" s="66"/>
      <c r="J42" s="66"/>
    </row>
    <row r="43" spans="1:30" ht="21" customHeight="1">
      <c r="A43" s="1442"/>
      <c r="B43" s="62" t="s">
        <v>39</v>
      </c>
      <c r="C43" s="66"/>
      <c r="D43" s="66"/>
      <c r="E43" s="66"/>
      <c r="F43" s="66"/>
      <c r="G43" s="66"/>
      <c r="H43" s="66"/>
      <c r="I43" s="66"/>
      <c r="J43" s="66"/>
      <c r="N43" s="1505"/>
    </row>
    <row r="44" spans="1:30" ht="21" customHeight="1">
      <c r="A44" s="1442"/>
      <c r="B44" s="62" t="s">
        <v>38</v>
      </c>
      <c r="C44" s="66"/>
      <c r="D44" s="66"/>
      <c r="E44" s="66"/>
      <c r="F44" s="66"/>
      <c r="G44" s="66"/>
      <c r="H44" s="66"/>
      <c r="I44" s="66"/>
      <c r="J44" s="66"/>
    </row>
    <row r="45" spans="1:30" ht="21" customHeight="1">
      <c r="A45" s="1442"/>
      <c r="B45" s="62"/>
      <c r="C45" s="66"/>
      <c r="D45" s="66"/>
      <c r="E45" s="66"/>
      <c r="F45" s="66"/>
      <c r="G45" s="66"/>
      <c r="H45" s="66"/>
      <c r="I45" s="66"/>
      <c r="J45" s="66"/>
    </row>
    <row r="46" spans="1:30" ht="21" customHeight="1">
      <c r="A46" s="1442"/>
      <c r="B46" s="62"/>
      <c r="C46" s="66"/>
      <c r="D46" s="66"/>
      <c r="E46" s="66"/>
      <c r="F46" s="66"/>
      <c r="G46" s="66"/>
      <c r="H46" s="66"/>
      <c r="I46" s="66"/>
      <c r="J46" s="66"/>
    </row>
    <row r="47" spans="1:30" ht="21" customHeight="1">
      <c r="A47" s="1442"/>
      <c r="B47" s="565"/>
      <c r="C47" s="66"/>
      <c r="D47" s="66"/>
      <c r="E47" s="66"/>
      <c r="F47" s="66"/>
      <c r="G47" s="66"/>
      <c r="H47" s="66"/>
      <c r="I47" s="66"/>
      <c r="J47" s="66"/>
    </row>
    <row r="48" spans="1:30" ht="21" customHeight="1">
      <c r="A48" s="1442"/>
      <c r="B48" s="1271"/>
      <c r="C48" s="66"/>
      <c r="D48" s="66"/>
      <c r="E48" s="66"/>
      <c r="F48" s="66"/>
      <c r="G48" s="66"/>
      <c r="H48" s="66"/>
      <c r="I48" s="66"/>
      <c r="J48" s="66"/>
    </row>
    <row r="49" spans="1:10" ht="21" customHeight="1">
      <c r="A49" s="1442"/>
      <c r="B49" s="1271"/>
      <c r="C49" s="66"/>
      <c r="D49" s="66"/>
      <c r="E49" s="66"/>
      <c r="F49" s="66"/>
      <c r="G49" s="66"/>
      <c r="H49" s="66"/>
      <c r="I49" s="66"/>
      <c r="J49" s="66"/>
    </row>
    <row r="50" spans="1:10" ht="21" customHeight="1">
      <c r="A50" s="1442"/>
      <c r="B50" s="1271"/>
      <c r="C50" s="66"/>
      <c r="D50" s="66"/>
      <c r="E50" s="66"/>
      <c r="F50" s="66"/>
      <c r="G50" s="66"/>
      <c r="H50" s="66"/>
      <c r="I50" s="66"/>
      <c r="J50" s="66"/>
    </row>
    <row r="51" spans="1:10" ht="21" customHeight="1">
      <c r="A51" s="1442"/>
      <c r="B51" s="1271"/>
      <c r="C51" s="66"/>
      <c r="D51" s="66"/>
      <c r="E51" s="66"/>
      <c r="F51" s="66"/>
      <c r="G51" s="66"/>
      <c r="H51" s="66"/>
      <c r="I51" s="66"/>
      <c r="J51" s="66"/>
    </row>
    <row r="52" spans="1:10">
      <c r="A52" s="1442"/>
      <c r="B52" s="1271"/>
      <c r="C52" s="66"/>
      <c r="D52" s="66"/>
      <c r="E52" s="66"/>
      <c r="F52" s="66"/>
      <c r="G52" s="66"/>
      <c r="H52" s="66"/>
      <c r="I52" s="66"/>
      <c r="J52" s="66"/>
    </row>
    <row r="53" spans="1:10">
      <c r="A53" s="1442"/>
      <c r="B53" s="1271"/>
      <c r="C53" s="66"/>
      <c r="D53" s="66"/>
      <c r="E53" s="66"/>
      <c r="F53" s="66"/>
      <c r="G53" s="66"/>
      <c r="H53" s="66"/>
      <c r="I53" s="66"/>
      <c r="J53" s="66"/>
    </row>
    <row r="54" spans="1:10">
      <c r="A54" s="1442"/>
      <c r="B54" s="1271"/>
      <c r="C54" s="66"/>
      <c r="D54" s="66"/>
      <c r="E54" s="66"/>
      <c r="F54" s="66"/>
      <c r="G54" s="66"/>
      <c r="H54" s="66"/>
      <c r="I54" s="66"/>
      <c r="J54" s="66"/>
    </row>
    <row r="55" spans="1:10">
      <c r="A55" s="1442"/>
      <c r="B55" s="1271"/>
      <c r="C55" s="66"/>
      <c r="D55" s="66"/>
      <c r="E55" s="66"/>
      <c r="F55" s="66"/>
      <c r="G55" s="66"/>
      <c r="H55" s="66"/>
      <c r="I55" s="66"/>
      <c r="J55" s="66"/>
    </row>
    <row r="56" spans="1:10">
      <c r="A56" s="1442"/>
      <c r="B56" s="1271"/>
      <c r="C56" s="66"/>
      <c r="D56" s="66"/>
      <c r="E56" s="66"/>
      <c r="F56" s="66"/>
      <c r="G56" s="66"/>
      <c r="H56" s="66"/>
      <c r="I56" s="66"/>
      <c r="J56" s="66"/>
    </row>
    <row r="57" spans="1:10">
      <c r="A57" s="1442"/>
      <c r="B57" s="1271"/>
      <c r="C57" s="66"/>
      <c r="D57" s="66"/>
      <c r="E57" s="66"/>
      <c r="F57" s="66"/>
      <c r="G57" s="66"/>
      <c r="H57" s="66"/>
      <c r="I57" s="66"/>
      <c r="J57" s="66"/>
    </row>
    <row r="58" spans="1:10">
      <c r="A58" s="1442"/>
      <c r="B58" s="1271"/>
      <c r="C58" s="66"/>
      <c r="D58" s="66"/>
      <c r="E58" s="66"/>
      <c r="F58" s="66"/>
      <c r="G58" s="66"/>
      <c r="H58" s="66"/>
      <c r="I58" s="66"/>
      <c r="J58" s="66"/>
    </row>
    <row r="59" spans="1:10">
      <c r="A59" s="1442"/>
      <c r="B59" s="1271"/>
      <c r="C59" s="66"/>
      <c r="D59" s="66"/>
      <c r="E59" s="66"/>
      <c r="F59" s="66"/>
      <c r="G59" s="66"/>
      <c r="H59" s="66"/>
      <c r="I59" s="66"/>
      <c r="J59" s="66"/>
    </row>
    <row r="60" spans="1:10">
      <c r="A60" s="1442"/>
      <c r="B60" s="1271"/>
      <c r="C60" s="66"/>
      <c r="D60" s="66"/>
      <c r="E60" s="66"/>
      <c r="F60" s="66"/>
      <c r="G60" s="66"/>
      <c r="H60" s="66"/>
      <c r="I60" s="66"/>
      <c r="J60" s="66"/>
    </row>
    <row r="61" spans="1:10">
      <c r="A61" s="1442"/>
      <c r="B61" s="1271"/>
      <c r="C61" s="66"/>
      <c r="D61" s="66"/>
      <c r="E61" s="66"/>
      <c r="F61" s="66"/>
      <c r="G61" s="66"/>
      <c r="H61" s="66"/>
      <c r="I61" s="66"/>
      <c r="J61" s="66"/>
    </row>
    <row r="62" spans="1:10">
      <c r="A62" s="1442"/>
      <c r="B62" s="1271"/>
      <c r="C62" s="66"/>
      <c r="D62" s="66"/>
      <c r="E62" s="66"/>
      <c r="F62" s="66"/>
      <c r="G62" s="66"/>
      <c r="H62" s="66"/>
      <c r="I62" s="66"/>
      <c r="J62" s="66"/>
    </row>
    <row r="63" spans="1:10">
      <c r="A63" s="1442"/>
      <c r="B63" s="1271"/>
      <c r="C63" s="66"/>
      <c r="D63" s="66"/>
      <c r="E63" s="66"/>
      <c r="F63" s="66"/>
      <c r="G63" s="66"/>
      <c r="H63" s="66"/>
      <c r="I63" s="66"/>
      <c r="J63" s="66"/>
    </row>
    <row r="64" spans="1:10">
      <c r="B64" s="1271"/>
      <c r="C64" s="66"/>
      <c r="D64" s="66"/>
      <c r="E64" s="66"/>
      <c r="F64" s="66"/>
      <c r="G64" s="66"/>
      <c r="H64" s="66"/>
      <c r="I64" s="66"/>
      <c r="J64" s="66"/>
    </row>
    <row r="65" spans="2:10">
      <c r="B65" s="1271"/>
      <c r="C65" s="66"/>
      <c r="D65" s="66"/>
      <c r="E65" s="66"/>
      <c r="F65" s="66"/>
      <c r="G65" s="66"/>
      <c r="H65" s="66"/>
      <c r="I65" s="66"/>
      <c r="J65" s="66"/>
    </row>
    <row r="66" spans="2:10">
      <c r="B66" s="1271"/>
      <c r="C66" s="66"/>
      <c r="D66" s="66"/>
      <c r="E66" s="66"/>
      <c r="F66" s="66"/>
      <c r="G66" s="66"/>
      <c r="H66" s="66"/>
      <c r="I66" s="66"/>
      <c r="J66" s="66"/>
    </row>
    <row r="67" spans="2:10">
      <c r="B67" s="1271"/>
      <c r="C67" s="66"/>
      <c r="D67" s="66"/>
      <c r="E67" s="66"/>
      <c r="F67" s="66"/>
      <c r="G67" s="66"/>
      <c r="H67" s="66"/>
      <c r="I67" s="66"/>
      <c r="J67" s="66"/>
    </row>
    <row r="68" spans="2:10">
      <c r="B68" s="1271"/>
      <c r="C68" s="66"/>
      <c r="D68" s="66"/>
      <c r="E68" s="66"/>
      <c r="F68" s="66"/>
      <c r="G68" s="66"/>
      <c r="H68" s="66"/>
      <c r="I68" s="66"/>
      <c r="J68" s="66"/>
    </row>
    <row r="69" spans="2:10">
      <c r="B69" s="1271"/>
      <c r="C69" s="66"/>
      <c r="D69" s="66"/>
      <c r="E69" s="66"/>
      <c r="F69" s="66"/>
      <c r="G69" s="66"/>
      <c r="H69" s="66"/>
      <c r="I69" s="66"/>
      <c r="J69" s="66"/>
    </row>
    <row r="70" spans="2:10">
      <c r="B70" s="1271"/>
      <c r="C70" s="66"/>
      <c r="D70" s="66"/>
      <c r="E70" s="66"/>
      <c r="F70" s="66"/>
      <c r="G70" s="66"/>
      <c r="H70" s="66"/>
      <c r="I70" s="66"/>
      <c r="J70" s="66"/>
    </row>
    <row r="71" spans="2:10">
      <c r="B71" s="1271"/>
      <c r="C71" s="66"/>
      <c r="D71" s="66"/>
      <c r="E71" s="66"/>
      <c r="F71" s="66"/>
      <c r="G71" s="66"/>
      <c r="H71" s="66"/>
      <c r="I71" s="66"/>
      <c r="J71" s="66"/>
    </row>
    <row r="72" spans="2:10">
      <c r="B72" s="1271"/>
      <c r="C72" s="66"/>
      <c r="D72" s="66"/>
      <c r="E72" s="66"/>
      <c r="F72" s="66"/>
      <c r="G72" s="66"/>
      <c r="H72" s="66"/>
      <c r="I72" s="66"/>
      <c r="J72" s="66"/>
    </row>
    <row r="73" spans="2:10">
      <c r="B73" s="1271"/>
      <c r="C73" s="66"/>
      <c r="D73" s="66"/>
      <c r="E73" s="66"/>
      <c r="F73" s="66"/>
      <c r="G73" s="66"/>
      <c r="H73" s="66"/>
      <c r="I73" s="66"/>
      <c r="J73" s="66"/>
    </row>
    <row r="74" spans="2:10">
      <c r="B74" s="1271"/>
      <c r="C74" s="66"/>
      <c r="D74" s="66"/>
      <c r="E74" s="66"/>
      <c r="F74" s="66"/>
      <c r="G74" s="66"/>
      <c r="H74" s="66"/>
      <c r="I74" s="66"/>
      <c r="J74" s="66"/>
    </row>
    <row r="75" spans="2:10">
      <c r="B75" s="1271"/>
      <c r="C75" s="66"/>
      <c r="D75" s="66"/>
      <c r="E75" s="66"/>
      <c r="F75" s="66"/>
      <c r="G75" s="66"/>
      <c r="H75" s="66"/>
      <c r="I75" s="66"/>
      <c r="J75" s="66"/>
    </row>
    <row r="76" spans="2:10">
      <c r="B76" s="1271"/>
      <c r="C76" s="66"/>
      <c r="D76" s="66"/>
      <c r="E76" s="66"/>
      <c r="F76" s="66"/>
      <c r="G76" s="66"/>
      <c r="H76" s="66"/>
      <c r="I76" s="66"/>
      <c r="J76" s="66"/>
    </row>
    <row r="77" spans="2:10">
      <c r="B77" s="1271"/>
      <c r="C77" s="66"/>
      <c r="D77" s="66"/>
      <c r="E77" s="66"/>
      <c r="F77" s="66"/>
      <c r="G77" s="66"/>
      <c r="H77" s="66"/>
      <c r="I77" s="66"/>
      <c r="J77" s="66"/>
    </row>
    <row r="78" spans="2:10">
      <c r="B78" s="1271"/>
      <c r="C78" s="66"/>
      <c r="D78" s="66"/>
      <c r="E78" s="66"/>
      <c r="F78" s="66"/>
      <c r="G78" s="66"/>
      <c r="H78" s="66"/>
      <c r="I78" s="66"/>
      <c r="J78" s="66"/>
    </row>
    <row r="79" spans="2:10">
      <c r="B79" s="1271"/>
      <c r="C79" s="66"/>
      <c r="D79" s="66"/>
      <c r="E79" s="66"/>
      <c r="F79" s="66"/>
      <c r="G79" s="66"/>
      <c r="H79" s="66"/>
      <c r="I79" s="66"/>
      <c r="J79" s="66"/>
    </row>
    <row r="80" spans="2:10">
      <c r="B80" s="1271"/>
      <c r="C80" s="66"/>
      <c r="D80" s="66"/>
      <c r="E80" s="66"/>
      <c r="F80" s="66"/>
      <c r="G80" s="66"/>
      <c r="H80" s="66"/>
      <c r="I80" s="66"/>
      <c r="J80" s="66"/>
    </row>
    <row r="81" spans="2:10">
      <c r="B81" s="1271"/>
      <c r="C81" s="66"/>
      <c r="D81" s="66"/>
      <c r="E81" s="66"/>
      <c r="F81" s="66"/>
      <c r="G81" s="66"/>
      <c r="H81" s="66"/>
      <c r="I81" s="66"/>
      <c r="J81" s="66"/>
    </row>
    <row r="82" spans="2:10">
      <c r="B82" s="1271"/>
      <c r="C82" s="66"/>
      <c r="D82" s="66"/>
      <c r="E82" s="66"/>
      <c r="F82" s="66"/>
      <c r="G82" s="66"/>
      <c r="H82" s="66"/>
      <c r="I82" s="66"/>
      <c r="J82" s="66"/>
    </row>
    <row r="83" spans="2:10">
      <c r="B83" s="1271"/>
      <c r="C83" s="66"/>
      <c r="D83" s="66"/>
      <c r="E83" s="66"/>
      <c r="F83" s="66"/>
      <c r="G83" s="66"/>
      <c r="H83" s="66"/>
      <c r="I83" s="66"/>
      <c r="J83" s="66"/>
    </row>
    <row r="84" spans="2:10">
      <c r="B84" s="1271"/>
      <c r="C84" s="66"/>
      <c r="D84" s="66"/>
      <c r="E84" s="66"/>
      <c r="F84" s="66"/>
      <c r="G84" s="66"/>
      <c r="H84" s="66"/>
      <c r="I84" s="66"/>
      <c r="J84" s="66"/>
    </row>
    <row r="85" spans="2:10">
      <c r="B85" s="1271"/>
      <c r="C85" s="66"/>
      <c r="D85" s="66"/>
      <c r="E85" s="66"/>
      <c r="F85" s="66"/>
      <c r="G85" s="66"/>
      <c r="H85" s="66"/>
      <c r="I85" s="66"/>
      <c r="J85" s="66"/>
    </row>
    <row r="86" spans="2:10">
      <c r="B86" s="1271"/>
      <c r="C86" s="66"/>
      <c r="D86" s="66"/>
      <c r="E86" s="66"/>
      <c r="F86" s="66"/>
      <c r="G86" s="66"/>
      <c r="H86" s="66"/>
      <c r="I86" s="66"/>
      <c r="J86" s="66"/>
    </row>
    <row r="87" spans="2:10">
      <c r="B87" s="1271"/>
      <c r="C87" s="66"/>
      <c r="D87" s="66"/>
      <c r="E87" s="66"/>
      <c r="F87" s="66"/>
      <c r="G87" s="66"/>
      <c r="H87" s="66"/>
      <c r="I87" s="66"/>
      <c r="J87" s="66"/>
    </row>
    <row r="88" spans="2:10">
      <c r="B88" s="1271"/>
      <c r="C88" s="66"/>
      <c r="D88" s="66"/>
      <c r="E88" s="66"/>
      <c r="F88" s="66"/>
      <c r="G88" s="66"/>
      <c r="H88" s="66"/>
      <c r="I88" s="66"/>
      <c r="J88" s="66"/>
    </row>
    <row r="89" spans="2:10">
      <c r="B89" s="1271"/>
      <c r="C89" s="66"/>
      <c r="D89" s="66"/>
      <c r="E89" s="66"/>
      <c r="F89" s="66"/>
      <c r="G89" s="66"/>
      <c r="H89" s="66"/>
      <c r="I89" s="66"/>
      <c r="J89" s="66"/>
    </row>
    <row r="90" spans="2:10">
      <c r="B90" s="1271"/>
      <c r="C90" s="66"/>
      <c r="D90" s="66"/>
      <c r="E90" s="66"/>
      <c r="F90" s="66"/>
      <c r="G90" s="66"/>
      <c r="H90" s="66"/>
      <c r="I90" s="66"/>
      <c r="J90" s="66"/>
    </row>
    <row r="91" spans="2:10">
      <c r="B91" s="1271"/>
      <c r="C91" s="66"/>
      <c r="D91" s="66"/>
      <c r="E91" s="66"/>
      <c r="F91" s="66"/>
      <c r="G91" s="66"/>
      <c r="H91" s="66"/>
      <c r="I91" s="66"/>
      <c r="J91" s="66"/>
    </row>
    <row r="92" spans="2:10">
      <c r="B92" s="1271"/>
      <c r="C92" s="66"/>
      <c r="D92" s="66"/>
      <c r="E92" s="66"/>
      <c r="F92" s="66"/>
      <c r="G92" s="66"/>
      <c r="H92" s="66"/>
      <c r="I92" s="66"/>
      <c r="J92" s="66"/>
    </row>
    <row r="93" spans="2:10">
      <c r="B93" s="1271"/>
      <c r="C93" s="66"/>
      <c r="D93" s="66"/>
      <c r="E93" s="66"/>
      <c r="F93" s="66"/>
      <c r="G93" s="66"/>
      <c r="H93" s="66"/>
      <c r="I93" s="66"/>
      <c r="J93" s="66"/>
    </row>
    <row r="94" spans="2:10">
      <c r="B94" s="1271"/>
      <c r="C94" s="66"/>
      <c r="D94" s="66"/>
      <c r="E94" s="66"/>
      <c r="F94" s="66"/>
      <c r="G94" s="66"/>
      <c r="H94" s="66"/>
      <c r="I94" s="66"/>
      <c r="J94" s="66"/>
    </row>
    <row r="95" spans="2:10">
      <c r="B95" s="1271"/>
      <c r="C95" s="66"/>
      <c r="D95" s="66"/>
      <c r="E95" s="66"/>
      <c r="F95" s="66"/>
      <c r="G95" s="66"/>
      <c r="H95" s="66"/>
      <c r="I95" s="66"/>
      <c r="J95" s="66"/>
    </row>
    <row r="96" spans="2:10">
      <c r="B96" s="1271"/>
      <c r="C96" s="66"/>
      <c r="D96" s="66"/>
      <c r="E96" s="66"/>
      <c r="F96" s="66"/>
      <c r="G96" s="66"/>
      <c r="H96" s="66"/>
      <c r="I96" s="66"/>
      <c r="J96" s="66"/>
    </row>
    <row r="97" spans="2:56">
      <c r="B97" s="1271"/>
      <c r="C97" s="66"/>
      <c r="D97" s="66"/>
      <c r="E97" s="66"/>
      <c r="F97" s="66"/>
      <c r="G97" s="66"/>
      <c r="H97" s="66"/>
      <c r="I97" s="66"/>
      <c r="J97" s="66"/>
    </row>
    <row r="98" spans="2:56">
      <c r="B98" s="1271"/>
      <c r="C98" s="66"/>
      <c r="D98" s="66"/>
      <c r="E98" s="66"/>
      <c r="F98" s="66"/>
      <c r="G98" s="66"/>
      <c r="H98" s="66"/>
      <c r="I98" s="66"/>
      <c r="J98" s="66"/>
    </row>
    <row r="99" spans="2:56">
      <c r="B99" s="1271"/>
      <c r="C99" s="66"/>
      <c r="D99" s="66"/>
      <c r="E99" s="66"/>
      <c r="F99" s="66"/>
      <c r="G99" s="66"/>
      <c r="H99" s="66"/>
      <c r="I99" s="66"/>
      <c r="J99" s="66"/>
    </row>
    <row r="100" spans="2:56" ht="13.15" thickBot="1">
      <c r="B100" s="1271"/>
      <c r="C100" s="66"/>
      <c r="D100" s="66"/>
      <c r="E100" s="66"/>
      <c r="F100" s="66"/>
      <c r="G100" s="66"/>
      <c r="H100" s="66"/>
      <c r="I100" s="66"/>
      <c r="J100" s="66"/>
      <c r="BA100" s="566" t="s">
        <v>900</v>
      </c>
    </row>
    <row r="101" spans="2:56" ht="13.25" customHeight="1">
      <c r="B101" s="1271"/>
      <c r="C101" s="66"/>
      <c r="D101" s="66"/>
      <c r="E101" s="66"/>
      <c r="F101" s="66"/>
      <c r="G101" s="66"/>
      <c r="H101" s="66"/>
      <c r="I101" s="66"/>
      <c r="J101" s="66"/>
      <c r="BA101" s="1507"/>
      <c r="BB101" s="1508" t="s">
        <v>901</v>
      </c>
      <c r="BC101" s="1509" t="s">
        <v>592</v>
      </c>
      <c r="BD101" s="1509" t="s">
        <v>592</v>
      </c>
    </row>
    <row r="102" spans="2:56" ht="13.5" thickBot="1">
      <c r="B102" s="1271"/>
      <c r="C102" s="66"/>
      <c r="D102" s="66"/>
      <c r="E102" s="66"/>
      <c r="F102" s="66"/>
      <c r="G102" s="66"/>
      <c r="H102" s="66"/>
      <c r="I102" s="66"/>
      <c r="J102" s="66"/>
      <c r="BA102" s="1510"/>
      <c r="BB102" s="1511"/>
      <c r="BC102" s="1512" t="s">
        <v>902</v>
      </c>
      <c r="BD102" s="1512" t="s">
        <v>903</v>
      </c>
    </row>
    <row r="103" spans="2:56">
      <c r="B103" s="1271"/>
      <c r="C103" s="66"/>
      <c r="D103" s="66"/>
      <c r="E103" s="66"/>
      <c r="F103" s="66"/>
      <c r="G103" s="66"/>
      <c r="H103" s="66"/>
      <c r="I103" s="66"/>
      <c r="J103" s="66"/>
      <c r="BA103" s="2884" t="b">
        <v>0</v>
      </c>
      <c r="BB103" s="1513" t="s">
        <v>904</v>
      </c>
      <c r="BC103" s="1514">
        <f>AD33</f>
        <v>0</v>
      </c>
      <c r="BD103" s="1515">
        <f t="shared" ref="BD103:BD136" si="0">BC103*6.28981</f>
        <v>0</v>
      </c>
    </row>
    <row r="104" spans="2:56">
      <c r="B104" s="1271"/>
      <c r="C104" s="66"/>
      <c r="D104" s="66"/>
      <c r="E104" s="66"/>
      <c r="F104" s="66"/>
      <c r="G104" s="66"/>
      <c r="H104" s="66"/>
      <c r="I104" s="66"/>
      <c r="J104" s="66"/>
      <c r="BA104" s="2885" t="b">
        <v>0</v>
      </c>
      <c r="BB104" s="1516" t="s">
        <v>905</v>
      </c>
      <c r="BC104" s="1517">
        <f>AD34</f>
        <v>0</v>
      </c>
      <c r="BD104" s="1518">
        <f t="shared" si="0"/>
        <v>0</v>
      </c>
    </row>
    <row r="105" spans="2:56" ht="13.15" thickBot="1">
      <c r="B105" s="1271"/>
      <c r="C105" s="66"/>
      <c r="D105" s="66"/>
      <c r="E105" s="66"/>
      <c r="F105" s="66"/>
      <c r="G105" s="66"/>
      <c r="H105" s="66"/>
      <c r="I105" s="66"/>
      <c r="J105" s="66"/>
      <c r="BA105" s="2886" t="b">
        <v>1</v>
      </c>
      <c r="BB105" s="1519" t="s">
        <v>906</v>
      </c>
      <c r="BC105" s="1520">
        <f>AD35</f>
        <v>1.8440000000000001</v>
      </c>
      <c r="BD105" s="1521">
        <f t="shared" si="0"/>
        <v>11.598409640000002</v>
      </c>
    </row>
    <row r="106" spans="2:56">
      <c r="B106" s="1271"/>
      <c r="C106" s="66"/>
      <c r="D106" s="66"/>
      <c r="E106" s="66"/>
      <c r="F106" s="66"/>
      <c r="G106" s="66"/>
      <c r="H106" s="66"/>
      <c r="I106" s="66"/>
      <c r="J106" s="66"/>
      <c r="BA106" s="2884" t="b">
        <v>0</v>
      </c>
      <c r="BB106" s="1513" t="s">
        <v>907</v>
      </c>
      <c r="BC106" s="1514">
        <f>AC33</f>
        <v>0</v>
      </c>
      <c r="BD106" s="1515">
        <f t="shared" si="0"/>
        <v>0</v>
      </c>
    </row>
    <row r="107" spans="2:56">
      <c r="B107" s="1271"/>
      <c r="C107" s="66"/>
      <c r="D107" s="66"/>
      <c r="E107" s="66"/>
      <c r="F107" s="66"/>
      <c r="G107" s="66"/>
      <c r="H107" s="66"/>
      <c r="I107" s="66"/>
      <c r="J107" s="66"/>
      <c r="BA107" s="2885" t="b">
        <v>0</v>
      </c>
      <c r="BB107" s="1516" t="s">
        <v>908</v>
      </c>
      <c r="BC107" s="1517">
        <f>AC34</f>
        <v>3.2879999999999998</v>
      </c>
      <c r="BD107" s="1518">
        <f t="shared" si="0"/>
        <v>20.680895279999998</v>
      </c>
    </row>
    <row r="108" spans="2:56" ht="13.15" thickBot="1">
      <c r="B108" s="1271"/>
      <c r="C108" s="66"/>
      <c r="D108" s="66"/>
      <c r="E108" s="66"/>
      <c r="F108" s="66"/>
      <c r="G108" s="66"/>
      <c r="H108" s="66"/>
      <c r="I108" s="66"/>
      <c r="J108" s="66"/>
      <c r="BA108" s="2886" t="b">
        <v>1</v>
      </c>
      <c r="BB108" s="1519" t="s">
        <v>909</v>
      </c>
      <c r="BC108" s="1520">
        <f>AC35</f>
        <v>6.4119999999999999</v>
      </c>
      <c r="BD108" s="1521">
        <f t="shared" si="0"/>
        <v>40.330261720000003</v>
      </c>
    </row>
    <row r="109" spans="2:56">
      <c r="B109" s="1271"/>
      <c r="C109" s="66"/>
      <c r="D109" s="66"/>
      <c r="E109" s="66"/>
      <c r="F109" s="66"/>
      <c r="G109" s="66"/>
      <c r="H109" s="66"/>
      <c r="I109" s="66"/>
      <c r="J109" s="66"/>
      <c r="BA109" s="2884" t="b">
        <v>0</v>
      </c>
      <c r="BB109" s="1513" t="s">
        <v>910</v>
      </c>
      <c r="BC109" s="1514">
        <f>AB33</f>
        <v>4.1900000000000004</v>
      </c>
      <c r="BD109" s="1515">
        <f t="shared" si="0"/>
        <v>26.354303900000001</v>
      </c>
    </row>
    <row r="110" spans="2:56">
      <c r="B110" s="1271"/>
      <c r="C110" s="66"/>
      <c r="D110" s="66"/>
      <c r="E110" s="66"/>
      <c r="F110" s="66"/>
      <c r="G110" s="66"/>
      <c r="H110" s="66"/>
      <c r="I110" s="66"/>
      <c r="J110" s="66"/>
      <c r="BA110" s="2885" t="b">
        <v>0</v>
      </c>
      <c r="BB110" s="1516" t="s">
        <v>911</v>
      </c>
      <c r="BC110" s="1517">
        <f>AB34</f>
        <v>6.4039999999999999</v>
      </c>
      <c r="BD110" s="1518">
        <f t="shared" si="0"/>
        <v>40.279943240000001</v>
      </c>
    </row>
    <row r="111" spans="2:56" ht="13.15" thickBot="1">
      <c r="B111" s="1271"/>
      <c r="C111" s="66"/>
      <c r="D111" s="66"/>
      <c r="E111" s="66"/>
      <c r="F111" s="66"/>
      <c r="G111" s="66"/>
      <c r="H111" s="66"/>
      <c r="I111" s="66"/>
      <c r="J111" s="66"/>
      <c r="BA111" s="2886" t="b">
        <v>1</v>
      </c>
      <c r="BB111" s="1519" t="s">
        <v>912</v>
      </c>
      <c r="BC111" s="1520">
        <f>AB35</f>
        <v>6.4039999999999999</v>
      </c>
      <c r="BD111" s="1521">
        <f t="shared" si="0"/>
        <v>40.279943240000001</v>
      </c>
    </row>
    <row r="112" spans="2:56">
      <c r="B112" s="1271"/>
      <c r="C112" s="66"/>
      <c r="D112" s="66"/>
      <c r="F112" s="66"/>
      <c r="G112" s="66"/>
      <c r="H112" s="66"/>
      <c r="I112" s="66"/>
      <c r="J112" s="66"/>
      <c r="BA112" s="2884" t="b">
        <v>0</v>
      </c>
      <c r="BB112" s="1513" t="s">
        <v>913</v>
      </c>
      <c r="BC112" s="1514">
        <f>O33</f>
        <v>9.9619999999999997</v>
      </c>
      <c r="BD112" s="1515">
        <f t="shared" si="0"/>
        <v>62.659087219999996</v>
      </c>
    </row>
    <row r="113" spans="2:56">
      <c r="B113" s="1271"/>
      <c r="F113" s="66"/>
      <c r="G113" s="66"/>
      <c r="H113" s="66"/>
      <c r="I113" s="66"/>
      <c r="J113" s="66"/>
      <c r="BA113" s="2885" t="b">
        <v>0</v>
      </c>
      <c r="BB113" s="1516" t="s">
        <v>914</v>
      </c>
      <c r="BC113" s="1517">
        <f>O34</f>
        <v>9.9619999999999997</v>
      </c>
      <c r="BD113" s="1518">
        <f t="shared" si="0"/>
        <v>62.659087219999996</v>
      </c>
    </row>
    <row r="114" spans="2:56" ht="13.15" thickBot="1">
      <c r="B114" s="1271"/>
      <c r="F114" s="66"/>
      <c r="G114" s="66"/>
      <c r="H114" s="66"/>
      <c r="I114" s="66"/>
      <c r="J114" s="66"/>
      <c r="BA114" s="2886" t="b">
        <v>1</v>
      </c>
      <c r="BB114" s="1519" t="s">
        <v>915</v>
      </c>
      <c r="BC114" s="1520">
        <f>O35</f>
        <v>11.909000000000001</v>
      </c>
      <c r="BD114" s="1521">
        <f t="shared" si="0"/>
        <v>74.905347290000009</v>
      </c>
    </row>
    <row r="115" spans="2:56">
      <c r="B115" s="1271"/>
      <c r="F115" s="66"/>
      <c r="G115" s="66"/>
      <c r="H115" s="66"/>
      <c r="I115" s="66"/>
      <c r="J115" s="66"/>
      <c r="BA115" s="2884" t="b">
        <v>0</v>
      </c>
      <c r="BB115" s="1513" t="s">
        <v>916</v>
      </c>
      <c r="BC115" s="1514">
        <f>N33</f>
        <v>6.4059999999999997</v>
      </c>
      <c r="BD115" s="1522">
        <f t="shared" si="0"/>
        <v>40.292522859999998</v>
      </c>
    </row>
    <row r="116" spans="2:56">
      <c r="B116" s="1271"/>
      <c r="F116" s="66"/>
      <c r="G116" s="66"/>
      <c r="H116" s="66"/>
      <c r="I116" s="66"/>
      <c r="J116" s="66"/>
      <c r="BA116" s="2885" t="b">
        <v>0</v>
      </c>
      <c r="BB116" s="1516" t="s">
        <v>917</v>
      </c>
      <c r="BC116" s="1517">
        <f>N34</f>
        <v>8.3529999999999998</v>
      </c>
      <c r="BD116" s="1523">
        <f t="shared" si="0"/>
        <v>52.538782929999996</v>
      </c>
    </row>
    <row r="117" spans="2:56" ht="13.15" thickBot="1">
      <c r="B117" s="1271"/>
      <c r="F117" s="66"/>
      <c r="G117" s="66"/>
      <c r="H117" s="66"/>
      <c r="I117" s="66"/>
      <c r="J117" s="66"/>
      <c r="BA117" s="2886" t="b">
        <v>1</v>
      </c>
      <c r="BB117" s="1519" t="s">
        <v>918</v>
      </c>
      <c r="BC117" s="1520">
        <f>N35</f>
        <v>6.4059999999999997</v>
      </c>
      <c r="BD117" s="1524">
        <f t="shared" si="0"/>
        <v>40.292522859999998</v>
      </c>
    </row>
    <row r="118" spans="2:56">
      <c r="B118" s="1271"/>
      <c r="F118" s="66"/>
      <c r="G118" s="66"/>
      <c r="H118" s="66"/>
      <c r="I118" s="66"/>
      <c r="J118" s="66"/>
      <c r="BA118" s="2884" t="b">
        <v>0</v>
      </c>
      <c r="BB118" s="1513" t="s">
        <v>919</v>
      </c>
      <c r="BC118" s="1514">
        <f>M33</f>
        <v>7.3760000000000003</v>
      </c>
      <c r="BD118" s="1522">
        <f t="shared" si="0"/>
        <v>46.393638560000007</v>
      </c>
    </row>
    <row r="119" spans="2:56">
      <c r="B119" s="1271"/>
      <c r="F119" s="66"/>
      <c r="G119" s="66"/>
      <c r="H119" s="66"/>
      <c r="I119" s="66"/>
      <c r="J119" s="66"/>
      <c r="BA119" s="2885" t="b">
        <v>0</v>
      </c>
      <c r="BB119" s="1516" t="s">
        <v>920</v>
      </c>
      <c r="BC119" s="1517">
        <f>M34</f>
        <v>6.4039999999999999</v>
      </c>
      <c r="BD119" s="1523">
        <f t="shared" si="0"/>
        <v>40.279943240000001</v>
      </c>
    </row>
    <row r="120" spans="2:56" ht="13.15" thickBot="1">
      <c r="B120" s="1271"/>
      <c r="F120" s="66"/>
      <c r="G120" s="66"/>
      <c r="H120" s="66"/>
      <c r="I120" s="66"/>
      <c r="J120" s="66"/>
      <c r="BA120" s="2886" t="b">
        <v>1</v>
      </c>
      <c r="BB120" s="1519" t="s">
        <v>921</v>
      </c>
      <c r="BC120" s="1520">
        <f>M35</f>
        <v>6.4039999999999999</v>
      </c>
      <c r="BD120" s="1524">
        <f t="shared" si="0"/>
        <v>40.279943240000001</v>
      </c>
    </row>
    <row r="121" spans="2:56">
      <c r="B121" s="1271"/>
      <c r="BA121" s="2884" t="b">
        <v>0</v>
      </c>
      <c r="BB121" s="1513" t="s">
        <v>922</v>
      </c>
      <c r="BC121" s="1514">
        <f>L33</f>
        <v>1.244</v>
      </c>
      <c r="BD121" s="1522">
        <f t="shared" si="0"/>
        <v>7.8245236399999998</v>
      </c>
    </row>
    <row r="122" spans="2:56">
      <c r="B122" s="1271"/>
      <c r="BA122" s="2885" t="b">
        <v>0</v>
      </c>
      <c r="BB122" s="1516" t="s">
        <v>923</v>
      </c>
      <c r="BC122" s="1517">
        <f>L34</f>
        <v>1.502</v>
      </c>
      <c r="BD122" s="1523">
        <f t="shared" si="0"/>
        <v>9.447294620000001</v>
      </c>
    </row>
    <row r="123" spans="2:56" ht="13.15" thickBot="1">
      <c r="B123" s="1271"/>
      <c r="BA123" s="2886" t="b">
        <v>1</v>
      </c>
      <c r="BB123" s="1519" t="s">
        <v>924</v>
      </c>
      <c r="BC123" s="1520">
        <f>L35</f>
        <v>2.6389999999999998</v>
      </c>
      <c r="BD123" s="1524">
        <f t="shared" si="0"/>
        <v>16.598808589999997</v>
      </c>
    </row>
    <row r="124" spans="2:56" ht="13.15" thickBot="1">
      <c r="B124" s="1271"/>
      <c r="BA124" s="566" t="s">
        <v>925</v>
      </c>
    </row>
    <row r="125" spans="2:56">
      <c r="B125" s="1271"/>
      <c r="BA125" s="2887" t="b">
        <v>0</v>
      </c>
      <c r="BB125" s="1525" t="s">
        <v>926</v>
      </c>
      <c r="BC125" s="1514">
        <f>AD6</f>
        <v>6.64</v>
      </c>
      <c r="BD125" s="1526">
        <f>BC125*6.28981</f>
        <v>41.7643384</v>
      </c>
    </row>
    <row r="126" spans="2:56">
      <c r="B126" s="1271"/>
      <c r="BA126" s="2888" t="b">
        <v>0</v>
      </c>
      <c r="BB126" s="1527" t="s">
        <v>927</v>
      </c>
      <c r="BC126" s="1517">
        <f>AD8</f>
        <v>5.5430000000000001</v>
      </c>
      <c r="BD126" s="1528">
        <f>BC126*6.28981</f>
        <v>34.864416830000003</v>
      </c>
    </row>
    <row r="127" spans="2:56" ht="13.15" thickBot="1">
      <c r="B127" s="1271"/>
      <c r="BA127" s="2889" t="b">
        <v>0</v>
      </c>
      <c r="BB127" s="1529" t="s">
        <v>928</v>
      </c>
      <c r="BC127" s="1520">
        <f>AD10</f>
        <v>5.5419999999999998</v>
      </c>
      <c r="BD127" s="1530">
        <f>BC127*6.28981</f>
        <v>34.858127019999998</v>
      </c>
    </row>
    <row r="128" spans="2:56">
      <c r="B128" s="1271"/>
      <c r="BA128" s="2887" t="b">
        <v>0</v>
      </c>
      <c r="BB128" s="1525" t="s">
        <v>929</v>
      </c>
      <c r="BC128" s="1514">
        <f>AC6</f>
        <v>4.5970000000000004</v>
      </c>
      <c r="BD128" s="1526">
        <f t="shared" si="0"/>
        <v>28.914256570000003</v>
      </c>
    </row>
    <row r="129" spans="53:56">
      <c r="BA129" s="2888" t="b">
        <v>0</v>
      </c>
      <c r="BB129" s="1527" t="s">
        <v>930</v>
      </c>
      <c r="BC129" s="1517">
        <f>AC8</f>
        <v>5.83</v>
      </c>
      <c r="BD129" s="1528">
        <f t="shared" si="0"/>
        <v>36.669592299999998</v>
      </c>
    </row>
    <row r="130" spans="53:56" ht="13.15" thickBot="1">
      <c r="BA130" s="2889" t="b">
        <v>0</v>
      </c>
      <c r="BB130" s="1529" t="s">
        <v>931</v>
      </c>
      <c r="BC130" s="1520">
        <f>AC10</f>
        <v>6.4059999999999997</v>
      </c>
      <c r="BD130" s="1530">
        <f t="shared" si="0"/>
        <v>40.292522859999998</v>
      </c>
    </row>
    <row r="131" spans="53:56">
      <c r="BA131" s="2887" t="b">
        <v>0</v>
      </c>
      <c r="BB131" s="1525" t="s">
        <v>932</v>
      </c>
      <c r="BC131" s="1514">
        <f>AB6</f>
        <v>11.33</v>
      </c>
      <c r="BD131" s="1526">
        <f t="shared" si="0"/>
        <v>71.263547299999999</v>
      </c>
    </row>
    <row r="132" spans="53:56">
      <c r="BA132" s="2888" t="b">
        <v>0</v>
      </c>
      <c r="BB132" s="1527" t="s">
        <v>933</v>
      </c>
      <c r="BC132" s="1517">
        <f>AB8</f>
        <v>11.55</v>
      </c>
      <c r="BD132" s="1528">
        <f t="shared" si="0"/>
        <v>72.647305500000002</v>
      </c>
    </row>
    <row r="133" spans="53:56" ht="13.15" thickBot="1">
      <c r="BA133" s="2889" t="b">
        <v>0</v>
      </c>
      <c r="BB133" s="1529" t="s">
        <v>934</v>
      </c>
      <c r="BC133" s="1520">
        <f>AB10</f>
        <v>11.33</v>
      </c>
      <c r="BD133" s="1530">
        <f t="shared" si="0"/>
        <v>71.263547299999999</v>
      </c>
    </row>
    <row r="134" spans="53:56">
      <c r="BA134" s="2887" t="b">
        <v>0</v>
      </c>
      <c r="BB134" s="1525" t="s">
        <v>935</v>
      </c>
      <c r="BC134" s="1514">
        <f>F33</f>
        <v>7.577</v>
      </c>
      <c r="BD134" s="1526">
        <f t="shared" si="0"/>
        <v>47.657890370000004</v>
      </c>
    </row>
    <row r="135" spans="53:56">
      <c r="BA135" s="2888" t="b">
        <v>0</v>
      </c>
      <c r="BB135" s="1527" t="s">
        <v>936</v>
      </c>
      <c r="BC135" s="1517">
        <f>F34</f>
        <v>7.1470000000000002</v>
      </c>
      <c r="BD135" s="1528">
        <f t="shared" si="0"/>
        <v>44.953272070000004</v>
      </c>
    </row>
    <row r="136" spans="53:56" ht="13.15" thickBot="1">
      <c r="BA136" s="2889" t="b">
        <v>0</v>
      </c>
      <c r="BB136" s="1529" t="s">
        <v>937</v>
      </c>
      <c r="BC136" s="1520">
        <f>F35</f>
        <v>7.8680000000000003</v>
      </c>
      <c r="BD136" s="1530">
        <f t="shared" si="0"/>
        <v>49.488225080000007</v>
      </c>
    </row>
    <row r="137" spans="53:56" ht="13.15">
      <c r="BB137" s="1500" t="s">
        <v>938</v>
      </c>
      <c r="BC137" s="1531">
        <f>SUM(BC103:BC136)</f>
        <v>198.46900000000005</v>
      </c>
      <c r="BD137" s="1532">
        <f>SUM(BD103:BD136)</f>
        <v>1248.3323008899997</v>
      </c>
    </row>
    <row r="138" spans="53:56" ht="13.15">
      <c r="BB138" s="1500" t="s">
        <v>939</v>
      </c>
      <c r="BC138" s="2100">
        <f>SUMIF(BA103:BA136,TRUE,BC103:BC136)</f>
        <v>42.018000000000008</v>
      </c>
      <c r="BD138" s="2101">
        <f>SUMIF(BA103:BA136,TRUE,BD103:BD136)</f>
        <v>264.28523658</v>
      </c>
    </row>
  </sheetData>
  <mergeCells count="52">
    <mergeCell ref="O15:O22"/>
    <mergeCell ref="D17:D19"/>
    <mergeCell ref="AF6:AF7"/>
    <mergeCell ref="AF8:AF9"/>
    <mergeCell ref="AF10:AF11"/>
    <mergeCell ref="D20:D22"/>
    <mergeCell ref="AE5:AF5"/>
    <mergeCell ref="B10:B11"/>
    <mergeCell ref="AB8:AB9"/>
    <mergeCell ref="AC8:AC9"/>
    <mergeCell ref="AD8:AD9"/>
    <mergeCell ref="B8:B9"/>
    <mergeCell ref="AB10:AB11"/>
    <mergeCell ref="AC10:AC11"/>
    <mergeCell ref="AD10:AD11"/>
    <mergeCell ref="B2:B3"/>
    <mergeCell ref="AB4:AB5"/>
    <mergeCell ref="AC4:AC5"/>
    <mergeCell ref="AD4:AD5"/>
    <mergeCell ref="B6:B7"/>
    <mergeCell ref="AB6:AB7"/>
    <mergeCell ref="AC6:AC7"/>
    <mergeCell ref="AD6:AD7"/>
    <mergeCell ref="B16:B17"/>
    <mergeCell ref="D13:D16"/>
    <mergeCell ref="L13:L14"/>
    <mergeCell ref="M13:M14"/>
    <mergeCell ref="N13:N14"/>
    <mergeCell ref="B14:B15"/>
    <mergeCell ref="B12:B13"/>
    <mergeCell ref="B30:B31"/>
    <mergeCell ref="AE13:AE28"/>
    <mergeCell ref="F34:K34"/>
    <mergeCell ref="O34:AA34"/>
    <mergeCell ref="F35:K35"/>
    <mergeCell ref="O35:AA35"/>
    <mergeCell ref="F31:K32"/>
    <mergeCell ref="L31:AD31"/>
    <mergeCell ref="O32:AA32"/>
    <mergeCell ref="F33:K33"/>
    <mergeCell ref="O33:AA33"/>
    <mergeCell ref="O13:AA14"/>
    <mergeCell ref="U22:AA22"/>
    <mergeCell ref="AB13:AB14"/>
    <mergeCell ref="AC13:AC14"/>
    <mergeCell ref="AD13:AD14"/>
    <mergeCell ref="B28:B29"/>
    <mergeCell ref="B24:B25"/>
    <mergeCell ref="B18:B19"/>
    <mergeCell ref="B20:B21"/>
    <mergeCell ref="B22:B23"/>
    <mergeCell ref="B26:B27"/>
  </mergeCells>
  <conditionalFormatting sqref="F13:F27 G27:K27">
    <cfRule type="expression" dxfId="79" priority="76">
      <formula>$BA$136=TRUE</formula>
    </cfRule>
  </conditionalFormatting>
  <conditionalFormatting sqref="F10:N10 F11:F12">
    <cfRule type="expression" dxfId="78" priority="77">
      <formula>$BA$133=TRUE</formula>
    </cfRule>
  </conditionalFormatting>
  <conditionalFormatting sqref="H13:H25 I25:K25">
    <cfRule type="expression" dxfId="77" priority="75">
      <formula>$BA$135=TRUE</formula>
    </cfRule>
  </conditionalFormatting>
  <conditionalFormatting sqref="H8:N8 H9 H11:H12">
    <cfRule type="expression" dxfId="76" priority="78">
      <formula>$BA$132=TRUE</formula>
    </cfRule>
  </conditionalFormatting>
  <conditionalFormatting sqref="J13:J23 K23">
    <cfRule type="expression" dxfId="75" priority="74">
      <formula>$BA$134=TRUE</formula>
    </cfRule>
  </conditionalFormatting>
  <conditionalFormatting sqref="J6:N6 J7 J9 J11:J12">
    <cfRule type="expression" dxfId="74" priority="79">
      <formula>$BA$131=TRUE</formula>
    </cfRule>
  </conditionalFormatting>
  <conditionalFormatting sqref="L23">
    <cfRule type="expression" dxfId="73" priority="62" stopIfTrue="1">
      <formula>$BA121=TRUE</formula>
    </cfRule>
  </conditionalFormatting>
  <conditionalFormatting sqref="L25">
    <cfRule type="expression" dxfId="72" priority="63" stopIfTrue="1">
      <formula>$BA122=TRUE</formula>
    </cfRule>
  </conditionalFormatting>
  <conditionalFormatting sqref="L27">
    <cfRule type="expression" dxfId="71" priority="64" stopIfTrue="1">
      <formula>$BA123=TRUE</formula>
    </cfRule>
  </conditionalFormatting>
  <conditionalFormatting sqref="M23">
    <cfRule type="expression" dxfId="70" priority="59" stopIfTrue="1">
      <formula>$BA118=TRUE</formula>
    </cfRule>
  </conditionalFormatting>
  <conditionalFormatting sqref="M25">
    <cfRule type="expression" dxfId="69" priority="60" stopIfTrue="1">
      <formula>$BA119=TRUE</formula>
    </cfRule>
  </conditionalFormatting>
  <conditionalFormatting sqref="M27">
    <cfRule type="expression" dxfId="68" priority="61" stopIfTrue="1">
      <formula>$BA120=TRUE</formula>
    </cfRule>
  </conditionalFormatting>
  <conditionalFormatting sqref="N23">
    <cfRule type="expression" dxfId="67" priority="57" stopIfTrue="1">
      <formula>$BA115=TRUE</formula>
    </cfRule>
  </conditionalFormatting>
  <conditionalFormatting sqref="N25">
    <cfRule type="expression" dxfId="66" priority="55" stopIfTrue="1">
      <formula>$BA116=TRUE</formula>
    </cfRule>
  </conditionalFormatting>
  <conditionalFormatting sqref="N27">
    <cfRule type="expression" dxfId="65" priority="56" stopIfTrue="1">
      <formula>$BA117=TRUE</formula>
    </cfRule>
  </conditionalFormatting>
  <conditionalFormatting sqref="O8:Q8">
    <cfRule type="expression" dxfId="64" priority="73">
      <formula>$BA$129</formula>
    </cfRule>
  </conditionalFormatting>
  <conditionalFormatting sqref="O25:S25 R15:R24 U25:AA25">
    <cfRule type="expression" dxfId="63" priority="66" stopIfTrue="1">
      <formula>$BA$113=TRUE</formula>
    </cfRule>
  </conditionalFormatting>
  <conditionalFormatting sqref="O6:U6 P7 P9 P11:P12">
    <cfRule type="expression" dxfId="62" priority="70">
      <formula>$BA$128=TRUE</formula>
    </cfRule>
  </conditionalFormatting>
  <conditionalFormatting sqref="O10:Y10 T11:T12">
    <cfRule type="expression" dxfId="61" priority="72">
      <formula>$BA$130=TRUE</formula>
    </cfRule>
  </conditionalFormatting>
  <conditionalFormatting sqref="P15:P23 O23 Q23 S23 U23:AA23">
    <cfRule type="expression" dxfId="60" priority="68" stopIfTrue="1">
      <formula>$BA$112=TRUE</formula>
    </cfRule>
  </conditionalFormatting>
  <conditionalFormatting sqref="P25">
    <cfRule type="expression" dxfId="59" priority="65" stopIfTrue="1">
      <formula>BB113=TRUE</formula>
    </cfRule>
  </conditionalFormatting>
  <conditionalFormatting sqref="Q25">
    <cfRule type="expression" dxfId="58" priority="49" stopIfTrue="1">
      <formula>#REF!=TRUE</formula>
    </cfRule>
  </conditionalFormatting>
  <conditionalFormatting sqref="R25:S25">
    <cfRule type="expression" dxfId="57" priority="80" stopIfTrue="1">
      <formula>BC113=TRUE</formula>
    </cfRule>
  </conditionalFormatting>
  <conditionalFormatting sqref="R8:W8 R9 R11:R12">
    <cfRule type="expression" dxfId="56" priority="71">
      <formula>$BA$129=TRUE</formula>
    </cfRule>
  </conditionalFormatting>
  <conditionalFormatting sqref="T15:T26 O27:AA27">
    <cfRule type="expression" dxfId="55" priority="67" stopIfTrue="1">
      <formula>$BA$114=TRUE</formula>
    </cfRule>
  </conditionalFormatting>
  <conditionalFormatting sqref="V5:V7 V9 V11">
    <cfRule type="expression" dxfId="54" priority="15">
      <formula>$BA$125=TRUE</formula>
    </cfRule>
  </conditionalFormatting>
  <conditionalFormatting sqref="X5:X9 X11">
    <cfRule type="expression" dxfId="53" priority="14">
      <formula>$BA$126=TRUE</formula>
    </cfRule>
  </conditionalFormatting>
  <conditionalFormatting sqref="Z5:Z11">
    <cfRule type="expression" dxfId="52" priority="13">
      <formula>$BA$127=TRUE</formula>
    </cfRule>
  </conditionalFormatting>
  <conditionalFormatting sqref="AB6:AB7">
    <cfRule type="expression" dxfId="51" priority="9">
      <formula>BA131=TRUE</formula>
    </cfRule>
  </conditionalFormatting>
  <conditionalFormatting sqref="AB8:AB9">
    <cfRule type="expression" dxfId="50" priority="8">
      <formula>BA132=TRUE</formula>
    </cfRule>
  </conditionalFormatting>
  <conditionalFormatting sqref="AB10:AB11">
    <cfRule type="expression" dxfId="49" priority="7">
      <formula>BA133=TRUE</formula>
    </cfRule>
  </conditionalFormatting>
  <conditionalFormatting sqref="AB23">
    <cfRule type="expression" dxfId="48" priority="69" stopIfTrue="1">
      <formula>$BA$109=TRUE</formula>
    </cfRule>
  </conditionalFormatting>
  <conditionalFormatting sqref="AB25">
    <cfRule type="expression" dxfId="47" priority="54" stopIfTrue="1">
      <formula>BA110=TRUE</formula>
    </cfRule>
  </conditionalFormatting>
  <conditionalFormatting sqref="AB27">
    <cfRule type="expression" dxfId="46" priority="58" stopIfTrue="1">
      <formula>BA111=TRUE</formula>
    </cfRule>
  </conditionalFormatting>
  <conditionalFormatting sqref="AC6:AC7">
    <cfRule type="expression" dxfId="45" priority="6">
      <formula>BA128=TRUE</formula>
    </cfRule>
  </conditionalFormatting>
  <conditionalFormatting sqref="AC8:AC9">
    <cfRule type="expression" dxfId="44" priority="5">
      <formula>BA129=TRUE</formula>
    </cfRule>
  </conditionalFormatting>
  <conditionalFormatting sqref="AC10:AC11">
    <cfRule type="expression" dxfId="43" priority="4">
      <formula>BA130=TRUE</formula>
    </cfRule>
  </conditionalFormatting>
  <conditionalFormatting sqref="AC23 BB106">
    <cfRule type="expression" dxfId="42" priority="44" stopIfTrue="1">
      <formula>$BA$106=TRUE</formula>
    </cfRule>
  </conditionalFormatting>
  <conditionalFormatting sqref="AC25">
    <cfRule type="expression" dxfId="41" priority="52" stopIfTrue="1">
      <formula>BA107=TRUE</formula>
    </cfRule>
  </conditionalFormatting>
  <conditionalFormatting sqref="AC27">
    <cfRule type="expression" dxfId="40" priority="53" stopIfTrue="1">
      <formula>BA108=TRUE</formula>
    </cfRule>
  </conditionalFormatting>
  <conditionalFormatting sqref="AD6:AD7">
    <cfRule type="expression" dxfId="39" priority="3">
      <formula>BA125=TRUE</formula>
    </cfRule>
  </conditionalFormatting>
  <conditionalFormatting sqref="AD8:AD9">
    <cfRule type="expression" dxfId="38" priority="2">
      <formula>BA126=TRUE</formula>
    </cfRule>
  </conditionalFormatting>
  <conditionalFormatting sqref="AD10:AD11">
    <cfRule type="expression" dxfId="37" priority="1">
      <formula>BA127=TRUE</formula>
    </cfRule>
  </conditionalFormatting>
  <conditionalFormatting sqref="AD23 BB103">
    <cfRule type="expression" dxfId="36" priority="46" stopIfTrue="1">
      <formula>$BA$103=TRUE</formula>
    </cfRule>
  </conditionalFormatting>
  <conditionalFormatting sqref="AD25">
    <cfRule type="expression" dxfId="35" priority="50" stopIfTrue="1">
      <formula>BA104=TRUE</formula>
    </cfRule>
  </conditionalFormatting>
  <conditionalFormatting sqref="AD27">
    <cfRule type="expression" dxfId="34" priority="51" stopIfTrue="1">
      <formula>BA105=TRUE</formula>
    </cfRule>
  </conditionalFormatting>
  <conditionalFormatting sqref="BA131">
    <cfRule type="expression" dxfId="33" priority="10">
      <formula>BZ256="ИСТИНА"</formula>
    </cfRule>
  </conditionalFormatting>
  <conditionalFormatting sqref="BB104">
    <cfRule type="expression" dxfId="32" priority="47" stopIfTrue="1">
      <formula>$BA$104=TRUE</formula>
    </cfRule>
  </conditionalFormatting>
  <conditionalFormatting sqref="BB105">
    <cfRule type="expression" dxfId="31" priority="48" stopIfTrue="1">
      <formula>$BA$105=TRUE</formula>
    </cfRule>
  </conditionalFormatting>
  <conditionalFormatting sqref="BB107">
    <cfRule type="expression" dxfId="30" priority="45" stopIfTrue="1">
      <formula>$BA$107=TRUE</formula>
    </cfRule>
  </conditionalFormatting>
  <conditionalFormatting sqref="BB108">
    <cfRule type="expression" dxfId="29" priority="31" stopIfTrue="1">
      <formula>$BA$108=TRUE</formula>
    </cfRule>
  </conditionalFormatting>
  <conditionalFormatting sqref="BB109">
    <cfRule type="expression" dxfId="28" priority="42" stopIfTrue="1">
      <formula>BA109=TRUE</formula>
    </cfRule>
  </conditionalFormatting>
  <conditionalFormatting sqref="BB110">
    <cfRule type="expression" dxfId="27" priority="43" stopIfTrue="1">
      <formula>BA110=TRUE</formula>
    </cfRule>
  </conditionalFormatting>
  <conditionalFormatting sqref="BB111">
    <cfRule type="expression" dxfId="26" priority="30" stopIfTrue="1">
      <formula>$BA$111=TRUE</formula>
    </cfRule>
  </conditionalFormatting>
  <conditionalFormatting sqref="BB112">
    <cfRule type="expression" dxfId="25" priority="40" stopIfTrue="1">
      <formula>BA112=TRUE</formula>
    </cfRule>
  </conditionalFormatting>
  <conditionalFormatting sqref="BB113">
    <cfRule type="expression" dxfId="24" priority="41" stopIfTrue="1">
      <formula>BA113=TRUE</formula>
    </cfRule>
  </conditionalFormatting>
  <conditionalFormatting sqref="BB114">
    <cfRule type="expression" dxfId="23" priority="29" stopIfTrue="1">
      <formula>BA114=TRUE</formula>
    </cfRule>
  </conditionalFormatting>
  <conditionalFormatting sqref="BB115">
    <cfRule type="expression" dxfId="22" priority="38" stopIfTrue="1">
      <formula>BA115=TRUE</formula>
    </cfRule>
  </conditionalFormatting>
  <conditionalFormatting sqref="BB116">
    <cfRule type="expression" dxfId="21" priority="39" stopIfTrue="1">
      <formula>BA116=TRUE</formula>
    </cfRule>
  </conditionalFormatting>
  <conditionalFormatting sqref="BB117">
    <cfRule type="expression" dxfId="20" priority="28" stopIfTrue="1">
      <formula>BA117=TRUE</formula>
    </cfRule>
  </conditionalFormatting>
  <conditionalFormatting sqref="BB118">
    <cfRule type="expression" dxfId="19" priority="35" stopIfTrue="1">
      <formula>BA118=TRUE</formula>
    </cfRule>
  </conditionalFormatting>
  <conditionalFormatting sqref="BB119">
    <cfRule type="expression" dxfId="18" priority="36" stopIfTrue="1">
      <formula>BA119=TRUE</formula>
    </cfRule>
  </conditionalFormatting>
  <conditionalFormatting sqref="BB120">
    <cfRule type="expression" dxfId="17" priority="37" stopIfTrue="1">
      <formula>BA120=TRUE</formula>
    </cfRule>
  </conditionalFormatting>
  <conditionalFormatting sqref="BB121">
    <cfRule type="expression" dxfId="16" priority="32" stopIfTrue="1">
      <formula>BA121=TRUE</formula>
    </cfRule>
  </conditionalFormatting>
  <conditionalFormatting sqref="BB122">
    <cfRule type="expression" dxfId="15" priority="33" stopIfTrue="1">
      <formula>BA122=TRUE</formula>
    </cfRule>
  </conditionalFormatting>
  <conditionalFormatting sqref="BB123">
    <cfRule type="expression" dxfId="14" priority="34" stopIfTrue="1">
      <formula>BA123=TRUE</formula>
    </cfRule>
  </conditionalFormatting>
  <conditionalFormatting sqref="BB125">
    <cfRule type="expression" dxfId="13" priority="18">
      <formula>$BA$128=TRUE</formula>
    </cfRule>
  </conditionalFormatting>
  <conditionalFormatting sqref="BB126">
    <cfRule type="expression" dxfId="12" priority="17">
      <formula>$BA$129=TRUE</formula>
    </cfRule>
  </conditionalFormatting>
  <conditionalFormatting sqref="BB127">
    <cfRule type="expression" dxfId="11" priority="16">
      <formula>$BA$130=TRUE</formula>
    </cfRule>
  </conditionalFormatting>
  <conditionalFormatting sqref="BB128">
    <cfRule type="expression" dxfId="10" priority="27">
      <formula>$BA$128=TRUE</formula>
    </cfRule>
  </conditionalFormatting>
  <conditionalFormatting sqref="BB129">
    <cfRule type="expression" dxfId="9" priority="26">
      <formula>$BA$129=TRUE</formula>
    </cfRule>
  </conditionalFormatting>
  <conditionalFormatting sqref="BB130">
    <cfRule type="expression" dxfId="8" priority="25">
      <formula>$BA$130=TRUE</formula>
    </cfRule>
  </conditionalFormatting>
  <conditionalFormatting sqref="BB131">
    <cfRule type="expression" dxfId="7" priority="24">
      <formula>$BA$131=TRUE</formula>
    </cfRule>
  </conditionalFormatting>
  <conditionalFormatting sqref="BB132">
    <cfRule type="expression" dxfId="6" priority="23">
      <formula>$BA$132=TRUE</formula>
    </cfRule>
  </conditionalFormatting>
  <conditionalFormatting sqref="BB133">
    <cfRule type="expression" dxfId="5" priority="22">
      <formula>$BA$133=TRUE</formula>
    </cfRule>
  </conditionalFormatting>
  <conditionalFormatting sqref="BB134">
    <cfRule type="expression" dxfId="4" priority="21">
      <formula>$BA$134=TRUE</formula>
    </cfRule>
  </conditionalFormatting>
  <conditionalFormatting sqref="BB135">
    <cfRule type="expression" dxfId="3" priority="20">
      <formula>$BA$135=TRUE</formula>
    </cfRule>
  </conditionalFormatting>
  <conditionalFormatting sqref="BB136">
    <cfRule type="expression" dxfId="2" priority="19">
      <formula>$BA$136=TRUE</formula>
    </cfRule>
  </conditionalFormatting>
  <hyperlinks>
    <hyperlink ref="B2:B3" location="Home!A1" display="HOME" xr:uid="{A484AB2B-70C2-4AF8-BA67-4D23A009266A}"/>
    <hyperlink ref="BA100" location="'Cargo Lines Volume'!A1" display="Go back" xr:uid="{1B926325-779E-4CA4-8346-6819E33C937C}"/>
    <hyperlink ref="AE5" location="'Cargo Lines Volume'!BF130" display="Go to Table" xr:uid="{A33484BB-24FB-4359-A01C-C12D8BAA556F}"/>
    <hyperlink ref="BA124" location="'Cargo Lines Volume'!A1" display="Go back" xr:uid="{9F26747E-6617-4217-8BBF-E1A6C823C4CF}"/>
    <hyperlink ref="B6" location="'Documents Manager'!A1" display="DOCUMENTS MANAGER" xr:uid="{0ED2BF39-2692-4449-BB3C-B29607A56080}"/>
    <hyperlink ref="B10" location="'ASTM Converter (Tab.1)'!A1" display="ASTM - CONVERTERS" xr:uid="{7A43DA21-6AB1-494C-AD40-3058653ED13F}"/>
    <hyperlink ref="B43" location="Help!A1" display="Help" xr:uid="{4F5F927F-D35E-426C-93FC-618C4BDA6E18}"/>
    <hyperlink ref="B41" location="'Source - Links'!A1" display="SOURCE / LINKS" xr:uid="{FC35A578-7268-4364-A326-481D895B83F0}"/>
    <hyperlink ref="B8" location="'ASTM Vol. XI - Tab.1'!A1" display="ASTM TABLES" xr:uid="{2DED25CA-94F7-4163-86DA-6FDFB293BA41}"/>
    <hyperlink ref="B44" location="Disclaimer!A1" display="Disclaimer" xr:uid="{4FEE722A-2035-4788-8A9A-538585E961F5}"/>
    <hyperlink ref="B34" location="'Pipelines Capacities'!A1" display="• Pipelines Capacities" xr:uid="{50AAE954-6709-4B6C-A88D-6C000D2F1B78}"/>
    <hyperlink ref="B18" location="'One Tank Filling Rate'!A1" display="• One Tank Filling Rate" xr:uid="{49255671-3B25-4893-B3F0-3E0F289E10EC}"/>
    <hyperlink ref="B16" location="'Initial&amp;Max. Loading Rate'!A1" display="• Initial &amp; Max. Loading Rate" xr:uid="{6C903196-FFEB-420C-9426-D2E61307087F}"/>
    <hyperlink ref="B28" location="'Wedge Volume Calculator'!A1" display="• Wedge Volume Calculator" xr:uid="{1D113235-E861-4DC0-B100-741316FEF095}"/>
    <hyperlink ref="B26" location="'Pipelines Capacities'!A1" display="• Pipelines Capacities" xr:uid="{E0EF2C75-2ECF-4CF2-A947-EA0FABD537EC}"/>
    <hyperlink ref="B26:B27" location="'Cargo Lines Volume'!A1" display="• Volume of Cargo Lines Calculator" xr:uid="{8A804E94-5E14-4074-BD74-BEECA81A7D4F}"/>
    <hyperlink ref="B24" location="'Volume Interpolation'!A1" display="• Volume Interpolation" xr:uid="{976E1EFB-F06E-4D0A-8366-97D08B2B96C2}"/>
    <hyperlink ref="B20" location="'ETC Cargo operation'!A1" display="• ETC Cargo operation" xr:uid="{7BEB3474-9C6F-49CF-A50E-7477C166EDD6}"/>
    <hyperlink ref="B22" location="'Average Gravity-Temp'!A1" display="• Calculator - Average Gravity/Temp" xr:uid="{7C68ADDC-0067-466C-B4D2-1A4BF0BA131A}"/>
    <hyperlink ref="B30" location="'Blended API'!A1" display="• Blended API" xr:uid="{6671D89D-1CFC-41BA-9362-A80B9F8EB981}"/>
    <hyperlink ref="B32:B33" location="'Blended Cargo Prediction'!A1" display="• Blended Cargo Prediction" xr:uid="{1EB6745B-7D2A-49C8-9274-3CAD0123E633}"/>
    <hyperlink ref="B32" location="'Commingle-LOADING'!A1" display="• Commingle-LOADING" xr:uid="{2DD71718-938E-4F0B-82F2-4D6E96A87C3B}"/>
    <hyperlink ref="B33" location="'Commingle-LOADING-DISCHARGING'!A1" display="• Commingle-LOADING-DISCHARGING" xr:uid="{07C7C423-1FB3-4DE1-AD65-114047CB2389}"/>
    <hyperlink ref="B14" location="'CP min CARGO Check'!A1" display="CARGO - CALCULATORS" xr:uid="{066ED43D-8EC1-4D98-82E9-47E6FA37093C}"/>
    <hyperlink ref="B35" location="'IG Pressure Change'!A1" display="• Pipelines Capacities Calculator" xr:uid="{63C8093C-3E97-4EFC-B95F-EBE924A43D5C}"/>
    <hyperlink ref="B12" location="'ASTM Calculator V.W.'!A1" display="ASTM - CALCULATORS" xr:uid="{E9D62142-174E-41CC-9524-0BF8D10308DC}"/>
    <hyperlink ref="B14:B15" location="'Initial&amp;Max. Loading Rate'!A1" display="CARGO - CALCULATORS" xr:uid="{F6335C5A-2F8B-46E0-A4C3-233F91FB8E3E}"/>
    <hyperlink ref="B37" location="'Converter Pressure '!A1" display="• Units Converter Pressure" xr:uid="{0C3CE023-DCEB-4163-BFE4-A8FD2A0C8390}"/>
    <hyperlink ref="B36" location="'IG Pressure Change (2)'!A1" display="• IG Pressure Change-2" xr:uid="{657C421D-78F3-4566-A5E8-90AB2F9EC5E6}"/>
    <hyperlink ref="B39" location="'Guidelines - Definitions'!A1" display="GUIDELINES" xr:uid="{39036EEA-03BB-4D30-AC84-4D9A39DD00BC}"/>
    <hyperlink ref="B40" location="'Guidelines - Bottom Lines'!A1" display="GUIDELINES - CARGO" xr:uid="{B5691E39-12E2-4D8D-9CB6-781EE31FF758}"/>
  </hyperlinks>
  <pageMargins left="0.75" right="0.75" top="1" bottom="1" header="0.5" footer="0.5"/>
  <pageSetup paperSize="9" orientation="portrait" horizontalDpi="4294967294"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2753" r:id="rId4" name="Check Box 1">
              <controlPr locked="0" defaultSize="0" autoFill="0" autoLine="0" autoPict="0">
                <anchor moveWithCells="1">
                  <from>
                    <xdr:col>21</xdr:col>
                    <xdr:colOff>0</xdr:colOff>
                    <xdr:row>25</xdr:row>
                    <xdr:rowOff>138113</xdr:rowOff>
                  </from>
                  <to>
                    <xdr:col>26</xdr:col>
                    <xdr:colOff>76200</xdr:colOff>
                    <xdr:row>27</xdr:row>
                    <xdr:rowOff>0</xdr:rowOff>
                  </to>
                </anchor>
              </controlPr>
            </control>
          </mc:Choice>
        </mc:AlternateContent>
        <mc:AlternateContent xmlns:mc="http://schemas.openxmlformats.org/markup-compatibility/2006">
          <mc:Choice Requires="x14">
            <control shapeId="202754" r:id="rId5" name="Check Box 2">
              <controlPr locked="0" defaultSize="0" autoFill="0" autoLine="0" autoPict="0">
                <anchor moveWithCells="1">
                  <from>
                    <xdr:col>21</xdr:col>
                    <xdr:colOff>0</xdr:colOff>
                    <xdr:row>23</xdr:row>
                    <xdr:rowOff>138113</xdr:rowOff>
                  </from>
                  <to>
                    <xdr:col>26</xdr:col>
                    <xdr:colOff>76200</xdr:colOff>
                    <xdr:row>25</xdr:row>
                    <xdr:rowOff>0</xdr:rowOff>
                  </to>
                </anchor>
              </controlPr>
            </control>
          </mc:Choice>
        </mc:AlternateContent>
        <mc:AlternateContent xmlns:mc="http://schemas.openxmlformats.org/markup-compatibility/2006">
          <mc:Choice Requires="x14">
            <control shapeId="202755" r:id="rId6" name="Check Box 3">
              <controlPr locked="0" defaultSize="0" autoFill="0" autoLine="0" autoPict="0">
                <anchor moveWithCells="1">
                  <from>
                    <xdr:col>21</xdr:col>
                    <xdr:colOff>0</xdr:colOff>
                    <xdr:row>21</xdr:row>
                    <xdr:rowOff>138113</xdr:rowOff>
                  </from>
                  <to>
                    <xdr:col>26</xdr:col>
                    <xdr:colOff>76200</xdr:colOff>
                    <xdr:row>23</xdr:row>
                    <xdr:rowOff>0</xdr:rowOff>
                  </to>
                </anchor>
              </controlPr>
            </control>
          </mc:Choice>
        </mc:AlternateContent>
        <mc:AlternateContent xmlns:mc="http://schemas.openxmlformats.org/markup-compatibility/2006">
          <mc:Choice Requires="x14">
            <control shapeId="202756" r:id="rId7" name="Check Box 4">
              <controlPr locked="0" defaultSize="0" autoFill="0" autoLine="0" autoPict="0">
                <anchor moveWithCells="1">
                  <from>
                    <xdr:col>13</xdr:col>
                    <xdr:colOff>609600</xdr:colOff>
                    <xdr:row>25</xdr:row>
                    <xdr:rowOff>123825</xdr:rowOff>
                  </from>
                  <to>
                    <xdr:col>13</xdr:col>
                    <xdr:colOff>1266825</xdr:colOff>
                    <xdr:row>27</xdr:row>
                    <xdr:rowOff>9525</xdr:rowOff>
                  </to>
                </anchor>
              </controlPr>
            </control>
          </mc:Choice>
        </mc:AlternateContent>
        <mc:AlternateContent xmlns:mc="http://schemas.openxmlformats.org/markup-compatibility/2006">
          <mc:Choice Requires="x14">
            <control shapeId="202757" r:id="rId8" name="Check Box 5">
              <controlPr locked="0" defaultSize="0" autoFill="0" autoLine="0" autoPict="0">
                <anchor moveWithCells="1">
                  <from>
                    <xdr:col>13</xdr:col>
                    <xdr:colOff>609600</xdr:colOff>
                    <xdr:row>23</xdr:row>
                    <xdr:rowOff>123825</xdr:rowOff>
                  </from>
                  <to>
                    <xdr:col>13</xdr:col>
                    <xdr:colOff>1266825</xdr:colOff>
                    <xdr:row>25</xdr:row>
                    <xdr:rowOff>9525</xdr:rowOff>
                  </to>
                </anchor>
              </controlPr>
            </control>
          </mc:Choice>
        </mc:AlternateContent>
        <mc:AlternateContent xmlns:mc="http://schemas.openxmlformats.org/markup-compatibility/2006">
          <mc:Choice Requires="x14">
            <control shapeId="202758" r:id="rId9" name="Check Box 6">
              <controlPr locked="0" defaultSize="0" autoFill="0" autoLine="0" autoPict="0">
                <anchor moveWithCells="1">
                  <from>
                    <xdr:col>13</xdr:col>
                    <xdr:colOff>609600</xdr:colOff>
                    <xdr:row>21</xdr:row>
                    <xdr:rowOff>123825</xdr:rowOff>
                  </from>
                  <to>
                    <xdr:col>13</xdr:col>
                    <xdr:colOff>1266825</xdr:colOff>
                    <xdr:row>23</xdr:row>
                    <xdr:rowOff>9525</xdr:rowOff>
                  </to>
                </anchor>
              </controlPr>
            </control>
          </mc:Choice>
        </mc:AlternateContent>
        <mc:AlternateContent xmlns:mc="http://schemas.openxmlformats.org/markup-compatibility/2006">
          <mc:Choice Requires="x14">
            <control shapeId="202759" r:id="rId10" name="Check Box 7">
              <controlPr locked="0" defaultSize="0" autoFill="0" autoLine="0" autoPict="0">
                <anchor moveWithCells="1">
                  <from>
                    <xdr:col>29</xdr:col>
                    <xdr:colOff>447675</xdr:colOff>
                    <xdr:row>23</xdr:row>
                    <xdr:rowOff>114300</xdr:rowOff>
                  </from>
                  <to>
                    <xdr:col>29</xdr:col>
                    <xdr:colOff>1204913</xdr:colOff>
                    <xdr:row>25</xdr:row>
                    <xdr:rowOff>0</xdr:rowOff>
                  </to>
                </anchor>
              </controlPr>
            </control>
          </mc:Choice>
        </mc:AlternateContent>
        <mc:AlternateContent xmlns:mc="http://schemas.openxmlformats.org/markup-compatibility/2006">
          <mc:Choice Requires="x14">
            <control shapeId="202760" r:id="rId11" name="Check Box 8">
              <controlPr locked="0" defaultSize="0" autoFill="0" autoLine="0" autoPict="0">
                <anchor moveWithCells="1">
                  <from>
                    <xdr:col>29</xdr:col>
                    <xdr:colOff>447675</xdr:colOff>
                    <xdr:row>25</xdr:row>
                    <xdr:rowOff>114300</xdr:rowOff>
                  </from>
                  <to>
                    <xdr:col>29</xdr:col>
                    <xdr:colOff>1204913</xdr:colOff>
                    <xdr:row>27</xdr:row>
                    <xdr:rowOff>0</xdr:rowOff>
                  </to>
                </anchor>
              </controlPr>
            </control>
          </mc:Choice>
        </mc:AlternateContent>
        <mc:AlternateContent xmlns:mc="http://schemas.openxmlformats.org/markup-compatibility/2006">
          <mc:Choice Requires="x14">
            <control shapeId="202761" r:id="rId12" name="Check Box 9">
              <controlPr locked="0" defaultSize="0" autoFill="0" autoLine="0" autoPict="0">
                <anchor moveWithCells="1">
                  <from>
                    <xdr:col>29</xdr:col>
                    <xdr:colOff>447675</xdr:colOff>
                    <xdr:row>21</xdr:row>
                    <xdr:rowOff>114300</xdr:rowOff>
                  </from>
                  <to>
                    <xdr:col>29</xdr:col>
                    <xdr:colOff>1204913</xdr:colOff>
                    <xdr:row>23</xdr:row>
                    <xdr:rowOff>0</xdr:rowOff>
                  </to>
                </anchor>
              </controlPr>
            </control>
          </mc:Choice>
        </mc:AlternateContent>
        <mc:AlternateContent xmlns:mc="http://schemas.openxmlformats.org/markup-compatibility/2006">
          <mc:Choice Requires="x14">
            <control shapeId="202762" r:id="rId13" name="Check Box 10">
              <controlPr locked="0" defaultSize="0" autoFill="0" autoLine="0" autoPict="0">
                <anchor moveWithCells="1">
                  <from>
                    <xdr:col>11</xdr:col>
                    <xdr:colOff>304800</xdr:colOff>
                    <xdr:row>25</xdr:row>
                    <xdr:rowOff>123825</xdr:rowOff>
                  </from>
                  <to>
                    <xdr:col>11</xdr:col>
                    <xdr:colOff>771525</xdr:colOff>
                    <xdr:row>27</xdr:row>
                    <xdr:rowOff>9525</xdr:rowOff>
                  </to>
                </anchor>
              </controlPr>
            </control>
          </mc:Choice>
        </mc:AlternateContent>
        <mc:AlternateContent xmlns:mc="http://schemas.openxmlformats.org/markup-compatibility/2006">
          <mc:Choice Requires="x14">
            <control shapeId="202763" r:id="rId14" name="Check Box 11">
              <controlPr locked="0" defaultSize="0" autoFill="0" autoLine="0" autoPict="0">
                <anchor moveWithCells="1">
                  <from>
                    <xdr:col>11</xdr:col>
                    <xdr:colOff>304800</xdr:colOff>
                    <xdr:row>23</xdr:row>
                    <xdr:rowOff>123825</xdr:rowOff>
                  </from>
                  <to>
                    <xdr:col>11</xdr:col>
                    <xdr:colOff>771525</xdr:colOff>
                    <xdr:row>25</xdr:row>
                    <xdr:rowOff>9525</xdr:rowOff>
                  </to>
                </anchor>
              </controlPr>
            </control>
          </mc:Choice>
        </mc:AlternateContent>
        <mc:AlternateContent xmlns:mc="http://schemas.openxmlformats.org/markup-compatibility/2006">
          <mc:Choice Requires="x14">
            <control shapeId="202764" r:id="rId15" name="Check Box 12">
              <controlPr locked="0" defaultSize="0" autoFill="0" autoLine="0" autoPict="0">
                <anchor moveWithCells="1">
                  <from>
                    <xdr:col>11</xdr:col>
                    <xdr:colOff>304800</xdr:colOff>
                    <xdr:row>21</xdr:row>
                    <xdr:rowOff>123825</xdr:rowOff>
                  </from>
                  <to>
                    <xdr:col>11</xdr:col>
                    <xdr:colOff>771525</xdr:colOff>
                    <xdr:row>23</xdr:row>
                    <xdr:rowOff>9525</xdr:rowOff>
                  </to>
                </anchor>
              </controlPr>
            </control>
          </mc:Choice>
        </mc:AlternateContent>
        <mc:AlternateContent xmlns:mc="http://schemas.openxmlformats.org/markup-compatibility/2006">
          <mc:Choice Requires="x14">
            <control shapeId="202765" r:id="rId16" name="Check Box 13">
              <controlPr locked="0" defaultSize="0" autoFill="0" autoLine="0" autoPict="0">
                <anchor moveWithCells="1">
                  <from>
                    <xdr:col>28</xdr:col>
                    <xdr:colOff>581025</xdr:colOff>
                    <xdr:row>23</xdr:row>
                    <xdr:rowOff>114300</xdr:rowOff>
                  </from>
                  <to>
                    <xdr:col>28</xdr:col>
                    <xdr:colOff>1243013</xdr:colOff>
                    <xdr:row>25</xdr:row>
                    <xdr:rowOff>0</xdr:rowOff>
                  </to>
                </anchor>
              </controlPr>
            </control>
          </mc:Choice>
        </mc:AlternateContent>
        <mc:AlternateContent xmlns:mc="http://schemas.openxmlformats.org/markup-compatibility/2006">
          <mc:Choice Requires="x14">
            <control shapeId="202766" r:id="rId17" name="Check Box 14">
              <controlPr locked="0" defaultSize="0" autoFill="0" autoLine="0" autoPict="0">
                <anchor moveWithCells="1">
                  <from>
                    <xdr:col>28</xdr:col>
                    <xdr:colOff>581025</xdr:colOff>
                    <xdr:row>25</xdr:row>
                    <xdr:rowOff>114300</xdr:rowOff>
                  </from>
                  <to>
                    <xdr:col>28</xdr:col>
                    <xdr:colOff>1243013</xdr:colOff>
                    <xdr:row>27</xdr:row>
                    <xdr:rowOff>0</xdr:rowOff>
                  </to>
                </anchor>
              </controlPr>
            </control>
          </mc:Choice>
        </mc:AlternateContent>
        <mc:AlternateContent xmlns:mc="http://schemas.openxmlformats.org/markup-compatibility/2006">
          <mc:Choice Requires="x14">
            <control shapeId="202767" r:id="rId18" name="Check Box 15">
              <controlPr locked="0" defaultSize="0" autoFill="0" autoLine="0" autoPict="0">
                <anchor moveWithCells="1">
                  <from>
                    <xdr:col>28</xdr:col>
                    <xdr:colOff>581025</xdr:colOff>
                    <xdr:row>21</xdr:row>
                    <xdr:rowOff>114300</xdr:rowOff>
                  </from>
                  <to>
                    <xdr:col>28</xdr:col>
                    <xdr:colOff>1243013</xdr:colOff>
                    <xdr:row>23</xdr:row>
                    <xdr:rowOff>0</xdr:rowOff>
                  </to>
                </anchor>
              </controlPr>
            </control>
          </mc:Choice>
        </mc:AlternateContent>
        <mc:AlternateContent xmlns:mc="http://schemas.openxmlformats.org/markup-compatibility/2006">
          <mc:Choice Requires="x14">
            <control shapeId="202768" r:id="rId19" name="Check Box 16">
              <controlPr locked="0" defaultSize="0" autoFill="0" autoLine="0" autoPict="0">
                <anchor moveWithCells="1">
                  <from>
                    <xdr:col>27</xdr:col>
                    <xdr:colOff>557213</xdr:colOff>
                    <xdr:row>23</xdr:row>
                    <xdr:rowOff>123825</xdr:rowOff>
                  </from>
                  <to>
                    <xdr:col>27</xdr:col>
                    <xdr:colOff>1204913</xdr:colOff>
                    <xdr:row>25</xdr:row>
                    <xdr:rowOff>9525</xdr:rowOff>
                  </to>
                </anchor>
              </controlPr>
            </control>
          </mc:Choice>
        </mc:AlternateContent>
        <mc:AlternateContent xmlns:mc="http://schemas.openxmlformats.org/markup-compatibility/2006">
          <mc:Choice Requires="x14">
            <control shapeId="202769" r:id="rId20" name="Check Box 17">
              <controlPr locked="0" defaultSize="0" autoFill="0" autoLine="0" autoPict="0">
                <anchor moveWithCells="1">
                  <from>
                    <xdr:col>27</xdr:col>
                    <xdr:colOff>557213</xdr:colOff>
                    <xdr:row>25</xdr:row>
                    <xdr:rowOff>123825</xdr:rowOff>
                  </from>
                  <to>
                    <xdr:col>27</xdr:col>
                    <xdr:colOff>1204913</xdr:colOff>
                    <xdr:row>27</xdr:row>
                    <xdr:rowOff>9525</xdr:rowOff>
                  </to>
                </anchor>
              </controlPr>
            </control>
          </mc:Choice>
        </mc:AlternateContent>
        <mc:AlternateContent xmlns:mc="http://schemas.openxmlformats.org/markup-compatibility/2006">
          <mc:Choice Requires="x14">
            <control shapeId="202770" r:id="rId21" name="Check Box 18">
              <controlPr locked="0" defaultSize="0" autoFill="0" autoLine="0" autoPict="0">
                <anchor moveWithCells="1">
                  <from>
                    <xdr:col>27</xdr:col>
                    <xdr:colOff>557213</xdr:colOff>
                    <xdr:row>21</xdr:row>
                    <xdr:rowOff>123825</xdr:rowOff>
                  </from>
                  <to>
                    <xdr:col>27</xdr:col>
                    <xdr:colOff>1204913</xdr:colOff>
                    <xdr:row>23</xdr:row>
                    <xdr:rowOff>9525</xdr:rowOff>
                  </to>
                </anchor>
              </controlPr>
            </control>
          </mc:Choice>
        </mc:AlternateContent>
        <mc:AlternateContent xmlns:mc="http://schemas.openxmlformats.org/markup-compatibility/2006">
          <mc:Choice Requires="x14">
            <control shapeId="202771" r:id="rId22" name="Check Box 19">
              <controlPr locked="0" defaultSize="0" autoFill="0" autoLine="0" autoPict="0">
                <anchor moveWithCells="1">
                  <from>
                    <xdr:col>12</xdr:col>
                    <xdr:colOff>595313</xdr:colOff>
                    <xdr:row>25</xdr:row>
                    <xdr:rowOff>123825</xdr:rowOff>
                  </from>
                  <to>
                    <xdr:col>12</xdr:col>
                    <xdr:colOff>1247775</xdr:colOff>
                    <xdr:row>27</xdr:row>
                    <xdr:rowOff>9525</xdr:rowOff>
                  </to>
                </anchor>
              </controlPr>
            </control>
          </mc:Choice>
        </mc:AlternateContent>
        <mc:AlternateContent xmlns:mc="http://schemas.openxmlformats.org/markup-compatibility/2006">
          <mc:Choice Requires="x14">
            <control shapeId="202772" r:id="rId23" name="Check Box 20">
              <controlPr locked="0" defaultSize="0" autoFill="0" autoLine="0" autoPict="0">
                <anchor moveWithCells="1">
                  <from>
                    <xdr:col>12</xdr:col>
                    <xdr:colOff>595313</xdr:colOff>
                    <xdr:row>23</xdr:row>
                    <xdr:rowOff>123825</xdr:rowOff>
                  </from>
                  <to>
                    <xdr:col>12</xdr:col>
                    <xdr:colOff>1247775</xdr:colOff>
                    <xdr:row>25</xdr:row>
                    <xdr:rowOff>9525</xdr:rowOff>
                  </to>
                </anchor>
              </controlPr>
            </control>
          </mc:Choice>
        </mc:AlternateContent>
        <mc:AlternateContent xmlns:mc="http://schemas.openxmlformats.org/markup-compatibility/2006">
          <mc:Choice Requires="x14">
            <control shapeId="202773" r:id="rId24" name="Check Box 21">
              <controlPr locked="0" defaultSize="0" autoFill="0" autoLine="0" autoPict="0">
                <anchor moveWithCells="1">
                  <from>
                    <xdr:col>12</xdr:col>
                    <xdr:colOff>595313</xdr:colOff>
                    <xdr:row>21</xdr:row>
                    <xdr:rowOff>123825</xdr:rowOff>
                  </from>
                  <to>
                    <xdr:col>12</xdr:col>
                    <xdr:colOff>1247775</xdr:colOff>
                    <xdr:row>23</xdr:row>
                    <xdr:rowOff>9525</xdr:rowOff>
                  </to>
                </anchor>
              </controlPr>
            </control>
          </mc:Choice>
        </mc:AlternateContent>
        <mc:AlternateContent xmlns:mc="http://schemas.openxmlformats.org/markup-compatibility/2006">
          <mc:Choice Requires="x14">
            <control shapeId="202774" r:id="rId25" name="Check Box 22">
              <controlPr locked="0" defaultSize="0" autoFill="0" autoLine="0" autoPict="0">
                <anchor moveWithCells="1">
                  <from>
                    <xdr:col>18</xdr:col>
                    <xdr:colOff>23813</xdr:colOff>
                    <xdr:row>4</xdr:row>
                    <xdr:rowOff>114300</xdr:rowOff>
                  </from>
                  <to>
                    <xdr:col>22</xdr:col>
                    <xdr:colOff>23813</xdr:colOff>
                    <xdr:row>6</xdr:row>
                    <xdr:rowOff>0</xdr:rowOff>
                  </to>
                </anchor>
              </controlPr>
            </control>
          </mc:Choice>
        </mc:AlternateContent>
        <mc:AlternateContent xmlns:mc="http://schemas.openxmlformats.org/markup-compatibility/2006">
          <mc:Choice Requires="x14">
            <control shapeId="202775" r:id="rId26" name="Check Box 23">
              <controlPr locked="0" defaultSize="0" autoFill="0" autoLine="0" autoPict="0">
                <anchor moveWithCells="1">
                  <from>
                    <xdr:col>18</xdr:col>
                    <xdr:colOff>23813</xdr:colOff>
                    <xdr:row>7</xdr:row>
                    <xdr:rowOff>23813</xdr:rowOff>
                  </from>
                  <to>
                    <xdr:col>23</xdr:col>
                    <xdr:colOff>9525</xdr:colOff>
                    <xdr:row>8</xdr:row>
                    <xdr:rowOff>0</xdr:rowOff>
                  </to>
                </anchor>
              </controlPr>
            </control>
          </mc:Choice>
        </mc:AlternateContent>
        <mc:AlternateContent xmlns:mc="http://schemas.openxmlformats.org/markup-compatibility/2006">
          <mc:Choice Requires="x14">
            <control shapeId="202776" r:id="rId27" name="Check Box 24">
              <controlPr locked="0" defaultSize="0" autoFill="0" autoLine="0" autoPict="0">
                <anchor moveWithCells="1">
                  <from>
                    <xdr:col>18</xdr:col>
                    <xdr:colOff>9525</xdr:colOff>
                    <xdr:row>9</xdr:row>
                    <xdr:rowOff>0</xdr:rowOff>
                  </from>
                  <to>
                    <xdr:col>24</xdr:col>
                    <xdr:colOff>100013</xdr:colOff>
                    <xdr:row>10</xdr:row>
                    <xdr:rowOff>0</xdr:rowOff>
                  </to>
                </anchor>
              </controlPr>
            </control>
          </mc:Choice>
        </mc:AlternateContent>
        <mc:AlternateContent xmlns:mc="http://schemas.openxmlformats.org/markup-compatibility/2006">
          <mc:Choice Requires="x14">
            <control shapeId="202777" r:id="rId28" name="Check Box 25">
              <controlPr locked="0" defaultSize="0" autoFill="0" autoLine="0" autoPict="0">
                <anchor moveWithCells="1">
                  <from>
                    <xdr:col>12</xdr:col>
                    <xdr:colOff>771525</xdr:colOff>
                    <xdr:row>4</xdr:row>
                    <xdr:rowOff>128588</xdr:rowOff>
                  </from>
                  <to>
                    <xdr:col>13</xdr:col>
                    <xdr:colOff>457200</xdr:colOff>
                    <xdr:row>6</xdr:row>
                    <xdr:rowOff>14288</xdr:rowOff>
                  </to>
                </anchor>
              </controlPr>
            </control>
          </mc:Choice>
        </mc:AlternateContent>
        <mc:AlternateContent xmlns:mc="http://schemas.openxmlformats.org/markup-compatibility/2006">
          <mc:Choice Requires="x14">
            <control shapeId="202778" r:id="rId29" name="Check Box 26">
              <controlPr locked="0" defaultSize="0" autoFill="0" autoLine="0" autoPict="0">
                <anchor moveWithCells="1">
                  <from>
                    <xdr:col>12</xdr:col>
                    <xdr:colOff>771525</xdr:colOff>
                    <xdr:row>6</xdr:row>
                    <xdr:rowOff>128588</xdr:rowOff>
                  </from>
                  <to>
                    <xdr:col>13</xdr:col>
                    <xdr:colOff>457200</xdr:colOff>
                    <xdr:row>8</xdr:row>
                    <xdr:rowOff>14288</xdr:rowOff>
                  </to>
                </anchor>
              </controlPr>
            </control>
          </mc:Choice>
        </mc:AlternateContent>
        <mc:AlternateContent xmlns:mc="http://schemas.openxmlformats.org/markup-compatibility/2006">
          <mc:Choice Requires="x14">
            <control shapeId="202779" r:id="rId30" name="Check Box 27">
              <controlPr locked="0" defaultSize="0" autoFill="0" autoLine="0" autoPict="0">
                <anchor moveWithCells="1">
                  <from>
                    <xdr:col>12</xdr:col>
                    <xdr:colOff>771525</xdr:colOff>
                    <xdr:row>8</xdr:row>
                    <xdr:rowOff>128588</xdr:rowOff>
                  </from>
                  <to>
                    <xdr:col>13</xdr:col>
                    <xdr:colOff>457200</xdr:colOff>
                    <xdr:row>10</xdr:row>
                    <xdr:rowOff>14288</xdr:rowOff>
                  </to>
                </anchor>
              </controlPr>
            </control>
          </mc:Choice>
        </mc:AlternateContent>
        <mc:AlternateContent xmlns:mc="http://schemas.openxmlformats.org/markup-compatibility/2006">
          <mc:Choice Requires="x14">
            <control shapeId="202780" r:id="rId31" name="Check Box 28">
              <controlPr locked="0" defaultSize="0" autoFill="0" autoLine="0" autoPict="0">
                <anchor moveWithCells="1">
                  <from>
                    <xdr:col>8</xdr:col>
                    <xdr:colOff>66675</xdr:colOff>
                    <xdr:row>16</xdr:row>
                    <xdr:rowOff>104775</xdr:rowOff>
                  </from>
                  <to>
                    <xdr:col>10</xdr:col>
                    <xdr:colOff>28575</xdr:colOff>
                    <xdr:row>18</xdr:row>
                    <xdr:rowOff>9525</xdr:rowOff>
                  </to>
                </anchor>
              </controlPr>
            </control>
          </mc:Choice>
        </mc:AlternateContent>
        <mc:AlternateContent xmlns:mc="http://schemas.openxmlformats.org/markup-compatibility/2006">
          <mc:Choice Requires="x14">
            <control shapeId="202781" r:id="rId32" name="Check Box 29">
              <controlPr locked="0" defaultSize="0" autoFill="0" autoLine="0" autoPict="0">
                <anchor moveWithCells="1">
                  <from>
                    <xdr:col>6</xdr:col>
                    <xdr:colOff>66675</xdr:colOff>
                    <xdr:row>16</xdr:row>
                    <xdr:rowOff>100013</xdr:rowOff>
                  </from>
                  <to>
                    <xdr:col>8</xdr:col>
                    <xdr:colOff>28575</xdr:colOff>
                    <xdr:row>18</xdr:row>
                    <xdr:rowOff>0</xdr:rowOff>
                  </to>
                </anchor>
              </controlPr>
            </control>
          </mc:Choice>
        </mc:AlternateContent>
        <mc:AlternateContent xmlns:mc="http://schemas.openxmlformats.org/markup-compatibility/2006">
          <mc:Choice Requires="x14">
            <control shapeId="202782" r:id="rId33" name="Check Box 30">
              <controlPr locked="0" defaultSize="0" autoFill="0" autoLine="0" autoPict="0">
                <anchor moveWithCells="1">
                  <from>
                    <xdr:col>4</xdr:col>
                    <xdr:colOff>66675</xdr:colOff>
                    <xdr:row>16</xdr:row>
                    <xdr:rowOff>100013</xdr:rowOff>
                  </from>
                  <to>
                    <xdr:col>6</xdr:col>
                    <xdr:colOff>28575</xdr:colOff>
                    <xdr:row>18</xdr:row>
                    <xdr:rowOff>0</xdr:rowOff>
                  </to>
                </anchor>
              </controlPr>
            </control>
          </mc:Choice>
        </mc:AlternateContent>
        <mc:AlternateContent xmlns:mc="http://schemas.openxmlformats.org/markup-compatibility/2006">
          <mc:Choice Requires="x14">
            <control shapeId="202783" r:id="rId34" name="Check Box 31">
              <controlPr locked="0" defaultSize="0" autoFill="0" autoLine="0" autoPict="0">
                <anchor moveWithCells="1">
                  <from>
                    <xdr:col>20</xdr:col>
                    <xdr:colOff>66675</xdr:colOff>
                    <xdr:row>5</xdr:row>
                    <xdr:rowOff>100013</xdr:rowOff>
                  </from>
                  <to>
                    <xdr:col>22</xdr:col>
                    <xdr:colOff>28575</xdr:colOff>
                    <xdr:row>7</xdr:row>
                    <xdr:rowOff>0</xdr:rowOff>
                  </to>
                </anchor>
              </controlPr>
            </control>
          </mc:Choice>
        </mc:AlternateContent>
        <mc:AlternateContent xmlns:mc="http://schemas.openxmlformats.org/markup-compatibility/2006">
          <mc:Choice Requires="x14">
            <control shapeId="202784" r:id="rId35" name="Check Box 32">
              <controlPr locked="0" defaultSize="0" autoFill="0" autoLine="0" autoPict="0">
                <anchor moveWithCells="1">
                  <from>
                    <xdr:col>22</xdr:col>
                    <xdr:colOff>66675</xdr:colOff>
                    <xdr:row>5</xdr:row>
                    <xdr:rowOff>100013</xdr:rowOff>
                  </from>
                  <to>
                    <xdr:col>24</xdr:col>
                    <xdr:colOff>28575</xdr:colOff>
                    <xdr:row>7</xdr:row>
                    <xdr:rowOff>0</xdr:rowOff>
                  </to>
                </anchor>
              </controlPr>
            </control>
          </mc:Choice>
        </mc:AlternateContent>
        <mc:AlternateContent xmlns:mc="http://schemas.openxmlformats.org/markup-compatibility/2006">
          <mc:Choice Requires="x14">
            <control shapeId="202785" r:id="rId36" name="Check Box 33">
              <controlPr locked="0" defaultSize="0" autoFill="0" autoLine="0" autoPict="0">
                <anchor moveWithCells="1">
                  <from>
                    <xdr:col>24</xdr:col>
                    <xdr:colOff>66675</xdr:colOff>
                    <xdr:row>5</xdr:row>
                    <xdr:rowOff>100013</xdr:rowOff>
                  </from>
                  <to>
                    <xdr:col>26</xdr:col>
                    <xdr:colOff>28575</xdr:colOff>
                    <xdr:row>7</xdr:row>
                    <xdr:rowOff>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189F-9F12-44B6-B702-5C2D52066CD4}">
  <sheetPr>
    <tabColor rgb="FFFFC000"/>
  </sheetPr>
  <dimension ref="A1:IZ110"/>
  <sheetViews>
    <sheetView showGridLines="0" showRowColHeaders="0" topLeftCell="B1" zoomScaleNormal="100" workbookViewId="0">
      <selection activeCell="F6" sqref="F6"/>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8.46484375" style="514" customWidth="1"/>
    <col min="6" max="6" width="9.796875" style="514" customWidth="1"/>
    <col min="7" max="7" width="44.1328125" style="514" customWidth="1"/>
    <col min="8" max="16" width="8.6640625" style="514" customWidth="1"/>
    <col min="17" max="17" width="3.6640625" style="514" customWidth="1"/>
    <col min="18" max="18" width="9.1328125" style="514" customWidth="1"/>
    <col min="19" max="19" width="13.46484375" style="514" bestFit="1" customWidth="1"/>
    <col min="20" max="26" width="9.1328125" style="514" customWidth="1"/>
    <col min="27" max="27" width="13.46484375" style="514" bestFit="1" customWidth="1"/>
    <col min="28" max="28" width="11.796875" style="514" bestFit="1" customWidth="1"/>
    <col min="29" max="29" width="8.19921875" style="514" bestFit="1" customWidth="1"/>
    <col min="30" max="30" width="14.796875" style="514" customWidth="1"/>
    <col min="31" max="31" width="10.6640625" style="514" customWidth="1"/>
    <col min="32" max="32" width="12" style="514" bestFit="1" customWidth="1"/>
    <col min="33" max="33" width="14.46484375" style="514" bestFit="1" customWidth="1"/>
    <col min="34" max="34" width="16" style="514" bestFit="1" customWidth="1"/>
    <col min="35" max="36" width="15.6640625" style="514" bestFit="1" customWidth="1"/>
    <col min="37" max="37" width="12.53125" style="514" bestFit="1" customWidth="1"/>
    <col min="38" max="38" width="14.33203125" style="514" customWidth="1"/>
    <col min="39" max="39" width="11.53125" style="514" customWidth="1"/>
    <col min="40" max="40" width="16.796875" style="514" customWidth="1"/>
    <col min="41" max="41" width="17.53125" style="514" customWidth="1"/>
    <col min="42" max="42" width="12.6640625" style="514" bestFit="1" customWidth="1"/>
    <col min="43" max="43" width="18.1328125" style="514" bestFit="1" customWidth="1"/>
    <col min="44" max="44" width="9.1328125" style="514"/>
    <col min="45" max="45" width="9" style="514" customWidth="1"/>
    <col min="46" max="46" width="13.6640625" style="514" customWidth="1"/>
    <col min="47" max="47" width="17.19921875" style="514" customWidth="1"/>
    <col min="48" max="16384" width="9.1328125" style="514"/>
  </cols>
  <sheetData>
    <row r="1" spans="1:260" ht="12.75" customHeight="1">
      <c r="B1" s="612"/>
    </row>
    <row r="2" spans="1:260" s="618" customFormat="1" ht="21" customHeight="1">
      <c r="A2" s="514"/>
      <c r="B2" s="3210" t="s">
        <v>0</v>
      </c>
      <c r="C2" s="514"/>
      <c r="D2" s="613" t="s">
        <v>1294</v>
      </c>
      <c r="E2" s="614"/>
      <c r="F2" s="615"/>
      <c r="G2" s="615"/>
      <c r="H2" s="615"/>
      <c r="I2" s="615"/>
      <c r="J2" s="615"/>
      <c r="K2" s="615"/>
      <c r="L2" s="615"/>
      <c r="M2" s="615"/>
      <c r="N2" s="615"/>
      <c r="O2" s="615"/>
      <c r="P2" s="615"/>
      <c r="Q2" s="615"/>
      <c r="R2" s="617"/>
      <c r="S2" s="617"/>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c r="IX2" s="615"/>
      <c r="IY2" s="615"/>
      <c r="IZ2" s="615"/>
    </row>
    <row r="3" spans="1:260" ht="21" customHeight="1">
      <c r="B3" s="3210"/>
      <c r="D3" s="619"/>
      <c r="E3" s="619"/>
      <c r="F3" s="619"/>
      <c r="G3" s="5"/>
      <c r="H3" s="5"/>
      <c r="I3" s="5"/>
      <c r="J3" s="5"/>
      <c r="K3" s="5"/>
      <c r="L3" s="5"/>
      <c r="M3" s="5"/>
      <c r="N3" s="5"/>
    </row>
    <row r="4" spans="1:260" ht="21" customHeight="1">
      <c r="B4" s="63"/>
      <c r="D4" s="1421"/>
      <c r="E4" s="1422"/>
      <c r="F4" s="1422"/>
      <c r="G4" s="1423"/>
      <c r="H4" s="1423"/>
      <c r="I4" s="1423"/>
      <c r="J4" s="1424"/>
      <c r="K4" s="1425"/>
      <c r="L4" s="1425"/>
      <c r="M4" s="1425"/>
      <c r="N4" s="1425"/>
      <c r="O4" s="1425"/>
      <c r="P4" s="1425"/>
      <c r="Q4" s="1426"/>
    </row>
    <row r="5" spans="1:260" ht="21" customHeight="1">
      <c r="B5" s="62" t="s">
        <v>1</v>
      </c>
      <c r="D5" s="1427"/>
      <c r="E5" s="1428" t="s">
        <v>882</v>
      </c>
      <c r="F5" s="2892">
        <v>9</v>
      </c>
      <c r="G5" s="1429"/>
      <c r="H5" s="1417" t="s">
        <v>832</v>
      </c>
      <c r="I5" s="1417" t="s">
        <v>833</v>
      </c>
      <c r="J5" s="1417" t="s">
        <v>834</v>
      </c>
      <c r="K5" s="1417" t="s">
        <v>835</v>
      </c>
      <c r="L5" s="1417" t="s">
        <v>836</v>
      </c>
      <c r="M5" s="1417" t="s">
        <v>711</v>
      </c>
      <c r="N5" s="1417" t="s">
        <v>837</v>
      </c>
      <c r="O5" s="1417" t="s">
        <v>206</v>
      </c>
      <c r="P5" s="1417" t="s">
        <v>838</v>
      </c>
      <c r="Q5" s="1376"/>
      <c r="R5" s="12"/>
      <c r="S5" s="12"/>
      <c r="T5" s="12"/>
      <c r="U5" s="12"/>
      <c r="V5" s="12"/>
      <c r="W5" s="12"/>
      <c r="X5" s="12"/>
      <c r="Y5" s="12"/>
      <c r="Z5" s="12"/>
      <c r="AA5" s="12"/>
    </row>
    <row r="6" spans="1:260" ht="21" customHeight="1">
      <c r="B6" s="397" t="s">
        <v>452</v>
      </c>
      <c r="D6" s="1427"/>
      <c r="E6" s="1428" t="s">
        <v>883</v>
      </c>
      <c r="F6" s="2892">
        <v>12</v>
      </c>
      <c r="G6" s="1429"/>
      <c r="H6" s="1418" t="s">
        <v>839</v>
      </c>
      <c r="I6" s="1419" t="s">
        <v>840</v>
      </c>
      <c r="J6" s="1419" t="s">
        <v>840</v>
      </c>
      <c r="K6" s="1419" t="s">
        <v>840</v>
      </c>
      <c r="L6" s="1419" t="s">
        <v>840</v>
      </c>
      <c r="M6" s="1419" t="s">
        <v>840</v>
      </c>
      <c r="N6" s="1419" t="s">
        <v>840</v>
      </c>
      <c r="O6" s="1419" t="s">
        <v>840</v>
      </c>
      <c r="P6" s="1420" t="s">
        <v>841</v>
      </c>
      <c r="Q6" s="1376"/>
      <c r="R6" s="12"/>
      <c r="S6" s="12"/>
      <c r="T6" s="12"/>
      <c r="U6" s="12"/>
      <c r="V6" s="12"/>
      <c r="W6" s="12"/>
      <c r="X6" s="12"/>
      <c r="Y6" s="12"/>
      <c r="Z6" s="12"/>
      <c r="AA6" s="12"/>
    </row>
    <row r="7" spans="1:260" ht="21" customHeight="1">
      <c r="B7" s="62" t="s">
        <v>239</v>
      </c>
      <c r="D7" s="1427"/>
      <c r="E7" s="1428" t="s">
        <v>842</v>
      </c>
      <c r="F7" s="1441">
        <f>F6-F5</f>
        <v>3</v>
      </c>
      <c r="G7" s="1429"/>
      <c r="H7" s="2890" t="s">
        <v>843</v>
      </c>
      <c r="I7" s="2891">
        <v>0.01</v>
      </c>
      <c r="J7" s="1415">
        <f>(M7-K7)*$F$15</f>
        <v>0.36525000000000002</v>
      </c>
      <c r="K7" s="2891">
        <v>12.24</v>
      </c>
      <c r="L7" s="2893">
        <v>29.36</v>
      </c>
      <c r="M7" s="2891">
        <v>51.2</v>
      </c>
      <c r="N7" s="2894">
        <v>21.82</v>
      </c>
      <c r="O7" s="1415">
        <f>IF(ISNUMBER(I7),I7+(K7*$F$15)-(L7*$F$15*$F$15),"")</f>
        <v>0.12216953124999999</v>
      </c>
      <c r="P7" s="1416">
        <f>IF(I7&lt;J7,IF(ISNUMBER(I7),(N7*O7*O7)/(2*$F$15),""),"N/A")</f>
        <v>17.369178936679038</v>
      </c>
      <c r="Q7" s="1376"/>
      <c r="R7" s="12"/>
      <c r="S7" s="12"/>
      <c r="T7" s="12"/>
      <c r="U7" s="12"/>
      <c r="V7" s="12"/>
      <c r="W7" s="12"/>
      <c r="X7" s="12"/>
      <c r="Y7" s="12"/>
      <c r="Z7" s="12"/>
      <c r="AA7" s="12"/>
    </row>
    <row r="8" spans="1:260" ht="21" customHeight="1">
      <c r="B8" s="62" t="s">
        <v>1263</v>
      </c>
      <c r="D8" s="1427"/>
      <c r="E8" s="1428" t="s">
        <v>844</v>
      </c>
      <c r="F8" s="2892">
        <v>320</v>
      </c>
      <c r="G8" s="1430"/>
      <c r="H8" s="2891" t="s">
        <v>845</v>
      </c>
      <c r="I8" s="2891">
        <v>0.01</v>
      </c>
      <c r="J8" s="1415">
        <f t="shared" ref="J8:J23" si="0">(M8-K8)*$F$15</f>
        <v>0.41793750000000002</v>
      </c>
      <c r="K8" s="2891">
        <v>6.62</v>
      </c>
      <c r="L8" s="2893">
        <v>29.36</v>
      </c>
      <c r="M8" s="2891">
        <v>51.2</v>
      </c>
      <c r="N8" s="2894">
        <v>21.82</v>
      </c>
      <c r="O8" s="1415">
        <f t="shared" ref="O8:O23" si="1">IF(ISNUMBER(I8),I8+(K8*$F$15)-(L8*$F$15*$F$15),"")</f>
        <v>6.9482031250000006E-2</v>
      </c>
      <c r="P8" s="1416">
        <f t="shared" ref="P8:P23" si="2">IF(I8&lt;J8,IF(ISNUMBER(I8),(N8*O8*O8)/(2*$F$15),""),"N/A")</f>
        <v>5.6182167032415373</v>
      </c>
      <c r="Q8" s="1376"/>
      <c r="R8" s="12"/>
      <c r="S8" s="12"/>
      <c r="T8" s="12"/>
      <c r="U8" s="12"/>
      <c r="V8" s="12"/>
      <c r="W8" s="12"/>
      <c r="X8" s="12"/>
      <c r="Y8" s="12"/>
      <c r="Z8" s="12"/>
      <c r="AA8" s="12"/>
    </row>
    <row r="9" spans="1:260" ht="21" customHeight="1">
      <c r="B9" s="977" t="s">
        <v>557</v>
      </c>
      <c r="D9" s="1427"/>
      <c r="E9" s="1431"/>
      <c r="F9" s="1429"/>
      <c r="G9" s="1430"/>
      <c r="H9" s="2890" t="s">
        <v>846</v>
      </c>
      <c r="I9" s="2891">
        <v>0.01</v>
      </c>
      <c r="J9" s="1415">
        <f t="shared" si="0"/>
        <v>0.41793750000000002</v>
      </c>
      <c r="K9" s="2891">
        <v>6.62</v>
      </c>
      <c r="L9" s="2893">
        <v>29.36</v>
      </c>
      <c r="M9" s="2891">
        <v>51.2</v>
      </c>
      <c r="N9" s="2894">
        <v>21.82</v>
      </c>
      <c r="O9" s="1415">
        <f t="shared" si="1"/>
        <v>6.9482031250000006E-2</v>
      </c>
      <c r="P9" s="1416">
        <f t="shared" si="2"/>
        <v>5.6182167032415373</v>
      </c>
      <c r="Q9" s="1376"/>
      <c r="R9" s="12"/>
      <c r="S9" s="12"/>
      <c r="T9" s="12"/>
      <c r="U9" s="12"/>
      <c r="V9" s="12"/>
      <c r="W9" s="12"/>
      <c r="X9" s="12"/>
      <c r="Y9" s="12"/>
      <c r="Z9" s="12"/>
      <c r="AA9" s="12"/>
    </row>
    <row r="10" spans="1:260" ht="21" customHeight="1">
      <c r="B10" s="145" t="s">
        <v>680</v>
      </c>
      <c r="D10" s="1427"/>
      <c r="G10" s="1429"/>
      <c r="H10" s="2891" t="s">
        <v>848</v>
      </c>
      <c r="I10" s="2891">
        <v>0.01</v>
      </c>
      <c r="J10" s="1415">
        <f t="shared" si="0"/>
        <v>0.41793750000000002</v>
      </c>
      <c r="K10" s="2891">
        <v>6.62</v>
      </c>
      <c r="L10" s="2893">
        <v>29.36</v>
      </c>
      <c r="M10" s="2891">
        <v>51.2</v>
      </c>
      <c r="N10" s="2894">
        <v>21.82</v>
      </c>
      <c r="O10" s="1415">
        <f t="shared" si="1"/>
        <v>6.9482031250000006E-2</v>
      </c>
      <c r="P10" s="1416">
        <f t="shared" si="2"/>
        <v>5.6182167032415373</v>
      </c>
      <c r="Q10" s="1376"/>
      <c r="R10" s="12"/>
      <c r="S10" s="12"/>
      <c r="T10" s="12"/>
      <c r="U10" s="12"/>
      <c r="V10" s="12"/>
      <c r="W10" s="12"/>
      <c r="X10" s="12"/>
      <c r="Y10" s="12"/>
      <c r="Z10" s="12"/>
      <c r="AA10" s="12"/>
    </row>
    <row r="11" spans="1:260" ht="21" customHeight="1">
      <c r="B11" s="145" t="s">
        <v>621</v>
      </c>
      <c r="D11" s="1427"/>
      <c r="E11" s="1428" t="s">
        <v>750</v>
      </c>
      <c r="F11" s="1432" t="s">
        <v>847</v>
      </c>
      <c r="G11" s="1429"/>
      <c r="H11" s="2891" t="s">
        <v>849</v>
      </c>
      <c r="I11" s="2891">
        <v>0.01</v>
      </c>
      <c r="J11" s="1415">
        <f t="shared" si="0"/>
        <v>0.392625</v>
      </c>
      <c r="K11" s="2891">
        <v>7.62</v>
      </c>
      <c r="L11" s="2893">
        <v>29.37</v>
      </c>
      <c r="M11" s="2891">
        <v>49.5</v>
      </c>
      <c r="N11" s="2894">
        <v>21.82</v>
      </c>
      <c r="O11" s="1415">
        <f t="shared" si="1"/>
        <v>7.8856152343749999E-2</v>
      </c>
      <c r="P11" s="1416">
        <f t="shared" si="2"/>
        <v>7.236434564100942</v>
      </c>
      <c r="Q11" s="1433"/>
      <c r="R11" s="12"/>
      <c r="S11" s="12"/>
      <c r="T11" s="12"/>
      <c r="U11" s="12"/>
      <c r="V11" s="12"/>
      <c r="W11" s="12"/>
      <c r="X11" s="12"/>
      <c r="Y11" s="12"/>
      <c r="Z11" s="12"/>
      <c r="AA11" s="12"/>
    </row>
    <row r="12" spans="1:260" ht="21" customHeight="1">
      <c r="B12" s="145" t="s">
        <v>562</v>
      </c>
      <c r="D12" s="1427"/>
      <c r="E12" s="1431" t="s">
        <v>850</v>
      </c>
      <c r="F12" s="1429" t="s">
        <v>851</v>
      </c>
      <c r="G12" s="1430"/>
      <c r="H12" s="2891" t="s">
        <v>852</v>
      </c>
      <c r="I12" s="2891">
        <v>0.01</v>
      </c>
      <c r="J12" s="1415">
        <f t="shared" si="0"/>
        <v>0.42075000000000001</v>
      </c>
      <c r="K12" s="2891">
        <v>6.32</v>
      </c>
      <c r="L12" s="2893">
        <v>29.18</v>
      </c>
      <c r="M12" s="2891">
        <v>51.2</v>
      </c>
      <c r="N12" s="2894">
        <v>9.98</v>
      </c>
      <c r="O12" s="1415">
        <f t="shared" si="1"/>
        <v>6.6685351562499995E-2</v>
      </c>
      <c r="P12" s="1416">
        <f t="shared" si="2"/>
        <v>2.3669558617537025</v>
      </c>
      <c r="Q12" s="1433"/>
      <c r="R12" s="12"/>
      <c r="S12" s="12"/>
      <c r="T12" s="12"/>
      <c r="U12" s="12"/>
      <c r="V12" s="12"/>
      <c r="W12" s="12"/>
      <c r="X12" s="12"/>
      <c r="Y12" s="12"/>
      <c r="Z12" s="12"/>
      <c r="AA12" s="12"/>
    </row>
    <row r="13" spans="1:260" ht="21" customHeight="1">
      <c r="B13" s="145" t="s">
        <v>563</v>
      </c>
      <c r="D13" s="1427"/>
      <c r="E13" s="1431" t="s">
        <v>853</v>
      </c>
      <c r="F13" s="1429" t="s">
        <v>854</v>
      </c>
      <c r="G13" s="1430"/>
      <c r="H13" s="2891" t="s">
        <v>855</v>
      </c>
      <c r="I13" s="2891">
        <v>0.01</v>
      </c>
      <c r="J13" s="1415">
        <f t="shared" si="0"/>
        <v>0.42075000000000001</v>
      </c>
      <c r="K13" s="2891">
        <v>6.32</v>
      </c>
      <c r="L13" s="2893">
        <v>29.18</v>
      </c>
      <c r="M13" s="2891">
        <v>51.2</v>
      </c>
      <c r="N13" s="2894">
        <v>9.98</v>
      </c>
      <c r="O13" s="1415">
        <f t="shared" si="1"/>
        <v>6.6685351562499995E-2</v>
      </c>
      <c r="P13" s="1416">
        <f t="shared" si="2"/>
        <v>2.3669558617537025</v>
      </c>
      <c r="Q13" s="1433"/>
      <c r="R13" s="12"/>
      <c r="S13" s="12"/>
      <c r="T13" s="12"/>
      <c r="U13" s="12"/>
      <c r="V13" s="12"/>
      <c r="W13" s="12"/>
      <c r="X13" s="12"/>
      <c r="Y13" s="12"/>
      <c r="Z13" s="12"/>
      <c r="AA13" s="12"/>
    </row>
    <row r="14" spans="1:260" ht="21" customHeight="1">
      <c r="B14" s="145" t="s">
        <v>589</v>
      </c>
      <c r="D14" s="1427"/>
      <c r="E14" s="1431" t="s">
        <v>856</v>
      </c>
      <c r="F14" s="1429" t="s">
        <v>857</v>
      </c>
      <c r="G14" s="1430"/>
      <c r="H14" s="2891" t="s">
        <v>858</v>
      </c>
      <c r="I14" s="2891">
        <v>0.01</v>
      </c>
      <c r="J14" s="1415">
        <f t="shared" si="0"/>
        <v>0.41512500000000002</v>
      </c>
      <c r="K14" s="2891">
        <v>6.92</v>
      </c>
      <c r="L14" s="2893">
        <v>29.14</v>
      </c>
      <c r="M14" s="2891">
        <v>51.2</v>
      </c>
      <c r="N14" s="2894">
        <v>9.98</v>
      </c>
      <c r="O14" s="1415">
        <f t="shared" si="1"/>
        <v>7.2313867187499992E-2</v>
      </c>
      <c r="P14" s="1416">
        <f t="shared" si="2"/>
        <v>2.7833796249792879</v>
      </c>
      <c r="Q14" s="1433"/>
      <c r="R14" s="12"/>
      <c r="S14" s="12"/>
      <c r="T14" s="12"/>
      <c r="U14" s="12"/>
      <c r="V14" s="12"/>
      <c r="W14" s="12"/>
      <c r="X14" s="12"/>
      <c r="Y14" s="12"/>
      <c r="Z14" s="12"/>
      <c r="AA14" s="12"/>
    </row>
    <row r="15" spans="1:260" ht="21" customHeight="1">
      <c r="B15" s="145" t="s">
        <v>1290</v>
      </c>
      <c r="D15" s="1434"/>
      <c r="E15" s="1431" t="s">
        <v>859</v>
      </c>
      <c r="F15" s="1435">
        <f>F7/F8</f>
        <v>9.3749999999999997E-3</v>
      </c>
      <c r="G15" s="1429" t="s">
        <v>860</v>
      </c>
      <c r="H15" s="2891" t="s">
        <v>861</v>
      </c>
      <c r="I15" s="2891">
        <v>0.01</v>
      </c>
      <c r="J15" s="1415">
        <f t="shared" si="0"/>
        <v>0.41512500000000002</v>
      </c>
      <c r="K15" s="2891">
        <v>6.92</v>
      </c>
      <c r="L15" s="2893">
        <v>29.14</v>
      </c>
      <c r="M15" s="2891">
        <v>51.2</v>
      </c>
      <c r="N15" s="2894">
        <v>9.98</v>
      </c>
      <c r="O15" s="1415">
        <f t="shared" si="1"/>
        <v>7.2313867187499992E-2</v>
      </c>
      <c r="P15" s="1416">
        <f t="shared" si="2"/>
        <v>2.7833796249792879</v>
      </c>
      <c r="Q15" s="1433"/>
      <c r="R15" s="12"/>
      <c r="S15" s="12"/>
      <c r="T15" s="12"/>
      <c r="U15" s="12"/>
      <c r="V15" s="12"/>
      <c r="W15" s="12"/>
      <c r="X15" s="12"/>
      <c r="Y15" s="12"/>
      <c r="Z15" s="12"/>
      <c r="AA15" s="12"/>
    </row>
    <row r="16" spans="1:260" ht="21" customHeight="1">
      <c r="B16" s="147" t="s">
        <v>1293</v>
      </c>
      <c r="D16" s="1427"/>
      <c r="E16" s="1429"/>
      <c r="F16" s="1429"/>
      <c r="G16" s="1430"/>
      <c r="H16" s="2891" t="s">
        <v>862</v>
      </c>
      <c r="I16" s="2891">
        <v>0.01</v>
      </c>
      <c r="J16" s="1415">
        <f t="shared" si="0"/>
        <v>0.41981249999999998</v>
      </c>
      <c r="K16" s="2891">
        <v>6.42</v>
      </c>
      <c r="L16" s="2893">
        <v>29.08</v>
      </c>
      <c r="M16" s="2891">
        <v>51.2</v>
      </c>
      <c r="N16" s="2894">
        <v>9.98</v>
      </c>
      <c r="O16" s="1415">
        <f t="shared" si="1"/>
        <v>6.7631640625000003E-2</v>
      </c>
      <c r="P16" s="1416">
        <f t="shared" si="2"/>
        <v>2.4346083925343427</v>
      </c>
      <c r="Q16" s="1376"/>
      <c r="R16" s="12"/>
      <c r="S16" s="12"/>
      <c r="T16" s="12"/>
      <c r="U16" s="12"/>
      <c r="V16" s="12"/>
      <c r="W16" s="12"/>
      <c r="X16" s="12"/>
      <c r="Y16" s="12"/>
      <c r="Z16" s="12"/>
      <c r="AA16" s="12"/>
    </row>
    <row r="17" spans="2:18" ht="21" customHeight="1">
      <c r="B17" s="145" t="s">
        <v>1153</v>
      </c>
      <c r="D17" s="1427"/>
      <c r="E17" s="1431" t="s">
        <v>863</v>
      </c>
      <c r="F17" s="1429" t="s">
        <v>864</v>
      </c>
      <c r="G17" s="1429"/>
      <c r="H17" s="2891" t="s">
        <v>865</v>
      </c>
      <c r="I17" s="2891">
        <v>0.01</v>
      </c>
      <c r="J17" s="1415">
        <f t="shared" si="0"/>
        <v>0.41981249999999998</v>
      </c>
      <c r="K17" s="2891">
        <v>6.42</v>
      </c>
      <c r="L17" s="2893">
        <v>29.08</v>
      </c>
      <c r="M17" s="2891">
        <v>51.2</v>
      </c>
      <c r="N17" s="2894">
        <v>9.98</v>
      </c>
      <c r="O17" s="1415">
        <f t="shared" si="1"/>
        <v>6.7631640625000003E-2</v>
      </c>
      <c r="P17" s="1416">
        <f t="shared" si="2"/>
        <v>2.4346083925343427</v>
      </c>
      <c r="Q17" s="1376"/>
      <c r="R17" s="12"/>
    </row>
    <row r="18" spans="2:18" ht="21" customHeight="1">
      <c r="B18" s="145" t="s">
        <v>1308</v>
      </c>
      <c r="D18" s="1427"/>
      <c r="E18" s="1431" t="s">
        <v>866</v>
      </c>
      <c r="F18" s="1429" t="s">
        <v>867</v>
      </c>
      <c r="G18" s="1429"/>
      <c r="H18" s="2891" t="s">
        <v>868</v>
      </c>
      <c r="I18" s="2891">
        <v>0.01</v>
      </c>
      <c r="J18" s="1415">
        <f t="shared" si="0"/>
        <v>0.42262500000000003</v>
      </c>
      <c r="K18" s="2891">
        <v>6.12</v>
      </c>
      <c r="L18" s="2893">
        <v>29.09</v>
      </c>
      <c r="M18" s="2891">
        <v>51.2</v>
      </c>
      <c r="N18" s="2894">
        <v>9.98</v>
      </c>
      <c r="O18" s="1415">
        <f t="shared" si="1"/>
        <v>6.4818261718749992E-2</v>
      </c>
      <c r="P18" s="1416">
        <f t="shared" si="2"/>
        <v>2.2362689270058085</v>
      </c>
      <c r="Q18" s="1376"/>
      <c r="R18" s="12"/>
    </row>
    <row r="19" spans="2:18" ht="21" customHeight="1">
      <c r="B19" s="145" t="s">
        <v>1307</v>
      </c>
      <c r="D19" s="1427"/>
      <c r="E19" s="1431" t="s">
        <v>869</v>
      </c>
      <c r="F19" s="1429" t="s">
        <v>780</v>
      </c>
      <c r="G19" s="1429"/>
      <c r="H19" s="2891" t="s">
        <v>870</v>
      </c>
      <c r="I19" s="2891">
        <v>0.01</v>
      </c>
      <c r="J19" s="1415">
        <f t="shared" si="0"/>
        <v>0.42262500000000003</v>
      </c>
      <c r="K19" s="2891">
        <v>6.12</v>
      </c>
      <c r="L19" s="2893">
        <v>29.09</v>
      </c>
      <c r="M19" s="2891">
        <v>51.2</v>
      </c>
      <c r="N19" s="2894">
        <v>9.98</v>
      </c>
      <c r="O19" s="1415">
        <f t="shared" si="1"/>
        <v>6.4818261718749992E-2</v>
      </c>
      <c r="P19" s="1416">
        <f t="shared" si="2"/>
        <v>2.2362689270058085</v>
      </c>
      <c r="Q19" s="1376"/>
      <c r="R19" s="12"/>
    </row>
    <row r="20" spans="2:18" ht="21" customHeight="1">
      <c r="B20" s="145" t="s">
        <v>667</v>
      </c>
      <c r="D20" s="1427"/>
      <c r="E20" s="1431" t="s">
        <v>871</v>
      </c>
      <c r="F20" s="1429" t="s">
        <v>717</v>
      </c>
      <c r="G20" s="1429"/>
      <c r="H20" s="2891" t="s">
        <v>872</v>
      </c>
      <c r="I20" s="2891">
        <v>0.01</v>
      </c>
      <c r="J20" s="1415">
        <f t="shared" si="0"/>
        <v>0.25406250000000002</v>
      </c>
      <c r="K20" s="2891">
        <v>8.74</v>
      </c>
      <c r="L20" s="2893">
        <v>29.09</v>
      </c>
      <c r="M20" s="2891">
        <v>35.840000000000003</v>
      </c>
      <c r="N20" s="2894">
        <v>9.98</v>
      </c>
      <c r="O20" s="1415">
        <f t="shared" si="1"/>
        <v>8.9380761718749993E-2</v>
      </c>
      <c r="P20" s="1416">
        <f>IF(I20&lt;J20,IF(ISNUMBER(I20),(N20*O20*O20)/(2*$F$15),""),"N/A")</f>
        <v>4.2522361196229959</v>
      </c>
      <c r="Q20" s="1376"/>
      <c r="R20" s="12"/>
    </row>
    <row r="21" spans="2:18" ht="21" customHeight="1">
      <c r="B21" s="145" t="s">
        <v>1291</v>
      </c>
      <c r="D21" s="1427"/>
      <c r="E21" s="1431" t="s">
        <v>873</v>
      </c>
      <c r="F21" s="1429" t="s">
        <v>874</v>
      </c>
      <c r="G21" s="1429"/>
      <c r="H21" s="2891" t="s">
        <v>875</v>
      </c>
      <c r="I21" s="2891">
        <v>0.01</v>
      </c>
      <c r="J21" s="1415">
        <f t="shared" si="0"/>
        <v>0.25406250000000002</v>
      </c>
      <c r="K21" s="2891">
        <v>8.74</v>
      </c>
      <c r="L21" s="2893">
        <v>29.09</v>
      </c>
      <c r="M21" s="2891">
        <v>35.840000000000003</v>
      </c>
      <c r="N21" s="2894">
        <v>9.98</v>
      </c>
      <c r="O21" s="1415">
        <f t="shared" si="1"/>
        <v>8.9380761718749993E-2</v>
      </c>
      <c r="P21" s="1416">
        <f t="shared" si="2"/>
        <v>4.2522361196229959</v>
      </c>
      <c r="Q21" s="1376"/>
      <c r="R21" s="12"/>
    </row>
    <row r="22" spans="2:18" ht="21" customHeight="1">
      <c r="B22" s="145" t="s">
        <v>1322</v>
      </c>
      <c r="D22" s="1427"/>
      <c r="E22" s="1431" t="s">
        <v>876</v>
      </c>
      <c r="F22" s="1429" t="s">
        <v>877</v>
      </c>
      <c r="G22" s="1429"/>
      <c r="H22" s="2891" t="s">
        <v>878</v>
      </c>
      <c r="I22" s="2891">
        <v>0.01</v>
      </c>
      <c r="J22" s="1415">
        <f t="shared" si="0"/>
        <v>3.2999999999999995E-2</v>
      </c>
      <c r="K22" s="2894">
        <v>11.84</v>
      </c>
      <c r="L22" s="2893">
        <v>29.3</v>
      </c>
      <c r="M22" s="2891">
        <v>15.36</v>
      </c>
      <c r="N22" s="2894">
        <v>7</v>
      </c>
      <c r="O22" s="1415">
        <f t="shared" si="1"/>
        <v>0.1184248046875</v>
      </c>
      <c r="P22" s="1416">
        <f t="shared" si="2"/>
        <v>5.2357888297017414</v>
      </c>
      <c r="Q22" s="1376"/>
      <c r="R22" s="12"/>
    </row>
    <row r="23" spans="2:18" ht="21" customHeight="1" thickBot="1">
      <c r="B23" s="145" t="s">
        <v>1292</v>
      </c>
      <c r="D23" s="1427"/>
      <c r="E23" s="1431" t="s">
        <v>879</v>
      </c>
      <c r="F23" s="1429" t="s">
        <v>880</v>
      </c>
      <c r="G23" s="1429"/>
      <c r="H23" s="2891" t="s">
        <v>881</v>
      </c>
      <c r="I23" s="2891">
        <v>0.01</v>
      </c>
      <c r="J23" s="1415">
        <f t="shared" si="0"/>
        <v>3.2999999999999995E-2</v>
      </c>
      <c r="K23" s="2894">
        <v>11.84</v>
      </c>
      <c r="L23" s="2893">
        <v>29.3</v>
      </c>
      <c r="M23" s="2891">
        <v>15.36</v>
      </c>
      <c r="N23" s="2894">
        <v>7</v>
      </c>
      <c r="O23" s="1415">
        <f t="shared" si="1"/>
        <v>0.1184248046875</v>
      </c>
      <c r="P23" s="1416">
        <f t="shared" si="2"/>
        <v>5.2357888297017414</v>
      </c>
      <c r="Q23" s="1376"/>
      <c r="R23" s="12"/>
    </row>
    <row r="24" spans="2:18" ht="21" customHeight="1" thickBot="1">
      <c r="B24" s="62" t="s">
        <v>238</v>
      </c>
      <c r="D24" s="1427"/>
      <c r="E24" s="1436"/>
      <c r="F24" s="1436"/>
      <c r="G24" s="1436"/>
      <c r="H24" s="1437"/>
      <c r="I24" s="1437"/>
      <c r="J24" s="1437"/>
      <c r="K24" s="1437"/>
      <c r="L24" s="1437"/>
      <c r="M24" s="1437"/>
      <c r="N24" s="1437"/>
      <c r="O24" s="1437" t="s">
        <v>548</v>
      </c>
      <c r="P24" s="1414">
        <f>SUM(P7:P23)</f>
        <v>80.078739121700366</v>
      </c>
      <c r="Q24" s="1376"/>
      <c r="R24" s="12"/>
    </row>
    <row r="25" spans="2:18" ht="21" customHeight="1">
      <c r="B25" s="62" t="s">
        <v>1652</v>
      </c>
      <c r="D25" s="1427"/>
      <c r="E25" s="12"/>
      <c r="F25" s="12"/>
      <c r="G25" s="12"/>
      <c r="H25" s="12"/>
      <c r="I25" s="12"/>
      <c r="J25" s="12"/>
      <c r="K25" s="12"/>
      <c r="L25" s="1098"/>
      <c r="P25" s="12"/>
      <c r="Q25" s="1376"/>
      <c r="R25" s="12"/>
    </row>
    <row r="26" spans="2:18" ht="21" customHeight="1">
      <c r="B26" s="62" t="s">
        <v>1653</v>
      </c>
      <c r="D26" s="1427"/>
      <c r="E26" s="12"/>
      <c r="F26" s="12"/>
      <c r="G26" s="12"/>
      <c r="H26" s="12"/>
      <c r="I26" s="12"/>
      <c r="J26" s="12"/>
      <c r="K26" s="12"/>
      <c r="L26" s="1098"/>
      <c r="M26" s="1100"/>
      <c r="N26" s="1099"/>
      <c r="P26" s="12"/>
      <c r="Q26" s="1376"/>
      <c r="R26" s="12"/>
    </row>
    <row r="27" spans="2:18" ht="21" customHeight="1">
      <c r="B27" s="62" t="s">
        <v>40</v>
      </c>
      <c r="D27" s="1427"/>
      <c r="E27" s="12"/>
      <c r="F27" s="12"/>
      <c r="G27" s="12"/>
      <c r="H27" s="12"/>
      <c r="I27" s="12"/>
      <c r="J27" s="12"/>
      <c r="K27" s="12"/>
      <c r="L27" s="1098"/>
      <c r="M27" s="1098"/>
      <c r="N27" s="1098"/>
      <c r="P27" s="12"/>
      <c r="Q27" s="1376"/>
      <c r="R27" s="12"/>
    </row>
    <row r="28" spans="2:18" ht="21" customHeight="1">
      <c r="B28" s="62" t="s">
        <v>238</v>
      </c>
      <c r="D28" s="1427"/>
      <c r="E28" s="12"/>
      <c r="F28" s="12"/>
      <c r="G28" s="12"/>
      <c r="H28" s="12"/>
      <c r="I28" s="12"/>
      <c r="J28" s="12"/>
      <c r="K28" s="12"/>
      <c r="P28" s="12"/>
      <c r="Q28" s="1376"/>
      <c r="R28" s="12"/>
    </row>
    <row r="29" spans="2:18" ht="21" customHeight="1">
      <c r="B29" s="62" t="s">
        <v>39</v>
      </c>
      <c r="D29" s="1427"/>
      <c r="J29" s="12"/>
      <c r="K29" s="12"/>
      <c r="P29" s="12"/>
      <c r="Q29" s="1376"/>
      <c r="R29" s="12"/>
    </row>
    <row r="30" spans="2:18" ht="21" customHeight="1">
      <c r="B30" s="62" t="s">
        <v>38</v>
      </c>
      <c r="D30" s="1427"/>
      <c r="Q30" s="1433"/>
    </row>
    <row r="31" spans="2:18" ht="21" customHeight="1">
      <c r="B31" s="62"/>
      <c r="D31" s="1427"/>
      <c r="Q31" s="1433"/>
    </row>
    <row r="32" spans="2:18" ht="21" customHeight="1">
      <c r="B32" s="62"/>
      <c r="D32" s="1438"/>
      <c r="E32" s="1439"/>
      <c r="F32" s="1439"/>
      <c r="G32" s="1439"/>
      <c r="H32" s="1439"/>
      <c r="I32" s="1439"/>
      <c r="J32" s="1439"/>
      <c r="K32" s="1439"/>
      <c r="L32" s="1439"/>
      <c r="M32" s="1439"/>
      <c r="N32" s="1439"/>
      <c r="O32" s="1439"/>
      <c r="P32" s="1439"/>
      <c r="Q32" s="1440"/>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37">
      <c r="B49" s="565"/>
    </row>
    <row r="50" spans="2:37">
      <c r="B50" s="565"/>
    </row>
    <row r="51" spans="2:37">
      <c r="B51" s="565"/>
    </row>
    <row r="52" spans="2:37">
      <c r="B52" s="565"/>
    </row>
    <row r="53" spans="2:37">
      <c r="B53" s="565"/>
    </row>
    <row r="54" spans="2:37">
      <c r="B54" s="565"/>
    </row>
    <row r="55" spans="2:37">
      <c r="B55" s="565"/>
    </row>
    <row r="56" spans="2:37">
      <c r="B56" s="565"/>
    </row>
    <row r="57" spans="2:37">
      <c r="B57" s="565"/>
    </row>
    <row r="58" spans="2:37">
      <c r="B58" s="565"/>
    </row>
    <row r="59" spans="2:37">
      <c r="B59" s="565"/>
    </row>
    <row r="60" spans="2:37">
      <c r="B60" s="565"/>
    </row>
    <row r="61" spans="2:37">
      <c r="B61" s="565"/>
    </row>
    <row r="62" spans="2:37">
      <c r="B62" s="565"/>
      <c r="T62" s="5"/>
      <c r="U62" s="5"/>
      <c r="V62" s="5"/>
      <c r="W62" s="5"/>
      <c r="X62" s="5"/>
      <c r="Y62" s="5"/>
      <c r="Z62" s="5"/>
      <c r="AA62" s="5"/>
      <c r="AB62" s="5"/>
      <c r="AC62" s="5"/>
      <c r="AD62" s="5"/>
      <c r="AE62" s="5"/>
      <c r="AF62" s="5"/>
      <c r="AG62" s="5"/>
      <c r="AH62" s="5"/>
      <c r="AI62" s="5"/>
      <c r="AJ62" s="5"/>
      <c r="AK62" s="5"/>
    </row>
    <row r="63" spans="2:37">
      <c r="B63" s="565"/>
      <c r="T63" s="5"/>
      <c r="U63" s="5"/>
      <c r="V63" s="5"/>
      <c r="W63" s="5"/>
      <c r="X63" s="5"/>
      <c r="Y63" s="5"/>
      <c r="Z63" s="5"/>
      <c r="AA63" s="5"/>
      <c r="AB63" s="5"/>
      <c r="AC63" s="5"/>
      <c r="AD63" s="5"/>
      <c r="AE63" s="5"/>
      <c r="AF63" s="5"/>
      <c r="AG63" s="5"/>
      <c r="AH63" s="5"/>
      <c r="AI63" s="5"/>
      <c r="AJ63" s="5"/>
      <c r="AK63" s="5"/>
    </row>
    <row r="64" spans="2:37">
      <c r="B64" s="565"/>
    </row>
    <row r="65" spans="2:2">
      <c r="B65" s="565"/>
    </row>
    <row r="66" spans="2:2">
      <c r="B66" s="565"/>
    </row>
    <row r="67" spans="2:2">
      <c r="B67" s="565"/>
    </row>
    <row r="68" spans="2:2">
      <c r="B68" s="565"/>
    </row>
    <row r="69" spans="2:2">
      <c r="B69" s="565"/>
    </row>
    <row r="70" spans="2:2">
      <c r="B70" s="565"/>
    </row>
    <row r="71" spans="2:2">
      <c r="B71" s="565"/>
    </row>
    <row r="100" spans="27:47">
      <c r="AA100" s="566" t="s">
        <v>550</v>
      </c>
      <c r="AB100" s="12"/>
      <c r="AC100" s="12"/>
      <c r="AD100" s="12"/>
      <c r="AE100" s="12"/>
      <c r="AF100" s="12"/>
      <c r="AG100" s="12"/>
      <c r="AH100" s="12"/>
      <c r="AI100" s="12"/>
    </row>
    <row r="101" spans="27:47">
      <c r="AA101" s="1073" t="s">
        <v>575</v>
      </c>
      <c r="AB101" s="1056"/>
      <c r="AC101" s="1057"/>
      <c r="AD101" s="1058"/>
      <c r="AE101" s="1058"/>
      <c r="AF101" s="1058"/>
      <c r="AG101" s="1058"/>
      <c r="AH101" s="1058"/>
      <c r="AI101" s="1058"/>
      <c r="AJ101" s="1058"/>
      <c r="AK101" s="1058"/>
      <c r="AL101" s="1058"/>
      <c r="AM101" s="1074" t="s">
        <v>575</v>
      </c>
      <c r="AN101" s="1058"/>
      <c r="AO101" s="1058"/>
      <c r="AP101" s="1058"/>
      <c r="AQ101" s="1058"/>
      <c r="AR101" s="1058"/>
      <c r="AS101" s="1058"/>
      <c r="AT101" s="1058"/>
      <c r="AU101" s="1059"/>
    </row>
    <row r="102" spans="27:47" ht="13.15">
      <c r="AA102" s="1062"/>
      <c r="AB102" s="1076"/>
      <c r="AC102" s="1060"/>
      <c r="AD102" s="1060"/>
      <c r="AE102" s="1060"/>
      <c r="AF102" s="1060"/>
      <c r="AG102" s="1060"/>
      <c r="AH102" s="1060"/>
      <c r="AI102" s="1060"/>
      <c r="AJ102" s="1060"/>
      <c r="AK102" s="1060"/>
      <c r="AL102" s="1060"/>
      <c r="AM102" s="1060"/>
      <c r="AN102" s="3208"/>
      <c r="AO102" s="3209"/>
      <c r="AP102" s="1060"/>
      <c r="AQ102" s="1060"/>
      <c r="AR102" s="1060"/>
      <c r="AS102" s="1060"/>
      <c r="AT102" s="1060"/>
      <c r="AU102" s="1061"/>
    </row>
    <row r="103" spans="27:47">
      <c r="AA103" s="1085"/>
      <c r="AB103" s="1086"/>
      <c r="AC103" s="1087"/>
      <c r="AD103" s="1087"/>
      <c r="AE103" s="1087"/>
      <c r="AF103" s="1087"/>
      <c r="AG103" s="1087"/>
      <c r="AH103" s="1087"/>
      <c r="AI103" s="1087"/>
      <c r="AJ103" s="1087"/>
      <c r="AK103" s="1087"/>
      <c r="AL103" s="1087"/>
      <c r="AM103" s="1087"/>
      <c r="AN103" s="1082"/>
      <c r="AO103" s="1079"/>
      <c r="AP103" s="1087"/>
      <c r="AQ103" s="1087"/>
      <c r="AR103" s="1087"/>
      <c r="AS103" s="1087"/>
      <c r="AT103" s="1087"/>
      <c r="AU103" s="1088"/>
    </row>
    <row r="104" spans="27:47">
      <c r="AA104" s="1085"/>
      <c r="AB104" s="1086"/>
      <c r="AC104" s="1087"/>
      <c r="AD104" s="1087"/>
      <c r="AE104" s="1087"/>
      <c r="AF104" s="1087"/>
      <c r="AG104" s="1087"/>
      <c r="AH104" s="1087"/>
      <c r="AI104" s="1087"/>
      <c r="AJ104" s="1087"/>
      <c r="AK104" s="1087"/>
      <c r="AL104" s="1087"/>
      <c r="AM104" s="1087"/>
      <c r="AN104" s="1080"/>
      <c r="AO104" s="1077"/>
      <c r="AP104" s="1087"/>
      <c r="AQ104" s="1087"/>
      <c r="AR104" s="1087"/>
      <c r="AS104" s="1087"/>
      <c r="AT104" s="1087"/>
      <c r="AU104" s="1088"/>
    </row>
    <row r="105" spans="27:47">
      <c r="AA105" s="1085"/>
      <c r="AB105" s="1086"/>
      <c r="AC105" s="1087"/>
      <c r="AD105" s="1087"/>
      <c r="AE105" s="1087"/>
      <c r="AF105" s="1087"/>
      <c r="AG105" s="1087"/>
      <c r="AH105" s="1087"/>
      <c r="AI105" s="1087"/>
      <c r="AJ105" s="1087"/>
      <c r="AK105" s="1087"/>
      <c r="AL105" s="1087"/>
      <c r="AM105" s="1087"/>
      <c r="AN105" s="1081"/>
      <c r="AO105" s="1078"/>
      <c r="AP105" s="1087"/>
      <c r="AQ105" s="1087"/>
      <c r="AR105" s="1087"/>
      <c r="AS105" s="1087"/>
      <c r="AT105" s="1087"/>
      <c r="AU105" s="1088"/>
    </row>
    <row r="106" spans="27:47">
      <c r="AA106" s="1085"/>
      <c r="AB106" s="1086"/>
      <c r="AC106" s="1087"/>
      <c r="AD106" s="1087"/>
      <c r="AE106" s="1087"/>
      <c r="AF106" s="1087"/>
      <c r="AG106" s="1087"/>
      <c r="AH106" s="1087"/>
      <c r="AI106" s="1087"/>
      <c r="AJ106" s="1087"/>
      <c r="AK106" s="1087"/>
      <c r="AL106" s="1087"/>
      <c r="AM106" s="1087"/>
      <c r="AN106" s="1081"/>
      <c r="AO106" s="1078"/>
      <c r="AP106" s="1087"/>
      <c r="AQ106" s="1087"/>
      <c r="AR106" s="1087"/>
      <c r="AS106" s="1087"/>
      <c r="AT106" s="1087"/>
      <c r="AU106" s="1088"/>
    </row>
    <row r="107" spans="27:47">
      <c r="AA107" s="1085"/>
      <c r="AB107" s="1086"/>
      <c r="AC107" s="1087"/>
      <c r="AD107" s="1087"/>
      <c r="AE107" s="1087"/>
      <c r="AF107" s="1087"/>
      <c r="AG107" s="1087"/>
      <c r="AH107" s="1087"/>
      <c r="AI107" s="1087"/>
      <c r="AJ107" s="1087"/>
      <c r="AK107" s="1087"/>
      <c r="AL107" s="1087"/>
      <c r="AM107" s="1087"/>
      <c r="AN107" s="1081"/>
      <c r="AO107" s="1078"/>
      <c r="AP107" s="1087"/>
      <c r="AQ107" s="1087"/>
      <c r="AR107" s="1087"/>
      <c r="AS107" s="1087"/>
      <c r="AT107" s="1087"/>
      <c r="AU107" s="1088"/>
    </row>
    <row r="108" spans="27:47">
      <c r="AA108" s="1085"/>
      <c r="AB108" s="1086"/>
      <c r="AC108" s="1087"/>
      <c r="AD108" s="1087"/>
      <c r="AE108" s="1087"/>
      <c r="AF108" s="1087"/>
      <c r="AG108" s="1087"/>
      <c r="AH108" s="1087"/>
      <c r="AI108" s="1087"/>
      <c r="AJ108" s="1087"/>
      <c r="AK108" s="1087"/>
      <c r="AL108" s="1087"/>
      <c r="AM108" s="1087"/>
      <c r="AN108" s="1081"/>
      <c r="AO108" s="1079"/>
      <c r="AP108" s="1087"/>
      <c r="AQ108" s="1087"/>
      <c r="AR108" s="1087"/>
      <c r="AS108" s="1087"/>
      <c r="AT108" s="1087"/>
      <c r="AU108" s="1088"/>
    </row>
    <row r="109" spans="27:47">
      <c r="AA109" s="1085"/>
      <c r="AB109" s="1086"/>
      <c r="AC109" s="1087"/>
      <c r="AD109" s="1087"/>
      <c r="AE109" s="1087"/>
      <c r="AF109" s="1087"/>
      <c r="AG109" s="1087"/>
      <c r="AH109" s="1087"/>
      <c r="AI109" s="1087"/>
      <c r="AJ109" s="1087"/>
      <c r="AK109" s="1087"/>
      <c r="AL109" s="1087"/>
      <c r="AM109" s="1087"/>
      <c r="AN109" s="1089"/>
      <c r="AO109" s="1090"/>
      <c r="AP109" s="1087"/>
      <c r="AQ109" s="1087"/>
      <c r="AR109" s="1087"/>
      <c r="AS109" s="1087"/>
      <c r="AT109" s="1087"/>
      <c r="AU109" s="1088"/>
    </row>
    <row r="110" spans="27:47">
      <c r="AA110" s="1095"/>
      <c r="AB110" s="399"/>
      <c r="AC110" s="399"/>
      <c r="AD110" s="399"/>
      <c r="AE110" s="399"/>
      <c r="AF110" s="399"/>
      <c r="AG110" s="399"/>
      <c r="AH110" s="399"/>
      <c r="AI110" s="399"/>
      <c r="AJ110" s="538"/>
      <c r="AK110" s="538"/>
      <c r="AL110" s="538"/>
      <c r="AM110" s="538"/>
      <c r="AN110" s="538"/>
      <c r="AO110" s="538"/>
      <c r="AP110" s="538"/>
      <c r="AQ110" s="538"/>
      <c r="AR110" s="538"/>
      <c r="AS110" s="538"/>
      <c r="AT110" s="538"/>
      <c r="AU110" s="537"/>
    </row>
  </sheetData>
  <mergeCells count="2">
    <mergeCell ref="AN102:AO102"/>
    <mergeCell ref="B2:B3"/>
  </mergeCells>
  <hyperlinks>
    <hyperlink ref="B2:B3" location="Home!A1" display="HOME" xr:uid="{49544A66-0058-4199-B961-7783A1C7E371}"/>
    <hyperlink ref="AA100" location="'Volume Interpolation'!A1" display="Go to Up" xr:uid="{F607549E-65E3-433E-8E62-06950583D438}"/>
    <hyperlink ref="B5" location="'Documents Manager'!A1" display="DOCUMENTS MANAGER" xr:uid="{975F8556-44DC-480B-8984-EE006D2EE24E}"/>
    <hyperlink ref="B30" location="Disclaimer!A1" display="Disclaimer" xr:uid="{BF960EB2-3614-4989-9782-91F0B5DE142D}"/>
    <hyperlink ref="B29" location="Help!A1" display="Help" xr:uid="{FDA74127-478F-4322-A40B-EA64B952FC37}"/>
    <hyperlink ref="B27" location="'Source - Links'!A1" display="SOURCE / LINKS" xr:uid="{5835F74F-4682-4353-95E4-C3BD204CC86E}"/>
    <hyperlink ref="B6" location="'ASTM Table Series'!A1" display="ASTM TABLES" xr:uid="{23405BC3-C6DF-4CFC-8F53-C553D80F6221}"/>
    <hyperlink ref="B7" location="'ASTM Converter (Tab.1)'!A1" display="ASTM - CONVERTERS" xr:uid="{931EFF15-C9DA-4926-B02F-8A49440F1779}"/>
    <hyperlink ref="B8" location="'ASTM Calculator V.W.'!A1" display="ASTM - CALCULATORS" xr:uid="{211CE22F-79D9-47C7-81C8-D0D6517C98BA}"/>
    <hyperlink ref="B9" location="'Initial&amp;Max. Loading Rate'!A1" display="CARGO - CALCULATORS" xr:uid="{956145E5-98F3-427F-8382-D3276EB67ED4}"/>
    <hyperlink ref="B12" location="'ETC Cargo operation'!A1" display="• ETC Cargo operation" xr:uid="{E59BA0D7-2B8F-4729-8049-92C6FD5331E8}"/>
    <hyperlink ref="B14" location="'Volume Interpolation'!A1" display="• Volume Interpolation" xr:uid="{F72029F3-1535-4FC6-AD73-F45E69045C7E}"/>
    <hyperlink ref="B11" location="'One Tank Filling Rate'!A1" display="• One Tank Filling Rate" xr:uid="{D898AD7D-CC72-4BFA-A213-92AABE768F2D}"/>
    <hyperlink ref="B10" location="'Initial&amp;Max. Loading Rate'!A1" display="• Initial &amp; Max. Loading Rate" xr:uid="{04C5B7FC-8FBB-4ECE-A084-9C2135A93723}"/>
    <hyperlink ref="B13" location="'Average Gravity-Temp'!A1" display="• Calculator - Average Gravity/Temp" xr:uid="{A497C71D-773B-4D55-8ADC-DB615B1D10BF}"/>
    <hyperlink ref="B15" location="'Cargo Lines Volume'!A1" display="• Volume of Cargo Lines Calculator" xr:uid="{8E5D4CF4-F24F-4EC6-BB42-6A243D9DD9A4}"/>
    <hyperlink ref="B20" location="'Pipelines Capacities'!A1" display="• Pipelines Capacities" xr:uid="{EB37F533-ED07-4C3C-838F-8C181935C3A4}"/>
    <hyperlink ref="B17" location="'Blended API'!A1" display="• Blended API" xr:uid="{4CFA6DD5-B022-4AF0-A5CA-22C607A584A3}"/>
    <hyperlink ref="B18:B19" location="'Blended Cargo Prediction'!A1" display="• Blended Cargo Prediction" xr:uid="{487F3519-1057-4E1D-850A-73B2E23789D0}"/>
    <hyperlink ref="B18" location="'Commingle-LOADING'!A1" display="• Commingle-LOADING" xr:uid="{CDFE5A5A-C6B9-46CC-BDDA-B85EEB6464AA}"/>
    <hyperlink ref="B19" location="'Commingle-LOADING-DISCHARGING'!A1" display="• Commingle-LOADING-DISCHARGING" xr:uid="{5BE293FE-453C-4623-B136-9E13DF0ED16A}"/>
    <hyperlink ref="B21" location="'IG Pressure Change'!A1" display="• Pipelines Capacities Calculator" xr:uid="{2F844684-34AC-4496-90FE-F894783DF2CF}"/>
    <hyperlink ref="B16" location="'Wedge Volume Calculator'!A1" display="• Volume Calculator - Wedge formula" xr:uid="{BDE0CB1F-DE8D-41F4-9781-F50093E4D08A}"/>
    <hyperlink ref="B23" location="'Converter Pressure '!A1" display="• Units Converter Pressure" xr:uid="{9136FFAA-F4A2-4767-AE61-BE967243EC7D}"/>
    <hyperlink ref="B22" location="'IG Pressure Change (2)'!A1" display="• IG Pressure Change-2" xr:uid="{21393302-3BC9-459C-87E6-6A60BCB9F80D}"/>
    <hyperlink ref="B25" location="'Guidelines - Definitions'!A1" display="GUIDELINES" xr:uid="{FC8273B7-214E-46CD-912C-E1F019A8271A}"/>
    <hyperlink ref="B26" location="'Guidelines - Bottom Lines'!A1" display="GUIDELINES - CARGO" xr:uid="{125F2C0F-1B8B-4D5E-8679-1B1C059CCB63}"/>
  </hyperlinks>
  <pageMargins left="0.75" right="0.75" top="1" bottom="1" header="0.5" footer="0.5"/>
  <pageSetup paperSize="9" orientation="portrait" horizontalDpi="1200" verticalDpi="1200"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A204-D1FC-4D36-BB24-19A20DC08FB9}">
  <sheetPr>
    <tabColor rgb="FFFFC000"/>
  </sheetPr>
  <dimension ref="A1:AE104"/>
  <sheetViews>
    <sheetView showGridLines="0" showRowColHeaders="0" showZeros="0" showOutlineSymbols="0" topLeftCell="B1" workbookViewId="0">
      <selection activeCell="B19" sqref="B19"/>
    </sheetView>
  </sheetViews>
  <sheetFormatPr defaultColWidth="9.1328125" defaultRowHeight="12.75"/>
  <cols>
    <col min="1" max="1" width="2.6640625" style="1098" hidden="1" customWidth="1"/>
    <col min="2" max="2" width="36.6640625" style="2141" customWidth="1"/>
    <col min="3" max="3" width="2.6640625" style="1098" customWidth="1"/>
    <col min="4" max="4" width="21.1328125" style="1098" customWidth="1"/>
    <col min="5" max="5" width="16.53125" style="1098" customWidth="1"/>
    <col min="6" max="6" width="11" style="1098" customWidth="1"/>
    <col min="7" max="7" width="14.33203125" style="1098" customWidth="1"/>
    <col min="8" max="8" width="10" style="1098" customWidth="1"/>
    <col min="9" max="12" width="12" style="1098" customWidth="1"/>
    <col min="13" max="13" width="2.86328125" style="1098" customWidth="1"/>
    <col min="14" max="18" width="9.1328125" style="1098"/>
    <col min="19" max="22" width="12.53125" style="1098" customWidth="1"/>
    <col min="23" max="25" width="9.1328125" style="1098"/>
    <col min="26" max="26" width="10" style="1098" customWidth="1"/>
    <col min="27" max="27" width="12.33203125" style="1098" customWidth="1"/>
    <col min="28" max="28" width="11.1328125" style="1098" customWidth="1"/>
    <col min="29" max="30" width="11.33203125" style="1098" bestFit="1" customWidth="1"/>
    <col min="31" max="16384" width="9.1328125" style="1098"/>
  </cols>
  <sheetData>
    <row r="1" spans="1:25" ht="12.75" customHeight="1">
      <c r="B1" s="2123"/>
    </row>
    <row r="2" spans="1:25" s="2199" customFormat="1" ht="21" customHeight="1">
      <c r="A2" s="1098"/>
      <c r="B2" s="3403" t="s">
        <v>0</v>
      </c>
      <c r="C2" s="1098"/>
      <c r="D2" s="2196" t="s">
        <v>1159</v>
      </c>
      <c r="E2" s="2197"/>
      <c r="F2" s="2198"/>
      <c r="G2" s="2198"/>
      <c r="H2" s="2198"/>
      <c r="I2" s="2198"/>
      <c r="J2" s="2198"/>
      <c r="K2" s="2198"/>
      <c r="L2" s="2198"/>
    </row>
    <row r="3" spans="1:25" ht="21" customHeight="1">
      <c r="B3" s="3403"/>
    </row>
    <row r="4" spans="1:25" ht="21" customHeight="1">
      <c r="B4" s="2124"/>
      <c r="D4" s="2125"/>
      <c r="E4" s="2125"/>
      <c r="F4" s="2126"/>
      <c r="G4" s="2125"/>
      <c r="H4" s="2125"/>
      <c r="I4" s="1737"/>
      <c r="J4" s="1737"/>
      <c r="K4" s="1737"/>
      <c r="L4" s="1737"/>
      <c r="M4" s="1737"/>
    </row>
    <row r="5" spans="1:25" ht="21" customHeight="1">
      <c r="B5" s="62" t="s">
        <v>1</v>
      </c>
      <c r="D5" s="2127" t="s">
        <v>1070</v>
      </c>
      <c r="E5" s="2128" t="str">
        <f>CONCATENATE("((( A - ( B / C )) * D ) + (( B / C ) * E )) / A = ",AE104)</f>
        <v>((( A - ( B / C )) * D ) + (( B / C ) * E )) / A = 34,15</v>
      </c>
      <c r="F5" s="2129"/>
      <c r="G5" s="2130"/>
      <c r="H5" s="2129"/>
    </row>
    <row r="6" spans="1:25" ht="21" customHeight="1">
      <c r="B6" s="397" t="s">
        <v>452</v>
      </c>
      <c r="L6" s="1203"/>
    </row>
    <row r="7" spans="1:25" ht="21" customHeight="1">
      <c r="B7" s="62" t="s">
        <v>239</v>
      </c>
      <c r="D7" s="2131" t="s">
        <v>1071</v>
      </c>
      <c r="E7" s="2206">
        <v>245222</v>
      </c>
      <c r="F7" s="2132" t="s">
        <v>1072</v>
      </c>
      <c r="G7" s="2129"/>
      <c r="H7" s="2129"/>
      <c r="I7" s="1203"/>
      <c r="J7" s="1203"/>
      <c r="K7" s="1203"/>
      <c r="L7" s="1203"/>
    </row>
    <row r="8" spans="1:25" ht="21" customHeight="1">
      <c r="B8" s="62" t="s">
        <v>1263</v>
      </c>
      <c r="D8" s="2131" t="s">
        <v>1073</v>
      </c>
      <c r="E8" s="2206">
        <v>40169</v>
      </c>
      <c r="F8" s="2133" t="s">
        <v>1074</v>
      </c>
      <c r="G8" s="2129"/>
      <c r="H8" s="2129"/>
      <c r="I8" s="1203"/>
      <c r="J8" s="1203"/>
      <c r="K8" s="1203"/>
      <c r="L8" s="1203"/>
      <c r="X8" s="1413"/>
      <c r="Y8" s="1413"/>
    </row>
    <row r="9" spans="1:25" ht="21" customHeight="1">
      <c r="B9" s="977" t="s">
        <v>557</v>
      </c>
      <c r="D9" s="2131" t="s">
        <v>1075</v>
      </c>
      <c r="E9" s="2207">
        <f>AE103</f>
        <v>0.98740000000000006</v>
      </c>
      <c r="F9" s="2134" t="s">
        <v>1076</v>
      </c>
      <c r="G9" s="1203"/>
      <c r="H9" s="1203"/>
      <c r="I9" s="1203"/>
      <c r="J9" s="1203"/>
      <c r="K9" s="1203"/>
      <c r="L9" s="1203"/>
      <c r="X9" s="2135"/>
      <c r="Y9" s="2136"/>
    </row>
    <row r="10" spans="1:25" ht="21" customHeight="1">
      <c r="B10" s="145" t="s">
        <v>680</v>
      </c>
      <c r="D10" s="2131" t="s">
        <v>1077</v>
      </c>
      <c r="E10" s="2208">
        <v>33.299999999999997</v>
      </c>
      <c r="F10" s="2132" t="s">
        <v>1078</v>
      </c>
      <c r="G10" s="2129"/>
      <c r="H10" s="2129"/>
      <c r="I10" s="1203"/>
      <c r="J10" s="1203"/>
      <c r="K10" s="1203"/>
      <c r="L10" s="1203"/>
      <c r="X10" s="2137"/>
      <c r="Y10" s="2137"/>
    </row>
    <row r="11" spans="1:25" ht="21" customHeight="1">
      <c r="B11" s="145" t="s">
        <v>621</v>
      </c>
      <c r="D11" s="2131" t="s">
        <v>1079</v>
      </c>
      <c r="E11" s="2208">
        <v>38.4</v>
      </c>
      <c r="F11" s="2132" t="s">
        <v>1080</v>
      </c>
      <c r="G11" s="2129"/>
      <c r="H11" s="2129"/>
      <c r="I11" s="1203"/>
      <c r="J11" s="1203"/>
      <c r="K11" s="1203"/>
      <c r="L11" s="1203"/>
    </row>
    <row r="12" spans="1:25" ht="21" customHeight="1">
      <c r="B12" s="145" t="s">
        <v>562</v>
      </c>
      <c r="D12" s="2131" t="s">
        <v>1081</v>
      </c>
      <c r="E12" s="2209">
        <v>85.3</v>
      </c>
      <c r="F12" s="2132" t="s">
        <v>1082</v>
      </c>
      <c r="G12" s="2129"/>
      <c r="H12" s="2129"/>
      <c r="I12" s="1203"/>
      <c r="J12" s="1203"/>
      <c r="K12" s="1203"/>
    </row>
    <row r="13" spans="1:25" ht="21" customHeight="1">
      <c r="B13" s="145" t="s">
        <v>563</v>
      </c>
      <c r="D13" s="2138" t="s">
        <v>1083</v>
      </c>
      <c r="E13" s="2139">
        <f>AE104</f>
        <v>34.15</v>
      </c>
      <c r="F13" s="2140" t="s">
        <v>1084</v>
      </c>
    </row>
    <row r="14" spans="1:25" ht="21" customHeight="1">
      <c r="B14" s="145" t="s">
        <v>589</v>
      </c>
    </row>
    <row r="15" spans="1:25" ht="21" customHeight="1">
      <c r="B15" s="145" t="s">
        <v>1290</v>
      </c>
    </row>
    <row r="16" spans="1:25" ht="21" customHeight="1">
      <c r="B16" s="145" t="s">
        <v>1293</v>
      </c>
    </row>
    <row r="17" spans="2:2" ht="21" customHeight="1">
      <c r="B17" s="147" t="s">
        <v>1153</v>
      </c>
    </row>
    <row r="18" spans="2:2" ht="21" customHeight="1">
      <c r="B18" s="145" t="s">
        <v>1308</v>
      </c>
    </row>
    <row r="19" spans="2:2" ht="21" customHeight="1">
      <c r="B19" s="145" t="s">
        <v>1307</v>
      </c>
    </row>
    <row r="20" spans="2:2" ht="21" customHeight="1">
      <c r="B20" s="145" t="s">
        <v>667</v>
      </c>
    </row>
    <row r="21" spans="2:2" ht="21" customHeight="1">
      <c r="B21" s="145" t="s">
        <v>1291</v>
      </c>
    </row>
    <row r="22" spans="2:2" ht="21" customHeight="1">
      <c r="B22" s="145" t="s">
        <v>1322</v>
      </c>
    </row>
    <row r="23" spans="2:2" ht="21" customHeight="1">
      <c r="B23" s="145" t="s">
        <v>1292</v>
      </c>
    </row>
    <row r="24" spans="2:2" ht="21" customHeight="1">
      <c r="B24" s="62" t="s">
        <v>238</v>
      </c>
    </row>
    <row r="25" spans="2:2" ht="21" customHeight="1">
      <c r="B25" s="62" t="s">
        <v>1652</v>
      </c>
    </row>
    <row r="26" spans="2:2" ht="21" customHeight="1">
      <c r="B26" s="62" t="s">
        <v>1653</v>
      </c>
    </row>
    <row r="27" spans="2:2" ht="21" customHeight="1">
      <c r="B27" s="62" t="s">
        <v>40</v>
      </c>
    </row>
    <row r="28" spans="2:2" ht="21" customHeight="1">
      <c r="B28" s="62" t="s">
        <v>238</v>
      </c>
    </row>
    <row r="29" spans="2:2" ht="21" customHeight="1">
      <c r="B29" s="62" t="s">
        <v>39</v>
      </c>
    </row>
    <row r="30" spans="2:2" ht="21" customHeight="1">
      <c r="B30" s="62" t="s">
        <v>38</v>
      </c>
    </row>
    <row r="31" spans="2:2" ht="21" customHeight="1">
      <c r="B31" s="62"/>
    </row>
    <row r="32" spans="2:2" ht="21" customHeight="1">
      <c r="B32" s="62"/>
    </row>
    <row r="33" spans="2:2" ht="21" customHeight="1">
      <c r="B33" s="565"/>
    </row>
    <row r="34" spans="2:2" ht="21" customHeight="1">
      <c r="B34" s="565"/>
    </row>
    <row r="35" spans="2:2" ht="21" customHeight="1"/>
    <row r="36" spans="2:2" ht="21" customHeight="1"/>
    <row r="99" spans="27:31">
      <c r="AA99" s="566" t="s">
        <v>900</v>
      </c>
    </row>
    <row r="100" spans="27:31" ht="13.15">
      <c r="AA100" s="2142" t="s">
        <v>632</v>
      </c>
      <c r="AB100" s="2143"/>
      <c r="AC100" s="2143"/>
      <c r="AD100" s="2143"/>
      <c r="AE100" s="2144"/>
    </row>
    <row r="101" spans="27:31" ht="13.15">
      <c r="AA101" s="1594" t="s">
        <v>576</v>
      </c>
      <c r="AB101" s="1595"/>
      <c r="AC101" s="1596" t="s">
        <v>203</v>
      </c>
      <c r="AD101" s="1597"/>
      <c r="AE101" s="1593" t="s">
        <v>204</v>
      </c>
    </row>
    <row r="102" spans="27:31" ht="13.15">
      <c r="AA102" s="1607" t="s">
        <v>18</v>
      </c>
      <c r="AB102" s="1607" t="s">
        <v>205</v>
      </c>
      <c r="AC102" s="1680" t="s">
        <v>18</v>
      </c>
      <c r="AD102" s="1609" t="s">
        <v>205</v>
      </c>
      <c r="AE102" s="1705" t="s">
        <v>208</v>
      </c>
    </row>
    <row r="103" spans="27:31" ht="13.15">
      <c r="AA103" s="1786">
        <f>E11</f>
        <v>38.4</v>
      </c>
      <c r="AB103" s="1787">
        <f>E12</f>
        <v>85.3</v>
      </c>
      <c r="AC103" s="1788">
        <f>FLOOR(AA103,1)+IF(MOD(AA103,1)&lt;0.26,0,IF(MOD(AA103,1)&lt;0.76,0.5,1))</f>
        <v>38.5</v>
      </c>
      <c r="AD103" s="2145">
        <f>FLOOR(AB103,1)+IF(MOD(AB103,1)&lt;0.26,0,IF(MOD(AB103,1)&lt;0.76,0.5,1))</f>
        <v>85.5</v>
      </c>
      <c r="AE103" s="1680">
        <f>ROUND(EXP((341.0957/(141.5*999.012/(AC103+131.5))^2)*(AD103-60)*(1+0.8*(341.0957/(141.5*999.012/(AC103+131.5))^2)*(AD103-60))*-1),4)</f>
        <v>0.98740000000000006</v>
      </c>
    </row>
    <row r="104" spans="27:31" ht="13.15">
      <c r="AA104" s="2146" t="s">
        <v>1083</v>
      </c>
      <c r="AB104" s="2147" t="s">
        <v>1085</v>
      </c>
      <c r="AC104" s="2147"/>
      <c r="AD104" s="2148"/>
      <c r="AE104" s="2149">
        <f>ROUND((((E7-(E8/E9))*E10)+((E8/E9)*E11))/E7,2)</f>
        <v>34.15</v>
      </c>
    </row>
  </sheetData>
  <mergeCells count="1">
    <mergeCell ref="B2:B3"/>
  </mergeCells>
  <hyperlinks>
    <hyperlink ref="B2:B3" location="Home!A1" display="HOME" xr:uid="{0E554021-163D-490F-806C-7024A8F3BB0F}"/>
    <hyperlink ref="AA99" location="'Blended API'!A1" display="Go to Top" xr:uid="{7099F5A7-0BA1-45F0-A6C3-AB2C38194EF9}"/>
    <hyperlink ref="B5" location="'Documents Manager'!A1" display="DOCUMENTS MANAGER" xr:uid="{F5F5B8BE-2444-42A3-9E91-A21653FB3F98}"/>
    <hyperlink ref="B30" location="Disclaimer!A1" display="Disclaimer" xr:uid="{38659BBD-C6B3-4349-8BF3-6C26CEEA74A7}"/>
    <hyperlink ref="B29" location="Help!A1" display="Help" xr:uid="{F13D6610-7ECB-4415-91C1-A3E23D5576F2}"/>
    <hyperlink ref="B27" location="'Source - Links'!A1" display="SOURCE / LINKS" xr:uid="{B5D80891-56C5-43BD-B971-5CD192C829B6}"/>
    <hyperlink ref="B6" location="'ASTM Table Series'!A1" display="ASTM TABLES" xr:uid="{6A0590AD-591F-4543-805C-686772E6E878}"/>
    <hyperlink ref="B7" location="'ASTM Converter (Tab.1)'!A1" display="ASTM - CONVERTERS" xr:uid="{F403445D-BD32-4A03-8B69-CD5428A5F90A}"/>
    <hyperlink ref="B8" location="'ASTM Calculator V.W.'!A1" display="ASTM - CALCULATORS" xr:uid="{2B35C28B-6A26-4614-8487-987553BC0421}"/>
    <hyperlink ref="B9" location="'Initial&amp;Max. Loading Rate'!A1" display="CARGO - CALCULATORS" xr:uid="{1C56929C-F7CB-4214-88A8-A8555184F447}"/>
    <hyperlink ref="B12" location="'ETC Cargo operation'!A1" display="• ETC Cargo operation" xr:uid="{D085821E-181F-49A3-B55C-E4049AA31D13}"/>
    <hyperlink ref="B14" location="'Volume Interpolation'!A1" display="• Volume Interpolation" xr:uid="{54D5AABB-4B51-47E0-9E40-F4D45D95FE0D}"/>
    <hyperlink ref="B11" location="'One Tank Filling Rate'!A1" display="• One Tank Filling Rate" xr:uid="{CA34EE33-A6A1-4769-A0E7-78654B4D8979}"/>
    <hyperlink ref="B10" location="'Initial&amp;Max. Loading Rate'!A1" display="• Initial &amp; Max. Loading Rate" xr:uid="{1C31E077-7070-48C6-943D-0C4AE87223A7}"/>
    <hyperlink ref="B13" location="'Average Gravity-Temp'!A1" display="• Calculator - Average Gravity/Temp" xr:uid="{2ACCB8B1-329E-4DBB-B2A4-73EE9AEA4E31}"/>
    <hyperlink ref="B15" location="'Cargo Lines Volume'!A1" display="• Volume of Cargo Lines Calculator" xr:uid="{F8D66E8A-7162-443C-8044-82F7EC37A28D}"/>
    <hyperlink ref="B20" location="'Pipelines Capacities'!A1" display="• Pipelines Capacities" xr:uid="{9EDA2A5E-34BF-4F5F-8F01-B8BD95608870}"/>
    <hyperlink ref="B17" location="'Blended API'!A1" display="• Blended API" xr:uid="{D71358A3-5333-49CD-8C8F-3A20BE681BE2}"/>
    <hyperlink ref="B18:B19" location="'Blended Cargo Prediction'!A1" display="• Blended Cargo Prediction" xr:uid="{2DFA3667-2B0C-4FC7-8E98-0AA74AD9E1A2}"/>
    <hyperlink ref="B18" location="'Commingle-LOADING'!A1" display="• Commingle-LOADING" xr:uid="{5A4D5294-6D2C-4F45-B19C-9FE9DBE4E4B3}"/>
    <hyperlink ref="B19" location="'Commingle-LOADING-DISCHARGING'!A1" display="• Commingle-LOADING-DISCHARGING" xr:uid="{6A74E4FD-1D03-453F-A059-C165B9EFC37B}"/>
    <hyperlink ref="B21" location="'IG Pressure Change'!A1" display="• Pipelines Capacities Calculator" xr:uid="{407EDD07-634D-4BE8-A91E-7AB4E2894F42}"/>
    <hyperlink ref="B16" location="'Wedge Volume Calculator'!A1" display="• Volume Calculator - Wedge formula" xr:uid="{2379A782-FCF7-4A19-A3B4-0C25C2198967}"/>
    <hyperlink ref="B23" location="'Converter Pressure '!A1" display="• Units Converter Pressure" xr:uid="{ECBEA089-7DF6-489A-B619-94F4F2605FE5}"/>
    <hyperlink ref="B22" location="'IG Pressure Change (2)'!A1" display="• IG Pressure Change-2" xr:uid="{8191FA60-808F-4287-8860-6A23A5C2FD2D}"/>
    <hyperlink ref="B25" location="'Guidelines - Definitions'!A1" display="GUIDELINES" xr:uid="{ABC16B6F-59AF-496B-ABC3-70B76492A986}"/>
    <hyperlink ref="B26" location="'Guidelines - Bottom Lines'!A1" display="GUIDELINES - CARGO" xr:uid="{F6D7D849-3F3F-414E-9131-1EA347A0B6AC}"/>
  </hyperlinks>
  <pageMargins left="0.75" right="0.75" top="1" bottom="1" header="0.5" footer="0.5"/>
  <pageSetup paperSize="9" orientation="portrait" horizontalDpi="300" verticalDpi="300"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6E64-878C-4E5A-A271-5040D7A00A25}">
  <sheetPr transitionEvaluation="1">
    <tabColor rgb="FFFFC000"/>
  </sheetPr>
  <dimension ref="A1:AG104"/>
  <sheetViews>
    <sheetView showGridLines="0" showRowColHeaders="0" topLeftCell="B1" workbookViewId="0">
      <selection activeCell="F10" sqref="F10"/>
    </sheetView>
  </sheetViews>
  <sheetFormatPr defaultColWidth="9.6640625" defaultRowHeight="12.75"/>
  <cols>
    <col min="1" max="1" width="0" style="1557" hidden="1" customWidth="1"/>
    <col min="2" max="2" width="36.6640625" style="2151" customWidth="1"/>
    <col min="3" max="3" width="2.6640625" style="1557" customWidth="1"/>
    <col min="4" max="4" width="9" style="1557" customWidth="1"/>
    <col min="5" max="5" width="26" style="1557" customWidth="1"/>
    <col min="6" max="7" width="19.53125" style="1557" customWidth="1"/>
    <col min="8" max="8" width="13.33203125" style="1557" customWidth="1"/>
    <col min="9" max="9" width="9.6640625" style="1557"/>
    <col min="10" max="10" width="8.1328125" style="1557" customWidth="1"/>
    <col min="11" max="11" width="13.33203125" style="1557" customWidth="1"/>
    <col min="12" max="12" width="12.6640625" style="1557" customWidth="1"/>
    <col min="13" max="13" width="20.86328125" style="1557" customWidth="1"/>
    <col min="14" max="16384" width="9.6640625" style="1557"/>
  </cols>
  <sheetData>
    <row r="1" spans="1:19" ht="12.75" customHeight="1">
      <c r="B1" s="2123"/>
    </row>
    <row r="2" spans="1:19" s="2202" customFormat="1" ht="21" customHeight="1">
      <c r="A2" s="1557"/>
      <c r="B2" s="3403" t="s">
        <v>0</v>
      </c>
      <c r="C2" s="1557"/>
      <c r="D2" s="2200" t="s">
        <v>1160</v>
      </c>
      <c r="E2" s="2201"/>
      <c r="F2" s="2201"/>
      <c r="G2" s="2201"/>
      <c r="H2" s="2201"/>
      <c r="I2" s="2201"/>
      <c r="J2" s="2201"/>
      <c r="K2" s="2201"/>
      <c r="L2" s="2201"/>
    </row>
    <row r="3" spans="1:19" ht="21" customHeight="1">
      <c r="B3" s="3403"/>
      <c r="C3" s="2150"/>
      <c r="D3" s="2150"/>
      <c r="E3" s="2150"/>
      <c r="F3" s="1556"/>
      <c r="G3" s="1556"/>
      <c r="H3" s="1556"/>
      <c r="I3" s="1556"/>
      <c r="J3" s="1556"/>
      <c r="K3" s="1556"/>
      <c r="L3" s="1556"/>
    </row>
    <row r="4" spans="1:19" ht="21" customHeight="1">
      <c r="E4" s="2152"/>
      <c r="F4" s="2152"/>
    </row>
    <row r="5" spans="1:19" ht="21" customHeight="1">
      <c r="B5" s="62" t="s">
        <v>1</v>
      </c>
      <c r="C5" s="2153"/>
      <c r="D5" s="2153"/>
      <c r="E5" s="1574" t="s">
        <v>1086</v>
      </c>
      <c r="F5" s="2210">
        <v>38.4</v>
      </c>
    </row>
    <row r="6" spans="1:19" ht="21" customHeight="1">
      <c r="B6" s="397" t="s">
        <v>452</v>
      </c>
      <c r="C6" s="2153"/>
      <c r="D6" s="2153"/>
      <c r="E6" s="1574" t="s">
        <v>1087</v>
      </c>
      <c r="F6" s="2211">
        <v>104.5</v>
      </c>
    </row>
    <row r="7" spans="1:19" ht="21" customHeight="1">
      <c r="B7" s="62" t="s">
        <v>239</v>
      </c>
      <c r="C7" s="2153"/>
      <c r="D7" s="2153"/>
      <c r="E7" s="1574" t="s">
        <v>1088</v>
      </c>
      <c r="F7" s="2212">
        <v>41077</v>
      </c>
    </row>
    <row r="8" spans="1:19" ht="21" customHeight="1">
      <c r="B8" s="62" t="s">
        <v>1263</v>
      </c>
      <c r="C8" s="2153"/>
      <c r="D8" s="2153"/>
      <c r="E8" s="1574" t="s">
        <v>1089</v>
      </c>
      <c r="F8" s="2213">
        <f>AG103</f>
        <v>40169.198299999996</v>
      </c>
      <c r="G8" s="1570"/>
      <c r="H8" s="1570"/>
      <c r="I8" s="1570"/>
      <c r="J8" s="1570"/>
      <c r="K8" s="1570"/>
      <c r="L8" s="1570"/>
    </row>
    <row r="9" spans="1:19" ht="21" customHeight="1">
      <c r="B9" s="977" t="s">
        <v>557</v>
      </c>
      <c r="C9" s="2153"/>
      <c r="D9" s="2153"/>
      <c r="E9" s="1574" t="s">
        <v>1090</v>
      </c>
      <c r="F9" s="2214">
        <v>33.299999999999997</v>
      </c>
      <c r="G9" s="1570"/>
      <c r="H9" s="1570"/>
      <c r="I9" s="1570"/>
      <c r="J9" s="1571"/>
      <c r="K9" s="1571"/>
      <c r="L9" s="1571"/>
    </row>
    <row r="10" spans="1:19" ht="21" customHeight="1">
      <c r="B10" s="145" t="s">
        <v>680</v>
      </c>
      <c r="C10" s="2153"/>
      <c r="D10" s="2153"/>
      <c r="E10" s="1574" t="s">
        <v>1091</v>
      </c>
      <c r="F10" s="2211">
        <v>85.3</v>
      </c>
      <c r="G10" s="1570"/>
      <c r="H10" s="1570"/>
      <c r="I10" s="1570"/>
      <c r="J10" s="1571"/>
      <c r="K10" s="1571"/>
      <c r="L10" s="1571"/>
    </row>
    <row r="11" spans="1:19" ht="21" customHeight="1">
      <c r="B11" s="145" t="s">
        <v>621</v>
      </c>
      <c r="C11" s="2153"/>
      <c r="D11" s="2153"/>
      <c r="E11" s="1574" t="s">
        <v>1092</v>
      </c>
      <c r="F11" s="2212">
        <v>245222</v>
      </c>
      <c r="G11" s="1664">
        <f>F11/6.28981</f>
        <v>38987.187212332326</v>
      </c>
      <c r="H11" s="1570"/>
      <c r="I11" s="1570"/>
      <c r="J11" s="1571"/>
      <c r="K11" s="1571"/>
      <c r="L11" s="1571"/>
    </row>
    <row r="12" spans="1:19" ht="21" customHeight="1">
      <c r="B12" s="145" t="s">
        <v>562</v>
      </c>
      <c r="C12" s="2153"/>
      <c r="D12" s="2153"/>
      <c r="E12" s="1555" t="s">
        <v>1093</v>
      </c>
      <c r="F12" s="2154">
        <f>AE104</f>
        <v>0.98740000000000006</v>
      </c>
      <c r="G12" s="1671"/>
      <c r="H12" s="1573" t="s">
        <v>974</v>
      </c>
      <c r="I12" s="1574"/>
      <c r="J12" s="1574"/>
      <c r="K12" s="1574"/>
      <c r="O12" s="1575"/>
    </row>
    <row r="13" spans="1:19" ht="21" customHeight="1">
      <c r="B13" s="145" t="s">
        <v>563</v>
      </c>
      <c r="C13" s="2153"/>
      <c r="D13" s="2153"/>
      <c r="E13" s="1555" t="s">
        <v>1094</v>
      </c>
      <c r="F13" s="2155">
        <f>IF(F8="","",F8/F12)</f>
        <v>40681.788839376131</v>
      </c>
      <c r="G13" s="1664">
        <f>F13/6.28981</f>
        <v>6467.8883526491472</v>
      </c>
      <c r="H13" s="1573" t="s">
        <v>1095</v>
      </c>
      <c r="I13" s="1574"/>
      <c r="J13" s="1574"/>
      <c r="K13" s="1574"/>
      <c r="N13" s="1576"/>
      <c r="O13" s="1575"/>
      <c r="P13" s="1576"/>
      <c r="Q13" s="1576"/>
    </row>
    <row r="14" spans="1:19" ht="21" customHeight="1">
      <c r="B14" s="145" t="s">
        <v>589</v>
      </c>
      <c r="C14" s="2153"/>
      <c r="D14" s="2153"/>
      <c r="E14" s="1555" t="s">
        <v>1096</v>
      </c>
      <c r="F14" s="2155">
        <f>IF(F11="","",F11-F13)</f>
        <v>204540.21116062388</v>
      </c>
      <c r="G14" s="1664">
        <f>F14/6.28981</f>
        <v>32519.298859683182</v>
      </c>
      <c r="H14" s="1573" t="s">
        <v>1097</v>
      </c>
      <c r="I14" s="1574"/>
      <c r="J14" s="1574"/>
      <c r="K14" s="1574"/>
      <c r="N14" s="1578"/>
      <c r="O14" s="1575"/>
      <c r="P14" s="1578"/>
      <c r="Q14" s="1578"/>
    </row>
    <row r="15" spans="1:19" ht="21" customHeight="1">
      <c r="B15" s="145" t="s">
        <v>1290</v>
      </c>
      <c r="C15" s="2153"/>
      <c r="D15" s="2153"/>
      <c r="E15" s="2156" t="s">
        <v>1098</v>
      </c>
      <c r="F15" s="2157">
        <f>IF(F5="","",(F13*F5+F14*F9)/F11)</f>
        <v>34.146078749381452</v>
      </c>
      <c r="H15" s="1579"/>
      <c r="I15" s="1579"/>
      <c r="J15" s="1579"/>
      <c r="K15" s="1579"/>
      <c r="L15" s="1579"/>
      <c r="O15" s="1579"/>
      <c r="P15" s="1579"/>
      <c r="Q15" s="1579"/>
      <c r="R15" s="1579"/>
      <c r="S15" s="1579"/>
    </row>
    <row r="16" spans="1:19" ht="21" customHeight="1">
      <c r="B16" s="145" t="s">
        <v>1293</v>
      </c>
      <c r="C16" s="1555"/>
      <c r="D16" s="1555"/>
      <c r="E16" s="1580"/>
      <c r="F16" s="1581"/>
      <c r="G16" s="1582"/>
      <c r="H16" s="1579"/>
      <c r="I16" s="1579"/>
      <c r="J16" s="1579"/>
      <c r="K16" s="1579"/>
      <c r="L16" s="1579"/>
      <c r="O16" s="1579"/>
    </row>
    <row r="17" spans="2:13" ht="21" customHeight="1">
      <c r="B17" s="145" t="s">
        <v>1153</v>
      </c>
    </row>
    <row r="18" spans="2:13" ht="21" customHeight="1">
      <c r="B18" s="147" t="s">
        <v>1308</v>
      </c>
      <c r="C18" s="2158"/>
      <c r="D18" s="2158"/>
      <c r="E18" s="3404" t="s">
        <v>1162</v>
      </c>
      <c r="F18" s="3405"/>
      <c r="G18" s="3405"/>
      <c r="H18" s="3405"/>
      <c r="I18" s="3405"/>
      <c r="J18" s="3405"/>
      <c r="K18" s="3405"/>
      <c r="L18" s="3406"/>
      <c r="M18" s="2159"/>
    </row>
    <row r="19" spans="2:13" ht="21" customHeight="1">
      <c r="B19" s="145" t="s">
        <v>1307</v>
      </c>
      <c r="E19" s="3407"/>
      <c r="F19" s="3408"/>
      <c r="G19" s="3408"/>
      <c r="H19" s="3408"/>
      <c r="I19" s="3408"/>
      <c r="J19" s="3408"/>
      <c r="K19" s="3408"/>
      <c r="L19" s="3409"/>
    </row>
    <row r="20" spans="2:13" ht="21" customHeight="1">
      <c r="B20" s="145" t="s">
        <v>667</v>
      </c>
      <c r="C20" s="2161"/>
      <c r="D20" s="2161"/>
      <c r="E20" s="3407"/>
      <c r="F20" s="3408"/>
      <c r="G20" s="3408"/>
      <c r="H20" s="3408"/>
      <c r="I20" s="3408"/>
      <c r="J20" s="3408"/>
      <c r="K20" s="3408"/>
      <c r="L20" s="3409"/>
    </row>
    <row r="21" spans="2:13" ht="21" customHeight="1">
      <c r="B21" s="145" t="s">
        <v>1291</v>
      </c>
      <c r="C21" s="2162"/>
      <c r="D21" s="2162"/>
      <c r="E21" s="3407"/>
      <c r="F21" s="3408"/>
      <c r="G21" s="3408"/>
      <c r="H21" s="3408"/>
      <c r="I21" s="3408"/>
      <c r="J21" s="3408"/>
      <c r="K21" s="3408"/>
      <c r="L21" s="3409"/>
    </row>
    <row r="22" spans="2:13" ht="21" customHeight="1">
      <c r="B22" s="145" t="s">
        <v>1322</v>
      </c>
      <c r="C22" s="2161"/>
      <c r="D22" s="2161"/>
      <c r="E22" s="3407"/>
      <c r="F22" s="3408"/>
      <c r="G22" s="3408"/>
      <c r="H22" s="3408"/>
      <c r="I22" s="3408"/>
      <c r="J22" s="3408"/>
      <c r="K22" s="3408"/>
      <c r="L22" s="3409"/>
    </row>
    <row r="23" spans="2:13" ht="21" customHeight="1">
      <c r="B23" s="145" t="s">
        <v>1292</v>
      </c>
      <c r="C23" s="2161"/>
      <c r="D23" s="2161"/>
      <c r="E23" s="3407"/>
      <c r="F23" s="3408"/>
      <c r="G23" s="3408"/>
      <c r="H23" s="3408"/>
      <c r="I23" s="3408"/>
      <c r="J23" s="3408"/>
      <c r="K23" s="3408"/>
      <c r="L23" s="3409"/>
    </row>
    <row r="24" spans="2:13" ht="21" customHeight="1">
      <c r="B24" s="62" t="s">
        <v>238</v>
      </c>
      <c r="C24" s="2162"/>
      <c r="D24" s="2162"/>
      <c r="E24" s="3407"/>
      <c r="F24" s="3408"/>
      <c r="G24" s="3408"/>
      <c r="H24" s="3408"/>
      <c r="I24" s="3408"/>
      <c r="J24" s="3408"/>
      <c r="K24" s="3408"/>
      <c r="L24" s="3409"/>
    </row>
    <row r="25" spans="2:13" ht="21" customHeight="1">
      <c r="B25" s="62" t="s">
        <v>1652</v>
      </c>
      <c r="C25" s="2161"/>
      <c r="D25" s="2161"/>
      <c r="E25" s="3410"/>
      <c r="F25" s="3411"/>
      <c r="G25" s="3411"/>
      <c r="H25" s="3411"/>
      <c r="I25" s="3411"/>
      <c r="J25" s="3411"/>
      <c r="K25" s="3411"/>
      <c r="L25" s="3412"/>
    </row>
    <row r="26" spans="2:13" ht="21" customHeight="1">
      <c r="B26" s="62" t="s">
        <v>1653</v>
      </c>
      <c r="C26" s="2161"/>
      <c r="D26" s="2161"/>
      <c r="E26" s="2227"/>
      <c r="F26" s="2227"/>
      <c r="G26" s="2227"/>
      <c r="H26" s="2227"/>
      <c r="I26" s="2227"/>
      <c r="J26" s="2227"/>
      <c r="K26" s="2227"/>
      <c r="L26" s="2227"/>
    </row>
    <row r="27" spans="2:13" ht="21" customHeight="1">
      <c r="B27" s="62" t="s">
        <v>40</v>
      </c>
      <c r="C27" s="2161"/>
      <c r="D27" s="2161"/>
      <c r="E27" s="2227"/>
      <c r="F27" s="2227"/>
      <c r="G27" s="2227"/>
      <c r="H27" s="2227"/>
      <c r="I27" s="2227"/>
      <c r="J27" s="2227"/>
      <c r="K27" s="2227"/>
      <c r="L27" s="2227"/>
    </row>
    <row r="28" spans="2:13" ht="21" customHeight="1">
      <c r="B28" s="62" t="s">
        <v>238</v>
      </c>
      <c r="C28" s="2162"/>
      <c r="D28" s="2162"/>
    </row>
    <row r="29" spans="2:13" ht="21" customHeight="1">
      <c r="B29" s="62" t="s">
        <v>39</v>
      </c>
      <c r="C29" s="2161"/>
      <c r="D29" s="2161"/>
    </row>
    <row r="30" spans="2:13" ht="21" customHeight="1">
      <c r="B30" s="62" t="s">
        <v>38</v>
      </c>
      <c r="C30" s="2161"/>
      <c r="D30" s="2161"/>
    </row>
    <row r="31" spans="2:13" ht="21" customHeight="1">
      <c r="B31" s="62"/>
      <c r="C31" s="2161"/>
      <c r="D31" s="2161"/>
    </row>
    <row r="32" spans="2:13" ht="21" customHeight="1">
      <c r="B32" s="62"/>
      <c r="C32" s="1576"/>
      <c r="D32" s="1576"/>
      <c r="E32" s="1576"/>
      <c r="F32" s="1576"/>
      <c r="G32" s="1576"/>
    </row>
    <row r="33" spans="2:7" ht="21" customHeight="1">
      <c r="B33" s="565"/>
      <c r="C33" s="1576"/>
      <c r="D33" s="1576"/>
      <c r="E33" s="1576"/>
      <c r="F33" s="1576"/>
      <c r="G33" s="1576"/>
    </row>
    <row r="34" spans="2:7" ht="21" customHeight="1">
      <c r="B34" s="2163"/>
      <c r="C34" s="1578"/>
      <c r="D34" s="1578"/>
      <c r="E34" s="1578"/>
      <c r="F34" s="1578"/>
      <c r="G34" s="1578"/>
    </row>
    <row r="35" spans="2:7" ht="21" customHeight="1">
      <c r="B35" s="2160"/>
      <c r="C35" s="2161"/>
      <c r="D35" s="2161"/>
    </row>
    <row r="36" spans="2:7" ht="21" customHeight="1">
      <c r="B36" s="2160"/>
      <c r="C36" s="2161"/>
      <c r="D36" s="2161"/>
    </row>
    <row r="37" spans="2:7" ht="21" customHeight="1">
      <c r="B37" s="2160"/>
      <c r="C37" s="2161"/>
      <c r="D37" s="2161"/>
    </row>
    <row r="38" spans="2:7" ht="21" customHeight="1"/>
    <row r="39" spans="2:7" ht="21" customHeight="1"/>
    <row r="40" spans="2:7" ht="21" customHeight="1"/>
    <row r="99" spans="27:33">
      <c r="AA99" s="566" t="s">
        <v>900</v>
      </c>
    </row>
    <row r="100" spans="27:33" ht="13.15">
      <c r="AA100" s="1586" t="s">
        <v>632</v>
      </c>
      <c r="AB100" s="1587"/>
      <c r="AC100" s="1587"/>
      <c r="AD100" s="1587"/>
      <c r="AE100" s="1587"/>
      <c r="AF100" s="1587"/>
      <c r="AG100" s="1590"/>
    </row>
    <row r="101" spans="27:33" ht="13.15">
      <c r="AA101" s="1665" t="s">
        <v>576</v>
      </c>
      <c r="AB101" s="1666"/>
      <c r="AC101" s="1667" t="s">
        <v>203</v>
      </c>
      <c r="AD101" s="2164"/>
      <c r="AE101" s="1668" t="s">
        <v>204</v>
      </c>
      <c r="AF101" s="1668" t="s">
        <v>961</v>
      </c>
      <c r="AG101" s="1668" t="s">
        <v>1099</v>
      </c>
    </row>
    <row r="102" spans="27:33" ht="13.15">
      <c r="AA102" s="1606" t="s">
        <v>18</v>
      </c>
      <c r="AB102" s="1607" t="s">
        <v>205</v>
      </c>
      <c r="AC102" s="1608" t="s">
        <v>18</v>
      </c>
      <c r="AD102" s="1609" t="s">
        <v>205</v>
      </c>
      <c r="AE102" s="1610" t="s">
        <v>208</v>
      </c>
      <c r="AF102" s="1610"/>
      <c r="AG102" s="1605" t="s">
        <v>1100</v>
      </c>
    </row>
    <row r="103" spans="27:33" ht="13.15">
      <c r="AA103" s="1616">
        <f>F5</f>
        <v>38.4</v>
      </c>
      <c r="AB103" s="1617">
        <f>F6</f>
        <v>104.5</v>
      </c>
      <c r="AC103" s="1618">
        <f>FLOOR(AA103,1)+IF(MOD(AA103,1)&lt;0.26,0,IF(MOD(AA103,1)&lt;0.76,0.5,1))</f>
        <v>38.5</v>
      </c>
      <c r="AD103" s="1619">
        <f>FLOOR(AB103,1)+IF(MOD(AB103,1)&lt;0.26,0,IF(MOD(AB103,1)&lt;0.76,0.5,1))</f>
        <v>104.5</v>
      </c>
      <c r="AE103" s="1608">
        <f>ROUND(EXP((341.0957/(141.5*999.012/(AC103+131.5))^2)*(AD103-60)*(1+0.8*(341.0957/(141.5*999.012/(AC103+131.5))^2)*(AD103-60))*-1),4)</f>
        <v>0.97789999999999999</v>
      </c>
      <c r="AF103" s="2165">
        <f>F7</f>
        <v>41077</v>
      </c>
      <c r="AG103" s="2165">
        <f>AE103*AF103</f>
        <v>40169.198299999996</v>
      </c>
    </row>
    <row r="104" spans="27:33" ht="13.15">
      <c r="AA104" s="1616">
        <f>AA103</f>
        <v>38.4</v>
      </c>
      <c r="AB104" s="1617">
        <f>F10</f>
        <v>85.3</v>
      </c>
      <c r="AC104" s="1618">
        <f>FLOOR(AA104,1)+IF(MOD(AA104,1)&lt;0.26,0,IF(MOD(AA104,1)&lt;0.76,0.5,1))</f>
        <v>38.5</v>
      </c>
      <c r="AD104" s="1619">
        <f>FLOOR(AB104,1)+IF(MOD(AB104,1)&lt;0.26,0,IF(MOD(AB104,1)&lt;0.76,0.5,1))</f>
        <v>85.5</v>
      </c>
      <c r="AE104" s="1608">
        <f>ROUND(EXP((341.0957/(141.5*999.012/(AC104+131.5))^2)*(AD104-60)*(1+0.8*(341.0957/(141.5*999.012/(AC104+131.5))^2)*(AD104-60))*-1),4)</f>
        <v>0.98740000000000006</v>
      </c>
      <c r="AF104" s="2165">
        <f>AG103/AE104</f>
        <v>40681.788839376131</v>
      </c>
      <c r="AG104" s="2165"/>
    </row>
  </sheetData>
  <mergeCells count="2">
    <mergeCell ref="B2:B3"/>
    <mergeCell ref="E18:L25"/>
  </mergeCells>
  <hyperlinks>
    <hyperlink ref="B2:B3" location="Home!A1" display="HOME" xr:uid="{08DE6CAE-E96B-416F-9B46-A48C12AAB1BF}"/>
    <hyperlink ref="AA99" location="'Commingle-LOADING'!A1" display="Go to Top" xr:uid="{20516AB8-8EDC-45C9-AC84-4AB0617F9785}"/>
    <hyperlink ref="B5" location="'Documents Manager'!A1" display="DOCUMENTS MANAGER" xr:uid="{C9011E99-24BF-4E24-8031-9A27F36C9741}"/>
    <hyperlink ref="B30" location="Disclaimer!A1" display="Disclaimer" xr:uid="{ECFCECBD-7E68-4F9C-970F-8F62FDB1273E}"/>
    <hyperlink ref="B29" location="Help!A1" display="Help" xr:uid="{D7BA95D9-E259-408B-8923-2913BD1382B2}"/>
    <hyperlink ref="B27" location="'Source - Links'!A1" display="SOURCE / LINKS" xr:uid="{8588A64F-9CAE-4C9E-9C53-4AA8DBF0A089}"/>
    <hyperlink ref="B6" location="'ASTM Table Series'!A1" display="ASTM TABLES" xr:uid="{3AEF0DCA-ED2B-46BC-B01C-E69C8E194CFC}"/>
    <hyperlink ref="B7" location="'ASTM Converter (Tab.1)'!A1" display="ASTM - CONVERTERS" xr:uid="{83C60EE8-29EF-4407-BD0D-C08AC1D28A99}"/>
    <hyperlink ref="B8" location="'ASTM Calculator V.W.'!A1" display="ASTM - CALCULATORS" xr:uid="{2A2B85E5-9EE4-4AE2-8550-F845C3960E27}"/>
    <hyperlink ref="B9" location="'Initial&amp;Max. Loading Rate'!A1" display="CARGO - CALCULATORS" xr:uid="{67A7F59F-83C4-4AB0-8C8D-0A5968136A43}"/>
    <hyperlink ref="B12" location="'ETC Cargo operation'!A1" display="• ETC Cargo operation" xr:uid="{27A3A98B-1CE4-4B1A-9F60-4D16FCAFAD0B}"/>
    <hyperlink ref="B14" location="'Volume Interpolation'!A1" display="• Volume Interpolation" xr:uid="{1951298B-481D-4FE4-842D-312BA021C636}"/>
    <hyperlink ref="B11" location="'One Tank Filling Rate'!A1" display="• One Tank Filling Rate" xr:uid="{CA5CA435-6A1B-41E7-B347-4BCF3E809F82}"/>
    <hyperlink ref="B10" location="'Initial&amp;Max. Loading Rate'!A1" display="• Initial &amp; Max. Loading Rate" xr:uid="{B300FB1A-B12E-4BA4-9F94-9CEE9A0FBB58}"/>
    <hyperlink ref="B13" location="'Average Gravity-Temp'!A1" display="• Calculator - Average Gravity/Temp" xr:uid="{B07A91F7-B9D7-4657-B41E-D7183C3A12E3}"/>
    <hyperlink ref="B15" location="'Cargo Lines Volume'!A1" display="• Volume of Cargo Lines Calculator" xr:uid="{83692116-299D-4CB9-B054-E4D98EA47B73}"/>
    <hyperlink ref="B20" location="'Pipelines Capacities'!A1" display="• Pipelines Capacities" xr:uid="{12282B70-CC21-442D-9CB7-7BA4F2AC43E7}"/>
    <hyperlink ref="B17" location="'Blended API'!A1" display="• Blended API" xr:uid="{4D1C327A-3A88-4C9D-8A2E-7F5E6BC91B06}"/>
    <hyperlink ref="B18:B19" location="'Blended Cargo Prediction'!A1" display="• Blended Cargo Prediction" xr:uid="{098FF8DB-1125-450C-A849-2C61D2A3E2CD}"/>
    <hyperlink ref="B18" location="'Commingle-LOADING'!A1" display="• Commingle-LOADING" xr:uid="{CCD37B74-92CA-44F1-96AC-E6B4636380BA}"/>
    <hyperlink ref="B19" location="'Commingle-LOADING-DISCHARGING'!A1" display="• Commingle-LOADING-DISCHARGING" xr:uid="{AA1935DB-BA94-40CA-97C5-77BDFAA8675B}"/>
    <hyperlink ref="B21" location="'IG Pressure Change'!A1" display="• Pipelines Capacities Calculator" xr:uid="{B420D3D5-333B-4B87-AEFF-1A8682BB30A4}"/>
    <hyperlink ref="B16" location="'Wedge Volume Calculator'!A1" display="• Volume Calculator - Wedge formula" xr:uid="{14F2F37D-6A0F-4AF4-84ED-14626C7CF90F}"/>
    <hyperlink ref="B23" location="'Converter Pressure '!A1" display="• Units Converter Pressure" xr:uid="{A3AE227E-96C9-44EE-BD76-BC4D7561E149}"/>
    <hyperlink ref="B22" location="'IG Pressure Change (2)'!A1" display="• IG Pressure Change-2" xr:uid="{B69B96D5-0E82-4AD4-AACD-A3FA38540157}"/>
    <hyperlink ref="B25" location="'Guidelines - Definitions'!A1" display="GUIDELINES" xr:uid="{23FECAD2-6154-45B8-8CCB-E5FA31797CCC}"/>
    <hyperlink ref="B26" location="'Guidelines - Bottom Lines'!A1" display="GUIDELINES - CARGO" xr:uid="{C24CB0A2-5F7A-428B-9C51-DB85F3EFA7E6}"/>
  </hyperlinks>
  <printOptions horizontalCentered="1"/>
  <pageMargins left="0.56999999999999995" right="0.39370078740157483" top="0.71" bottom="0.31496062992125984" header="0.5" footer="0.51181102362204722"/>
  <pageSetup paperSize="9" orientation="portrait" blackAndWhite="1"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568AE-48E9-450B-A60F-7674BF68910A}">
  <sheetPr>
    <tabColor rgb="FFFFC000"/>
  </sheetPr>
  <dimension ref="A1:L39"/>
  <sheetViews>
    <sheetView showGridLines="0" showRowColHeaders="0" topLeftCell="B1" workbookViewId="0">
      <selection activeCell="B14" sqref="B14"/>
    </sheetView>
  </sheetViews>
  <sheetFormatPr defaultColWidth="9.1328125" defaultRowHeight="12.75"/>
  <cols>
    <col min="1" max="1" width="0" style="2166" hidden="1" customWidth="1"/>
    <col min="2" max="2" width="36.6640625" style="2169" customWidth="1"/>
    <col min="3" max="3" width="2.6640625" style="2166" customWidth="1"/>
    <col min="4" max="4" width="5.6640625" style="2166" customWidth="1"/>
    <col min="5" max="5" width="64.1328125" style="2166" bestFit="1" customWidth="1"/>
    <col min="6" max="6" width="12.6640625" style="2166" customWidth="1"/>
    <col min="7" max="7" width="3.86328125" style="2166" customWidth="1"/>
    <col min="8" max="8" width="3.6640625" style="2166" customWidth="1"/>
    <col min="9" max="9" width="5.6640625" style="2166" customWidth="1"/>
    <col min="10" max="10" width="66" style="2166" bestFit="1" customWidth="1"/>
    <col min="11" max="11" width="12.6640625" style="2166" customWidth="1"/>
    <col min="12" max="12" width="3.6640625" style="2166" customWidth="1"/>
    <col min="13" max="16384" width="9.1328125" style="2166"/>
  </cols>
  <sheetData>
    <row r="1" spans="1:12" ht="12.75" customHeight="1">
      <c r="B1" s="2123"/>
    </row>
    <row r="2" spans="1:12" s="2205" customFormat="1" ht="21" customHeight="1">
      <c r="A2" s="2166"/>
      <c r="B2" s="3403" t="s">
        <v>0</v>
      </c>
      <c r="C2" s="2166"/>
      <c r="D2" s="2203" t="s">
        <v>1161</v>
      </c>
      <c r="E2" s="2204"/>
      <c r="F2" s="2204"/>
      <c r="G2" s="2204"/>
      <c r="H2" s="2204"/>
      <c r="I2" s="2204"/>
      <c r="J2" s="2204"/>
      <c r="K2" s="2204"/>
    </row>
    <row r="3" spans="1:12" ht="21" customHeight="1">
      <c r="B3" s="3403"/>
      <c r="D3" s="2167"/>
      <c r="E3" s="2168"/>
      <c r="F3" s="2168"/>
      <c r="G3" s="2168"/>
    </row>
    <row r="4" spans="1:12" ht="21" customHeight="1">
      <c r="D4" s="2170" t="s">
        <v>1101</v>
      </c>
      <c r="E4" s="2170"/>
      <c r="F4" s="2170"/>
      <c r="G4" s="2170"/>
      <c r="H4" s="2170"/>
      <c r="I4" s="2170"/>
      <c r="J4" s="2170"/>
      <c r="K4" s="2170"/>
    </row>
    <row r="5" spans="1:12" ht="21" customHeight="1">
      <c r="B5" s="62" t="s">
        <v>1</v>
      </c>
      <c r="D5" s="2171" t="s">
        <v>1102</v>
      </c>
      <c r="E5" s="2172"/>
      <c r="F5" s="2172"/>
      <c r="G5" s="2173"/>
      <c r="I5" s="2171" t="s">
        <v>1103</v>
      </c>
      <c r="J5" s="2172"/>
      <c r="K5" s="2172"/>
      <c r="L5" s="2173"/>
    </row>
    <row r="6" spans="1:12" ht="21" customHeight="1">
      <c r="B6" s="397" t="s">
        <v>452</v>
      </c>
      <c r="D6" s="2174" t="s">
        <v>1104</v>
      </c>
      <c r="E6" s="2175"/>
      <c r="F6" s="2175"/>
      <c r="G6" s="2176"/>
      <c r="I6" s="2174" t="s">
        <v>1105</v>
      </c>
      <c r="J6" s="2175"/>
      <c r="K6" s="2175"/>
      <c r="L6" s="2176"/>
    </row>
    <row r="7" spans="1:12" ht="21" customHeight="1">
      <c r="B7" s="62" t="s">
        <v>239</v>
      </c>
      <c r="D7" s="2177" t="s">
        <v>1106</v>
      </c>
      <c r="E7" s="2178" t="s">
        <v>1107</v>
      </c>
      <c r="F7" s="2895">
        <v>41077</v>
      </c>
      <c r="G7" s="2179"/>
      <c r="I7" s="2177" t="s">
        <v>1108</v>
      </c>
      <c r="J7" s="2178" t="s">
        <v>1109</v>
      </c>
      <c r="K7" s="2897">
        <v>245222</v>
      </c>
      <c r="L7" s="2180"/>
    </row>
    <row r="8" spans="1:12" ht="21" customHeight="1">
      <c r="B8" s="62" t="s">
        <v>1263</v>
      </c>
      <c r="D8" s="2177" t="s">
        <v>1110</v>
      </c>
      <c r="E8" s="2178" t="s">
        <v>1111</v>
      </c>
      <c r="F8" s="2896">
        <v>38.4</v>
      </c>
      <c r="G8" s="2181"/>
      <c r="I8" s="2177" t="s">
        <v>1112</v>
      </c>
      <c r="J8" s="2178" t="s">
        <v>1113</v>
      </c>
      <c r="K8" s="2895">
        <v>40169</v>
      </c>
      <c r="L8" s="2180"/>
    </row>
    <row r="9" spans="1:12" ht="21" customHeight="1">
      <c r="B9" s="977" t="s">
        <v>557</v>
      </c>
      <c r="D9" s="2177" t="s">
        <v>1114</v>
      </c>
      <c r="E9" s="2178" t="s">
        <v>1115</v>
      </c>
      <c r="F9" s="2182">
        <f>F7*F8</f>
        <v>1577356.8</v>
      </c>
      <c r="G9" s="2179"/>
      <c r="I9" s="2177" t="s">
        <v>1116</v>
      </c>
      <c r="J9" s="2178" t="s">
        <v>1117</v>
      </c>
      <c r="K9" s="2182">
        <f>F21</f>
        <v>242156.72500000001</v>
      </c>
      <c r="L9" s="2180"/>
    </row>
    <row r="10" spans="1:12" ht="21" customHeight="1">
      <c r="B10" s="145" t="s">
        <v>680</v>
      </c>
      <c r="D10" s="2177" t="s">
        <v>1118</v>
      </c>
      <c r="E10" s="2178" t="s">
        <v>1119</v>
      </c>
      <c r="F10" s="2895">
        <v>245222</v>
      </c>
      <c r="G10" s="2179"/>
      <c r="I10" s="2177" t="s">
        <v>1120</v>
      </c>
      <c r="J10" s="2178" t="s">
        <v>1121</v>
      </c>
      <c r="K10" s="2182">
        <f>K7*(K8/K9)</f>
        <v>40677.468354430377</v>
      </c>
      <c r="L10" s="2180"/>
    </row>
    <row r="11" spans="1:12" ht="21" customHeight="1">
      <c r="B11" s="145" t="s">
        <v>621</v>
      </c>
      <c r="D11" s="2177" t="s">
        <v>1122</v>
      </c>
      <c r="E11" s="2178" t="s">
        <v>1123</v>
      </c>
      <c r="F11" s="2182">
        <f>F7</f>
        <v>41077</v>
      </c>
      <c r="G11" s="2179"/>
      <c r="I11" s="2177" t="s">
        <v>1124</v>
      </c>
      <c r="J11" s="2178" t="s">
        <v>1125</v>
      </c>
      <c r="K11" s="2182">
        <f>K7-K10</f>
        <v>204544.53164556963</v>
      </c>
      <c r="L11" s="2180"/>
    </row>
    <row r="12" spans="1:12" ht="21" customHeight="1">
      <c r="B12" s="145" t="s">
        <v>562</v>
      </c>
      <c r="D12" s="2177" t="s">
        <v>1126</v>
      </c>
      <c r="E12" s="2178" t="s">
        <v>1127</v>
      </c>
      <c r="F12" s="2182">
        <f>F10-F11</f>
        <v>204145</v>
      </c>
      <c r="G12" s="2179"/>
      <c r="I12" s="2177" t="s">
        <v>1128</v>
      </c>
      <c r="J12" s="2178" t="s">
        <v>1129</v>
      </c>
      <c r="K12" s="2897">
        <v>0.98750000000000004</v>
      </c>
      <c r="L12" s="2180"/>
    </row>
    <row r="13" spans="1:12" ht="21" customHeight="1">
      <c r="B13" s="145" t="s">
        <v>563</v>
      </c>
      <c r="D13" s="2177" t="s">
        <v>1130</v>
      </c>
      <c r="E13" s="2178" t="s">
        <v>1131</v>
      </c>
      <c r="F13" s="2896">
        <v>33.299999999999997</v>
      </c>
      <c r="G13" s="2181"/>
      <c r="I13" s="2177" t="s">
        <v>1132</v>
      </c>
      <c r="J13" s="2178" t="s">
        <v>1133</v>
      </c>
      <c r="K13" s="2183">
        <f>K10*K12</f>
        <v>40169</v>
      </c>
      <c r="L13" s="2180"/>
    </row>
    <row r="14" spans="1:12" ht="21" customHeight="1">
      <c r="B14" s="145" t="s">
        <v>589</v>
      </c>
      <c r="D14" s="2177" t="s">
        <v>1134</v>
      </c>
      <c r="E14" s="2178" t="s">
        <v>1135</v>
      </c>
      <c r="F14" s="2182">
        <f>F12*F13</f>
        <v>6798028.4999999991</v>
      </c>
      <c r="G14" s="2179"/>
      <c r="I14" s="2177" t="s">
        <v>1136</v>
      </c>
      <c r="J14" s="2178" t="s">
        <v>1137</v>
      </c>
      <c r="K14" s="2183">
        <f>K11*K12</f>
        <v>201987.72500000001</v>
      </c>
      <c r="L14" s="2180"/>
    </row>
    <row r="15" spans="1:12" ht="21" customHeight="1">
      <c r="B15" s="145" t="s">
        <v>1290</v>
      </c>
      <c r="D15" s="2177" t="s">
        <v>1138</v>
      </c>
      <c r="E15" s="2178" t="s">
        <v>1139</v>
      </c>
      <c r="F15" s="2182">
        <f>F9+F14</f>
        <v>8375385.2999999989</v>
      </c>
      <c r="G15" s="2179"/>
      <c r="I15" s="2184"/>
      <c r="L15" s="2180"/>
    </row>
    <row r="16" spans="1:12" ht="21" customHeight="1">
      <c r="B16" s="145" t="s">
        <v>1293</v>
      </c>
      <c r="D16" s="2177" t="s">
        <v>1140</v>
      </c>
      <c r="E16" s="2178" t="s">
        <v>1141</v>
      </c>
      <c r="F16" s="2185">
        <f>F15/F10</f>
        <v>34.154298146169587</v>
      </c>
      <c r="G16" s="2186"/>
      <c r="I16" s="2187"/>
      <c r="L16" s="2180"/>
    </row>
    <row r="17" spans="2:12" ht="21" customHeight="1">
      <c r="B17" s="145" t="s">
        <v>1153</v>
      </c>
      <c r="D17" s="2188"/>
      <c r="G17" s="2180"/>
      <c r="I17" s="2187"/>
      <c r="L17" s="2180"/>
    </row>
    <row r="18" spans="2:12" ht="21" customHeight="1">
      <c r="B18" s="145" t="s">
        <v>1308</v>
      </c>
      <c r="D18" s="2174" t="s">
        <v>1142</v>
      </c>
      <c r="E18" s="2175"/>
      <c r="F18" s="2175"/>
      <c r="G18" s="2176"/>
      <c r="I18" s="2187"/>
      <c r="L18" s="2180"/>
    </row>
    <row r="19" spans="2:12" ht="21" customHeight="1">
      <c r="B19" s="147" t="s">
        <v>1307</v>
      </c>
      <c r="D19" s="2177" t="s">
        <v>1143</v>
      </c>
      <c r="E19" s="2178" t="s">
        <v>1144</v>
      </c>
      <c r="F19" s="2182">
        <f>F10</f>
        <v>245222</v>
      </c>
      <c r="G19" s="2179"/>
      <c r="I19" s="2187"/>
      <c r="L19" s="2180"/>
    </row>
    <row r="20" spans="2:12" ht="21" customHeight="1">
      <c r="B20" s="145" t="s">
        <v>667</v>
      </c>
      <c r="D20" s="2177" t="s">
        <v>1145</v>
      </c>
      <c r="E20" s="2178" t="s">
        <v>1146</v>
      </c>
      <c r="F20" s="2897">
        <v>0.98750000000000004</v>
      </c>
      <c r="G20" s="2189"/>
      <c r="I20" s="2187"/>
      <c r="L20" s="2180"/>
    </row>
    <row r="21" spans="2:12" ht="21" customHeight="1">
      <c r="B21" s="145" t="s">
        <v>1291</v>
      </c>
      <c r="D21" s="2177" t="s">
        <v>1147</v>
      </c>
      <c r="E21" s="2178" t="s">
        <v>1148</v>
      </c>
      <c r="F21" s="2182">
        <f>F19*F20</f>
        <v>242156.72500000001</v>
      </c>
      <c r="G21" s="2179"/>
      <c r="I21" s="2187"/>
      <c r="L21" s="2180"/>
    </row>
    <row r="22" spans="2:12" ht="21" customHeight="1">
      <c r="B22" s="145" t="s">
        <v>1322</v>
      </c>
      <c r="D22" s="2177" t="s">
        <v>1149</v>
      </c>
      <c r="E22" s="2178" t="s">
        <v>1150</v>
      </c>
      <c r="F22" s="2895">
        <v>40169</v>
      </c>
      <c r="G22" s="2179"/>
      <c r="I22" s="2187"/>
      <c r="L22" s="2180"/>
    </row>
    <row r="23" spans="2:12" ht="21" customHeight="1">
      <c r="B23" s="145" t="s">
        <v>1292</v>
      </c>
      <c r="D23" s="2177" t="s">
        <v>1151</v>
      </c>
      <c r="E23" s="2178" t="s">
        <v>1152</v>
      </c>
      <c r="F23" s="2183">
        <f>F21-F22</f>
        <v>201987.72500000001</v>
      </c>
      <c r="G23" s="2190"/>
      <c r="I23" s="2187"/>
      <c r="L23" s="2180"/>
    </row>
    <row r="24" spans="2:12" ht="21" customHeight="1">
      <c r="B24" s="62" t="s">
        <v>238</v>
      </c>
      <c r="D24" s="2191"/>
      <c r="E24" s="2192"/>
      <c r="F24" s="2192"/>
      <c r="G24" s="2193"/>
      <c r="I24" s="2194"/>
      <c r="J24" s="2192"/>
      <c r="K24" s="2192"/>
      <c r="L24" s="2193"/>
    </row>
    <row r="25" spans="2:12" ht="21" customHeight="1">
      <c r="B25" s="62" t="s">
        <v>1652</v>
      </c>
    </row>
    <row r="26" spans="2:12" ht="21" customHeight="1">
      <c r="B26" s="62" t="s">
        <v>1653</v>
      </c>
    </row>
    <row r="27" spans="2:12" ht="21" customHeight="1">
      <c r="B27" s="62" t="s">
        <v>40</v>
      </c>
    </row>
    <row r="28" spans="2:12" ht="21" customHeight="1">
      <c r="B28" s="62" t="s">
        <v>238</v>
      </c>
    </row>
    <row r="29" spans="2:12" ht="21" customHeight="1">
      <c r="B29" s="62" t="s">
        <v>39</v>
      </c>
    </row>
    <row r="30" spans="2:12" ht="21" customHeight="1">
      <c r="B30" s="62" t="s">
        <v>38</v>
      </c>
    </row>
    <row r="31" spans="2:12" ht="21" customHeight="1">
      <c r="B31" s="62"/>
    </row>
    <row r="32" spans="2:12" ht="21" customHeight="1">
      <c r="B32" s="62"/>
    </row>
    <row r="33" spans="2:4" ht="21" customHeight="1">
      <c r="B33" s="565"/>
    </row>
    <row r="34" spans="2:4" ht="21" customHeight="1"/>
    <row r="35" spans="2:4" ht="21" customHeight="1"/>
    <row r="36" spans="2:4" ht="21" customHeight="1">
      <c r="D36" s="2195"/>
    </row>
    <row r="37" spans="2:4">
      <c r="D37" s="2195"/>
    </row>
    <row r="38" spans="2:4">
      <c r="D38" s="2195"/>
    </row>
    <row r="39" spans="2:4">
      <c r="D39" s="2195"/>
    </row>
  </sheetData>
  <mergeCells count="1">
    <mergeCell ref="B2:B3"/>
  </mergeCells>
  <hyperlinks>
    <hyperlink ref="B2:B3" location="Home!A1" display="HOME" xr:uid="{ED44D998-1DD4-4D6A-B983-548608304B41}"/>
    <hyperlink ref="B5" location="'Documents Manager'!A1" display="DOCUMENTS MANAGER" xr:uid="{E749CE37-F0B4-452F-97FB-6181135F26EE}"/>
    <hyperlink ref="B30" location="Disclaimer!A1" display="Disclaimer" xr:uid="{AC9F9422-E9F9-4C1E-9371-7C5FD1CB4558}"/>
    <hyperlink ref="B29" location="Help!A1" display="Help" xr:uid="{3FB2269D-CF2B-44E0-98F5-DB66E40AFE4D}"/>
    <hyperlink ref="B27" location="'Source - Links'!A1" display="SOURCE / LINKS" xr:uid="{6E60F18E-9033-4533-9AEA-A3FABF319770}"/>
    <hyperlink ref="B6" location="'ASTM Table Series'!A1" display="ASTM TABLES" xr:uid="{3C2E2F2B-B981-4503-A275-6CA934014EAF}"/>
    <hyperlink ref="B7" location="'ASTM Converter (Tab.1)'!A1" display="ASTM - CONVERTERS" xr:uid="{8A054B41-62F7-4363-B4AD-8BD550D1FFB5}"/>
    <hyperlink ref="B8" location="'ASTM Calculator V.W.'!A1" display="ASTM - CALCULATORS" xr:uid="{BFB1913C-EF7B-46A7-93F9-B958B6111C7B}"/>
    <hyperlink ref="B9" location="'Initial&amp;Max. Loading Rate'!A1" display="CARGO - CALCULATORS" xr:uid="{B6E357D4-FCD2-4A2C-8AAD-725439044D3A}"/>
    <hyperlink ref="B12" location="'ETC Cargo operation'!A1" display="• ETC Cargo operation" xr:uid="{8993A5A6-253D-4A40-8518-A44782E7F351}"/>
    <hyperlink ref="B14" location="'Volume Interpolation'!A1" display="• Volume Interpolation" xr:uid="{89E579E1-EA2B-4936-BA9F-A49BBA8F57F6}"/>
    <hyperlink ref="B11" location="'One Tank Filling Rate'!A1" display="• One Tank Filling Rate" xr:uid="{288D4665-9AB9-4649-A300-0C72A4D25C2A}"/>
    <hyperlink ref="B10" location="'Initial&amp;Max. Loading Rate'!A1" display="• Initial &amp; Max. Loading Rate" xr:uid="{0ED0F60A-4A60-4D94-A521-7E0E5DCD115E}"/>
    <hyperlink ref="B13" location="'Average Gravity-Temp'!A1" display="• Calculator - Average Gravity/Temp" xr:uid="{69515247-1E05-49E3-8FDD-E51A8A88BB24}"/>
    <hyperlink ref="B15" location="'Cargo Lines Volume'!A1" display="• Volume of Cargo Lines Calculator" xr:uid="{78000097-1AD0-49B1-9C94-4387D3718E17}"/>
    <hyperlink ref="B20" location="'Pipelines Capacities'!A1" display="• Pipelines Capacities" xr:uid="{A6E57BFD-845E-4DA4-BCEE-BC1A3E7CD51B}"/>
    <hyperlink ref="B17" location="'Blended API'!A1" display="• Blended API" xr:uid="{58306D29-54EE-41DE-BDC0-A5120A3766A4}"/>
    <hyperlink ref="B18:B19" location="'Blended Cargo Prediction'!A1" display="• Blended Cargo Prediction" xr:uid="{27FDD71A-2009-4BF7-BABE-D0332CE54C74}"/>
    <hyperlink ref="B18" location="'Commingle-LOADING'!A1" display="• Commingle-LOADING" xr:uid="{724ACAA1-4CC6-45D5-AA06-7F1C7E3EE910}"/>
    <hyperlink ref="B19" location="'Commingle-LOADING-DISCHARGING'!A1" display="• Commingle-LOADING-DISCHARGING" xr:uid="{BBB5BC6D-1131-4C30-AE3F-44A551C7503B}"/>
    <hyperlink ref="B21" location="'IG Pressure Change'!A1" display="• Pipelines Capacities Calculator" xr:uid="{A860CADA-B486-4E98-8CB5-12F5051F8A8F}"/>
    <hyperlink ref="B16" location="'Wedge Volume Calculator'!A1" display="• Volume Calculator - Wedge formula" xr:uid="{7F0D65EE-0332-4B03-A4B9-BD39FB94AF0F}"/>
    <hyperlink ref="B23" location="'Converter Pressure '!A1" display="• Units Converter Pressure" xr:uid="{535370AA-6BF4-4EB6-A0DD-3085556884C7}"/>
    <hyperlink ref="B22" location="'IG Pressure Change (2)'!A1" display="• IG Pressure Change-2" xr:uid="{A62EFAF4-3D5E-4124-8E6A-16941D0B6E56}"/>
    <hyperlink ref="B25" location="'Guidelines - Definitions'!A1" display="GUIDELINES" xr:uid="{5A28699F-9FA9-4DDF-90AD-4F0D662DD6A4}"/>
    <hyperlink ref="B26" location="'Guidelines - Bottom Lines'!A1" display="GUIDELINES - CARGO" xr:uid="{9E8681B8-E9B8-4E00-B2A2-7C98B76133D2}"/>
  </hyperlinks>
  <pageMargins left="0.7" right="0.7" top="0.75" bottom="0.75" header="0.3" footer="0.3"/>
  <pageSetup paperSize="9" orientation="portrait" horizontalDpi="0" verticalDpi="0" r:id="rId1"/>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39E5D-8148-4A33-9794-B21D19E9C295}">
  <sheetPr>
    <tabColor rgb="FFFFC000"/>
  </sheetPr>
  <dimension ref="A1:JA115"/>
  <sheetViews>
    <sheetView showGridLines="0" showRowColHeaders="0" topLeftCell="B1" zoomScaleNormal="100" workbookViewId="0">
      <selection activeCell="G10" sqref="G10"/>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13.1328125" style="514" customWidth="1"/>
    <col min="6" max="7" width="14.33203125" style="514" customWidth="1"/>
    <col min="8" max="8" width="15.86328125" style="514" customWidth="1"/>
    <col min="9" max="10" width="14.796875" style="514" customWidth="1"/>
    <col min="11" max="11" width="3.6640625" style="514" customWidth="1"/>
    <col min="12" max="12" width="13.6640625" style="514" customWidth="1"/>
    <col min="13" max="13" width="11.86328125" style="514" customWidth="1"/>
    <col min="14" max="14" width="12.86328125" style="514" customWidth="1"/>
    <col min="15" max="16" width="3.6640625" style="514" customWidth="1"/>
    <col min="17" max="19" width="9.1328125" style="514" customWidth="1"/>
    <col min="20" max="20" width="13.46484375" style="514" bestFit="1" customWidth="1"/>
    <col min="21" max="27" width="9.1328125" style="514" customWidth="1"/>
    <col min="28" max="28" width="13.46484375" style="514" bestFit="1" customWidth="1"/>
    <col min="29" max="29" width="6" style="514" customWidth="1"/>
    <col min="30" max="30" width="8.19921875" style="514" bestFit="1" customWidth="1"/>
    <col min="31" max="31" width="7.46484375" style="514" bestFit="1" customWidth="1"/>
    <col min="32" max="32" width="10.6640625" style="514" customWidth="1"/>
    <col min="33" max="33" width="12" style="514" bestFit="1" customWidth="1"/>
    <col min="34" max="34" width="14.46484375" style="514" bestFit="1" customWidth="1"/>
    <col min="35" max="35" width="16" style="514" bestFit="1" customWidth="1"/>
    <col min="36" max="37" width="15.6640625" style="514" bestFit="1" customWidth="1"/>
    <col min="38" max="38" width="12.53125" style="514" bestFit="1" customWidth="1"/>
    <col min="39" max="39" width="14.33203125" style="514" customWidth="1"/>
    <col min="40" max="40" width="11.53125" style="514" customWidth="1"/>
    <col min="41" max="41" width="16.796875" style="514" customWidth="1"/>
    <col min="42" max="42" width="17.53125" style="514" customWidth="1"/>
    <col min="43" max="43" width="12.6640625" style="514" bestFit="1" customWidth="1"/>
    <col min="44" max="44" width="18.1328125" style="514" bestFit="1" customWidth="1"/>
    <col min="45" max="45" width="9.1328125" style="514"/>
    <col min="46" max="46" width="9" style="514" customWidth="1"/>
    <col min="47" max="47" width="13.6640625" style="514" customWidth="1"/>
    <col min="48" max="48" width="17.19921875" style="514" customWidth="1"/>
    <col min="49" max="16384" width="9.1328125" style="514"/>
  </cols>
  <sheetData>
    <row r="1" spans="1:261" ht="12.75" customHeight="1">
      <c r="B1" s="612"/>
    </row>
    <row r="2" spans="1:261" s="618" customFormat="1" ht="21" customHeight="1">
      <c r="A2" s="514"/>
      <c r="B2" s="3210" t="s">
        <v>0</v>
      </c>
      <c r="C2" s="514"/>
      <c r="D2" s="613" t="s">
        <v>669</v>
      </c>
      <c r="E2" s="614"/>
      <c r="F2" s="615"/>
      <c r="G2" s="615"/>
      <c r="H2" s="615"/>
      <c r="I2" s="615"/>
      <c r="J2" s="615"/>
      <c r="K2" s="615"/>
      <c r="L2" s="615"/>
      <c r="M2" s="615"/>
      <c r="N2" s="615"/>
      <c r="O2" s="615"/>
      <c r="P2" s="615"/>
      <c r="Q2" s="617"/>
      <c r="R2" s="615"/>
      <c r="S2" s="617"/>
      <c r="T2" s="617"/>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c r="IX2" s="615"/>
      <c r="IY2" s="615"/>
      <c r="IZ2" s="615"/>
      <c r="JA2" s="615"/>
    </row>
    <row r="3" spans="1:261" ht="21" customHeight="1">
      <c r="B3" s="3210"/>
      <c r="D3" s="619"/>
      <c r="E3" s="619"/>
      <c r="F3" s="619"/>
      <c r="G3" s="5"/>
      <c r="H3" s="5"/>
      <c r="I3" s="5"/>
      <c r="J3" s="5"/>
      <c r="K3" s="5"/>
      <c r="L3" s="5"/>
      <c r="M3" s="5"/>
      <c r="N3" s="5"/>
    </row>
    <row r="4" spans="1:261" ht="21" customHeight="1">
      <c r="B4" s="63"/>
      <c r="D4" s="787"/>
      <c r="E4" s="620"/>
      <c r="F4" s="1066"/>
      <c r="G4" s="1066"/>
      <c r="H4" s="1067"/>
      <c r="I4" s="1067"/>
      <c r="J4" s="1067"/>
      <c r="K4" s="1067"/>
      <c r="L4" s="1202"/>
      <c r="M4" s="620"/>
      <c r="N4" s="620"/>
      <c r="O4" s="620"/>
      <c r="P4" s="621"/>
    </row>
    <row r="5" spans="1:261" ht="21" customHeight="1">
      <c r="B5" s="62" t="s">
        <v>1</v>
      </c>
      <c r="D5" s="622"/>
      <c r="E5" s="1192" t="s">
        <v>668</v>
      </c>
      <c r="F5" s="1193"/>
      <c r="G5" s="1193"/>
      <c r="H5" s="1193"/>
      <c r="I5" s="1194"/>
      <c r="J5" s="1194"/>
      <c r="K5" s="1098"/>
      <c r="L5" s="1192" t="s">
        <v>623</v>
      </c>
      <c r="M5" s="1193"/>
      <c r="N5" s="1193"/>
      <c r="O5" s="1194"/>
      <c r="P5" s="1183"/>
      <c r="Q5" s="1098"/>
      <c r="R5" s="1098"/>
      <c r="S5" s="1098"/>
      <c r="T5" s="1098"/>
      <c r="U5" s="1098"/>
      <c r="V5" s="1098"/>
      <c r="W5" s="12"/>
      <c r="X5" s="12"/>
      <c r="Y5" s="12"/>
      <c r="Z5" s="12"/>
      <c r="AA5" s="12"/>
      <c r="AB5" s="12"/>
      <c r="AC5" s="12"/>
    </row>
    <row r="6" spans="1:261" ht="21" customHeight="1">
      <c r="B6" s="397" t="s">
        <v>452</v>
      </c>
      <c r="D6" s="622"/>
      <c r="E6" s="1182"/>
      <c r="F6" s="1098"/>
      <c r="G6" s="1098"/>
      <c r="H6" s="1098"/>
      <c r="I6" s="1098"/>
      <c r="J6" s="1252"/>
      <c r="K6" s="1098"/>
      <c r="L6" s="1182"/>
      <c r="M6" s="1098"/>
      <c r="N6" s="1098"/>
      <c r="O6" s="1183"/>
      <c r="P6" s="1183"/>
      <c r="Q6" s="1098"/>
      <c r="R6" s="1098"/>
      <c r="S6" s="1098"/>
      <c r="T6" s="1098"/>
      <c r="U6" s="1098"/>
      <c r="V6" s="1098"/>
      <c r="W6" s="12"/>
      <c r="X6" s="12"/>
      <c r="Y6" s="12"/>
      <c r="Z6" s="12"/>
      <c r="AA6" s="12"/>
      <c r="AB6" s="12"/>
      <c r="AC6" s="12"/>
    </row>
    <row r="7" spans="1:261" ht="21" customHeight="1">
      <c r="B7" s="62" t="s">
        <v>239</v>
      </c>
      <c r="D7" s="622"/>
      <c r="E7" s="1184" t="s">
        <v>624</v>
      </c>
      <c r="F7" s="1098"/>
      <c r="G7" s="1098"/>
      <c r="H7" s="1098"/>
      <c r="I7" s="1203"/>
      <c r="J7" s="1185"/>
      <c r="K7" s="1203"/>
      <c r="L7" s="1206" t="s">
        <v>625</v>
      </c>
      <c r="M7" s="1200"/>
      <c r="N7" s="1186" t="s">
        <v>626</v>
      </c>
      <c r="O7" s="1183"/>
      <c r="P7" s="1183"/>
      <c r="Q7" s="1098"/>
      <c r="R7" s="1098"/>
      <c r="S7" s="1098"/>
      <c r="T7" s="1098"/>
      <c r="U7" s="1098"/>
      <c r="V7" s="1098"/>
      <c r="W7" s="12"/>
      <c r="X7" s="12"/>
      <c r="Y7" s="12"/>
      <c r="Z7" s="12"/>
      <c r="AA7" s="12"/>
      <c r="AB7" s="12"/>
      <c r="AC7" s="12"/>
    </row>
    <row r="8" spans="1:261" ht="21" customHeight="1">
      <c r="B8" s="62" t="s">
        <v>1263</v>
      </c>
      <c r="D8" s="622"/>
      <c r="E8" s="1182"/>
      <c r="F8" s="1186" t="s">
        <v>627</v>
      </c>
      <c r="G8" s="1186" t="s">
        <v>628</v>
      </c>
      <c r="H8" s="3413" t="s">
        <v>592</v>
      </c>
      <c r="I8" s="3413"/>
      <c r="J8" s="1187"/>
      <c r="K8" s="1203"/>
      <c r="L8" s="1207" t="s">
        <v>629</v>
      </c>
      <c r="M8" s="1167" t="s">
        <v>630</v>
      </c>
      <c r="N8" s="1167" t="s">
        <v>631</v>
      </c>
      <c r="O8" s="1183"/>
      <c r="P8" s="1183"/>
      <c r="Q8" s="1098"/>
      <c r="V8" s="1098"/>
      <c r="W8" s="12"/>
      <c r="X8" s="12"/>
      <c r="Y8" s="12"/>
      <c r="Z8" s="12"/>
      <c r="AA8" s="12"/>
      <c r="AB8" s="12"/>
      <c r="AC8" s="12"/>
    </row>
    <row r="9" spans="1:261" ht="21" customHeight="1">
      <c r="B9" s="977" t="s">
        <v>557</v>
      </c>
      <c r="D9" s="622"/>
      <c r="E9" s="1184" t="s">
        <v>633</v>
      </c>
      <c r="F9" s="1188"/>
      <c r="G9" s="1180">
        <v>300</v>
      </c>
      <c r="H9" s="1257">
        <f>PI()*((AB107/2)/1000)^2*G9</f>
        <v>35.361474740689921</v>
      </c>
      <c r="I9" s="1258">
        <f>H9*6.28981</f>
        <v>222.41695743873888</v>
      </c>
      <c r="J9" s="1209"/>
      <c r="K9" s="1203"/>
      <c r="L9" s="1208" t="s">
        <v>634</v>
      </c>
      <c r="M9" s="1201" t="s">
        <v>635</v>
      </c>
      <c r="N9" s="1179">
        <v>97.1</v>
      </c>
      <c r="O9" s="1183"/>
      <c r="P9" s="1183"/>
      <c r="Q9" s="1098"/>
      <c r="V9" s="1098"/>
      <c r="W9" s="12"/>
      <c r="X9" s="12"/>
      <c r="Y9" s="12"/>
      <c r="Z9" s="12"/>
      <c r="AA9" s="12"/>
      <c r="AB9" s="12"/>
      <c r="AC9" s="12"/>
    </row>
    <row r="10" spans="1:261" ht="21" customHeight="1">
      <c r="B10" s="145" t="s">
        <v>680</v>
      </c>
      <c r="D10" s="622"/>
      <c r="E10" s="1189"/>
      <c r="F10" s="1190"/>
      <c r="G10" s="1190"/>
      <c r="H10" s="1190"/>
      <c r="I10" s="1190"/>
      <c r="J10" s="1191"/>
      <c r="K10" s="1204"/>
      <c r="L10" s="1208" t="s">
        <v>636</v>
      </c>
      <c r="M10" s="1201" t="s">
        <v>637</v>
      </c>
      <c r="N10" s="1179">
        <v>151</v>
      </c>
      <c r="O10" s="1183"/>
      <c r="P10" s="1183"/>
      <c r="Q10" s="1098"/>
      <c r="V10" s="1098"/>
      <c r="W10" s="12"/>
      <c r="X10" s="12"/>
      <c r="Y10" s="12"/>
      <c r="Z10" s="12"/>
      <c r="AA10" s="12"/>
      <c r="AB10" s="12"/>
      <c r="AC10" s="12"/>
    </row>
    <row r="11" spans="1:261" ht="21" customHeight="1">
      <c r="B11" s="145" t="s">
        <v>621</v>
      </c>
      <c r="D11" s="622"/>
      <c r="E11" s="1098"/>
      <c r="F11" s="1098"/>
      <c r="G11" s="1098"/>
      <c r="H11" s="1098"/>
      <c r="I11" s="1098"/>
      <c r="J11" s="1098"/>
      <c r="K11" s="1203"/>
      <c r="L11" s="1208" t="s">
        <v>639</v>
      </c>
      <c r="M11" s="1186" t="s">
        <v>640</v>
      </c>
      <c r="N11" s="1179">
        <v>190.9</v>
      </c>
      <c r="O11" s="1183"/>
      <c r="P11" s="1183"/>
      <c r="Q11" s="1098"/>
      <c r="V11" s="1098"/>
      <c r="W11" s="12"/>
      <c r="X11" s="12"/>
      <c r="Y11" s="12"/>
      <c r="Z11" s="12"/>
      <c r="AA11" s="12"/>
      <c r="AB11" s="12"/>
      <c r="AC11" s="12"/>
    </row>
    <row r="12" spans="1:261" ht="21" customHeight="1">
      <c r="B12" s="145" t="s">
        <v>562</v>
      </c>
      <c r="D12" s="622"/>
      <c r="E12" s="1230" t="s">
        <v>670</v>
      </c>
      <c r="F12" s="1231"/>
      <c r="G12" s="1232"/>
      <c r="H12" s="1231"/>
      <c r="I12" s="1231"/>
      <c r="J12" s="1233"/>
      <c r="K12" s="1203"/>
      <c r="L12" s="1208" t="s">
        <v>643</v>
      </c>
      <c r="M12" s="1186" t="s">
        <v>644</v>
      </c>
      <c r="N12" s="1179">
        <v>242</v>
      </c>
      <c r="O12" s="1183"/>
      <c r="P12" s="1183"/>
      <c r="Q12" s="1098"/>
      <c r="V12" s="1098"/>
      <c r="W12" s="12"/>
      <c r="X12" s="12"/>
      <c r="Y12" s="12"/>
      <c r="Z12" s="12"/>
      <c r="AA12" s="12"/>
      <c r="AB12" s="12"/>
      <c r="AC12" s="12"/>
    </row>
    <row r="13" spans="1:261" ht="21" customHeight="1">
      <c r="B13" s="145" t="s">
        <v>563</v>
      </c>
      <c r="D13" s="622"/>
      <c r="E13" s="1234" t="s">
        <v>671</v>
      </c>
      <c r="F13" s="1234" t="s">
        <v>672</v>
      </c>
      <c r="G13" s="1234" t="s">
        <v>673</v>
      </c>
      <c r="H13" s="1234" t="s">
        <v>674</v>
      </c>
      <c r="I13" s="1234" t="s">
        <v>21</v>
      </c>
      <c r="J13" s="1234" t="s">
        <v>16</v>
      </c>
      <c r="K13" s="1203"/>
      <c r="L13" s="1208" t="s">
        <v>645</v>
      </c>
      <c r="M13" s="1186" t="s">
        <v>646</v>
      </c>
      <c r="N13" s="1179">
        <v>293.10000000000002</v>
      </c>
      <c r="O13" s="1183"/>
      <c r="P13" s="1183"/>
      <c r="Q13" s="1098"/>
      <c r="V13" s="1098"/>
      <c r="W13" s="12"/>
      <c r="X13" s="12"/>
      <c r="Y13" s="12"/>
      <c r="Z13" s="12"/>
      <c r="AA13" s="12"/>
      <c r="AB13" s="12"/>
      <c r="AC13" s="12"/>
    </row>
    <row r="14" spans="1:261" ht="21" customHeight="1">
      <c r="B14" s="145" t="s">
        <v>589</v>
      </c>
      <c r="D14" s="622"/>
      <c r="E14" s="1235" t="s">
        <v>675</v>
      </c>
      <c r="F14" s="1235" t="s">
        <v>675</v>
      </c>
      <c r="G14" s="1235" t="s">
        <v>25</v>
      </c>
      <c r="H14" s="1235" t="s">
        <v>25</v>
      </c>
      <c r="I14" s="1235" t="s">
        <v>25</v>
      </c>
      <c r="J14" s="1235" t="s">
        <v>25</v>
      </c>
      <c r="K14" s="1203"/>
      <c r="L14" s="1208" t="s">
        <v>649</v>
      </c>
      <c r="M14" s="1186" t="s">
        <v>650</v>
      </c>
      <c r="N14" s="1179">
        <v>330.2</v>
      </c>
      <c r="O14" s="1183"/>
      <c r="P14" s="1183"/>
      <c r="Q14" s="1098"/>
      <c r="V14" s="1098"/>
      <c r="W14" s="12"/>
      <c r="X14" s="12"/>
      <c r="Y14" s="12"/>
      <c r="Z14" s="12"/>
      <c r="AA14" s="12"/>
      <c r="AB14" s="12"/>
      <c r="AC14" s="12"/>
    </row>
    <row r="15" spans="1:261" ht="21" customHeight="1">
      <c r="B15" s="145" t="s">
        <v>1290</v>
      </c>
      <c r="D15" s="622"/>
      <c r="E15" s="1236" t="s">
        <v>641</v>
      </c>
      <c r="F15" s="1236" t="s">
        <v>641</v>
      </c>
      <c r="G15" s="1236" t="s">
        <v>676</v>
      </c>
      <c r="H15" s="1236" t="s">
        <v>676</v>
      </c>
      <c r="I15" s="1236" t="s">
        <v>677</v>
      </c>
      <c r="J15" s="1236" t="s">
        <v>678</v>
      </c>
      <c r="K15" s="1203"/>
      <c r="L15" s="1208" t="s">
        <v>653</v>
      </c>
      <c r="M15" s="1186" t="s">
        <v>654</v>
      </c>
      <c r="N15" s="1179">
        <v>387.4</v>
      </c>
      <c r="O15" s="1183"/>
      <c r="P15" s="1183"/>
      <c r="Q15" s="1098"/>
      <c r="V15" s="1098"/>
      <c r="W15" s="12"/>
      <c r="X15" s="12"/>
      <c r="Y15" s="12"/>
      <c r="Z15" s="12"/>
      <c r="AA15" s="12"/>
      <c r="AB15" s="12"/>
      <c r="AC15" s="12"/>
    </row>
    <row r="16" spans="1:261" ht="21" customHeight="1">
      <c r="B16" s="145" t="s">
        <v>1293</v>
      </c>
      <c r="D16" s="622"/>
      <c r="E16" s="1237">
        <v>2</v>
      </c>
      <c r="F16" s="1238">
        <v>2.0670000000000002</v>
      </c>
      <c r="G16" s="1239">
        <v>0.14510000000000001</v>
      </c>
      <c r="H16" s="1239">
        <v>0.17430000000000001</v>
      </c>
      <c r="I16" s="1240">
        <v>2.165</v>
      </c>
      <c r="J16" s="1241">
        <v>22</v>
      </c>
      <c r="K16" s="1203"/>
      <c r="L16" s="1208" t="s">
        <v>655</v>
      </c>
      <c r="M16" s="1186" t="s">
        <v>656</v>
      </c>
      <c r="N16" s="1179">
        <v>482.6</v>
      </c>
      <c r="O16" s="1183"/>
      <c r="P16" s="1183"/>
      <c r="Q16" s="1098"/>
      <c r="V16" s="1098"/>
      <c r="W16" s="12"/>
      <c r="X16" s="12"/>
      <c r="Y16" s="12"/>
      <c r="Z16" s="12"/>
      <c r="AA16" s="12"/>
      <c r="AB16" s="12"/>
      <c r="AC16" s="12"/>
    </row>
    <row r="17" spans="2:22" ht="21" customHeight="1">
      <c r="B17" s="145" t="s">
        <v>1153</v>
      </c>
      <c r="D17" s="622"/>
      <c r="E17" s="1242">
        <v>2.5</v>
      </c>
      <c r="F17" s="1243">
        <v>2.4689999999999999</v>
      </c>
      <c r="G17" s="1244">
        <v>0.20710000000000001</v>
      </c>
      <c r="H17" s="1244">
        <v>0.2487</v>
      </c>
      <c r="I17" s="1245">
        <v>3.089</v>
      </c>
      <c r="J17" s="1246">
        <v>31</v>
      </c>
      <c r="K17" s="1098"/>
      <c r="L17" s="1208" t="s">
        <v>657</v>
      </c>
      <c r="M17" s="1186" t="s">
        <v>658</v>
      </c>
      <c r="N17" s="1179">
        <v>584.20000000000005</v>
      </c>
      <c r="O17" s="1183"/>
      <c r="P17" s="1183"/>
      <c r="Q17" s="1098"/>
      <c r="V17" s="1098"/>
    </row>
    <row r="18" spans="2:22" ht="21" customHeight="1">
      <c r="B18" s="145" t="s">
        <v>1308</v>
      </c>
      <c r="D18" s="622"/>
      <c r="E18" s="1242">
        <v>3</v>
      </c>
      <c r="F18" s="1243">
        <v>3.0680000000000001</v>
      </c>
      <c r="G18" s="1244">
        <v>0.31979999999999997</v>
      </c>
      <c r="H18" s="1244">
        <v>0.35399999999999998</v>
      </c>
      <c r="I18" s="1245">
        <v>4.7690000000000001</v>
      </c>
      <c r="J18" s="1246">
        <v>48</v>
      </c>
      <c r="K18" s="1098"/>
      <c r="L18" s="1208" t="s">
        <v>659</v>
      </c>
      <c r="M18" s="1186" t="s">
        <v>660</v>
      </c>
      <c r="N18" s="1179">
        <v>635</v>
      </c>
      <c r="O18" s="1183"/>
      <c r="P18" s="1183"/>
      <c r="Q18" s="1098"/>
      <c r="V18" s="1098"/>
    </row>
    <row r="19" spans="2:22" ht="21" customHeight="1">
      <c r="B19" s="145" t="s">
        <v>1307</v>
      </c>
      <c r="D19" s="622"/>
      <c r="E19" s="1242">
        <v>4</v>
      </c>
      <c r="F19" s="1243">
        <v>4.0259999999999998</v>
      </c>
      <c r="G19" s="1244">
        <v>0.55069999999999997</v>
      </c>
      <c r="H19" s="1244">
        <v>0.6613</v>
      </c>
      <c r="I19" s="1245">
        <v>8.2129999999999992</v>
      </c>
      <c r="J19" s="1246">
        <v>83</v>
      </c>
      <c r="K19" s="1098"/>
      <c r="L19" s="1208" t="s">
        <v>661</v>
      </c>
      <c r="M19" s="1186" t="s">
        <v>662</v>
      </c>
      <c r="N19" s="1179">
        <v>685.8</v>
      </c>
      <c r="O19" s="1183"/>
      <c r="P19" s="1183"/>
      <c r="Q19" s="1098"/>
      <c r="V19" s="1098"/>
    </row>
    <row r="20" spans="2:22" ht="21" customHeight="1">
      <c r="B20" s="147" t="s">
        <v>667</v>
      </c>
      <c r="D20" s="622"/>
      <c r="E20" s="1242">
        <v>6</v>
      </c>
      <c r="F20" s="1243">
        <v>6.0650000000000004</v>
      </c>
      <c r="G20" s="1244">
        <v>1.25</v>
      </c>
      <c r="H20" s="1244">
        <v>1.5009999999999999</v>
      </c>
      <c r="I20" s="1245">
        <v>18.64</v>
      </c>
      <c r="J20" s="1246">
        <v>189</v>
      </c>
      <c r="K20" s="1098"/>
      <c r="L20" s="1208" t="s">
        <v>663</v>
      </c>
      <c r="M20" s="1186" t="s">
        <v>664</v>
      </c>
      <c r="N20" s="1179"/>
      <c r="O20" s="1183"/>
      <c r="P20" s="1183"/>
      <c r="Q20" s="1098"/>
      <c r="V20" s="1098"/>
    </row>
    <row r="21" spans="2:22" ht="21" customHeight="1">
      <c r="B21" s="145" t="s">
        <v>1291</v>
      </c>
      <c r="D21" s="622"/>
      <c r="E21" s="1242">
        <v>8</v>
      </c>
      <c r="F21" s="1243">
        <v>8.0709999999999997</v>
      </c>
      <c r="G21" s="1244">
        <v>2.2130000000000001</v>
      </c>
      <c r="H21" s="1244">
        <v>2.6579999999999999</v>
      </c>
      <c r="I21" s="1245">
        <v>33.01</v>
      </c>
      <c r="J21" s="1246">
        <v>334</v>
      </c>
      <c r="K21" s="1098"/>
      <c r="L21" s="1208" t="s">
        <v>665</v>
      </c>
      <c r="M21" s="1186" t="s">
        <v>666</v>
      </c>
      <c r="N21" s="1179"/>
      <c r="O21" s="1183"/>
      <c r="P21" s="1183"/>
      <c r="Q21" s="1098"/>
      <c r="V21" s="1098"/>
    </row>
    <row r="22" spans="2:22" ht="21" customHeight="1">
      <c r="B22" s="145" t="s">
        <v>1322</v>
      </c>
      <c r="D22" s="622"/>
      <c r="E22" s="1242">
        <v>10</v>
      </c>
      <c r="F22" s="1243">
        <v>10.192</v>
      </c>
      <c r="G22" s="1244">
        <v>3.5289999999999999</v>
      </c>
      <c r="H22" s="1244">
        <v>4.2380000000000004</v>
      </c>
      <c r="I22" s="1245">
        <v>52.63</v>
      </c>
      <c r="J22" s="1246">
        <v>533</v>
      </c>
      <c r="K22" s="1098"/>
      <c r="L22" s="1182"/>
      <c r="M22" s="1098"/>
      <c r="N22" s="1098"/>
      <c r="O22" s="1183"/>
      <c r="P22" s="1183"/>
      <c r="Q22" s="1098"/>
      <c r="V22" s="1098"/>
    </row>
    <row r="23" spans="2:22" ht="21" customHeight="1">
      <c r="B23" s="145" t="s">
        <v>1292</v>
      </c>
      <c r="D23" s="622"/>
      <c r="E23" s="1242">
        <v>12</v>
      </c>
      <c r="F23" s="1243">
        <v>12.09</v>
      </c>
      <c r="G23" s="1244">
        <v>4.9660000000000002</v>
      </c>
      <c r="H23" s="1244">
        <v>5.9640000000000004</v>
      </c>
      <c r="I23" s="1245">
        <v>74.06</v>
      </c>
      <c r="J23" s="1246">
        <v>749</v>
      </c>
      <c r="K23" s="1098"/>
      <c r="L23" s="1182"/>
      <c r="M23" s="1098"/>
      <c r="N23" s="1098"/>
      <c r="O23" s="1183"/>
      <c r="P23" s="1183"/>
      <c r="Q23" s="1098"/>
      <c r="R23" s="1098"/>
      <c r="S23" s="1098"/>
      <c r="T23" s="1098"/>
      <c r="U23" s="1098"/>
      <c r="V23" s="1098"/>
    </row>
    <row r="24" spans="2:22" ht="21" customHeight="1">
      <c r="B24" s="62" t="s">
        <v>238</v>
      </c>
      <c r="D24" s="622"/>
      <c r="E24" s="1242">
        <v>14</v>
      </c>
      <c r="F24" s="1243">
        <v>13.25</v>
      </c>
      <c r="G24" s="1244">
        <v>5.9640000000000004</v>
      </c>
      <c r="H24" s="1244">
        <v>7.1630000000000003</v>
      </c>
      <c r="I24" s="1245">
        <v>88.96</v>
      </c>
      <c r="J24" s="1246">
        <v>900</v>
      </c>
      <c r="K24" s="1098"/>
      <c r="L24" s="1182"/>
      <c r="M24" s="1098"/>
      <c r="N24" s="1098"/>
      <c r="O24" s="1183"/>
      <c r="P24" s="1183"/>
      <c r="Q24" s="1098"/>
      <c r="R24" s="1098"/>
      <c r="S24" s="1098"/>
      <c r="T24" s="1098"/>
      <c r="U24" s="1098"/>
      <c r="V24" s="1098"/>
    </row>
    <row r="25" spans="2:22" ht="21" customHeight="1">
      <c r="B25" s="62" t="s">
        <v>1652</v>
      </c>
      <c r="D25" s="622"/>
      <c r="E25" s="1242">
        <v>16</v>
      </c>
      <c r="F25" s="1243">
        <v>15.25</v>
      </c>
      <c r="G25" s="1244">
        <v>7.9009999999999998</v>
      </c>
      <c r="H25" s="1244">
        <v>9.4890000000000008</v>
      </c>
      <c r="I25" s="1245">
        <v>117.84</v>
      </c>
      <c r="J25" s="1246">
        <v>1192</v>
      </c>
      <c r="K25" s="12"/>
      <c r="L25" s="1253"/>
      <c r="M25" s="1098"/>
      <c r="O25" s="623"/>
      <c r="P25" s="623"/>
      <c r="R25" s="1098"/>
      <c r="S25" s="1098"/>
      <c r="T25" s="1098"/>
      <c r="U25" s="1098"/>
    </row>
    <row r="26" spans="2:22" ht="21" customHeight="1">
      <c r="B26" s="62" t="s">
        <v>1653</v>
      </c>
      <c r="D26" s="622"/>
      <c r="E26" s="1242">
        <v>18</v>
      </c>
      <c r="F26" s="1243">
        <v>17.25</v>
      </c>
      <c r="G26" s="1244">
        <v>10.109</v>
      </c>
      <c r="H26" s="1244">
        <v>12.14</v>
      </c>
      <c r="I26" s="1245">
        <v>150.77000000000001</v>
      </c>
      <c r="J26" s="1246">
        <v>1525</v>
      </c>
      <c r="K26" s="12"/>
      <c r="L26" s="1182"/>
      <c r="M26" s="1100"/>
      <c r="N26" s="1099"/>
      <c r="O26" s="623"/>
      <c r="P26" s="1069"/>
      <c r="Q26" s="12"/>
      <c r="R26" s="12"/>
      <c r="S26" s="12"/>
      <c r="T26" s="12"/>
    </row>
    <row r="27" spans="2:22" ht="21" customHeight="1">
      <c r="B27" s="62" t="s">
        <v>40</v>
      </c>
      <c r="D27" s="622"/>
      <c r="E27" s="1242">
        <v>20</v>
      </c>
      <c r="F27" s="1243">
        <v>19.25</v>
      </c>
      <c r="G27" s="1244">
        <v>12.589</v>
      </c>
      <c r="H27" s="1244">
        <v>15.119</v>
      </c>
      <c r="I27" s="1245">
        <v>187.76</v>
      </c>
      <c r="J27" s="1246">
        <v>1900</v>
      </c>
      <c r="K27" s="12"/>
      <c r="L27" s="1182"/>
      <c r="M27" s="1098"/>
      <c r="N27" s="1098"/>
      <c r="O27" s="623"/>
      <c r="P27" s="1069"/>
      <c r="Q27" s="12"/>
      <c r="R27" s="12"/>
      <c r="S27" s="12"/>
    </row>
    <row r="28" spans="2:22" ht="21" customHeight="1">
      <c r="B28" s="62" t="s">
        <v>238</v>
      </c>
      <c r="D28" s="622"/>
      <c r="E28" s="1247">
        <v>24</v>
      </c>
      <c r="F28" s="1248">
        <v>23.25</v>
      </c>
      <c r="G28" s="1249">
        <v>18.37</v>
      </c>
      <c r="H28" s="1249">
        <v>22.062000000000001</v>
      </c>
      <c r="I28" s="1250">
        <v>273.99</v>
      </c>
      <c r="J28" s="1251">
        <v>2772</v>
      </c>
      <c r="K28" s="12"/>
      <c r="L28" s="624"/>
      <c r="M28" s="625"/>
      <c r="N28" s="625"/>
      <c r="O28" s="630"/>
      <c r="P28" s="1069"/>
      <c r="Q28" s="12"/>
      <c r="R28" s="12"/>
      <c r="S28" s="12"/>
    </row>
    <row r="29" spans="2:22" ht="21" customHeight="1">
      <c r="B29" s="62" t="s">
        <v>39</v>
      </c>
      <c r="D29" s="622"/>
      <c r="E29" s="3414" t="s">
        <v>679</v>
      </c>
      <c r="F29" s="3414"/>
      <c r="G29" s="3414"/>
      <c r="H29" s="3414"/>
      <c r="I29" s="3414"/>
      <c r="J29" s="3414"/>
      <c r="K29" s="12"/>
      <c r="P29" s="1069"/>
      <c r="Q29" s="12"/>
      <c r="R29" s="12"/>
      <c r="S29" s="12"/>
    </row>
    <row r="30" spans="2:22" ht="21" customHeight="1">
      <c r="B30" s="62" t="s">
        <v>38</v>
      </c>
      <c r="D30" s="624"/>
      <c r="E30" s="3415"/>
      <c r="F30" s="3415"/>
      <c r="G30" s="3415"/>
      <c r="H30" s="3415"/>
      <c r="I30" s="3415"/>
      <c r="J30" s="3415"/>
      <c r="K30" s="625"/>
      <c r="L30" s="625"/>
      <c r="M30" s="625"/>
      <c r="N30" s="625"/>
      <c r="O30" s="625"/>
      <c r="P30" s="630"/>
      <c r="R30" s="12"/>
      <c r="S30" s="12"/>
    </row>
    <row r="31" spans="2:22" ht="21" customHeight="1">
      <c r="B31" s="62"/>
      <c r="E31" s="1229"/>
      <c r="F31" s="1229"/>
      <c r="G31" s="1229"/>
      <c r="H31" s="1229"/>
      <c r="I31" s="1229"/>
      <c r="J31" s="1229"/>
    </row>
    <row r="32" spans="2:22" ht="21" customHeight="1">
      <c r="B32" s="62"/>
      <c r="E32" s="1229"/>
      <c r="F32" s="1229"/>
      <c r="G32" s="1229"/>
      <c r="H32" s="1229"/>
      <c r="I32" s="1229"/>
      <c r="J32" s="1229"/>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38">
      <c r="B49" s="565"/>
    </row>
    <row r="50" spans="2:38">
      <c r="B50" s="565"/>
    </row>
    <row r="51" spans="2:38">
      <c r="B51" s="565"/>
    </row>
    <row r="52" spans="2:38">
      <c r="B52" s="565"/>
    </row>
    <row r="53" spans="2:38">
      <c r="B53" s="565"/>
    </row>
    <row r="54" spans="2:38">
      <c r="B54" s="565"/>
    </row>
    <row r="55" spans="2:38">
      <c r="B55" s="565"/>
    </row>
    <row r="56" spans="2:38">
      <c r="B56" s="565"/>
    </row>
    <row r="57" spans="2:38">
      <c r="B57" s="565"/>
    </row>
    <row r="58" spans="2:38">
      <c r="B58" s="565"/>
    </row>
    <row r="59" spans="2:38">
      <c r="B59" s="565"/>
    </row>
    <row r="60" spans="2:38">
      <c r="B60" s="565"/>
    </row>
    <row r="61" spans="2:38">
      <c r="B61" s="565"/>
    </row>
    <row r="62" spans="2:38">
      <c r="B62" s="565"/>
      <c r="V62" s="5"/>
      <c r="W62" s="5"/>
      <c r="X62" s="5"/>
      <c r="Y62" s="5"/>
      <c r="Z62" s="5"/>
      <c r="AA62" s="5"/>
      <c r="AB62" s="5"/>
      <c r="AC62" s="5"/>
      <c r="AD62" s="5"/>
      <c r="AE62" s="5"/>
      <c r="AF62" s="5"/>
      <c r="AG62" s="5"/>
      <c r="AH62" s="5"/>
      <c r="AI62" s="5"/>
      <c r="AJ62" s="5"/>
      <c r="AK62" s="5"/>
      <c r="AL62" s="5"/>
    </row>
    <row r="63" spans="2:38">
      <c r="B63" s="565"/>
      <c r="U63" s="5"/>
      <c r="V63" s="5"/>
      <c r="W63" s="5"/>
      <c r="X63" s="5"/>
      <c r="Y63" s="5"/>
      <c r="Z63" s="5"/>
      <c r="AA63" s="5"/>
      <c r="AB63" s="5"/>
      <c r="AC63" s="5"/>
      <c r="AD63" s="5"/>
      <c r="AE63" s="5"/>
      <c r="AF63" s="5"/>
      <c r="AG63" s="5"/>
      <c r="AH63" s="5"/>
      <c r="AI63" s="5"/>
      <c r="AJ63" s="5"/>
      <c r="AK63" s="5"/>
      <c r="AL63" s="5"/>
    </row>
    <row r="64" spans="2:38">
      <c r="B64" s="565"/>
      <c r="U64" s="5"/>
    </row>
    <row r="65" spans="2:2">
      <c r="B65" s="565"/>
    </row>
    <row r="66" spans="2:2">
      <c r="B66" s="565"/>
    </row>
    <row r="67" spans="2:2">
      <c r="B67" s="565"/>
    </row>
    <row r="68" spans="2:2">
      <c r="B68" s="565"/>
    </row>
    <row r="69" spans="2:2">
      <c r="B69" s="565"/>
    </row>
    <row r="70" spans="2:2">
      <c r="B70" s="565"/>
    </row>
    <row r="71" spans="2:2">
      <c r="B71" s="565"/>
    </row>
    <row r="100" spans="28:52">
      <c r="AB100" s="566" t="s">
        <v>550</v>
      </c>
      <c r="AC100" s="12"/>
      <c r="AD100" s="12"/>
      <c r="AE100" s="12"/>
      <c r="AF100" s="12"/>
      <c r="AG100" s="12"/>
      <c r="AH100" s="12"/>
      <c r="AI100" s="12"/>
      <c r="AJ100" s="12"/>
    </row>
    <row r="101" spans="28:52" ht="13.15">
      <c r="AB101" s="1178" t="s">
        <v>632</v>
      </c>
      <c r="AC101" s="1212"/>
      <c r="AD101" s="1212"/>
      <c r="AE101" s="1213"/>
      <c r="AF101" s="1222"/>
      <c r="AG101" s="1222"/>
      <c r="AH101" s="1222"/>
      <c r="AI101" s="1222"/>
      <c r="AJ101" s="1222"/>
      <c r="AK101" s="1222"/>
      <c r="AL101" s="1222"/>
      <c r="AM101" s="1222"/>
      <c r="AN101" s="1223"/>
      <c r="AO101" s="1222"/>
      <c r="AP101" s="1222"/>
      <c r="AQ101" s="1222"/>
      <c r="AR101" s="1222"/>
      <c r="AS101" s="1222"/>
      <c r="AT101" s="1222"/>
      <c r="AU101" s="1222"/>
      <c r="AV101" s="1222"/>
      <c r="AW101" s="1224"/>
      <c r="AX101" s="1224"/>
      <c r="AY101" s="1224"/>
      <c r="AZ101" s="1224"/>
    </row>
    <row r="102" spans="28:52" ht="13.9">
      <c r="AB102" s="1219"/>
      <c r="AC102" s="1214"/>
      <c r="AD102" s="1215" t="s">
        <v>630</v>
      </c>
      <c r="AE102" s="1216" t="s">
        <v>631</v>
      </c>
      <c r="AF102" s="12"/>
      <c r="AG102" s="12"/>
      <c r="AH102" s="12"/>
      <c r="AI102" s="12"/>
      <c r="AJ102" s="12"/>
      <c r="AK102" s="12"/>
      <c r="AL102" s="12"/>
      <c r="AM102" s="12"/>
      <c r="AN102" s="12"/>
      <c r="AO102" s="3326"/>
      <c r="AP102" s="3326"/>
      <c r="AQ102" s="12"/>
      <c r="AR102" s="12"/>
      <c r="AS102" s="12"/>
      <c r="AT102" s="12"/>
      <c r="AU102" s="12"/>
      <c r="AV102" s="12"/>
    </row>
    <row r="103" spans="28:52">
      <c r="AB103" s="1168">
        <v>1</v>
      </c>
      <c r="AC103" s="1169">
        <v>1</v>
      </c>
      <c r="AD103" s="1217" t="str">
        <f t="shared" ref="AD103:AD115" si="0">IF($O$6=1,L9,M9)</f>
        <v>4"</v>
      </c>
      <c r="AE103" s="1226">
        <f t="shared" ref="AE103:AE115" si="1">N9</f>
        <v>97.1</v>
      </c>
      <c r="AF103" s="12"/>
      <c r="AG103" s="12"/>
      <c r="AH103" s="12"/>
      <c r="AI103" s="12"/>
      <c r="AJ103" s="12"/>
      <c r="AK103" s="12"/>
      <c r="AL103" s="12"/>
      <c r="AM103" s="12"/>
      <c r="AN103" s="12"/>
      <c r="AO103" s="675"/>
      <c r="AP103" s="1220"/>
      <c r="AQ103" s="12"/>
      <c r="AR103" s="12"/>
      <c r="AS103" s="12"/>
      <c r="AT103" s="12"/>
      <c r="AU103" s="12"/>
      <c r="AV103" s="12"/>
    </row>
    <row r="104" spans="28:52">
      <c r="AB104" s="1170" t="s">
        <v>638</v>
      </c>
      <c r="AC104" s="1166">
        <v>2</v>
      </c>
      <c r="AD104" s="1225" t="str">
        <f t="shared" si="0"/>
        <v>6"</v>
      </c>
      <c r="AE104" s="1227">
        <f t="shared" si="1"/>
        <v>151</v>
      </c>
      <c r="AF104" s="12"/>
      <c r="AG104" s="12"/>
      <c r="AH104" s="12"/>
      <c r="AI104" s="12"/>
      <c r="AJ104" s="12"/>
      <c r="AK104" s="12"/>
      <c r="AL104" s="12"/>
      <c r="AM104" s="12"/>
      <c r="AN104" s="12"/>
      <c r="AO104" s="278"/>
      <c r="AP104" s="1221"/>
      <c r="AQ104" s="12"/>
      <c r="AR104" s="12"/>
      <c r="AS104" s="12"/>
      <c r="AT104" s="12"/>
      <c r="AU104" s="12"/>
      <c r="AV104" s="12"/>
    </row>
    <row r="105" spans="28:52">
      <c r="AB105" s="1171" t="s">
        <v>641</v>
      </c>
      <c r="AC105" s="1166">
        <v>3</v>
      </c>
      <c r="AD105" s="1225" t="str">
        <f t="shared" si="0"/>
        <v>8"</v>
      </c>
      <c r="AE105" s="1227">
        <f t="shared" si="1"/>
        <v>190.9</v>
      </c>
      <c r="AF105" s="12"/>
      <c r="AG105" s="12"/>
      <c r="AH105" s="12"/>
      <c r="AI105" s="12"/>
      <c r="AJ105" s="12"/>
      <c r="AK105" s="12"/>
      <c r="AL105" s="12"/>
      <c r="AM105" s="12"/>
      <c r="AN105" s="12"/>
      <c r="AO105" s="278"/>
      <c r="AP105" s="1221"/>
      <c r="AQ105" s="12"/>
      <c r="AR105" s="12"/>
      <c r="AS105" s="12"/>
      <c r="AT105" s="12"/>
      <c r="AU105" s="12"/>
      <c r="AV105" s="12"/>
    </row>
    <row r="106" spans="28:52">
      <c r="AB106" s="1172">
        <v>7</v>
      </c>
      <c r="AC106" s="1166">
        <v>4</v>
      </c>
      <c r="AD106" s="1225" t="str">
        <f t="shared" si="0"/>
        <v>10"</v>
      </c>
      <c r="AE106" s="1227">
        <f t="shared" si="1"/>
        <v>242</v>
      </c>
      <c r="AF106" s="12"/>
      <c r="AG106" s="12"/>
      <c r="AH106" s="12"/>
      <c r="AI106" s="12"/>
      <c r="AJ106" s="12"/>
      <c r="AK106" s="12"/>
      <c r="AL106" s="12"/>
      <c r="AM106" s="12"/>
      <c r="AN106" s="12"/>
      <c r="AO106" s="278"/>
      <c r="AP106" s="1221"/>
      <c r="AQ106" s="12"/>
      <c r="AR106" s="12"/>
      <c r="AS106" s="12"/>
      <c r="AT106" s="12"/>
      <c r="AU106" s="12"/>
      <c r="AV106" s="12"/>
    </row>
    <row r="107" spans="28:52">
      <c r="AB107" s="1166">
        <f>VLOOKUP(AB106,AC103:AE115,3)</f>
        <v>387.4</v>
      </c>
      <c r="AC107" s="1166">
        <v>5</v>
      </c>
      <c r="AD107" s="1225" t="str">
        <f t="shared" si="0"/>
        <v>12"</v>
      </c>
      <c r="AE107" s="1227">
        <f t="shared" si="1"/>
        <v>293.10000000000002</v>
      </c>
      <c r="AF107" s="12"/>
      <c r="AG107" s="12"/>
      <c r="AH107" s="12"/>
      <c r="AI107" s="12"/>
      <c r="AJ107" s="12"/>
      <c r="AK107" s="12"/>
      <c r="AL107" s="12"/>
      <c r="AM107" s="12"/>
      <c r="AN107" s="12"/>
      <c r="AO107" s="278"/>
      <c r="AP107" s="1221"/>
      <c r="AQ107" s="12"/>
      <c r="AR107" s="12"/>
      <c r="AS107" s="12"/>
      <c r="AT107" s="12"/>
      <c r="AU107" s="12"/>
      <c r="AV107" s="12"/>
    </row>
    <row r="108" spans="28:52">
      <c r="AB108" s="1166"/>
      <c r="AC108" s="1166">
        <v>6</v>
      </c>
      <c r="AD108" s="1225" t="str">
        <f t="shared" si="0"/>
        <v>14"</v>
      </c>
      <c r="AE108" s="1227">
        <f t="shared" si="1"/>
        <v>330.2</v>
      </c>
      <c r="AF108" s="12"/>
      <c r="AG108" s="12"/>
      <c r="AH108" s="12"/>
      <c r="AI108" s="12"/>
      <c r="AJ108" s="12"/>
      <c r="AK108" s="12"/>
      <c r="AL108" s="12"/>
      <c r="AM108" s="12"/>
      <c r="AN108" s="12"/>
      <c r="AO108" s="278"/>
      <c r="AP108" s="1220"/>
      <c r="AQ108" s="12"/>
      <c r="AR108" s="12"/>
      <c r="AS108" s="12"/>
      <c r="AT108" s="12"/>
      <c r="AU108" s="12"/>
      <c r="AV108" s="12"/>
    </row>
    <row r="109" spans="28:52">
      <c r="AB109" s="1173">
        <v>7</v>
      </c>
      <c r="AC109" s="1203">
        <v>7</v>
      </c>
      <c r="AD109" s="1225" t="str">
        <f t="shared" si="0"/>
        <v>16"</v>
      </c>
      <c r="AE109" s="1227">
        <f t="shared" si="1"/>
        <v>387.4</v>
      </c>
      <c r="AF109" s="12"/>
      <c r="AG109" s="12"/>
      <c r="AH109" s="12"/>
      <c r="AI109" s="12"/>
      <c r="AJ109" s="12"/>
      <c r="AK109" s="12"/>
      <c r="AL109" s="12"/>
      <c r="AM109" s="12"/>
      <c r="AN109" s="12"/>
      <c r="AO109" s="278"/>
      <c r="AP109" s="1220"/>
      <c r="AQ109" s="12"/>
      <c r="AR109" s="12"/>
      <c r="AS109" s="12"/>
      <c r="AT109" s="12"/>
      <c r="AU109" s="12"/>
      <c r="AV109" s="12"/>
    </row>
    <row r="110" spans="28:52">
      <c r="AB110" s="1174">
        <f>VLOOKUP(AB109,AC103:AE115,3)</f>
        <v>387.4</v>
      </c>
      <c r="AC110" s="1203">
        <v>8</v>
      </c>
      <c r="AD110" s="1225" t="str">
        <f t="shared" si="0"/>
        <v>20"</v>
      </c>
      <c r="AE110" s="1227">
        <f t="shared" si="1"/>
        <v>482.6</v>
      </c>
      <c r="AF110" s="12"/>
      <c r="AG110" s="12"/>
      <c r="AH110" s="12"/>
      <c r="AI110" s="12"/>
      <c r="AJ110" s="12"/>
    </row>
    <row r="111" spans="28:52">
      <c r="AB111" s="1174"/>
      <c r="AC111" s="1203">
        <v>9</v>
      </c>
      <c r="AD111" s="1225" t="str">
        <f t="shared" si="0"/>
        <v>24"</v>
      </c>
      <c r="AE111" s="1227">
        <f t="shared" si="1"/>
        <v>584.20000000000005</v>
      </c>
    </row>
    <row r="112" spans="28:52">
      <c r="AB112" s="1174"/>
      <c r="AC112" s="1203">
        <v>10</v>
      </c>
      <c r="AD112" s="1225" t="str">
        <f t="shared" si="0"/>
        <v>26"</v>
      </c>
      <c r="AE112" s="1227">
        <f t="shared" si="1"/>
        <v>635</v>
      </c>
    </row>
    <row r="113" spans="28:31">
      <c r="AB113" s="1174"/>
      <c r="AC113" s="1203">
        <v>11</v>
      </c>
      <c r="AD113" s="1225" t="str">
        <f t="shared" si="0"/>
        <v>28"</v>
      </c>
      <c r="AE113" s="1227">
        <f t="shared" si="1"/>
        <v>685.8</v>
      </c>
    </row>
    <row r="114" spans="28:31">
      <c r="AB114" s="1175"/>
      <c r="AC114" s="1203">
        <v>12</v>
      </c>
      <c r="AD114" s="1225" t="str">
        <f t="shared" si="0"/>
        <v>30"</v>
      </c>
      <c r="AE114" s="1227">
        <f t="shared" si="1"/>
        <v>0</v>
      </c>
    </row>
    <row r="115" spans="28:31">
      <c r="AB115" s="1176"/>
      <c r="AC115" s="1177">
        <v>13</v>
      </c>
      <c r="AD115" s="1218" t="str">
        <f t="shared" si="0"/>
        <v>32"</v>
      </c>
      <c r="AE115" s="1228">
        <f t="shared" si="1"/>
        <v>0</v>
      </c>
    </row>
  </sheetData>
  <mergeCells count="4">
    <mergeCell ref="B2:B3"/>
    <mergeCell ref="H8:I8"/>
    <mergeCell ref="AO102:AP102"/>
    <mergeCell ref="E29:J30"/>
  </mergeCells>
  <hyperlinks>
    <hyperlink ref="B2:B3" location="Home!A1" display="HOME" xr:uid="{405E16CC-1A60-4A7D-816F-5B3BB91D528E}"/>
    <hyperlink ref="AB100" location="'Pipes - Max.Rate'!A1" display="Go to Up" xr:uid="{CA888DE0-3F39-4E13-8257-B0E4CF23EF0A}"/>
    <hyperlink ref="B5" location="'Documents Manager'!A1" display="DOCUMENTS MANAGER" xr:uid="{8139DF23-DC1E-460E-A8BB-A79EAF567009}"/>
    <hyperlink ref="B30" location="Disclaimer!A1" display="Disclaimer" xr:uid="{80397AC0-0CF9-4B8C-BEC2-BF7457AF9BE9}"/>
    <hyperlink ref="B29" location="Help!A1" display="Help" xr:uid="{DA09F3F6-9E0E-4635-A3E7-8C1EB4B4124B}"/>
    <hyperlink ref="B27" location="'Source - Links'!A1" display="SOURCE / LINKS" xr:uid="{F4022A29-1124-4A3B-BB49-6E680DFC266C}"/>
    <hyperlink ref="B6" location="'ASTM Table Series'!A1" display="ASTM TABLES" xr:uid="{E397F263-D075-4D8D-9603-149ECEF042EF}"/>
    <hyperlink ref="B7" location="'ASTM Converter (Tab.1)'!A1" display="ASTM - CONVERTERS" xr:uid="{8A23FC6E-B425-4185-A5E8-C1D93773F563}"/>
    <hyperlink ref="B8" location="'ASTM Calculator V.W.'!A1" display="ASTM - CALCULATORS" xr:uid="{24B5DEE2-FE47-4EFA-8D6C-9DE645E56FF4}"/>
    <hyperlink ref="B9" location="'Initial&amp;Max. Loading Rate'!A1" display="CARGO - CALCULATORS" xr:uid="{CF185CCC-7941-413B-8E98-52B10DA25665}"/>
    <hyperlink ref="B12" location="'ETC Cargo operation'!A1" display="• ETC Cargo operation" xr:uid="{51899579-DBCC-4454-B90A-8A7D16E00D82}"/>
    <hyperlink ref="B14" location="'Volume Interpolation'!A1" display="• Volume Interpolation" xr:uid="{D9B2CFD8-5C17-40D1-B4E0-55B5285DD831}"/>
    <hyperlink ref="B11" location="'One Tank Filling Rate'!A1" display="• One Tank Filling Rate" xr:uid="{F56ACDDF-26FF-40A1-9068-DD28029585CC}"/>
    <hyperlink ref="B10" location="'Initial&amp;Max. Loading Rate'!A1" display="• Initial &amp; Max. Loading Rate" xr:uid="{23382F0B-1924-411C-B711-2DCA08B6055A}"/>
    <hyperlink ref="B13" location="'Average Gravity-Temp'!A1" display="• Calculator - Average Gravity/Temp" xr:uid="{5EF7305B-D529-49A5-8543-E859E24B04A6}"/>
    <hyperlink ref="B15" location="'Cargo Lines Volume'!A1" display="• Volume of Cargo Lines Calculator" xr:uid="{5D4C5693-78F3-47D0-8673-72D1C8190B84}"/>
    <hyperlink ref="B20" location="'Pipelines Capacities'!A1" display="• Pipelines Capacities" xr:uid="{0DDFD8BB-A2B5-4C2B-A5CB-BCCAC29A10D0}"/>
    <hyperlink ref="B17" location="'Blended API'!A1" display="• Blended API" xr:uid="{F7B0F768-6907-46A2-9608-A80E0D1CE3B6}"/>
    <hyperlink ref="B18:B19" location="'Blended Cargo Prediction'!A1" display="• Blended Cargo Prediction" xr:uid="{307D8029-662E-4820-ABA1-A36BDAA70656}"/>
    <hyperlink ref="B18" location="'Commingle-LOADING'!A1" display="• Commingle-LOADING" xr:uid="{88960F19-4526-4128-88B8-E5952156F52F}"/>
    <hyperlink ref="B19" location="'Commingle-LOADING-DISCHARGING'!A1" display="• Commingle-LOADING-DISCHARGING" xr:uid="{806A9F2D-6010-4C43-AFD3-8BE133145DC4}"/>
    <hyperlink ref="B21" location="'IG Pressure Change'!A1" display="• Pipelines Capacities Calculator" xr:uid="{731207A3-DBF3-4019-BD4C-CD3C9B25D4E3}"/>
    <hyperlink ref="B16" location="'Wedge Volume Calculator'!A1" display="• Volume Calculator - Wedge formula" xr:uid="{AF9D8F45-CF4D-473D-9277-9C9716CC83D7}"/>
    <hyperlink ref="B23" location="'Converter Pressure '!A1" display="• Units Converter Pressure" xr:uid="{8AFA3B0A-B92C-4B2B-8FDB-A44B3FD0FA22}"/>
    <hyperlink ref="B22" location="'IG Pressure Change (2)'!A1" display="• IG Pressure Change-2" xr:uid="{24853EED-3498-489E-B094-329A730FCDC4}"/>
    <hyperlink ref="B25" location="'Guidelines - Definitions'!A1" display="GUIDELINES" xr:uid="{6E96FC87-2A51-4DCE-82BC-66852ECC65DD}"/>
    <hyperlink ref="B26" location="'Guidelines - Bottom Lines'!A1" display="GUIDELINES - CARGO" xr:uid="{D12850BF-3204-48D3-8967-AAAF71C45B8F}"/>
  </hyperlinks>
  <pageMargins left="0.75" right="0.75" top="1" bottom="1" header="0.5" footer="0.5"/>
  <pageSetup paperSize="9"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85345" r:id="rId4" name="Drop Down 1">
              <controlPr defaultSize="0" autoLine="0" autoPict="0">
                <anchor moveWithCells="1">
                  <from>
                    <xdr:col>5</xdr:col>
                    <xdr:colOff>0</xdr:colOff>
                    <xdr:row>6</xdr:row>
                    <xdr:rowOff>47625</xdr:rowOff>
                  </from>
                  <to>
                    <xdr:col>5</xdr:col>
                    <xdr:colOff>747713</xdr:colOff>
                    <xdr:row>7</xdr:row>
                    <xdr:rowOff>0</xdr:rowOff>
                  </to>
                </anchor>
              </controlPr>
            </control>
          </mc:Choice>
        </mc:AlternateContent>
        <mc:AlternateContent xmlns:mc="http://schemas.openxmlformats.org/markup-compatibility/2006">
          <mc:Choice Requires="x14">
            <control shapeId="185346" r:id="rId5" name="Drop Down 2">
              <controlPr defaultSize="0" autoLine="0" autoPict="0">
                <anchor moveWithCells="1">
                  <from>
                    <xdr:col>5</xdr:col>
                    <xdr:colOff>0</xdr:colOff>
                    <xdr:row>8</xdr:row>
                    <xdr:rowOff>9525</xdr:rowOff>
                  </from>
                  <to>
                    <xdr:col>5</xdr:col>
                    <xdr:colOff>747713</xdr:colOff>
                    <xdr:row>8</xdr:row>
                    <xdr:rowOff>228600</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8E91-EF28-4AC4-B751-E8DE1AB05D4C}">
  <sheetPr>
    <tabColor rgb="FFFFC000"/>
  </sheetPr>
  <dimension ref="A1:IW115"/>
  <sheetViews>
    <sheetView showGridLines="0" showRowColHeaders="0" topLeftCell="B4" zoomScaleNormal="100" workbookViewId="0">
      <selection activeCell="H16" sqref="H16"/>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13.1328125" style="514" customWidth="1"/>
    <col min="6" max="7" width="14.33203125" style="514" customWidth="1"/>
    <col min="8" max="8" width="15.86328125" style="514" customWidth="1"/>
    <col min="9" max="10" width="14.796875" style="514" customWidth="1"/>
    <col min="11" max="11" width="12.86328125" style="514" customWidth="1"/>
    <col min="12" max="12" width="3.6640625" style="514" customWidth="1"/>
    <col min="13" max="15" width="9.1328125" style="514" customWidth="1"/>
    <col min="16" max="16" width="13.46484375" style="514" bestFit="1" customWidth="1"/>
    <col min="17" max="23" width="9.1328125" style="514" customWidth="1"/>
    <col min="24" max="24" width="13.46484375" style="514" bestFit="1" customWidth="1"/>
    <col min="25" max="25" width="6" style="514" customWidth="1"/>
    <col min="26" max="26" width="8.19921875" style="514" bestFit="1" customWidth="1"/>
    <col min="27" max="27" width="7.46484375" style="514" bestFit="1" customWidth="1"/>
    <col min="28" max="28" width="10.6640625" style="514" customWidth="1"/>
    <col min="29" max="29" width="12" style="514" bestFit="1" customWidth="1"/>
    <col min="30" max="30" width="14.46484375" style="514" bestFit="1" customWidth="1"/>
    <col min="31" max="31" width="16" style="514" bestFit="1" customWidth="1"/>
    <col min="32" max="33" width="15.6640625" style="514" bestFit="1" customWidth="1"/>
    <col min="34" max="34" width="12.53125" style="514" bestFit="1" customWidth="1"/>
    <col min="35" max="35" width="14.33203125" style="514" customWidth="1"/>
    <col min="36" max="36" width="11.53125" style="514" customWidth="1"/>
    <col min="37" max="37" width="16.796875" style="514" customWidth="1"/>
    <col min="38" max="38" width="17.53125" style="514" customWidth="1"/>
    <col min="39" max="39" width="12.6640625" style="514" bestFit="1" customWidth="1"/>
    <col min="40" max="40" width="18.1328125" style="514" bestFit="1" customWidth="1"/>
    <col min="41" max="41" width="9.1328125" style="514"/>
    <col min="42" max="42" width="9" style="514" customWidth="1"/>
    <col min="43" max="43" width="13.6640625" style="514" customWidth="1"/>
    <col min="44" max="44" width="17.19921875" style="514" customWidth="1"/>
    <col min="45" max="16384" width="9.1328125" style="514"/>
  </cols>
  <sheetData>
    <row r="1" spans="1:257" ht="12.75" customHeight="1">
      <c r="B1" s="612"/>
    </row>
    <row r="2" spans="1:257" s="618" customFormat="1" ht="21" customHeight="1">
      <c r="A2" s="514"/>
      <c r="B2" s="3210" t="s">
        <v>0</v>
      </c>
      <c r="C2" s="514"/>
      <c r="D2" s="613" t="s">
        <v>1236</v>
      </c>
      <c r="E2" s="614"/>
      <c r="F2" s="615"/>
      <c r="G2" s="615"/>
      <c r="H2" s="615"/>
      <c r="I2" s="615"/>
      <c r="J2" s="615"/>
      <c r="K2" s="615"/>
      <c r="L2" s="615"/>
      <c r="M2" s="617"/>
      <c r="N2" s="615"/>
      <c r="O2" s="617"/>
      <c r="P2" s="617"/>
      <c r="Q2" s="615"/>
      <c r="R2" s="615"/>
      <c r="S2" s="615"/>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row>
    <row r="3" spans="1:257" ht="21" customHeight="1">
      <c r="B3" s="3210"/>
      <c r="D3" s="619"/>
      <c r="E3" s="619"/>
      <c r="F3" s="619"/>
      <c r="G3" s="5"/>
      <c r="H3" s="5"/>
      <c r="I3" s="5"/>
      <c r="J3" s="5"/>
      <c r="K3" s="5"/>
    </row>
    <row r="4" spans="1:257" ht="21" customHeight="1">
      <c r="B4" s="63"/>
      <c r="D4" s="787"/>
      <c r="E4" s="2759" t="s">
        <v>1241</v>
      </c>
      <c r="F4" s="1066"/>
      <c r="G4" s="1066"/>
      <c r="H4" s="1067"/>
      <c r="I4" s="1067"/>
      <c r="J4" s="1067"/>
      <c r="K4" s="620"/>
      <c r="L4" s="621"/>
    </row>
    <row r="5" spans="1:257" ht="21" customHeight="1">
      <c r="B5" s="62" t="s">
        <v>1</v>
      </c>
      <c r="D5" s="622"/>
      <c r="L5" s="1183"/>
      <c r="M5" s="1098"/>
      <c r="N5" s="1098"/>
      <c r="O5" s="1098"/>
      <c r="P5" s="1098"/>
      <c r="Q5" s="1098"/>
      <c r="R5" s="1098"/>
      <c r="S5" s="12"/>
      <c r="T5" s="12"/>
      <c r="U5" s="12"/>
      <c r="V5" s="12"/>
      <c r="W5" s="12"/>
      <c r="X5" s="12"/>
      <c r="Y5" s="12"/>
    </row>
    <row r="6" spans="1:257" ht="21" customHeight="1">
      <c r="B6" s="397" t="s">
        <v>452</v>
      </c>
      <c r="D6" s="622"/>
      <c r="L6" s="1183"/>
      <c r="M6" s="1098"/>
      <c r="N6" s="1098"/>
      <c r="O6" s="1098"/>
      <c r="P6" s="1098"/>
      <c r="Q6" s="1098"/>
      <c r="R6" s="1098"/>
      <c r="S6" s="12"/>
      <c r="T6" s="12"/>
      <c r="U6" s="12"/>
      <c r="V6" s="12"/>
      <c r="W6" s="12"/>
      <c r="X6" s="12"/>
      <c r="Y6" s="12"/>
    </row>
    <row r="7" spans="1:257" ht="21" customHeight="1">
      <c r="B7" s="62" t="s">
        <v>239</v>
      </c>
      <c r="D7" s="622"/>
      <c r="L7" s="1183"/>
      <c r="M7" s="1098"/>
      <c r="N7" s="1098"/>
      <c r="O7" s="1098"/>
      <c r="P7" s="1098"/>
      <c r="Q7" s="1098"/>
      <c r="R7" s="1098"/>
      <c r="S7" s="12"/>
      <c r="T7" s="12"/>
      <c r="U7" s="12"/>
      <c r="V7" s="12"/>
      <c r="W7" s="12"/>
      <c r="X7" s="12"/>
      <c r="Y7" s="12"/>
    </row>
    <row r="8" spans="1:257" ht="21" customHeight="1">
      <c r="B8" s="62" t="s">
        <v>1263</v>
      </c>
      <c r="D8" s="622"/>
      <c r="L8" s="1183"/>
      <c r="M8" s="1098"/>
      <c r="R8" s="1098"/>
      <c r="S8" s="12"/>
      <c r="T8" s="12"/>
      <c r="U8" s="12"/>
      <c r="V8" s="12"/>
      <c r="W8" s="12"/>
      <c r="X8" s="12"/>
      <c r="Y8" s="12"/>
    </row>
    <row r="9" spans="1:257" ht="21" customHeight="1">
      <c r="B9" s="977" t="s">
        <v>557</v>
      </c>
      <c r="D9" s="622"/>
      <c r="L9" s="1183"/>
      <c r="M9" s="1098"/>
      <c r="R9" s="1098"/>
      <c r="S9" s="12"/>
      <c r="T9" s="12"/>
      <c r="U9" s="12"/>
      <c r="V9" s="12"/>
      <c r="W9" s="12"/>
      <c r="X9" s="12"/>
      <c r="Y9" s="12"/>
    </row>
    <row r="10" spans="1:257" ht="21" customHeight="1">
      <c r="B10" s="145" t="s">
        <v>680</v>
      </c>
      <c r="D10" s="622"/>
      <c r="L10" s="1183"/>
      <c r="M10" s="1098"/>
      <c r="R10" s="1098"/>
      <c r="S10" s="12"/>
      <c r="T10" s="12"/>
      <c r="U10" s="12"/>
      <c r="V10" s="12"/>
      <c r="W10" s="12"/>
      <c r="X10" s="12"/>
      <c r="Y10" s="12"/>
    </row>
    <row r="11" spans="1:257" ht="21" customHeight="1">
      <c r="B11" s="145" t="s">
        <v>621</v>
      </c>
      <c r="D11" s="622"/>
      <c r="E11" s="1098"/>
      <c r="F11" s="1098"/>
      <c r="G11" s="1098"/>
      <c r="H11" s="1098"/>
      <c r="I11" s="1098"/>
      <c r="J11" s="1098"/>
      <c r="L11" s="1183"/>
      <c r="M11" s="1098"/>
      <c r="R11" s="1098"/>
      <c r="S11" s="12"/>
      <c r="T11" s="12"/>
      <c r="U11" s="12"/>
      <c r="V11" s="12"/>
      <c r="W11" s="12"/>
      <c r="X11" s="12"/>
      <c r="Y11" s="12"/>
    </row>
    <row r="12" spans="1:257" ht="21" customHeight="1">
      <c r="B12" s="145" t="s">
        <v>562</v>
      </c>
      <c r="D12" s="622"/>
      <c r="L12" s="1183"/>
      <c r="M12" s="1098"/>
      <c r="R12" s="1098"/>
      <c r="S12" s="12"/>
      <c r="T12" s="12"/>
      <c r="U12" s="12"/>
      <c r="V12" s="12"/>
      <c r="W12" s="12"/>
      <c r="X12" s="12"/>
      <c r="Y12" s="12"/>
    </row>
    <row r="13" spans="1:257" ht="21" customHeight="1">
      <c r="B13" s="145" t="s">
        <v>563</v>
      </c>
      <c r="D13" s="622"/>
      <c r="L13" s="1183"/>
      <c r="M13" s="1098"/>
      <c r="R13" s="1098"/>
      <c r="S13" s="12"/>
      <c r="T13" s="12"/>
      <c r="U13" s="12"/>
      <c r="V13" s="12"/>
      <c r="W13" s="12"/>
      <c r="X13" s="12"/>
      <c r="Y13" s="12"/>
    </row>
    <row r="14" spans="1:257" ht="21" customHeight="1">
      <c r="B14" s="145" t="s">
        <v>589</v>
      </c>
      <c r="D14" s="622"/>
      <c r="G14" s="2760" t="s">
        <v>1316</v>
      </c>
      <c r="H14" s="2761">
        <v>1450</v>
      </c>
      <c r="I14" s="1203" t="s">
        <v>1238</v>
      </c>
      <c r="L14" s="1183"/>
      <c r="M14" s="1098"/>
      <c r="R14" s="1098"/>
      <c r="S14" s="12"/>
      <c r="T14" s="12"/>
      <c r="U14" s="12"/>
      <c r="V14" s="12"/>
      <c r="W14" s="12"/>
      <c r="X14" s="12"/>
      <c r="Y14" s="12"/>
    </row>
    <row r="15" spans="1:257" ht="21" customHeight="1">
      <c r="B15" s="145" t="s">
        <v>1290</v>
      </c>
      <c r="D15" s="622"/>
      <c r="E15" s="1188"/>
      <c r="G15" s="2760" t="s">
        <v>1237</v>
      </c>
      <c r="H15" s="2761">
        <v>1000</v>
      </c>
      <c r="I15" s="1203" t="s">
        <v>570</v>
      </c>
      <c r="J15" s="1203"/>
      <c r="L15" s="1183"/>
      <c r="M15" s="1098"/>
      <c r="R15" s="1098"/>
      <c r="S15" s="12"/>
      <c r="T15" s="12"/>
      <c r="U15" s="12"/>
      <c r="V15" s="12"/>
      <c r="W15" s="12"/>
      <c r="X15" s="12"/>
      <c r="Y15" s="12"/>
    </row>
    <row r="16" spans="1:257" ht="21" customHeight="1">
      <c r="B16" s="145" t="s">
        <v>1293</v>
      </c>
      <c r="D16" s="622"/>
      <c r="E16" s="1098"/>
      <c r="G16" s="2760" t="s">
        <v>1242</v>
      </c>
      <c r="H16" s="2761">
        <v>0</v>
      </c>
      <c r="I16" s="1203" t="s">
        <v>570</v>
      </c>
      <c r="J16" s="1186"/>
      <c r="L16" s="1183"/>
      <c r="M16" s="1098"/>
      <c r="R16" s="1098"/>
      <c r="S16" s="12"/>
      <c r="T16" s="12"/>
      <c r="U16" s="12"/>
      <c r="V16" s="12"/>
      <c r="W16" s="12"/>
      <c r="X16" s="12"/>
      <c r="Y16" s="12"/>
    </row>
    <row r="17" spans="2:18" ht="21" customHeight="1">
      <c r="B17" s="145" t="s">
        <v>1153</v>
      </c>
      <c r="D17" s="622"/>
      <c r="E17" s="1188"/>
      <c r="F17" s="1188"/>
      <c r="G17" s="2760" t="s">
        <v>1313</v>
      </c>
      <c r="H17" s="2761">
        <v>100</v>
      </c>
      <c r="I17" s="1203" t="s">
        <v>1238</v>
      </c>
      <c r="J17" s="2762"/>
      <c r="L17" s="1183"/>
      <c r="M17" s="1098"/>
      <c r="R17" s="1098"/>
    </row>
    <row r="18" spans="2:18" ht="21" customHeight="1">
      <c r="B18" s="145" t="s">
        <v>1308</v>
      </c>
      <c r="D18" s="622"/>
      <c r="E18" s="1188"/>
      <c r="F18" s="1188"/>
      <c r="G18" s="2760" t="s">
        <v>1243</v>
      </c>
      <c r="H18" s="2761">
        <v>920</v>
      </c>
      <c r="I18" s="1203" t="s">
        <v>570</v>
      </c>
      <c r="J18" s="1203"/>
      <c r="L18" s="1183"/>
      <c r="M18" s="1098"/>
      <c r="R18" s="1098"/>
    </row>
    <row r="19" spans="2:18" ht="21" customHeight="1">
      <c r="B19" s="145" t="s">
        <v>1307</v>
      </c>
      <c r="D19" s="622"/>
      <c r="E19" s="1188"/>
      <c r="F19" s="1188"/>
      <c r="G19" s="2760" t="s">
        <v>1245</v>
      </c>
      <c r="H19" s="2765">
        <v>1.0249999999999999</v>
      </c>
      <c r="I19" s="1203" t="s">
        <v>1247</v>
      </c>
      <c r="J19" s="1203"/>
      <c r="L19" s="1183"/>
      <c r="M19" s="1098"/>
      <c r="R19" s="1098"/>
    </row>
    <row r="20" spans="2:18" ht="21" customHeight="1">
      <c r="B20" s="145" t="s">
        <v>667</v>
      </c>
      <c r="D20" s="622"/>
      <c r="E20" s="1188"/>
      <c r="F20" s="1188"/>
      <c r="G20" s="2760" t="s">
        <v>1246</v>
      </c>
      <c r="H20" s="2764">
        <f>H18*H19</f>
        <v>942.99999999999989</v>
      </c>
      <c r="I20" s="1203" t="s">
        <v>1168</v>
      </c>
      <c r="J20" s="1203"/>
      <c r="L20" s="1183"/>
      <c r="M20" s="1098"/>
      <c r="R20" s="1098"/>
    </row>
    <row r="21" spans="2:18" ht="21" customHeight="1">
      <c r="B21" s="147" t="s">
        <v>1291</v>
      </c>
      <c r="D21" s="622"/>
      <c r="E21" s="1188"/>
      <c r="F21" s="1188"/>
      <c r="G21" s="2760" t="s">
        <v>1244</v>
      </c>
      <c r="H21" s="2763">
        <f>(H18*100)/H15</f>
        <v>92</v>
      </c>
      <c r="I21" s="1203" t="s">
        <v>1239</v>
      </c>
      <c r="J21" s="1203"/>
      <c r="L21" s="1183"/>
      <c r="M21" s="1098"/>
      <c r="R21" s="1098"/>
    </row>
    <row r="22" spans="2:18" ht="21" customHeight="1">
      <c r="B22" s="145" t="s">
        <v>1322</v>
      </c>
      <c r="D22" s="622"/>
      <c r="E22" s="1188"/>
      <c r="F22" s="1188"/>
      <c r="G22" s="2760" t="s">
        <v>1314</v>
      </c>
      <c r="H22" s="2764">
        <f>H17*((H15-H16)/(H15-H18))</f>
        <v>1250</v>
      </c>
      <c r="I22" s="1203" t="s">
        <v>1238</v>
      </c>
      <c r="J22" s="2762"/>
      <c r="L22" s="1183"/>
      <c r="M22" s="1098"/>
      <c r="R22" s="1098"/>
    </row>
    <row r="23" spans="2:18" ht="21" customHeight="1">
      <c r="B23" s="145" t="s">
        <v>1292</v>
      </c>
      <c r="D23" s="624"/>
      <c r="E23" s="3415"/>
      <c r="F23" s="3415"/>
      <c r="G23" s="3415"/>
      <c r="H23" s="3415"/>
      <c r="I23" s="3415"/>
      <c r="J23" s="3415"/>
      <c r="K23" s="625"/>
      <c r="L23" s="630"/>
      <c r="M23" s="1098"/>
      <c r="N23" s="1098"/>
      <c r="O23" s="1098"/>
      <c r="P23" s="1098"/>
      <c r="Q23" s="1098"/>
      <c r="R23" s="1098"/>
    </row>
    <row r="24" spans="2:18" ht="21" customHeight="1">
      <c r="B24" s="62" t="s">
        <v>238</v>
      </c>
      <c r="E24" s="1229"/>
      <c r="F24" s="1229"/>
      <c r="G24" s="1229"/>
      <c r="H24" s="1229"/>
      <c r="I24" s="1229"/>
      <c r="J24" s="1229"/>
      <c r="M24" s="1098"/>
      <c r="N24" s="1098"/>
      <c r="O24" s="1098"/>
      <c r="P24" s="1098"/>
      <c r="Q24" s="1098"/>
      <c r="R24" s="1098"/>
    </row>
    <row r="25" spans="2:18" ht="21" customHeight="1">
      <c r="B25" s="62" t="s">
        <v>1652</v>
      </c>
      <c r="E25" s="1229"/>
      <c r="F25" s="1229"/>
      <c r="G25" s="1229"/>
      <c r="H25" s="1229"/>
      <c r="I25" s="1229"/>
      <c r="J25" s="1229"/>
      <c r="N25" s="1098"/>
      <c r="O25" s="1098"/>
      <c r="P25" s="1098"/>
      <c r="Q25" s="1098"/>
    </row>
    <row r="26" spans="2:18" ht="21" customHeight="1">
      <c r="B26" s="62" t="s">
        <v>1653</v>
      </c>
      <c r="M26" s="12"/>
      <c r="N26" s="12"/>
      <c r="O26" s="12"/>
      <c r="P26" s="12"/>
    </row>
    <row r="27" spans="2:18" ht="21" customHeight="1">
      <c r="B27" s="62" t="s">
        <v>40</v>
      </c>
      <c r="M27" s="12"/>
      <c r="N27" s="12"/>
      <c r="O27" s="12"/>
    </row>
    <row r="28" spans="2:18" ht="21" customHeight="1">
      <c r="B28" s="62" t="s">
        <v>238</v>
      </c>
      <c r="M28" s="12"/>
      <c r="N28" s="12"/>
      <c r="O28" s="12"/>
    </row>
    <row r="29" spans="2:18" ht="21" customHeight="1">
      <c r="B29" s="62" t="s">
        <v>39</v>
      </c>
      <c r="M29" s="12"/>
      <c r="N29" s="12"/>
      <c r="O29" s="12"/>
    </row>
    <row r="30" spans="2:18" ht="21" customHeight="1">
      <c r="B30" s="62" t="s">
        <v>38</v>
      </c>
      <c r="N30" s="12"/>
      <c r="O30" s="12"/>
    </row>
    <row r="31" spans="2:18" ht="21" customHeight="1">
      <c r="B31" s="62"/>
    </row>
    <row r="32" spans="2:18" ht="21" customHeight="1">
      <c r="B32" s="62"/>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34">
      <c r="B49" s="565"/>
    </row>
    <row r="50" spans="2:34">
      <c r="B50" s="565"/>
    </row>
    <row r="51" spans="2:34">
      <c r="B51" s="565"/>
    </row>
    <row r="52" spans="2:34">
      <c r="B52" s="565"/>
    </row>
    <row r="53" spans="2:34">
      <c r="B53" s="565"/>
    </row>
    <row r="54" spans="2:34">
      <c r="B54" s="565"/>
    </row>
    <row r="55" spans="2:34">
      <c r="B55" s="565"/>
    </row>
    <row r="56" spans="2:34">
      <c r="B56" s="565"/>
    </row>
    <row r="57" spans="2:34">
      <c r="B57" s="565"/>
    </row>
    <row r="58" spans="2:34">
      <c r="B58" s="565"/>
    </row>
    <row r="59" spans="2:34">
      <c r="B59" s="565"/>
    </row>
    <row r="60" spans="2:34">
      <c r="B60" s="565"/>
    </row>
    <row r="61" spans="2:34">
      <c r="B61" s="565"/>
    </row>
    <row r="62" spans="2:34">
      <c r="B62" s="565"/>
      <c r="R62" s="5"/>
      <c r="S62" s="5"/>
      <c r="T62" s="5"/>
      <c r="U62" s="5"/>
      <c r="V62" s="5"/>
      <c r="W62" s="5"/>
      <c r="X62" s="5"/>
      <c r="Y62" s="5"/>
      <c r="Z62" s="5"/>
      <c r="AA62" s="5"/>
      <c r="AB62" s="5"/>
      <c r="AC62" s="5"/>
      <c r="AD62" s="5"/>
      <c r="AE62" s="5"/>
      <c r="AF62" s="5"/>
      <c r="AG62" s="5"/>
      <c r="AH62" s="5"/>
    </row>
    <row r="63" spans="2:34">
      <c r="B63" s="565"/>
      <c r="Q63" s="5"/>
      <c r="R63" s="5"/>
      <c r="S63" s="5"/>
      <c r="T63" s="5"/>
      <c r="U63" s="5"/>
      <c r="V63" s="5"/>
      <c r="W63" s="5"/>
      <c r="X63" s="5"/>
      <c r="Y63" s="5"/>
      <c r="Z63" s="5"/>
      <c r="AA63" s="5"/>
      <c r="AB63" s="5"/>
      <c r="AC63" s="5"/>
      <c r="AD63" s="5"/>
      <c r="AE63" s="5"/>
      <c r="AF63" s="5"/>
      <c r="AG63" s="5"/>
      <c r="AH63" s="5"/>
    </row>
    <row r="64" spans="2:34">
      <c r="B64" s="565"/>
      <c r="Q64" s="5"/>
    </row>
    <row r="65" spans="2:2">
      <c r="B65" s="565"/>
    </row>
    <row r="66" spans="2:2">
      <c r="B66" s="565"/>
    </row>
    <row r="67" spans="2:2">
      <c r="B67" s="565"/>
    </row>
    <row r="68" spans="2:2">
      <c r="B68" s="565"/>
    </row>
    <row r="69" spans="2:2">
      <c r="B69" s="565"/>
    </row>
    <row r="70" spans="2:2">
      <c r="B70" s="565"/>
    </row>
    <row r="71" spans="2:2">
      <c r="B71" s="565"/>
    </row>
    <row r="100" spans="24:48">
      <c r="X100" s="566" t="s">
        <v>550</v>
      </c>
      <c r="Y100" s="12"/>
      <c r="Z100" s="12"/>
      <c r="AA100" s="12"/>
      <c r="AB100" s="12"/>
      <c r="AC100" s="12"/>
      <c r="AD100" s="12"/>
      <c r="AE100" s="12"/>
      <c r="AF100" s="12"/>
    </row>
    <row r="101" spans="24:48" ht="13.15">
      <c r="X101" s="1178" t="s">
        <v>632</v>
      </c>
      <c r="Y101" s="1212"/>
      <c r="Z101" s="1212"/>
      <c r="AA101" s="1213"/>
      <c r="AB101" s="1222"/>
      <c r="AC101" s="1222"/>
      <c r="AD101" s="1222"/>
      <c r="AE101" s="1222"/>
      <c r="AF101" s="1222"/>
      <c r="AG101" s="1222"/>
      <c r="AH101" s="1222"/>
      <c r="AI101" s="1222"/>
      <c r="AJ101" s="1223"/>
      <c r="AK101" s="1222"/>
      <c r="AL101" s="1222"/>
      <c r="AM101" s="1222"/>
      <c r="AN101" s="1222"/>
      <c r="AO101" s="1222"/>
      <c r="AP101" s="1222"/>
      <c r="AQ101" s="1222"/>
      <c r="AR101" s="1222"/>
      <c r="AS101" s="1224"/>
      <c r="AT101" s="1224"/>
      <c r="AU101" s="1224"/>
      <c r="AV101" s="1224"/>
    </row>
    <row r="102" spans="24:48" ht="13.9">
      <c r="X102" s="1219"/>
      <c r="Y102" s="1214"/>
      <c r="Z102" s="1215" t="s">
        <v>630</v>
      </c>
      <c r="AA102" s="1216" t="s">
        <v>631</v>
      </c>
      <c r="AB102" s="12"/>
      <c r="AC102" s="12"/>
      <c r="AD102" s="12"/>
      <c r="AE102" s="12"/>
      <c r="AF102" s="12"/>
      <c r="AG102" s="12"/>
      <c r="AH102" s="12"/>
      <c r="AI102" s="12"/>
      <c r="AJ102" s="12"/>
      <c r="AK102" s="3326"/>
      <c r="AL102" s="3326"/>
      <c r="AM102" s="12"/>
      <c r="AN102" s="12"/>
      <c r="AO102" s="12"/>
      <c r="AP102" s="12"/>
      <c r="AQ102" s="12"/>
      <c r="AR102" s="12"/>
    </row>
    <row r="103" spans="24:48">
      <c r="X103" s="1168">
        <v>1</v>
      </c>
      <c r="Y103" s="1169">
        <v>1</v>
      </c>
      <c r="Z103" s="1217" t="e">
        <f>IF(#REF!=1,#REF!,#REF!)</f>
        <v>#REF!</v>
      </c>
      <c r="AA103" s="1226">
        <f t="shared" ref="AA103:AA107" si="0">K9</f>
        <v>0</v>
      </c>
      <c r="AB103" s="12"/>
      <c r="AC103" s="12"/>
      <c r="AD103" s="12"/>
      <c r="AE103" s="12"/>
      <c r="AF103" s="12"/>
      <c r="AG103" s="12"/>
      <c r="AH103" s="12"/>
      <c r="AI103" s="12"/>
      <c r="AJ103" s="12"/>
      <c r="AK103" s="675"/>
      <c r="AL103" s="1220"/>
      <c r="AM103" s="12"/>
      <c r="AN103" s="12"/>
      <c r="AO103" s="12"/>
      <c r="AP103" s="12"/>
      <c r="AQ103" s="12"/>
      <c r="AR103" s="12"/>
    </row>
    <row r="104" spans="24:48">
      <c r="X104" s="1170" t="s">
        <v>638</v>
      </c>
      <c r="Y104" s="1166">
        <v>2</v>
      </c>
      <c r="Z104" s="1225" t="e">
        <f>IF(#REF!=1,#REF!,#REF!)</f>
        <v>#REF!</v>
      </c>
      <c r="AA104" s="1227">
        <f t="shared" si="0"/>
        <v>0</v>
      </c>
      <c r="AB104" s="12"/>
      <c r="AC104" s="12"/>
      <c r="AD104" s="12"/>
      <c r="AE104" s="12"/>
      <c r="AF104" s="12"/>
      <c r="AG104" s="12"/>
      <c r="AH104" s="12"/>
      <c r="AI104" s="12"/>
      <c r="AJ104" s="12"/>
      <c r="AK104" s="278"/>
      <c r="AL104" s="1221"/>
      <c r="AM104" s="12"/>
      <c r="AN104" s="12"/>
      <c r="AO104" s="12"/>
      <c r="AP104" s="12"/>
      <c r="AQ104" s="12"/>
      <c r="AR104" s="12"/>
    </row>
    <row r="105" spans="24:48">
      <c r="X105" s="1171" t="s">
        <v>641</v>
      </c>
      <c r="Y105" s="1166">
        <v>3</v>
      </c>
      <c r="Z105" s="1225" t="e">
        <f>IF(#REF!=1,#REF!,#REF!)</f>
        <v>#REF!</v>
      </c>
      <c r="AA105" s="1227">
        <f t="shared" si="0"/>
        <v>0</v>
      </c>
      <c r="AB105" s="12"/>
      <c r="AC105" s="12"/>
      <c r="AD105" s="12"/>
      <c r="AE105" s="12"/>
      <c r="AF105" s="12"/>
      <c r="AG105" s="12"/>
      <c r="AH105" s="12"/>
      <c r="AI105" s="12"/>
      <c r="AJ105" s="12"/>
      <c r="AK105" s="278"/>
      <c r="AL105" s="1221"/>
      <c r="AM105" s="12"/>
      <c r="AN105" s="12"/>
      <c r="AO105" s="12"/>
      <c r="AP105" s="12"/>
      <c r="AQ105" s="12"/>
      <c r="AR105" s="12"/>
    </row>
    <row r="106" spans="24:48">
      <c r="X106" s="1172">
        <v>8</v>
      </c>
      <c r="Y106" s="1166">
        <v>4</v>
      </c>
      <c r="Z106" s="1225" t="e">
        <f>IF(#REF!=1,#REF!,#REF!)</f>
        <v>#REF!</v>
      </c>
      <c r="AA106" s="1227">
        <f t="shared" si="0"/>
        <v>0</v>
      </c>
      <c r="AB106" s="12"/>
      <c r="AC106" s="12"/>
      <c r="AD106" s="12"/>
      <c r="AE106" s="12"/>
      <c r="AF106" s="12"/>
      <c r="AG106" s="12"/>
      <c r="AH106" s="12"/>
      <c r="AI106" s="12"/>
      <c r="AJ106" s="12"/>
      <c r="AK106" s="278"/>
      <c r="AL106" s="1221"/>
      <c r="AM106" s="12"/>
      <c r="AN106" s="12"/>
      <c r="AO106" s="12"/>
      <c r="AP106" s="12"/>
      <c r="AQ106" s="12"/>
      <c r="AR106" s="12"/>
    </row>
    <row r="107" spans="24:48">
      <c r="X107" s="1166">
        <f>VLOOKUP(X106,Y103:AA115,3)</f>
        <v>0</v>
      </c>
      <c r="Y107" s="1166">
        <v>5</v>
      </c>
      <c r="Z107" s="1225" t="e">
        <f>IF(#REF!=1,#REF!,#REF!)</f>
        <v>#REF!</v>
      </c>
      <c r="AA107" s="1227">
        <f t="shared" si="0"/>
        <v>0</v>
      </c>
      <c r="AB107" s="12"/>
      <c r="AC107" s="12"/>
      <c r="AD107" s="12"/>
      <c r="AE107" s="12"/>
      <c r="AF107" s="12"/>
      <c r="AG107" s="12"/>
      <c r="AH107" s="12"/>
      <c r="AI107" s="12"/>
      <c r="AJ107" s="12"/>
      <c r="AK107" s="278"/>
      <c r="AL107" s="1221"/>
      <c r="AM107" s="12"/>
      <c r="AN107" s="12"/>
      <c r="AO107" s="12"/>
      <c r="AP107" s="12"/>
      <c r="AQ107" s="12"/>
      <c r="AR107" s="12"/>
    </row>
    <row r="108" spans="24:48">
      <c r="X108" s="1166"/>
      <c r="Y108" s="1166">
        <v>6</v>
      </c>
      <c r="Z108" s="1225" t="e">
        <f>IF(#REF!=1,#REF!,#REF!)</f>
        <v>#REF!</v>
      </c>
      <c r="AA108" s="1227" t="e">
        <f>#REF!</f>
        <v>#REF!</v>
      </c>
      <c r="AB108" s="12"/>
      <c r="AC108" s="12"/>
      <c r="AD108" s="12"/>
      <c r="AE108" s="12"/>
      <c r="AF108" s="12"/>
      <c r="AG108" s="12"/>
      <c r="AH108" s="12"/>
      <c r="AI108" s="12"/>
      <c r="AJ108" s="12"/>
      <c r="AK108" s="278"/>
      <c r="AL108" s="1220"/>
      <c r="AM108" s="12"/>
      <c r="AN108" s="12"/>
      <c r="AO108" s="12"/>
      <c r="AP108" s="12"/>
      <c r="AQ108" s="12"/>
      <c r="AR108" s="12"/>
    </row>
    <row r="109" spans="24:48">
      <c r="X109" s="1173">
        <v>7</v>
      </c>
      <c r="Y109" s="1203">
        <v>7</v>
      </c>
      <c r="Z109" s="1225" t="e">
        <f>IF(#REF!=1,#REF!,#REF!)</f>
        <v>#REF!</v>
      </c>
      <c r="AA109" s="1227" t="e">
        <f>#REF!</f>
        <v>#REF!</v>
      </c>
      <c r="AB109" s="12"/>
      <c r="AC109" s="12"/>
      <c r="AD109" s="12"/>
      <c r="AE109" s="12"/>
      <c r="AF109" s="12"/>
      <c r="AG109" s="12"/>
      <c r="AH109" s="12"/>
      <c r="AI109" s="12"/>
      <c r="AJ109" s="12"/>
      <c r="AK109" s="278"/>
      <c r="AL109" s="1220"/>
      <c r="AM109" s="12"/>
      <c r="AN109" s="12"/>
      <c r="AO109" s="12"/>
      <c r="AP109" s="12"/>
      <c r="AQ109" s="12"/>
      <c r="AR109" s="12"/>
    </row>
    <row r="110" spans="24:48">
      <c r="X110" s="1174" t="e">
        <f>VLOOKUP(X109,Y103:AA115,3)</f>
        <v>#REF!</v>
      </c>
      <c r="Y110" s="1203">
        <v>8</v>
      </c>
      <c r="Z110" s="1225" t="e">
        <f>IF(#REF!=1,#REF!,#REF!)</f>
        <v>#REF!</v>
      </c>
      <c r="AA110" s="1227">
        <f>K15</f>
        <v>0</v>
      </c>
      <c r="AB110" s="12"/>
      <c r="AC110" s="12"/>
      <c r="AD110" s="12"/>
      <c r="AE110" s="12"/>
      <c r="AF110" s="12"/>
    </row>
    <row r="111" spans="24:48">
      <c r="X111" s="1174"/>
      <c r="Y111" s="1203">
        <v>9</v>
      </c>
      <c r="Z111" s="1225" t="e">
        <f>IF(#REF!=1,#REF!,#REF!)</f>
        <v>#REF!</v>
      </c>
      <c r="AA111" s="1227">
        <f>K16</f>
        <v>0</v>
      </c>
    </row>
    <row r="112" spans="24:48">
      <c r="X112" s="1174"/>
      <c r="Y112" s="1203">
        <v>10</v>
      </c>
      <c r="Z112" s="1225" t="e">
        <f>IF(#REF!=1,#REF!,#REF!)</f>
        <v>#REF!</v>
      </c>
      <c r="AA112" s="1227">
        <f>K17</f>
        <v>0</v>
      </c>
    </row>
    <row r="113" spans="24:27">
      <c r="X113" s="1174"/>
      <c r="Y113" s="1203">
        <v>11</v>
      </c>
      <c r="Z113" s="1225" t="e">
        <f>IF(#REF!=1,#REF!,#REF!)</f>
        <v>#REF!</v>
      </c>
      <c r="AA113" s="1227">
        <f>K18</f>
        <v>0</v>
      </c>
    </row>
    <row r="114" spans="24:27">
      <c r="X114" s="1175"/>
      <c r="Y114" s="1203">
        <v>12</v>
      </c>
      <c r="Z114" s="1225" t="e">
        <f>IF(#REF!=1,#REF!,#REF!)</f>
        <v>#REF!</v>
      </c>
      <c r="AA114" s="1227">
        <f>K21</f>
        <v>0</v>
      </c>
    </row>
    <row r="115" spans="24:27">
      <c r="X115" s="1176"/>
      <c r="Y115" s="1177">
        <v>13</v>
      </c>
      <c r="Z115" s="1218" t="e">
        <f>IF(#REF!=1,#REF!,#REF!)</f>
        <v>#REF!</v>
      </c>
      <c r="AA115" s="1228">
        <f>K22</f>
        <v>0</v>
      </c>
    </row>
  </sheetData>
  <mergeCells count="3">
    <mergeCell ref="B2:B3"/>
    <mergeCell ref="E23:J23"/>
    <mergeCell ref="AK102:AL102"/>
  </mergeCells>
  <hyperlinks>
    <hyperlink ref="B2:B3" location="Home!A1" display="HOME" xr:uid="{E515F27E-107D-48B5-9596-EABEF78EB424}"/>
    <hyperlink ref="X100" location="'Pipes - Max.Rate'!A1" display="Go to Up" xr:uid="{56366B1C-7133-40BA-9871-73B2E282D851}"/>
    <hyperlink ref="E4" location="'IG Pressure Change'!A129" display="Note" xr:uid="{79861E9F-4601-467C-A6E9-A300D6FDE1B9}"/>
    <hyperlink ref="B5" location="'Documents Manager'!A1" display="DOCUMENTS MANAGER" xr:uid="{C8C6202C-923C-4C8F-83A6-B9BCCAEA1F57}"/>
    <hyperlink ref="B30" location="Disclaimer!A1" display="Disclaimer" xr:uid="{D082C171-D65C-4817-98DC-FBB69A824A86}"/>
    <hyperlink ref="B29" location="Help!A1" display="Help" xr:uid="{CB662FAA-E9DB-423F-A0DC-F60CF665D332}"/>
    <hyperlink ref="B27" location="'Source - Links'!A1" display="SOURCE / LINKS" xr:uid="{47571D7C-4219-4AF6-80AC-7163526D4AD1}"/>
    <hyperlink ref="B6" location="'ASTM Table Series'!A1" display="ASTM TABLES" xr:uid="{C686BA8D-53D5-4ED6-A975-CA7A021D97E6}"/>
    <hyperlink ref="B7" location="'ASTM Converter (Tab.1)'!A1" display="ASTM - CONVERTERS" xr:uid="{90B888D1-AFB2-45B5-830E-320A76972EA4}"/>
    <hyperlink ref="B8" location="'ASTM Calculator V.W.'!A1" display="ASTM - CALCULATORS" xr:uid="{C81D8A2F-FB60-4C27-AEE7-02E59354DEC3}"/>
    <hyperlink ref="B9" location="'Initial&amp;Max. Loading Rate'!A1" display="CARGO - CALCULATORS" xr:uid="{03DB1FE8-5F32-4F97-97D5-47558012CAD1}"/>
    <hyperlink ref="B12" location="'ETC Cargo operation'!A1" display="• ETC Cargo operation" xr:uid="{C16322D2-BFEB-4FEB-A0D8-8C01628C1828}"/>
    <hyperlink ref="B14" location="'Volume Interpolation'!A1" display="• Volume Interpolation" xr:uid="{8D598331-3D74-44EA-9114-4424B1C631F3}"/>
    <hyperlink ref="B11" location="'One Tank Filling Rate'!A1" display="• One Tank Filling Rate" xr:uid="{723489C8-4E20-4FB5-A65E-0B5D3A3799E6}"/>
    <hyperlink ref="B10" location="'Initial&amp;Max. Loading Rate'!A1" display="• Initial &amp; Max. Loading Rate" xr:uid="{41F35B2D-FB69-4EC8-BF5E-2F4E0A7B44AA}"/>
    <hyperlink ref="B13" location="'Average Gravity-Temp'!A1" display="• Calculator - Average Gravity/Temp" xr:uid="{53FEC8D3-5985-462F-96F5-27418FEDFB19}"/>
    <hyperlink ref="B15" location="'Cargo Lines Volume'!A1" display="• Volume of Cargo Lines Calculator" xr:uid="{F898D4C0-D3CA-4F74-949F-38455F6F2164}"/>
    <hyperlink ref="B20" location="'Pipelines Capacities'!A1" display="• Pipelines Capacities" xr:uid="{09C352FA-7810-4A75-9894-8B91E004F297}"/>
    <hyperlink ref="B17" location="'Blended API'!A1" display="• Blended API" xr:uid="{F01AF766-4F0B-41C9-AA8B-A7F5E5049F62}"/>
    <hyperlink ref="B18:B19" location="'Blended Cargo Prediction'!A1" display="• Blended Cargo Prediction" xr:uid="{EBFBAA5B-AAD5-435B-A701-5E85DE3D58EB}"/>
    <hyperlink ref="B18" location="'Commingle-LOADING'!A1" display="• Commingle-LOADING" xr:uid="{810A3AA3-6F52-4CC4-9CC1-2E68AA17350F}"/>
    <hyperlink ref="B19" location="'Commingle-LOADING-DISCHARGING'!A1" display="• Commingle-LOADING-DISCHARGING" xr:uid="{4AE0DBA2-264A-4859-9DB3-DB446C99706C}"/>
    <hyperlink ref="B21" location="'IG Pressure Change'!A1" display="• Pipelines Capacities Calculator" xr:uid="{8288EA52-0CA1-4E76-80B1-5F0C27BA451C}"/>
    <hyperlink ref="B16" location="'Wedge Volume Calculator'!A1" display="• Volume Calculator - Wedge formula" xr:uid="{88C43756-2F57-49F2-BAE3-EB2F19B233BD}"/>
    <hyperlink ref="B23" location="'Converter Pressure '!A1" display="• Units Converter Pressure" xr:uid="{E3E69EA0-98BB-4769-86FD-961639311F01}"/>
    <hyperlink ref="B22" location="'IG Pressure Change (2)'!A1" display="• IG Pressure Change-2" xr:uid="{1873C7F2-2DFF-4A5B-9761-0FC406888D85}"/>
    <hyperlink ref="B25" location="'Guidelines - Definitions'!A1" display="GUIDELINES" xr:uid="{205D8D67-407C-4E1F-B848-23D11D82667E}"/>
    <hyperlink ref="B26" location="'Guidelines - Bottom Lines'!A1" display="GUIDELINES - CARGO" xr:uid="{8BBC82BC-5124-4F30-9B21-09702A9223C1}"/>
  </hyperlinks>
  <pageMargins left="0.75" right="0.75" top="1" bottom="1" header="0.5" footer="0.5"/>
  <pageSetup paperSize="9" orientation="portrait" horizontalDpi="1200" verticalDpi="1200"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6522-5F04-4E56-BCC1-31092882E417}">
  <sheetPr>
    <tabColor rgb="FFFFC000"/>
  </sheetPr>
  <dimension ref="A1:IW115"/>
  <sheetViews>
    <sheetView showGridLines="0" showRowColHeaders="0" topLeftCell="B1" zoomScaleNormal="100" workbookViewId="0">
      <selection activeCell="H16" sqref="H16"/>
    </sheetView>
  </sheetViews>
  <sheetFormatPr defaultColWidth="9.1328125" defaultRowHeight="12.75"/>
  <cols>
    <col min="1" max="1" width="0" style="514" hidden="1" customWidth="1"/>
    <col min="2" max="2" width="36.6640625" style="631" customWidth="1"/>
    <col min="3" max="3" width="2.6640625" style="514" customWidth="1"/>
    <col min="4" max="4" width="3.6640625" style="514" customWidth="1"/>
    <col min="5" max="5" width="13.1328125" style="514" customWidth="1"/>
    <col min="6" max="7" width="14.33203125" style="514" customWidth="1"/>
    <col min="8" max="8" width="15.86328125" style="514" customWidth="1"/>
    <col min="9" max="10" width="14.796875" style="514" customWidth="1"/>
    <col min="11" max="11" width="12.86328125" style="514" customWidth="1"/>
    <col min="12" max="12" width="3.6640625" style="514" customWidth="1"/>
    <col min="13" max="15" width="9.1328125" style="514" customWidth="1"/>
    <col min="16" max="16" width="13.46484375" style="514" bestFit="1" customWidth="1"/>
    <col min="17" max="23" width="9.1328125" style="514" customWidth="1"/>
    <col min="24" max="24" width="13.46484375" style="514" bestFit="1" customWidth="1"/>
    <col min="25" max="25" width="6" style="514" customWidth="1"/>
    <col min="26" max="26" width="8.19921875" style="514" bestFit="1" customWidth="1"/>
    <col min="27" max="27" width="7.46484375" style="514" bestFit="1" customWidth="1"/>
    <col min="28" max="28" width="10.6640625" style="514" customWidth="1"/>
    <col min="29" max="29" width="12" style="514" bestFit="1" customWidth="1"/>
    <col min="30" max="30" width="14.46484375" style="514" bestFit="1" customWidth="1"/>
    <col min="31" max="31" width="16" style="514" bestFit="1" customWidth="1"/>
    <col min="32" max="33" width="15.6640625" style="514" bestFit="1" customWidth="1"/>
    <col min="34" max="34" width="12.53125" style="514" bestFit="1" customWidth="1"/>
    <col min="35" max="35" width="14.33203125" style="514" customWidth="1"/>
    <col min="36" max="36" width="11.53125" style="514" customWidth="1"/>
    <col min="37" max="37" width="16.796875" style="514" customWidth="1"/>
    <col min="38" max="38" width="17.53125" style="514" customWidth="1"/>
    <col min="39" max="39" width="12.6640625" style="514" bestFit="1" customWidth="1"/>
    <col min="40" max="40" width="18.1328125" style="514" bestFit="1" customWidth="1"/>
    <col min="41" max="41" width="9.1328125" style="514"/>
    <col min="42" max="42" width="9" style="514" customWidth="1"/>
    <col min="43" max="43" width="13.6640625" style="514" customWidth="1"/>
    <col min="44" max="44" width="17.19921875" style="514" customWidth="1"/>
    <col min="45" max="16384" width="9.1328125" style="514"/>
  </cols>
  <sheetData>
    <row r="1" spans="1:257" ht="12.75" customHeight="1">
      <c r="B1" s="612"/>
    </row>
    <row r="2" spans="1:257" s="618" customFormat="1" ht="21" customHeight="1">
      <c r="A2" s="514"/>
      <c r="B2" s="3210" t="s">
        <v>0</v>
      </c>
      <c r="C2" s="514"/>
      <c r="D2" s="613" t="s">
        <v>1321</v>
      </c>
      <c r="E2" s="614"/>
      <c r="F2" s="615"/>
      <c r="G2" s="615"/>
      <c r="H2" s="615"/>
      <c r="I2" s="615"/>
      <c r="J2" s="615"/>
      <c r="K2" s="615"/>
      <c r="L2" s="615"/>
      <c r="M2" s="617"/>
      <c r="N2" s="615"/>
      <c r="O2" s="617"/>
      <c r="P2" s="617"/>
      <c r="Q2" s="615"/>
      <c r="R2" s="615"/>
      <c r="S2" s="615"/>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row>
    <row r="3" spans="1:257" ht="21" customHeight="1">
      <c r="B3" s="3210"/>
      <c r="D3" s="619"/>
      <c r="E3" s="619"/>
      <c r="F3" s="619"/>
      <c r="G3" s="5"/>
      <c r="H3" s="5"/>
      <c r="I3" s="5"/>
      <c r="J3" s="5"/>
      <c r="K3" s="5"/>
    </row>
    <row r="4" spans="1:257" ht="21" customHeight="1">
      <c r="B4" s="63"/>
      <c r="D4" s="787"/>
      <c r="E4" s="2759" t="s">
        <v>1241</v>
      </c>
      <c r="F4" s="1066"/>
      <c r="G4" s="1066"/>
      <c r="H4" s="1067"/>
      <c r="I4" s="1067"/>
      <c r="J4" s="1067"/>
      <c r="K4" s="620"/>
      <c r="L4" s="621"/>
    </row>
    <row r="5" spans="1:257" ht="21" customHeight="1">
      <c r="B5" s="62" t="s">
        <v>1</v>
      </c>
      <c r="D5" s="622"/>
      <c r="L5" s="1183"/>
      <c r="M5" s="1098"/>
      <c r="N5" s="1098"/>
      <c r="O5" s="1098"/>
      <c r="P5" s="1098"/>
      <c r="Q5" s="1098"/>
      <c r="R5" s="1098"/>
      <c r="S5" s="12"/>
      <c r="T5" s="12"/>
      <c r="U5" s="12"/>
      <c r="V5" s="12"/>
      <c r="W5" s="12"/>
      <c r="X5" s="12"/>
      <c r="Y5" s="12"/>
    </row>
    <row r="6" spans="1:257" ht="21" customHeight="1">
      <c r="B6" s="397" t="s">
        <v>452</v>
      </c>
      <c r="D6" s="622"/>
      <c r="L6" s="1183"/>
      <c r="M6" s="1098"/>
      <c r="N6" s="1098"/>
      <c r="O6" s="1098"/>
      <c r="P6" s="1098"/>
      <c r="Q6" s="1098"/>
      <c r="R6" s="1098"/>
      <c r="S6" s="12"/>
      <c r="T6" s="12"/>
      <c r="U6" s="12"/>
      <c r="V6" s="12"/>
      <c r="W6" s="12"/>
      <c r="X6" s="12"/>
      <c r="Y6" s="12"/>
    </row>
    <row r="7" spans="1:257" ht="21" customHeight="1">
      <c r="B7" s="62" t="s">
        <v>239</v>
      </c>
      <c r="D7" s="622"/>
      <c r="L7" s="1183"/>
      <c r="M7" s="1098"/>
      <c r="N7" s="1098"/>
      <c r="O7" s="1098"/>
      <c r="P7" s="1098"/>
      <c r="Q7" s="1098"/>
      <c r="R7" s="1098"/>
      <c r="S7" s="12"/>
      <c r="T7" s="12"/>
      <c r="U7" s="12"/>
      <c r="V7" s="12"/>
      <c r="W7" s="12"/>
      <c r="X7" s="12"/>
      <c r="Y7" s="12"/>
    </row>
    <row r="8" spans="1:257" ht="21" customHeight="1">
      <c r="B8" s="62" t="s">
        <v>1263</v>
      </c>
      <c r="D8" s="622"/>
      <c r="L8" s="1183"/>
      <c r="M8" s="1098"/>
      <c r="R8" s="1098"/>
      <c r="S8" s="12"/>
      <c r="T8" s="12"/>
      <c r="U8" s="12"/>
      <c r="V8" s="12"/>
      <c r="W8" s="12"/>
      <c r="X8" s="12"/>
      <c r="Y8" s="12"/>
    </row>
    <row r="9" spans="1:257" ht="21" customHeight="1">
      <c r="B9" s="977" t="s">
        <v>557</v>
      </c>
      <c r="D9" s="622"/>
      <c r="L9" s="1183"/>
      <c r="M9" s="1098"/>
      <c r="R9" s="1098"/>
      <c r="S9" s="12"/>
      <c r="T9" s="12"/>
      <c r="U9" s="12"/>
      <c r="V9" s="12"/>
      <c r="W9" s="12"/>
      <c r="X9" s="12"/>
      <c r="Y9" s="12"/>
    </row>
    <row r="10" spans="1:257" ht="21" customHeight="1">
      <c r="B10" s="145" t="s">
        <v>680</v>
      </c>
      <c r="D10" s="622"/>
      <c r="L10" s="1183"/>
      <c r="M10" s="1098"/>
      <c r="R10" s="1098"/>
      <c r="S10" s="12"/>
      <c r="T10" s="12"/>
      <c r="U10" s="12"/>
      <c r="V10" s="12"/>
      <c r="W10" s="12"/>
      <c r="X10" s="12"/>
      <c r="Y10" s="12"/>
    </row>
    <row r="11" spans="1:257" ht="21" customHeight="1">
      <c r="B11" s="145" t="s">
        <v>621</v>
      </c>
      <c r="D11" s="622"/>
      <c r="E11" s="1098"/>
      <c r="F11" s="1098"/>
      <c r="G11" s="1098"/>
      <c r="H11" s="1098"/>
      <c r="I11" s="1098"/>
      <c r="J11" s="1098"/>
      <c r="L11" s="1183"/>
      <c r="M11" s="1098"/>
      <c r="R11" s="1098"/>
      <c r="S11" s="12"/>
      <c r="T11" s="12"/>
      <c r="U11" s="12"/>
      <c r="V11" s="12"/>
      <c r="W11" s="12"/>
      <c r="X11" s="12"/>
      <c r="Y11" s="12"/>
    </row>
    <row r="12" spans="1:257" ht="21" customHeight="1">
      <c r="B12" s="145" t="s">
        <v>562</v>
      </c>
      <c r="D12" s="622"/>
      <c r="L12" s="1183"/>
      <c r="M12" s="1098"/>
      <c r="R12" s="1098"/>
      <c r="S12" s="12"/>
      <c r="T12" s="12"/>
      <c r="U12" s="12"/>
      <c r="V12" s="12"/>
      <c r="W12" s="12"/>
      <c r="X12" s="12"/>
      <c r="Y12" s="12"/>
    </row>
    <row r="13" spans="1:257" ht="21" customHeight="1">
      <c r="B13" s="145" t="s">
        <v>563</v>
      </c>
      <c r="D13" s="622"/>
      <c r="L13" s="1183"/>
      <c r="M13" s="1098"/>
      <c r="R13" s="1098"/>
      <c r="S13" s="12"/>
      <c r="T13" s="12"/>
      <c r="U13" s="12"/>
      <c r="V13" s="12"/>
      <c r="W13" s="12"/>
      <c r="X13" s="12"/>
      <c r="Y13" s="12"/>
    </row>
    <row r="14" spans="1:257" ht="21" customHeight="1">
      <c r="B14" s="145" t="s">
        <v>589</v>
      </c>
      <c r="D14" s="622"/>
      <c r="G14" s="2760" t="s">
        <v>1317</v>
      </c>
      <c r="H14" s="2761">
        <v>100</v>
      </c>
      <c r="I14" s="1203" t="s">
        <v>1238</v>
      </c>
      <c r="L14" s="1183"/>
      <c r="M14" s="1098"/>
      <c r="R14" s="1098"/>
      <c r="S14" s="12"/>
      <c r="T14" s="12"/>
      <c r="U14" s="12"/>
      <c r="V14" s="12"/>
      <c r="W14" s="12"/>
      <c r="X14" s="12"/>
      <c r="Y14" s="12"/>
    </row>
    <row r="15" spans="1:257" ht="21" customHeight="1">
      <c r="B15" s="145" t="s">
        <v>1290</v>
      </c>
      <c r="D15" s="622"/>
      <c r="E15" s="1188"/>
      <c r="G15" s="2760" t="s">
        <v>1237</v>
      </c>
      <c r="H15" s="2761">
        <v>1000</v>
      </c>
      <c r="I15" s="1203" t="s">
        <v>570</v>
      </c>
      <c r="J15" s="1203"/>
      <c r="L15" s="1183"/>
      <c r="M15" s="1098"/>
      <c r="R15" s="1098"/>
      <c r="S15" s="12"/>
      <c r="T15" s="12"/>
      <c r="U15" s="12"/>
      <c r="V15" s="12"/>
      <c r="W15" s="12"/>
      <c r="X15" s="12"/>
      <c r="Y15" s="12"/>
    </row>
    <row r="16" spans="1:257" ht="21" customHeight="1">
      <c r="B16" s="145" t="s">
        <v>1293</v>
      </c>
      <c r="D16" s="622"/>
      <c r="E16" s="1098"/>
      <c r="G16" s="2760" t="s">
        <v>1311</v>
      </c>
      <c r="H16" s="2761">
        <v>700</v>
      </c>
      <c r="I16" s="1203" t="s">
        <v>570</v>
      </c>
      <c r="J16" s="1186"/>
      <c r="L16" s="1183"/>
      <c r="M16" s="1098"/>
      <c r="R16" s="1098"/>
      <c r="S16" s="12"/>
      <c r="T16" s="12"/>
      <c r="U16" s="12"/>
      <c r="V16" s="12"/>
      <c r="W16" s="12"/>
      <c r="X16" s="12"/>
      <c r="Y16" s="12"/>
    </row>
    <row r="17" spans="2:18" ht="21" customHeight="1">
      <c r="B17" s="145" t="s">
        <v>1153</v>
      </c>
      <c r="D17" s="622"/>
      <c r="E17" s="1188"/>
      <c r="F17" s="1188"/>
      <c r="G17" s="2760" t="s">
        <v>1312</v>
      </c>
      <c r="H17" s="2761">
        <v>300</v>
      </c>
      <c r="I17" s="1203" t="s">
        <v>1238</v>
      </c>
      <c r="J17" s="2762"/>
      <c r="L17" s="1183"/>
      <c r="M17" s="1098"/>
      <c r="R17" s="1098"/>
    </row>
    <row r="18" spans="2:18" ht="21" customHeight="1">
      <c r="B18" s="145" t="s">
        <v>1308</v>
      </c>
      <c r="D18" s="622"/>
      <c r="E18" s="1188"/>
      <c r="F18" s="1188"/>
      <c r="G18" s="2760" t="s">
        <v>1310</v>
      </c>
      <c r="H18" s="2761">
        <v>1</v>
      </c>
      <c r="I18" s="1203" t="s">
        <v>570</v>
      </c>
      <c r="J18" s="2762"/>
      <c r="L18" s="1183"/>
      <c r="M18" s="1098"/>
      <c r="R18" s="1098"/>
    </row>
    <row r="19" spans="2:18" ht="21" customHeight="1">
      <c r="B19" s="145" t="s">
        <v>1307</v>
      </c>
      <c r="D19" s="622"/>
      <c r="E19" s="1188"/>
      <c r="F19" s="1188"/>
      <c r="G19" s="2760" t="s">
        <v>1315</v>
      </c>
      <c r="H19" s="2764">
        <f>(H17*(H15-H16))/(H15-H18)</f>
        <v>90.090090090090087</v>
      </c>
      <c r="I19" s="1203" t="s">
        <v>1238</v>
      </c>
      <c r="J19" s="1203"/>
      <c r="L19" s="1183"/>
      <c r="M19" s="1098"/>
      <c r="R19" s="1098"/>
    </row>
    <row r="20" spans="2:18" ht="21" customHeight="1">
      <c r="B20" s="145" t="s">
        <v>667</v>
      </c>
      <c r="D20" s="622"/>
      <c r="E20" s="1188"/>
      <c r="F20" s="1188"/>
      <c r="J20" s="1203"/>
      <c r="L20" s="1183"/>
      <c r="M20" s="1098"/>
      <c r="R20" s="1098"/>
    </row>
    <row r="21" spans="2:18" ht="21" customHeight="1">
      <c r="B21" s="145" t="s">
        <v>1291</v>
      </c>
      <c r="D21" s="622"/>
      <c r="E21" s="1188"/>
      <c r="F21" s="1188"/>
      <c r="G21" s="2760" t="s">
        <v>1318</v>
      </c>
      <c r="H21" s="2761">
        <v>200</v>
      </c>
      <c r="I21" s="1203" t="s">
        <v>569</v>
      </c>
      <c r="J21" s="1203"/>
      <c r="L21" s="1183"/>
      <c r="M21" s="1098"/>
      <c r="R21" s="1098"/>
    </row>
    <row r="22" spans="2:18" ht="21" customHeight="1">
      <c r="B22" s="147" t="s">
        <v>1322</v>
      </c>
      <c r="D22" s="622"/>
      <c r="E22" s="1188"/>
      <c r="F22" s="1188"/>
      <c r="G22" s="2760" t="s">
        <v>1319</v>
      </c>
      <c r="H22" s="2899" t="str">
        <f>CONCATENATE(INT((H16-H18)/H21),":",ROUND(((H16-H18)/H21-INT((H16-H18)/H21))*60,0))</f>
        <v>3:30</v>
      </c>
      <c r="I22" s="1203" t="s">
        <v>1320</v>
      </c>
      <c r="J22" s="1203"/>
      <c r="L22" s="1183"/>
      <c r="M22" s="1098"/>
      <c r="R22" s="1098"/>
    </row>
    <row r="23" spans="2:18" ht="21" customHeight="1">
      <c r="B23" s="145" t="s">
        <v>1292</v>
      </c>
      <c r="D23" s="624"/>
      <c r="E23" s="3415"/>
      <c r="F23" s="3415"/>
      <c r="G23" s="3415"/>
      <c r="H23" s="3415"/>
      <c r="I23" s="3415"/>
      <c r="J23" s="3415"/>
      <c r="K23" s="625"/>
      <c r="L23" s="630"/>
      <c r="M23" s="1098"/>
      <c r="N23" s="1098"/>
      <c r="O23" s="1098"/>
      <c r="Q23" s="1098"/>
      <c r="R23" s="1098"/>
    </row>
    <row r="24" spans="2:18" ht="21" customHeight="1">
      <c r="B24" s="62" t="s">
        <v>238</v>
      </c>
      <c r="E24" s="1229"/>
      <c r="F24" s="1229"/>
      <c r="G24" s="1229"/>
      <c r="H24" s="1229"/>
      <c r="I24" s="1229"/>
      <c r="J24" s="1229"/>
      <c r="M24" s="1098"/>
      <c r="N24" s="1098"/>
      <c r="O24" s="1098"/>
      <c r="Q24" s="1098"/>
      <c r="R24" s="1098"/>
    </row>
    <row r="25" spans="2:18" ht="21" customHeight="1">
      <c r="B25" s="62" t="s">
        <v>1652</v>
      </c>
      <c r="E25" s="1229"/>
      <c r="F25" s="1229"/>
      <c r="G25" s="1229"/>
      <c r="H25" s="1229"/>
      <c r="I25" s="1229"/>
      <c r="J25" s="2898"/>
      <c r="N25" s="1098"/>
      <c r="O25" s="1098"/>
      <c r="P25" s="1098"/>
      <c r="Q25" s="1098"/>
    </row>
    <row r="26" spans="2:18" ht="21" customHeight="1">
      <c r="B26" s="62" t="s">
        <v>1653</v>
      </c>
      <c r="J26" s="2898"/>
      <c r="M26" s="12"/>
      <c r="N26" s="12"/>
      <c r="O26" s="12"/>
      <c r="P26" s="12"/>
    </row>
    <row r="27" spans="2:18" ht="21" customHeight="1">
      <c r="B27" s="62" t="s">
        <v>40</v>
      </c>
      <c r="M27" s="12"/>
      <c r="N27" s="12"/>
      <c r="O27" s="12"/>
    </row>
    <row r="28" spans="2:18" ht="21" customHeight="1">
      <c r="B28" s="62" t="s">
        <v>238</v>
      </c>
      <c r="M28" s="12"/>
      <c r="N28" s="12"/>
      <c r="O28" s="12"/>
    </row>
    <row r="29" spans="2:18" ht="21" customHeight="1">
      <c r="B29" s="62" t="s">
        <v>39</v>
      </c>
      <c r="M29" s="12"/>
      <c r="N29" s="12"/>
      <c r="O29" s="12"/>
    </row>
    <row r="30" spans="2:18" ht="21" customHeight="1">
      <c r="B30" s="62" t="s">
        <v>38</v>
      </c>
      <c r="N30" s="12"/>
      <c r="O30" s="12"/>
    </row>
    <row r="31" spans="2:18" ht="21" customHeight="1">
      <c r="B31" s="62"/>
    </row>
    <row r="32" spans="2:18" ht="21" customHeight="1">
      <c r="B32" s="62"/>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34">
      <c r="B49" s="565"/>
    </row>
    <row r="50" spans="2:34">
      <c r="B50" s="565"/>
    </row>
    <row r="51" spans="2:34">
      <c r="B51" s="565"/>
    </row>
    <row r="52" spans="2:34">
      <c r="B52" s="565"/>
    </row>
    <row r="53" spans="2:34">
      <c r="B53" s="565"/>
    </row>
    <row r="54" spans="2:34">
      <c r="B54" s="565"/>
    </row>
    <row r="55" spans="2:34">
      <c r="B55" s="565"/>
    </row>
    <row r="56" spans="2:34">
      <c r="B56" s="565"/>
    </row>
    <row r="57" spans="2:34">
      <c r="B57" s="565"/>
    </row>
    <row r="58" spans="2:34">
      <c r="B58" s="565"/>
    </row>
    <row r="59" spans="2:34">
      <c r="B59" s="565"/>
    </row>
    <row r="60" spans="2:34">
      <c r="B60" s="565"/>
    </row>
    <row r="61" spans="2:34">
      <c r="B61" s="565"/>
    </row>
    <row r="62" spans="2:34">
      <c r="B62" s="565"/>
      <c r="R62" s="5"/>
      <c r="S62" s="5"/>
      <c r="T62" s="5"/>
      <c r="U62" s="5"/>
      <c r="V62" s="5"/>
      <c r="W62" s="5"/>
      <c r="X62" s="5"/>
      <c r="Y62" s="5"/>
      <c r="Z62" s="5"/>
      <c r="AA62" s="5"/>
      <c r="AB62" s="5"/>
      <c r="AC62" s="5"/>
      <c r="AD62" s="5"/>
      <c r="AE62" s="5"/>
      <c r="AF62" s="5"/>
      <c r="AG62" s="5"/>
      <c r="AH62" s="5"/>
    </row>
    <row r="63" spans="2:34">
      <c r="B63" s="565"/>
      <c r="Q63" s="5"/>
      <c r="R63" s="5"/>
      <c r="S63" s="5"/>
      <c r="T63" s="5"/>
      <c r="U63" s="5"/>
      <c r="V63" s="5"/>
      <c r="W63" s="5"/>
      <c r="X63" s="5"/>
      <c r="Y63" s="5"/>
      <c r="Z63" s="5"/>
      <c r="AA63" s="5"/>
      <c r="AB63" s="5"/>
      <c r="AC63" s="5"/>
      <c r="AD63" s="5"/>
      <c r="AE63" s="5"/>
      <c r="AF63" s="5"/>
      <c r="AG63" s="5"/>
      <c r="AH63" s="5"/>
    </row>
    <row r="64" spans="2:34">
      <c r="B64" s="565"/>
      <c r="Q64" s="5"/>
    </row>
    <row r="65" spans="2:2">
      <c r="B65" s="565"/>
    </row>
    <row r="66" spans="2:2">
      <c r="B66" s="565"/>
    </row>
    <row r="67" spans="2:2">
      <c r="B67" s="565"/>
    </row>
    <row r="68" spans="2:2">
      <c r="B68" s="565"/>
    </row>
    <row r="69" spans="2:2">
      <c r="B69" s="565"/>
    </row>
    <row r="70" spans="2:2">
      <c r="B70" s="565"/>
    </row>
    <row r="71" spans="2:2">
      <c r="B71" s="565"/>
    </row>
    <row r="100" spans="24:48">
      <c r="X100" s="566" t="s">
        <v>550</v>
      </c>
      <c r="Y100" s="12"/>
      <c r="Z100" s="12"/>
      <c r="AA100" s="12"/>
      <c r="AB100" s="12"/>
      <c r="AC100" s="12"/>
      <c r="AD100" s="12"/>
      <c r="AE100" s="12"/>
      <c r="AF100" s="12"/>
    </row>
    <row r="101" spans="24:48" ht="13.15">
      <c r="X101" s="1178" t="s">
        <v>632</v>
      </c>
      <c r="Y101" s="1212"/>
      <c r="Z101" s="1212"/>
      <c r="AA101" s="1213"/>
      <c r="AB101" s="1222"/>
      <c r="AC101" s="1222"/>
      <c r="AD101" s="1222"/>
      <c r="AE101" s="1222"/>
      <c r="AF101" s="1222"/>
      <c r="AG101" s="1222"/>
      <c r="AH101" s="1222"/>
      <c r="AI101" s="1222"/>
      <c r="AJ101" s="1223"/>
      <c r="AK101" s="1222"/>
      <c r="AL101" s="1222"/>
      <c r="AM101" s="1222"/>
      <c r="AN101" s="1222"/>
      <c r="AO101" s="1222"/>
      <c r="AP101" s="1222"/>
      <c r="AQ101" s="1222"/>
      <c r="AR101" s="1222"/>
      <c r="AS101" s="1224"/>
      <c r="AT101" s="1224"/>
      <c r="AU101" s="1224"/>
      <c r="AV101" s="1224"/>
    </row>
    <row r="102" spans="24:48" ht="13.9">
      <c r="X102" s="1219"/>
      <c r="Y102" s="1214"/>
      <c r="Z102" s="1215" t="s">
        <v>630</v>
      </c>
      <c r="AA102" s="1216" t="s">
        <v>631</v>
      </c>
      <c r="AB102" s="12"/>
      <c r="AC102" s="12"/>
      <c r="AD102" s="12"/>
      <c r="AE102" s="12"/>
      <c r="AF102" s="12"/>
      <c r="AG102" s="12"/>
      <c r="AH102" s="12"/>
      <c r="AI102" s="12"/>
      <c r="AJ102" s="12"/>
      <c r="AK102" s="3326"/>
      <c r="AL102" s="3326"/>
      <c r="AM102" s="12"/>
      <c r="AN102" s="12"/>
      <c r="AO102" s="12"/>
      <c r="AP102" s="12"/>
      <c r="AQ102" s="12"/>
      <c r="AR102" s="12"/>
    </row>
    <row r="103" spans="24:48">
      <c r="X103" s="1168">
        <v>1</v>
      </c>
      <c r="Y103" s="1169">
        <v>1</v>
      </c>
      <c r="Z103" s="1217" t="e">
        <f>IF(#REF!=1,#REF!,#REF!)</f>
        <v>#REF!</v>
      </c>
      <c r="AA103" s="1226">
        <f t="shared" ref="AA103:AA107" si="0">K9</f>
        <v>0</v>
      </c>
      <c r="AB103" s="12"/>
      <c r="AC103" s="12"/>
      <c r="AD103" s="12"/>
      <c r="AE103" s="12"/>
      <c r="AF103" s="12"/>
      <c r="AG103" s="12"/>
      <c r="AH103" s="12"/>
      <c r="AI103" s="12"/>
      <c r="AJ103" s="12"/>
      <c r="AK103" s="675"/>
      <c r="AL103" s="1220"/>
      <c r="AM103" s="12"/>
      <c r="AN103" s="12"/>
      <c r="AO103" s="12"/>
      <c r="AP103" s="12"/>
      <c r="AQ103" s="12"/>
      <c r="AR103" s="12"/>
    </row>
    <row r="104" spans="24:48">
      <c r="X104" s="1170" t="s">
        <v>638</v>
      </c>
      <c r="Y104" s="1166">
        <v>2</v>
      </c>
      <c r="Z104" s="1225" t="e">
        <f>IF(#REF!=1,#REF!,#REF!)</f>
        <v>#REF!</v>
      </c>
      <c r="AA104" s="1227">
        <f t="shared" si="0"/>
        <v>0</v>
      </c>
      <c r="AB104" s="12"/>
      <c r="AC104" s="12"/>
      <c r="AD104" s="12"/>
      <c r="AE104" s="12"/>
      <c r="AF104" s="12"/>
      <c r="AG104" s="12"/>
      <c r="AH104" s="12"/>
      <c r="AI104" s="12"/>
      <c r="AJ104" s="12"/>
      <c r="AK104" s="278"/>
      <c r="AL104" s="1221"/>
      <c r="AM104" s="12"/>
      <c r="AN104" s="12"/>
      <c r="AO104" s="12"/>
      <c r="AP104" s="12"/>
      <c r="AQ104" s="12"/>
      <c r="AR104" s="12"/>
    </row>
    <row r="105" spans="24:48">
      <c r="X105" s="1171" t="s">
        <v>641</v>
      </c>
      <c r="Y105" s="1166">
        <v>3</v>
      </c>
      <c r="Z105" s="1225" t="e">
        <f>IF(#REF!=1,#REF!,#REF!)</f>
        <v>#REF!</v>
      </c>
      <c r="AA105" s="1227">
        <f t="shared" si="0"/>
        <v>0</v>
      </c>
      <c r="AB105" s="12"/>
      <c r="AC105" s="12"/>
      <c r="AD105" s="12"/>
      <c r="AE105" s="12"/>
      <c r="AF105" s="12"/>
      <c r="AG105" s="12"/>
      <c r="AH105" s="12"/>
      <c r="AI105" s="12"/>
      <c r="AJ105" s="12"/>
      <c r="AK105" s="278"/>
      <c r="AL105" s="1221"/>
      <c r="AM105" s="12"/>
      <c r="AN105" s="12"/>
      <c r="AO105" s="12"/>
      <c r="AP105" s="12"/>
      <c r="AQ105" s="12"/>
      <c r="AR105" s="12"/>
    </row>
    <row r="106" spans="24:48">
      <c r="X106" s="1172">
        <v>8</v>
      </c>
      <c r="Y106" s="1166">
        <v>4</v>
      </c>
      <c r="Z106" s="1225" t="e">
        <f>IF(#REF!=1,#REF!,#REF!)</f>
        <v>#REF!</v>
      </c>
      <c r="AA106" s="1227">
        <f t="shared" si="0"/>
        <v>0</v>
      </c>
      <c r="AB106" s="12"/>
      <c r="AC106" s="12"/>
      <c r="AD106" s="12"/>
      <c r="AE106" s="12"/>
      <c r="AF106" s="12"/>
      <c r="AG106" s="12"/>
      <c r="AH106" s="12"/>
      <c r="AI106" s="12"/>
      <c r="AJ106" s="12"/>
      <c r="AK106" s="278"/>
      <c r="AL106" s="1221"/>
      <c r="AM106" s="12"/>
      <c r="AN106" s="12"/>
      <c r="AO106" s="12"/>
      <c r="AP106" s="12"/>
      <c r="AQ106" s="12"/>
      <c r="AR106" s="12"/>
    </row>
    <row r="107" spans="24:48">
      <c r="X107" s="1166">
        <f>VLOOKUP(X106,Y103:AA115,3)</f>
        <v>0</v>
      </c>
      <c r="Y107" s="1166">
        <v>5</v>
      </c>
      <c r="Z107" s="1225" t="e">
        <f>IF(#REF!=1,#REF!,#REF!)</f>
        <v>#REF!</v>
      </c>
      <c r="AA107" s="1227">
        <f t="shared" si="0"/>
        <v>0</v>
      </c>
      <c r="AB107" s="12"/>
      <c r="AC107" s="12"/>
      <c r="AD107" s="12"/>
      <c r="AE107" s="12"/>
      <c r="AF107" s="12"/>
      <c r="AG107" s="12"/>
      <c r="AH107" s="12"/>
      <c r="AI107" s="12"/>
      <c r="AJ107" s="12"/>
      <c r="AK107" s="278"/>
      <c r="AL107" s="1221"/>
      <c r="AM107" s="12"/>
      <c r="AN107" s="12"/>
      <c r="AO107" s="12"/>
      <c r="AP107" s="12"/>
      <c r="AQ107" s="12"/>
      <c r="AR107" s="12"/>
    </row>
    <row r="108" spans="24:48">
      <c r="X108" s="1166"/>
      <c r="Y108" s="1166">
        <v>6</v>
      </c>
      <c r="Z108" s="1225" t="e">
        <f>IF(#REF!=1,#REF!,#REF!)</f>
        <v>#REF!</v>
      </c>
      <c r="AA108" s="1227" t="e">
        <f>#REF!</f>
        <v>#REF!</v>
      </c>
      <c r="AB108" s="12"/>
      <c r="AC108" s="12"/>
      <c r="AD108" s="12"/>
      <c r="AE108" s="12"/>
      <c r="AF108" s="12"/>
      <c r="AG108" s="12"/>
      <c r="AH108" s="12"/>
      <c r="AI108" s="12"/>
      <c r="AJ108" s="12"/>
      <c r="AK108" s="278"/>
      <c r="AL108" s="1220"/>
      <c r="AM108" s="12"/>
      <c r="AN108" s="12"/>
      <c r="AO108" s="12"/>
      <c r="AP108" s="12"/>
      <c r="AQ108" s="12"/>
      <c r="AR108" s="12"/>
    </row>
    <row r="109" spans="24:48">
      <c r="X109" s="1173">
        <v>7</v>
      </c>
      <c r="Y109" s="1203">
        <v>7</v>
      </c>
      <c r="Z109" s="1225" t="e">
        <f>IF(#REF!=1,#REF!,#REF!)</f>
        <v>#REF!</v>
      </c>
      <c r="AA109" s="1227" t="e">
        <f>#REF!</f>
        <v>#REF!</v>
      </c>
      <c r="AB109" s="12"/>
      <c r="AC109" s="12"/>
      <c r="AD109" s="12"/>
      <c r="AE109" s="12"/>
      <c r="AF109" s="12"/>
      <c r="AG109" s="12"/>
      <c r="AH109" s="12"/>
      <c r="AI109" s="12"/>
      <c r="AJ109" s="12"/>
      <c r="AK109" s="278"/>
      <c r="AL109" s="1220"/>
      <c r="AM109" s="12"/>
      <c r="AN109" s="12"/>
      <c r="AO109" s="12"/>
      <c r="AP109" s="12"/>
      <c r="AQ109" s="12"/>
      <c r="AR109" s="12"/>
    </row>
    <row r="110" spans="24:48">
      <c r="X110" s="1174" t="e">
        <f>VLOOKUP(X109,Y103:AA115,3)</f>
        <v>#REF!</v>
      </c>
      <c r="Y110" s="1203">
        <v>8</v>
      </c>
      <c r="Z110" s="1225" t="e">
        <f>IF(#REF!=1,#REF!,#REF!)</f>
        <v>#REF!</v>
      </c>
      <c r="AA110" s="1227">
        <f>K15</f>
        <v>0</v>
      </c>
      <c r="AB110" s="12"/>
      <c r="AC110" s="12"/>
      <c r="AD110" s="12"/>
      <c r="AE110" s="12"/>
      <c r="AF110" s="12"/>
    </row>
    <row r="111" spans="24:48">
      <c r="X111" s="1174"/>
      <c r="Y111" s="1203">
        <v>9</v>
      </c>
      <c r="Z111" s="1225" t="e">
        <f>IF(#REF!=1,#REF!,#REF!)</f>
        <v>#REF!</v>
      </c>
      <c r="AA111" s="1227">
        <f>K16</f>
        <v>0</v>
      </c>
    </row>
    <row r="112" spans="24:48">
      <c r="X112" s="1174"/>
      <c r="Y112" s="1203">
        <v>10</v>
      </c>
      <c r="Z112" s="1225" t="e">
        <f>IF(#REF!=1,#REF!,#REF!)</f>
        <v>#REF!</v>
      </c>
      <c r="AA112" s="1227">
        <f>K17</f>
        <v>0</v>
      </c>
    </row>
    <row r="113" spans="24:27">
      <c r="X113" s="1174"/>
      <c r="Y113" s="1203">
        <v>11</v>
      </c>
      <c r="Z113" s="1225" t="e">
        <f>IF(#REF!=1,#REF!,#REF!)</f>
        <v>#REF!</v>
      </c>
      <c r="AA113" s="1227">
        <f>K19</f>
        <v>0</v>
      </c>
    </row>
    <row r="114" spans="24:27">
      <c r="X114" s="1175"/>
      <c r="Y114" s="1203">
        <v>12</v>
      </c>
      <c r="Z114" s="1225" t="e">
        <f>IF(#REF!=1,#REF!,#REF!)</f>
        <v>#REF!</v>
      </c>
      <c r="AA114" s="1227">
        <f>K22</f>
        <v>0</v>
      </c>
    </row>
    <row r="115" spans="24:27">
      <c r="X115" s="1176"/>
      <c r="Y115" s="1177">
        <v>13</v>
      </c>
      <c r="Z115" s="1218" t="e">
        <f>IF(#REF!=1,#REF!,#REF!)</f>
        <v>#REF!</v>
      </c>
      <c r="AA115" s="1228">
        <f>K18</f>
        <v>0</v>
      </c>
    </row>
  </sheetData>
  <mergeCells count="3">
    <mergeCell ref="B2:B3"/>
    <mergeCell ref="E23:J23"/>
    <mergeCell ref="AK102:AL102"/>
  </mergeCells>
  <conditionalFormatting sqref="H19">
    <cfRule type="expression" dxfId="1" priority="1">
      <formula>AND($H$19&gt;($H$14+20),$H$19&lt;($H$14+50))</formula>
    </cfRule>
    <cfRule type="expression" dxfId="0" priority="2">
      <formula>$H$19&lt;($H$14+20)</formula>
    </cfRule>
  </conditionalFormatting>
  <hyperlinks>
    <hyperlink ref="B2:B3" location="Home!A1" display="HOME" xr:uid="{27A9A398-279B-458A-BC8A-9C942BBC1EF3}"/>
    <hyperlink ref="X100" location="'Pipes - Max.Rate'!A1" display="Go to Up" xr:uid="{328F8926-5C2F-4C2C-B67F-49AB6A41E7AF}"/>
    <hyperlink ref="E4" location="'IG Pressure Change (2)'!A129" display="Note" xr:uid="{9BA51295-42C4-401E-8479-E113DEA720A7}"/>
    <hyperlink ref="B5" location="'Documents Manager'!A1" display="DOCUMENTS MANAGER" xr:uid="{F24704C3-D826-4D76-BB7F-6D665EFCF648}"/>
    <hyperlink ref="B30" location="Disclaimer!A1" display="Disclaimer" xr:uid="{B547604A-6A3C-44B9-861D-1F9C4B933533}"/>
    <hyperlink ref="B29" location="Help!A1" display="Help" xr:uid="{B237D542-DED3-4436-B54E-0C559AE30092}"/>
    <hyperlink ref="B27" location="'Source - Links'!A1" display="SOURCE / LINKS" xr:uid="{50D28814-8FE7-457D-BA6F-85ABA9C7E3A5}"/>
    <hyperlink ref="B6" location="'ASTM Table Series'!A1" display="ASTM TABLES" xr:uid="{595AA2B4-28BC-407E-B5EB-F418F2A44A2B}"/>
    <hyperlink ref="B7" location="'ASTM Converter (Tab.1)'!A1" display="ASTM - CONVERTERS" xr:uid="{76FAAD33-9CC7-44E5-AD31-9CCF8FA3E8F6}"/>
    <hyperlink ref="B8" location="'ASTM Calculator V.W.'!A1" display="ASTM - CALCULATORS" xr:uid="{BAE554A8-5258-4C8A-8FD4-A25BFD498E7C}"/>
    <hyperlink ref="B9" location="'Initial&amp;Max. Loading Rate'!A1" display="CARGO - CALCULATORS" xr:uid="{82EE986D-F2EA-4277-BE1D-3C49056B8DB6}"/>
    <hyperlink ref="B12" location="'ETC Cargo operation'!A1" display="• ETC Cargo operation" xr:uid="{749A1BD5-5677-4A6E-8D90-4FBBE5CB52B2}"/>
    <hyperlink ref="B14" location="'Volume Interpolation'!A1" display="• Volume Interpolation" xr:uid="{24FFF35B-2EF8-4BF4-9FA4-EEF96CBCAA9E}"/>
    <hyperlink ref="B11" location="'One Tank Filling Rate'!A1" display="• One Tank Filling Rate" xr:uid="{B88B3618-BAB5-41A6-9C21-FD425034AECF}"/>
    <hyperlink ref="B10" location="'Initial&amp;Max. Loading Rate'!A1" display="• Initial &amp; Max. Loading Rate" xr:uid="{9B5B3B9C-1BB6-43D5-8CD4-5BDE37AFE254}"/>
    <hyperlink ref="B13" location="'Average Gravity-Temp'!A1" display="• Calculator - Average Gravity/Temp" xr:uid="{69E3F1E8-A511-465F-BE9C-C707BD1DB3FD}"/>
    <hyperlink ref="B15" location="'Cargo Lines Volume'!A1" display="• Volume of Cargo Lines Calculator" xr:uid="{6DED8FEF-7EA6-49A2-9AA4-B29D1B129E06}"/>
    <hyperlink ref="B20" location="'Pipelines Capacities'!A1" display="• Pipelines Capacities" xr:uid="{D06F8201-34B0-4D16-BDCC-3A051301A745}"/>
    <hyperlink ref="B17" location="'Blended API'!A1" display="• Blended API" xr:uid="{7B678E64-5D5A-4BA5-84CE-B615374C4674}"/>
    <hyperlink ref="B18:B19" location="'Blended Cargo Prediction'!A1" display="• Blended Cargo Prediction" xr:uid="{157AC2FD-D7ED-4EE6-9209-B4EFCE80C43E}"/>
    <hyperlink ref="B18" location="'Commingle-LOADING'!A1" display="• Commingle-LOADING" xr:uid="{F61EBD1C-E6C9-46F1-9B27-77DF5FE63C79}"/>
    <hyperlink ref="B19" location="'Commingle-LOADING-DISCHARGING'!A1" display="• Commingle-LOADING-DISCHARGING" xr:uid="{922B46FF-35F1-49A3-ADD2-0E4CC4FA09F5}"/>
    <hyperlink ref="B21" location="'IG Pressure Change'!A1" display="• Pipelines Capacities Calculator" xr:uid="{1AD5E689-DB1B-4A6C-B6DB-D1B7AAAFC2BA}"/>
    <hyperlink ref="B16" location="'Wedge Volume Calculator'!A1" display="• Volume Calculator - Wedge formula" xr:uid="{F64EAFE8-8D52-4D4D-9137-D13525773D74}"/>
    <hyperlink ref="B23" location="'Converter Pressure '!A1" display="• Units Converter Pressure" xr:uid="{38C11551-DDC7-4225-AC88-C9A61347F6E6}"/>
    <hyperlink ref="B22" location="'IG Pressure Change (2)'!A1" display="• IG Pressure Change-2" xr:uid="{B2F00599-401D-40BE-9A4D-C062C159C769}"/>
    <hyperlink ref="B25" location="'Guidelines - Definitions'!A1" display="GUIDELINES" xr:uid="{E04EEB11-37F5-4606-81E5-263E29D22609}"/>
    <hyperlink ref="B26" location="'Guidelines - Bottom Lines'!A1" display="GUIDELINES - CARGO" xr:uid="{71DEDD1B-F13E-4E90-B83E-F2CC26FC969C}"/>
  </hyperlinks>
  <pageMargins left="0.75" right="0.75" top="1" bottom="1" header="0.5" footer="0.5"/>
  <pageSetup paperSize="9" orientation="portrait" horizontalDpi="1200" verticalDpi="1200" r:id="rId1"/>
  <headerFooter alignWithMargins="0"/>
  <ignoredErrors>
    <ignoredError sqref="H19" unlockedFormula="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AFE3-CF7C-4B58-A365-E8AF3DFA4644}">
  <sheetPr>
    <tabColor rgb="FFFFC000"/>
  </sheetPr>
  <dimension ref="A1:IZ110"/>
  <sheetViews>
    <sheetView showGridLines="0" showRowColHeaders="0" topLeftCell="B1" zoomScaleNormal="100" workbookViewId="0">
      <selection activeCell="E10" sqref="E10"/>
    </sheetView>
  </sheetViews>
  <sheetFormatPr defaultColWidth="9.1328125" defaultRowHeight="12.75"/>
  <cols>
    <col min="1" max="1" width="0" style="514" hidden="1" customWidth="1"/>
    <col min="2" max="2" width="36.6640625" style="631" customWidth="1"/>
    <col min="3" max="3" width="2.6640625" style="514" customWidth="1"/>
    <col min="4" max="4" width="9.46484375" style="514" customWidth="1"/>
    <col min="5" max="8" width="14.33203125" style="514" customWidth="1"/>
    <col min="9" max="9" width="9.46484375" style="514" customWidth="1"/>
    <col min="10" max="10" width="3.6640625" style="514" customWidth="1"/>
    <col min="11" max="11" width="22.6640625" style="514" customWidth="1"/>
    <col min="12" max="12" width="13.6640625" style="514" customWidth="1"/>
    <col min="13" max="13" width="11.86328125" style="514" customWidth="1"/>
    <col min="14" max="14" width="12.86328125" style="514" customWidth="1"/>
    <col min="15" max="18" width="9.1328125" style="514" customWidth="1"/>
    <col min="19" max="19" width="13.46484375" style="514" bestFit="1" customWidth="1"/>
    <col min="20" max="26" width="9.1328125" style="514" customWidth="1"/>
    <col min="27" max="27" width="13.46484375" style="514" bestFit="1" customWidth="1"/>
    <col min="28" max="28" width="11.796875" style="514" bestFit="1" customWidth="1"/>
    <col min="29" max="29" width="8.19921875" style="514" bestFit="1" customWidth="1"/>
    <col min="30" max="30" width="14.796875" style="514" customWidth="1"/>
    <col min="31" max="31" width="10.6640625" style="514" customWidth="1"/>
    <col min="32" max="32" width="12" style="514" bestFit="1" customWidth="1"/>
    <col min="33" max="33" width="14.46484375" style="514" bestFit="1" customWidth="1"/>
    <col min="34" max="34" width="16" style="514" bestFit="1" customWidth="1"/>
    <col min="35" max="36" width="15.6640625" style="514" bestFit="1" customWidth="1"/>
    <col min="37" max="37" width="12.53125" style="514" bestFit="1" customWidth="1"/>
    <col min="38" max="38" width="14.33203125" style="514" customWidth="1"/>
    <col min="39" max="39" width="11.53125" style="514" customWidth="1"/>
    <col min="40" max="40" width="16.796875" style="514" customWidth="1"/>
    <col min="41" max="41" width="17.53125" style="514" customWidth="1"/>
    <col min="42" max="42" width="12.6640625" style="514" bestFit="1" customWidth="1"/>
    <col min="43" max="43" width="18.1328125" style="514" bestFit="1" customWidth="1"/>
    <col min="44" max="44" width="9.1328125" style="514"/>
    <col min="45" max="45" width="9" style="514" customWidth="1"/>
    <col min="46" max="46" width="13.6640625" style="514" customWidth="1"/>
    <col min="47" max="47" width="17.19921875" style="514" customWidth="1"/>
    <col min="48" max="16384" width="9.1328125" style="514"/>
  </cols>
  <sheetData>
    <row r="1" spans="1:260" ht="12.75" customHeight="1">
      <c r="B1" s="612"/>
    </row>
    <row r="2" spans="1:260" s="618" customFormat="1" ht="21" customHeight="1">
      <c r="A2" s="514"/>
      <c r="B2" s="3210" t="s">
        <v>0</v>
      </c>
      <c r="C2" s="514"/>
      <c r="D2" s="613" t="s">
        <v>1295</v>
      </c>
      <c r="E2" s="614"/>
      <c r="F2" s="615"/>
      <c r="G2" s="615"/>
      <c r="H2" s="615"/>
      <c r="I2" s="615"/>
      <c r="J2" s="617"/>
      <c r="K2" s="615"/>
      <c r="L2" s="615"/>
      <c r="M2" s="615"/>
      <c r="N2" s="616"/>
      <c r="O2" s="615"/>
      <c r="P2" s="615"/>
      <c r="Q2" s="615"/>
      <c r="R2" s="617"/>
      <c r="S2" s="617"/>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c r="DJ2" s="615"/>
      <c r="DK2" s="615"/>
      <c r="DL2" s="615"/>
      <c r="DM2" s="615"/>
      <c r="DN2" s="615"/>
      <c r="DO2" s="615"/>
      <c r="DP2" s="615"/>
      <c r="DQ2" s="615"/>
      <c r="DR2" s="615"/>
      <c r="DS2" s="615"/>
      <c r="DT2" s="615"/>
      <c r="DU2" s="615"/>
      <c r="DV2" s="615"/>
      <c r="DW2" s="615"/>
      <c r="DX2" s="615"/>
      <c r="DY2" s="615"/>
      <c r="DZ2" s="615"/>
      <c r="EA2" s="615"/>
      <c r="EB2" s="615"/>
      <c r="EC2" s="615"/>
      <c r="ED2" s="615"/>
      <c r="EE2" s="615"/>
      <c r="EF2" s="615"/>
      <c r="EG2" s="615"/>
      <c r="EH2" s="615"/>
      <c r="EI2" s="615"/>
      <c r="EJ2" s="615"/>
      <c r="EK2" s="615"/>
      <c r="EL2" s="615"/>
      <c r="EM2" s="615"/>
      <c r="EN2" s="615"/>
      <c r="EO2" s="615"/>
      <c r="EP2" s="615"/>
      <c r="EQ2" s="615"/>
      <c r="ER2" s="615"/>
      <c r="ES2" s="615"/>
      <c r="ET2" s="615"/>
      <c r="EU2" s="615"/>
      <c r="EV2" s="615"/>
      <c r="EW2" s="615"/>
      <c r="EX2" s="615"/>
      <c r="EY2" s="615"/>
      <c r="EZ2" s="615"/>
      <c r="FA2" s="615"/>
      <c r="FB2" s="615"/>
      <c r="FC2" s="615"/>
      <c r="FD2" s="615"/>
      <c r="FE2" s="615"/>
      <c r="FF2" s="615"/>
      <c r="FG2" s="615"/>
      <c r="FH2" s="615"/>
      <c r="FI2" s="615"/>
      <c r="FJ2" s="615"/>
      <c r="FK2" s="615"/>
      <c r="FL2" s="615"/>
      <c r="FM2" s="615"/>
      <c r="FN2" s="615"/>
      <c r="FO2" s="615"/>
      <c r="FP2" s="615"/>
      <c r="FQ2" s="615"/>
      <c r="FR2" s="615"/>
      <c r="FS2" s="615"/>
      <c r="FT2" s="615"/>
      <c r="FU2" s="615"/>
      <c r="FV2" s="615"/>
      <c r="FW2" s="615"/>
      <c r="FX2" s="615"/>
      <c r="FY2" s="615"/>
      <c r="FZ2" s="615"/>
      <c r="GA2" s="615"/>
      <c r="GB2" s="615"/>
      <c r="GC2" s="615"/>
      <c r="GD2" s="615"/>
      <c r="GE2" s="615"/>
      <c r="GF2" s="615"/>
      <c r="GG2" s="615"/>
      <c r="GH2" s="615"/>
      <c r="GI2" s="615"/>
      <c r="GJ2" s="615"/>
      <c r="GK2" s="615"/>
      <c r="GL2" s="615"/>
      <c r="GM2" s="615"/>
      <c r="GN2" s="615"/>
      <c r="GO2" s="615"/>
      <c r="GP2" s="615"/>
      <c r="GQ2" s="615"/>
      <c r="GR2" s="615"/>
      <c r="GS2" s="615"/>
      <c r="GT2" s="615"/>
      <c r="GU2" s="615"/>
      <c r="GV2" s="615"/>
      <c r="GW2" s="615"/>
      <c r="GX2" s="615"/>
      <c r="GY2" s="615"/>
      <c r="GZ2" s="615"/>
      <c r="HA2" s="615"/>
      <c r="HB2" s="615"/>
      <c r="HC2" s="615"/>
      <c r="HD2" s="615"/>
      <c r="HE2" s="615"/>
      <c r="HF2" s="615"/>
      <c r="HG2" s="615"/>
      <c r="HH2" s="615"/>
      <c r="HI2" s="615"/>
      <c r="HJ2" s="615"/>
      <c r="HK2" s="615"/>
      <c r="HL2" s="615"/>
      <c r="HM2" s="615"/>
      <c r="HN2" s="615"/>
      <c r="HO2" s="615"/>
      <c r="HP2" s="615"/>
      <c r="HQ2" s="615"/>
      <c r="HR2" s="615"/>
      <c r="HS2" s="615"/>
      <c r="HT2" s="615"/>
      <c r="HU2" s="615"/>
      <c r="HV2" s="615"/>
      <c r="HW2" s="615"/>
      <c r="HX2" s="615"/>
      <c r="HY2" s="615"/>
      <c r="HZ2" s="615"/>
      <c r="IA2" s="615"/>
      <c r="IB2" s="615"/>
      <c r="IC2" s="615"/>
      <c r="ID2" s="615"/>
      <c r="IE2" s="615"/>
      <c r="IF2" s="615"/>
      <c r="IG2" s="615"/>
      <c r="IH2" s="615"/>
      <c r="II2" s="615"/>
      <c r="IJ2" s="615"/>
      <c r="IK2" s="615"/>
      <c r="IL2" s="615"/>
      <c r="IM2" s="615"/>
      <c r="IN2" s="615"/>
      <c r="IO2" s="615"/>
      <c r="IP2" s="615"/>
      <c r="IQ2" s="615"/>
      <c r="IR2" s="615"/>
      <c r="IS2" s="615"/>
      <c r="IT2" s="615"/>
      <c r="IU2" s="615"/>
      <c r="IV2" s="615"/>
      <c r="IW2" s="615"/>
      <c r="IX2" s="615"/>
      <c r="IY2" s="615"/>
      <c r="IZ2" s="615"/>
    </row>
    <row r="3" spans="1:260" ht="21" customHeight="1">
      <c r="B3" s="3210"/>
      <c r="D3" s="619"/>
      <c r="E3" s="619"/>
      <c r="F3" s="619"/>
      <c r="G3" s="5"/>
      <c r="H3" s="5"/>
      <c r="I3" s="5"/>
      <c r="J3" s="5"/>
      <c r="K3" s="5"/>
      <c r="L3" s="5"/>
      <c r="M3" s="5"/>
      <c r="N3" s="5"/>
    </row>
    <row r="4" spans="1:260" ht="21" customHeight="1">
      <c r="B4" s="63"/>
      <c r="D4" s="787"/>
      <c r="E4" s="1066"/>
      <c r="F4" s="1066"/>
      <c r="G4" s="1067"/>
      <c r="H4" s="1067"/>
      <c r="I4" s="1068"/>
      <c r="J4" s="648"/>
    </row>
    <row r="5" spans="1:260" ht="21" customHeight="1">
      <c r="B5" s="62" t="s">
        <v>1</v>
      </c>
      <c r="D5" s="622"/>
      <c r="E5" s="2855">
        <v>35</v>
      </c>
      <c r="F5" s="3418">
        <f>E5*0.070306958</f>
        <v>2.4607435300000002</v>
      </c>
      <c r="G5" s="3419"/>
      <c r="H5" s="12"/>
      <c r="I5" s="1069"/>
      <c r="J5" s="1065"/>
      <c r="K5" s="1064"/>
      <c r="L5" s="12"/>
      <c r="M5" s="12"/>
      <c r="N5" s="12"/>
      <c r="O5" s="12"/>
      <c r="P5" s="12"/>
      <c r="Q5" s="12"/>
      <c r="R5" s="12"/>
      <c r="S5" s="12"/>
      <c r="T5" s="12"/>
      <c r="U5" s="12"/>
      <c r="V5" s="12"/>
      <c r="W5" s="12"/>
      <c r="X5" s="12"/>
      <c r="Y5" s="12"/>
      <c r="Z5" s="12"/>
      <c r="AA5" s="12"/>
    </row>
    <row r="6" spans="1:260" ht="21" customHeight="1">
      <c r="B6" s="397" t="s">
        <v>452</v>
      </c>
      <c r="D6" s="622"/>
      <c r="E6" s="2850">
        <f>E5</f>
        <v>35</v>
      </c>
      <c r="F6" s="3420">
        <f>E6*0.0689</f>
        <v>2.4115000000000002</v>
      </c>
      <c r="G6" s="3421"/>
      <c r="H6" s="12"/>
      <c r="I6" s="1069"/>
      <c r="J6" s="1065"/>
      <c r="K6" s="1064"/>
      <c r="L6" s="12"/>
      <c r="M6" s="12"/>
      <c r="N6" s="12"/>
      <c r="O6" s="12"/>
      <c r="P6" s="12"/>
      <c r="Q6" s="12"/>
      <c r="R6" s="12"/>
      <c r="S6" s="12"/>
      <c r="T6" s="12"/>
      <c r="U6" s="12"/>
      <c r="V6" s="12"/>
      <c r="W6" s="12"/>
      <c r="X6" s="12"/>
      <c r="Y6" s="12"/>
      <c r="Z6" s="12"/>
      <c r="AA6" s="12"/>
    </row>
    <row r="7" spans="1:260" ht="21" customHeight="1">
      <c r="B7" s="62" t="s">
        <v>239</v>
      </c>
      <c r="D7" s="622"/>
      <c r="E7" s="2850">
        <f>E5</f>
        <v>35</v>
      </c>
      <c r="F7" s="3422">
        <f>E7*0.0681</f>
        <v>2.3834999999999997</v>
      </c>
      <c r="G7" s="3423"/>
      <c r="H7" s="12"/>
      <c r="I7" s="1069"/>
      <c r="J7" s="12"/>
      <c r="K7" s="12"/>
      <c r="L7" s="12"/>
      <c r="M7" s="12"/>
      <c r="N7" s="12"/>
      <c r="O7" s="12"/>
      <c r="P7" s="12"/>
      <c r="Q7" s="12"/>
      <c r="R7" s="12"/>
      <c r="S7" s="12"/>
      <c r="T7" s="12"/>
      <c r="U7" s="12"/>
      <c r="V7" s="12"/>
      <c r="W7" s="12"/>
      <c r="X7" s="12"/>
      <c r="Y7" s="12"/>
      <c r="Z7" s="12"/>
      <c r="AA7" s="12"/>
    </row>
    <row r="8" spans="1:260" ht="21" customHeight="1">
      <c r="B8" s="62" t="s">
        <v>1263</v>
      </c>
      <c r="D8" s="622"/>
      <c r="E8" s="2854"/>
      <c r="F8" s="2849"/>
      <c r="G8" s="2849"/>
      <c r="H8" s="12"/>
      <c r="I8" s="1069"/>
      <c r="J8" s="12"/>
      <c r="K8" s="12"/>
      <c r="L8" s="12"/>
      <c r="M8" s="12"/>
      <c r="N8" s="12"/>
      <c r="O8" s="12"/>
      <c r="P8" s="12"/>
      <c r="Q8" s="12"/>
      <c r="R8" s="12"/>
      <c r="S8" s="12"/>
      <c r="T8" s="12"/>
      <c r="U8" s="12"/>
      <c r="V8" s="12"/>
      <c r="W8" s="12"/>
      <c r="X8" s="12"/>
      <c r="Y8" s="12"/>
      <c r="Z8" s="12"/>
      <c r="AA8" s="12"/>
    </row>
    <row r="9" spans="1:260" ht="21" customHeight="1">
      <c r="B9" s="977" t="s">
        <v>557</v>
      </c>
      <c r="D9" s="622"/>
      <c r="E9" s="2856">
        <v>2.8</v>
      </c>
      <c r="F9" s="3416">
        <f>E9*14.22</f>
        <v>39.816000000000003</v>
      </c>
      <c r="G9" s="3417"/>
      <c r="H9" s="12"/>
      <c r="I9" s="1072"/>
      <c r="J9" s="12"/>
      <c r="K9" s="12"/>
      <c r="L9" s="12"/>
      <c r="M9" s="12"/>
      <c r="N9" s="12"/>
      <c r="O9" s="12"/>
      <c r="P9" s="12"/>
      <c r="Q9" s="12"/>
      <c r="R9" s="12"/>
      <c r="S9" s="12"/>
      <c r="T9" s="12"/>
      <c r="U9" s="12"/>
      <c r="V9" s="12"/>
      <c r="W9" s="12"/>
      <c r="X9" s="12"/>
      <c r="Y9" s="12"/>
      <c r="Z9" s="12"/>
      <c r="AA9" s="12"/>
    </row>
    <row r="10" spans="1:260" ht="21" customHeight="1">
      <c r="B10" s="145" t="s">
        <v>680</v>
      </c>
      <c r="D10" s="622"/>
      <c r="E10" s="2851">
        <f>E9</f>
        <v>2.8</v>
      </c>
      <c r="F10" s="3420">
        <f>E10*0.981</f>
        <v>2.7467999999999999</v>
      </c>
      <c r="G10" s="3421"/>
      <c r="H10" s="12"/>
      <c r="I10" s="1069"/>
      <c r="J10" s="12"/>
      <c r="K10" s="12"/>
      <c r="L10" s="12"/>
      <c r="M10" s="12"/>
      <c r="N10" s="12"/>
      <c r="O10" s="12"/>
      <c r="P10" s="12"/>
      <c r="Q10" s="12"/>
      <c r="R10" s="12"/>
      <c r="S10" s="12"/>
      <c r="T10" s="12"/>
      <c r="U10" s="12"/>
      <c r="V10" s="12"/>
      <c r="W10" s="12"/>
      <c r="X10" s="12"/>
      <c r="Y10" s="12"/>
      <c r="Z10" s="12"/>
      <c r="AA10" s="12"/>
    </row>
    <row r="11" spans="1:260" ht="21" customHeight="1">
      <c r="B11" s="145" t="s">
        <v>621</v>
      </c>
      <c r="D11" s="622"/>
      <c r="E11" s="2851">
        <f>E9</f>
        <v>2.8</v>
      </c>
      <c r="F11" s="3422">
        <f>E11*0.968</f>
        <v>2.7103999999999999</v>
      </c>
      <c r="G11" s="3423"/>
      <c r="H11" s="12"/>
      <c r="I11" s="1069"/>
      <c r="J11" s="12"/>
      <c r="K11" s="12"/>
      <c r="L11" s="12"/>
      <c r="M11" s="12"/>
      <c r="R11" s="12"/>
      <c r="S11" s="12"/>
      <c r="T11" s="12"/>
      <c r="U11" s="12"/>
      <c r="V11" s="12"/>
      <c r="W11" s="12"/>
      <c r="X11" s="12"/>
      <c r="Y11" s="12"/>
      <c r="Z11" s="12"/>
      <c r="AA11" s="12"/>
    </row>
    <row r="12" spans="1:260" ht="21" customHeight="1">
      <c r="B12" s="145" t="s">
        <v>562</v>
      </c>
      <c r="D12" s="622"/>
      <c r="E12" s="2854"/>
      <c r="F12" s="2849"/>
      <c r="G12" s="2849"/>
      <c r="H12" s="12"/>
      <c r="I12" s="1069"/>
      <c r="J12" s="12"/>
      <c r="K12" s="12"/>
      <c r="R12" s="12"/>
      <c r="S12" s="12"/>
      <c r="T12" s="12"/>
      <c r="U12" s="12"/>
      <c r="V12" s="12"/>
      <c r="W12" s="12"/>
      <c r="X12" s="12"/>
      <c r="Y12" s="12"/>
      <c r="Z12" s="12"/>
      <c r="AA12" s="12"/>
    </row>
    <row r="13" spans="1:260" ht="21" customHeight="1">
      <c r="B13" s="145" t="s">
        <v>563</v>
      </c>
      <c r="D13" s="622"/>
      <c r="E13" s="2857">
        <v>6.9</v>
      </c>
      <c r="F13" s="3416">
        <f>E13*14.504</f>
        <v>100.0776</v>
      </c>
      <c r="G13" s="3417"/>
      <c r="H13" s="12"/>
      <c r="I13" s="1069"/>
      <c r="J13" s="12"/>
      <c r="K13" s="12"/>
      <c r="R13" s="12"/>
      <c r="S13" s="12"/>
      <c r="T13" s="12"/>
      <c r="U13" s="12"/>
      <c r="V13" s="12"/>
      <c r="W13" s="12"/>
      <c r="X13" s="12"/>
      <c r="Y13" s="12"/>
      <c r="Z13" s="12"/>
      <c r="AA13" s="12"/>
    </row>
    <row r="14" spans="1:260" ht="21" customHeight="1">
      <c r="B14" s="145" t="s">
        <v>589</v>
      </c>
      <c r="D14" s="622"/>
      <c r="E14" s="2852">
        <f>E13</f>
        <v>6.9</v>
      </c>
      <c r="F14" s="3418">
        <f>E14*1.02</f>
        <v>7.0380000000000003</v>
      </c>
      <c r="G14" s="3419"/>
      <c r="H14" s="12"/>
      <c r="I14" s="1069"/>
      <c r="J14" s="12"/>
      <c r="K14" s="12"/>
      <c r="R14" s="12"/>
      <c r="S14" s="12"/>
      <c r="T14" s="12"/>
      <c r="U14" s="12"/>
      <c r="V14" s="12"/>
      <c r="W14" s="12"/>
      <c r="X14" s="12"/>
      <c r="Y14" s="12"/>
      <c r="Z14" s="12"/>
      <c r="AA14" s="12"/>
    </row>
    <row r="15" spans="1:260" ht="21" customHeight="1">
      <c r="B15" s="145" t="s">
        <v>1290</v>
      </c>
      <c r="D15" s="622"/>
      <c r="E15" s="2852">
        <f>E13</f>
        <v>6.9</v>
      </c>
      <c r="F15" s="3422">
        <f>E15*0.987</f>
        <v>6.8103000000000007</v>
      </c>
      <c r="G15" s="3423"/>
      <c r="H15" s="12"/>
      <c r="I15" s="1069"/>
      <c r="J15" s="12"/>
      <c r="K15" s="12"/>
      <c r="R15" s="12"/>
      <c r="S15" s="12"/>
      <c r="T15" s="12"/>
      <c r="U15" s="12"/>
      <c r="V15" s="12"/>
      <c r="W15" s="12"/>
      <c r="X15" s="12"/>
      <c r="Y15" s="12"/>
      <c r="Z15" s="12"/>
      <c r="AA15" s="12"/>
    </row>
    <row r="16" spans="1:260" ht="21" customHeight="1">
      <c r="B16" s="145" t="s">
        <v>1293</v>
      </c>
      <c r="D16" s="622"/>
      <c r="E16" s="2854"/>
      <c r="F16" s="2849"/>
      <c r="G16" s="2849"/>
      <c r="H16" s="12"/>
      <c r="I16" s="1069"/>
      <c r="J16" s="12"/>
      <c r="K16" s="12"/>
      <c r="L16" s="12"/>
      <c r="M16" s="12"/>
      <c r="N16" s="12"/>
      <c r="O16" s="12"/>
      <c r="P16" s="12"/>
      <c r="Q16" s="12"/>
      <c r="R16" s="12"/>
      <c r="S16" s="12"/>
      <c r="T16" s="12"/>
      <c r="U16" s="12"/>
      <c r="V16" s="12"/>
      <c r="W16" s="12"/>
      <c r="X16" s="12"/>
      <c r="Y16" s="12"/>
      <c r="Z16" s="12"/>
      <c r="AA16" s="12"/>
    </row>
    <row r="17" spans="2:18" ht="21" customHeight="1">
      <c r="B17" s="145" t="s">
        <v>1153</v>
      </c>
      <c r="D17" s="622"/>
      <c r="E17" s="2858">
        <v>6.8</v>
      </c>
      <c r="F17" s="3416">
        <f>E17*14.7</f>
        <v>99.96</v>
      </c>
      <c r="G17" s="3417"/>
      <c r="H17" s="12"/>
      <c r="I17" s="1069"/>
      <c r="J17" s="12"/>
      <c r="K17" s="12"/>
      <c r="L17" s="12"/>
      <c r="M17" s="12"/>
      <c r="N17" s="12"/>
      <c r="O17" s="12"/>
      <c r="P17" s="12"/>
      <c r="Q17" s="12"/>
      <c r="R17" s="12"/>
    </row>
    <row r="18" spans="2:18" ht="21" customHeight="1">
      <c r="B18" s="145" t="s">
        <v>1308</v>
      </c>
      <c r="D18" s="876"/>
      <c r="E18" s="2853">
        <f>E17</f>
        <v>6.8</v>
      </c>
      <c r="F18" s="3418">
        <f>E18*1.033</f>
        <v>7.0243999999999991</v>
      </c>
      <c r="G18" s="3419"/>
      <c r="H18" s="12"/>
      <c r="I18" s="1069"/>
      <c r="J18" s="12"/>
      <c r="K18" s="12"/>
      <c r="L18" s="12"/>
      <c r="M18" s="12"/>
      <c r="N18" s="12"/>
      <c r="O18" s="12"/>
      <c r="P18" s="12"/>
      <c r="Q18" s="12"/>
      <c r="R18" s="12"/>
    </row>
    <row r="19" spans="2:18" ht="21" customHeight="1">
      <c r="B19" s="145" t="s">
        <v>1307</v>
      </c>
      <c r="D19" s="622"/>
      <c r="E19" s="2853">
        <f>E17</f>
        <v>6.8</v>
      </c>
      <c r="F19" s="3420">
        <f>E19*1.013</f>
        <v>6.888399999999999</v>
      </c>
      <c r="G19" s="3421"/>
      <c r="I19" s="1069"/>
      <c r="J19" s="12"/>
      <c r="K19" s="12"/>
      <c r="L19" s="1097"/>
      <c r="P19" s="12"/>
      <c r="Q19" s="12"/>
      <c r="R19" s="12"/>
    </row>
    <row r="20" spans="2:18" ht="21" customHeight="1">
      <c r="B20" s="145" t="s">
        <v>667</v>
      </c>
      <c r="D20" s="622"/>
      <c r="E20" s="12"/>
      <c r="F20" s="12"/>
      <c r="G20" s="12"/>
      <c r="I20" s="1069"/>
      <c r="J20" s="12"/>
      <c r="K20" s="12"/>
      <c r="L20" s="1097"/>
      <c r="P20" s="12"/>
      <c r="Q20" s="12"/>
      <c r="R20" s="12"/>
    </row>
    <row r="21" spans="2:18" ht="21" customHeight="1">
      <c r="B21" s="145" t="s">
        <v>1291</v>
      </c>
      <c r="D21" s="622"/>
      <c r="E21" s="12"/>
      <c r="F21" s="12"/>
      <c r="G21" s="12"/>
      <c r="I21" s="1069"/>
      <c r="J21" s="12"/>
      <c r="K21" s="12"/>
      <c r="L21" s="1098"/>
      <c r="P21" s="12"/>
      <c r="Q21" s="12"/>
      <c r="R21" s="12"/>
    </row>
    <row r="22" spans="2:18" ht="21" customHeight="1">
      <c r="B22" s="145" t="s">
        <v>1322</v>
      </c>
      <c r="D22" s="622"/>
      <c r="E22" s="12"/>
      <c r="F22" s="12"/>
      <c r="G22" s="12"/>
      <c r="H22" s="12"/>
      <c r="I22" s="1069"/>
      <c r="J22" s="12"/>
      <c r="K22" s="12"/>
      <c r="L22" s="1098"/>
      <c r="M22" s="1098"/>
      <c r="N22" s="1098"/>
      <c r="O22" s="12"/>
      <c r="P22" s="12"/>
      <c r="Q22" s="12"/>
      <c r="R22" s="12"/>
    </row>
    <row r="23" spans="2:18" ht="21" customHeight="1">
      <c r="B23" s="147" t="s">
        <v>1292</v>
      </c>
      <c r="D23" s="624"/>
      <c r="E23" s="1070"/>
      <c r="F23" s="1070"/>
      <c r="G23" s="1070"/>
      <c r="H23" s="1070"/>
      <c r="I23" s="1071"/>
      <c r="J23" s="12"/>
      <c r="K23" s="12"/>
      <c r="L23" s="1097"/>
      <c r="O23" s="12"/>
      <c r="P23" s="12"/>
      <c r="Q23" s="12"/>
      <c r="R23" s="12"/>
    </row>
    <row r="24" spans="2:18" ht="21" customHeight="1">
      <c r="B24" s="62" t="s">
        <v>238</v>
      </c>
      <c r="E24" s="12"/>
      <c r="F24" s="12"/>
      <c r="G24" s="12"/>
      <c r="H24" s="12"/>
      <c r="I24" s="12"/>
      <c r="J24" s="12"/>
      <c r="K24" s="12"/>
      <c r="L24" s="1098"/>
      <c r="O24" s="12"/>
      <c r="P24" s="12"/>
      <c r="Q24" s="12"/>
      <c r="R24" s="12"/>
    </row>
    <row r="25" spans="2:18" ht="21" customHeight="1">
      <c r="B25" s="62" t="s">
        <v>1652</v>
      </c>
      <c r="E25" s="12"/>
      <c r="F25" s="12"/>
      <c r="G25" s="12"/>
      <c r="H25" s="12"/>
      <c r="I25" s="12"/>
      <c r="J25" s="12"/>
      <c r="K25" s="12"/>
      <c r="L25" s="1098"/>
      <c r="P25" s="12"/>
      <c r="Q25" s="12"/>
      <c r="R25" s="12"/>
    </row>
    <row r="26" spans="2:18" ht="21" customHeight="1">
      <c r="B26" s="62" t="s">
        <v>1653</v>
      </c>
      <c r="E26" s="12"/>
      <c r="F26" s="12"/>
      <c r="G26" s="12"/>
      <c r="H26" s="12"/>
      <c r="I26" s="12"/>
      <c r="J26" s="12"/>
      <c r="K26" s="12"/>
      <c r="L26" s="1098"/>
      <c r="M26" s="1100"/>
      <c r="N26" s="1099"/>
      <c r="P26" s="12"/>
      <c r="Q26" s="12"/>
      <c r="R26" s="12"/>
    </row>
    <row r="27" spans="2:18" ht="21" customHeight="1">
      <c r="B27" s="62" t="s">
        <v>40</v>
      </c>
      <c r="E27" s="12"/>
      <c r="F27" s="12"/>
      <c r="G27" s="12"/>
      <c r="H27" s="12"/>
      <c r="I27" s="12"/>
      <c r="J27" s="12"/>
      <c r="K27" s="12"/>
      <c r="L27" s="1098"/>
      <c r="M27" s="1098"/>
      <c r="N27" s="1098"/>
      <c r="P27" s="12"/>
      <c r="Q27" s="12"/>
      <c r="R27" s="12"/>
    </row>
    <row r="28" spans="2:18" ht="21" customHeight="1">
      <c r="B28" s="62" t="s">
        <v>238</v>
      </c>
      <c r="E28" s="12"/>
      <c r="F28" s="12"/>
      <c r="G28" s="12"/>
      <c r="H28" s="12"/>
      <c r="I28" s="12"/>
      <c r="J28" s="12"/>
      <c r="K28" s="12"/>
      <c r="P28" s="12"/>
      <c r="Q28" s="12"/>
      <c r="R28" s="12"/>
    </row>
    <row r="29" spans="2:18" ht="21" customHeight="1">
      <c r="B29" s="62" t="s">
        <v>39</v>
      </c>
      <c r="E29" s="12"/>
      <c r="F29" s="12"/>
      <c r="G29" s="12"/>
      <c r="H29" s="12"/>
      <c r="I29" s="12"/>
      <c r="J29" s="12"/>
      <c r="K29" s="12"/>
      <c r="P29" s="12"/>
      <c r="Q29" s="12"/>
      <c r="R29" s="12"/>
    </row>
    <row r="30" spans="2:18" ht="21" customHeight="1">
      <c r="B30" s="62" t="s">
        <v>38</v>
      </c>
    </row>
    <row r="31" spans="2:18" ht="21" customHeight="1">
      <c r="B31" s="62"/>
    </row>
    <row r="32" spans="2:18" ht="21" customHeight="1">
      <c r="B32" s="62"/>
    </row>
    <row r="33" spans="2:2" ht="21" customHeight="1">
      <c r="B33" s="565"/>
    </row>
    <row r="34" spans="2:2" ht="21" customHeight="1">
      <c r="B34" s="565"/>
    </row>
    <row r="35" spans="2:2" ht="21" customHeight="1">
      <c r="B35" s="565"/>
    </row>
    <row r="36" spans="2:2" ht="21" customHeight="1">
      <c r="B36" s="565"/>
    </row>
    <row r="37" spans="2:2" ht="21" customHeight="1">
      <c r="B37" s="565"/>
    </row>
    <row r="38" spans="2:2" ht="21" customHeight="1">
      <c r="B38" s="565"/>
    </row>
    <row r="39" spans="2:2" ht="21" customHeight="1">
      <c r="B39" s="565"/>
    </row>
    <row r="40" spans="2:2" ht="21" customHeight="1">
      <c r="B40" s="565"/>
    </row>
    <row r="41" spans="2:2" ht="21" customHeight="1">
      <c r="B41" s="565"/>
    </row>
    <row r="42" spans="2:2">
      <c r="B42" s="565"/>
    </row>
    <row r="43" spans="2:2">
      <c r="B43" s="565"/>
    </row>
    <row r="44" spans="2:2">
      <c r="B44" s="565"/>
    </row>
    <row r="45" spans="2:2">
      <c r="B45" s="565"/>
    </row>
    <row r="46" spans="2:2">
      <c r="B46" s="565"/>
    </row>
    <row r="47" spans="2:2">
      <c r="B47" s="565"/>
    </row>
    <row r="48" spans="2:2">
      <c r="B48" s="565"/>
    </row>
    <row r="49" spans="2:37">
      <c r="B49" s="565"/>
    </row>
    <row r="50" spans="2:37">
      <c r="B50" s="565"/>
    </row>
    <row r="51" spans="2:37">
      <c r="B51" s="565"/>
    </row>
    <row r="52" spans="2:37">
      <c r="B52" s="565"/>
    </row>
    <row r="53" spans="2:37">
      <c r="B53" s="565"/>
    </row>
    <row r="54" spans="2:37">
      <c r="B54" s="565"/>
    </row>
    <row r="55" spans="2:37">
      <c r="B55" s="565"/>
    </row>
    <row r="56" spans="2:37">
      <c r="B56" s="565"/>
    </row>
    <row r="57" spans="2:37">
      <c r="B57" s="565"/>
    </row>
    <row r="58" spans="2:37">
      <c r="B58" s="565"/>
    </row>
    <row r="59" spans="2:37">
      <c r="B59" s="565"/>
    </row>
    <row r="60" spans="2:37">
      <c r="B60" s="565"/>
    </row>
    <row r="61" spans="2:37">
      <c r="B61" s="565"/>
    </row>
    <row r="62" spans="2:37">
      <c r="B62" s="565"/>
      <c r="T62" s="5"/>
      <c r="U62" s="5"/>
      <c r="V62" s="5"/>
      <c r="W62" s="5"/>
      <c r="X62" s="5"/>
      <c r="Y62" s="5"/>
      <c r="Z62" s="5"/>
      <c r="AA62" s="5"/>
      <c r="AB62" s="5"/>
      <c r="AC62" s="5"/>
      <c r="AD62" s="5"/>
      <c r="AE62" s="5"/>
      <c r="AF62" s="5"/>
      <c r="AG62" s="5"/>
      <c r="AH62" s="5"/>
      <c r="AI62" s="5"/>
      <c r="AJ62" s="5"/>
      <c r="AK62" s="5"/>
    </row>
    <row r="63" spans="2:37">
      <c r="B63" s="565"/>
      <c r="T63" s="5"/>
      <c r="U63" s="5"/>
      <c r="V63" s="5"/>
      <c r="W63" s="5"/>
      <c r="X63" s="5"/>
      <c r="Y63" s="5"/>
      <c r="Z63" s="5"/>
      <c r="AA63" s="5"/>
      <c r="AB63" s="5"/>
      <c r="AC63" s="5"/>
      <c r="AD63" s="5"/>
      <c r="AE63" s="5"/>
      <c r="AF63" s="5"/>
      <c r="AG63" s="5"/>
      <c r="AH63" s="5"/>
      <c r="AI63" s="5"/>
      <c r="AJ63" s="5"/>
      <c r="AK63" s="5"/>
    </row>
    <row r="64" spans="2:37">
      <c r="B64" s="565"/>
    </row>
    <row r="65" spans="2:2">
      <c r="B65" s="565"/>
    </row>
    <row r="66" spans="2:2">
      <c r="B66" s="565"/>
    </row>
    <row r="67" spans="2:2">
      <c r="B67" s="565"/>
    </row>
    <row r="68" spans="2:2">
      <c r="B68" s="565"/>
    </row>
    <row r="69" spans="2:2">
      <c r="B69" s="565"/>
    </row>
    <row r="70" spans="2:2">
      <c r="B70" s="565"/>
    </row>
    <row r="71" spans="2:2">
      <c r="B71" s="565"/>
    </row>
    <row r="100" spans="27:47">
      <c r="AA100" s="566" t="s">
        <v>550</v>
      </c>
      <c r="AB100" s="12"/>
      <c r="AC100" s="12"/>
      <c r="AD100" s="12"/>
      <c r="AE100" s="12"/>
      <c r="AF100" s="12"/>
      <c r="AG100" s="12"/>
      <c r="AH100" s="12"/>
      <c r="AI100" s="12"/>
    </row>
    <row r="101" spans="27:47">
      <c r="AA101" s="1073" t="s">
        <v>575</v>
      </c>
      <c r="AB101" s="1056"/>
      <c r="AC101" s="1057"/>
      <c r="AD101" s="1058"/>
      <c r="AE101" s="1058"/>
      <c r="AF101" s="1058"/>
      <c r="AG101" s="1058"/>
      <c r="AH101" s="1058"/>
      <c r="AI101" s="1058"/>
      <c r="AJ101" s="1058"/>
      <c r="AK101" s="1058"/>
      <c r="AL101" s="1058"/>
      <c r="AM101" s="1074" t="s">
        <v>575</v>
      </c>
      <c r="AN101" s="1058"/>
      <c r="AO101" s="1058"/>
      <c r="AP101" s="1058"/>
      <c r="AQ101" s="1058"/>
      <c r="AR101" s="1058"/>
      <c r="AS101" s="1058"/>
      <c r="AT101" s="1058"/>
      <c r="AU101" s="1059"/>
    </row>
    <row r="102" spans="27:47" ht="13.15">
      <c r="AA102" s="1062"/>
      <c r="AB102" s="1076"/>
      <c r="AC102" s="1060"/>
      <c r="AD102" s="1060"/>
      <c r="AE102" s="1060"/>
      <c r="AF102" s="1060"/>
      <c r="AG102" s="1060"/>
      <c r="AH102" s="1060"/>
      <c r="AI102" s="1060"/>
      <c r="AJ102" s="1060"/>
      <c r="AK102" s="1060"/>
      <c r="AL102" s="1060"/>
      <c r="AM102" s="1060"/>
      <c r="AN102" s="3208"/>
      <c r="AO102" s="3209"/>
      <c r="AP102" s="1060"/>
      <c r="AQ102" s="1060"/>
      <c r="AR102" s="1060"/>
      <c r="AS102" s="1060"/>
      <c r="AT102" s="1060"/>
      <c r="AU102" s="1061"/>
    </row>
    <row r="103" spans="27:47">
      <c r="AA103" s="1085"/>
      <c r="AB103" s="1086"/>
      <c r="AC103" s="1087"/>
      <c r="AD103" s="1087"/>
      <c r="AE103" s="1087"/>
      <c r="AF103" s="1087"/>
      <c r="AG103" s="1087"/>
      <c r="AH103" s="1087"/>
      <c r="AI103" s="1087"/>
      <c r="AJ103" s="1087"/>
      <c r="AK103" s="1087"/>
      <c r="AL103" s="1087"/>
      <c r="AM103" s="1087"/>
      <c r="AN103" s="1082"/>
      <c r="AO103" s="1079"/>
      <c r="AP103" s="1087"/>
      <c r="AQ103" s="1087"/>
      <c r="AR103" s="1087"/>
      <c r="AS103" s="1087"/>
      <c r="AT103" s="1087"/>
      <c r="AU103" s="1088"/>
    </row>
    <row r="104" spans="27:47">
      <c r="AA104" s="1085"/>
      <c r="AB104" s="1086"/>
      <c r="AC104" s="1087"/>
      <c r="AD104" s="1087"/>
      <c r="AE104" s="1087"/>
      <c r="AF104" s="1087"/>
      <c r="AG104" s="1087"/>
      <c r="AH104" s="1087"/>
      <c r="AI104" s="1087"/>
      <c r="AJ104" s="1087"/>
      <c r="AK104" s="1087"/>
      <c r="AL104" s="1087"/>
      <c r="AM104" s="1087"/>
      <c r="AN104" s="1080"/>
      <c r="AO104" s="1077"/>
      <c r="AP104" s="1087"/>
      <c r="AQ104" s="1087"/>
      <c r="AR104" s="1087"/>
      <c r="AS104" s="1087"/>
      <c r="AT104" s="1087"/>
      <c r="AU104" s="1088"/>
    </row>
    <row r="105" spans="27:47">
      <c r="AA105" s="1085"/>
      <c r="AB105" s="1086"/>
      <c r="AC105" s="1087"/>
      <c r="AD105" s="1087"/>
      <c r="AE105" s="1087"/>
      <c r="AF105" s="1087"/>
      <c r="AG105" s="1087"/>
      <c r="AH105" s="1087"/>
      <c r="AI105" s="1087"/>
      <c r="AJ105" s="1087"/>
      <c r="AK105" s="1087"/>
      <c r="AL105" s="1087"/>
      <c r="AM105" s="1087"/>
      <c r="AN105" s="1081"/>
      <c r="AO105" s="1078"/>
      <c r="AP105" s="1087"/>
      <c r="AQ105" s="1087"/>
      <c r="AR105" s="1087"/>
      <c r="AS105" s="1087"/>
      <c r="AT105" s="1087"/>
      <c r="AU105" s="1088"/>
    </row>
    <row r="106" spans="27:47">
      <c r="AA106" s="1085"/>
      <c r="AB106" s="1086"/>
      <c r="AC106" s="1087"/>
      <c r="AD106" s="1087"/>
      <c r="AE106" s="1087"/>
      <c r="AF106" s="1087"/>
      <c r="AG106" s="1087"/>
      <c r="AH106" s="1087"/>
      <c r="AI106" s="1087"/>
      <c r="AJ106" s="1087"/>
      <c r="AK106" s="1087"/>
      <c r="AL106" s="1087"/>
      <c r="AM106" s="1087"/>
      <c r="AN106" s="1081"/>
      <c r="AO106" s="1078"/>
      <c r="AP106" s="1087"/>
      <c r="AQ106" s="1087"/>
      <c r="AR106" s="1087"/>
      <c r="AS106" s="1087"/>
      <c r="AT106" s="1087"/>
      <c r="AU106" s="1088"/>
    </row>
    <row r="107" spans="27:47">
      <c r="AA107" s="1085"/>
      <c r="AB107" s="1086"/>
      <c r="AC107" s="1087"/>
      <c r="AD107" s="1087"/>
      <c r="AE107" s="1087"/>
      <c r="AF107" s="1087"/>
      <c r="AG107" s="1087"/>
      <c r="AH107" s="1087"/>
      <c r="AI107" s="1087"/>
      <c r="AJ107" s="1087"/>
      <c r="AK107" s="1087"/>
      <c r="AL107" s="1087"/>
      <c r="AM107" s="1087"/>
      <c r="AN107" s="1081"/>
      <c r="AO107" s="1078"/>
      <c r="AP107" s="1087"/>
      <c r="AQ107" s="1087"/>
      <c r="AR107" s="1087"/>
      <c r="AS107" s="1087"/>
      <c r="AT107" s="1087"/>
      <c r="AU107" s="1088"/>
    </row>
    <row r="108" spans="27:47">
      <c r="AA108" s="1085"/>
      <c r="AB108" s="1086"/>
      <c r="AC108" s="1087"/>
      <c r="AD108" s="1087"/>
      <c r="AE108" s="1087"/>
      <c r="AF108" s="1087"/>
      <c r="AG108" s="1087"/>
      <c r="AH108" s="1087"/>
      <c r="AI108" s="1087"/>
      <c r="AJ108" s="1087"/>
      <c r="AK108" s="1087"/>
      <c r="AL108" s="1087"/>
      <c r="AM108" s="1087"/>
      <c r="AN108" s="1081"/>
      <c r="AO108" s="1079"/>
      <c r="AP108" s="1087"/>
      <c r="AQ108" s="1087"/>
      <c r="AR108" s="1087"/>
      <c r="AS108" s="1087"/>
      <c r="AT108" s="1087"/>
      <c r="AU108" s="1088"/>
    </row>
    <row r="109" spans="27:47">
      <c r="AA109" s="1085"/>
      <c r="AB109" s="1086"/>
      <c r="AC109" s="1087"/>
      <c r="AD109" s="1087"/>
      <c r="AE109" s="1087"/>
      <c r="AF109" s="1087"/>
      <c r="AG109" s="1087"/>
      <c r="AH109" s="1087"/>
      <c r="AI109" s="1087"/>
      <c r="AJ109" s="1087"/>
      <c r="AK109" s="1087"/>
      <c r="AL109" s="1087"/>
      <c r="AM109" s="1087"/>
      <c r="AN109" s="1089"/>
      <c r="AO109" s="1090"/>
      <c r="AP109" s="1087"/>
      <c r="AQ109" s="1087"/>
      <c r="AR109" s="1087"/>
      <c r="AS109" s="1087"/>
      <c r="AT109" s="1087"/>
      <c r="AU109" s="1088"/>
    </row>
    <row r="110" spans="27:47">
      <c r="AA110" s="1095"/>
      <c r="AB110" s="399"/>
      <c r="AC110" s="399"/>
      <c r="AD110" s="399"/>
      <c r="AE110" s="399"/>
      <c r="AF110" s="399"/>
      <c r="AG110" s="399"/>
      <c r="AH110" s="399"/>
      <c r="AI110" s="399"/>
      <c r="AJ110" s="538"/>
      <c r="AK110" s="538"/>
      <c r="AL110" s="538"/>
      <c r="AM110" s="538"/>
      <c r="AN110" s="538"/>
      <c r="AO110" s="538"/>
      <c r="AP110" s="538"/>
      <c r="AQ110" s="538"/>
      <c r="AR110" s="538"/>
      <c r="AS110" s="538"/>
      <c r="AT110" s="538"/>
      <c r="AU110" s="537"/>
    </row>
  </sheetData>
  <mergeCells count="14">
    <mergeCell ref="F17:G17"/>
    <mergeCell ref="F18:G18"/>
    <mergeCell ref="AN102:AO102"/>
    <mergeCell ref="B2:B3"/>
    <mergeCell ref="F19:G19"/>
    <mergeCell ref="F5:G5"/>
    <mergeCell ref="F6:G6"/>
    <mergeCell ref="F7:G7"/>
    <mergeCell ref="F9:G9"/>
    <mergeCell ref="F10:G10"/>
    <mergeCell ref="F11:G11"/>
    <mergeCell ref="F13:G13"/>
    <mergeCell ref="F14:G14"/>
    <mergeCell ref="F15:G15"/>
  </mergeCells>
  <hyperlinks>
    <hyperlink ref="B2:B3" location="Home!A1" display="HOME" xr:uid="{502BBCB9-C84A-4B7A-8193-D3A04921FFC8}"/>
    <hyperlink ref="AA100" location="'Volume Interpolation'!A1" display="Go to Up" xr:uid="{4B73C295-BDB2-4A7D-85A0-F62039324AE2}"/>
    <hyperlink ref="B5" location="'Documents Manager'!A1" display="DOCUMENTS MANAGER" xr:uid="{80187A47-6781-42AB-85D5-E51886310084}"/>
    <hyperlink ref="B30" location="Disclaimer!A1" display="Disclaimer" xr:uid="{CFE349B4-D82A-4AC3-99FB-3C68DD80F389}"/>
    <hyperlink ref="B29" location="Help!A1" display="Help" xr:uid="{494EC28A-371E-4471-9AE3-B685579522AD}"/>
    <hyperlink ref="B27" location="'Source - Links'!A1" display="SOURCE / LINKS" xr:uid="{4E2E617B-359E-43B0-9E87-C21639FACBE1}"/>
    <hyperlink ref="B6" location="'ASTM Table Series'!A1" display="ASTM TABLES" xr:uid="{5DEFC36E-9929-466B-A596-BCBDDB35783B}"/>
    <hyperlink ref="B7" location="'ASTM Converter (Tab.1)'!A1" display="ASTM - CONVERTERS" xr:uid="{C32C5113-F7DD-4699-BD3D-25DBBD3D3931}"/>
    <hyperlink ref="B8" location="'ASTM Calculator V.W.'!A1" display="ASTM - CALCULATORS" xr:uid="{CB7252DF-398E-483E-9D77-F953CA6E34D3}"/>
    <hyperlink ref="B9" location="'Initial&amp;Max. Loading Rate'!A1" display="CARGO - CALCULATORS" xr:uid="{B9A1E06B-AABB-4F72-8147-686CB5519906}"/>
    <hyperlink ref="B12" location="'ETC Cargo operation'!A1" display="• ETC Cargo operation" xr:uid="{D51B9A11-D486-4DB1-9904-E374BE20F0F7}"/>
    <hyperlink ref="B14" location="'Volume Interpolation'!A1" display="• Volume Interpolation" xr:uid="{9CADCF35-CF4C-4314-A181-EAB98D099256}"/>
    <hyperlink ref="B11" location="'One Tank Filling Rate'!A1" display="• One Tank Filling Rate" xr:uid="{9E2254AB-285E-4F3C-BCCC-02E48D87F220}"/>
    <hyperlink ref="B10" location="'Initial&amp;Max. Loading Rate'!A1" display="• Initial &amp; Max. Loading Rate" xr:uid="{1ED76369-58EA-40D4-A484-846BF0FE362B}"/>
    <hyperlink ref="B13" location="'Average Gravity-Temp'!A1" display="• Calculator - Average Gravity/Temp" xr:uid="{838C530D-6A1E-4F60-8FB8-E737342309C0}"/>
    <hyperlink ref="B15" location="'Cargo Lines Volume'!A1" display="• Volume of Cargo Lines Calculator" xr:uid="{6DA09D53-F2BF-48E2-A090-128D08CC04B6}"/>
    <hyperlink ref="B20" location="'Pipelines Capacities'!A1" display="• Pipelines Capacities" xr:uid="{306011AC-CB54-49F6-A68B-EC85C4D08E86}"/>
    <hyperlink ref="B17" location="'Blended API'!A1" display="• Blended API" xr:uid="{61089F14-8573-4377-8F0D-D03424DF3ACF}"/>
    <hyperlink ref="B18:B19" location="'Blended Cargo Prediction'!A1" display="• Blended Cargo Prediction" xr:uid="{E719A1ED-0E4E-42DB-8C94-4F86604ACC84}"/>
    <hyperlink ref="B18" location="'Commingle-LOADING'!A1" display="• Commingle-LOADING" xr:uid="{63CDA93E-DC8F-4D20-B4B0-80EC766128E5}"/>
    <hyperlink ref="B19" location="'Commingle-LOADING-DISCHARGING'!A1" display="• Commingle-LOADING-DISCHARGING" xr:uid="{3E75E2F8-96A1-42CD-870C-4C76F4F97251}"/>
    <hyperlink ref="B21" location="'IG Pressure Change'!A1" display="• Pipelines Capacities Calculator" xr:uid="{9D4700CF-D332-448A-9BBE-95E86F4D0F4C}"/>
    <hyperlink ref="B16" location="'Wedge Volume Calculator'!A1" display="• Volume Calculator - Wedge formula" xr:uid="{19BF01A1-12F7-4498-9AFB-7CC3F4795299}"/>
    <hyperlink ref="B23" location="'Converter Pressure '!A1" display="• Units Converter Pressure" xr:uid="{7C960234-726F-4771-9914-F8F7ABC3DDCE}"/>
    <hyperlink ref="B22" location="'IG Pressure Change (2)'!A1" display="• IG Pressure Change-2" xr:uid="{B51F0CE0-8A83-4ADE-B789-033956E9073E}"/>
    <hyperlink ref="B25" location="'Guidelines - Definitions'!A1" display="GUIDELINES" xr:uid="{B1F37591-86EE-4CA2-BAE2-3641DF09774F}"/>
    <hyperlink ref="B26" location="'Guidelines - Bottom Lines'!A1" display="GUIDELINES - CARGO" xr:uid="{4F12C1AC-D010-4EE0-A6DB-AB7E68E679CB}"/>
  </hyperlinks>
  <pageMargins left="0.75" right="0.75" top="1" bottom="1" header="0.5" footer="0.5"/>
  <pageSetup paperSize="9" orientation="portrait" horizontalDpi="1200" verticalDpi="1200" r:id="rId1"/>
  <headerFooter alignWithMargins="0"/>
  <ignoredErrors>
    <ignoredError sqref="F9" unlockedFormula="1"/>
  </ignoredError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48FE6-1F20-4556-AE1C-F49F488100E2}">
  <sheetPr>
    <tabColor rgb="FF008080"/>
  </sheetPr>
  <dimension ref="A1:IV108"/>
  <sheetViews>
    <sheetView showGridLines="0" showRowColHeaders="0" topLeftCell="B1" workbookViewId="0">
      <selection activeCell="B5" sqref="B5"/>
    </sheetView>
  </sheetViews>
  <sheetFormatPr defaultColWidth="9.1328125" defaultRowHeight="12.75"/>
  <cols>
    <col min="1" max="1" width="0" style="148" hidden="1" customWidth="1"/>
    <col min="2" max="2" width="36.6640625" style="144" customWidth="1"/>
    <col min="3" max="3" width="2.6640625" style="148" customWidth="1"/>
    <col min="4" max="4" width="32.6640625" style="148" customWidth="1"/>
    <col min="5" max="5" width="27" style="148" customWidth="1"/>
    <col min="6" max="7" width="9.1328125" style="148" customWidth="1"/>
    <col min="8" max="8" width="5" style="148" customWidth="1"/>
    <col min="9" max="10" width="9.1328125" style="148" customWidth="1"/>
    <col min="11" max="11" width="10.53125" style="148" customWidth="1"/>
    <col min="12" max="256" width="9.1328125" style="148"/>
    <col min="257" max="257" width="0" style="148" hidden="1" customWidth="1"/>
    <col min="258" max="258" width="43.46484375" style="148" customWidth="1"/>
    <col min="259" max="259" width="3.6640625" style="148" customWidth="1"/>
    <col min="260" max="260" width="32.6640625" style="148" customWidth="1"/>
    <col min="261" max="261" width="27" style="148" customWidth="1"/>
    <col min="262" max="263" width="9.1328125" style="148" customWidth="1"/>
    <col min="264" max="264" width="5" style="148" customWidth="1"/>
    <col min="265" max="266" width="9.1328125" style="148" customWidth="1"/>
    <col min="267" max="267" width="10.53125" style="148" customWidth="1"/>
    <col min="268" max="512" width="9.1328125" style="148"/>
    <col min="513" max="513" width="0" style="148" hidden="1" customWidth="1"/>
    <col min="514" max="514" width="43.46484375" style="148" customWidth="1"/>
    <col min="515" max="515" width="3.6640625" style="148" customWidth="1"/>
    <col min="516" max="516" width="32.6640625" style="148" customWidth="1"/>
    <col min="517" max="517" width="27" style="148" customWidth="1"/>
    <col min="518" max="519" width="9.1328125" style="148" customWidth="1"/>
    <col min="520" max="520" width="5" style="148" customWidth="1"/>
    <col min="521" max="522" width="9.1328125" style="148" customWidth="1"/>
    <col min="523" max="523" width="10.53125" style="148" customWidth="1"/>
    <col min="524" max="768" width="9.1328125" style="148"/>
    <col min="769" max="769" width="0" style="148" hidden="1" customWidth="1"/>
    <col min="770" max="770" width="43.46484375" style="148" customWidth="1"/>
    <col min="771" max="771" width="3.6640625" style="148" customWidth="1"/>
    <col min="772" max="772" width="32.6640625" style="148" customWidth="1"/>
    <col min="773" max="773" width="27" style="148" customWidth="1"/>
    <col min="774" max="775" width="9.1328125" style="148" customWidth="1"/>
    <col min="776" max="776" width="5" style="148" customWidth="1"/>
    <col min="777" max="778" width="9.1328125" style="148" customWidth="1"/>
    <col min="779" max="779" width="10.53125" style="148" customWidth="1"/>
    <col min="780" max="1024" width="9.1328125" style="148"/>
    <col min="1025" max="1025" width="0" style="148" hidden="1" customWidth="1"/>
    <col min="1026" max="1026" width="43.46484375" style="148" customWidth="1"/>
    <col min="1027" max="1027" width="3.6640625" style="148" customWidth="1"/>
    <col min="1028" max="1028" width="32.6640625" style="148" customWidth="1"/>
    <col min="1029" max="1029" width="27" style="148" customWidth="1"/>
    <col min="1030" max="1031" width="9.1328125" style="148" customWidth="1"/>
    <col min="1032" max="1032" width="5" style="148" customWidth="1"/>
    <col min="1033" max="1034" width="9.1328125" style="148" customWidth="1"/>
    <col min="1035" max="1035" width="10.53125" style="148" customWidth="1"/>
    <col min="1036" max="1280" width="9.1328125" style="148"/>
    <col min="1281" max="1281" width="0" style="148" hidden="1" customWidth="1"/>
    <col min="1282" max="1282" width="43.46484375" style="148" customWidth="1"/>
    <col min="1283" max="1283" width="3.6640625" style="148" customWidth="1"/>
    <col min="1284" max="1284" width="32.6640625" style="148" customWidth="1"/>
    <col min="1285" max="1285" width="27" style="148" customWidth="1"/>
    <col min="1286" max="1287" width="9.1328125" style="148" customWidth="1"/>
    <col min="1288" max="1288" width="5" style="148" customWidth="1"/>
    <col min="1289" max="1290" width="9.1328125" style="148" customWidth="1"/>
    <col min="1291" max="1291" width="10.53125" style="148" customWidth="1"/>
    <col min="1292" max="1536" width="9.1328125" style="148"/>
    <col min="1537" max="1537" width="0" style="148" hidden="1" customWidth="1"/>
    <col min="1538" max="1538" width="43.46484375" style="148" customWidth="1"/>
    <col min="1539" max="1539" width="3.6640625" style="148" customWidth="1"/>
    <col min="1540" max="1540" width="32.6640625" style="148" customWidth="1"/>
    <col min="1541" max="1541" width="27" style="148" customWidth="1"/>
    <col min="1542" max="1543" width="9.1328125" style="148" customWidth="1"/>
    <col min="1544" max="1544" width="5" style="148" customWidth="1"/>
    <col min="1545" max="1546" width="9.1328125" style="148" customWidth="1"/>
    <col min="1547" max="1547" width="10.53125" style="148" customWidth="1"/>
    <col min="1548" max="1792" width="9.1328125" style="148"/>
    <col min="1793" max="1793" width="0" style="148" hidden="1" customWidth="1"/>
    <col min="1794" max="1794" width="43.46484375" style="148" customWidth="1"/>
    <col min="1795" max="1795" width="3.6640625" style="148" customWidth="1"/>
    <col min="1796" max="1796" width="32.6640625" style="148" customWidth="1"/>
    <col min="1797" max="1797" width="27" style="148" customWidth="1"/>
    <col min="1798" max="1799" width="9.1328125" style="148" customWidth="1"/>
    <col min="1800" max="1800" width="5" style="148" customWidth="1"/>
    <col min="1801" max="1802" width="9.1328125" style="148" customWidth="1"/>
    <col min="1803" max="1803" width="10.53125" style="148" customWidth="1"/>
    <col min="1804" max="2048" width="9.1328125" style="148"/>
    <col min="2049" max="2049" width="0" style="148" hidden="1" customWidth="1"/>
    <col min="2050" max="2050" width="43.46484375" style="148" customWidth="1"/>
    <col min="2051" max="2051" width="3.6640625" style="148" customWidth="1"/>
    <col min="2052" max="2052" width="32.6640625" style="148" customWidth="1"/>
    <col min="2053" max="2053" width="27" style="148" customWidth="1"/>
    <col min="2054" max="2055" width="9.1328125" style="148" customWidth="1"/>
    <col min="2056" max="2056" width="5" style="148" customWidth="1"/>
    <col min="2057" max="2058" width="9.1328125" style="148" customWidth="1"/>
    <col min="2059" max="2059" width="10.53125" style="148" customWidth="1"/>
    <col min="2060" max="2304" width="9.1328125" style="148"/>
    <col min="2305" max="2305" width="0" style="148" hidden="1" customWidth="1"/>
    <col min="2306" max="2306" width="43.46484375" style="148" customWidth="1"/>
    <col min="2307" max="2307" width="3.6640625" style="148" customWidth="1"/>
    <col min="2308" max="2308" width="32.6640625" style="148" customWidth="1"/>
    <col min="2309" max="2309" width="27" style="148" customWidth="1"/>
    <col min="2310" max="2311" width="9.1328125" style="148" customWidth="1"/>
    <col min="2312" max="2312" width="5" style="148" customWidth="1"/>
    <col min="2313" max="2314" width="9.1328125" style="148" customWidth="1"/>
    <col min="2315" max="2315" width="10.53125" style="148" customWidth="1"/>
    <col min="2316" max="2560" width="9.1328125" style="148"/>
    <col min="2561" max="2561" width="0" style="148" hidden="1" customWidth="1"/>
    <col min="2562" max="2562" width="43.46484375" style="148" customWidth="1"/>
    <col min="2563" max="2563" width="3.6640625" style="148" customWidth="1"/>
    <col min="2564" max="2564" width="32.6640625" style="148" customWidth="1"/>
    <col min="2565" max="2565" width="27" style="148" customWidth="1"/>
    <col min="2566" max="2567" width="9.1328125" style="148" customWidth="1"/>
    <col min="2568" max="2568" width="5" style="148" customWidth="1"/>
    <col min="2569" max="2570" width="9.1328125" style="148" customWidth="1"/>
    <col min="2571" max="2571" width="10.53125" style="148" customWidth="1"/>
    <col min="2572" max="2816" width="9.1328125" style="148"/>
    <col min="2817" max="2817" width="0" style="148" hidden="1" customWidth="1"/>
    <col min="2818" max="2818" width="43.46484375" style="148" customWidth="1"/>
    <col min="2819" max="2819" width="3.6640625" style="148" customWidth="1"/>
    <col min="2820" max="2820" width="32.6640625" style="148" customWidth="1"/>
    <col min="2821" max="2821" width="27" style="148" customWidth="1"/>
    <col min="2822" max="2823" width="9.1328125" style="148" customWidth="1"/>
    <col min="2824" max="2824" width="5" style="148" customWidth="1"/>
    <col min="2825" max="2826" width="9.1328125" style="148" customWidth="1"/>
    <col min="2827" max="2827" width="10.53125" style="148" customWidth="1"/>
    <col min="2828" max="3072" width="9.1328125" style="148"/>
    <col min="3073" max="3073" width="0" style="148" hidden="1" customWidth="1"/>
    <col min="3074" max="3074" width="43.46484375" style="148" customWidth="1"/>
    <col min="3075" max="3075" width="3.6640625" style="148" customWidth="1"/>
    <col min="3076" max="3076" width="32.6640625" style="148" customWidth="1"/>
    <col min="3077" max="3077" width="27" style="148" customWidth="1"/>
    <col min="3078" max="3079" width="9.1328125" style="148" customWidth="1"/>
    <col min="3080" max="3080" width="5" style="148" customWidth="1"/>
    <col min="3081" max="3082" width="9.1328125" style="148" customWidth="1"/>
    <col min="3083" max="3083" width="10.53125" style="148" customWidth="1"/>
    <col min="3084" max="3328" width="9.1328125" style="148"/>
    <col min="3329" max="3329" width="0" style="148" hidden="1" customWidth="1"/>
    <col min="3330" max="3330" width="43.46484375" style="148" customWidth="1"/>
    <col min="3331" max="3331" width="3.6640625" style="148" customWidth="1"/>
    <col min="3332" max="3332" width="32.6640625" style="148" customWidth="1"/>
    <col min="3333" max="3333" width="27" style="148" customWidth="1"/>
    <col min="3334" max="3335" width="9.1328125" style="148" customWidth="1"/>
    <col min="3336" max="3336" width="5" style="148" customWidth="1"/>
    <col min="3337" max="3338" width="9.1328125" style="148" customWidth="1"/>
    <col min="3339" max="3339" width="10.53125" style="148" customWidth="1"/>
    <col min="3340" max="3584" width="9.1328125" style="148"/>
    <col min="3585" max="3585" width="0" style="148" hidden="1" customWidth="1"/>
    <col min="3586" max="3586" width="43.46484375" style="148" customWidth="1"/>
    <col min="3587" max="3587" width="3.6640625" style="148" customWidth="1"/>
    <col min="3588" max="3588" width="32.6640625" style="148" customWidth="1"/>
    <col min="3589" max="3589" width="27" style="148" customWidth="1"/>
    <col min="3590" max="3591" width="9.1328125" style="148" customWidth="1"/>
    <col min="3592" max="3592" width="5" style="148" customWidth="1"/>
    <col min="3593" max="3594" width="9.1328125" style="148" customWidth="1"/>
    <col min="3595" max="3595" width="10.53125" style="148" customWidth="1"/>
    <col min="3596" max="3840" width="9.1328125" style="148"/>
    <col min="3841" max="3841" width="0" style="148" hidden="1" customWidth="1"/>
    <col min="3842" max="3842" width="43.46484375" style="148" customWidth="1"/>
    <col min="3843" max="3843" width="3.6640625" style="148" customWidth="1"/>
    <col min="3844" max="3844" width="32.6640625" style="148" customWidth="1"/>
    <col min="3845" max="3845" width="27" style="148" customWidth="1"/>
    <col min="3846" max="3847" width="9.1328125" style="148" customWidth="1"/>
    <col min="3848" max="3848" width="5" style="148" customWidth="1"/>
    <col min="3849" max="3850" width="9.1328125" style="148" customWidth="1"/>
    <col min="3851" max="3851" width="10.53125" style="148" customWidth="1"/>
    <col min="3852" max="4096" width="9.1328125" style="148"/>
    <col min="4097" max="4097" width="0" style="148" hidden="1" customWidth="1"/>
    <col min="4098" max="4098" width="43.46484375" style="148" customWidth="1"/>
    <col min="4099" max="4099" width="3.6640625" style="148" customWidth="1"/>
    <col min="4100" max="4100" width="32.6640625" style="148" customWidth="1"/>
    <col min="4101" max="4101" width="27" style="148" customWidth="1"/>
    <col min="4102" max="4103" width="9.1328125" style="148" customWidth="1"/>
    <col min="4104" max="4104" width="5" style="148" customWidth="1"/>
    <col min="4105" max="4106" width="9.1328125" style="148" customWidth="1"/>
    <col min="4107" max="4107" width="10.53125" style="148" customWidth="1"/>
    <col min="4108" max="4352" width="9.1328125" style="148"/>
    <col min="4353" max="4353" width="0" style="148" hidden="1" customWidth="1"/>
    <col min="4354" max="4354" width="43.46484375" style="148" customWidth="1"/>
    <col min="4355" max="4355" width="3.6640625" style="148" customWidth="1"/>
    <col min="4356" max="4356" width="32.6640625" style="148" customWidth="1"/>
    <col min="4357" max="4357" width="27" style="148" customWidth="1"/>
    <col min="4358" max="4359" width="9.1328125" style="148" customWidth="1"/>
    <col min="4360" max="4360" width="5" style="148" customWidth="1"/>
    <col min="4361" max="4362" width="9.1328125" style="148" customWidth="1"/>
    <col min="4363" max="4363" width="10.53125" style="148" customWidth="1"/>
    <col min="4364" max="4608" width="9.1328125" style="148"/>
    <col min="4609" max="4609" width="0" style="148" hidden="1" customWidth="1"/>
    <col min="4610" max="4610" width="43.46484375" style="148" customWidth="1"/>
    <col min="4611" max="4611" width="3.6640625" style="148" customWidth="1"/>
    <col min="4612" max="4612" width="32.6640625" style="148" customWidth="1"/>
    <col min="4613" max="4613" width="27" style="148" customWidth="1"/>
    <col min="4614" max="4615" width="9.1328125" style="148" customWidth="1"/>
    <col min="4616" max="4616" width="5" style="148" customWidth="1"/>
    <col min="4617" max="4618" width="9.1328125" style="148" customWidth="1"/>
    <col min="4619" max="4619" width="10.53125" style="148" customWidth="1"/>
    <col min="4620" max="4864" width="9.1328125" style="148"/>
    <col min="4865" max="4865" width="0" style="148" hidden="1" customWidth="1"/>
    <col min="4866" max="4866" width="43.46484375" style="148" customWidth="1"/>
    <col min="4867" max="4867" width="3.6640625" style="148" customWidth="1"/>
    <col min="4868" max="4868" width="32.6640625" style="148" customWidth="1"/>
    <col min="4869" max="4869" width="27" style="148" customWidth="1"/>
    <col min="4870" max="4871" width="9.1328125" style="148" customWidth="1"/>
    <col min="4872" max="4872" width="5" style="148" customWidth="1"/>
    <col min="4873" max="4874" width="9.1328125" style="148" customWidth="1"/>
    <col min="4875" max="4875" width="10.53125" style="148" customWidth="1"/>
    <col min="4876" max="5120" width="9.1328125" style="148"/>
    <col min="5121" max="5121" width="0" style="148" hidden="1" customWidth="1"/>
    <col min="5122" max="5122" width="43.46484375" style="148" customWidth="1"/>
    <col min="5123" max="5123" width="3.6640625" style="148" customWidth="1"/>
    <col min="5124" max="5124" width="32.6640625" style="148" customWidth="1"/>
    <col min="5125" max="5125" width="27" style="148" customWidth="1"/>
    <col min="5126" max="5127" width="9.1328125" style="148" customWidth="1"/>
    <col min="5128" max="5128" width="5" style="148" customWidth="1"/>
    <col min="5129" max="5130" width="9.1328125" style="148" customWidth="1"/>
    <col min="5131" max="5131" width="10.53125" style="148" customWidth="1"/>
    <col min="5132" max="5376" width="9.1328125" style="148"/>
    <col min="5377" max="5377" width="0" style="148" hidden="1" customWidth="1"/>
    <col min="5378" max="5378" width="43.46484375" style="148" customWidth="1"/>
    <col min="5379" max="5379" width="3.6640625" style="148" customWidth="1"/>
    <col min="5380" max="5380" width="32.6640625" style="148" customWidth="1"/>
    <col min="5381" max="5381" width="27" style="148" customWidth="1"/>
    <col min="5382" max="5383" width="9.1328125" style="148" customWidth="1"/>
    <col min="5384" max="5384" width="5" style="148" customWidth="1"/>
    <col min="5385" max="5386" width="9.1328125" style="148" customWidth="1"/>
    <col min="5387" max="5387" width="10.53125" style="148" customWidth="1"/>
    <col min="5388" max="5632" width="9.1328125" style="148"/>
    <col min="5633" max="5633" width="0" style="148" hidden="1" customWidth="1"/>
    <col min="5634" max="5634" width="43.46484375" style="148" customWidth="1"/>
    <col min="5635" max="5635" width="3.6640625" style="148" customWidth="1"/>
    <col min="5636" max="5636" width="32.6640625" style="148" customWidth="1"/>
    <col min="5637" max="5637" width="27" style="148" customWidth="1"/>
    <col min="5638" max="5639" width="9.1328125" style="148" customWidth="1"/>
    <col min="5640" max="5640" width="5" style="148" customWidth="1"/>
    <col min="5641" max="5642" width="9.1328125" style="148" customWidth="1"/>
    <col min="5643" max="5643" width="10.53125" style="148" customWidth="1"/>
    <col min="5644" max="5888" width="9.1328125" style="148"/>
    <col min="5889" max="5889" width="0" style="148" hidden="1" customWidth="1"/>
    <col min="5890" max="5890" width="43.46484375" style="148" customWidth="1"/>
    <col min="5891" max="5891" width="3.6640625" style="148" customWidth="1"/>
    <col min="5892" max="5892" width="32.6640625" style="148" customWidth="1"/>
    <col min="5893" max="5893" width="27" style="148" customWidth="1"/>
    <col min="5894" max="5895" width="9.1328125" style="148" customWidth="1"/>
    <col min="5896" max="5896" width="5" style="148" customWidth="1"/>
    <col min="5897" max="5898" width="9.1328125" style="148" customWidth="1"/>
    <col min="5899" max="5899" width="10.53125" style="148" customWidth="1"/>
    <col min="5900" max="6144" width="9.1328125" style="148"/>
    <col min="6145" max="6145" width="0" style="148" hidden="1" customWidth="1"/>
    <col min="6146" max="6146" width="43.46484375" style="148" customWidth="1"/>
    <col min="6147" max="6147" width="3.6640625" style="148" customWidth="1"/>
    <col min="6148" max="6148" width="32.6640625" style="148" customWidth="1"/>
    <col min="6149" max="6149" width="27" style="148" customWidth="1"/>
    <col min="6150" max="6151" width="9.1328125" style="148" customWidth="1"/>
    <col min="6152" max="6152" width="5" style="148" customWidth="1"/>
    <col min="6153" max="6154" width="9.1328125" style="148" customWidth="1"/>
    <col min="6155" max="6155" width="10.53125" style="148" customWidth="1"/>
    <col min="6156" max="6400" width="9.1328125" style="148"/>
    <col min="6401" max="6401" width="0" style="148" hidden="1" customWidth="1"/>
    <col min="6402" max="6402" width="43.46484375" style="148" customWidth="1"/>
    <col min="6403" max="6403" width="3.6640625" style="148" customWidth="1"/>
    <col min="6404" max="6404" width="32.6640625" style="148" customWidth="1"/>
    <col min="6405" max="6405" width="27" style="148" customWidth="1"/>
    <col min="6406" max="6407" width="9.1328125" style="148" customWidth="1"/>
    <col min="6408" max="6408" width="5" style="148" customWidth="1"/>
    <col min="6409" max="6410" width="9.1328125" style="148" customWidth="1"/>
    <col min="6411" max="6411" width="10.53125" style="148" customWidth="1"/>
    <col min="6412" max="6656" width="9.1328125" style="148"/>
    <col min="6657" max="6657" width="0" style="148" hidden="1" customWidth="1"/>
    <col min="6658" max="6658" width="43.46484375" style="148" customWidth="1"/>
    <col min="6659" max="6659" width="3.6640625" style="148" customWidth="1"/>
    <col min="6660" max="6660" width="32.6640625" style="148" customWidth="1"/>
    <col min="6661" max="6661" width="27" style="148" customWidth="1"/>
    <col min="6662" max="6663" width="9.1328125" style="148" customWidth="1"/>
    <col min="6664" max="6664" width="5" style="148" customWidth="1"/>
    <col min="6665" max="6666" width="9.1328125" style="148" customWidth="1"/>
    <col min="6667" max="6667" width="10.53125" style="148" customWidth="1"/>
    <col min="6668" max="6912" width="9.1328125" style="148"/>
    <col min="6913" max="6913" width="0" style="148" hidden="1" customWidth="1"/>
    <col min="6914" max="6914" width="43.46484375" style="148" customWidth="1"/>
    <col min="6915" max="6915" width="3.6640625" style="148" customWidth="1"/>
    <col min="6916" max="6916" width="32.6640625" style="148" customWidth="1"/>
    <col min="6917" max="6917" width="27" style="148" customWidth="1"/>
    <col min="6918" max="6919" width="9.1328125" style="148" customWidth="1"/>
    <col min="6920" max="6920" width="5" style="148" customWidth="1"/>
    <col min="6921" max="6922" width="9.1328125" style="148" customWidth="1"/>
    <col min="6923" max="6923" width="10.53125" style="148" customWidth="1"/>
    <col min="6924" max="7168" width="9.1328125" style="148"/>
    <col min="7169" max="7169" width="0" style="148" hidden="1" customWidth="1"/>
    <col min="7170" max="7170" width="43.46484375" style="148" customWidth="1"/>
    <col min="7171" max="7171" width="3.6640625" style="148" customWidth="1"/>
    <col min="7172" max="7172" width="32.6640625" style="148" customWidth="1"/>
    <col min="7173" max="7173" width="27" style="148" customWidth="1"/>
    <col min="7174" max="7175" width="9.1328125" style="148" customWidth="1"/>
    <col min="7176" max="7176" width="5" style="148" customWidth="1"/>
    <col min="7177" max="7178" width="9.1328125" style="148" customWidth="1"/>
    <col min="7179" max="7179" width="10.53125" style="148" customWidth="1"/>
    <col min="7180" max="7424" width="9.1328125" style="148"/>
    <col min="7425" max="7425" width="0" style="148" hidden="1" customWidth="1"/>
    <col min="7426" max="7426" width="43.46484375" style="148" customWidth="1"/>
    <col min="7427" max="7427" width="3.6640625" style="148" customWidth="1"/>
    <col min="7428" max="7428" width="32.6640625" style="148" customWidth="1"/>
    <col min="7429" max="7429" width="27" style="148" customWidth="1"/>
    <col min="7430" max="7431" width="9.1328125" style="148" customWidth="1"/>
    <col min="7432" max="7432" width="5" style="148" customWidth="1"/>
    <col min="7433" max="7434" width="9.1328125" style="148" customWidth="1"/>
    <col min="7435" max="7435" width="10.53125" style="148" customWidth="1"/>
    <col min="7436" max="7680" width="9.1328125" style="148"/>
    <col min="7681" max="7681" width="0" style="148" hidden="1" customWidth="1"/>
    <col min="7682" max="7682" width="43.46484375" style="148" customWidth="1"/>
    <col min="7683" max="7683" width="3.6640625" style="148" customWidth="1"/>
    <col min="7684" max="7684" width="32.6640625" style="148" customWidth="1"/>
    <col min="7685" max="7685" width="27" style="148" customWidth="1"/>
    <col min="7686" max="7687" width="9.1328125" style="148" customWidth="1"/>
    <col min="7688" max="7688" width="5" style="148" customWidth="1"/>
    <col min="7689" max="7690" width="9.1328125" style="148" customWidth="1"/>
    <col min="7691" max="7691" width="10.53125" style="148" customWidth="1"/>
    <col min="7692" max="7936" width="9.1328125" style="148"/>
    <col min="7937" max="7937" width="0" style="148" hidden="1" customWidth="1"/>
    <col min="7938" max="7938" width="43.46484375" style="148" customWidth="1"/>
    <col min="7939" max="7939" width="3.6640625" style="148" customWidth="1"/>
    <col min="7940" max="7940" width="32.6640625" style="148" customWidth="1"/>
    <col min="7941" max="7941" width="27" style="148" customWidth="1"/>
    <col min="7942" max="7943" width="9.1328125" style="148" customWidth="1"/>
    <col min="7944" max="7944" width="5" style="148" customWidth="1"/>
    <col min="7945" max="7946" width="9.1328125" style="148" customWidth="1"/>
    <col min="7947" max="7947" width="10.53125" style="148" customWidth="1"/>
    <col min="7948" max="8192" width="9.1328125" style="148"/>
    <col min="8193" max="8193" width="0" style="148" hidden="1" customWidth="1"/>
    <col min="8194" max="8194" width="43.46484375" style="148" customWidth="1"/>
    <col min="8195" max="8195" width="3.6640625" style="148" customWidth="1"/>
    <col min="8196" max="8196" width="32.6640625" style="148" customWidth="1"/>
    <col min="8197" max="8197" width="27" style="148" customWidth="1"/>
    <col min="8198" max="8199" width="9.1328125" style="148" customWidth="1"/>
    <col min="8200" max="8200" width="5" style="148" customWidth="1"/>
    <col min="8201" max="8202" width="9.1328125" style="148" customWidth="1"/>
    <col min="8203" max="8203" width="10.53125" style="148" customWidth="1"/>
    <col min="8204" max="8448" width="9.1328125" style="148"/>
    <col min="8449" max="8449" width="0" style="148" hidden="1" customWidth="1"/>
    <col min="8450" max="8450" width="43.46484375" style="148" customWidth="1"/>
    <col min="8451" max="8451" width="3.6640625" style="148" customWidth="1"/>
    <col min="8452" max="8452" width="32.6640625" style="148" customWidth="1"/>
    <col min="8453" max="8453" width="27" style="148" customWidth="1"/>
    <col min="8454" max="8455" width="9.1328125" style="148" customWidth="1"/>
    <col min="8456" max="8456" width="5" style="148" customWidth="1"/>
    <col min="8457" max="8458" width="9.1328125" style="148" customWidth="1"/>
    <col min="8459" max="8459" width="10.53125" style="148" customWidth="1"/>
    <col min="8460" max="8704" width="9.1328125" style="148"/>
    <col min="8705" max="8705" width="0" style="148" hidden="1" customWidth="1"/>
    <col min="8706" max="8706" width="43.46484375" style="148" customWidth="1"/>
    <col min="8707" max="8707" width="3.6640625" style="148" customWidth="1"/>
    <col min="8708" max="8708" width="32.6640625" style="148" customWidth="1"/>
    <col min="8709" max="8709" width="27" style="148" customWidth="1"/>
    <col min="8710" max="8711" width="9.1328125" style="148" customWidth="1"/>
    <col min="8712" max="8712" width="5" style="148" customWidth="1"/>
    <col min="8713" max="8714" width="9.1328125" style="148" customWidth="1"/>
    <col min="8715" max="8715" width="10.53125" style="148" customWidth="1"/>
    <col min="8716" max="8960" width="9.1328125" style="148"/>
    <col min="8961" max="8961" width="0" style="148" hidden="1" customWidth="1"/>
    <col min="8962" max="8962" width="43.46484375" style="148" customWidth="1"/>
    <col min="8963" max="8963" width="3.6640625" style="148" customWidth="1"/>
    <col min="8964" max="8964" width="32.6640625" style="148" customWidth="1"/>
    <col min="8965" max="8965" width="27" style="148" customWidth="1"/>
    <col min="8966" max="8967" width="9.1328125" style="148" customWidth="1"/>
    <col min="8968" max="8968" width="5" style="148" customWidth="1"/>
    <col min="8969" max="8970" width="9.1328125" style="148" customWidth="1"/>
    <col min="8971" max="8971" width="10.53125" style="148" customWidth="1"/>
    <col min="8972" max="9216" width="9.1328125" style="148"/>
    <col min="9217" max="9217" width="0" style="148" hidden="1" customWidth="1"/>
    <col min="9218" max="9218" width="43.46484375" style="148" customWidth="1"/>
    <col min="9219" max="9219" width="3.6640625" style="148" customWidth="1"/>
    <col min="9220" max="9220" width="32.6640625" style="148" customWidth="1"/>
    <col min="9221" max="9221" width="27" style="148" customWidth="1"/>
    <col min="9222" max="9223" width="9.1328125" style="148" customWidth="1"/>
    <col min="9224" max="9224" width="5" style="148" customWidth="1"/>
    <col min="9225" max="9226" width="9.1328125" style="148" customWidth="1"/>
    <col min="9227" max="9227" width="10.53125" style="148" customWidth="1"/>
    <col min="9228" max="9472" width="9.1328125" style="148"/>
    <col min="9473" max="9473" width="0" style="148" hidden="1" customWidth="1"/>
    <col min="9474" max="9474" width="43.46484375" style="148" customWidth="1"/>
    <col min="9475" max="9475" width="3.6640625" style="148" customWidth="1"/>
    <col min="9476" max="9476" width="32.6640625" style="148" customWidth="1"/>
    <col min="9477" max="9477" width="27" style="148" customWidth="1"/>
    <col min="9478" max="9479" width="9.1328125" style="148" customWidth="1"/>
    <col min="9480" max="9480" width="5" style="148" customWidth="1"/>
    <col min="9481" max="9482" width="9.1328125" style="148" customWidth="1"/>
    <col min="9483" max="9483" width="10.53125" style="148" customWidth="1"/>
    <col min="9484" max="9728" width="9.1328125" style="148"/>
    <col min="9729" max="9729" width="0" style="148" hidden="1" customWidth="1"/>
    <col min="9730" max="9730" width="43.46484375" style="148" customWidth="1"/>
    <col min="9731" max="9731" width="3.6640625" style="148" customWidth="1"/>
    <col min="9732" max="9732" width="32.6640625" style="148" customWidth="1"/>
    <col min="9733" max="9733" width="27" style="148" customWidth="1"/>
    <col min="9734" max="9735" width="9.1328125" style="148" customWidth="1"/>
    <col min="9736" max="9736" width="5" style="148" customWidth="1"/>
    <col min="9737" max="9738" width="9.1328125" style="148" customWidth="1"/>
    <col min="9739" max="9739" width="10.53125" style="148" customWidth="1"/>
    <col min="9740" max="9984" width="9.1328125" style="148"/>
    <col min="9985" max="9985" width="0" style="148" hidden="1" customWidth="1"/>
    <col min="9986" max="9986" width="43.46484375" style="148" customWidth="1"/>
    <col min="9987" max="9987" width="3.6640625" style="148" customWidth="1"/>
    <col min="9988" max="9988" width="32.6640625" style="148" customWidth="1"/>
    <col min="9989" max="9989" width="27" style="148" customWidth="1"/>
    <col min="9990" max="9991" width="9.1328125" style="148" customWidth="1"/>
    <col min="9992" max="9992" width="5" style="148" customWidth="1"/>
    <col min="9993" max="9994" width="9.1328125" style="148" customWidth="1"/>
    <col min="9995" max="9995" width="10.53125" style="148" customWidth="1"/>
    <col min="9996" max="10240" width="9.1328125" style="148"/>
    <col min="10241" max="10241" width="0" style="148" hidden="1" customWidth="1"/>
    <col min="10242" max="10242" width="43.46484375" style="148" customWidth="1"/>
    <col min="10243" max="10243" width="3.6640625" style="148" customWidth="1"/>
    <col min="10244" max="10244" width="32.6640625" style="148" customWidth="1"/>
    <col min="10245" max="10245" width="27" style="148" customWidth="1"/>
    <col min="10246" max="10247" width="9.1328125" style="148" customWidth="1"/>
    <col min="10248" max="10248" width="5" style="148" customWidth="1"/>
    <col min="10249" max="10250" width="9.1328125" style="148" customWidth="1"/>
    <col min="10251" max="10251" width="10.53125" style="148" customWidth="1"/>
    <col min="10252" max="10496" width="9.1328125" style="148"/>
    <col min="10497" max="10497" width="0" style="148" hidden="1" customWidth="1"/>
    <col min="10498" max="10498" width="43.46484375" style="148" customWidth="1"/>
    <col min="10499" max="10499" width="3.6640625" style="148" customWidth="1"/>
    <col min="10500" max="10500" width="32.6640625" style="148" customWidth="1"/>
    <col min="10501" max="10501" width="27" style="148" customWidth="1"/>
    <col min="10502" max="10503" width="9.1328125" style="148" customWidth="1"/>
    <col min="10504" max="10504" width="5" style="148" customWidth="1"/>
    <col min="10505" max="10506" width="9.1328125" style="148" customWidth="1"/>
    <col min="10507" max="10507" width="10.53125" style="148" customWidth="1"/>
    <col min="10508" max="10752" width="9.1328125" style="148"/>
    <col min="10753" max="10753" width="0" style="148" hidden="1" customWidth="1"/>
    <col min="10754" max="10754" width="43.46484375" style="148" customWidth="1"/>
    <col min="10755" max="10755" width="3.6640625" style="148" customWidth="1"/>
    <col min="10756" max="10756" width="32.6640625" style="148" customWidth="1"/>
    <col min="10757" max="10757" width="27" style="148" customWidth="1"/>
    <col min="10758" max="10759" width="9.1328125" style="148" customWidth="1"/>
    <col min="10760" max="10760" width="5" style="148" customWidth="1"/>
    <col min="10761" max="10762" width="9.1328125" style="148" customWidth="1"/>
    <col min="10763" max="10763" width="10.53125" style="148" customWidth="1"/>
    <col min="10764" max="11008" width="9.1328125" style="148"/>
    <col min="11009" max="11009" width="0" style="148" hidden="1" customWidth="1"/>
    <col min="11010" max="11010" width="43.46484375" style="148" customWidth="1"/>
    <col min="11011" max="11011" width="3.6640625" style="148" customWidth="1"/>
    <col min="11012" max="11012" width="32.6640625" style="148" customWidth="1"/>
    <col min="11013" max="11013" width="27" style="148" customWidth="1"/>
    <col min="11014" max="11015" width="9.1328125" style="148" customWidth="1"/>
    <col min="11016" max="11016" width="5" style="148" customWidth="1"/>
    <col min="11017" max="11018" width="9.1328125" style="148" customWidth="1"/>
    <col min="11019" max="11019" width="10.53125" style="148" customWidth="1"/>
    <col min="11020" max="11264" width="9.1328125" style="148"/>
    <col min="11265" max="11265" width="0" style="148" hidden="1" customWidth="1"/>
    <col min="11266" max="11266" width="43.46484375" style="148" customWidth="1"/>
    <col min="11267" max="11267" width="3.6640625" style="148" customWidth="1"/>
    <col min="11268" max="11268" width="32.6640625" style="148" customWidth="1"/>
    <col min="11269" max="11269" width="27" style="148" customWidth="1"/>
    <col min="11270" max="11271" width="9.1328125" style="148" customWidth="1"/>
    <col min="11272" max="11272" width="5" style="148" customWidth="1"/>
    <col min="11273" max="11274" width="9.1328125" style="148" customWidth="1"/>
    <col min="11275" max="11275" width="10.53125" style="148" customWidth="1"/>
    <col min="11276" max="11520" width="9.1328125" style="148"/>
    <col min="11521" max="11521" width="0" style="148" hidden="1" customWidth="1"/>
    <col min="11522" max="11522" width="43.46484375" style="148" customWidth="1"/>
    <col min="11523" max="11523" width="3.6640625" style="148" customWidth="1"/>
    <col min="11524" max="11524" width="32.6640625" style="148" customWidth="1"/>
    <col min="11525" max="11525" width="27" style="148" customWidth="1"/>
    <col min="11526" max="11527" width="9.1328125" style="148" customWidth="1"/>
    <col min="11528" max="11528" width="5" style="148" customWidth="1"/>
    <col min="11529" max="11530" width="9.1328125" style="148" customWidth="1"/>
    <col min="11531" max="11531" width="10.53125" style="148" customWidth="1"/>
    <col min="11532" max="11776" width="9.1328125" style="148"/>
    <col min="11777" max="11777" width="0" style="148" hidden="1" customWidth="1"/>
    <col min="11778" max="11778" width="43.46484375" style="148" customWidth="1"/>
    <col min="11779" max="11779" width="3.6640625" style="148" customWidth="1"/>
    <col min="11780" max="11780" width="32.6640625" style="148" customWidth="1"/>
    <col min="11781" max="11781" width="27" style="148" customWidth="1"/>
    <col min="11782" max="11783" width="9.1328125" style="148" customWidth="1"/>
    <col min="11784" max="11784" width="5" style="148" customWidth="1"/>
    <col min="11785" max="11786" width="9.1328125" style="148" customWidth="1"/>
    <col min="11787" max="11787" width="10.53125" style="148" customWidth="1"/>
    <col min="11788" max="12032" width="9.1328125" style="148"/>
    <col min="12033" max="12033" width="0" style="148" hidden="1" customWidth="1"/>
    <col min="12034" max="12034" width="43.46484375" style="148" customWidth="1"/>
    <col min="12035" max="12035" width="3.6640625" style="148" customWidth="1"/>
    <col min="12036" max="12036" width="32.6640625" style="148" customWidth="1"/>
    <col min="12037" max="12037" width="27" style="148" customWidth="1"/>
    <col min="12038" max="12039" width="9.1328125" style="148" customWidth="1"/>
    <col min="12040" max="12040" width="5" style="148" customWidth="1"/>
    <col min="12041" max="12042" width="9.1328125" style="148" customWidth="1"/>
    <col min="12043" max="12043" width="10.53125" style="148" customWidth="1"/>
    <col min="12044" max="12288" width="9.1328125" style="148"/>
    <col min="12289" max="12289" width="0" style="148" hidden="1" customWidth="1"/>
    <col min="12290" max="12290" width="43.46484375" style="148" customWidth="1"/>
    <col min="12291" max="12291" width="3.6640625" style="148" customWidth="1"/>
    <col min="12292" max="12292" width="32.6640625" style="148" customWidth="1"/>
    <col min="12293" max="12293" width="27" style="148" customWidth="1"/>
    <col min="12294" max="12295" width="9.1328125" style="148" customWidth="1"/>
    <col min="12296" max="12296" width="5" style="148" customWidth="1"/>
    <col min="12297" max="12298" width="9.1328125" style="148" customWidth="1"/>
    <col min="12299" max="12299" width="10.53125" style="148" customWidth="1"/>
    <col min="12300" max="12544" width="9.1328125" style="148"/>
    <col min="12545" max="12545" width="0" style="148" hidden="1" customWidth="1"/>
    <col min="12546" max="12546" width="43.46484375" style="148" customWidth="1"/>
    <col min="12547" max="12547" width="3.6640625" style="148" customWidth="1"/>
    <col min="12548" max="12548" width="32.6640625" style="148" customWidth="1"/>
    <col min="12549" max="12549" width="27" style="148" customWidth="1"/>
    <col min="12550" max="12551" width="9.1328125" style="148" customWidth="1"/>
    <col min="12552" max="12552" width="5" style="148" customWidth="1"/>
    <col min="12553" max="12554" width="9.1328125" style="148" customWidth="1"/>
    <col min="12555" max="12555" width="10.53125" style="148" customWidth="1"/>
    <col min="12556" max="12800" width="9.1328125" style="148"/>
    <col min="12801" max="12801" width="0" style="148" hidden="1" customWidth="1"/>
    <col min="12802" max="12802" width="43.46484375" style="148" customWidth="1"/>
    <col min="12803" max="12803" width="3.6640625" style="148" customWidth="1"/>
    <col min="12804" max="12804" width="32.6640625" style="148" customWidth="1"/>
    <col min="12805" max="12805" width="27" style="148" customWidth="1"/>
    <col min="12806" max="12807" width="9.1328125" style="148" customWidth="1"/>
    <col min="12808" max="12808" width="5" style="148" customWidth="1"/>
    <col min="12809" max="12810" width="9.1328125" style="148" customWidth="1"/>
    <col min="12811" max="12811" width="10.53125" style="148" customWidth="1"/>
    <col min="12812" max="13056" width="9.1328125" style="148"/>
    <col min="13057" max="13057" width="0" style="148" hidden="1" customWidth="1"/>
    <col min="13058" max="13058" width="43.46484375" style="148" customWidth="1"/>
    <col min="13059" max="13059" width="3.6640625" style="148" customWidth="1"/>
    <col min="13060" max="13060" width="32.6640625" style="148" customWidth="1"/>
    <col min="13061" max="13061" width="27" style="148" customWidth="1"/>
    <col min="13062" max="13063" width="9.1328125" style="148" customWidth="1"/>
    <col min="13064" max="13064" width="5" style="148" customWidth="1"/>
    <col min="13065" max="13066" width="9.1328125" style="148" customWidth="1"/>
    <col min="13067" max="13067" width="10.53125" style="148" customWidth="1"/>
    <col min="13068" max="13312" width="9.1328125" style="148"/>
    <col min="13313" max="13313" width="0" style="148" hidden="1" customWidth="1"/>
    <col min="13314" max="13314" width="43.46484375" style="148" customWidth="1"/>
    <col min="13315" max="13315" width="3.6640625" style="148" customWidth="1"/>
    <col min="13316" max="13316" width="32.6640625" style="148" customWidth="1"/>
    <col min="13317" max="13317" width="27" style="148" customWidth="1"/>
    <col min="13318" max="13319" width="9.1328125" style="148" customWidth="1"/>
    <col min="13320" max="13320" width="5" style="148" customWidth="1"/>
    <col min="13321" max="13322" width="9.1328125" style="148" customWidth="1"/>
    <col min="13323" max="13323" width="10.53125" style="148" customWidth="1"/>
    <col min="13324" max="13568" width="9.1328125" style="148"/>
    <col min="13569" max="13569" width="0" style="148" hidden="1" customWidth="1"/>
    <col min="13570" max="13570" width="43.46484375" style="148" customWidth="1"/>
    <col min="13571" max="13571" width="3.6640625" style="148" customWidth="1"/>
    <col min="13572" max="13572" width="32.6640625" style="148" customWidth="1"/>
    <col min="13573" max="13573" width="27" style="148" customWidth="1"/>
    <col min="13574" max="13575" width="9.1328125" style="148" customWidth="1"/>
    <col min="13576" max="13576" width="5" style="148" customWidth="1"/>
    <col min="13577" max="13578" width="9.1328125" style="148" customWidth="1"/>
    <col min="13579" max="13579" width="10.53125" style="148" customWidth="1"/>
    <col min="13580" max="13824" width="9.1328125" style="148"/>
    <col min="13825" max="13825" width="0" style="148" hidden="1" customWidth="1"/>
    <col min="13826" max="13826" width="43.46484375" style="148" customWidth="1"/>
    <col min="13827" max="13827" width="3.6640625" style="148" customWidth="1"/>
    <col min="13828" max="13828" width="32.6640625" style="148" customWidth="1"/>
    <col min="13829" max="13829" width="27" style="148" customWidth="1"/>
    <col min="13830" max="13831" width="9.1328125" style="148" customWidth="1"/>
    <col min="13832" max="13832" width="5" style="148" customWidth="1"/>
    <col min="13833" max="13834" width="9.1328125" style="148" customWidth="1"/>
    <col min="13835" max="13835" width="10.53125" style="148" customWidth="1"/>
    <col min="13836" max="14080" width="9.1328125" style="148"/>
    <col min="14081" max="14081" width="0" style="148" hidden="1" customWidth="1"/>
    <col min="14082" max="14082" width="43.46484375" style="148" customWidth="1"/>
    <col min="14083" max="14083" width="3.6640625" style="148" customWidth="1"/>
    <col min="14084" max="14084" width="32.6640625" style="148" customWidth="1"/>
    <col min="14085" max="14085" width="27" style="148" customWidth="1"/>
    <col min="14086" max="14087" width="9.1328125" style="148" customWidth="1"/>
    <col min="14088" max="14088" width="5" style="148" customWidth="1"/>
    <col min="14089" max="14090" width="9.1328125" style="148" customWidth="1"/>
    <col min="14091" max="14091" width="10.53125" style="148" customWidth="1"/>
    <col min="14092" max="14336" width="9.1328125" style="148"/>
    <col min="14337" max="14337" width="0" style="148" hidden="1" customWidth="1"/>
    <col min="14338" max="14338" width="43.46484375" style="148" customWidth="1"/>
    <col min="14339" max="14339" width="3.6640625" style="148" customWidth="1"/>
    <col min="14340" max="14340" width="32.6640625" style="148" customWidth="1"/>
    <col min="14341" max="14341" width="27" style="148" customWidth="1"/>
    <col min="14342" max="14343" width="9.1328125" style="148" customWidth="1"/>
    <col min="14344" max="14344" width="5" style="148" customWidth="1"/>
    <col min="14345" max="14346" width="9.1328125" style="148" customWidth="1"/>
    <col min="14347" max="14347" width="10.53125" style="148" customWidth="1"/>
    <col min="14348" max="14592" width="9.1328125" style="148"/>
    <col min="14593" max="14593" width="0" style="148" hidden="1" customWidth="1"/>
    <col min="14594" max="14594" width="43.46484375" style="148" customWidth="1"/>
    <col min="14595" max="14595" width="3.6640625" style="148" customWidth="1"/>
    <col min="14596" max="14596" width="32.6640625" style="148" customWidth="1"/>
    <col min="14597" max="14597" width="27" style="148" customWidth="1"/>
    <col min="14598" max="14599" width="9.1328125" style="148" customWidth="1"/>
    <col min="14600" max="14600" width="5" style="148" customWidth="1"/>
    <col min="14601" max="14602" width="9.1328125" style="148" customWidth="1"/>
    <col min="14603" max="14603" width="10.53125" style="148" customWidth="1"/>
    <col min="14604" max="14848" width="9.1328125" style="148"/>
    <col min="14849" max="14849" width="0" style="148" hidden="1" customWidth="1"/>
    <col min="14850" max="14850" width="43.46484375" style="148" customWidth="1"/>
    <col min="14851" max="14851" width="3.6640625" style="148" customWidth="1"/>
    <col min="14852" max="14852" width="32.6640625" style="148" customWidth="1"/>
    <col min="14853" max="14853" width="27" style="148" customWidth="1"/>
    <col min="14854" max="14855" width="9.1328125" style="148" customWidth="1"/>
    <col min="14856" max="14856" width="5" style="148" customWidth="1"/>
    <col min="14857" max="14858" width="9.1328125" style="148" customWidth="1"/>
    <col min="14859" max="14859" width="10.53125" style="148" customWidth="1"/>
    <col min="14860" max="15104" width="9.1328125" style="148"/>
    <col min="15105" max="15105" width="0" style="148" hidden="1" customWidth="1"/>
    <col min="15106" max="15106" width="43.46484375" style="148" customWidth="1"/>
    <col min="15107" max="15107" width="3.6640625" style="148" customWidth="1"/>
    <col min="15108" max="15108" width="32.6640625" style="148" customWidth="1"/>
    <col min="15109" max="15109" width="27" style="148" customWidth="1"/>
    <col min="15110" max="15111" width="9.1328125" style="148" customWidth="1"/>
    <col min="15112" max="15112" width="5" style="148" customWidth="1"/>
    <col min="15113" max="15114" width="9.1328125" style="148" customWidth="1"/>
    <col min="15115" max="15115" width="10.53125" style="148" customWidth="1"/>
    <col min="15116" max="15360" width="9.1328125" style="148"/>
    <col min="15361" max="15361" width="0" style="148" hidden="1" customWidth="1"/>
    <col min="15362" max="15362" width="43.46484375" style="148" customWidth="1"/>
    <col min="15363" max="15363" width="3.6640625" style="148" customWidth="1"/>
    <col min="15364" max="15364" width="32.6640625" style="148" customWidth="1"/>
    <col min="15365" max="15365" width="27" style="148" customWidth="1"/>
    <col min="15366" max="15367" width="9.1328125" style="148" customWidth="1"/>
    <col min="15368" max="15368" width="5" style="148" customWidth="1"/>
    <col min="15369" max="15370" width="9.1328125" style="148" customWidth="1"/>
    <col min="15371" max="15371" width="10.53125" style="148" customWidth="1"/>
    <col min="15372" max="15616" width="9.1328125" style="148"/>
    <col min="15617" max="15617" width="0" style="148" hidden="1" customWidth="1"/>
    <col min="15618" max="15618" width="43.46484375" style="148" customWidth="1"/>
    <col min="15619" max="15619" width="3.6640625" style="148" customWidth="1"/>
    <col min="15620" max="15620" width="32.6640625" style="148" customWidth="1"/>
    <col min="15621" max="15621" width="27" style="148" customWidth="1"/>
    <col min="15622" max="15623" width="9.1328125" style="148" customWidth="1"/>
    <col min="15624" max="15624" width="5" style="148" customWidth="1"/>
    <col min="15625" max="15626" width="9.1328125" style="148" customWidth="1"/>
    <col min="15627" max="15627" width="10.53125" style="148" customWidth="1"/>
    <col min="15628" max="15872" width="9.1328125" style="148"/>
    <col min="15873" max="15873" width="0" style="148" hidden="1" customWidth="1"/>
    <col min="15874" max="15874" width="43.46484375" style="148" customWidth="1"/>
    <col min="15875" max="15875" width="3.6640625" style="148" customWidth="1"/>
    <col min="15876" max="15876" width="32.6640625" style="148" customWidth="1"/>
    <col min="15877" max="15877" width="27" style="148" customWidth="1"/>
    <col min="15878" max="15879" width="9.1328125" style="148" customWidth="1"/>
    <col min="15880" max="15880" width="5" style="148" customWidth="1"/>
    <col min="15881" max="15882" width="9.1328125" style="148" customWidth="1"/>
    <col min="15883" max="15883" width="10.53125" style="148" customWidth="1"/>
    <col min="15884" max="16128" width="9.1328125" style="148"/>
    <col min="16129" max="16129" width="0" style="148" hidden="1" customWidth="1"/>
    <col min="16130" max="16130" width="43.46484375" style="148" customWidth="1"/>
    <col min="16131" max="16131" width="3.6640625" style="148" customWidth="1"/>
    <col min="16132" max="16132" width="32.6640625" style="148" customWidth="1"/>
    <col min="16133" max="16133" width="27" style="148" customWidth="1"/>
    <col min="16134" max="16135" width="9.1328125" style="148" customWidth="1"/>
    <col min="16136" max="16136" width="5" style="148" customWidth="1"/>
    <col min="16137" max="16138" width="9.1328125" style="148" customWidth="1"/>
    <col min="16139" max="16139" width="10.53125" style="148" customWidth="1"/>
    <col min="16140" max="16384" width="9.1328125" style="148"/>
  </cols>
  <sheetData>
    <row r="1" spans="1:256" ht="12.75" customHeight="1">
      <c r="B1" s="63"/>
    </row>
    <row r="2" spans="1:256" s="157" customFormat="1" ht="21" customHeight="1">
      <c r="A2" s="148"/>
      <c r="B2" s="3187" t="s">
        <v>0</v>
      </c>
      <c r="C2" s="149"/>
      <c r="D2" s="3190" t="s">
        <v>94</v>
      </c>
      <c r="E2" s="3190"/>
      <c r="F2" s="3190"/>
      <c r="G2" s="3190"/>
      <c r="H2" s="3190"/>
      <c r="I2" s="3190"/>
      <c r="J2" s="3190"/>
      <c r="K2" s="3190"/>
      <c r="L2" s="155"/>
      <c r="M2" s="155"/>
      <c r="N2" s="155"/>
      <c r="O2" s="155"/>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row>
    <row r="3" spans="1:256" s="157" customFormat="1" ht="21" customHeight="1">
      <c r="A3" s="148"/>
      <c r="B3" s="3187"/>
      <c r="C3" s="149"/>
      <c r="D3" s="3190"/>
      <c r="E3" s="3190"/>
      <c r="F3" s="3190"/>
      <c r="G3" s="3190"/>
      <c r="H3" s="3190"/>
      <c r="I3" s="3190"/>
      <c r="J3" s="3190"/>
      <c r="K3" s="3190"/>
    </row>
    <row r="4" spans="1:256" ht="21" customHeight="1">
      <c r="B4" s="63"/>
      <c r="C4" s="150"/>
      <c r="D4" s="151"/>
      <c r="E4" s="150"/>
      <c r="F4" s="150"/>
      <c r="G4" s="150"/>
      <c r="H4" s="150"/>
      <c r="I4" s="150"/>
      <c r="J4" s="150"/>
      <c r="K4" s="150"/>
    </row>
    <row r="5" spans="1:256" ht="21" customHeight="1">
      <c r="B5" s="62" t="s">
        <v>1</v>
      </c>
      <c r="D5" s="152"/>
    </row>
    <row r="6" spans="1:256" ht="21" customHeight="1">
      <c r="B6" s="397" t="s">
        <v>452</v>
      </c>
      <c r="D6" s="153"/>
    </row>
    <row r="7" spans="1:256" ht="21" customHeight="1">
      <c r="B7" s="62" t="s">
        <v>239</v>
      </c>
    </row>
    <row r="8" spans="1:256" ht="21" customHeight="1">
      <c r="B8" s="62" t="s">
        <v>1263</v>
      </c>
    </row>
    <row r="9" spans="1:256" ht="21" customHeight="1">
      <c r="B9" s="62" t="s">
        <v>557</v>
      </c>
      <c r="D9" s="152"/>
    </row>
    <row r="10" spans="1:256" ht="21" customHeight="1">
      <c r="B10" s="62" t="s">
        <v>238</v>
      </c>
      <c r="D10" s="153"/>
    </row>
    <row r="11" spans="1:256" ht="21" customHeight="1">
      <c r="B11" s="146" t="s">
        <v>1652</v>
      </c>
      <c r="D11" s="153"/>
    </row>
    <row r="12" spans="1:256" ht="21" customHeight="1">
      <c r="B12" s="147" t="s">
        <v>95</v>
      </c>
      <c r="D12" s="153"/>
    </row>
    <row r="13" spans="1:256" ht="21" customHeight="1">
      <c r="B13" s="145" t="s">
        <v>254</v>
      </c>
      <c r="D13" s="153"/>
    </row>
    <row r="14" spans="1:256" ht="21" customHeight="1">
      <c r="B14" s="145" t="s">
        <v>1252</v>
      </c>
      <c r="D14" s="153"/>
    </row>
    <row r="15" spans="1:256" ht="21" customHeight="1">
      <c r="B15" s="145" t="s">
        <v>1394</v>
      </c>
      <c r="D15" s="152"/>
    </row>
    <row r="16" spans="1:256" ht="21" customHeight="1">
      <c r="B16" s="145" t="s">
        <v>1395</v>
      </c>
      <c r="D16" s="153"/>
    </row>
    <row r="17" spans="2:4" ht="21" customHeight="1">
      <c r="B17" s="145" t="s">
        <v>1396</v>
      </c>
      <c r="D17" s="153"/>
    </row>
    <row r="18" spans="2:4" ht="21" customHeight="1">
      <c r="B18" s="145" t="s">
        <v>1397</v>
      </c>
      <c r="D18" s="153"/>
    </row>
    <row r="19" spans="2:4" ht="21" customHeight="1">
      <c r="B19" s="145" t="s">
        <v>1398</v>
      </c>
      <c r="D19" s="152"/>
    </row>
    <row r="20" spans="2:4" ht="21" customHeight="1">
      <c r="B20" s="145" t="s">
        <v>1399</v>
      </c>
      <c r="D20" s="153"/>
    </row>
    <row r="21" spans="2:4" ht="21" customHeight="1">
      <c r="B21" s="62" t="s">
        <v>1653</v>
      </c>
    </row>
    <row r="22" spans="2:4" ht="21" customHeight="1">
      <c r="B22" s="62" t="s">
        <v>40</v>
      </c>
    </row>
    <row r="23" spans="2:4" ht="21" customHeight="1">
      <c r="B23" s="62" t="s">
        <v>238</v>
      </c>
    </row>
    <row r="24" spans="2:4" ht="21" customHeight="1">
      <c r="B24" s="62" t="s">
        <v>39</v>
      </c>
    </row>
    <row r="25" spans="2:4" ht="21" customHeight="1">
      <c r="B25" s="62" t="s">
        <v>38</v>
      </c>
    </row>
    <row r="26" spans="2:4" ht="21" customHeight="1">
      <c r="B26" s="62"/>
    </row>
    <row r="27" spans="2:4" ht="21" customHeight="1">
      <c r="B27" s="63"/>
    </row>
    <row r="28" spans="2:4" ht="21" customHeight="1">
      <c r="B28" s="63"/>
    </row>
    <row r="29" spans="2:4" ht="21" customHeight="1">
      <c r="B29" s="143"/>
    </row>
    <row r="30" spans="2:4" ht="21" customHeight="1">
      <c r="B30" s="143"/>
      <c r="C30" s="153"/>
    </row>
    <row r="31" spans="2:4" ht="21" customHeight="1">
      <c r="B31" s="143"/>
      <c r="D31" s="153"/>
    </row>
    <row r="32" spans="2:4" ht="21" customHeight="1">
      <c r="B32" s="143"/>
    </row>
    <row r="33" spans="2:2" ht="21" customHeight="1">
      <c r="B33" s="143"/>
    </row>
    <row r="34" spans="2:2" ht="21" customHeight="1">
      <c r="B34" s="143"/>
    </row>
    <row r="35" spans="2:2" ht="21" customHeight="1">
      <c r="B35" s="143"/>
    </row>
    <row r="36" spans="2:2" ht="21" customHeight="1">
      <c r="B36" s="143"/>
    </row>
    <row r="37" spans="2:2" ht="21" customHeight="1">
      <c r="B37" s="143"/>
    </row>
    <row r="38" spans="2:2" ht="18" customHeight="1">
      <c r="B38" s="143"/>
    </row>
    <row r="39" spans="2:2" ht="18" customHeight="1">
      <c r="B39" s="143"/>
    </row>
    <row r="40" spans="2:2" ht="18" customHeight="1">
      <c r="B40" s="143"/>
    </row>
    <row r="41" spans="2:2" ht="18" customHeight="1">
      <c r="B41" s="143"/>
    </row>
    <row r="42" spans="2:2" ht="18" customHeight="1">
      <c r="B42" s="143"/>
    </row>
    <row r="43" spans="2:2" ht="18" customHeight="1">
      <c r="B43" s="143"/>
    </row>
    <row r="44" spans="2:2" ht="18" customHeight="1">
      <c r="B44" s="143"/>
    </row>
    <row r="45" spans="2:2" ht="18" customHeight="1">
      <c r="B45" s="143"/>
    </row>
    <row r="46" spans="2:2" ht="18" customHeight="1">
      <c r="B46" s="143"/>
    </row>
    <row r="47" spans="2:2" ht="18" customHeight="1">
      <c r="B47" s="143"/>
    </row>
    <row r="48" spans="2:2" ht="18" customHeight="1">
      <c r="B48" s="143"/>
    </row>
    <row r="49" spans="2:2" ht="18" customHeight="1">
      <c r="B49" s="143"/>
    </row>
    <row r="50" spans="2:2" ht="18" customHeight="1">
      <c r="B50" s="143"/>
    </row>
    <row r="51" spans="2:2" ht="18" customHeight="1">
      <c r="B51" s="143"/>
    </row>
    <row r="52" spans="2:2" ht="18" customHeight="1">
      <c r="B52" s="143"/>
    </row>
    <row r="53" spans="2:2" ht="18" customHeight="1">
      <c r="B53" s="143"/>
    </row>
    <row r="54" spans="2:2" ht="18" customHeight="1">
      <c r="B54" s="143"/>
    </row>
    <row r="55" spans="2:2">
      <c r="B55" s="143"/>
    </row>
    <row r="56" spans="2:2">
      <c r="B56" s="143"/>
    </row>
    <row r="57" spans="2:2">
      <c r="B57" s="143"/>
    </row>
    <row r="58" spans="2:2">
      <c r="B58" s="143"/>
    </row>
    <row r="59" spans="2:2">
      <c r="B59" s="143"/>
    </row>
    <row r="60" spans="2:2">
      <c r="B60" s="143"/>
    </row>
    <row r="61" spans="2:2">
      <c r="B61" s="143"/>
    </row>
    <row r="62" spans="2:2">
      <c r="B62" s="143"/>
    </row>
    <row r="63" spans="2:2">
      <c r="B63" s="143"/>
    </row>
    <row r="64" spans="2:2">
      <c r="B64" s="143"/>
    </row>
    <row r="65" spans="2:2">
      <c r="B65" s="143"/>
    </row>
    <row r="66" spans="2:2">
      <c r="B66" s="143"/>
    </row>
    <row r="67" spans="2:2">
      <c r="B67" s="143"/>
    </row>
    <row r="68" spans="2:2">
      <c r="B68" s="143"/>
    </row>
    <row r="69" spans="2:2">
      <c r="B69" s="143"/>
    </row>
    <row r="70" spans="2:2">
      <c r="B70" s="143"/>
    </row>
    <row r="71" spans="2:2">
      <c r="B71" s="143"/>
    </row>
    <row r="72" spans="2:2">
      <c r="B72" s="143"/>
    </row>
    <row r="73" spans="2:2">
      <c r="B73" s="143"/>
    </row>
    <row r="74" spans="2:2">
      <c r="B74" s="143"/>
    </row>
    <row r="75" spans="2:2">
      <c r="B75" s="143"/>
    </row>
    <row r="76" spans="2:2">
      <c r="B76" s="143"/>
    </row>
    <row r="77" spans="2:2">
      <c r="B77" s="143"/>
    </row>
    <row r="78" spans="2:2">
      <c r="B78" s="143"/>
    </row>
    <row r="79" spans="2:2">
      <c r="B79" s="143"/>
    </row>
    <row r="80" spans="2:2">
      <c r="B80" s="143"/>
    </row>
    <row r="81" spans="2:2">
      <c r="B81" s="143"/>
    </row>
    <row r="82" spans="2:2">
      <c r="B82" s="143"/>
    </row>
    <row r="83" spans="2:2">
      <c r="B83" s="143"/>
    </row>
    <row r="84" spans="2:2">
      <c r="B84" s="143"/>
    </row>
    <row r="85" spans="2:2">
      <c r="B85" s="143"/>
    </row>
    <row r="86" spans="2:2">
      <c r="B86" s="143"/>
    </row>
    <row r="87" spans="2:2">
      <c r="B87" s="143"/>
    </row>
    <row r="88" spans="2:2">
      <c r="B88" s="143"/>
    </row>
    <row r="89" spans="2:2">
      <c r="B89" s="143"/>
    </row>
    <row r="90" spans="2:2">
      <c r="B90" s="143"/>
    </row>
    <row r="91" spans="2:2">
      <c r="B91" s="143"/>
    </row>
    <row r="92" spans="2:2">
      <c r="B92" s="143"/>
    </row>
    <row r="93" spans="2:2">
      <c r="B93" s="143"/>
    </row>
    <row r="94" spans="2:2">
      <c r="B94" s="143"/>
    </row>
    <row r="95" spans="2:2">
      <c r="B95" s="143"/>
    </row>
    <row r="96" spans="2:2">
      <c r="B96" s="143"/>
    </row>
    <row r="97" spans="2:2">
      <c r="B97" s="143"/>
    </row>
    <row r="98" spans="2:2">
      <c r="B98" s="143"/>
    </row>
    <row r="99" spans="2:2">
      <c r="B99" s="143"/>
    </row>
    <row r="100" spans="2:2">
      <c r="B100" s="143"/>
    </row>
    <row r="101" spans="2:2">
      <c r="B101" s="143"/>
    </row>
    <row r="102" spans="2:2">
      <c r="B102" s="143"/>
    </row>
    <row r="103" spans="2:2">
      <c r="B103" s="143"/>
    </row>
    <row r="104" spans="2:2">
      <c r="B104" s="143"/>
    </row>
    <row r="105" spans="2:2">
      <c r="B105" s="143"/>
    </row>
    <row r="106" spans="2:2">
      <c r="B106" s="143"/>
    </row>
    <row r="107" spans="2:2">
      <c r="B107" s="143"/>
    </row>
    <row r="108" spans="2:2">
      <c r="B108" s="143"/>
    </row>
  </sheetData>
  <mergeCells count="2">
    <mergeCell ref="B2:B3"/>
    <mergeCell ref="D2:K3"/>
  </mergeCells>
  <hyperlinks>
    <hyperlink ref="B2:B3" location="Home!A1" display="HOME" xr:uid="{A5410C3C-79D9-40E2-AC27-82826B545C07}"/>
    <hyperlink ref="B25" location="Disclaimer!A1" display="Disclaimer" xr:uid="{FAD7EF08-9833-4F39-9DF2-1F0E53307813}"/>
    <hyperlink ref="B24" location="Help!A1" display="Help" xr:uid="{294DBCC1-CFA6-4606-A4EB-E405AC5F9D99}"/>
    <hyperlink ref="B22" location="'Source - Links'!A1" display="SOURCE / LINKS" xr:uid="{65F01DB9-6B97-46FE-83B6-ACF415DCCF0C}"/>
    <hyperlink ref="B12" location="'Guidelines - Definitions'!A1" display="• Definitions" xr:uid="{EAD2AFA2-EB93-46DE-9D0E-D50E6039D220}"/>
    <hyperlink ref="B13" location="'Guidelines - Procedure of Calc'!A1" display="• Procedure of Calculations" xr:uid="{3A2F4A2B-096F-4BDD-9D7D-660A3B2CD03D}"/>
    <hyperlink ref="B11" location="'Guidelines - Definitions'!A1" display="GUIDELINES" xr:uid="{25CB60BF-B04B-4561-BCD9-45E6EF77470E}"/>
    <hyperlink ref="B14" location="'Guidelines - Saybolt Manual'!A1" display="• Saybolt Inspection Manual" xr:uid="{195C6E8B-EA52-43C5-BC6C-9AD1A3DBA7C5}"/>
    <hyperlink ref="B5" location="'Documents Manager'!A1" display="DOCUMENTS MANAGER" xr:uid="{F0E3BB4C-2EF4-4A52-8000-2A7D26BA0AB8}"/>
    <hyperlink ref="B6" location="'ASTM Table Series'!A1" display="ASTM TABLES" xr:uid="{79D5C221-B9BE-4C41-B1C3-999CDF3897C1}"/>
    <hyperlink ref="B7" location="'ASTM Converter (Tab.1)'!A1" display="ASTM - CONVERTERS" xr:uid="{AD89D183-F686-40CD-848D-2A9BA5907F8A}"/>
    <hyperlink ref="B8" location="'ASTM Calculator V.W.'!A1" display="ASTM - CALCULATORS" xr:uid="{D6FE4BF9-5130-492D-A342-8F31445B9DDA}"/>
    <hyperlink ref="B9" location="'Initial&amp;Max. Loading Rate'!A1" display="CARGO - CALCULATORS" xr:uid="{3B1CAC73-AE45-489A-840D-E54591641C1A}"/>
    <hyperlink ref="B15" location="'ASTM Formulas'!A1" display="• ASTM Formulas" xr:uid="{9024C17F-4D18-413F-8A0B-955C9EF80873}"/>
    <hyperlink ref="B16" location="'Which tables to use When'!A1" display="• Chart Which tables to use When" xr:uid="{5FAC22F3-00F4-42E5-BA78-02CC6AD358CA}"/>
    <hyperlink ref="B17" location="'Conversion Charts Metric'!A1" display="• Conversion Charts Metric system" xr:uid="{62FF128E-7371-41C4-8613-8FE6D7330DE2}"/>
    <hyperlink ref="B18" location="'Conversion Charts Barrel'!A1" display="• Conversion Charts Barrel system" xr:uid="{31F49DDD-E3D3-4851-895A-A814ADE39788}"/>
    <hyperlink ref="B19" location="'Conversion Charts Mass &amp; Weight'!A1" display="• Conversion Charts Mass &amp; Weight" xr:uid="{1E07F348-48EA-465D-ABE2-4EB2EC53FFC1}"/>
    <hyperlink ref="B20" location="'Outturn Charts'!A1" display="• Outturn Charts" xr:uid="{1C25AC70-94EA-4B40-9583-6DD03558201E}"/>
    <hyperlink ref="B21" location="'Guidelines - Bottom Lines'!A1" display="GUIDELINES - CARGO" xr:uid="{C2E3EEA2-0B71-4E2C-B665-FF450E9014A4}"/>
  </hyperlinks>
  <pageMargins left="0.75" right="0.75" top="1" bottom="1" header="0.5" footer="0.5"/>
  <pageSetup paperSize="9" orientation="portrait" horizontalDpi="4294967294"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1085A-DC38-4860-B796-CC08ABEB8299}">
  <sheetPr>
    <tabColor rgb="FF008080"/>
  </sheetPr>
  <dimension ref="A1:IV108"/>
  <sheetViews>
    <sheetView showGridLines="0" showRowColHeaders="0" topLeftCell="B1" workbookViewId="0">
      <selection activeCell="B15" sqref="B15"/>
    </sheetView>
  </sheetViews>
  <sheetFormatPr defaultColWidth="9.1328125" defaultRowHeight="12.75"/>
  <cols>
    <col min="1" max="1" width="0" style="148" hidden="1" customWidth="1"/>
    <col min="2" max="2" width="36.6640625" style="144" customWidth="1"/>
    <col min="3" max="3" width="2.6640625" style="148" customWidth="1"/>
    <col min="4" max="4" width="32.6640625" style="148" customWidth="1"/>
    <col min="5" max="5" width="27" style="148" customWidth="1"/>
    <col min="6" max="7" width="9.1328125" style="148" customWidth="1"/>
    <col min="8" max="8" width="5" style="148" customWidth="1"/>
    <col min="9" max="10" width="9.1328125" style="148" customWidth="1"/>
    <col min="11" max="11" width="10.53125" style="148" customWidth="1"/>
    <col min="12" max="256" width="9.1328125" style="148"/>
    <col min="257" max="257" width="0" style="148" hidden="1" customWidth="1"/>
    <col min="258" max="258" width="43.46484375" style="148" customWidth="1"/>
    <col min="259" max="259" width="3.6640625" style="148" customWidth="1"/>
    <col min="260" max="260" width="32.6640625" style="148" customWidth="1"/>
    <col min="261" max="261" width="27" style="148" customWidth="1"/>
    <col min="262" max="263" width="9.1328125" style="148" customWidth="1"/>
    <col min="264" max="264" width="5" style="148" customWidth="1"/>
    <col min="265" max="266" width="9.1328125" style="148" customWidth="1"/>
    <col min="267" max="267" width="10.53125" style="148" customWidth="1"/>
    <col min="268" max="512" width="9.1328125" style="148"/>
    <col min="513" max="513" width="0" style="148" hidden="1" customWidth="1"/>
    <col min="514" max="514" width="43.46484375" style="148" customWidth="1"/>
    <col min="515" max="515" width="3.6640625" style="148" customWidth="1"/>
    <col min="516" max="516" width="32.6640625" style="148" customWidth="1"/>
    <col min="517" max="517" width="27" style="148" customWidth="1"/>
    <col min="518" max="519" width="9.1328125" style="148" customWidth="1"/>
    <col min="520" max="520" width="5" style="148" customWidth="1"/>
    <col min="521" max="522" width="9.1328125" style="148" customWidth="1"/>
    <col min="523" max="523" width="10.53125" style="148" customWidth="1"/>
    <col min="524" max="768" width="9.1328125" style="148"/>
    <col min="769" max="769" width="0" style="148" hidden="1" customWidth="1"/>
    <col min="770" max="770" width="43.46484375" style="148" customWidth="1"/>
    <col min="771" max="771" width="3.6640625" style="148" customWidth="1"/>
    <col min="772" max="772" width="32.6640625" style="148" customWidth="1"/>
    <col min="773" max="773" width="27" style="148" customWidth="1"/>
    <col min="774" max="775" width="9.1328125" style="148" customWidth="1"/>
    <col min="776" max="776" width="5" style="148" customWidth="1"/>
    <col min="777" max="778" width="9.1328125" style="148" customWidth="1"/>
    <col min="779" max="779" width="10.53125" style="148" customWidth="1"/>
    <col min="780" max="1024" width="9.1328125" style="148"/>
    <col min="1025" max="1025" width="0" style="148" hidden="1" customWidth="1"/>
    <col min="1026" max="1026" width="43.46484375" style="148" customWidth="1"/>
    <col min="1027" max="1027" width="3.6640625" style="148" customWidth="1"/>
    <col min="1028" max="1028" width="32.6640625" style="148" customWidth="1"/>
    <col min="1029" max="1029" width="27" style="148" customWidth="1"/>
    <col min="1030" max="1031" width="9.1328125" style="148" customWidth="1"/>
    <col min="1032" max="1032" width="5" style="148" customWidth="1"/>
    <col min="1033" max="1034" width="9.1328125" style="148" customWidth="1"/>
    <col min="1035" max="1035" width="10.53125" style="148" customWidth="1"/>
    <col min="1036" max="1280" width="9.1328125" style="148"/>
    <col min="1281" max="1281" width="0" style="148" hidden="1" customWidth="1"/>
    <col min="1282" max="1282" width="43.46484375" style="148" customWidth="1"/>
    <col min="1283" max="1283" width="3.6640625" style="148" customWidth="1"/>
    <col min="1284" max="1284" width="32.6640625" style="148" customWidth="1"/>
    <col min="1285" max="1285" width="27" style="148" customWidth="1"/>
    <col min="1286" max="1287" width="9.1328125" style="148" customWidth="1"/>
    <col min="1288" max="1288" width="5" style="148" customWidth="1"/>
    <col min="1289" max="1290" width="9.1328125" style="148" customWidth="1"/>
    <col min="1291" max="1291" width="10.53125" style="148" customWidth="1"/>
    <col min="1292" max="1536" width="9.1328125" style="148"/>
    <col min="1537" max="1537" width="0" style="148" hidden="1" customWidth="1"/>
    <col min="1538" max="1538" width="43.46484375" style="148" customWidth="1"/>
    <col min="1539" max="1539" width="3.6640625" style="148" customWidth="1"/>
    <col min="1540" max="1540" width="32.6640625" style="148" customWidth="1"/>
    <col min="1541" max="1541" width="27" style="148" customWidth="1"/>
    <col min="1542" max="1543" width="9.1328125" style="148" customWidth="1"/>
    <col min="1544" max="1544" width="5" style="148" customWidth="1"/>
    <col min="1545" max="1546" width="9.1328125" style="148" customWidth="1"/>
    <col min="1547" max="1547" width="10.53125" style="148" customWidth="1"/>
    <col min="1548" max="1792" width="9.1328125" style="148"/>
    <col min="1793" max="1793" width="0" style="148" hidden="1" customWidth="1"/>
    <col min="1794" max="1794" width="43.46484375" style="148" customWidth="1"/>
    <col min="1795" max="1795" width="3.6640625" style="148" customWidth="1"/>
    <col min="1796" max="1796" width="32.6640625" style="148" customWidth="1"/>
    <col min="1797" max="1797" width="27" style="148" customWidth="1"/>
    <col min="1798" max="1799" width="9.1328125" style="148" customWidth="1"/>
    <col min="1800" max="1800" width="5" style="148" customWidth="1"/>
    <col min="1801" max="1802" width="9.1328125" style="148" customWidth="1"/>
    <col min="1803" max="1803" width="10.53125" style="148" customWidth="1"/>
    <col min="1804" max="2048" width="9.1328125" style="148"/>
    <col min="2049" max="2049" width="0" style="148" hidden="1" customWidth="1"/>
    <col min="2050" max="2050" width="43.46484375" style="148" customWidth="1"/>
    <col min="2051" max="2051" width="3.6640625" style="148" customWidth="1"/>
    <col min="2052" max="2052" width="32.6640625" style="148" customWidth="1"/>
    <col min="2053" max="2053" width="27" style="148" customWidth="1"/>
    <col min="2054" max="2055" width="9.1328125" style="148" customWidth="1"/>
    <col min="2056" max="2056" width="5" style="148" customWidth="1"/>
    <col min="2057" max="2058" width="9.1328125" style="148" customWidth="1"/>
    <col min="2059" max="2059" width="10.53125" style="148" customWidth="1"/>
    <col min="2060" max="2304" width="9.1328125" style="148"/>
    <col min="2305" max="2305" width="0" style="148" hidden="1" customWidth="1"/>
    <col min="2306" max="2306" width="43.46484375" style="148" customWidth="1"/>
    <col min="2307" max="2307" width="3.6640625" style="148" customWidth="1"/>
    <col min="2308" max="2308" width="32.6640625" style="148" customWidth="1"/>
    <col min="2309" max="2309" width="27" style="148" customWidth="1"/>
    <col min="2310" max="2311" width="9.1328125" style="148" customWidth="1"/>
    <col min="2312" max="2312" width="5" style="148" customWidth="1"/>
    <col min="2313" max="2314" width="9.1328125" style="148" customWidth="1"/>
    <col min="2315" max="2315" width="10.53125" style="148" customWidth="1"/>
    <col min="2316" max="2560" width="9.1328125" style="148"/>
    <col min="2561" max="2561" width="0" style="148" hidden="1" customWidth="1"/>
    <col min="2562" max="2562" width="43.46484375" style="148" customWidth="1"/>
    <col min="2563" max="2563" width="3.6640625" style="148" customWidth="1"/>
    <col min="2564" max="2564" width="32.6640625" style="148" customWidth="1"/>
    <col min="2565" max="2565" width="27" style="148" customWidth="1"/>
    <col min="2566" max="2567" width="9.1328125" style="148" customWidth="1"/>
    <col min="2568" max="2568" width="5" style="148" customWidth="1"/>
    <col min="2569" max="2570" width="9.1328125" style="148" customWidth="1"/>
    <col min="2571" max="2571" width="10.53125" style="148" customWidth="1"/>
    <col min="2572" max="2816" width="9.1328125" style="148"/>
    <col min="2817" max="2817" width="0" style="148" hidden="1" customWidth="1"/>
    <col min="2818" max="2818" width="43.46484375" style="148" customWidth="1"/>
    <col min="2819" max="2819" width="3.6640625" style="148" customWidth="1"/>
    <col min="2820" max="2820" width="32.6640625" style="148" customWidth="1"/>
    <col min="2821" max="2821" width="27" style="148" customWidth="1"/>
    <col min="2822" max="2823" width="9.1328125" style="148" customWidth="1"/>
    <col min="2824" max="2824" width="5" style="148" customWidth="1"/>
    <col min="2825" max="2826" width="9.1328125" style="148" customWidth="1"/>
    <col min="2827" max="2827" width="10.53125" style="148" customWidth="1"/>
    <col min="2828" max="3072" width="9.1328125" style="148"/>
    <col min="3073" max="3073" width="0" style="148" hidden="1" customWidth="1"/>
    <col min="3074" max="3074" width="43.46484375" style="148" customWidth="1"/>
    <col min="3075" max="3075" width="3.6640625" style="148" customWidth="1"/>
    <col min="3076" max="3076" width="32.6640625" style="148" customWidth="1"/>
    <col min="3077" max="3077" width="27" style="148" customWidth="1"/>
    <col min="3078" max="3079" width="9.1328125" style="148" customWidth="1"/>
    <col min="3080" max="3080" width="5" style="148" customWidth="1"/>
    <col min="3081" max="3082" width="9.1328125" style="148" customWidth="1"/>
    <col min="3083" max="3083" width="10.53125" style="148" customWidth="1"/>
    <col min="3084" max="3328" width="9.1328125" style="148"/>
    <col min="3329" max="3329" width="0" style="148" hidden="1" customWidth="1"/>
    <col min="3330" max="3330" width="43.46484375" style="148" customWidth="1"/>
    <col min="3331" max="3331" width="3.6640625" style="148" customWidth="1"/>
    <col min="3332" max="3332" width="32.6640625" style="148" customWidth="1"/>
    <col min="3333" max="3333" width="27" style="148" customWidth="1"/>
    <col min="3334" max="3335" width="9.1328125" style="148" customWidth="1"/>
    <col min="3336" max="3336" width="5" style="148" customWidth="1"/>
    <col min="3337" max="3338" width="9.1328125" style="148" customWidth="1"/>
    <col min="3339" max="3339" width="10.53125" style="148" customWidth="1"/>
    <col min="3340" max="3584" width="9.1328125" style="148"/>
    <col min="3585" max="3585" width="0" style="148" hidden="1" customWidth="1"/>
    <col min="3586" max="3586" width="43.46484375" style="148" customWidth="1"/>
    <col min="3587" max="3587" width="3.6640625" style="148" customWidth="1"/>
    <col min="3588" max="3588" width="32.6640625" style="148" customWidth="1"/>
    <col min="3589" max="3589" width="27" style="148" customWidth="1"/>
    <col min="3590" max="3591" width="9.1328125" style="148" customWidth="1"/>
    <col min="3592" max="3592" width="5" style="148" customWidth="1"/>
    <col min="3593" max="3594" width="9.1328125" style="148" customWidth="1"/>
    <col min="3595" max="3595" width="10.53125" style="148" customWidth="1"/>
    <col min="3596" max="3840" width="9.1328125" style="148"/>
    <col min="3841" max="3841" width="0" style="148" hidden="1" customWidth="1"/>
    <col min="3842" max="3842" width="43.46484375" style="148" customWidth="1"/>
    <col min="3843" max="3843" width="3.6640625" style="148" customWidth="1"/>
    <col min="3844" max="3844" width="32.6640625" style="148" customWidth="1"/>
    <col min="3845" max="3845" width="27" style="148" customWidth="1"/>
    <col min="3846" max="3847" width="9.1328125" style="148" customWidth="1"/>
    <col min="3848" max="3848" width="5" style="148" customWidth="1"/>
    <col min="3849" max="3850" width="9.1328125" style="148" customWidth="1"/>
    <col min="3851" max="3851" width="10.53125" style="148" customWidth="1"/>
    <col min="3852" max="4096" width="9.1328125" style="148"/>
    <col min="4097" max="4097" width="0" style="148" hidden="1" customWidth="1"/>
    <col min="4098" max="4098" width="43.46484375" style="148" customWidth="1"/>
    <col min="4099" max="4099" width="3.6640625" style="148" customWidth="1"/>
    <col min="4100" max="4100" width="32.6640625" style="148" customWidth="1"/>
    <col min="4101" max="4101" width="27" style="148" customWidth="1"/>
    <col min="4102" max="4103" width="9.1328125" style="148" customWidth="1"/>
    <col min="4104" max="4104" width="5" style="148" customWidth="1"/>
    <col min="4105" max="4106" width="9.1328125" style="148" customWidth="1"/>
    <col min="4107" max="4107" width="10.53125" style="148" customWidth="1"/>
    <col min="4108" max="4352" width="9.1328125" style="148"/>
    <col min="4353" max="4353" width="0" style="148" hidden="1" customWidth="1"/>
    <col min="4354" max="4354" width="43.46484375" style="148" customWidth="1"/>
    <col min="4355" max="4355" width="3.6640625" style="148" customWidth="1"/>
    <col min="4356" max="4356" width="32.6640625" style="148" customWidth="1"/>
    <col min="4357" max="4357" width="27" style="148" customWidth="1"/>
    <col min="4358" max="4359" width="9.1328125" style="148" customWidth="1"/>
    <col min="4360" max="4360" width="5" style="148" customWidth="1"/>
    <col min="4361" max="4362" width="9.1328125" style="148" customWidth="1"/>
    <col min="4363" max="4363" width="10.53125" style="148" customWidth="1"/>
    <col min="4364" max="4608" width="9.1328125" style="148"/>
    <col min="4609" max="4609" width="0" style="148" hidden="1" customWidth="1"/>
    <col min="4610" max="4610" width="43.46484375" style="148" customWidth="1"/>
    <col min="4611" max="4611" width="3.6640625" style="148" customWidth="1"/>
    <col min="4612" max="4612" width="32.6640625" style="148" customWidth="1"/>
    <col min="4613" max="4613" width="27" style="148" customWidth="1"/>
    <col min="4614" max="4615" width="9.1328125" style="148" customWidth="1"/>
    <col min="4616" max="4616" width="5" style="148" customWidth="1"/>
    <col min="4617" max="4618" width="9.1328125" style="148" customWidth="1"/>
    <col min="4619" max="4619" width="10.53125" style="148" customWidth="1"/>
    <col min="4620" max="4864" width="9.1328125" style="148"/>
    <col min="4865" max="4865" width="0" style="148" hidden="1" customWidth="1"/>
    <col min="4866" max="4866" width="43.46484375" style="148" customWidth="1"/>
    <col min="4867" max="4867" width="3.6640625" style="148" customWidth="1"/>
    <col min="4868" max="4868" width="32.6640625" style="148" customWidth="1"/>
    <col min="4869" max="4869" width="27" style="148" customWidth="1"/>
    <col min="4870" max="4871" width="9.1328125" style="148" customWidth="1"/>
    <col min="4872" max="4872" width="5" style="148" customWidth="1"/>
    <col min="4873" max="4874" width="9.1328125" style="148" customWidth="1"/>
    <col min="4875" max="4875" width="10.53125" style="148" customWidth="1"/>
    <col min="4876" max="5120" width="9.1328125" style="148"/>
    <col min="5121" max="5121" width="0" style="148" hidden="1" customWidth="1"/>
    <col min="5122" max="5122" width="43.46484375" style="148" customWidth="1"/>
    <col min="5123" max="5123" width="3.6640625" style="148" customWidth="1"/>
    <col min="5124" max="5124" width="32.6640625" style="148" customWidth="1"/>
    <col min="5125" max="5125" width="27" style="148" customWidth="1"/>
    <col min="5126" max="5127" width="9.1328125" style="148" customWidth="1"/>
    <col min="5128" max="5128" width="5" style="148" customWidth="1"/>
    <col min="5129" max="5130" width="9.1328125" style="148" customWidth="1"/>
    <col min="5131" max="5131" width="10.53125" style="148" customWidth="1"/>
    <col min="5132" max="5376" width="9.1328125" style="148"/>
    <col min="5377" max="5377" width="0" style="148" hidden="1" customWidth="1"/>
    <col min="5378" max="5378" width="43.46484375" style="148" customWidth="1"/>
    <col min="5379" max="5379" width="3.6640625" style="148" customWidth="1"/>
    <col min="5380" max="5380" width="32.6640625" style="148" customWidth="1"/>
    <col min="5381" max="5381" width="27" style="148" customWidth="1"/>
    <col min="5382" max="5383" width="9.1328125" style="148" customWidth="1"/>
    <col min="5384" max="5384" width="5" style="148" customWidth="1"/>
    <col min="5385" max="5386" width="9.1328125" style="148" customWidth="1"/>
    <col min="5387" max="5387" width="10.53125" style="148" customWidth="1"/>
    <col min="5388" max="5632" width="9.1328125" style="148"/>
    <col min="5633" max="5633" width="0" style="148" hidden="1" customWidth="1"/>
    <col min="5634" max="5634" width="43.46484375" style="148" customWidth="1"/>
    <col min="5635" max="5635" width="3.6640625" style="148" customWidth="1"/>
    <col min="5636" max="5636" width="32.6640625" style="148" customWidth="1"/>
    <col min="5637" max="5637" width="27" style="148" customWidth="1"/>
    <col min="5638" max="5639" width="9.1328125" style="148" customWidth="1"/>
    <col min="5640" max="5640" width="5" style="148" customWidth="1"/>
    <col min="5641" max="5642" width="9.1328125" style="148" customWidth="1"/>
    <col min="5643" max="5643" width="10.53125" style="148" customWidth="1"/>
    <col min="5644" max="5888" width="9.1328125" style="148"/>
    <col min="5889" max="5889" width="0" style="148" hidden="1" customWidth="1"/>
    <col min="5890" max="5890" width="43.46484375" style="148" customWidth="1"/>
    <col min="5891" max="5891" width="3.6640625" style="148" customWidth="1"/>
    <col min="5892" max="5892" width="32.6640625" style="148" customWidth="1"/>
    <col min="5893" max="5893" width="27" style="148" customWidth="1"/>
    <col min="5894" max="5895" width="9.1328125" style="148" customWidth="1"/>
    <col min="5896" max="5896" width="5" style="148" customWidth="1"/>
    <col min="5897" max="5898" width="9.1328125" style="148" customWidth="1"/>
    <col min="5899" max="5899" width="10.53125" style="148" customWidth="1"/>
    <col min="5900" max="6144" width="9.1328125" style="148"/>
    <col min="6145" max="6145" width="0" style="148" hidden="1" customWidth="1"/>
    <col min="6146" max="6146" width="43.46484375" style="148" customWidth="1"/>
    <col min="6147" max="6147" width="3.6640625" style="148" customWidth="1"/>
    <col min="6148" max="6148" width="32.6640625" style="148" customWidth="1"/>
    <col min="6149" max="6149" width="27" style="148" customWidth="1"/>
    <col min="6150" max="6151" width="9.1328125" style="148" customWidth="1"/>
    <col min="6152" max="6152" width="5" style="148" customWidth="1"/>
    <col min="6153" max="6154" width="9.1328125" style="148" customWidth="1"/>
    <col min="6155" max="6155" width="10.53125" style="148" customWidth="1"/>
    <col min="6156" max="6400" width="9.1328125" style="148"/>
    <col min="6401" max="6401" width="0" style="148" hidden="1" customWidth="1"/>
    <col min="6402" max="6402" width="43.46484375" style="148" customWidth="1"/>
    <col min="6403" max="6403" width="3.6640625" style="148" customWidth="1"/>
    <col min="6404" max="6404" width="32.6640625" style="148" customWidth="1"/>
    <col min="6405" max="6405" width="27" style="148" customWidth="1"/>
    <col min="6406" max="6407" width="9.1328125" style="148" customWidth="1"/>
    <col min="6408" max="6408" width="5" style="148" customWidth="1"/>
    <col min="6409" max="6410" width="9.1328125" style="148" customWidth="1"/>
    <col min="6411" max="6411" width="10.53125" style="148" customWidth="1"/>
    <col min="6412" max="6656" width="9.1328125" style="148"/>
    <col min="6657" max="6657" width="0" style="148" hidden="1" customWidth="1"/>
    <col min="6658" max="6658" width="43.46484375" style="148" customWidth="1"/>
    <col min="6659" max="6659" width="3.6640625" style="148" customWidth="1"/>
    <col min="6660" max="6660" width="32.6640625" style="148" customWidth="1"/>
    <col min="6661" max="6661" width="27" style="148" customWidth="1"/>
    <col min="6662" max="6663" width="9.1328125" style="148" customWidth="1"/>
    <col min="6664" max="6664" width="5" style="148" customWidth="1"/>
    <col min="6665" max="6666" width="9.1328125" style="148" customWidth="1"/>
    <col min="6667" max="6667" width="10.53125" style="148" customWidth="1"/>
    <col min="6668" max="6912" width="9.1328125" style="148"/>
    <col min="6913" max="6913" width="0" style="148" hidden="1" customWidth="1"/>
    <col min="6914" max="6914" width="43.46484375" style="148" customWidth="1"/>
    <col min="6915" max="6915" width="3.6640625" style="148" customWidth="1"/>
    <col min="6916" max="6916" width="32.6640625" style="148" customWidth="1"/>
    <col min="6917" max="6917" width="27" style="148" customWidth="1"/>
    <col min="6918" max="6919" width="9.1328125" style="148" customWidth="1"/>
    <col min="6920" max="6920" width="5" style="148" customWidth="1"/>
    <col min="6921" max="6922" width="9.1328125" style="148" customWidth="1"/>
    <col min="6923" max="6923" width="10.53125" style="148" customWidth="1"/>
    <col min="6924" max="7168" width="9.1328125" style="148"/>
    <col min="7169" max="7169" width="0" style="148" hidden="1" customWidth="1"/>
    <col min="7170" max="7170" width="43.46484375" style="148" customWidth="1"/>
    <col min="7171" max="7171" width="3.6640625" style="148" customWidth="1"/>
    <col min="7172" max="7172" width="32.6640625" style="148" customWidth="1"/>
    <col min="7173" max="7173" width="27" style="148" customWidth="1"/>
    <col min="7174" max="7175" width="9.1328125" style="148" customWidth="1"/>
    <col min="7176" max="7176" width="5" style="148" customWidth="1"/>
    <col min="7177" max="7178" width="9.1328125" style="148" customWidth="1"/>
    <col min="7179" max="7179" width="10.53125" style="148" customWidth="1"/>
    <col min="7180" max="7424" width="9.1328125" style="148"/>
    <col min="7425" max="7425" width="0" style="148" hidden="1" customWidth="1"/>
    <col min="7426" max="7426" width="43.46484375" style="148" customWidth="1"/>
    <col min="7427" max="7427" width="3.6640625" style="148" customWidth="1"/>
    <col min="7428" max="7428" width="32.6640625" style="148" customWidth="1"/>
    <col min="7429" max="7429" width="27" style="148" customWidth="1"/>
    <col min="7430" max="7431" width="9.1328125" style="148" customWidth="1"/>
    <col min="7432" max="7432" width="5" style="148" customWidth="1"/>
    <col min="7433" max="7434" width="9.1328125" style="148" customWidth="1"/>
    <col min="7435" max="7435" width="10.53125" style="148" customWidth="1"/>
    <col min="7436" max="7680" width="9.1328125" style="148"/>
    <col min="7681" max="7681" width="0" style="148" hidden="1" customWidth="1"/>
    <col min="7682" max="7682" width="43.46484375" style="148" customWidth="1"/>
    <col min="7683" max="7683" width="3.6640625" style="148" customWidth="1"/>
    <col min="7684" max="7684" width="32.6640625" style="148" customWidth="1"/>
    <col min="7685" max="7685" width="27" style="148" customWidth="1"/>
    <col min="7686" max="7687" width="9.1328125" style="148" customWidth="1"/>
    <col min="7688" max="7688" width="5" style="148" customWidth="1"/>
    <col min="7689" max="7690" width="9.1328125" style="148" customWidth="1"/>
    <col min="7691" max="7691" width="10.53125" style="148" customWidth="1"/>
    <col min="7692" max="7936" width="9.1328125" style="148"/>
    <col min="7937" max="7937" width="0" style="148" hidden="1" customWidth="1"/>
    <col min="7938" max="7938" width="43.46484375" style="148" customWidth="1"/>
    <col min="7939" max="7939" width="3.6640625" style="148" customWidth="1"/>
    <col min="7940" max="7940" width="32.6640625" style="148" customWidth="1"/>
    <col min="7941" max="7941" width="27" style="148" customWidth="1"/>
    <col min="7942" max="7943" width="9.1328125" style="148" customWidth="1"/>
    <col min="7944" max="7944" width="5" style="148" customWidth="1"/>
    <col min="7945" max="7946" width="9.1328125" style="148" customWidth="1"/>
    <col min="7947" max="7947" width="10.53125" style="148" customWidth="1"/>
    <col min="7948" max="8192" width="9.1328125" style="148"/>
    <col min="8193" max="8193" width="0" style="148" hidden="1" customWidth="1"/>
    <col min="8194" max="8194" width="43.46484375" style="148" customWidth="1"/>
    <col min="8195" max="8195" width="3.6640625" style="148" customWidth="1"/>
    <col min="8196" max="8196" width="32.6640625" style="148" customWidth="1"/>
    <col min="8197" max="8197" width="27" style="148" customWidth="1"/>
    <col min="8198" max="8199" width="9.1328125" style="148" customWidth="1"/>
    <col min="8200" max="8200" width="5" style="148" customWidth="1"/>
    <col min="8201" max="8202" width="9.1328125" style="148" customWidth="1"/>
    <col min="8203" max="8203" width="10.53125" style="148" customWidth="1"/>
    <col min="8204" max="8448" width="9.1328125" style="148"/>
    <col min="8449" max="8449" width="0" style="148" hidden="1" customWidth="1"/>
    <col min="8450" max="8450" width="43.46484375" style="148" customWidth="1"/>
    <col min="8451" max="8451" width="3.6640625" style="148" customWidth="1"/>
    <col min="8452" max="8452" width="32.6640625" style="148" customWidth="1"/>
    <col min="8453" max="8453" width="27" style="148" customWidth="1"/>
    <col min="8454" max="8455" width="9.1328125" style="148" customWidth="1"/>
    <col min="8456" max="8456" width="5" style="148" customWidth="1"/>
    <col min="8457" max="8458" width="9.1328125" style="148" customWidth="1"/>
    <col min="8459" max="8459" width="10.53125" style="148" customWidth="1"/>
    <col min="8460" max="8704" width="9.1328125" style="148"/>
    <col min="8705" max="8705" width="0" style="148" hidden="1" customWidth="1"/>
    <col min="8706" max="8706" width="43.46484375" style="148" customWidth="1"/>
    <col min="8707" max="8707" width="3.6640625" style="148" customWidth="1"/>
    <col min="8708" max="8708" width="32.6640625" style="148" customWidth="1"/>
    <col min="8709" max="8709" width="27" style="148" customWidth="1"/>
    <col min="8710" max="8711" width="9.1328125" style="148" customWidth="1"/>
    <col min="8712" max="8712" width="5" style="148" customWidth="1"/>
    <col min="8713" max="8714" width="9.1328125" style="148" customWidth="1"/>
    <col min="8715" max="8715" width="10.53125" style="148" customWidth="1"/>
    <col min="8716" max="8960" width="9.1328125" style="148"/>
    <col min="8961" max="8961" width="0" style="148" hidden="1" customWidth="1"/>
    <col min="8962" max="8962" width="43.46484375" style="148" customWidth="1"/>
    <col min="8963" max="8963" width="3.6640625" style="148" customWidth="1"/>
    <col min="8964" max="8964" width="32.6640625" style="148" customWidth="1"/>
    <col min="8965" max="8965" width="27" style="148" customWidth="1"/>
    <col min="8966" max="8967" width="9.1328125" style="148" customWidth="1"/>
    <col min="8968" max="8968" width="5" style="148" customWidth="1"/>
    <col min="8969" max="8970" width="9.1328125" style="148" customWidth="1"/>
    <col min="8971" max="8971" width="10.53125" style="148" customWidth="1"/>
    <col min="8972" max="9216" width="9.1328125" style="148"/>
    <col min="9217" max="9217" width="0" style="148" hidden="1" customWidth="1"/>
    <col min="9218" max="9218" width="43.46484375" style="148" customWidth="1"/>
    <col min="9219" max="9219" width="3.6640625" style="148" customWidth="1"/>
    <col min="9220" max="9220" width="32.6640625" style="148" customWidth="1"/>
    <col min="9221" max="9221" width="27" style="148" customWidth="1"/>
    <col min="9222" max="9223" width="9.1328125" style="148" customWidth="1"/>
    <col min="9224" max="9224" width="5" style="148" customWidth="1"/>
    <col min="9225" max="9226" width="9.1328125" style="148" customWidth="1"/>
    <col min="9227" max="9227" width="10.53125" style="148" customWidth="1"/>
    <col min="9228" max="9472" width="9.1328125" style="148"/>
    <col min="9473" max="9473" width="0" style="148" hidden="1" customWidth="1"/>
    <col min="9474" max="9474" width="43.46484375" style="148" customWidth="1"/>
    <col min="9475" max="9475" width="3.6640625" style="148" customWidth="1"/>
    <col min="9476" max="9476" width="32.6640625" style="148" customWidth="1"/>
    <col min="9477" max="9477" width="27" style="148" customWidth="1"/>
    <col min="9478" max="9479" width="9.1328125" style="148" customWidth="1"/>
    <col min="9480" max="9480" width="5" style="148" customWidth="1"/>
    <col min="9481" max="9482" width="9.1328125" style="148" customWidth="1"/>
    <col min="9483" max="9483" width="10.53125" style="148" customWidth="1"/>
    <col min="9484" max="9728" width="9.1328125" style="148"/>
    <col min="9729" max="9729" width="0" style="148" hidden="1" customWidth="1"/>
    <col min="9730" max="9730" width="43.46484375" style="148" customWidth="1"/>
    <col min="9731" max="9731" width="3.6640625" style="148" customWidth="1"/>
    <col min="9732" max="9732" width="32.6640625" style="148" customWidth="1"/>
    <col min="9733" max="9733" width="27" style="148" customWidth="1"/>
    <col min="9734" max="9735" width="9.1328125" style="148" customWidth="1"/>
    <col min="9736" max="9736" width="5" style="148" customWidth="1"/>
    <col min="9737" max="9738" width="9.1328125" style="148" customWidth="1"/>
    <col min="9739" max="9739" width="10.53125" style="148" customWidth="1"/>
    <col min="9740" max="9984" width="9.1328125" style="148"/>
    <col min="9985" max="9985" width="0" style="148" hidden="1" customWidth="1"/>
    <col min="9986" max="9986" width="43.46484375" style="148" customWidth="1"/>
    <col min="9987" max="9987" width="3.6640625" style="148" customWidth="1"/>
    <col min="9988" max="9988" width="32.6640625" style="148" customWidth="1"/>
    <col min="9989" max="9989" width="27" style="148" customWidth="1"/>
    <col min="9990" max="9991" width="9.1328125" style="148" customWidth="1"/>
    <col min="9992" max="9992" width="5" style="148" customWidth="1"/>
    <col min="9993" max="9994" width="9.1328125" style="148" customWidth="1"/>
    <col min="9995" max="9995" width="10.53125" style="148" customWidth="1"/>
    <col min="9996" max="10240" width="9.1328125" style="148"/>
    <col min="10241" max="10241" width="0" style="148" hidden="1" customWidth="1"/>
    <col min="10242" max="10242" width="43.46484375" style="148" customWidth="1"/>
    <col min="10243" max="10243" width="3.6640625" style="148" customWidth="1"/>
    <col min="10244" max="10244" width="32.6640625" style="148" customWidth="1"/>
    <col min="10245" max="10245" width="27" style="148" customWidth="1"/>
    <col min="10246" max="10247" width="9.1328125" style="148" customWidth="1"/>
    <col min="10248" max="10248" width="5" style="148" customWidth="1"/>
    <col min="10249" max="10250" width="9.1328125" style="148" customWidth="1"/>
    <col min="10251" max="10251" width="10.53125" style="148" customWidth="1"/>
    <col min="10252" max="10496" width="9.1328125" style="148"/>
    <col min="10497" max="10497" width="0" style="148" hidden="1" customWidth="1"/>
    <col min="10498" max="10498" width="43.46484375" style="148" customWidth="1"/>
    <col min="10499" max="10499" width="3.6640625" style="148" customWidth="1"/>
    <col min="10500" max="10500" width="32.6640625" style="148" customWidth="1"/>
    <col min="10501" max="10501" width="27" style="148" customWidth="1"/>
    <col min="10502" max="10503" width="9.1328125" style="148" customWidth="1"/>
    <col min="10504" max="10504" width="5" style="148" customWidth="1"/>
    <col min="10505" max="10506" width="9.1328125" style="148" customWidth="1"/>
    <col min="10507" max="10507" width="10.53125" style="148" customWidth="1"/>
    <col min="10508" max="10752" width="9.1328125" style="148"/>
    <col min="10753" max="10753" width="0" style="148" hidden="1" customWidth="1"/>
    <col min="10754" max="10754" width="43.46484375" style="148" customWidth="1"/>
    <col min="10755" max="10755" width="3.6640625" style="148" customWidth="1"/>
    <col min="10756" max="10756" width="32.6640625" style="148" customWidth="1"/>
    <col min="10757" max="10757" width="27" style="148" customWidth="1"/>
    <col min="10758" max="10759" width="9.1328125" style="148" customWidth="1"/>
    <col min="10760" max="10760" width="5" style="148" customWidth="1"/>
    <col min="10761" max="10762" width="9.1328125" style="148" customWidth="1"/>
    <col min="10763" max="10763" width="10.53125" style="148" customWidth="1"/>
    <col min="10764" max="11008" width="9.1328125" style="148"/>
    <col min="11009" max="11009" width="0" style="148" hidden="1" customWidth="1"/>
    <col min="11010" max="11010" width="43.46484375" style="148" customWidth="1"/>
    <col min="11011" max="11011" width="3.6640625" style="148" customWidth="1"/>
    <col min="11012" max="11012" width="32.6640625" style="148" customWidth="1"/>
    <col min="11013" max="11013" width="27" style="148" customWidth="1"/>
    <col min="11014" max="11015" width="9.1328125" style="148" customWidth="1"/>
    <col min="11016" max="11016" width="5" style="148" customWidth="1"/>
    <col min="11017" max="11018" width="9.1328125" style="148" customWidth="1"/>
    <col min="11019" max="11019" width="10.53125" style="148" customWidth="1"/>
    <col min="11020" max="11264" width="9.1328125" style="148"/>
    <col min="11265" max="11265" width="0" style="148" hidden="1" customWidth="1"/>
    <col min="11266" max="11266" width="43.46484375" style="148" customWidth="1"/>
    <col min="11267" max="11267" width="3.6640625" style="148" customWidth="1"/>
    <col min="11268" max="11268" width="32.6640625" style="148" customWidth="1"/>
    <col min="11269" max="11269" width="27" style="148" customWidth="1"/>
    <col min="11270" max="11271" width="9.1328125" style="148" customWidth="1"/>
    <col min="11272" max="11272" width="5" style="148" customWidth="1"/>
    <col min="11273" max="11274" width="9.1328125" style="148" customWidth="1"/>
    <col min="11275" max="11275" width="10.53125" style="148" customWidth="1"/>
    <col min="11276" max="11520" width="9.1328125" style="148"/>
    <col min="11521" max="11521" width="0" style="148" hidden="1" customWidth="1"/>
    <col min="11522" max="11522" width="43.46484375" style="148" customWidth="1"/>
    <col min="11523" max="11523" width="3.6640625" style="148" customWidth="1"/>
    <col min="11524" max="11524" width="32.6640625" style="148" customWidth="1"/>
    <col min="11525" max="11525" width="27" style="148" customWidth="1"/>
    <col min="11526" max="11527" width="9.1328125" style="148" customWidth="1"/>
    <col min="11528" max="11528" width="5" style="148" customWidth="1"/>
    <col min="11529" max="11530" width="9.1328125" style="148" customWidth="1"/>
    <col min="11531" max="11531" width="10.53125" style="148" customWidth="1"/>
    <col min="11532" max="11776" width="9.1328125" style="148"/>
    <col min="11777" max="11777" width="0" style="148" hidden="1" customWidth="1"/>
    <col min="11778" max="11778" width="43.46484375" style="148" customWidth="1"/>
    <col min="11779" max="11779" width="3.6640625" style="148" customWidth="1"/>
    <col min="11780" max="11780" width="32.6640625" style="148" customWidth="1"/>
    <col min="11781" max="11781" width="27" style="148" customWidth="1"/>
    <col min="11782" max="11783" width="9.1328125" style="148" customWidth="1"/>
    <col min="11784" max="11784" width="5" style="148" customWidth="1"/>
    <col min="11785" max="11786" width="9.1328125" style="148" customWidth="1"/>
    <col min="11787" max="11787" width="10.53125" style="148" customWidth="1"/>
    <col min="11788" max="12032" width="9.1328125" style="148"/>
    <col min="12033" max="12033" width="0" style="148" hidden="1" customWidth="1"/>
    <col min="12034" max="12034" width="43.46484375" style="148" customWidth="1"/>
    <col min="12035" max="12035" width="3.6640625" style="148" customWidth="1"/>
    <col min="12036" max="12036" width="32.6640625" style="148" customWidth="1"/>
    <col min="12037" max="12037" width="27" style="148" customWidth="1"/>
    <col min="12038" max="12039" width="9.1328125" style="148" customWidth="1"/>
    <col min="12040" max="12040" width="5" style="148" customWidth="1"/>
    <col min="12041" max="12042" width="9.1328125" style="148" customWidth="1"/>
    <col min="12043" max="12043" width="10.53125" style="148" customWidth="1"/>
    <col min="12044" max="12288" width="9.1328125" style="148"/>
    <col min="12289" max="12289" width="0" style="148" hidden="1" customWidth="1"/>
    <col min="12290" max="12290" width="43.46484375" style="148" customWidth="1"/>
    <col min="12291" max="12291" width="3.6640625" style="148" customWidth="1"/>
    <col min="12292" max="12292" width="32.6640625" style="148" customWidth="1"/>
    <col min="12293" max="12293" width="27" style="148" customWidth="1"/>
    <col min="12294" max="12295" width="9.1328125" style="148" customWidth="1"/>
    <col min="12296" max="12296" width="5" style="148" customWidth="1"/>
    <col min="12297" max="12298" width="9.1328125" style="148" customWidth="1"/>
    <col min="12299" max="12299" width="10.53125" style="148" customWidth="1"/>
    <col min="12300" max="12544" width="9.1328125" style="148"/>
    <col min="12545" max="12545" width="0" style="148" hidden="1" customWidth="1"/>
    <col min="12546" max="12546" width="43.46484375" style="148" customWidth="1"/>
    <col min="12547" max="12547" width="3.6640625" style="148" customWidth="1"/>
    <col min="12548" max="12548" width="32.6640625" style="148" customWidth="1"/>
    <col min="12549" max="12549" width="27" style="148" customWidth="1"/>
    <col min="12550" max="12551" width="9.1328125" style="148" customWidth="1"/>
    <col min="12552" max="12552" width="5" style="148" customWidth="1"/>
    <col min="12553" max="12554" width="9.1328125" style="148" customWidth="1"/>
    <col min="12555" max="12555" width="10.53125" style="148" customWidth="1"/>
    <col min="12556" max="12800" width="9.1328125" style="148"/>
    <col min="12801" max="12801" width="0" style="148" hidden="1" customWidth="1"/>
    <col min="12802" max="12802" width="43.46484375" style="148" customWidth="1"/>
    <col min="12803" max="12803" width="3.6640625" style="148" customWidth="1"/>
    <col min="12804" max="12804" width="32.6640625" style="148" customWidth="1"/>
    <col min="12805" max="12805" width="27" style="148" customWidth="1"/>
    <col min="12806" max="12807" width="9.1328125" style="148" customWidth="1"/>
    <col min="12808" max="12808" width="5" style="148" customWidth="1"/>
    <col min="12809" max="12810" width="9.1328125" style="148" customWidth="1"/>
    <col min="12811" max="12811" width="10.53125" style="148" customWidth="1"/>
    <col min="12812" max="13056" width="9.1328125" style="148"/>
    <col min="13057" max="13057" width="0" style="148" hidden="1" customWidth="1"/>
    <col min="13058" max="13058" width="43.46484375" style="148" customWidth="1"/>
    <col min="13059" max="13059" width="3.6640625" style="148" customWidth="1"/>
    <col min="13060" max="13060" width="32.6640625" style="148" customWidth="1"/>
    <col min="13061" max="13061" width="27" style="148" customWidth="1"/>
    <col min="13062" max="13063" width="9.1328125" style="148" customWidth="1"/>
    <col min="13064" max="13064" width="5" style="148" customWidth="1"/>
    <col min="13065" max="13066" width="9.1328125" style="148" customWidth="1"/>
    <col min="13067" max="13067" width="10.53125" style="148" customWidth="1"/>
    <col min="13068" max="13312" width="9.1328125" style="148"/>
    <col min="13313" max="13313" width="0" style="148" hidden="1" customWidth="1"/>
    <col min="13314" max="13314" width="43.46484375" style="148" customWidth="1"/>
    <col min="13315" max="13315" width="3.6640625" style="148" customWidth="1"/>
    <col min="13316" max="13316" width="32.6640625" style="148" customWidth="1"/>
    <col min="13317" max="13317" width="27" style="148" customWidth="1"/>
    <col min="13318" max="13319" width="9.1328125" style="148" customWidth="1"/>
    <col min="13320" max="13320" width="5" style="148" customWidth="1"/>
    <col min="13321" max="13322" width="9.1328125" style="148" customWidth="1"/>
    <col min="13323" max="13323" width="10.53125" style="148" customWidth="1"/>
    <col min="13324" max="13568" width="9.1328125" style="148"/>
    <col min="13569" max="13569" width="0" style="148" hidden="1" customWidth="1"/>
    <col min="13570" max="13570" width="43.46484375" style="148" customWidth="1"/>
    <col min="13571" max="13571" width="3.6640625" style="148" customWidth="1"/>
    <col min="13572" max="13572" width="32.6640625" style="148" customWidth="1"/>
    <col min="13573" max="13573" width="27" style="148" customWidth="1"/>
    <col min="13574" max="13575" width="9.1328125" style="148" customWidth="1"/>
    <col min="13576" max="13576" width="5" style="148" customWidth="1"/>
    <col min="13577" max="13578" width="9.1328125" style="148" customWidth="1"/>
    <col min="13579" max="13579" width="10.53125" style="148" customWidth="1"/>
    <col min="13580" max="13824" width="9.1328125" style="148"/>
    <col min="13825" max="13825" width="0" style="148" hidden="1" customWidth="1"/>
    <col min="13826" max="13826" width="43.46484375" style="148" customWidth="1"/>
    <col min="13827" max="13827" width="3.6640625" style="148" customWidth="1"/>
    <col min="13828" max="13828" width="32.6640625" style="148" customWidth="1"/>
    <col min="13829" max="13829" width="27" style="148" customWidth="1"/>
    <col min="13830" max="13831" width="9.1328125" style="148" customWidth="1"/>
    <col min="13832" max="13832" width="5" style="148" customWidth="1"/>
    <col min="13833" max="13834" width="9.1328125" style="148" customWidth="1"/>
    <col min="13835" max="13835" width="10.53125" style="148" customWidth="1"/>
    <col min="13836" max="14080" width="9.1328125" style="148"/>
    <col min="14081" max="14081" width="0" style="148" hidden="1" customWidth="1"/>
    <col min="14082" max="14082" width="43.46484375" style="148" customWidth="1"/>
    <col min="14083" max="14083" width="3.6640625" style="148" customWidth="1"/>
    <col min="14084" max="14084" width="32.6640625" style="148" customWidth="1"/>
    <col min="14085" max="14085" width="27" style="148" customWidth="1"/>
    <col min="14086" max="14087" width="9.1328125" style="148" customWidth="1"/>
    <col min="14088" max="14088" width="5" style="148" customWidth="1"/>
    <col min="14089" max="14090" width="9.1328125" style="148" customWidth="1"/>
    <col min="14091" max="14091" width="10.53125" style="148" customWidth="1"/>
    <col min="14092" max="14336" width="9.1328125" style="148"/>
    <col min="14337" max="14337" width="0" style="148" hidden="1" customWidth="1"/>
    <col min="14338" max="14338" width="43.46484375" style="148" customWidth="1"/>
    <col min="14339" max="14339" width="3.6640625" style="148" customWidth="1"/>
    <col min="14340" max="14340" width="32.6640625" style="148" customWidth="1"/>
    <col min="14341" max="14341" width="27" style="148" customWidth="1"/>
    <col min="14342" max="14343" width="9.1328125" style="148" customWidth="1"/>
    <col min="14344" max="14344" width="5" style="148" customWidth="1"/>
    <col min="14345" max="14346" width="9.1328125" style="148" customWidth="1"/>
    <col min="14347" max="14347" width="10.53125" style="148" customWidth="1"/>
    <col min="14348" max="14592" width="9.1328125" style="148"/>
    <col min="14593" max="14593" width="0" style="148" hidden="1" customWidth="1"/>
    <col min="14594" max="14594" width="43.46484375" style="148" customWidth="1"/>
    <col min="14595" max="14595" width="3.6640625" style="148" customWidth="1"/>
    <col min="14596" max="14596" width="32.6640625" style="148" customWidth="1"/>
    <col min="14597" max="14597" width="27" style="148" customWidth="1"/>
    <col min="14598" max="14599" width="9.1328125" style="148" customWidth="1"/>
    <col min="14600" max="14600" width="5" style="148" customWidth="1"/>
    <col min="14601" max="14602" width="9.1328125" style="148" customWidth="1"/>
    <col min="14603" max="14603" width="10.53125" style="148" customWidth="1"/>
    <col min="14604" max="14848" width="9.1328125" style="148"/>
    <col min="14849" max="14849" width="0" style="148" hidden="1" customWidth="1"/>
    <col min="14850" max="14850" width="43.46484375" style="148" customWidth="1"/>
    <col min="14851" max="14851" width="3.6640625" style="148" customWidth="1"/>
    <col min="14852" max="14852" width="32.6640625" style="148" customWidth="1"/>
    <col min="14853" max="14853" width="27" style="148" customWidth="1"/>
    <col min="14854" max="14855" width="9.1328125" style="148" customWidth="1"/>
    <col min="14856" max="14856" width="5" style="148" customWidth="1"/>
    <col min="14857" max="14858" width="9.1328125" style="148" customWidth="1"/>
    <col min="14859" max="14859" width="10.53125" style="148" customWidth="1"/>
    <col min="14860" max="15104" width="9.1328125" style="148"/>
    <col min="15105" max="15105" width="0" style="148" hidden="1" customWidth="1"/>
    <col min="15106" max="15106" width="43.46484375" style="148" customWidth="1"/>
    <col min="15107" max="15107" width="3.6640625" style="148" customWidth="1"/>
    <col min="15108" max="15108" width="32.6640625" style="148" customWidth="1"/>
    <col min="15109" max="15109" width="27" style="148" customWidth="1"/>
    <col min="15110" max="15111" width="9.1328125" style="148" customWidth="1"/>
    <col min="15112" max="15112" width="5" style="148" customWidth="1"/>
    <col min="15113" max="15114" width="9.1328125" style="148" customWidth="1"/>
    <col min="15115" max="15115" width="10.53125" style="148" customWidth="1"/>
    <col min="15116" max="15360" width="9.1328125" style="148"/>
    <col min="15361" max="15361" width="0" style="148" hidden="1" customWidth="1"/>
    <col min="15362" max="15362" width="43.46484375" style="148" customWidth="1"/>
    <col min="15363" max="15363" width="3.6640625" style="148" customWidth="1"/>
    <col min="15364" max="15364" width="32.6640625" style="148" customWidth="1"/>
    <col min="15365" max="15365" width="27" style="148" customWidth="1"/>
    <col min="15366" max="15367" width="9.1328125" style="148" customWidth="1"/>
    <col min="15368" max="15368" width="5" style="148" customWidth="1"/>
    <col min="15369" max="15370" width="9.1328125" style="148" customWidth="1"/>
    <col min="15371" max="15371" width="10.53125" style="148" customWidth="1"/>
    <col min="15372" max="15616" width="9.1328125" style="148"/>
    <col min="15617" max="15617" width="0" style="148" hidden="1" customWidth="1"/>
    <col min="15618" max="15618" width="43.46484375" style="148" customWidth="1"/>
    <col min="15619" max="15619" width="3.6640625" style="148" customWidth="1"/>
    <col min="15620" max="15620" width="32.6640625" style="148" customWidth="1"/>
    <col min="15621" max="15621" width="27" style="148" customWidth="1"/>
    <col min="15622" max="15623" width="9.1328125" style="148" customWidth="1"/>
    <col min="15624" max="15624" width="5" style="148" customWidth="1"/>
    <col min="15625" max="15626" width="9.1328125" style="148" customWidth="1"/>
    <col min="15627" max="15627" width="10.53125" style="148" customWidth="1"/>
    <col min="15628" max="15872" width="9.1328125" style="148"/>
    <col min="15873" max="15873" width="0" style="148" hidden="1" customWidth="1"/>
    <col min="15874" max="15874" width="43.46484375" style="148" customWidth="1"/>
    <col min="15875" max="15875" width="3.6640625" style="148" customWidth="1"/>
    <col min="15876" max="15876" width="32.6640625" style="148" customWidth="1"/>
    <col min="15877" max="15877" width="27" style="148" customWidth="1"/>
    <col min="15878" max="15879" width="9.1328125" style="148" customWidth="1"/>
    <col min="15880" max="15880" width="5" style="148" customWidth="1"/>
    <col min="15881" max="15882" width="9.1328125" style="148" customWidth="1"/>
    <col min="15883" max="15883" width="10.53125" style="148" customWidth="1"/>
    <col min="15884" max="16128" width="9.1328125" style="148"/>
    <col min="16129" max="16129" width="0" style="148" hidden="1" customWidth="1"/>
    <col min="16130" max="16130" width="43.46484375" style="148" customWidth="1"/>
    <col min="16131" max="16131" width="3.6640625" style="148" customWidth="1"/>
    <col min="16132" max="16132" width="32.6640625" style="148" customWidth="1"/>
    <col min="16133" max="16133" width="27" style="148" customWidth="1"/>
    <col min="16134" max="16135" width="9.1328125" style="148" customWidth="1"/>
    <col min="16136" max="16136" width="5" style="148" customWidth="1"/>
    <col min="16137" max="16138" width="9.1328125" style="148" customWidth="1"/>
    <col min="16139" max="16139" width="10.53125" style="148" customWidth="1"/>
    <col min="16140" max="16384" width="9.1328125" style="148"/>
  </cols>
  <sheetData>
    <row r="1" spans="1:256" ht="12.75" customHeight="1">
      <c r="B1" s="63"/>
    </row>
    <row r="2" spans="1:256" s="157" customFormat="1" ht="21" customHeight="1">
      <c r="A2" s="148"/>
      <c r="B2" s="3187" t="s">
        <v>0</v>
      </c>
      <c r="C2" s="149"/>
      <c r="D2" s="3190" t="s">
        <v>553</v>
      </c>
      <c r="E2" s="3190"/>
      <c r="F2" s="3190"/>
      <c r="G2" s="3190"/>
      <c r="H2" s="3190"/>
      <c r="I2" s="3190"/>
      <c r="J2" s="3190"/>
      <c r="K2" s="3190"/>
      <c r="L2" s="155"/>
      <c r="M2" s="155"/>
      <c r="N2" s="155"/>
      <c r="O2" s="155"/>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row>
    <row r="3" spans="1:256" s="157" customFormat="1" ht="21" customHeight="1">
      <c r="A3" s="148"/>
      <c r="B3" s="3187"/>
      <c r="C3" s="149"/>
      <c r="D3" s="3190"/>
      <c r="E3" s="3190"/>
      <c r="F3" s="3190"/>
      <c r="G3" s="3190"/>
      <c r="H3" s="3190"/>
      <c r="I3" s="3190"/>
      <c r="J3" s="3190"/>
      <c r="K3" s="3190"/>
    </row>
    <row r="4" spans="1:256" ht="21" customHeight="1">
      <c r="B4" s="63"/>
      <c r="C4" s="150"/>
      <c r="D4" s="151"/>
      <c r="E4" s="150"/>
      <c r="F4" s="150"/>
      <c r="G4" s="150"/>
      <c r="H4" s="150"/>
      <c r="I4" s="150"/>
      <c r="J4" s="150"/>
      <c r="K4" s="150"/>
    </row>
    <row r="5" spans="1:256" ht="21" customHeight="1">
      <c r="B5" s="62" t="s">
        <v>1</v>
      </c>
      <c r="D5" s="152"/>
    </row>
    <row r="6" spans="1:256" ht="21" customHeight="1">
      <c r="B6" s="397" t="s">
        <v>452</v>
      </c>
      <c r="D6" s="153"/>
    </row>
    <row r="7" spans="1:256" ht="21" customHeight="1">
      <c r="B7" s="62" t="s">
        <v>239</v>
      </c>
    </row>
    <row r="8" spans="1:256" ht="21" customHeight="1">
      <c r="B8" s="62" t="s">
        <v>1263</v>
      </c>
    </row>
    <row r="9" spans="1:256" ht="21" customHeight="1">
      <c r="B9" s="62" t="s">
        <v>557</v>
      </c>
      <c r="D9" s="152"/>
    </row>
    <row r="10" spans="1:256" ht="21" customHeight="1">
      <c r="B10" s="62" t="s">
        <v>238</v>
      </c>
      <c r="D10" s="153"/>
    </row>
    <row r="11" spans="1:256" ht="21" customHeight="1">
      <c r="B11" s="146" t="s">
        <v>1652</v>
      </c>
      <c r="D11" s="153"/>
    </row>
    <row r="12" spans="1:256" ht="21" customHeight="1">
      <c r="B12" s="145" t="s">
        <v>95</v>
      </c>
      <c r="D12" s="153"/>
    </row>
    <row r="13" spans="1:256" ht="21" customHeight="1">
      <c r="B13" s="147" t="s">
        <v>254</v>
      </c>
      <c r="D13" s="153"/>
    </row>
    <row r="14" spans="1:256" ht="21" customHeight="1">
      <c r="B14" s="145" t="s">
        <v>1252</v>
      </c>
      <c r="D14" s="153"/>
    </row>
    <row r="15" spans="1:256" ht="21" customHeight="1">
      <c r="B15" s="145" t="s">
        <v>1394</v>
      </c>
      <c r="D15" s="152"/>
    </row>
    <row r="16" spans="1:256" ht="21" customHeight="1">
      <c r="B16" s="145" t="s">
        <v>1395</v>
      </c>
      <c r="D16" s="153"/>
    </row>
    <row r="17" spans="2:4" ht="21" customHeight="1">
      <c r="B17" s="145" t="s">
        <v>1396</v>
      </c>
      <c r="D17" s="153"/>
    </row>
    <row r="18" spans="2:4" ht="21" customHeight="1">
      <c r="B18" s="145" t="s">
        <v>1397</v>
      </c>
      <c r="D18" s="153"/>
    </row>
    <row r="19" spans="2:4" ht="21" customHeight="1">
      <c r="B19" s="145" t="s">
        <v>1398</v>
      </c>
      <c r="D19" s="152"/>
    </row>
    <row r="20" spans="2:4" ht="21" customHeight="1">
      <c r="B20" s="145" t="s">
        <v>1399</v>
      </c>
      <c r="D20" s="153"/>
    </row>
    <row r="21" spans="2:4" ht="21" customHeight="1">
      <c r="B21" s="62" t="s">
        <v>1653</v>
      </c>
      <c r="D21" s="153"/>
    </row>
    <row r="22" spans="2:4" ht="21" customHeight="1">
      <c r="B22" s="62" t="s">
        <v>40</v>
      </c>
      <c r="D22" s="154"/>
    </row>
    <row r="23" spans="2:4" ht="21" customHeight="1">
      <c r="B23" s="62" t="s">
        <v>238</v>
      </c>
      <c r="D23" s="152"/>
    </row>
    <row r="24" spans="2:4" ht="21" customHeight="1">
      <c r="B24" s="62" t="s">
        <v>39</v>
      </c>
      <c r="D24" s="153"/>
    </row>
    <row r="25" spans="2:4" ht="21" customHeight="1">
      <c r="B25" s="62" t="s">
        <v>38</v>
      </c>
      <c r="D25" s="153"/>
    </row>
    <row r="26" spans="2:4" ht="21" customHeight="1">
      <c r="B26" s="62"/>
      <c r="D26" s="153"/>
    </row>
    <row r="27" spans="2:4" ht="21" customHeight="1">
      <c r="B27" s="63"/>
      <c r="D27" s="153"/>
    </row>
    <row r="28" spans="2:4" ht="21" customHeight="1">
      <c r="B28" s="63"/>
      <c r="D28" s="153"/>
    </row>
    <row r="29" spans="2:4" ht="21" customHeight="1">
      <c r="B29" s="143"/>
      <c r="D29" s="153"/>
    </row>
    <row r="30" spans="2:4" ht="21" customHeight="1">
      <c r="B30" s="143"/>
      <c r="D30" s="153"/>
    </row>
    <row r="31" spans="2:4" ht="21" customHeight="1">
      <c r="B31" s="143"/>
      <c r="D31" s="153"/>
    </row>
    <row r="32" spans="2:4" ht="21" customHeight="1">
      <c r="B32" s="143"/>
    </row>
    <row r="33" spans="2:2" ht="21" customHeight="1">
      <c r="B33" s="143"/>
    </row>
    <row r="34" spans="2:2" ht="21" customHeight="1">
      <c r="B34" s="143"/>
    </row>
    <row r="35" spans="2:2" ht="21" customHeight="1">
      <c r="B35" s="143"/>
    </row>
    <row r="36" spans="2:2" ht="21" customHeight="1">
      <c r="B36" s="143"/>
    </row>
    <row r="37" spans="2:2" ht="21" customHeight="1">
      <c r="B37" s="143"/>
    </row>
    <row r="38" spans="2:2" ht="18" customHeight="1">
      <c r="B38" s="143"/>
    </row>
    <row r="39" spans="2:2" ht="18" customHeight="1">
      <c r="B39" s="143"/>
    </row>
    <row r="40" spans="2:2" ht="18" customHeight="1">
      <c r="B40" s="143"/>
    </row>
    <row r="41" spans="2:2" ht="18" customHeight="1">
      <c r="B41" s="143"/>
    </row>
    <row r="42" spans="2:2" ht="18" customHeight="1">
      <c r="B42" s="143"/>
    </row>
    <row r="43" spans="2:2" ht="18" customHeight="1">
      <c r="B43" s="143"/>
    </row>
    <row r="44" spans="2:2" ht="18" customHeight="1">
      <c r="B44" s="143"/>
    </row>
    <row r="45" spans="2:2" ht="18" customHeight="1">
      <c r="B45" s="143"/>
    </row>
    <row r="46" spans="2:2" ht="18" customHeight="1">
      <c r="B46" s="143"/>
    </row>
    <row r="47" spans="2:2" ht="18" customHeight="1">
      <c r="B47" s="143"/>
    </row>
    <row r="48" spans="2:2" ht="18" customHeight="1">
      <c r="B48" s="143"/>
    </row>
    <row r="49" spans="2:2" ht="18" customHeight="1">
      <c r="B49" s="143"/>
    </row>
    <row r="50" spans="2:2" ht="18" customHeight="1">
      <c r="B50" s="143"/>
    </row>
    <row r="51" spans="2:2" ht="18" customHeight="1">
      <c r="B51" s="143"/>
    </row>
    <row r="52" spans="2:2" ht="18" customHeight="1">
      <c r="B52" s="143"/>
    </row>
    <row r="53" spans="2:2" ht="18" customHeight="1">
      <c r="B53" s="143"/>
    </row>
    <row r="54" spans="2:2" ht="18" customHeight="1">
      <c r="B54" s="143"/>
    </row>
    <row r="55" spans="2:2">
      <c r="B55" s="143"/>
    </row>
    <row r="56" spans="2:2">
      <c r="B56" s="143"/>
    </row>
    <row r="57" spans="2:2">
      <c r="B57" s="143"/>
    </row>
    <row r="58" spans="2:2">
      <c r="B58" s="143"/>
    </row>
    <row r="59" spans="2:2">
      <c r="B59" s="143"/>
    </row>
    <row r="60" spans="2:2">
      <c r="B60" s="143"/>
    </row>
    <row r="61" spans="2:2">
      <c r="B61" s="143"/>
    </row>
    <row r="62" spans="2:2">
      <c r="B62" s="143"/>
    </row>
    <row r="63" spans="2:2">
      <c r="B63" s="143"/>
    </row>
    <row r="64" spans="2:2">
      <c r="B64" s="143"/>
    </row>
    <row r="65" spans="2:2">
      <c r="B65" s="143"/>
    </row>
    <row r="66" spans="2:2">
      <c r="B66" s="143"/>
    </row>
    <row r="67" spans="2:2">
      <c r="B67" s="143"/>
    </row>
    <row r="68" spans="2:2">
      <c r="B68" s="143"/>
    </row>
    <row r="69" spans="2:2">
      <c r="B69" s="143"/>
    </row>
    <row r="70" spans="2:2">
      <c r="B70" s="143"/>
    </row>
    <row r="71" spans="2:2">
      <c r="B71" s="143"/>
    </row>
    <row r="72" spans="2:2">
      <c r="B72" s="143"/>
    </row>
    <row r="73" spans="2:2">
      <c r="B73" s="143"/>
    </row>
    <row r="74" spans="2:2">
      <c r="B74" s="143"/>
    </row>
    <row r="75" spans="2:2">
      <c r="B75" s="143"/>
    </row>
    <row r="76" spans="2:2">
      <c r="B76" s="143"/>
    </row>
    <row r="77" spans="2:2">
      <c r="B77" s="143"/>
    </row>
    <row r="78" spans="2:2">
      <c r="B78" s="143"/>
    </row>
    <row r="79" spans="2:2">
      <c r="B79" s="143"/>
    </row>
    <row r="80" spans="2:2">
      <c r="B80" s="143"/>
    </row>
    <row r="81" spans="2:2">
      <c r="B81" s="143"/>
    </row>
    <row r="82" spans="2:2">
      <c r="B82" s="143"/>
    </row>
    <row r="83" spans="2:2">
      <c r="B83" s="143"/>
    </row>
    <row r="84" spans="2:2">
      <c r="B84" s="143"/>
    </row>
    <row r="85" spans="2:2">
      <c r="B85" s="143"/>
    </row>
    <row r="86" spans="2:2">
      <c r="B86" s="143"/>
    </row>
    <row r="87" spans="2:2">
      <c r="B87" s="143"/>
    </row>
    <row r="88" spans="2:2">
      <c r="B88" s="143"/>
    </row>
    <row r="89" spans="2:2">
      <c r="B89" s="143"/>
    </row>
    <row r="90" spans="2:2">
      <c r="B90" s="143"/>
    </row>
    <row r="91" spans="2:2">
      <c r="B91" s="143"/>
    </row>
    <row r="92" spans="2:2">
      <c r="B92" s="143"/>
    </row>
    <row r="93" spans="2:2">
      <c r="B93" s="143"/>
    </row>
    <row r="94" spans="2:2">
      <c r="B94" s="143"/>
    </row>
    <row r="95" spans="2:2">
      <c r="B95" s="143"/>
    </row>
    <row r="96" spans="2:2">
      <c r="B96" s="143"/>
    </row>
    <row r="97" spans="2:2">
      <c r="B97" s="143"/>
    </row>
    <row r="98" spans="2:2">
      <c r="B98" s="143"/>
    </row>
    <row r="99" spans="2:2">
      <c r="B99" s="143"/>
    </row>
    <row r="100" spans="2:2">
      <c r="B100" s="143"/>
    </row>
    <row r="101" spans="2:2">
      <c r="B101" s="143"/>
    </row>
    <row r="102" spans="2:2">
      <c r="B102" s="143"/>
    </row>
    <row r="103" spans="2:2">
      <c r="B103" s="143"/>
    </row>
    <row r="104" spans="2:2">
      <c r="B104" s="143"/>
    </row>
    <row r="105" spans="2:2">
      <c r="B105" s="143"/>
    </row>
    <row r="106" spans="2:2">
      <c r="B106" s="143"/>
    </row>
    <row r="107" spans="2:2">
      <c r="B107" s="143"/>
    </row>
    <row r="108" spans="2:2">
      <c r="B108" s="143"/>
    </row>
  </sheetData>
  <mergeCells count="2">
    <mergeCell ref="B2:B3"/>
    <mergeCell ref="D2:K3"/>
  </mergeCells>
  <hyperlinks>
    <hyperlink ref="B2:B3" location="Home!A1" display="HOME" xr:uid="{ACBDC179-589E-4E8A-A5A8-328BF42BF7AF}"/>
    <hyperlink ref="B25" location="Disclaimer!A1" display="Disclaimer" xr:uid="{39DF41E0-34F2-403D-9FC9-0684C110B3D3}"/>
    <hyperlink ref="B24" location="Help!A1" display="Help" xr:uid="{6670BCD5-3CCB-48C1-9FAC-F1D531695FA2}"/>
    <hyperlink ref="B22" location="'Source - Links'!A1" display="SOURCE / LINKS" xr:uid="{80DF52DC-1CA7-4BBF-A613-92F12192B94C}"/>
    <hyperlink ref="B12" location="'Guidelines - Definitions'!A1" display="• Definitions" xr:uid="{3DDCF5FA-4049-4908-964D-4198EF3909DC}"/>
    <hyperlink ref="B13" location="'Guidelines - Procedure of Calc'!A1" display="• Procedure of Calculations" xr:uid="{29A92926-EA9C-49AB-BC1D-71818C1000C1}"/>
    <hyperlink ref="B14" location="'Guidelines - Saybolt Manual'!A1" display="• Saybolt Inspection Manual" xr:uid="{70ADB0B5-5AB7-4D82-85F8-05178E1A6F71}"/>
    <hyperlink ref="B5" location="'Documents Manager'!A1" display="DOCUMENTS MANAGER" xr:uid="{1938E8E6-0AC3-45BB-BDBA-D977B602E5A8}"/>
    <hyperlink ref="B6" location="'ASTM Table Series'!A1" display="ASTM TABLES" xr:uid="{8CB44B6E-3A3C-40B1-B6D0-CF7C54EB1806}"/>
    <hyperlink ref="B7" location="'ASTM Converter (Tab.1)'!A1" display="ASTM - CONVERTERS" xr:uid="{028FED50-F68A-4858-8E44-4BAC83E14113}"/>
    <hyperlink ref="B8" location="'ASTM Calculator V.W.'!A1" display="ASTM - CALCULATORS" xr:uid="{7CDF6BD0-DC82-4AE9-991F-A9B1B0C49975}"/>
    <hyperlink ref="B9" location="'Initial&amp;Max. Loading Rate'!A1" display="CARGO - CALCULATORS" xr:uid="{4235DE69-C5F6-40F5-9C9F-7514DAD05F00}"/>
    <hyperlink ref="B15" location="'ASTM Formulas'!A1" display="• ASTM Formulas" xr:uid="{F9B32DCE-593B-4D66-946D-BB300F4D2161}"/>
    <hyperlink ref="B16" location="'Which tables to use When'!A1" display="• Chart Which tables to use When" xr:uid="{47247A83-E459-40B2-9CF3-5F88EFE3924D}"/>
    <hyperlink ref="B17" location="'Conversion Charts Metric'!A1" display="• Conversion Charts Metric system" xr:uid="{1520585B-87C5-4B13-9109-77393A954509}"/>
    <hyperlink ref="B18" location="'Conversion Charts Barrel'!A1" display="• Conversion Charts Barrel system" xr:uid="{A282E37C-E3A5-4049-AA5B-9CB0E621E5B1}"/>
    <hyperlink ref="B19" location="'Conversion Charts Mass &amp; Weight'!A1" display="• Conversion Charts Mass &amp; Weight" xr:uid="{B5F86CF5-9D65-4B26-BC13-5A4664B3CC7D}"/>
    <hyperlink ref="B20" location="'Outturn Charts'!A1" display="• Outturn Charts" xr:uid="{8A3EEC30-296C-40C3-B05B-C8D188C6FD81}"/>
    <hyperlink ref="B11" location="'Guidelines - Definitions'!A1" display="GUIDELINES" xr:uid="{EE6ED9E2-FC43-4702-BD9D-F748F4504B32}"/>
    <hyperlink ref="B21" location="'Guidelines - Bottom Lines'!A1" display="GUIDELINES - CARGO" xr:uid="{F328A6BC-CF4F-4F69-B927-8B500DB05F85}"/>
  </hyperlinks>
  <pageMargins left="0.75" right="0.75" top="1" bottom="1" header="0.5" footer="0.5"/>
  <pageSetup paperSize="9" orientation="portrait" horizontalDpi="4294967294"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BCFD-0B28-429C-ADFD-3EF4F5FA7EDC}">
  <sheetPr>
    <tabColor rgb="FF008080"/>
  </sheetPr>
  <dimension ref="A1:Z882"/>
  <sheetViews>
    <sheetView showGridLines="0" showRowColHeaders="0" topLeftCell="B1" workbookViewId="0">
      <selection activeCell="B15" sqref="B15"/>
    </sheetView>
  </sheetViews>
  <sheetFormatPr defaultRowHeight="12.75"/>
  <cols>
    <col min="1" max="1" width="0" style="2788" hidden="1" customWidth="1"/>
    <col min="2" max="2" width="36.6640625" style="2794" customWidth="1"/>
    <col min="3" max="3" width="2.6640625" style="2788" customWidth="1"/>
    <col min="4" max="4" width="125.33203125" style="2788" customWidth="1"/>
    <col min="5" max="6" width="8.86328125" style="2788"/>
    <col min="7" max="7" width="28.46484375" style="2788" customWidth="1"/>
    <col min="8" max="8" width="14.46484375" style="2788" customWidth="1"/>
    <col min="9" max="9" width="14.1328125" style="2788" customWidth="1"/>
    <col min="10" max="26" width="8.86328125" style="2788"/>
    <col min="27" max="256" width="8.86328125" style="2795"/>
    <col min="257" max="257" width="0" style="2795" hidden="1" customWidth="1"/>
    <col min="258" max="258" width="30.6640625" style="2795" customWidth="1"/>
    <col min="259" max="512" width="8.86328125" style="2795"/>
    <col min="513" max="513" width="0" style="2795" hidden="1" customWidth="1"/>
    <col min="514" max="514" width="30.6640625" style="2795" customWidth="1"/>
    <col min="515" max="768" width="8.86328125" style="2795"/>
    <col min="769" max="769" width="0" style="2795" hidden="1" customWidth="1"/>
    <col min="770" max="770" width="30.6640625" style="2795" customWidth="1"/>
    <col min="771" max="1024" width="8.86328125" style="2795"/>
    <col min="1025" max="1025" width="0" style="2795" hidden="1" customWidth="1"/>
    <col min="1026" max="1026" width="30.6640625" style="2795" customWidth="1"/>
    <col min="1027" max="1280" width="8.86328125" style="2795"/>
    <col min="1281" max="1281" width="0" style="2795" hidden="1" customWidth="1"/>
    <col min="1282" max="1282" width="30.6640625" style="2795" customWidth="1"/>
    <col min="1283" max="1536" width="8.86328125" style="2795"/>
    <col min="1537" max="1537" width="0" style="2795" hidden="1" customWidth="1"/>
    <col min="1538" max="1538" width="30.6640625" style="2795" customWidth="1"/>
    <col min="1539" max="1792" width="8.86328125" style="2795"/>
    <col min="1793" max="1793" width="0" style="2795" hidden="1" customWidth="1"/>
    <col min="1794" max="1794" width="30.6640625" style="2795" customWidth="1"/>
    <col min="1795" max="2048" width="8.86328125" style="2795"/>
    <col min="2049" max="2049" width="0" style="2795" hidden="1" customWidth="1"/>
    <col min="2050" max="2050" width="30.6640625" style="2795" customWidth="1"/>
    <col min="2051" max="2304" width="8.86328125" style="2795"/>
    <col min="2305" max="2305" width="0" style="2795" hidden="1" customWidth="1"/>
    <col min="2306" max="2306" width="30.6640625" style="2795" customWidth="1"/>
    <col min="2307" max="2560" width="8.86328125" style="2795"/>
    <col min="2561" max="2561" width="0" style="2795" hidden="1" customWidth="1"/>
    <col min="2562" max="2562" width="30.6640625" style="2795" customWidth="1"/>
    <col min="2563" max="2816" width="8.86328125" style="2795"/>
    <col min="2817" max="2817" width="0" style="2795" hidden="1" customWidth="1"/>
    <col min="2818" max="2818" width="30.6640625" style="2795" customWidth="1"/>
    <col min="2819" max="3072" width="8.86328125" style="2795"/>
    <col min="3073" max="3073" width="0" style="2795" hidden="1" customWidth="1"/>
    <col min="3074" max="3074" width="30.6640625" style="2795" customWidth="1"/>
    <col min="3075" max="3328" width="8.86328125" style="2795"/>
    <col min="3329" max="3329" width="0" style="2795" hidden="1" customWidth="1"/>
    <col min="3330" max="3330" width="30.6640625" style="2795" customWidth="1"/>
    <col min="3331" max="3584" width="8.86328125" style="2795"/>
    <col min="3585" max="3585" width="0" style="2795" hidden="1" customWidth="1"/>
    <col min="3586" max="3586" width="30.6640625" style="2795" customWidth="1"/>
    <col min="3587" max="3840" width="8.86328125" style="2795"/>
    <col min="3841" max="3841" width="0" style="2795" hidden="1" customWidth="1"/>
    <col min="3842" max="3842" width="30.6640625" style="2795" customWidth="1"/>
    <col min="3843" max="4096" width="8.86328125" style="2795"/>
    <col min="4097" max="4097" width="0" style="2795" hidden="1" customWidth="1"/>
    <col min="4098" max="4098" width="30.6640625" style="2795" customWidth="1"/>
    <col min="4099" max="4352" width="8.86328125" style="2795"/>
    <col min="4353" max="4353" width="0" style="2795" hidden="1" customWidth="1"/>
    <col min="4354" max="4354" width="30.6640625" style="2795" customWidth="1"/>
    <col min="4355" max="4608" width="8.86328125" style="2795"/>
    <col min="4609" max="4609" width="0" style="2795" hidden="1" customWidth="1"/>
    <col min="4610" max="4610" width="30.6640625" style="2795" customWidth="1"/>
    <col min="4611" max="4864" width="8.86328125" style="2795"/>
    <col min="4865" max="4865" width="0" style="2795" hidden="1" customWidth="1"/>
    <col min="4866" max="4866" width="30.6640625" style="2795" customWidth="1"/>
    <col min="4867" max="5120" width="8.86328125" style="2795"/>
    <col min="5121" max="5121" width="0" style="2795" hidden="1" customWidth="1"/>
    <col min="5122" max="5122" width="30.6640625" style="2795" customWidth="1"/>
    <col min="5123" max="5376" width="8.86328125" style="2795"/>
    <col min="5377" max="5377" width="0" style="2795" hidden="1" customWidth="1"/>
    <col min="5378" max="5378" width="30.6640625" style="2795" customWidth="1"/>
    <col min="5379" max="5632" width="8.86328125" style="2795"/>
    <col min="5633" max="5633" width="0" style="2795" hidden="1" customWidth="1"/>
    <col min="5634" max="5634" width="30.6640625" style="2795" customWidth="1"/>
    <col min="5635" max="5888" width="8.86328125" style="2795"/>
    <col min="5889" max="5889" width="0" style="2795" hidden="1" customWidth="1"/>
    <col min="5890" max="5890" width="30.6640625" style="2795" customWidth="1"/>
    <col min="5891" max="6144" width="8.86328125" style="2795"/>
    <col min="6145" max="6145" width="0" style="2795" hidden="1" customWidth="1"/>
    <col min="6146" max="6146" width="30.6640625" style="2795" customWidth="1"/>
    <col min="6147" max="6400" width="8.86328125" style="2795"/>
    <col min="6401" max="6401" width="0" style="2795" hidden="1" customWidth="1"/>
    <col min="6402" max="6402" width="30.6640625" style="2795" customWidth="1"/>
    <col min="6403" max="6656" width="8.86328125" style="2795"/>
    <col min="6657" max="6657" width="0" style="2795" hidden="1" customWidth="1"/>
    <col min="6658" max="6658" width="30.6640625" style="2795" customWidth="1"/>
    <col min="6659" max="6912" width="8.86328125" style="2795"/>
    <col min="6913" max="6913" width="0" style="2795" hidden="1" customWidth="1"/>
    <col min="6914" max="6914" width="30.6640625" style="2795" customWidth="1"/>
    <col min="6915" max="7168" width="8.86328125" style="2795"/>
    <col min="7169" max="7169" width="0" style="2795" hidden="1" customWidth="1"/>
    <col min="7170" max="7170" width="30.6640625" style="2795" customWidth="1"/>
    <col min="7171" max="7424" width="8.86328125" style="2795"/>
    <col min="7425" max="7425" width="0" style="2795" hidden="1" customWidth="1"/>
    <col min="7426" max="7426" width="30.6640625" style="2795" customWidth="1"/>
    <col min="7427" max="7680" width="8.86328125" style="2795"/>
    <col min="7681" max="7681" width="0" style="2795" hidden="1" customWidth="1"/>
    <col min="7682" max="7682" width="30.6640625" style="2795" customWidth="1"/>
    <col min="7683" max="7936" width="8.86328125" style="2795"/>
    <col min="7937" max="7937" width="0" style="2795" hidden="1" customWidth="1"/>
    <col min="7938" max="7938" width="30.6640625" style="2795" customWidth="1"/>
    <col min="7939" max="8192" width="8.86328125" style="2795"/>
    <col min="8193" max="8193" width="0" style="2795" hidden="1" customWidth="1"/>
    <col min="8194" max="8194" width="30.6640625" style="2795" customWidth="1"/>
    <col min="8195" max="8448" width="8.86328125" style="2795"/>
    <col min="8449" max="8449" width="0" style="2795" hidden="1" customWidth="1"/>
    <col min="8450" max="8450" width="30.6640625" style="2795" customWidth="1"/>
    <col min="8451" max="8704" width="8.86328125" style="2795"/>
    <col min="8705" max="8705" width="0" style="2795" hidden="1" customWidth="1"/>
    <col min="8706" max="8706" width="30.6640625" style="2795" customWidth="1"/>
    <col min="8707" max="8960" width="8.86328125" style="2795"/>
    <col min="8961" max="8961" width="0" style="2795" hidden="1" customWidth="1"/>
    <col min="8962" max="8962" width="30.6640625" style="2795" customWidth="1"/>
    <col min="8963" max="9216" width="8.86328125" style="2795"/>
    <col min="9217" max="9217" width="0" style="2795" hidden="1" customWidth="1"/>
    <col min="9218" max="9218" width="30.6640625" style="2795" customWidth="1"/>
    <col min="9219" max="9472" width="8.86328125" style="2795"/>
    <col min="9473" max="9473" width="0" style="2795" hidden="1" customWidth="1"/>
    <col min="9474" max="9474" width="30.6640625" style="2795" customWidth="1"/>
    <col min="9475" max="9728" width="8.86328125" style="2795"/>
    <col min="9729" max="9729" width="0" style="2795" hidden="1" customWidth="1"/>
    <col min="9730" max="9730" width="30.6640625" style="2795" customWidth="1"/>
    <col min="9731" max="9984" width="8.86328125" style="2795"/>
    <col min="9985" max="9985" width="0" style="2795" hidden="1" customWidth="1"/>
    <col min="9986" max="9986" width="30.6640625" style="2795" customWidth="1"/>
    <col min="9987" max="10240" width="8.86328125" style="2795"/>
    <col min="10241" max="10241" width="0" style="2795" hidden="1" customWidth="1"/>
    <col min="10242" max="10242" width="30.6640625" style="2795" customWidth="1"/>
    <col min="10243" max="10496" width="8.86328125" style="2795"/>
    <col min="10497" max="10497" width="0" style="2795" hidden="1" customWidth="1"/>
    <col min="10498" max="10498" width="30.6640625" style="2795" customWidth="1"/>
    <col min="10499" max="10752" width="8.86328125" style="2795"/>
    <col min="10753" max="10753" width="0" style="2795" hidden="1" customWidth="1"/>
    <col min="10754" max="10754" width="30.6640625" style="2795" customWidth="1"/>
    <col min="10755" max="11008" width="8.86328125" style="2795"/>
    <col min="11009" max="11009" width="0" style="2795" hidden="1" customWidth="1"/>
    <col min="11010" max="11010" width="30.6640625" style="2795" customWidth="1"/>
    <col min="11011" max="11264" width="8.86328125" style="2795"/>
    <col min="11265" max="11265" width="0" style="2795" hidden="1" customWidth="1"/>
    <col min="11266" max="11266" width="30.6640625" style="2795" customWidth="1"/>
    <col min="11267" max="11520" width="8.86328125" style="2795"/>
    <col min="11521" max="11521" width="0" style="2795" hidden="1" customWidth="1"/>
    <col min="11522" max="11522" width="30.6640625" style="2795" customWidth="1"/>
    <col min="11523" max="11776" width="8.86328125" style="2795"/>
    <col min="11777" max="11777" width="0" style="2795" hidden="1" customWidth="1"/>
    <col min="11778" max="11778" width="30.6640625" style="2795" customWidth="1"/>
    <col min="11779" max="12032" width="8.86328125" style="2795"/>
    <col min="12033" max="12033" width="0" style="2795" hidden="1" customWidth="1"/>
    <col min="12034" max="12034" width="30.6640625" style="2795" customWidth="1"/>
    <col min="12035" max="12288" width="8.86328125" style="2795"/>
    <col min="12289" max="12289" width="0" style="2795" hidden="1" customWidth="1"/>
    <col min="12290" max="12290" width="30.6640625" style="2795" customWidth="1"/>
    <col min="12291" max="12544" width="8.86328125" style="2795"/>
    <col min="12545" max="12545" width="0" style="2795" hidden="1" customWidth="1"/>
    <col min="12546" max="12546" width="30.6640625" style="2795" customWidth="1"/>
    <col min="12547" max="12800" width="8.86328125" style="2795"/>
    <col min="12801" max="12801" width="0" style="2795" hidden="1" customWidth="1"/>
    <col min="12802" max="12802" width="30.6640625" style="2795" customWidth="1"/>
    <col min="12803" max="13056" width="8.86328125" style="2795"/>
    <col min="13057" max="13057" width="0" style="2795" hidden="1" customWidth="1"/>
    <col min="13058" max="13058" width="30.6640625" style="2795" customWidth="1"/>
    <col min="13059" max="13312" width="8.86328125" style="2795"/>
    <col min="13313" max="13313" width="0" style="2795" hidden="1" customWidth="1"/>
    <col min="13314" max="13314" width="30.6640625" style="2795" customWidth="1"/>
    <col min="13315" max="13568" width="8.86328125" style="2795"/>
    <col min="13569" max="13569" width="0" style="2795" hidden="1" customWidth="1"/>
    <col min="13570" max="13570" width="30.6640625" style="2795" customWidth="1"/>
    <col min="13571" max="13824" width="8.86328125" style="2795"/>
    <col min="13825" max="13825" width="0" style="2795" hidden="1" customWidth="1"/>
    <col min="13826" max="13826" width="30.6640625" style="2795" customWidth="1"/>
    <col min="13827" max="14080" width="8.86328125" style="2795"/>
    <col min="14081" max="14081" width="0" style="2795" hidden="1" customWidth="1"/>
    <col min="14082" max="14082" width="30.6640625" style="2795" customWidth="1"/>
    <col min="14083" max="14336" width="8.86328125" style="2795"/>
    <col min="14337" max="14337" width="0" style="2795" hidden="1" customWidth="1"/>
    <col min="14338" max="14338" width="30.6640625" style="2795" customWidth="1"/>
    <col min="14339" max="14592" width="8.86328125" style="2795"/>
    <col min="14593" max="14593" width="0" style="2795" hidden="1" customWidth="1"/>
    <col min="14594" max="14594" width="30.6640625" style="2795" customWidth="1"/>
    <col min="14595" max="14848" width="8.86328125" style="2795"/>
    <col min="14849" max="14849" width="0" style="2795" hidden="1" customWidth="1"/>
    <col min="14850" max="14850" width="30.6640625" style="2795" customWidth="1"/>
    <col min="14851" max="15104" width="8.86328125" style="2795"/>
    <col min="15105" max="15105" width="0" style="2795" hidden="1" customWidth="1"/>
    <col min="15106" max="15106" width="30.6640625" style="2795" customWidth="1"/>
    <col min="15107" max="15360" width="8.86328125" style="2795"/>
    <col min="15361" max="15361" width="0" style="2795" hidden="1" customWidth="1"/>
    <col min="15362" max="15362" width="30.6640625" style="2795" customWidth="1"/>
    <col min="15363" max="15616" width="8.86328125" style="2795"/>
    <col min="15617" max="15617" width="0" style="2795" hidden="1" customWidth="1"/>
    <col min="15618" max="15618" width="30.6640625" style="2795" customWidth="1"/>
    <col min="15619" max="15872" width="8.86328125" style="2795"/>
    <col min="15873" max="15873" width="0" style="2795" hidden="1" customWidth="1"/>
    <col min="15874" max="15874" width="30.6640625" style="2795" customWidth="1"/>
    <col min="15875" max="16128" width="8.86328125" style="2795"/>
    <col min="16129" max="16129" width="0" style="2795" hidden="1" customWidth="1"/>
    <col min="16130" max="16130" width="30.6640625" style="2795" customWidth="1"/>
    <col min="16131" max="16384" width="8.86328125" style="2795"/>
  </cols>
  <sheetData>
    <row r="1" spans="1:16" ht="12.75" customHeight="1">
      <c r="B1" s="63"/>
    </row>
    <row r="2" spans="1:16" s="2792" customFormat="1" ht="21" customHeight="1">
      <c r="A2" s="2789"/>
      <c r="B2" s="3187" t="s">
        <v>0</v>
      </c>
      <c r="C2" s="2790"/>
      <c r="D2" s="3424" t="s">
        <v>698</v>
      </c>
      <c r="E2" s="2791"/>
      <c r="F2" s="2791"/>
      <c r="G2" s="2791"/>
      <c r="H2" s="2791"/>
      <c r="I2" s="2791"/>
      <c r="J2" s="2791"/>
      <c r="K2" s="2791"/>
      <c r="L2" s="2791"/>
      <c r="M2" s="2791"/>
      <c r="N2" s="2791"/>
      <c r="O2" s="2791"/>
      <c r="P2" s="2791"/>
    </row>
    <row r="3" spans="1:16" s="2792" customFormat="1" ht="21" customHeight="1">
      <c r="A3" s="2789"/>
      <c r="B3" s="3187"/>
      <c r="C3" s="2790"/>
      <c r="D3" s="3424"/>
      <c r="E3" s="2791"/>
      <c r="F3" s="2791"/>
      <c r="G3" s="2791"/>
      <c r="H3" s="2791"/>
      <c r="I3" s="2791"/>
      <c r="J3" s="2791"/>
      <c r="K3" s="2791"/>
      <c r="L3" s="2791"/>
      <c r="M3" s="2791"/>
      <c r="N3" s="2791"/>
      <c r="O3" s="2791"/>
      <c r="P3" s="2791"/>
    </row>
    <row r="4" spans="1:16" ht="21" customHeight="1">
      <c r="B4" s="63"/>
    </row>
    <row r="5" spans="1:16" ht="21" customHeight="1">
      <c r="B5" s="62" t="s">
        <v>1</v>
      </c>
    </row>
    <row r="6" spans="1:16" ht="21" customHeight="1">
      <c r="B6" s="397" t="s">
        <v>452</v>
      </c>
    </row>
    <row r="7" spans="1:16" ht="21" customHeight="1">
      <c r="B7" s="62" t="s">
        <v>239</v>
      </c>
    </row>
    <row r="8" spans="1:16" ht="21" customHeight="1">
      <c r="B8" s="62" t="s">
        <v>1263</v>
      </c>
    </row>
    <row r="9" spans="1:16" ht="21" customHeight="1">
      <c r="B9" s="62" t="s">
        <v>557</v>
      </c>
    </row>
    <row r="10" spans="1:16" ht="21" customHeight="1">
      <c r="B10" s="62" t="s">
        <v>238</v>
      </c>
    </row>
    <row r="11" spans="1:16" ht="21" customHeight="1">
      <c r="B11" s="146" t="s">
        <v>1652</v>
      </c>
    </row>
    <row r="12" spans="1:16" ht="21" customHeight="1">
      <c r="B12" s="145" t="s">
        <v>95</v>
      </c>
    </row>
    <row r="13" spans="1:16" ht="21" customHeight="1">
      <c r="B13" s="145" t="s">
        <v>254</v>
      </c>
    </row>
    <row r="14" spans="1:16" ht="21" customHeight="1">
      <c r="B14" s="147" t="s">
        <v>1252</v>
      </c>
    </row>
    <row r="15" spans="1:16" ht="21" customHeight="1">
      <c r="B15" s="145" t="s">
        <v>1394</v>
      </c>
    </row>
    <row r="16" spans="1:16" ht="21" customHeight="1">
      <c r="B16" s="145" t="s">
        <v>1395</v>
      </c>
    </row>
    <row r="17" spans="2:2" ht="21" customHeight="1">
      <c r="B17" s="145" t="s">
        <v>1396</v>
      </c>
    </row>
    <row r="18" spans="2:2" ht="21" customHeight="1">
      <c r="B18" s="145" t="s">
        <v>1397</v>
      </c>
    </row>
    <row r="19" spans="2:2" ht="21" customHeight="1">
      <c r="B19" s="145" t="s">
        <v>1398</v>
      </c>
    </row>
    <row r="20" spans="2:2" ht="21" customHeight="1">
      <c r="B20" s="145" t="s">
        <v>1399</v>
      </c>
    </row>
    <row r="21" spans="2:2" ht="21" customHeight="1">
      <c r="B21" s="62" t="s">
        <v>1653</v>
      </c>
    </row>
    <row r="22" spans="2:2" ht="21" customHeight="1">
      <c r="B22" s="62" t="s">
        <v>40</v>
      </c>
    </row>
    <row r="23" spans="2:2" ht="21" customHeight="1">
      <c r="B23" s="62" t="s">
        <v>238</v>
      </c>
    </row>
    <row r="24" spans="2:2" ht="21" customHeight="1">
      <c r="B24" s="62" t="s">
        <v>39</v>
      </c>
    </row>
    <row r="25" spans="2:2" ht="21" customHeight="1">
      <c r="B25" s="62" t="s">
        <v>38</v>
      </c>
    </row>
    <row r="26" spans="2:2" ht="21" customHeight="1">
      <c r="B26" s="62"/>
    </row>
    <row r="27" spans="2:2" ht="21" customHeight="1">
      <c r="B27" s="63"/>
    </row>
    <row r="28" spans="2:2" ht="21" customHeight="1">
      <c r="B28" s="63"/>
    </row>
    <row r="29" spans="2:2" ht="21" customHeight="1">
      <c r="B29" s="143"/>
    </row>
    <row r="30" spans="2:2" ht="21" customHeight="1">
      <c r="B30" s="143"/>
    </row>
    <row r="31" spans="2:2" ht="21" customHeight="1">
      <c r="B31" s="143"/>
    </row>
    <row r="32" spans="2:2" ht="21" customHeight="1">
      <c r="B32" s="143"/>
    </row>
    <row r="33" spans="2:2" ht="21" customHeight="1">
      <c r="B33" s="143"/>
    </row>
    <row r="34" spans="2:2" ht="21" customHeight="1">
      <c r="B34" s="2793"/>
    </row>
    <row r="35" spans="2:2" ht="21" customHeight="1">
      <c r="B35" s="2793"/>
    </row>
    <row r="36" spans="2:2" ht="21" customHeight="1">
      <c r="B36" s="2793"/>
    </row>
    <row r="37" spans="2:2" ht="21" customHeight="1">
      <c r="B37" s="2793"/>
    </row>
    <row r="41" spans="2:2">
      <c r="B41" s="397" t="s">
        <v>900</v>
      </c>
    </row>
    <row r="43" spans="2:2">
      <c r="B43" s="397"/>
    </row>
    <row r="45" spans="2:2">
      <c r="B45" s="397" t="s">
        <v>1253</v>
      </c>
    </row>
    <row r="46" spans="2:2">
      <c r="B46" s="397" t="s">
        <v>176</v>
      </c>
    </row>
    <row r="47" spans="2:2">
      <c r="B47" s="397" t="s">
        <v>177</v>
      </c>
    </row>
    <row r="49" spans="2:2">
      <c r="B49" s="397" t="s">
        <v>1254</v>
      </c>
    </row>
    <row r="50" spans="2:2">
      <c r="B50" s="397" t="s">
        <v>1255</v>
      </c>
    </row>
    <row r="51" spans="2:2">
      <c r="B51" s="397" t="s">
        <v>1256</v>
      </c>
    </row>
    <row r="71" spans="2:2">
      <c r="B71" s="397" t="s">
        <v>900</v>
      </c>
    </row>
    <row r="73" spans="2:2">
      <c r="B73" s="397"/>
    </row>
    <row r="75" spans="2:2">
      <c r="B75" s="397" t="s">
        <v>1253</v>
      </c>
    </row>
    <row r="76" spans="2:2">
      <c r="B76" s="397" t="s">
        <v>176</v>
      </c>
    </row>
    <row r="77" spans="2:2">
      <c r="B77" s="397" t="s">
        <v>177</v>
      </c>
    </row>
    <row r="79" spans="2:2">
      <c r="B79" s="397" t="s">
        <v>1254</v>
      </c>
    </row>
    <row r="80" spans="2:2">
      <c r="B80" s="397" t="s">
        <v>1255</v>
      </c>
    </row>
    <row r="81" spans="2:2">
      <c r="B81" s="397" t="s">
        <v>1256</v>
      </c>
    </row>
    <row r="83" spans="2:2">
      <c r="B83" s="397" t="s">
        <v>1257</v>
      </c>
    </row>
    <row r="111" spans="2:2">
      <c r="B111" s="397" t="s">
        <v>900</v>
      </c>
    </row>
    <row r="113" spans="2:2">
      <c r="B113" s="397"/>
    </row>
    <row r="115" spans="2:2">
      <c r="B115" s="397" t="s">
        <v>1253</v>
      </c>
    </row>
    <row r="116" spans="2:2">
      <c r="B116" s="397" t="s">
        <v>176</v>
      </c>
    </row>
    <row r="117" spans="2:2">
      <c r="B117" s="397" t="s">
        <v>177</v>
      </c>
    </row>
    <row r="119" spans="2:2">
      <c r="B119" s="397" t="s">
        <v>1254</v>
      </c>
    </row>
    <row r="120" spans="2:2">
      <c r="B120" s="397" t="s">
        <v>1255</v>
      </c>
    </row>
    <row r="121" spans="2:2">
      <c r="B121" s="397" t="s">
        <v>1256</v>
      </c>
    </row>
    <row r="122" spans="2:2">
      <c r="B122" s="397"/>
    </row>
    <row r="123" spans="2:2">
      <c r="B123" s="397" t="s">
        <v>1257</v>
      </c>
    </row>
    <row r="141" spans="2:2">
      <c r="B141" s="397" t="s">
        <v>900</v>
      </c>
    </row>
    <row r="143" spans="2:2">
      <c r="B143" s="397"/>
    </row>
    <row r="145" spans="2:2">
      <c r="B145" s="397" t="s">
        <v>1253</v>
      </c>
    </row>
    <row r="146" spans="2:2">
      <c r="B146" s="397" t="s">
        <v>176</v>
      </c>
    </row>
    <row r="147" spans="2:2">
      <c r="B147" s="397" t="s">
        <v>177</v>
      </c>
    </row>
    <row r="149" spans="2:2">
      <c r="B149" s="397" t="s">
        <v>1254</v>
      </c>
    </row>
    <row r="150" spans="2:2">
      <c r="B150" s="397" t="s">
        <v>1255</v>
      </c>
    </row>
    <row r="151" spans="2:2">
      <c r="B151" s="397" t="s">
        <v>1256</v>
      </c>
    </row>
    <row r="153" spans="2:2">
      <c r="B153" s="397" t="s">
        <v>1257</v>
      </c>
    </row>
    <row r="171" spans="2:2">
      <c r="B171" s="397" t="s">
        <v>900</v>
      </c>
    </row>
    <row r="173" spans="2:2">
      <c r="B173" s="397"/>
    </row>
    <row r="175" spans="2:2">
      <c r="B175" s="397" t="s">
        <v>1253</v>
      </c>
    </row>
    <row r="176" spans="2:2">
      <c r="B176" s="397" t="s">
        <v>176</v>
      </c>
    </row>
    <row r="177" spans="2:2">
      <c r="B177" s="397" t="s">
        <v>177</v>
      </c>
    </row>
    <row r="179" spans="2:2">
      <c r="B179" s="397" t="s">
        <v>1254</v>
      </c>
    </row>
    <row r="180" spans="2:2">
      <c r="B180" s="397" t="s">
        <v>1255</v>
      </c>
    </row>
    <row r="181" spans="2:2">
      <c r="B181" s="397" t="s">
        <v>1256</v>
      </c>
    </row>
    <row r="189" spans="2:2" ht="15.6" customHeight="1"/>
    <row r="190" spans="2:2" ht="15.6" customHeight="1"/>
    <row r="201" spans="2:2">
      <c r="B201" s="397" t="s">
        <v>900</v>
      </c>
    </row>
    <row r="203" spans="2:2">
      <c r="B203" s="397"/>
    </row>
    <row r="205" spans="2:2">
      <c r="B205" s="397" t="s">
        <v>1253</v>
      </c>
    </row>
    <row r="206" spans="2:2">
      <c r="B206" s="397" t="s">
        <v>176</v>
      </c>
    </row>
    <row r="207" spans="2:2">
      <c r="B207" s="397" t="s">
        <v>177</v>
      </c>
    </row>
    <row r="209" spans="2:2">
      <c r="B209" s="397" t="s">
        <v>1254</v>
      </c>
    </row>
    <row r="210" spans="2:2">
      <c r="B210" s="397" t="s">
        <v>1255</v>
      </c>
    </row>
    <row r="211" spans="2:2">
      <c r="B211" s="397" t="s">
        <v>1256</v>
      </c>
    </row>
    <row r="232" spans="2:2">
      <c r="B232" s="397" t="s">
        <v>900</v>
      </c>
    </row>
    <row r="234" spans="2:2">
      <c r="B234" s="397"/>
    </row>
    <row r="236" spans="2:2">
      <c r="B236" s="397" t="s">
        <v>1253</v>
      </c>
    </row>
    <row r="237" spans="2:2">
      <c r="B237" s="397" t="s">
        <v>176</v>
      </c>
    </row>
    <row r="238" spans="2:2">
      <c r="B238" s="397" t="s">
        <v>177</v>
      </c>
    </row>
    <row r="240" spans="2:2">
      <c r="B240" s="397" t="s">
        <v>1254</v>
      </c>
    </row>
    <row r="241" spans="2:2">
      <c r="B241" s="397" t="s">
        <v>1255</v>
      </c>
    </row>
    <row r="242" spans="2:2">
      <c r="B242" s="397" t="s">
        <v>1256</v>
      </c>
    </row>
    <row r="256" spans="2:2">
      <c r="B256" s="397" t="s">
        <v>900</v>
      </c>
    </row>
    <row r="258" spans="2:2">
      <c r="B258" s="397"/>
    </row>
    <row r="260" spans="2:2">
      <c r="B260" s="397" t="s">
        <v>1253</v>
      </c>
    </row>
    <row r="261" spans="2:2">
      <c r="B261" s="397" t="s">
        <v>176</v>
      </c>
    </row>
    <row r="262" spans="2:2">
      <c r="B262" s="397" t="s">
        <v>177</v>
      </c>
    </row>
    <row r="264" spans="2:2">
      <c r="B264" s="397" t="s">
        <v>1254</v>
      </c>
    </row>
    <row r="265" spans="2:2">
      <c r="B265" s="397" t="s">
        <v>1255</v>
      </c>
    </row>
    <row r="266" spans="2:2">
      <c r="B266" s="397" t="s">
        <v>1256</v>
      </c>
    </row>
    <row r="272" spans="2:2">
      <c r="B272" s="397" t="s">
        <v>900</v>
      </c>
    </row>
    <row r="274" spans="2:2">
      <c r="B274" s="397"/>
    </row>
    <row r="276" spans="2:2">
      <c r="B276" s="397" t="s">
        <v>1253</v>
      </c>
    </row>
    <row r="277" spans="2:2">
      <c r="B277" s="397" t="s">
        <v>176</v>
      </c>
    </row>
    <row r="278" spans="2:2">
      <c r="B278" s="397" t="s">
        <v>177</v>
      </c>
    </row>
    <row r="280" spans="2:2">
      <c r="B280" s="397" t="s">
        <v>1254</v>
      </c>
    </row>
    <row r="281" spans="2:2">
      <c r="B281" s="397" t="s">
        <v>1255</v>
      </c>
    </row>
    <row r="282" spans="2:2">
      <c r="B282" s="397" t="s">
        <v>1256</v>
      </c>
    </row>
    <row r="287" spans="2:2">
      <c r="B287" s="397"/>
    </row>
    <row r="289" spans="2:2">
      <c r="B289" s="397"/>
    </row>
    <row r="291" spans="2:2">
      <c r="B291" s="397"/>
    </row>
    <row r="292" spans="2:2">
      <c r="B292" s="397"/>
    </row>
    <row r="293" spans="2:2">
      <c r="B293" s="397"/>
    </row>
    <row r="295" spans="2:2">
      <c r="B295" s="397"/>
    </row>
    <row r="309" spans="2:2">
      <c r="B309" s="397" t="s">
        <v>900</v>
      </c>
    </row>
    <row r="311" spans="2:2">
      <c r="B311" s="397"/>
    </row>
    <row r="313" spans="2:2">
      <c r="B313" s="397" t="s">
        <v>1253</v>
      </c>
    </row>
    <row r="314" spans="2:2">
      <c r="B314" s="397" t="s">
        <v>176</v>
      </c>
    </row>
    <row r="315" spans="2:2">
      <c r="B315" s="397" t="s">
        <v>177</v>
      </c>
    </row>
    <row r="317" spans="2:2">
      <c r="B317" s="397" t="s">
        <v>1254</v>
      </c>
    </row>
    <row r="318" spans="2:2">
      <c r="B318" s="397" t="s">
        <v>1255</v>
      </c>
    </row>
    <row r="319" spans="2:2">
      <c r="B319" s="397" t="s">
        <v>1256</v>
      </c>
    </row>
    <row r="378" spans="2:2">
      <c r="B378" s="397" t="s">
        <v>900</v>
      </c>
    </row>
    <row r="380" spans="2:2">
      <c r="B380" s="397"/>
    </row>
    <row r="382" spans="2:2">
      <c r="B382" s="397" t="s">
        <v>1253</v>
      </c>
    </row>
    <row r="383" spans="2:2">
      <c r="B383" s="397" t="s">
        <v>176</v>
      </c>
    </row>
    <row r="384" spans="2:2">
      <c r="B384" s="397" t="s">
        <v>177</v>
      </c>
    </row>
    <row r="386" spans="2:2">
      <c r="B386" s="397" t="s">
        <v>1254</v>
      </c>
    </row>
    <row r="387" spans="2:2">
      <c r="B387" s="397" t="s">
        <v>1255</v>
      </c>
    </row>
    <row r="388" spans="2:2">
      <c r="B388" s="397" t="s">
        <v>1256</v>
      </c>
    </row>
    <row r="408" spans="2:2">
      <c r="B408" s="397" t="s">
        <v>900</v>
      </c>
    </row>
    <row r="410" spans="2:2">
      <c r="B410" s="397"/>
    </row>
    <row r="412" spans="2:2">
      <c r="B412" s="397" t="s">
        <v>1253</v>
      </c>
    </row>
    <row r="413" spans="2:2">
      <c r="B413" s="397" t="s">
        <v>176</v>
      </c>
    </row>
    <row r="414" spans="2:2">
      <c r="B414" s="397" t="s">
        <v>177</v>
      </c>
    </row>
    <row r="416" spans="2:2">
      <c r="B416" s="397" t="s">
        <v>1254</v>
      </c>
    </row>
    <row r="417" spans="2:2" ht="18.600000000000001" customHeight="1">
      <c r="B417" s="397" t="s">
        <v>1255</v>
      </c>
    </row>
    <row r="418" spans="2:2">
      <c r="B418" s="397" t="s">
        <v>1256</v>
      </c>
    </row>
    <row r="431" spans="2:2">
      <c r="B431" s="397" t="s">
        <v>900</v>
      </c>
    </row>
    <row r="433" spans="2:2">
      <c r="B433" s="397"/>
    </row>
    <row r="435" spans="2:2">
      <c r="B435" s="397" t="s">
        <v>1253</v>
      </c>
    </row>
    <row r="436" spans="2:2">
      <c r="B436" s="397" t="s">
        <v>176</v>
      </c>
    </row>
    <row r="437" spans="2:2">
      <c r="B437" s="397" t="s">
        <v>177</v>
      </c>
    </row>
    <row r="439" spans="2:2">
      <c r="B439" s="397" t="s">
        <v>1254</v>
      </c>
    </row>
    <row r="440" spans="2:2">
      <c r="B440" s="397" t="s">
        <v>1255</v>
      </c>
    </row>
    <row r="441" spans="2:2">
      <c r="B441" s="397" t="s">
        <v>1256</v>
      </c>
    </row>
    <row r="461" spans="2:2">
      <c r="B461" s="397" t="s">
        <v>900</v>
      </c>
    </row>
    <row r="463" spans="2:2">
      <c r="B463" s="397"/>
    </row>
    <row r="465" spans="2:2">
      <c r="B465" s="397" t="s">
        <v>1253</v>
      </c>
    </row>
    <row r="466" spans="2:2">
      <c r="B466" s="397" t="s">
        <v>176</v>
      </c>
    </row>
    <row r="467" spans="2:2">
      <c r="B467" s="397" t="s">
        <v>177</v>
      </c>
    </row>
    <row r="469" spans="2:2">
      <c r="B469" s="397" t="s">
        <v>1254</v>
      </c>
    </row>
    <row r="470" spans="2:2">
      <c r="B470" s="397" t="s">
        <v>1255</v>
      </c>
    </row>
    <row r="471" spans="2:2">
      <c r="B471" s="397" t="s">
        <v>1256</v>
      </c>
    </row>
    <row r="501" spans="2:2">
      <c r="B501" s="397" t="s">
        <v>900</v>
      </c>
    </row>
    <row r="503" spans="2:2">
      <c r="B503" s="397"/>
    </row>
    <row r="505" spans="2:2">
      <c r="B505" s="397" t="s">
        <v>1253</v>
      </c>
    </row>
    <row r="506" spans="2:2">
      <c r="B506" s="397" t="s">
        <v>176</v>
      </c>
    </row>
    <row r="507" spans="2:2">
      <c r="B507" s="397" t="s">
        <v>177</v>
      </c>
    </row>
    <row r="509" spans="2:2">
      <c r="B509" s="397" t="s">
        <v>1254</v>
      </c>
    </row>
    <row r="510" spans="2:2">
      <c r="B510" s="397" t="s">
        <v>1255</v>
      </c>
    </row>
    <row r="511" spans="2:2">
      <c r="B511" s="397" t="s">
        <v>1256</v>
      </c>
    </row>
    <row r="551" spans="2:2">
      <c r="B551" s="397" t="s">
        <v>900</v>
      </c>
    </row>
    <row r="553" spans="2:2">
      <c r="B553" s="397"/>
    </row>
    <row r="555" spans="2:2">
      <c r="B555" s="397" t="s">
        <v>1253</v>
      </c>
    </row>
    <row r="556" spans="2:2">
      <c r="B556" s="397" t="s">
        <v>176</v>
      </c>
    </row>
    <row r="557" spans="2:2">
      <c r="B557" s="397" t="s">
        <v>177</v>
      </c>
    </row>
    <row r="559" spans="2:2">
      <c r="B559" s="397" t="s">
        <v>1254</v>
      </c>
    </row>
    <row r="560" spans="2:2">
      <c r="B560" s="397" t="s">
        <v>1255</v>
      </c>
    </row>
    <row r="561" spans="2:2">
      <c r="B561" s="397" t="s">
        <v>1256</v>
      </c>
    </row>
    <row r="597" spans="2:2">
      <c r="B597" s="397" t="s">
        <v>900</v>
      </c>
    </row>
    <row r="599" spans="2:2">
      <c r="B599" s="397"/>
    </row>
    <row r="601" spans="2:2">
      <c r="B601" s="397" t="s">
        <v>1253</v>
      </c>
    </row>
    <row r="602" spans="2:2">
      <c r="B602" s="397" t="s">
        <v>176</v>
      </c>
    </row>
    <row r="603" spans="2:2">
      <c r="B603" s="397" t="s">
        <v>177</v>
      </c>
    </row>
    <row r="605" spans="2:2">
      <c r="B605" s="397" t="s">
        <v>1254</v>
      </c>
    </row>
    <row r="606" spans="2:2">
      <c r="B606" s="397" t="s">
        <v>1255</v>
      </c>
    </row>
    <row r="607" spans="2:2">
      <c r="B607" s="397" t="s">
        <v>1256</v>
      </c>
    </row>
    <row r="656" spans="2:2">
      <c r="B656" s="397" t="s">
        <v>900</v>
      </c>
    </row>
    <row r="658" spans="2:2">
      <c r="B658" s="397"/>
    </row>
    <row r="660" spans="2:2">
      <c r="B660" s="397" t="s">
        <v>1253</v>
      </c>
    </row>
    <row r="661" spans="2:2">
      <c r="B661" s="397" t="s">
        <v>176</v>
      </c>
    </row>
    <row r="662" spans="2:2">
      <c r="B662" s="397" t="s">
        <v>177</v>
      </c>
    </row>
    <row r="664" spans="2:2">
      <c r="B664" s="397" t="s">
        <v>1254</v>
      </c>
    </row>
    <row r="665" spans="2:2">
      <c r="B665" s="397" t="s">
        <v>1255</v>
      </c>
    </row>
    <row r="666" spans="2:2">
      <c r="B666" s="397" t="s">
        <v>1256</v>
      </c>
    </row>
    <row r="684" spans="2:2">
      <c r="B684" s="397" t="s">
        <v>900</v>
      </c>
    </row>
    <row r="686" spans="2:2">
      <c r="B686" s="397"/>
    </row>
    <row r="688" spans="2:2">
      <c r="B688" s="397" t="s">
        <v>1253</v>
      </c>
    </row>
    <row r="689" spans="2:2">
      <c r="B689" s="397" t="s">
        <v>176</v>
      </c>
    </row>
    <row r="690" spans="2:2">
      <c r="B690" s="397" t="s">
        <v>177</v>
      </c>
    </row>
    <row r="692" spans="2:2">
      <c r="B692" s="397" t="s">
        <v>1254</v>
      </c>
    </row>
    <row r="693" spans="2:2">
      <c r="B693" s="397" t="s">
        <v>1255</v>
      </c>
    </row>
    <row r="694" spans="2:2">
      <c r="B694" s="397" t="s">
        <v>1256</v>
      </c>
    </row>
    <row r="708" spans="2:2">
      <c r="B708" s="397" t="s">
        <v>900</v>
      </c>
    </row>
    <row r="710" spans="2:2">
      <c r="B710" s="397"/>
    </row>
    <row r="712" spans="2:2">
      <c r="B712" s="397" t="s">
        <v>1253</v>
      </c>
    </row>
    <row r="713" spans="2:2">
      <c r="B713" s="397" t="s">
        <v>176</v>
      </c>
    </row>
    <row r="714" spans="2:2">
      <c r="B714" s="397" t="s">
        <v>177</v>
      </c>
    </row>
    <row r="716" spans="2:2">
      <c r="B716" s="397" t="s">
        <v>1254</v>
      </c>
    </row>
    <row r="717" spans="2:2">
      <c r="B717" s="397" t="s">
        <v>1255</v>
      </c>
    </row>
    <row r="718" spans="2:2">
      <c r="B718" s="397" t="s">
        <v>1256</v>
      </c>
    </row>
    <row r="745" spans="2:2">
      <c r="B745" s="397" t="s">
        <v>900</v>
      </c>
    </row>
    <row r="747" spans="2:2">
      <c r="B747" s="397"/>
    </row>
    <row r="749" spans="2:2">
      <c r="B749" s="397" t="s">
        <v>1253</v>
      </c>
    </row>
    <row r="750" spans="2:2">
      <c r="B750" s="397" t="s">
        <v>176</v>
      </c>
    </row>
    <row r="751" spans="2:2">
      <c r="B751" s="397" t="s">
        <v>177</v>
      </c>
    </row>
    <row r="753" spans="2:2">
      <c r="B753" s="397" t="s">
        <v>1254</v>
      </c>
    </row>
    <row r="754" spans="2:2">
      <c r="B754" s="397" t="s">
        <v>1255</v>
      </c>
    </row>
    <row r="755" spans="2:2">
      <c r="B755" s="397" t="s">
        <v>1256</v>
      </c>
    </row>
    <row r="783" spans="2:2">
      <c r="B783" s="397" t="s">
        <v>900</v>
      </c>
    </row>
    <row r="785" spans="2:2">
      <c r="B785" s="397"/>
    </row>
    <row r="787" spans="2:2">
      <c r="B787" s="397" t="s">
        <v>1253</v>
      </c>
    </row>
    <row r="788" spans="2:2">
      <c r="B788" s="397" t="s">
        <v>176</v>
      </c>
    </row>
    <row r="789" spans="2:2">
      <c r="B789" s="397" t="s">
        <v>177</v>
      </c>
    </row>
    <row r="791" spans="2:2">
      <c r="B791" s="397" t="s">
        <v>1254</v>
      </c>
    </row>
    <row r="792" spans="2:2">
      <c r="B792" s="397" t="s">
        <v>1255</v>
      </c>
    </row>
    <row r="793" spans="2:2">
      <c r="B793" s="397" t="s">
        <v>1256</v>
      </c>
    </row>
    <row r="818" spans="2:2">
      <c r="B818" s="397" t="s">
        <v>900</v>
      </c>
    </row>
    <row r="820" spans="2:2">
      <c r="B820" s="397"/>
    </row>
    <row r="822" spans="2:2">
      <c r="B822" s="397" t="s">
        <v>1253</v>
      </c>
    </row>
    <row r="823" spans="2:2">
      <c r="B823" s="397" t="s">
        <v>176</v>
      </c>
    </row>
    <row r="824" spans="2:2">
      <c r="B824" s="397" t="s">
        <v>177</v>
      </c>
    </row>
    <row r="826" spans="2:2">
      <c r="B826" s="397" t="s">
        <v>1254</v>
      </c>
    </row>
    <row r="827" spans="2:2">
      <c r="B827" s="397" t="s">
        <v>1255</v>
      </c>
    </row>
    <row r="828" spans="2:2">
      <c r="B828" s="397" t="s">
        <v>1256</v>
      </c>
    </row>
    <row r="847" spans="2:2">
      <c r="B847" s="397" t="s">
        <v>900</v>
      </c>
    </row>
    <row r="849" spans="2:2">
      <c r="B849" s="397"/>
    </row>
    <row r="851" spans="2:2">
      <c r="B851" s="397" t="s">
        <v>1253</v>
      </c>
    </row>
    <row r="852" spans="2:2">
      <c r="B852" s="397" t="s">
        <v>176</v>
      </c>
    </row>
    <row r="853" spans="2:2">
      <c r="B853" s="397" t="s">
        <v>177</v>
      </c>
    </row>
    <row r="855" spans="2:2">
      <c r="B855" s="397" t="s">
        <v>1254</v>
      </c>
    </row>
    <row r="856" spans="2:2">
      <c r="B856" s="397" t="s">
        <v>1255</v>
      </c>
    </row>
    <row r="857" spans="2:2">
      <c r="B857" s="397" t="s">
        <v>1256</v>
      </c>
    </row>
    <row r="872" spans="2:2">
      <c r="B872" s="397" t="s">
        <v>900</v>
      </c>
    </row>
    <row r="874" spans="2:2">
      <c r="B874" s="397"/>
    </row>
    <row r="876" spans="2:2">
      <c r="B876" s="397" t="s">
        <v>1253</v>
      </c>
    </row>
    <row r="877" spans="2:2">
      <c r="B877" s="397" t="s">
        <v>176</v>
      </c>
    </row>
    <row r="878" spans="2:2">
      <c r="B878" s="397" t="s">
        <v>177</v>
      </c>
    </row>
    <row r="880" spans="2:2">
      <c r="B880" s="397" t="s">
        <v>1254</v>
      </c>
    </row>
    <row r="881" spans="2:2">
      <c r="B881" s="397" t="s">
        <v>1255</v>
      </c>
    </row>
    <row r="882" spans="2:2">
      <c r="B882" s="397" t="s">
        <v>1256</v>
      </c>
    </row>
  </sheetData>
  <mergeCells count="2">
    <mergeCell ref="B2:B3"/>
    <mergeCell ref="D2:D3"/>
  </mergeCells>
  <hyperlinks>
    <hyperlink ref="B2:B3" location="Home!A1" display="HOME" xr:uid="{3F3D97C0-667B-451D-80F0-62CC28EE4C6C}"/>
    <hyperlink ref="B232" location="'Guidelines - Saybolt Manual'!A1" display="Go to Top" xr:uid="{B03B698F-D8FE-41A6-99D0-61851B4AEC2F}"/>
    <hyperlink ref="B236" location="'ASTM Converter (API)'!A1" display="Go to ASTM Converter (API)" xr:uid="{E7840AC6-874F-444B-BF57-1A03207B4AFC}"/>
    <hyperlink ref="B237:B238" location="'Guidelines - Saybolt Manual'!A1" display="Go to Top" xr:uid="{68D10378-2D01-4715-876B-8BA0C59FC21F}"/>
    <hyperlink ref="B237" location="'ASTM Converter (R.Density)'!A1" display="Go to ASTM Converter (R.Density)" xr:uid="{8E311CC0-F303-496C-AEEC-C65AE83EBC36}"/>
    <hyperlink ref="B238" location="'ASTM Converter (Density)'!A1" display="Go to ASTM Converter (Density)" xr:uid="{165BCAE6-C061-46B3-8859-4159320327F9}"/>
    <hyperlink ref="B256" location="'Guidelines - Saybolt Manual'!A1" display="Go to Top" xr:uid="{BFECB763-155C-405C-9CC5-28CB2BF0C532}"/>
    <hyperlink ref="B272" location="'Guidelines - Saybolt Manual'!A1" display="Go to Top" xr:uid="{ABB1FBEE-8BF4-463F-AE27-EF86641C2ECE}"/>
    <hyperlink ref="B309" location="'Guidelines - Saybolt Manual'!A1" display="Go to Top" xr:uid="{78654A25-CA11-4558-900C-09F01F12DADC}"/>
    <hyperlink ref="B260" location="'ASTM Converter (API)'!A1" display="Go to ASTM Converter (API)" xr:uid="{DC6A3178-D5E5-40E4-BFE8-326C26BD512B}"/>
    <hyperlink ref="B261:B262" location="'Guidelines - Saybolt Manual'!A1" display="Go to Top" xr:uid="{34CA734C-83EA-470E-AE6B-38DEB8C6B32B}"/>
    <hyperlink ref="B261" location="'ASTM Converter (R.Density)'!A1" display="Go to ASTM Converter (R.Density)" xr:uid="{280AEE30-62BB-4ED6-BE2E-244EA7B54C95}"/>
    <hyperlink ref="B262" location="'ASTM Converter (Density)'!A1" display="Go to ASTM Converter (Density)" xr:uid="{93611B39-5C56-4496-A0F0-AFA7F356B657}"/>
    <hyperlink ref="B276" location="'ASTM Converter (API)'!A1" display="Go to ASTM Converter (API)" xr:uid="{B2C30912-E5EF-4A91-AE19-88A36BAD35A3}"/>
    <hyperlink ref="B277:B278" location="'Guidelines - Saybolt Manual'!A1" display="Go to Top" xr:uid="{F2BD88D7-5C40-44E8-BE8B-31D269E0F75B}"/>
    <hyperlink ref="B277" location="'ASTM Converter (R.Density)'!A1" display="Go to ASTM Converter (R.Density)" xr:uid="{CBCDAF4D-9780-4717-B487-4EB826022617}"/>
    <hyperlink ref="B278" location="'ASTM Converter (Density)'!A1" display="Go to ASTM Converter (Density)" xr:uid="{4B872E78-7D7D-47FF-9E4C-5CBFC4CE69B7}"/>
    <hyperlink ref="B313" location="'ASTM Converter (API)'!A1" display="Go to ASTM Converter (API)" xr:uid="{66670455-F522-453B-AA81-7EEBED0DEBFA}"/>
    <hyperlink ref="B314:B315" location="'Guidelines - Saybolt Manual'!A1" display="Go to Top" xr:uid="{867165F4-2B2F-4BE8-AB83-363A8D7A97C7}"/>
    <hyperlink ref="B314" location="'ASTM Converter (R.Density)'!A1" display="Go to ASTM Converter (R.Density)" xr:uid="{BDC1BCBA-CB37-425F-ACEE-18A135B54986}"/>
    <hyperlink ref="B315" location="'ASTM Converter (Density)'!A1" display="Go to ASTM Converter (Density)" xr:uid="{890A99C9-5F9D-49E1-AE6D-776DCCFCE444}"/>
    <hyperlink ref="B201" location="'Guidelines - Saybolt Manual'!A1" display="Go to Top" xr:uid="{FEFDB941-4D22-4578-AF41-3F42C807E737}"/>
    <hyperlink ref="B205" location="'ASTM Converter (API)'!A1" display="Go to ASTM Converter (API)" xr:uid="{97BB7498-5809-49EB-8CC2-A4E34C26FB90}"/>
    <hyperlink ref="B206:B207" location="'Guidelines - Saybolt Manual'!A1" display="Go to Top" xr:uid="{004FEB85-C08E-4904-9503-C6B3FF53869C}"/>
    <hyperlink ref="B206" location="'ASTM Converter (R.Density)'!A1" display="Go to ASTM Converter (R.Density)" xr:uid="{A81554C2-31CD-472D-ACDD-1A7B6AAE7B0A}"/>
    <hyperlink ref="B207" location="'ASTM Converter (Density)'!A1" display="Go to ASTM Converter (Density)" xr:uid="{88219486-D049-4DFC-8562-FBECE8D77AB2}"/>
    <hyperlink ref="B171" location="'Guidelines - Saybolt Manual'!A1" display="Go to Top" xr:uid="{9EFFBED7-BA94-45E5-B688-6A384ABCC87A}"/>
    <hyperlink ref="B175" location="'ASTM Converter (API)'!A1" display="Go to ASTM Converter (API)" xr:uid="{CECA51CC-9553-4FFC-87E2-0DA1C43E63CD}"/>
    <hyperlink ref="B176:B177" location="'Guidelines - Saybolt Manual'!A1" display="Go to Top" xr:uid="{6C90DEE7-85D7-4698-BFD8-9D6E46E4536A}"/>
    <hyperlink ref="B176" location="'ASTM Converter (R.Density)'!A1" display="Go to ASTM Converter (R.Density)" xr:uid="{30C98345-873A-47B2-BF5D-B3D44E7C3698}"/>
    <hyperlink ref="B177" location="'ASTM Converter (Density)'!A1" display="Go to ASTM Converter (Density)" xr:uid="{F6A435F3-A576-4BB1-8373-32147A9253C6}"/>
    <hyperlink ref="B141" location="'Guidelines - Saybolt Manual'!A1" display="Go to Top" xr:uid="{712D6973-05E5-4689-A490-FBB5A415E40A}"/>
    <hyperlink ref="B145" location="'ASTM Converter (API)'!A1" display="Go to ASTM Converter (API)" xr:uid="{0585E6E5-3362-45FD-9E96-C2345E837C08}"/>
    <hyperlink ref="B146:B147" location="'Guidelines - Saybolt Manual'!A1" display="Go to Top" xr:uid="{FE55CE7E-1B3E-4645-8E99-BB408E5204A6}"/>
    <hyperlink ref="B146" location="'ASTM Converter (R.Density)'!A1" display="Go to ASTM Converter (R.Density)" xr:uid="{C8638FE4-53E3-4F8B-B861-930014FAF289}"/>
    <hyperlink ref="B147" location="'ASTM Converter (Density)'!A1" display="Go to ASTM Converter (Density)" xr:uid="{27E80510-BA27-4C21-88EF-4B931A2C812F}"/>
    <hyperlink ref="B111" location="'Guidelines - Saybolt Manual'!A1" display="Go to Top" xr:uid="{13F90FCD-EE1B-4038-B8C1-B38EEDEE0EE5}"/>
    <hyperlink ref="B115" location="'ASTM Converter (API)'!A1" display="Go to ASTM Converter (API)" xr:uid="{994254EA-65CD-471D-A4BC-E03B29FE4062}"/>
    <hyperlink ref="B116:B117" location="'Guidelines - Saybolt Manual'!A1" display="Go to Top" xr:uid="{48B9163D-CFE4-4FA8-86AA-C65B9C4FF85A}"/>
    <hyperlink ref="B116" location="'ASTM Converter (R.Density)'!A1" display="Go to ASTM Converter (R.Density)" xr:uid="{1707DF62-DE6C-448F-B7C8-9939659C7D1A}"/>
    <hyperlink ref="B117" location="'ASTM Converter (Density)'!A1" display="Go to ASTM Converter (Density)" xr:uid="{BF5FCF71-3A65-46A2-8F2C-827896746CED}"/>
    <hyperlink ref="B71" location="'Guidelines - Saybolt Manual'!A1" display="Go to Top" xr:uid="{7824F635-1BAB-4AA5-A4FA-ABAD4813904A}"/>
    <hyperlink ref="B75" location="'ASTM Converter (API)'!A1" display="Go to ASTM Converter (API)" xr:uid="{07786156-0A3F-4252-BFDF-F188602831D1}"/>
    <hyperlink ref="B76:B77" location="'Guidelines - Saybolt Manual'!A1" display="Go to Top" xr:uid="{CE45506A-19E6-44B9-BF44-E5700B14648B}"/>
    <hyperlink ref="B76" location="'ASTM Converter (R.Density)'!A1" display="Go to ASTM Converter (R.Density)" xr:uid="{07FFC17B-AB4F-4321-BC47-259247D064C5}"/>
    <hyperlink ref="B77" location="'ASTM Converter (Density)'!A1" display="Go to ASTM Converter (Density)" xr:uid="{BF909D94-9580-4904-808E-D9837DEB27B3}"/>
    <hyperlink ref="B41" location="'Guidelines - Saybolt Manual'!A1" display="Go to Top" xr:uid="{5F5D3177-627D-4247-AEB9-0665213AC115}"/>
    <hyperlink ref="B45" location="'ASTM Converter (API)'!A1" display="Go to ASTM Converter (API)" xr:uid="{6F42DDEE-E31C-443D-8380-0A08B48BCCAE}"/>
    <hyperlink ref="B46:B47" location="'Guidelines - Saybolt Manual'!A1" display="Go to Top" xr:uid="{916A41DA-38F2-4527-BBEB-65D61F65BBDE}"/>
    <hyperlink ref="B46" location="'ASTM Converter (R.Density)'!A1" display="Go to ASTM Converter (R.Density)" xr:uid="{218CDA0A-DB40-4B48-8D59-8F63D66FC36B}"/>
    <hyperlink ref="B47" location="'ASTM Converter (Density)'!A1" display="Go to ASTM Converter (Density)" xr:uid="{3BFCECAC-BB6E-4E51-821F-2EF691AC9A0E}"/>
    <hyperlink ref="B378" location="'Guidelines - Saybolt Manual'!A1" display="Go to Top" xr:uid="{19BC5DF7-7225-4025-B9EF-F4D58EDF8EB2}"/>
    <hyperlink ref="B382" location="'ASTM Converter (API)'!A1" display="Go to ASTM Converter (API)" xr:uid="{0DEA1AC4-1BC7-4227-8033-2A4351271B83}"/>
    <hyperlink ref="B383:B384" location="'Guidelines - Saybolt Manual'!A1" display="Go to Top" xr:uid="{3FDA78CA-4152-4D1D-BB19-7FB5508FAC57}"/>
    <hyperlink ref="B383" location="'ASTM Converter (R.Density)'!A1" display="Go to ASTM Converter (R.Density)" xr:uid="{6A2C275B-E9F5-4406-A232-FE742ADCC2F5}"/>
    <hyperlink ref="B384" location="'ASTM Converter (Density)'!A1" display="Go to ASTM Converter (Density)" xr:uid="{16651174-CD88-4DDD-AB47-FB23EABACC86}"/>
    <hyperlink ref="B408" location="'Guidelines - Saybolt Manual'!A1" display="Go to Top" xr:uid="{3F01FA4B-AE96-4511-9423-5CB0A8452C35}"/>
    <hyperlink ref="B412" location="'ASTM Converter (API)'!A1" display="Go to ASTM Converter (API)" xr:uid="{40E35255-973A-469A-9B3F-1171C14F9FB6}"/>
    <hyperlink ref="B413:B414" location="'Guidelines - Saybolt Manual'!A1" display="Go to Top" xr:uid="{FF5B84AA-28B6-4863-81D5-0AB6885A58B0}"/>
    <hyperlink ref="B413" location="'ASTM Converter (R.Density)'!A1" display="Go to ASTM Converter (R.Density)" xr:uid="{C591E88A-B74C-4C12-A96E-61F3546CCDAB}"/>
    <hyperlink ref="B414" location="'ASTM Converter (Density)'!A1" display="Go to ASTM Converter (Density)" xr:uid="{260E62A0-FD56-457D-8674-F907E7D59225}"/>
    <hyperlink ref="B431" location="'Guidelines - Saybolt Manual'!A1" display="Go to Top" xr:uid="{C0C6158C-5B09-4FD9-8392-8428742F9CAE}"/>
    <hyperlink ref="B435" location="'ASTM Converter (API)'!A1" display="Go to ASTM Converter (API)" xr:uid="{7C9A39BC-819A-4CB1-8C60-41EC0D18957F}"/>
    <hyperlink ref="B436:B437" location="'Guidelines - Saybolt Manual'!A1" display="Go to Top" xr:uid="{6998715E-C08B-43E5-816A-074F91341607}"/>
    <hyperlink ref="B436" location="'ASTM Converter (R.Density)'!A1" display="Go to ASTM Converter (R.Density)" xr:uid="{0A156DD3-2663-497C-A7CD-CC734D800355}"/>
    <hyperlink ref="B437" location="'ASTM Converter (Density)'!A1" display="Go to ASTM Converter (Density)" xr:uid="{E166D439-530E-493A-B16C-3618BD54F9EB}"/>
    <hyperlink ref="B461" location="'Guidelines - Saybolt Manual'!A1" display="Go to Top" xr:uid="{B2A9275E-EBD5-4723-86F8-AB3AE50CC1B5}"/>
    <hyperlink ref="B465" location="'ASTM Converter (API)'!A1" display="Go to ASTM Converter (API)" xr:uid="{03C46922-1C83-48A1-9F8E-DFB88295CFC8}"/>
    <hyperlink ref="B466:B467" location="'Guidelines - Saybolt Manual'!A1" display="Go to Top" xr:uid="{4F403638-BA30-4DF9-87A0-0F628DE9BC49}"/>
    <hyperlink ref="B466" location="'ASTM Converter (R.Density)'!A1" display="Go to ASTM Converter (R.Density)" xr:uid="{1F8ECC2C-2D18-4F38-805E-C673678AA936}"/>
    <hyperlink ref="B467" location="'ASTM Converter (Density)'!A1" display="Go to ASTM Converter (Density)" xr:uid="{06179B16-34F3-40BE-845A-D6A779A96D47}"/>
    <hyperlink ref="B501" location="'Guidelines - Saybolt Manual'!A1" display="Go to Top" xr:uid="{3EE0BFE3-2C8E-4BE2-9A76-73A8F54EC937}"/>
    <hyperlink ref="B505" location="'ASTM Converter (API)'!A1" display="Go to ASTM Converter (API)" xr:uid="{39550763-711C-4B20-90A3-574841415AFC}"/>
    <hyperlink ref="B506:B507" location="'Guidelines - Saybolt Manual'!A1" display="Go to Top" xr:uid="{27BAE479-5959-4564-A381-D9DD84F5ABF0}"/>
    <hyperlink ref="B506" location="'ASTM Converter (R.Density)'!A1" display="Go to ASTM Converter (R.Density)" xr:uid="{B318D2F3-EC2D-4AE0-B587-93E963AD34E2}"/>
    <hyperlink ref="B507" location="'ASTM Converter (Density)'!A1" display="Go to ASTM Converter (Density)" xr:uid="{0C3B220F-0760-4F4A-8B30-55F417413273}"/>
    <hyperlink ref="B551" location="'Guidelines - Saybolt Manual'!A1" display="Go to Top" xr:uid="{8A582161-9961-42D5-9FA4-F85C4D993527}"/>
    <hyperlink ref="B555" location="'ASTM Converter (API)'!A1" display="Go to ASTM Converter (API)" xr:uid="{40F7AA32-8828-4CB2-A397-B5AE44EB0A75}"/>
    <hyperlink ref="B556:B557" location="'Guidelines - Saybolt Manual'!A1" display="Go to Top" xr:uid="{1232931C-BD8F-4075-AFE2-08E986905243}"/>
    <hyperlink ref="B556" location="'ASTM Converter (R.Density)'!A1" display="Go to ASTM Converter (R.Density)" xr:uid="{033C985D-BC23-4EF0-B2D8-BCD450EAF845}"/>
    <hyperlink ref="B557" location="'ASTM Converter (Density)'!A1" display="Go to ASTM Converter (Density)" xr:uid="{9B1CCDAA-36B5-492B-96F7-D1E2EE4175E2}"/>
    <hyperlink ref="B597" location="'Guidelines - Saybolt Manual'!A1" display="Go to Top" xr:uid="{470540A2-A1DA-451C-B70A-F2C1F6CC4F81}"/>
    <hyperlink ref="B601" location="'ASTM Converter (API)'!A1" display="Go to ASTM Converter (API)" xr:uid="{1A44B6D2-F013-4230-BE83-5A7D680409BE}"/>
    <hyperlink ref="B602:B603" location="'Guidelines - Saybolt Manual'!A1" display="Go to Top" xr:uid="{0A9E88EF-3ECB-492D-B633-CDBCB2C944C9}"/>
    <hyperlink ref="B602" location="'ASTM Converter (R.Density)'!A1" display="Go to ASTM Converter (R.Density)" xr:uid="{8FD88B30-A500-49B0-8A37-A65EFB8A6AAA}"/>
    <hyperlink ref="B603" location="'ASTM Converter (Density)'!A1" display="Go to ASTM Converter (Density)" xr:uid="{7E447411-EBF2-4509-BA25-C9454FF6ADB9}"/>
    <hyperlink ref="B656" location="'Guidelines - Saybolt Manual'!A1" display="Go to Top" xr:uid="{007EA0B1-6BBD-484D-B70B-7928B58220DF}"/>
    <hyperlink ref="B660" location="'ASTM Converter (API)'!A1" display="Go to ASTM Converter (API)" xr:uid="{B6B7EBA2-4C7A-4F9C-918F-FC80AC9EC879}"/>
    <hyperlink ref="B661:B662" location="'Guidelines - Saybolt Manual'!A1" display="Go to Top" xr:uid="{A8F1BAFA-439D-4313-B075-FB69F1C1A173}"/>
    <hyperlink ref="B661" location="'ASTM Converter (R.Density)'!A1" display="Go to ASTM Converter (R.Density)" xr:uid="{A8EC17EA-B3F5-4D9F-BDEB-94A09BA8706D}"/>
    <hyperlink ref="B662" location="'ASTM Converter (Density)'!A1" display="Go to ASTM Converter (Density)" xr:uid="{9C084EC9-8170-461D-B844-561E9DCF68D8}"/>
    <hyperlink ref="B684" location="'Guidelines - Saybolt Manual'!A1" display="Go to Top" xr:uid="{A9365BC6-DAB0-4281-BA04-327E463F132C}"/>
    <hyperlink ref="B688" location="'ASTM Converter (API)'!A1" display="Go to ASTM Converter (API)" xr:uid="{0536C4D5-8D8C-4CBF-88C1-6211B0CAB2B0}"/>
    <hyperlink ref="B689:B690" location="'Guidelines - Saybolt Manual'!A1" display="Go to Top" xr:uid="{D472DBAF-FE5A-4DC5-B150-1E793AB39C67}"/>
    <hyperlink ref="B689" location="'ASTM Converter (R.Density)'!A1" display="Go to ASTM Converter (R.Density)" xr:uid="{0D291833-0914-4A82-9738-E032AE5272BF}"/>
    <hyperlink ref="B690" location="'ASTM Converter (Density)'!A1" display="Go to ASTM Converter (Density)" xr:uid="{384BECEE-813D-42C4-8727-7160BB1E32A3}"/>
    <hyperlink ref="B708" location="'Guidelines - Saybolt Manual'!A1" display="Go to Top" xr:uid="{679FA737-F254-4F69-B87F-E6C48EEA57CF}"/>
    <hyperlink ref="B712" location="'ASTM Converter (API)'!A1" display="Go to ASTM Converter (API)" xr:uid="{F567E9C0-3E0E-4FFA-B71E-7FCEEE947282}"/>
    <hyperlink ref="B713:B714" location="'Guidelines - Saybolt Manual'!A1" display="Go to Top" xr:uid="{2228A846-5A4B-4463-9E6F-C69313861672}"/>
    <hyperlink ref="B713" location="'ASTM Converter (R.Density)'!A1" display="Go to ASTM Converter (R.Density)" xr:uid="{C5685EE2-D020-4FAC-8198-6F89C36130C3}"/>
    <hyperlink ref="B714" location="'ASTM Converter (Density)'!A1" display="Go to ASTM Converter (Density)" xr:uid="{01894206-F0F6-4EF2-81E2-6FE865549F09}"/>
    <hyperlink ref="B745" location="'Guidelines - Saybolt Manual'!A1" display="Go to Top" xr:uid="{8EA9EA0A-66D2-40A3-9B7D-3E72ADAA0A8F}"/>
    <hyperlink ref="B749" location="'ASTM Converter (API)'!A1" display="Go to ASTM Converter (API)" xr:uid="{13421954-345A-4CA3-BD6D-196935C88D67}"/>
    <hyperlink ref="B750:B751" location="'Guidelines - Saybolt Manual'!A1" display="Go to Top" xr:uid="{8018BFF7-E662-4BB8-9C02-2CE6AAAA6ED2}"/>
    <hyperlink ref="B750" location="'ASTM Converter (R.Density)'!A1" display="Go to ASTM Converter (R.Density)" xr:uid="{F9825EEF-4BC5-46BA-8743-20123F4F91F4}"/>
    <hyperlink ref="B751" location="'ASTM Converter (Density)'!A1" display="Go to ASTM Converter (Density)" xr:uid="{06B27936-CD1A-4464-8AC4-036AEBB75F09}"/>
    <hyperlink ref="B783" location="'Guidelines - Saybolt Manual'!A1" display="Go to Top" xr:uid="{AA7C028E-924F-42CA-9082-E9B49F08EC43}"/>
    <hyperlink ref="B787" location="'ASTM Converter (API)'!A1" display="Go to ASTM Converter (API)" xr:uid="{BF0232FC-FF2C-4818-B0A0-29F514DDDF7B}"/>
    <hyperlink ref="B788:B789" location="'Guidelines - Saybolt Manual'!A1" display="Go to Top" xr:uid="{7FCF4722-C141-4D6C-9F03-87A411A6F0A8}"/>
    <hyperlink ref="B788" location="'ASTM Converter (R.Density)'!A1" display="Go to ASTM Converter (R.Density)" xr:uid="{D0CA93E1-5904-4FA5-8B88-0D5929FE7A48}"/>
    <hyperlink ref="B789" location="'ASTM Converter (Density)'!A1" display="Go to ASTM Converter (Density)" xr:uid="{F7B655F4-00D4-48E8-9B7E-BC6054F6D08F}"/>
    <hyperlink ref="B818" location="'Guidelines - Saybolt Manual'!A1" display="Go to Top" xr:uid="{9721B5C8-90A0-4D59-B85C-4B857657248C}"/>
    <hyperlink ref="B822" location="'ASTM Converter (API)'!A1" display="Go to ASTM Converter (API)" xr:uid="{93D081C6-FDA5-47B0-9E33-94DE712423C6}"/>
    <hyperlink ref="B823:B824" location="'Guidelines - Saybolt Manual'!A1" display="Go to Top" xr:uid="{FB4FB21C-30DE-404C-BCA1-A56DB85EC1E3}"/>
    <hyperlink ref="B823" location="'ASTM Converter (R.Density)'!A1" display="Go to ASTM Converter (R.Density)" xr:uid="{7F0F438D-5ED4-4786-BA04-D2EDA0CBEF55}"/>
    <hyperlink ref="B824" location="'ASTM Converter (Density)'!A1" display="Go to ASTM Converter (Density)" xr:uid="{A75F7062-599D-429C-9DB4-9F88F3C80686}"/>
    <hyperlink ref="B847" location="'Guidelines - Saybolt Manual'!A1" display="Go to Top" xr:uid="{9734CCD5-E84C-4C6A-978B-8B372B3DDDF7}"/>
    <hyperlink ref="B851" location="'ASTM Converter (API)'!A1" display="Go to ASTM Converter (API)" xr:uid="{08A629E6-476A-4B7D-BA46-FBB7D6E6C664}"/>
    <hyperlink ref="B852:B853" location="'Guidelines - Saybolt Manual'!A1" display="Go to Top" xr:uid="{9AB8F705-6FD6-46EB-A7F8-BED2D9000FFE}"/>
    <hyperlink ref="B852" location="'ASTM Converter (R.Density)'!A1" display="Go to ASTM Converter (R.Density)" xr:uid="{8DC30E5D-EB93-48C8-8DFF-CF4F70299203}"/>
    <hyperlink ref="B853" location="'ASTM Converter (Density)'!A1" display="Go to ASTM Converter (Density)" xr:uid="{02F39D85-E557-436B-AB7C-338FFD6DF137}"/>
    <hyperlink ref="B872" location="'Guidelines - Saybolt Manual'!A1" display="Go to Top" xr:uid="{6BFABED0-7F1F-4D7A-B6E3-89A537A5D163}"/>
    <hyperlink ref="B876" location="'ASTM Converter (API)'!A1" display="Go to ASTM Converter (API)" xr:uid="{63D7FAB7-F5C5-40F4-97DA-F5183C70E846}"/>
    <hyperlink ref="B877:B878" location="'Guidelines - Saybolt Manual'!A1" display="Go to Top" xr:uid="{173E88DA-A332-4B5A-9208-C2F1ADECD797}"/>
    <hyperlink ref="B877" location="'ASTM Converter (R.Density)'!A1" display="Go to ASTM Converter (R.Density)" xr:uid="{E27A38A2-AFA5-4BBE-9845-2E4A46D21B7B}"/>
    <hyperlink ref="B878" location="'ASTM Converter (Density)'!A1" display="Go to ASTM Converter (Density)" xr:uid="{CF404F7F-7C9E-4AC7-BBFE-D360598694E8}"/>
    <hyperlink ref="B50" location="'ASTM - Volume Calculator'!A1" display="Go to Volume Calculator" xr:uid="{02041A0A-A3EE-4B2C-85A1-48FD4F69BEE2}"/>
    <hyperlink ref="B51" location="'ASTM - BL Outturn Compare'!A1" display="Go to BL - Outturn Compare" xr:uid="{4232ED7F-9E4C-451B-A1C3-6EA5A41BA752}"/>
    <hyperlink ref="B49" location="'ASTM - V.W. Calculator'!A1" display="Go to V.W. Calculator" xr:uid="{32084E67-CA04-42DE-AD76-45D0F842D33A}"/>
    <hyperlink ref="B80" location="'ASTM - Volume Calculator'!A1" display="Go to Volume Calculator" xr:uid="{46AF7735-8A50-455E-8EB4-CF4E8CA2A652}"/>
    <hyperlink ref="B81" location="'ASTM - BL Outturn Compare'!A1" display="Go to BL - Outturn Compare" xr:uid="{9A3981C7-846C-4966-A5B9-EB64C642D990}"/>
    <hyperlink ref="B79" location="'ASTM - V.W. Calculator'!A1" display="Go to V.W. Calculator" xr:uid="{250BD13C-870B-4CBD-9BD1-A36C62564CF1}"/>
    <hyperlink ref="B120" location="'ASTM - Volume Calculator'!A1" display="Go to Volume Calculator" xr:uid="{AC563981-B021-4436-933F-6AF3A93771F4}"/>
    <hyperlink ref="B121" location="'ASTM - BL Outturn Compare'!A1" display="Go to BL - Outturn Compare" xr:uid="{83208AC7-9EBD-4316-9CED-D01706DB264D}"/>
    <hyperlink ref="B119" location="'ASTM - V.W. Calculator'!A1" display="Go to V.W. Calculator" xr:uid="{22592C72-323D-456E-88B7-70472A5E445D}"/>
    <hyperlink ref="B150" location="'ASTM - Volume Calculator'!A1" display="Go to Volume Calculator" xr:uid="{7897DB7E-7760-49F3-8642-11367E0AE3A6}"/>
    <hyperlink ref="B151" location="'ASTM - BL Outturn Compare'!A1" display="Go to BL - Outturn Compare" xr:uid="{CF65AE65-98F8-45FA-A7F9-BB44A62884A7}"/>
    <hyperlink ref="B149" location="'ASTM - V.W. Calculator'!A1" display="Go to V.W. Calculator" xr:uid="{BC74860F-1A49-4998-8B62-14DD210563C6}"/>
    <hyperlink ref="B180" location="'ASTM - Volume Calculator'!A1" display="Go to Volume Calculator" xr:uid="{34177139-DB05-4C3E-A942-4850E55C8A82}"/>
    <hyperlink ref="B181" location="'ASTM - BL Outturn Compare'!A1" display="Go to BL - Outturn Compare" xr:uid="{5EB767B4-FA77-4A48-AA90-7A3F69B4ABB6}"/>
    <hyperlink ref="B179" location="'ASTM - V.W. Calculator'!A1" display="Go to V.W. Calculator" xr:uid="{DD099142-D747-4701-9F2C-7E85D85F464F}"/>
    <hyperlink ref="B210" location="'ASTM - Volume Calculator'!A1" display="Go to Volume Calculator" xr:uid="{6C4C36F4-69F2-48C5-AE18-C97E91DC4383}"/>
    <hyperlink ref="B211" location="'ASTM - BL Outturn Compare'!A1" display="Go to BL - Outturn Compare" xr:uid="{6F27098A-1176-45A1-909C-0F973E872C4E}"/>
    <hyperlink ref="B209" location="'ASTM - V.W. Calculator'!A1" display="Go to V.W. Calculator" xr:uid="{215014CC-9B69-4250-90BB-83EBAD935413}"/>
    <hyperlink ref="B241" location="'ASTM - Volume Calculator'!A1" display="Go to Volume Calculator" xr:uid="{AC3D1DC2-AE30-49E3-AF9C-B9D6589D8991}"/>
    <hyperlink ref="B242" location="'ASTM - BL Outturn Compare'!A1" display="Go to BL - Outturn Compare" xr:uid="{29A73FA6-81B9-44BF-90A9-A917DFD657E4}"/>
    <hyperlink ref="B240" location="'ASTM - V.W. Calculator'!A1" display="Go to V.W. Calculator" xr:uid="{E020E935-152E-4E1F-BB57-19CDDFFC2822}"/>
    <hyperlink ref="B265" location="'ASTM - Volume Calculator'!A1" display="Go to Volume Calculator" xr:uid="{303A231B-4EC1-42D3-B504-12CC6BEB10FA}"/>
    <hyperlink ref="B266" location="'ASTM - BL Outturn Compare'!A1" display="Go to BL - Outturn Compare" xr:uid="{250E0308-BAB4-4D85-903B-078B344A197E}"/>
    <hyperlink ref="B264" location="'ASTM - V.W. Calculator'!A1" display="Go to V.W. Calculator" xr:uid="{6CB00F5F-32B4-4185-8F5C-91B8EFD9D97D}"/>
    <hyperlink ref="B281" location="'ASTM - Volume Calculator'!A1" display="Go to Volume Calculator" xr:uid="{F7F9FA1D-01E9-4562-A454-19781C6BC4D4}"/>
    <hyperlink ref="B282" location="'ASTM - BL Outturn Compare'!A1" display="Go to BL - Outturn Compare" xr:uid="{9A90AFD4-23A5-4469-BAD3-7A80BB3A78C7}"/>
    <hyperlink ref="B280" location="'ASTM - V.W. Calculator'!A1" display="Go to V.W. Calculator" xr:uid="{9D8FA853-6D83-4501-8B4C-795378C8C41B}"/>
    <hyperlink ref="B318" location="'ASTM - Volume Calculator'!A1" display="Go to Volume Calculator" xr:uid="{6B8EC2F1-7321-45CE-9BE7-389CA3DF8079}"/>
    <hyperlink ref="B319" location="'ASTM - BL Outturn Compare'!A1" display="Go to BL - Outturn Compare" xr:uid="{BDA9D66F-684E-4E59-B9F9-11B5C25F8011}"/>
    <hyperlink ref="B317" location="'ASTM - V.W. Calculator'!A1" display="Go to V.W. Calculator" xr:uid="{BC1BFF17-2603-4B4E-B204-C02E599F5B12}"/>
    <hyperlink ref="B387" location="'ASTM - Volume Calculator'!A1" display="Go to Volume Calculator" xr:uid="{22107FEA-0955-4865-A4B7-879AE2F7441C}"/>
    <hyperlink ref="B388" location="'ASTM - BL Outturn Compare'!A1" display="Go to BL - Outturn Compare" xr:uid="{B104D1DD-4D6B-48C4-8517-50927475E0EE}"/>
    <hyperlink ref="B386" location="'ASTM - V.W. Calculator'!A1" display="Go to V.W. Calculator" xr:uid="{5DD03FD7-1FBE-47AD-BB89-767693AAC416}"/>
    <hyperlink ref="B417" location="'ASTM - Volume Calculator'!A1" display="Go to Volume Calculator" xr:uid="{3572E93A-1265-45B7-B60C-B59A22900A22}"/>
    <hyperlink ref="B418" location="'ASTM - BL Outturn Compare'!A1" display="Go to BL - Outturn Compare" xr:uid="{0404638A-CB3C-45FE-8AF1-BEC1EFFE324E}"/>
    <hyperlink ref="B416" location="'ASTM - V.W. Calculator'!A1" display="Go to V.W. Calculator" xr:uid="{E4B43588-C4F2-4DBB-9606-74143A0CB13F}"/>
    <hyperlink ref="B440" location="'ASTM - Volume Calculator'!A1" display="Go to Volume Calculator" xr:uid="{B704C4F3-40C4-4D65-BA9A-459411AEAC29}"/>
    <hyperlink ref="B441" location="'ASTM - BL Outturn Compare'!A1" display="Go to BL - Outturn Compare" xr:uid="{C7E33052-B3DC-4E3B-9352-B0FD571D56CC}"/>
    <hyperlink ref="B439" location="'ASTM - V.W. Calculator'!A1" display="Go to V.W. Calculator" xr:uid="{F7C77100-D295-4282-B0BB-DDE80B6B374B}"/>
    <hyperlink ref="B470" location="'ASTM - Volume Calculator'!A1" display="Go to Volume Calculator" xr:uid="{92AA0F66-CEFD-4427-9543-3ADF2FD91E2E}"/>
    <hyperlink ref="B471" location="'ASTM - BL Outturn Compare'!A1" display="Go to BL - Outturn Compare" xr:uid="{8E761C60-792C-4E9E-99FD-FB450A91F739}"/>
    <hyperlink ref="B469" location="'ASTM - V.W. Calculator'!A1" display="Go to V.W. Calculator" xr:uid="{B33972F7-79ED-4E10-B19A-D1C216D387EB}"/>
    <hyperlink ref="B510" location="'ASTM - Volume Calculator'!A1" display="Go to Volume Calculator" xr:uid="{9185A031-682A-48A2-8EA8-53A10EB91B4F}"/>
    <hyperlink ref="B511" location="'ASTM - BL Outturn Compare'!A1" display="Go to BL - Outturn Compare" xr:uid="{6CF5B850-98D1-4231-9079-151FED84F927}"/>
    <hyperlink ref="B509" location="'ASTM - V.W. Calculator'!A1" display="Go to V.W. Calculator" xr:uid="{38018E0F-24BC-4B21-9A6F-43070D627B71}"/>
    <hyperlink ref="B560" location="'ASTM - Volume Calculator'!A1" display="Go to Volume Calculator" xr:uid="{68F7F835-D6E1-4872-81C6-C9A3334FE3A3}"/>
    <hyperlink ref="B561" location="'ASTM - BL Outturn Compare'!A1" display="Go to BL - Outturn Compare" xr:uid="{4F01FDEA-5598-4CC4-B071-35BA7CFD00B2}"/>
    <hyperlink ref="B559" location="'ASTM - V.W. Calculator'!A1" display="Go to V.W. Calculator" xr:uid="{368333E4-0F0F-4A28-BB3C-2F5D4E2361FF}"/>
    <hyperlink ref="B606" location="'ASTM - Volume Calculator'!A1" display="Go to Volume Calculator" xr:uid="{3A4FE3B9-20DA-4395-B0EC-32DAFF5954F0}"/>
    <hyperlink ref="B607" location="'ASTM - BL Outturn Compare'!A1" display="Go to BL - Outturn Compare" xr:uid="{B136CAD9-FA3D-4CE4-8D98-773483C2E3CF}"/>
    <hyperlink ref="B605" location="'ASTM - V.W. Calculator'!A1" display="Go to V.W. Calculator" xr:uid="{EA9242AD-06D7-4873-9CA7-BEF7ECAE495F}"/>
    <hyperlink ref="B665" location="'ASTM - Volume Calculator'!A1" display="Go to Volume Calculator" xr:uid="{72E9BBAC-3E7C-450E-A83D-1F8F2D6D5B63}"/>
    <hyperlink ref="B666" location="'ASTM - BL Outturn Compare'!A1" display="Go to BL - Outturn Compare" xr:uid="{A492E228-B8B7-4116-8598-EF367C40F019}"/>
    <hyperlink ref="B664" location="'ASTM - V.W. Calculator'!A1" display="Go to V.W. Calculator" xr:uid="{214080B6-A030-4777-AA3E-9349BA6CC8BC}"/>
    <hyperlink ref="B693" location="'ASTM - Volume Calculator'!A1" display="Go to Volume Calculator" xr:uid="{517CB122-405F-46F5-AD31-D8CB002D3905}"/>
    <hyperlink ref="B694" location="'ASTM - BL Outturn Compare'!A1" display="Go to BL - Outturn Compare" xr:uid="{A18DDF5B-BBB6-40DC-B9A0-E768F51F9830}"/>
    <hyperlink ref="B692" location="'ASTM - V.W. Calculator'!A1" display="Go to V.W. Calculator" xr:uid="{56DF3553-72EF-43D5-B6E2-4E83E5B04085}"/>
    <hyperlink ref="B717" location="'ASTM - Volume Calculator'!A1" display="Go to Volume Calculator" xr:uid="{28FA9B4E-048C-4911-975E-2263DD736977}"/>
    <hyperlink ref="B718" location="'ASTM - BL Outturn Compare'!A1" display="Go to BL - Outturn Compare" xr:uid="{890C5D31-E0A7-442E-A98D-ADD16192FE7D}"/>
    <hyperlink ref="B716" location="'ASTM - V.W. Calculator'!A1" display="Go to V.W. Calculator" xr:uid="{68FB5B73-ECFF-4415-BA97-25D22B5E64FD}"/>
    <hyperlink ref="B754" location="'ASTM - Volume Calculator'!A1" display="Go to Volume Calculator" xr:uid="{AA546C96-D2CC-4E8F-8FE5-FBAE5A7B3EFE}"/>
    <hyperlink ref="B755" location="'ASTM - BL Outturn Compare'!A1" display="Go to BL - Outturn Compare" xr:uid="{9C509354-E0AA-4E2A-84EC-E58C916D1CE3}"/>
    <hyperlink ref="B753" location="'ASTM - V.W. Calculator'!A1" display="Go to V.W. Calculator" xr:uid="{EA16FD16-ED2D-4082-9965-B162E34F9B56}"/>
    <hyperlink ref="B792" location="'ASTM - Volume Calculator'!A1" display="Go to Volume Calculator" xr:uid="{3A535F5C-FE0F-4D3B-AB72-DFF85C3E1C04}"/>
    <hyperlink ref="B793" location="'ASTM - BL Outturn Compare'!A1" display="Go to BL - Outturn Compare" xr:uid="{CD87140B-7B86-4AC2-8959-074BC8C3998E}"/>
    <hyperlink ref="B791" location="'ASTM - V.W. Calculator'!A1" display="Go to V.W. Calculator" xr:uid="{B5CA5DA7-12A3-4B2C-97B5-FBFEE23BB9DE}"/>
    <hyperlink ref="B827" location="'ASTM - Volume Calculator'!A1" display="Go to Volume Calculator" xr:uid="{CAB1C6EE-E1EE-4830-BDCF-CF8667DC3E38}"/>
    <hyperlink ref="B828" location="'ASTM - BL Outturn Compare'!A1" display="Go to BL - Outturn Compare" xr:uid="{2B57945D-470B-48ED-AE06-0BC0BE8DF1B2}"/>
    <hyperlink ref="B826" location="'ASTM - V.W. Calculator'!A1" display="Go to V.W. Calculator" xr:uid="{3187A95B-E241-4FA5-8BFE-4C1D7A040FC7}"/>
    <hyperlink ref="B856" location="'ASTM - Volume Calculator'!A1" display="Go to Volume Calculator" xr:uid="{0A993BAA-934E-4AA4-834E-48CA5C9138A7}"/>
    <hyperlink ref="B857" location="'ASTM - BL Outturn Compare'!A1" display="Go to BL - Outturn Compare" xr:uid="{18A2E5AD-36C9-4774-A6DC-A8F8807FD086}"/>
    <hyperlink ref="B855" location="'ASTM - V.W. Calculator'!A1" display="Go to V.W. Calculator" xr:uid="{380F8423-5E3E-49BF-BA82-FE5398E33E6A}"/>
    <hyperlink ref="B881" location="'ASTM - Volume Calculator'!A1" display="Go to Volume Calculator" xr:uid="{C2A43E7F-F53E-4C8F-96D3-53B44B722B0A}"/>
    <hyperlink ref="B882" location="'ASTM - BL Outturn Compare'!A1" display="Go to BL - Outturn Compare" xr:uid="{FF74D34E-00FE-45E1-86D8-2F1CC508C24A}"/>
    <hyperlink ref="B880" location="'ASTM - V.W. Calculator'!A1" display="Go to V.W. Calculator" xr:uid="{EC107115-E1A8-4EF8-A4BA-95604D2450D1}"/>
    <hyperlink ref="B25" location="Disclaimer!A1" display="Disclaimer" xr:uid="{B16E5DB0-0E91-41B7-BC82-7B1523BC6927}"/>
    <hyperlink ref="B24" location="Help!A1" display="Help" xr:uid="{A0A0CA15-4A5F-45ED-B139-631800A4F534}"/>
    <hyperlink ref="B22" location="'Source - Links'!A1" display="SOURCE / LINKS" xr:uid="{F544B585-8AE0-475F-A894-9027A1002A28}"/>
    <hyperlink ref="B12" location="'Guidelines - Definitions'!A1" display="• Definitions" xr:uid="{5F9E34F9-2B9F-4C20-8D53-ACE802C78271}"/>
    <hyperlink ref="B13" location="'Guidelines - Procedure of Calc'!A1" display="• Procedure of Calculations" xr:uid="{1513E68A-A50E-46EA-87A8-ACDC9B40F6E9}"/>
    <hyperlink ref="B14" location="'Guidelines - Saybolt Manual'!A1" display="• Saybolt Inspection Manual" xr:uid="{3C727D38-FE19-4A70-A8DD-7EBC7BB2027C}"/>
    <hyperlink ref="B123" location="'CP min CARGO Check'!A1" display="Go to - CP min CARGO Check" xr:uid="{93AE9BCD-E3C9-4037-B8D4-DA2C94151500}"/>
    <hyperlink ref="B153" location="'CP min CARGO Check'!A1" display="Go to - CP min CARGO Check" xr:uid="{E79C128C-2B9F-4A50-931D-E6EB32CA8F22}"/>
    <hyperlink ref="B83" location="'CP min CARGO Check'!A1" display="Go to - CP min CARGO Check" xr:uid="{D03FEF1C-1E7B-4AAF-B404-DE2D74EF354E}"/>
    <hyperlink ref="B5" location="'Documents Manager'!A1" display="DOCUMENTS MANAGER" xr:uid="{3F252E87-BC87-4C4A-A4FE-372809D0441C}"/>
    <hyperlink ref="B6" location="'ASTM Table Series'!A1" display="ASTM TABLES" xr:uid="{22DF11C8-2FFE-4DFC-A52A-8066A2506964}"/>
    <hyperlink ref="B7" location="'ASTM Converter (Tab.1)'!A1" display="ASTM - CONVERTERS" xr:uid="{84FEE58B-921E-458E-A580-A1CC60D59369}"/>
    <hyperlink ref="B8" location="'ASTM Calculator V.W.'!A1" display="ASTM - CALCULATORS" xr:uid="{52523793-5C98-4374-AFD0-69E4707C912E}"/>
    <hyperlink ref="B9" location="'Initial&amp;Max. Loading Rate'!A1" display="CARGO - CALCULATORS" xr:uid="{BC05DDAC-AD86-4E6A-9F3A-81BEB6FA9003}"/>
    <hyperlink ref="B15" location="'ASTM Formulas'!A1" display="• ASTM Formulas" xr:uid="{E7022089-884D-4B50-A840-8670A75A7325}"/>
    <hyperlink ref="B16" location="'Which tables to use When'!A1" display="• Chart Which tables to use When" xr:uid="{5EA68ABB-57FC-4D52-B534-164612985336}"/>
    <hyperlink ref="B17" location="'Conversion Charts Metric'!A1" display="• Conversion Charts Metric system" xr:uid="{AA82C3C5-2870-45E6-8115-361F720EEECA}"/>
    <hyperlink ref="B18" location="'Conversion Charts Barrel'!A1" display="• Conversion Charts Barrel system" xr:uid="{E55043DF-4D28-4542-B726-CC98A3F370AC}"/>
    <hyperlink ref="B19" location="'Conversion Charts Mass &amp; Weight'!A1" display="• Conversion Charts Mass &amp; Weight" xr:uid="{46C53B9D-414C-4B36-9ACE-1A503F225BBB}"/>
    <hyperlink ref="B20" location="'Outturn Charts'!A1" display="• Outturn Charts" xr:uid="{4D21838F-B006-4BC8-A4A6-7139F4776E3A}"/>
    <hyperlink ref="B11" location="'Guidelines - Definitions'!A1" display="GUIDELINES" xr:uid="{CACB5F28-2885-45F6-91F7-535EF908DCD3}"/>
    <hyperlink ref="B21" location="'Guidelines - Bottom Lines'!A1" display="GUIDELINES - CARGO" xr:uid="{DD576B57-56E9-4AA5-B0D0-7645FC42C3A7}"/>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5CDE-39E9-41C0-9FAB-E1830E84DD7C}">
  <sheetPr>
    <tabColor rgb="FF008080"/>
  </sheetPr>
  <dimension ref="A1:Y928"/>
  <sheetViews>
    <sheetView showGridLines="0" showRowColHeaders="0" topLeftCell="B1" workbookViewId="0">
      <selection activeCell="B18" sqref="B18"/>
    </sheetView>
  </sheetViews>
  <sheetFormatPr defaultRowHeight="12.75"/>
  <cols>
    <col min="1" max="1" width="0" style="3057" hidden="1" customWidth="1"/>
    <col min="2" max="2" width="36.6640625" style="3077" customWidth="1"/>
    <col min="3" max="3" width="2.6640625" style="3057" customWidth="1"/>
    <col min="4" max="4" width="9.46484375" style="3057" customWidth="1"/>
    <col min="5" max="5" width="12" style="3057" customWidth="1"/>
    <col min="6" max="6" width="8.86328125" style="3057"/>
    <col min="7" max="7" width="28.46484375" style="3057" customWidth="1"/>
    <col min="8" max="8" width="14.46484375" style="3057" customWidth="1"/>
    <col min="9" max="9" width="14.1328125" style="3057" customWidth="1"/>
    <col min="10" max="12" width="8.86328125" style="3057"/>
    <col min="13" max="13" width="15.33203125" style="3057" customWidth="1"/>
    <col min="14" max="14" width="12.1328125" style="3057" customWidth="1"/>
    <col min="15" max="15" width="11.1328125" style="3057" customWidth="1"/>
    <col min="16" max="25" width="8.86328125" style="3057"/>
    <col min="26" max="255" width="8.86328125" style="3091"/>
    <col min="256" max="256" width="0" style="3091" hidden="1" customWidth="1"/>
    <col min="257" max="257" width="30.6640625" style="3091" customWidth="1"/>
    <col min="258" max="511" width="8.86328125" style="3091"/>
    <col min="512" max="512" width="0" style="3091" hidden="1" customWidth="1"/>
    <col min="513" max="513" width="30.6640625" style="3091" customWidth="1"/>
    <col min="514" max="767" width="8.86328125" style="3091"/>
    <col min="768" max="768" width="0" style="3091" hidden="1" customWidth="1"/>
    <col min="769" max="769" width="30.6640625" style="3091" customWidth="1"/>
    <col min="770" max="1023" width="8.86328125" style="3091"/>
    <col min="1024" max="1024" width="0" style="3091" hidden="1" customWidth="1"/>
    <col min="1025" max="1025" width="30.6640625" style="3091" customWidth="1"/>
    <col min="1026" max="1279" width="8.86328125" style="3091"/>
    <col min="1280" max="1280" width="0" style="3091" hidden="1" customWidth="1"/>
    <col min="1281" max="1281" width="30.6640625" style="3091" customWidth="1"/>
    <col min="1282" max="1535" width="8.86328125" style="3091"/>
    <col min="1536" max="1536" width="0" style="3091" hidden="1" customWidth="1"/>
    <col min="1537" max="1537" width="30.6640625" style="3091" customWidth="1"/>
    <col min="1538" max="1791" width="8.86328125" style="3091"/>
    <col min="1792" max="1792" width="0" style="3091" hidden="1" customWidth="1"/>
    <col min="1793" max="1793" width="30.6640625" style="3091" customWidth="1"/>
    <col min="1794" max="2047" width="8.86328125" style="3091"/>
    <col min="2048" max="2048" width="0" style="3091" hidden="1" customWidth="1"/>
    <col min="2049" max="2049" width="30.6640625" style="3091" customWidth="1"/>
    <col min="2050" max="2303" width="8.86328125" style="3091"/>
    <col min="2304" max="2304" width="0" style="3091" hidden="1" customWidth="1"/>
    <col min="2305" max="2305" width="30.6640625" style="3091" customWidth="1"/>
    <col min="2306" max="2559" width="8.86328125" style="3091"/>
    <col min="2560" max="2560" width="0" style="3091" hidden="1" customWidth="1"/>
    <col min="2561" max="2561" width="30.6640625" style="3091" customWidth="1"/>
    <col min="2562" max="2815" width="8.86328125" style="3091"/>
    <col min="2816" max="2816" width="0" style="3091" hidden="1" customWidth="1"/>
    <col min="2817" max="2817" width="30.6640625" style="3091" customWidth="1"/>
    <col min="2818" max="3071" width="8.86328125" style="3091"/>
    <col min="3072" max="3072" width="0" style="3091" hidden="1" customWidth="1"/>
    <col min="3073" max="3073" width="30.6640625" style="3091" customWidth="1"/>
    <col min="3074" max="3327" width="8.86328125" style="3091"/>
    <col min="3328" max="3328" width="0" style="3091" hidden="1" customWidth="1"/>
    <col min="3329" max="3329" width="30.6640625" style="3091" customWidth="1"/>
    <col min="3330" max="3583" width="8.86328125" style="3091"/>
    <col min="3584" max="3584" width="0" style="3091" hidden="1" customWidth="1"/>
    <col min="3585" max="3585" width="30.6640625" style="3091" customWidth="1"/>
    <col min="3586" max="3839" width="8.86328125" style="3091"/>
    <col min="3840" max="3840" width="0" style="3091" hidden="1" customWidth="1"/>
    <col min="3841" max="3841" width="30.6640625" style="3091" customWidth="1"/>
    <col min="3842" max="4095" width="8.86328125" style="3091"/>
    <col min="4096" max="4096" width="0" style="3091" hidden="1" customWidth="1"/>
    <col min="4097" max="4097" width="30.6640625" style="3091" customWidth="1"/>
    <col min="4098" max="4351" width="8.86328125" style="3091"/>
    <col min="4352" max="4352" width="0" style="3091" hidden="1" customWidth="1"/>
    <col min="4353" max="4353" width="30.6640625" style="3091" customWidth="1"/>
    <col min="4354" max="4607" width="8.86328125" style="3091"/>
    <col min="4608" max="4608" width="0" style="3091" hidden="1" customWidth="1"/>
    <col min="4609" max="4609" width="30.6640625" style="3091" customWidth="1"/>
    <col min="4610" max="4863" width="8.86328125" style="3091"/>
    <col min="4864" max="4864" width="0" style="3091" hidden="1" customWidth="1"/>
    <col min="4865" max="4865" width="30.6640625" style="3091" customWidth="1"/>
    <col min="4866" max="5119" width="8.86328125" style="3091"/>
    <col min="5120" max="5120" width="0" style="3091" hidden="1" customWidth="1"/>
    <col min="5121" max="5121" width="30.6640625" style="3091" customWidth="1"/>
    <col min="5122" max="5375" width="8.86328125" style="3091"/>
    <col min="5376" max="5376" width="0" style="3091" hidden="1" customWidth="1"/>
    <col min="5377" max="5377" width="30.6640625" style="3091" customWidth="1"/>
    <col min="5378" max="5631" width="8.86328125" style="3091"/>
    <col min="5632" max="5632" width="0" style="3091" hidden="1" customWidth="1"/>
    <col min="5633" max="5633" width="30.6640625" style="3091" customWidth="1"/>
    <col min="5634" max="5887" width="8.86328125" style="3091"/>
    <col min="5888" max="5888" width="0" style="3091" hidden="1" customWidth="1"/>
    <col min="5889" max="5889" width="30.6640625" style="3091" customWidth="1"/>
    <col min="5890" max="6143" width="8.86328125" style="3091"/>
    <col min="6144" max="6144" width="0" style="3091" hidden="1" customWidth="1"/>
    <col min="6145" max="6145" width="30.6640625" style="3091" customWidth="1"/>
    <col min="6146" max="6399" width="8.86328125" style="3091"/>
    <col min="6400" max="6400" width="0" style="3091" hidden="1" customWidth="1"/>
    <col min="6401" max="6401" width="30.6640625" style="3091" customWidth="1"/>
    <col min="6402" max="6655" width="8.86328125" style="3091"/>
    <col min="6656" max="6656" width="0" style="3091" hidden="1" customWidth="1"/>
    <col min="6657" max="6657" width="30.6640625" style="3091" customWidth="1"/>
    <col min="6658" max="6911" width="8.86328125" style="3091"/>
    <col min="6912" max="6912" width="0" style="3091" hidden="1" customWidth="1"/>
    <col min="6913" max="6913" width="30.6640625" style="3091" customWidth="1"/>
    <col min="6914" max="7167" width="8.86328125" style="3091"/>
    <col min="7168" max="7168" width="0" style="3091" hidden="1" customWidth="1"/>
    <col min="7169" max="7169" width="30.6640625" style="3091" customWidth="1"/>
    <col min="7170" max="7423" width="8.86328125" style="3091"/>
    <col min="7424" max="7424" width="0" style="3091" hidden="1" customWidth="1"/>
    <col min="7425" max="7425" width="30.6640625" style="3091" customWidth="1"/>
    <col min="7426" max="7679" width="8.86328125" style="3091"/>
    <col min="7680" max="7680" width="0" style="3091" hidden="1" customWidth="1"/>
    <col min="7681" max="7681" width="30.6640625" style="3091" customWidth="1"/>
    <col min="7682" max="7935" width="8.86328125" style="3091"/>
    <col min="7936" max="7936" width="0" style="3091" hidden="1" customWidth="1"/>
    <col min="7937" max="7937" width="30.6640625" style="3091" customWidth="1"/>
    <col min="7938" max="8191" width="8.86328125" style="3091"/>
    <col min="8192" max="8192" width="0" style="3091" hidden="1" customWidth="1"/>
    <col min="8193" max="8193" width="30.6640625" style="3091" customWidth="1"/>
    <col min="8194" max="8447" width="8.86328125" style="3091"/>
    <col min="8448" max="8448" width="0" style="3091" hidden="1" customWidth="1"/>
    <col min="8449" max="8449" width="30.6640625" style="3091" customWidth="1"/>
    <col min="8450" max="8703" width="8.86328125" style="3091"/>
    <col min="8704" max="8704" width="0" style="3091" hidden="1" customWidth="1"/>
    <col min="8705" max="8705" width="30.6640625" style="3091" customWidth="1"/>
    <col min="8706" max="8959" width="8.86328125" style="3091"/>
    <col min="8960" max="8960" width="0" style="3091" hidden="1" customWidth="1"/>
    <col min="8961" max="8961" width="30.6640625" style="3091" customWidth="1"/>
    <col min="8962" max="9215" width="8.86328125" style="3091"/>
    <col min="9216" max="9216" width="0" style="3091" hidden="1" customWidth="1"/>
    <col min="9217" max="9217" width="30.6640625" style="3091" customWidth="1"/>
    <col min="9218" max="9471" width="8.86328125" style="3091"/>
    <col min="9472" max="9472" width="0" style="3091" hidden="1" customWidth="1"/>
    <col min="9473" max="9473" width="30.6640625" style="3091" customWidth="1"/>
    <col min="9474" max="9727" width="8.86328125" style="3091"/>
    <col min="9728" max="9728" width="0" style="3091" hidden="1" customWidth="1"/>
    <col min="9729" max="9729" width="30.6640625" style="3091" customWidth="1"/>
    <col min="9730" max="9983" width="8.86328125" style="3091"/>
    <col min="9984" max="9984" width="0" style="3091" hidden="1" customWidth="1"/>
    <col min="9985" max="9985" width="30.6640625" style="3091" customWidth="1"/>
    <col min="9986" max="10239" width="8.86328125" style="3091"/>
    <col min="10240" max="10240" width="0" style="3091" hidden="1" customWidth="1"/>
    <col min="10241" max="10241" width="30.6640625" style="3091" customWidth="1"/>
    <col min="10242" max="10495" width="8.86328125" style="3091"/>
    <col min="10496" max="10496" width="0" style="3091" hidden="1" customWidth="1"/>
    <col min="10497" max="10497" width="30.6640625" style="3091" customWidth="1"/>
    <col min="10498" max="10751" width="8.86328125" style="3091"/>
    <col min="10752" max="10752" width="0" style="3091" hidden="1" customWidth="1"/>
    <col min="10753" max="10753" width="30.6640625" style="3091" customWidth="1"/>
    <col min="10754" max="11007" width="8.86328125" style="3091"/>
    <col min="11008" max="11008" width="0" style="3091" hidden="1" customWidth="1"/>
    <col min="11009" max="11009" width="30.6640625" style="3091" customWidth="1"/>
    <col min="11010" max="11263" width="8.86328125" style="3091"/>
    <col min="11264" max="11264" width="0" style="3091" hidden="1" customWidth="1"/>
    <col min="11265" max="11265" width="30.6640625" style="3091" customWidth="1"/>
    <col min="11266" max="11519" width="8.86328125" style="3091"/>
    <col min="11520" max="11520" width="0" style="3091" hidden="1" customWidth="1"/>
    <col min="11521" max="11521" width="30.6640625" style="3091" customWidth="1"/>
    <col min="11522" max="11775" width="8.86328125" style="3091"/>
    <col min="11776" max="11776" width="0" style="3091" hidden="1" customWidth="1"/>
    <col min="11777" max="11777" width="30.6640625" style="3091" customWidth="1"/>
    <col min="11778" max="12031" width="8.86328125" style="3091"/>
    <col min="12032" max="12032" width="0" style="3091" hidden="1" customWidth="1"/>
    <col min="12033" max="12033" width="30.6640625" style="3091" customWidth="1"/>
    <col min="12034" max="12287" width="8.86328125" style="3091"/>
    <col min="12288" max="12288" width="0" style="3091" hidden="1" customWidth="1"/>
    <col min="12289" max="12289" width="30.6640625" style="3091" customWidth="1"/>
    <col min="12290" max="12543" width="8.86328125" style="3091"/>
    <col min="12544" max="12544" width="0" style="3091" hidden="1" customWidth="1"/>
    <col min="12545" max="12545" width="30.6640625" style="3091" customWidth="1"/>
    <col min="12546" max="12799" width="8.86328125" style="3091"/>
    <col min="12800" max="12800" width="0" style="3091" hidden="1" customWidth="1"/>
    <col min="12801" max="12801" width="30.6640625" style="3091" customWidth="1"/>
    <col min="12802" max="13055" width="8.86328125" style="3091"/>
    <col min="13056" max="13056" width="0" style="3091" hidden="1" customWidth="1"/>
    <col min="13057" max="13057" width="30.6640625" style="3091" customWidth="1"/>
    <col min="13058" max="13311" width="8.86328125" style="3091"/>
    <col min="13312" max="13312" width="0" style="3091" hidden="1" customWidth="1"/>
    <col min="13313" max="13313" width="30.6640625" style="3091" customWidth="1"/>
    <col min="13314" max="13567" width="8.86328125" style="3091"/>
    <col min="13568" max="13568" width="0" style="3091" hidden="1" customWidth="1"/>
    <col min="13569" max="13569" width="30.6640625" style="3091" customWidth="1"/>
    <col min="13570" max="13823" width="8.86328125" style="3091"/>
    <col min="13824" max="13824" width="0" style="3091" hidden="1" customWidth="1"/>
    <col min="13825" max="13825" width="30.6640625" style="3091" customWidth="1"/>
    <col min="13826" max="14079" width="8.86328125" style="3091"/>
    <col min="14080" max="14080" width="0" style="3091" hidden="1" customWidth="1"/>
    <col min="14081" max="14081" width="30.6640625" style="3091" customWidth="1"/>
    <col min="14082" max="14335" width="8.86328125" style="3091"/>
    <col min="14336" max="14336" width="0" style="3091" hidden="1" customWidth="1"/>
    <col min="14337" max="14337" width="30.6640625" style="3091" customWidth="1"/>
    <col min="14338" max="14591" width="8.86328125" style="3091"/>
    <col min="14592" max="14592" width="0" style="3091" hidden="1" customWidth="1"/>
    <col min="14593" max="14593" width="30.6640625" style="3091" customWidth="1"/>
    <col min="14594" max="14847" width="8.86328125" style="3091"/>
    <col min="14848" max="14848" width="0" style="3091" hidden="1" customWidth="1"/>
    <col min="14849" max="14849" width="30.6640625" style="3091" customWidth="1"/>
    <col min="14850" max="15103" width="8.86328125" style="3091"/>
    <col min="15104" max="15104" width="0" style="3091" hidden="1" customWidth="1"/>
    <col min="15105" max="15105" width="30.6640625" style="3091" customWidth="1"/>
    <col min="15106" max="15359" width="8.86328125" style="3091"/>
    <col min="15360" max="15360" width="0" style="3091" hidden="1" customWidth="1"/>
    <col min="15361" max="15361" width="30.6640625" style="3091" customWidth="1"/>
    <col min="15362" max="15615" width="8.86328125" style="3091"/>
    <col min="15616" max="15616" width="0" style="3091" hidden="1" customWidth="1"/>
    <col min="15617" max="15617" width="30.6640625" style="3091" customWidth="1"/>
    <col min="15618" max="15871" width="8.86328125" style="3091"/>
    <col min="15872" max="15872" width="0" style="3091" hidden="1" customWidth="1"/>
    <col min="15873" max="15873" width="30.6640625" style="3091" customWidth="1"/>
    <col min="15874" max="16127" width="8.86328125" style="3091"/>
    <col min="16128" max="16128" width="0" style="3091" hidden="1" customWidth="1"/>
    <col min="16129" max="16129" width="30.6640625" style="3091" customWidth="1"/>
    <col min="16130" max="16384" width="8.86328125" style="3091"/>
  </cols>
  <sheetData>
    <row r="1" spans="1:22" ht="12.75" customHeight="1">
      <c r="B1" s="63"/>
    </row>
    <row r="2" spans="1:22" s="3060" customFormat="1" ht="21" customHeight="1">
      <c r="A2" s="3058"/>
      <c r="B2" s="3187" t="s">
        <v>0</v>
      </c>
      <c r="C2" s="3059"/>
      <c r="D2" s="3427" t="s">
        <v>1400</v>
      </c>
      <c r="E2" s="3427"/>
      <c r="F2" s="3427"/>
      <c r="G2" s="3427"/>
      <c r="H2" s="3427"/>
      <c r="I2" s="3427"/>
      <c r="J2" s="3427"/>
      <c r="K2" s="3427"/>
      <c r="L2" s="3427"/>
      <c r="M2" s="3427"/>
      <c r="N2" s="3427"/>
      <c r="O2" s="3427"/>
    </row>
    <row r="3" spans="1:22" s="3060" customFormat="1" ht="21" customHeight="1">
      <c r="A3" s="3058"/>
      <c r="B3" s="3187"/>
      <c r="C3" s="3059"/>
      <c r="D3" s="3427"/>
      <c r="E3" s="3427"/>
      <c r="F3" s="3427"/>
      <c r="G3" s="3427"/>
      <c r="H3" s="3427"/>
      <c r="I3" s="3427"/>
      <c r="J3" s="3427"/>
      <c r="K3" s="3427"/>
      <c r="L3" s="3427"/>
      <c r="M3" s="3427"/>
      <c r="N3" s="3427"/>
      <c r="O3" s="3427"/>
    </row>
    <row r="4" spans="1:22" ht="21" customHeight="1">
      <c r="B4" s="63"/>
    </row>
    <row r="5" spans="1:22" ht="21" customHeight="1">
      <c r="B5" s="3050" t="s">
        <v>1</v>
      </c>
      <c r="D5" s="3061" t="s">
        <v>1401</v>
      </c>
      <c r="E5" s="3062" t="s">
        <v>1402</v>
      </c>
      <c r="F5" s="3063" t="s">
        <v>1403</v>
      </c>
      <c r="G5" s="3063"/>
      <c r="H5" s="1"/>
      <c r="I5" s="1"/>
      <c r="J5" s="1"/>
      <c r="K5" s="1"/>
      <c r="L5" s="1"/>
      <c r="M5" s="1"/>
      <c r="N5" s="1"/>
      <c r="O5" s="1"/>
      <c r="P5" s="5"/>
      <c r="Q5" s="5"/>
      <c r="R5" s="5"/>
      <c r="S5" s="5"/>
      <c r="T5" s="5"/>
      <c r="U5" s="5"/>
      <c r="V5" s="5"/>
    </row>
    <row r="6" spans="1:22" ht="21" customHeight="1" thickBot="1">
      <c r="B6" s="3050" t="s">
        <v>452</v>
      </c>
      <c r="D6" s="3064"/>
      <c r="E6" s="3065"/>
      <c r="F6" s="3066"/>
      <c r="G6" s="3066"/>
      <c r="H6"/>
      <c r="I6"/>
      <c r="J6"/>
      <c r="K6"/>
      <c r="L6"/>
      <c r="M6"/>
      <c r="N6"/>
      <c r="O6"/>
      <c r="P6" s="5"/>
      <c r="Q6" s="5"/>
      <c r="R6" s="5"/>
      <c r="S6" s="5"/>
      <c r="T6" s="5"/>
      <c r="U6" s="5"/>
      <c r="V6" s="5"/>
    </row>
    <row r="7" spans="1:22" ht="21" customHeight="1">
      <c r="B7" s="3050" t="s">
        <v>239</v>
      </c>
      <c r="D7" s="3067"/>
      <c r="E7"/>
      <c r="F7"/>
      <c r="G7"/>
      <c r="H7"/>
      <c r="I7"/>
      <c r="J7"/>
      <c r="K7"/>
      <c r="L7"/>
      <c r="M7" s="3428" t="s">
        <v>1404</v>
      </c>
      <c r="N7" s="3429"/>
      <c r="O7"/>
      <c r="P7" s="5"/>
      <c r="Q7" s="5"/>
      <c r="R7" s="5"/>
      <c r="S7" s="5"/>
      <c r="T7" s="5"/>
      <c r="U7" s="5"/>
      <c r="V7" s="5"/>
    </row>
    <row r="8" spans="1:22" ht="21" customHeight="1">
      <c r="B8" s="3050" t="s">
        <v>1263</v>
      </c>
      <c r="D8"/>
      <c r="E8"/>
      <c r="F8"/>
      <c r="G8"/>
      <c r="H8" s="3068"/>
      <c r="I8"/>
      <c r="J8"/>
      <c r="K8"/>
      <c r="L8"/>
      <c r="M8" s="3069" t="s">
        <v>1405</v>
      </c>
      <c r="N8" s="3070" t="s">
        <v>1406</v>
      </c>
      <c r="O8"/>
      <c r="P8" s="5"/>
      <c r="Q8" s="5"/>
      <c r="R8" s="5"/>
      <c r="S8" s="5"/>
      <c r="T8" s="5"/>
      <c r="U8" s="5"/>
      <c r="V8" s="5"/>
    </row>
    <row r="9" spans="1:22" ht="21" customHeight="1">
      <c r="B9" s="62" t="s">
        <v>557</v>
      </c>
      <c r="D9"/>
      <c r="E9"/>
      <c r="F9"/>
      <c r="G9"/>
      <c r="H9" s="3068" t="s">
        <v>1407</v>
      </c>
      <c r="I9" t="s">
        <v>1408</v>
      </c>
      <c r="J9"/>
      <c r="K9" t="s">
        <v>1409</v>
      </c>
      <c r="L9"/>
      <c r="M9" s="3071" t="s">
        <v>1410</v>
      </c>
      <c r="N9" s="3072" t="s">
        <v>1411</v>
      </c>
      <c r="O9"/>
      <c r="P9" s="5"/>
      <c r="Q9" s="5"/>
      <c r="R9" s="5"/>
      <c r="S9" s="5"/>
      <c r="T9" s="5"/>
      <c r="U9" s="5"/>
      <c r="V9" s="5"/>
    </row>
    <row r="10" spans="1:22" ht="21" customHeight="1">
      <c r="B10" s="3050" t="s">
        <v>238</v>
      </c>
      <c r="D10"/>
      <c r="E10"/>
      <c r="F10"/>
      <c r="G10"/>
      <c r="H10" s="3068" t="s">
        <v>1412</v>
      </c>
      <c r="I10" t="s">
        <v>1413</v>
      </c>
      <c r="J10"/>
      <c r="K10" t="s">
        <v>1409</v>
      </c>
      <c r="L10"/>
      <c r="M10" s="3071" t="s">
        <v>1414</v>
      </c>
      <c r="N10" s="3072" t="s">
        <v>1415</v>
      </c>
      <c r="O10"/>
      <c r="P10" s="5"/>
      <c r="Q10" s="5"/>
      <c r="R10" s="5"/>
      <c r="S10" s="5"/>
      <c r="T10" s="5"/>
      <c r="U10" s="5"/>
      <c r="V10" s="5"/>
    </row>
    <row r="11" spans="1:22" ht="21" customHeight="1" thickBot="1">
      <c r="B11" s="146" t="s">
        <v>1652</v>
      </c>
      <c r="D11" t="s">
        <v>1416</v>
      </c>
      <c r="E11" t="s">
        <v>1417</v>
      </c>
      <c r="F11" t="s">
        <v>1418</v>
      </c>
      <c r="G11"/>
      <c r="H11"/>
      <c r="I11"/>
      <c r="J11"/>
      <c r="K11"/>
      <c r="L11"/>
      <c r="M11" s="3073" t="s">
        <v>1419</v>
      </c>
      <c r="N11" s="3074" t="s">
        <v>1420</v>
      </c>
      <c r="O11"/>
      <c r="P11" s="5"/>
      <c r="Q11" s="5"/>
      <c r="R11" s="5"/>
      <c r="S11" s="5"/>
      <c r="T11" s="5"/>
      <c r="U11" s="5"/>
      <c r="V11" s="5"/>
    </row>
    <row r="12" spans="1:22" ht="21" customHeight="1">
      <c r="B12" s="145" t="s">
        <v>95</v>
      </c>
      <c r="D12"/>
      <c r="E12" s="3075" t="s">
        <v>1421</v>
      </c>
      <c r="F12"/>
      <c r="G12"/>
      <c r="H12"/>
      <c r="I12"/>
      <c r="J12"/>
      <c r="K12"/>
      <c r="L12"/>
      <c r="M12" s="3076"/>
      <c r="N12" s="3076"/>
      <c r="O12"/>
      <c r="P12" s="5"/>
      <c r="Q12" s="5"/>
      <c r="R12" s="5"/>
      <c r="S12" s="5"/>
      <c r="T12" s="5"/>
      <c r="U12" s="5"/>
      <c r="V12" s="5"/>
    </row>
    <row r="13" spans="1:22" ht="21" customHeight="1">
      <c r="B13" s="145" t="s">
        <v>254</v>
      </c>
      <c r="D13"/>
      <c r="E13"/>
      <c r="F13"/>
      <c r="G13" s="3076"/>
      <c r="H13" t="s">
        <v>1422</v>
      </c>
      <c r="I13"/>
      <c r="J13"/>
      <c r="K13"/>
      <c r="L13"/>
      <c r="M13" s="3076"/>
      <c r="N13" s="3076"/>
      <c r="O13"/>
      <c r="P13" s="5"/>
      <c r="Q13" s="5"/>
      <c r="R13" s="5"/>
      <c r="S13" s="5"/>
      <c r="T13" s="5"/>
      <c r="U13" s="5"/>
      <c r="V13" s="5"/>
    </row>
    <row r="14" spans="1:22" ht="21" customHeight="1">
      <c r="B14" s="145" t="s">
        <v>1252</v>
      </c>
      <c r="D14"/>
      <c r="E14"/>
      <c r="F14"/>
      <c r="G14" s="3076"/>
      <c r="H14" t="s">
        <v>1423</v>
      </c>
      <c r="I14"/>
      <c r="J14"/>
      <c r="K14"/>
      <c r="L14"/>
      <c r="M14" s="3076"/>
      <c r="N14" s="3076"/>
      <c r="O14"/>
      <c r="P14" s="5"/>
      <c r="Q14" s="5"/>
      <c r="R14" s="5"/>
      <c r="S14" s="5"/>
      <c r="T14" s="5"/>
      <c r="U14" s="5"/>
      <c r="V14" s="5"/>
    </row>
    <row r="15" spans="1:22" ht="21" customHeight="1">
      <c r="B15" s="147" t="s">
        <v>1394</v>
      </c>
      <c r="D15"/>
      <c r="E15"/>
      <c r="F15"/>
      <c r="G15" s="3076"/>
      <c r="H15" t="s">
        <v>1424</v>
      </c>
      <c r="I15"/>
      <c r="J15"/>
      <c r="K15"/>
      <c r="L15"/>
      <c r="M15" s="3076"/>
      <c r="N15" s="3076"/>
      <c r="O15"/>
      <c r="P15" s="5"/>
      <c r="Q15" s="5"/>
      <c r="R15" s="5"/>
      <c r="S15" s="5"/>
      <c r="T15" s="5"/>
      <c r="U15" s="5"/>
      <c r="V15" s="5"/>
    </row>
    <row r="16" spans="1:22" ht="21" customHeight="1">
      <c r="B16" s="145" t="s">
        <v>1395</v>
      </c>
      <c r="D16"/>
      <c r="E16"/>
      <c r="F16"/>
      <c r="G16"/>
      <c r="H16"/>
      <c r="I16"/>
      <c r="J16"/>
      <c r="K16"/>
      <c r="L16"/>
      <c r="M16" s="3076"/>
      <c r="N16" s="3076"/>
      <c r="O16"/>
      <c r="P16" s="5"/>
      <c r="Q16" s="5"/>
      <c r="R16" s="5"/>
      <c r="S16" s="5"/>
      <c r="T16" s="5"/>
      <c r="U16" s="5"/>
      <c r="V16" s="5"/>
    </row>
    <row r="17" spans="2:22" ht="21" customHeight="1">
      <c r="B17" s="145" t="s">
        <v>1396</v>
      </c>
      <c r="D17"/>
      <c r="E17"/>
      <c r="F17"/>
      <c r="G17"/>
      <c r="H17"/>
      <c r="I17" s="3076"/>
      <c r="J17"/>
      <c r="K17" t="s">
        <v>1425</v>
      </c>
      <c r="L17"/>
      <c r="M17" s="3076"/>
      <c r="N17" s="3076"/>
      <c r="O17"/>
      <c r="P17" s="5"/>
      <c r="Q17" s="5"/>
      <c r="R17" s="5"/>
      <c r="S17" s="5"/>
      <c r="T17" s="5"/>
      <c r="U17" s="5"/>
      <c r="V17" s="5"/>
    </row>
    <row r="18" spans="2:22" ht="21" customHeight="1">
      <c r="B18" s="145" t="s">
        <v>1397</v>
      </c>
      <c r="D18"/>
      <c r="E18"/>
      <c r="F18"/>
      <c r="G18"/>
      <c r="H18"/>
      <c r="I18" s="3076"/>
      <c r="J18"/>
      <c r="K18"/>
      <c r="L18"/>
      <c r="M18"/>
      <c r="N18"/>
      <c r="O18"/>
      <c r="P18" s="5"/>
      <c r="Q18" s="5"/>
      <c r="R18" s="5"/>
      <c r="S18" s="5"/>
      <c r="T18" s="5"/>
      <c r="U18" s="5"/>
      <c r="V18" s="5"/>
    </row>
    <row r="19" spans="2:22" ht="21" customHeight="1">
      <c r="B19" s="145" t="s">
        <v>1398</v>
      </c>
      <c r="D19" s="3061" t="s">
        <v>1426</v>
      </c>
      <c r="E19" s="3063" t="s">
        <v>1427</v>
      </c>
      <c r="F19" s="3063" t="s">
        <v>1428</v>
      </c>
      <c r="G19" s="3063"/>
      <c r="H19" s="1"/>
      <c r="I19" s="1"/>
      <c r="J19" s="1"/>
      <c r="K19" s="1"/>
      <c r="L19" s="1"/>
      <c r="M19" s="1"/>
      <c r="N19" s="1"/>
      <c r="O19" s="1"/>
      <c r="P19" s="5"/>
      <c r="Q19" s="5"/>
      <c r="R19" s="5"/>
      <c r="S19" s="5"/>
      <c r="T19" s="5"/>
      <c r="U19" s="5"/>
      <c r="V19" s="5"/>
    </row>
    <row r="20" spans="2:22" ht="21" customHeight="1" thickBot="1">
      <c r="B20" s="168" t="s">
        <v>1399</v>
      </c>
      <c r="D20" s="3064"/>
      <c r="E20" s="3066"/>
      <c r="F20" s="3066"/>
      <c r="G20" s="3066"/>
      <c r="H20"/>
      <c r="I20"/>
      <c r="J20"/>
      <c r="K20"/>
      <c r="L20"/>
      <c r="M20"/>
      <c r="N20"/>
      <c r="O20"/>
      <c r="P20" s="5"/>
      <c r="Q20" s="5"/>
      <c r="R20" s="5"/>
      <c r="S20" s="5"/>
      <c r="T20" s="5"/>
      <c r="U20" s="5"/>
      <c r="V20" s="5"/>
    </row>
    <row r="21" spans="2:22" ht="21" customHeight="1">
      <c r="B21" s="62" t="s">
        <v>1653</v>
      </c>
      <c r="D21" s="3067"/>
      <c r="E21" s="3075" t="s">
        <v>1421</v>
      </c>
      <c r="F21" s="3075"/>
      <c r="G21" s="3075"/>
      <c r="H21" s="3075"/>
      <c r="I21" s="3075"/>
      <c r="J21" s="3075"/>
      <c r="K21" s="3075"/>
      <c r="L21" s="3075"/>
      <c r="M21" s="3428" t="s">
        <v>1404</v>
      </c>
      <c r="N21" s="3429"/>
      <c r="O21" s="3075"/>
      <c r="P21" s="5"/>
      <c r="Q21" s="5"/>
      <c r="R21" s="5"/>
      <c r="S21" s="5"/>
      <c r="T21" s="5"/>
      <c r="U21" s="5"/>
      <c r="V21" s="5"/>
    </row>
    <row r="22" spans="2:22" ht="21" customHeight="1">
      <c r="B22" s="3050" t="s">
        <v>40</v>
      </c>
      <c r="D22"/>
      <c r="E22"/>
      <c r="F22"/>
      <c r="G22" s="3076"/>
      <c r="H22" t="s">
        <v>1422</v>
      </c>
      <c r="I22"/>
      <c r="J22"/>
      <c r="K22"/>
      <c r="L22"/>
      <c r="M22" s="3069" t="s">
        <v>1405</v>
      </c>
      <c r="N22" s="3070" t="s">
        <v>1406</v>
      </c>
      <c r="O22"/>
      <c r="P22" s="5"/>
      <c r="Q22" s="5"/>
      <c r="R22" s="5"/>
      <c r="S22" s="5"/>
      <c r="T22" s="5"/>
      <c r="U22" s="5"/>
      <c r="V22" s="5"/>
    </row>
    <row r="23" spans="2:22" ht="21" customHeight="1">
      <c r="B23" s="3050" t="s">
        <v>238</v>
      </c>
      <c r="D23"/>
      <c r="E23"/>
      <c r="F23"/>
      <c r="G23" s="3076"/>
      <c r="H23" t="s">
        <v>1423</v>
      </c>
      <c r="I23"/>
      <c r="J23"/>
      <c r="K23"/>
      <c r="L23"/>
      <c r="M23" s="3071" t="s">
        <v>1410</v>
      </c>
      <c r="N23" s="3072" t="s">
        <v>1411</v>
      </c>
      <c r="O23"/>
      <c r="P23" s="5"/>
      <c r="Q23" s="5"/>
      <c r="R23" s="5"/>
      <c r="S23" s="5"/>
      <c r="T23" s="5"/>
      <c r="U23" s="5"/>
      <c r="V23" s="5"/>
    </row>
    <row r="24" spans="2:22" ht="21" customHeight="1">
      <c r="B24" s="3050" t="s">
        <v>39</v>
      </c>
      <c r="D24"/>
      <c r="E24"/>
      <c r="F24"/>
      <c r="G24" s="3076"/>
      <c r="H24" t="s">
        <v>1424</v>
      </c>
      <c r="I24"/>
      <c r="J24"/>
      <c r="K24"/>
      <c r="L24"/>
      <c r="M24" s="3071" t="s">
        <v>1414</v>
      </c>
      <c r="N24" s="3072" t="s">
        <v>1415</v>
      </c>
      <c r="O24"/>
      <c r="P24" s="5"/>
      <c r="Q24" s="5"/>
      <c r="R24" s="5"/>
      <c r="S24" s="5"/>
      <c r="T24" s="5"/>
      <c r="U24" s="5"/>
      <c r="V24" s="5"/>
    </row>
    <row r="25" spans="2:22" ht="21" customHeight="1" thickBot="1">
      <c r="B25" s="3050" t="s">
        <v>38</v>
      </c>
      <c r="D25"/>
      <c r="E25"/>
      <c r="F25"/>
      <c r="G25"/>
      <c r="H25"/>
      <c r="I25"/>
      <c r="J25"/>
      <c r="K25"/>
      <c r="L25"/>
      <c r="M25" s="3073" t="s">
        <v>1429</v>
      </c>
      <c r="N25" s="3074" t="s">
        <v>1420</v>
      </c>
      <c r="O25"/>
      <c r="P25" s="5"/>
      <c r="Q25" s="5"/>
      <c r="R25" s="5"/>
      <c r="S25" s="5"/>
      <c r="T25" s="5"/>
      <c r="U25" s="5"/>
      <c r="V25" s="5"/>
    </row>
    <row r="26" spans="2:22" ht="21" customHeight="1">
      <c r="B26" s="3050"/>
      <c r="D26"/>
      <c r="E26"/>
      <c r="F26"/>
      <c r="G26"/>
      <c r="H26"/>
      <c r="I26"/>
      <c r="J26"/>
      <c r="K26"/>
      <c r="L26"/>
      <c r="M26" s="3076"/>
      <c r="N26" s="3076"/>
      <c r="O26"/>
      <c r="P26" s="5"/>
      <c r="Q26" s="5"/>
      <c r="R26" s="5"/>
      <c r="S26" s="5"/>
      <c r="T26" s="5"/>
      <c r="U26" s="5"/>
      <c r="V26" s="5"/>
    </row>
    <row r="27" spans="2:22" ht="21" customHeight="1">
      <c r="B27" s="63"/>
      <c r="D27"/>
      <c r="E27"/>
      <c r="F27"/>
      <c r="G27"/>
      <c r="H27"/>
      <c r="I27"/>
      <c r="J27"/>
      <c r="K27"/>
      <c r="L27"/>
      <c r="M27" s="3076"/>
      <c r="N27" s="3076"/>
      <c r="O27"/>
      <c r="P27" s="5"/>
      <c r="Q27" s="5"/>
      <c r="R27" s="5"/>
      <c r="S27" s="5"/>
      <c r="T27" s="5"/>
      <c r="U27" s="5"/>
      <c r="V27" s="5"/>
    </row>
    <row r="28" spans="2:22" ht="21" customHeight="1">
      <c r="B28" s="63"/>
      <c r="D28"/>
      <c r="E28"/>
      <c r="F28"/>
      <c r="G28"/>
      <c r="H28"/>
      <c r="I28"/>
      <c r="J28"/>
      <c r="K28"/>
      <c r="L28"/>
      <c r="M28" s="3076"/>
      <c r="N28" s="3076"/>
      <c r="O28"/>
      <c r="P28" s="5"/>
      <c r="Q28" s="5"/>
      <c r="R28" s="5"/>
      <c r="S28" s="5"/>
      <c r="T28" s="5"/>
      <c r="U28" s="5"/>
      <c r="V28" s="5"/>
    </row>
    <row r="29" spans="2:22" ht="21" customHeight="1">
      <c r="B29" s="63"/>
      <c r="D29"/>
      <c r="E29"/>
      <c r="F29"/>
      <c r="G29"/>
      <c r="H29"/>
      <c r="I29"/>
      <c r="J29"/>
      <c r="K29"/>
      <c r="L29"/>
      <c r="M29" s="3076"/>
      <c r="N29" s="3076"/>
      <c r="O29"/>
      <c r="P29" s="5"/>
      <c r="Q29" s="5"/>
      <c r="R29" s="5"/>
      <c r="S29" s="5"/>
      <c r="T29" s="5"/>
      <c r="U29" s="5"/>
      <c r="V29" s="5"/>
    </row>
    <row r="30" spans="2:22" ht="21" customHeight="1">
      <c r="B30" s="63"/>
      <c r="D30"/>
      <c r="E30"/>
      <c r="F30"/>
      <c r="G30"/>
      <c r="H30"/>
      <c r="I30"/>
      <c r="J30"/>
      <c r="K30"/>
      <c r="L30"/>
      <c r="M30" s="3076"/>
      <c r="N30" s="3076"/>
      <c r="O30"/>
      <c r="P30" s="5"/>
      <c r="Q30" s="5"/>
      <c r="R30" s="5"/>
      <c r="S30" s="5"/>
      <c r="T30" s="5"/>
      <c r="U30" s="5"/>
      <c r="V30" s="5"/>
    </row>
    <row r="31" spans="2:22" ht="21" customHeight="1">
      <c r="B31" s="63"/>
      <c r="D31"/>
      <c r="E31"/>
      <c r="F31"/>
      <c r="G31"/>
      <c r="H31"/>
      <c r="I31"/>
      <c r="J31"/>
      <c r="K31"/>
      <c r="L31"/>
      <c r="M31" s="3076"/>
      <c r="N31" s="3076"/>
      <c r="O31"/>
      <c r="P31" s="5"/>
      <c r="Q31" s="5"/>
      <c r="R31" s="5"/>
      <c r="S31" s="5"/>
      <c r="T31" s="5"/>
      <c r="U31" s="5"/>
      <c r="V31" s="5"/>
    </row>
    <row r="32" spans="2:22" ht="21" customHeight="1">
      <c r="B32" s="63"/>
      <c r="D32"/>
      <c r="E32"/>
      <c r="F32"/>
      <c r="G32"/>
      <c r="H32"/>
      <c r="I32"/>
      <c r="J32"/>
      <c r="K32" t="s">
        <v>1430</v>
      </c>
      <c r="L32"/>
      <c r="M32"/>
      <c r="N32"/>
      <c r="O32"/>
      <c r="P32" s="5"/>
      <c r="Q32" s="5"/>
      <c r="R32" s="5"/>
      <c r="S32" s="5"/>
      <c r="T32" s="5"/>
      <c r="U32" s="5"/>
      <c r="V32" s="5"/>
    </row>
    <row r="33" spans="2:22" ht="21" customHeight="1">
      <c r="B33" s="3050"/>
      <c r="D33"/>
      <c r="E33"/>
      <c r="F33"/>
      <c r="G33"/>
      <c r="H33"/>
      <c r="I33"/>
      <c r="J33"/>
      <c r="K33"/>
      <c r="L33"/>
      <c r="M33"/>
      <c r="N33"/>
      <c r="O33"/>
      <c r="P33" s="5"/>
      <c r="Q33" s="5"/>
      <c r="R33" s="5"/>
      <c r="S33" s="5"/>
      <c r="T33" s="5"/>
      <c r="U33" s="5"/>
      <c r="V33" s="5"/>
    </row>
    <row r="34" spans="2:22" ht="21" customHeight="1">
      <c r="B34" s="3050"/>
      <c r="D34" s="3061" t="s">
        <v>208</v>
      </c>
      <c r="E34" s="3062" t="s">
        <v>1402</v>
      </c>
      <c r="F34" s="3063" t="s">
        <v>1431</v>
      </c>
      <c r="G34" s="3063"/>
      <c r="H34" s="1"/>
      <c r="I34" s="1"/>
      <c r="J34" s="1"/>
      <c r="K34" s="1"/>
      <c r="L34" s="1"/>
      <c r="M34" s="1"/>
      <c r="N34" s="1"/>
      <c r="O34" s="1"/>
      <c r="P34" s="5"/>
      <c r="Q34" s="5"/>
      <c r="R34" s="5"/>
      <c r="S34" s="5"/>
      <c r="T34" s="5"/>
      <c r="U34" s="5"/>
      <c r="V34" s="5"/>
    </row>
    <row r="35" spans="2:22" ht="21" customHeight="1" thickBot="1">
      <c r="B35" s="3050"/>
      <c r="D35" s="3064"/>
      <c r="E35" s="3065"/>
      <c r="F35" s="3066"/>
      <c r="G35" s="3066"/>
      <c r="H35"/>
      <c r="I35"/>
      <c r="J35"/>
      <c r="K35"/>
      <c r="L35"/>
      <c r="M35"/>
      <c r="N35"/>
      <c r="O35"/>
      <c r="P35" s="5"/>
      <c r="Q35" s="5"/>
      <c r="R35" s="5"/>
      <c r="S35" s="5"/>
      <c r="T35" s="5"/>
      <c r="U35" s="5"/>
      <c r="V35" s="5"/>
    </row>
    <row r="36" spans="2:22" ht="21" customHeight="1">
      <c r="B36" s="3050"/>
      <c r="D36" s="3067"/>
      <c r="E36"/>
      <c r="F36"/>
      <c r="G36"/>
      <c r="H36"/>
      <c r="I36"/>
      <c r="J36"/>
      <c r="K36"/>
      <c r="L36"/>
      <c r="M36" s="3428" t="s">
        <v>1404</v>
      </c>
      <c r="N36" s="3429"/>
      <c r="O36"/>
      <c r="P36" s="5"/>
      <c r="S36" s="5"/>
      <c r="T36" s="5"/>
      <c r="U36" s="5"/>
      <c r="V36" s="5"/>
    </row>
    <row r="37" spans="2:22" ht="21" customHeight="1">
      <c r="B37" s="3050"/>
      <c r="D37" s="3067"/>
      <c r="E37"/>
      <c r="F37"/>
      <c r="G37"/>
      <c r="H37"/>
      <c r="I37"/>
      <c r="J37"/>
      <c r="K37"/>
      <c r="L37"/>
      <c r="M37" s="3069" t="s">
        <v>1405</v>
      </c>
      <c r="N37" s="3070" t="s">
        <v>1406</v>
      </c>
      <c r="O37"/>
      <c r="P37" s="5"/>
      <c r="S37" s="5"/>
      <c r="T37" s="5"/>
      <c r="U37" s="5"/>
      <c r="V37" s="5"/>
    </row>
    <row r="38" spans="2:22" ht="21" customHeight="1">
      <c r="B38" s="3050"/>
      <c r="D38" s="3067"/>
      <c r="E38"/>
      <c r="F38"/>
      <c r="G38"/>
      <c r="H38"/>
      <c r="I38"/>
      <c r="J38"/>
      <c r="K38"/>
      <c r="L38"/>
      <c r="M38" s="3069"/>
      <c r="N38" s="3070"/>
      <c r="O38"/>
      <c r="P38" s="5"/>
      <c r="S38" s="5"/>
      <c r="T38" s="5"/>
      <c r="U38" s="5"/>
      <c r="V38" s="5"/>
    </row>
    <row r="39" spans="2:22" ht="21" customHeight="1">
      <c r="B39" s="3050"/>
      <c r="D39" t="s">
        <v>1416</v>
      </c>
      <c r="E39" t="s">
        <v>1417</v>
      </c>
      <c r="F39" t="s">
        <v>1418</v>
      </c>
      <c r="G39"/>
      <c r="H39"/>
      <c r="I39"/>
      <c r="J39"/>
      <c r="K39"/>
      <c r="L39"/>
      <c r="M39" s="3071" t="s">
        <v>1410</v>
      </c>
      <c r="N39" s="3072" t="s">
        <v>1411</v>
      </c>
      <c r="O39"/>
      <c r="P39" s="5"/>
      <c r="S39" s="5"/>
      <c r="T39" s="5"/>
      <c r="U39" s="5"/>
      <c r="V39" s="5"/>
    </row>
    <row r="40" spans="2:22" ht="13.25" customHeight="1">
      <c r="B40" s="3050"/>
      <c r="D40"/>
      <c r="E40"/>
      <c r="F40"/>
      <c r="G40"/>
      <c r="H40"/>
      <c r="I40"/>
      <c r="J40"/>
      <c r="K40"/>
      <c r="L40"/>
      <c r="M40" s="3071" t="s">
        <v>1414</v>
      </c>
      <c r="N40" s="3072" t="s">
        <v>1415</v>
      </c>
      <c r="O40"/>
      <c r="P40" s="5"/>
      <c r="S40" s="5"/>
      <c r="T40" s="5"/>
      <c r="U40" s="5"/>
      <c r="V40" s="5"/>
    </row>
    <row r="41" spans="2:22" ht="13.25" customHeight="1" thickBot="1">
      <c r="B41" s="3050"/>
      <c r="D41"/>
      <c r="E41"/>
      <c r="F41"/>
      <c r="G41"/>
      <c r="H41"/>
      <c r="I41"/>
      <c r="J41"/>
      <c r="K41"/>
      <c r="L41"/>
      <c r="M41" s="3073" t="s">
        <v>1419</v>
      </c>
      <c r="N41" s="3074" t="s">
        <v>1420</v>
      </c>
      <c r="O41"/>
      <c r="P41" s="5"/>
      <c r="Q41" s="5"/>
      <c r="R41" s="5"/>
      <c r="S41" s="5"/>
      <c r="T41" s="5"/>
      <c r="U41" s="5"/>
      <c r="V41" s="5"/>
    </row>
    <row r="42" spans="2:22" ht="13.25" customHeight="1">
      <c r="D42"/>
      <c r="E42"/>
      <c r="F42"/>
      <c r="G42"/>
      <c r="H42"/>
      <c r="I42"/>
      <c r="J42"/>
      <c r="K42"/>
      <c r="L42"/>
      <c r="M42" s="3076"/>
      <c r="N42" s="3076"/>
      <c r="O42"/>
      <c r="P42" s="5"/>
      <c r="Q42" s="5"/>
      <c r="R42" s="5"/>
      <c r="S42" s="5"/>
      <c r="T42" s="5"/>
      <c r="U42" s="5"/>
      <c r="V42" s="5"/>
    </row>
    <row r="43" spans="2:22" ht="13.25" customHeight="1">
      <c r="D43"/>
      <c r="E43"/>
      <c r="F43"/>
      <c r="G43"/>
      <c r="H43"/>
      <c r="I43"/>
      <c r="J43"/>
      <c r="K43"/>
      <c r="L43"/>
      <c r="M43"/>
      <c r="N43"/>
      <c r="O43"/>
      <c r="P43" s="5"/>
      <c r="Q43" s="5"/>
      <c r="R43" s="5"/>
      <c r="S43" s="5"/>
      <c r="T43" s="5"/>
      <c r="U43" s="5"/>
      <c r="V43" s="5"/>
    </row>
    <row r="44" spans="2:22" ht="13.25" customHeight="1">
      <c r="D44"/>
      <c r="E44"/>
      <c r="F44"/>
      <c r="G44"/>
      <c r="H44" t="s">
        <v>1424</v>
      </c>
      <c r="I44"/>
      <c r="J44"/>
      <c r="K44"/>
      <c r="L44"/>
      <c r="M44"/>
      <c r="N44"/>
      <c r="O44"/>
      <c r="P44" s="5"/>
      <c r="Q44" s="5"/>
      <c r="R44" s="5"/>
      <c r="S44" s="5"/>
      <c r="T44" s="5"/>
      <c r="U44" s="5"/>
      <c r="V44" s="5"/>
    </row>
    <row r="45" spans="2:22" ht="13.25" customHeight="1">
      <c r="B45" s="397" t="s">
        <v>900</v>
      </c>
      <c r="D45"/>
      <c r="E45"/>
      <c r="F45"/>
      <c r="G45"/>
      <c r="H45"/>
      <c r="I45"/>
      <c r="J45"/>
      <c r="K45"/>
      <c r="L45"/>
      <c r="M45"/>
      <c r="N45"/>
      <c r="O45"/>
      <c r="P45" s="5"/>
      <c r="Q45" s="5"/>
      <c r="R45" s="5"/>
      <c r="S45" s="5"/>
      <c r="T45" s="5"/>
      <c r="U45" s="5"/>
      <c r="V45" s="5"/>
    </row>
    <row r="46" spans="2:22">
      <c r="D46"/>
      <c r="E46"/>
      <c r="F46"/>
      <c r="G46"/>
      <c r="H46"/>
      <c r="I46"/>
      <c r="J46"/>
      <c r="K46" t="s">
        <v>1432</v>
      </c>
      <c r="L46"/>
      <c r="M46"/>
      <c r="N46"/>
      <c r="O46"/>
      <c r="P46" s="5"/>
      <c r="Q46" s="5"/>
      <c r="R46" s="5"/>
      <c r="S46" s="5"/>
      <c r="T46" s="5"/>
      <c r="U46" s="5"/>
      <c r="V46" s="5"/>
    </row>
    <row r="47" spans="2:22" ht="13.25" customHeight="1">
      <c r="B47" s="397"/>
      <c r="D47"/>
      <c r="E47"/>
      <c r="F47"/>
      <c r="G47"/>
      <c r="H47"/>
      <c r="I47"/>
      <c r="J47"/>
      <c r="K47"/>
      <c r="L47"/>
      <c r="M47"/>
      <c r="N47"/>
      <c r="O47"/>
      <c r="P47" s="5"/>
      <c r="Q47" s="5"/>
      <c r="R47" s="5"/>
      <c r="S47" s="5"/>
      <c r="T47" s="5"/>
      <c r="U47" s="5"/>
      <c r="V47" s="5"/>
    </row>
    <row r="48" spans="2:22" ht="13.25" customHeight="1">
      <c r="D48"/>
      <c r="E48"/>
      <c r="F48"/>
      <c r="G48"/>
      <c r="H48"/>
      <c r="I48"/>
      <c r="J48"/>
      <c r="K48"/>
      <c r="L48"/>
      <c r="M48"/>
      <c r="N48"/>
      <c r="O48"/>
      <c r="P48" s="5"/>
      <c r="Q48" s="5"/>
      <c r="R48" s="5"/>
      <c r="S48" s="5"/>
      <c r="T48" s="5"/>
      <c r="U48" s="5"/>
      <c r="V48" s="5"/>
    </row>
    <row r="49" spans="2:22" ht="21" customHeight="1">
      <c r="D49" s="3061" t="s">
        <v>217</v>
      </c>
      <c r="E49" s="3062" t="s">
        <v>1427</v>
      </c>
      <c r="F49" s="3063" t="s">
        <v>1433</v>
      </c>
      <c r="G49" s="1"/>
      <c r="H49" s="1"/>
      <c r="I49" s="1"/>
      <c r="J49" s="1"/>
      <c r="K49" s="1"/>
      <c r="L49" s="1"/>
      <c r="M49" s="1"/>
      <c r="N49" s="1"/>
      <c r="O49" s="1"/>
      <c r="P49" s="5"/>
      <c r="Q49" s="5"/>
      <c r="R49" s="5"/>
      <c r="S49" s="5"/>
      <c r="T49" s="5"/>
      <c r="U49" s="5"/>
      <c r="V49" s="5"/>
    </row>
    <row r="50" spans="2:22" ht="13.25" customHeight="1" thickBot="1">
      <c r="B50" s="397"/>
      <c r="D50" s="3064"/>
      <c r="E50" s="3066"/>
      <c r="F50" s="3066"/>
      <c r="G50"/>
      <c r="H50"/>
      <c r="I50"/>
      <c r="J50"/>
      <c r="K50"/>
      <c r="L50"/>
      <c r="M50"/>
      <c r="N50"/>
      <c r="O50"/>
      <c r="P50" s="5"/>
      <c r="Q50" s="5"/>
      <c r="R50" s="5"/>
      <c r="S50" s="5"/>
      <c r="T50" s="5"/>
      <c r="U50" s="5"/>
      <c r="V50" s="5"/>
    </row>
    <row r="51" spans="2:22" ht="13.25" customHeight="1">
      <c r="B51" s="397"/>
      <c r="D51" s="3067"/>
      <c r="E51"/>
      <c r="F51"/>
      <c r="G51"/>
      <c r="H51"/>
      <c r="I51"/>
      <c r="J51"/>
      <c r="K51"/>
      <c r="L51"/>
      <c r="M51" s="3428" t="s">
        <v>1404</v>
      </c>
      <c r="N51" s="3429"/>
      <c r="O51"/>
      <c r="P51" s="5"/>
      <c r="Q51" s="5"/>
      <c r="R51" s="5"/>
      <c r="S51" s="5"/>
      <c r="T51" s="5"/>
      <c r="U51" s="5"/>
      <c r="V51" s="5"/>
    </row>
    <row r="52" spans="2:22" ht="13.25" customHeight="1">
      <c r="B52" s="397"/>
      <c r="D52" s="3067"/>
      <c r="E52"/>
      <c r="F52"/>
      <c r="G52"/>
      <c r="H52"/>
      <c r="I52"/>
      <c r="J52"/>
      <c r="K52"/>
      <c r="L52"/>
      <c r="M52" s="3069" t="s">
        <v>1405</v>
      </c>
      <c r="N52" s="3070" t="s">
        <v>1406</v>
      </c>
      <c r="O52"/>
      <c r="P52" s="5"/>
      <c r="Q52" s="5"/>
      <c r="R52" s="5"/>
      <c r="S52" s="5"/>
      <c r="T52" s="5"/>
      <c r="U52" s="5"/>
      <c r="V52" s="5"/>
    </row>
    <row r="53" spans="2:22" ht="13.25" customHeight="1">
      <c r="B53" s="397"/>
      <c r="D53" s="3067"/>
      <c r="E53"/>
      <c r="F53"/>
      <c r="G53"/>
      <c r="H53"/>
      <c r="I53"/>
      <c r="J53"/>
      <c r="K53"/>
      <c r="L53"/>
      <c r="M53" s="3071" t="s">
        <v>1410</v>
      </c>
      <c r="N53" s="3072" t="s">
        <v>1411</v>
      </c>
      <c r="O53"/>
      <c r="P53" s="5"/>
      <c r="Q53" s="5"/>
      <c r="R53" s="5"/>
      <c r="S53" s="5"/>
      <c r="T53" s="5"/>
      <c r="U53" s="5"/>
      <c r="V53" s="5"/>
    </row>
    <row r="54" spans="2:22" ht="13.25" customHeight="1">
      <c r="D54" t="s">
        <v>1416</v>
      </c>
      <c r="E54" t="s">
        <v>1417</v>
      </c>
      <c r="F54" t="s">
        <v>1418</v>
      </c>
      <c r="G54"/>
      <c r="H54"/>
      <c r="I54"/>
      <c r="J54"/>
      <c r="K54"/>
      <c r="L54"/>
      <c r="M54" s="3071" t="s">
        <v>1414</v>
      </c>
      <c r="N54" s="3072" t="s">
        <v>1415</v>
      </c>
      <c r="O54"/>
      <c r="P54" s="5"/>
      <c r="Q54" s="5"/>
      <c r="R54" s="5"/>
      <c r="S54" s="5"/>
      <c r="T54" s="5"/>
      <c r="U54" s="5"/>
      <c r="V54" s="5"/>
    </row>
    <row r="55" spans="2:22" ht="13.25" customHeight="1" thickBot="1">
      <c r="B55" s="397"/>
      <c r="D55"/>
      <c r="E55"/>
      <c r="F55"/>
      <c r="G55"/>
      <c r="H55"/>
      <c r="I55"/>
      <c r="J55"/>
      <c r="K55"/>
      <c r="L55"/>
      <c r="M55" s="3073" t="s">
        <v>1429</v>
      </c>
      <c r="N55" s="3074" t="s">
        <v>1420</v>
      </c>
      <c r="O55"/>
      <c r="P55" s="5"/>
      <c r="Q55" s="5"/>
      <c r="R55" s="5"/>
      <c r="S55" s="5"/>
      <c r="T55" s="5"/>
      <c r="U55" s="5"/>
      <c r="V55" s="5"/>
    </row>
    <row r="56" spans="2:22" ht="13.25" customHeight="1">
      <c r="B56" s="397"/>
      <c r="D56"/>
      <c r="E56"/>
      <c r="F56"/>
      <c r="G56"/>
      <c r="H56"/>
      <c r="I56"/>
      <c r="J56"/>
      <c r="K56"/>
      <c r="L56"/>
      <c r="M56"/>
      <c r="N56"/>
      <c r="O56"/>
      <c r="P56" s="5"/>
      <c r="Q56" s="5"/>
      <c r="R56" s="5"/>
      <c r="S56" s="5"/>
      <c r="T56" s="5"/>
      <c r="U56" s="5"/>
      <c r="V56" s="5"/>
    </row>
    <row r="57" spans="2:22" ht="13.25" customHeight="1">
      <c r="D57"/>
      <c r="E57"/>
      <c r="F57"/>
      <c r="G57"/>
      <c r="H57"/>
      <c r="I57"/>
      <c r="J57"/>
      <c r="K57"/>
      <c r="L57"/>
      <c r="M57"/>
      <c r="N57"/>
      <c r="O57"/>
      <c r="P57" s="5"/>
      <c r="Q57" s="5"/>
      <c r="R57" s="5"/>
      <c r="S57" s="5"/>
      <c r="T57" s="5"/>
      <c r="U57" s="5"/>
      <c r="V57" s="5"/>
    </row>
    <row r="58" spans="2:22" ht="13.25" customHeight="1">
      <c r="D58"/>
      <c r="E58"/>
      <c r="F58"/>
      <c r="G58"/>
      <c r="H58"/>
      <c r="I58"/>
      <c r="J58"/>
      <c r="K58"/>
      <c r="L58"/>
      <c r="M58"/>
      <c r="N58"/>
      <c r="O58"/>
      <c r="P58" s="5"/>
      <c r="Q58" s="5"/>
      <c r="R58" s="5"/>
      <c r="S58" s="5"/>
      <c r="T58" s="5"/>
      <c r="U58" s="5"/>
      <c r="V58" s="5"/>
    </row>
    <row r="59" spans="2:22" ht="13.25" customHeight="1">
      <c r="D59"/>
      <c r="E59"/>
      <c r="F59"/>
      <c r="G59"/>
      <c r="H59"/>
      <c r="I59"/>
      <c r="J59"/>
      <c r="K59"/>
      <c r="L59"/>
      <c r="M59"/>
      <c r="N59"/>
      <c r="O59"/>
      <c r="P59" s="5"/>
      <c r="Q59" s="5"/>
      <c r="R59" s="5"/>
      <c r="S59" s="5"/>
      <c r="T59" s="5"/>
      <c r="U59" s="5"/>
      <c r="V59" s="5"/>
    </row>
    <row r="60" spans="2:22" ht="13.25" customHeight="1">
      <c r="D60"/>
      <c r="E60"/>
      <c r="F60"/>
      <c r="G60"/>
      <c r="H60" t="s">
        <v>1424</v>
      </c>
      <c r="I60"/>
      <c r="J60"/>
      <c r="K60"/>
      <c r="L60"/>
      <c r="M60"/>
      <c r="N60"/>
      <c r="O60"/>
      <c r="P60" s="5"/>
      <c r="Q60" s="5"/>
      <c r="R60" s="5"/>
      <c r="S60" s="5"/>
      <c r="T60" s="5"/>
      <c r="U60" s="5"/>
      <c r="V60" s="5"/>
    </row>
    <row r="61" spans="2:22">
      <c r="D61"/>
      <c r="E61"/>
      <c r="F61"/>
      <c r="G61"/>
      <c r="H61"/>
      <c r="I61"/>
      <c r="J61"/>
      <c r="K61"/>
      <c r="L61"/>
      <c r="M61"/>
      <c r="N61"/>
      <c r="O61"/>
      <c r="P61" s="5"/>
      <c r="Q61" s="5"/>
      <c r="R61" s="5"/>
      <c r="S61" s="5"/>
      <c r="T61" s="5"/>
      <c r="U61" s="5"/>
      <c r="V61" s="5"/>
    </row>
    <row r="62" spans="2:22">
      <c r="D62"/>
      <c r="E62"/>
      <c r="F62"/>
      <c r="G62"/>
      <c r="H62"/>
      <c r="I62"/>
      <c r="J62"/>
      <c r="K62" t="s">
        <v>1434</v>
      </c>
      <c r="L62"/>
      <c r="M62"/>
      <c r="N62"/>
      <c r="O62"/>
      <c r="P62" s="5"/>
      <c r="Q62" s="5"/>
      <c r="R62" s="5"/>
      <c r="S62" s="5"/>
      <c r="T62" s="5"/>
      <c r="U62" s="5"/>
      <c r="V62" s="5"/>
    </row>
    <row r="63" spans="2:22" ht="13.25" customHeight="1">
      <c r="D63"/>
      <c r="E63"/>
      <c r="F63"/>
      <c r="G63"/>
      <c r="H63"/>
      <c r="I63"/>
      <c r="J63"/>
      <c r="K63"/>
      <c r="L63"/>
      <c r="M63"/>
      <c r="N63"/>
      <c r="O63"/>
      <c r="P63" s="5"/>
      <c r="Q63" s="5"/>
      <c r="R63" s="5"/>
      <c r="S63" s="5"/>
      <c r="T63" s="5"/>
      <c r="U63" s="5"/>
      <c r="V63" s="5"/>
    </row>
    <row r="64" spans="2:22" ht="17.649999999999999">
      <c r="D64" s="3061" t="s">
        <v>1435</v>
      </c>
      <c r="E64" s="3063" t="s">
        <v>1436</v>
      </c>
      <c r="F64" s="3430" t="s">
        <v>1437</v>
      </c>
      <c r="G64" s="3430"/>
      <c r="H64" s="3430"/>
      <c r="I64" s="3430"/>
      <c r="J64" s="3430"/>
      <c r="K64" s="3430"/>
      <c r="L64" s="3430"/>
      <c r="M64" s="3430"/>
      <c r="N64" s="3430"/>
      <c r="O64" s="3430"/>
      <c r="P64" s="5"/>
      <c r="Q64" s="5"/>
      <c r="R64" s="5"/>
      <c r="S64" s="5"/>
      <c r="T64" s="5"/>
      <c r="U64" s="5"/>
      <c r="V64" s="5"/>
    </row>
    <row r="65" spans="2:22" ht="13.25" customHeight="1">
      <c r="D65" s="1"/>
      <c r="E65" s="1"/>
      <c r="F65" s="3430"/>
      <c r="G65" s="3430"/>
      <c r="H65" s="3430"/>
      <c r="I65" s="3430"/>
      <c r="J65" s="3430"/>
      <c r="K65" s="3430"/>
      <c r="L65" s="3430"/>
      <c r="M65" s="3430"/>
      <c r="N65" s="3430"/>
      <c r="O65" s="3430"/>
      <c r="P65" s="5"/>
      <c r="Q65" s="5"/>
      <c r="R65" s="5"/>
      <c r="S65" s="5"/>
      <c r="T65" s="5"/>
      <c r="U65" s="5"/>
      <c r="V65" s="5"/>
    </row>
    <row r="66" spans="2:22" ht="13.25" customHeight="1" thickBot="1">
      <c r="D66"/>
      <c r="E66"/>
      <c r="F66" s="3078"/>
      <c r="G66" s="3078"/>
      <c r="H66" s="3078"/>
      <c r="I66" s="3078"/>
      <c r="J66" s="3078"/>
      <c r="K66" s="3078"/>
      <c r="L66" s="3078"/>
      <c r="M66" s="3078"/>
      <c r="N66" s="3078"/>
      <c r="O66" s="3078"/>
      <c r="P66" s="5"/>
      <c r="Q66" s="5"/>
      <c r="R66" s="5"/>
      <c r="S66" s="5"/>
      <c r="T66" s="5"/>
      <c r="U66" s="5"/>
      <c r="V66" s="5"/>
    </row>
    <row r="67" spans="2:22" ht="13.25" customHeight="1">
      <c r="D67" s="3067"/>
      <c r="E67"/>
      <c r="F67"/>
      <c r="G67"/>
      <c r="H67"/>
      <c r="I67"/>
      <c r="J67"/>
      <c r="K67"/>
      <c r="L67"/>
      <c r="M67" s="3428" t="s">
        <v>1404</v>
      </c>
      <c r="N67" s="3429"/>
      <c r="O67"/>
      <c r="P67" s="5"/>
      <c r="Q67" s="5"/>
      <c r="R67" s="5"/>
      <c r="S67" s="5"/>
      <c r="T67" s="5"/>
      <c r="U67" s="5"/>
      <c r="V67" s="5"/>
    </row>
    <row r="68" spans="2:22" ht="13.25" customHeight="1">
      <c r="D68" s="3067"/>
      <c r="E68"/>
      <c r="F68"/>
      <c r="G68"/>
      <c r="H68"/>
      <c r="I68"/>
      <c r="J68"/>
      <c r="K68"/>
      <c r="L68"/>
      <c r="M68" s="3069" t="s">
        <v>1438</v>
      </c>
      <c r="N68" s="3070" t="s">
        <v>1406</v>
      </c>
      <c r="O68"/>
      <c r="P68" s="5"/>
      <c r="Q68" s="5"/>
      <c r="R68" s="5"/>
      <c r="S68" s="5"/>
      <c r="T68" s="5"/>
      <c r="U68" s="5"/>
      <c r="V68" s="5"/>
    </row>
    <row r="69" spans="2:22" ht="13.25" customHeight="1">
      <c r="D69" s="3067"/>
      <c r="E69"/>
      <c r="F69"/>
      <c r="G69"/>
      <c r="H69"/>
      <c r="I69"/>
      <c r="J69"/>
      <c r="K69"/>
      <c r="L69"/>
      <c r="M69" s="3071" t="s">
        <v>1439</v>
      </c>
      <c r="N69" s="3072" t="s">
        <v>1411</v>
      </c>
      <c r="O69"/>
      <c r="P69" s="5"/>
      <c r="Q69" s="5"/>
      <c r="R69" s="5"/>
      <c r="S69" s="5"/>
      <c r="T69" s="5"/>
      <c r="U69" s="5"/>
      <c r="V69" s="5"/>
    </row>
    <row r="70" spans="2:22" ht="13.25" customHeight="1">
      <c r="D70" t="s">
        <v>1416</v>
      </c>
      <c r="E70" t="s">
        <v>1417</v>
      </c>
      <c r="F70" t="s">
        <v>1418</v>
      </c>
      <c r="G70"/>
      <c r="H70"/>
      <c r="I70"/>
      <c r="J70"/>
      <c r="K70"/>
      <c r="L70"/>
      <c r="M70" s="3071" t="s">
        <v>1440</v>
      </c>
      <c r="N70" s="3072" t="s">
        <v>1415</v>
      </c>
      <c r="O70"/>
      <c r="P70" s="5"/>
      <c r="Q70" s="5"/>
      <c r="R70" s="5"/>
      <c r="S70" s="5"/>
      <c r="T70" s="5"/>
      <c r="U70" s="5"/>
      <c r="V70" s="5"/>
    </row>
    <row r="71" spans="2:22" ht="13.25" customHeight="1" thickBot="1">
      <c r="D71"/>
      <c r="E71" t="s">
        <v>1441</v>
      </c>
      <c r="F71"/>
      <c r="G71"/>
      <c r="H71"/>
      <c r="I71"/>
      <c r="J71"/>
      <c r="K71"/>
      <c r="L71"/>
      <c r="M71" s="3073" t="s">
        <v>1442</v>
      </c>
      <c r="N71" s="3074" t="s">
        <v>1420</v>
      </c>
      <c r="O71"/>
      <c r="P71" s="5"/>
      <c r="Q71" s="5"/>
      <c r="R71" s="5"/>
      <c r="S71" s="5"/>
      <c r="T71" s="5"/>
      <c r="U71" s="5"/>
      <c r="V71" s="5"/>
    </row>
    <row r="72" spans="2:22">
      <c r="D72"/>
      <c r="E72"/>
      <c r="F72"/>
      <c r="G72"/>
      <c r="H72"/>
      <c r="I72"/>
      <c r="J72"/>
      <c r="K72" t="s">
        <v>1443</v>
      </c>
      <c r="L72"/>
      <c r="M72"/>
      <c r="N72"/>
      <c r="O72"/>
      <c r="P72" s="5"/>
      <c r="Q72" s="5"/>
      <c r="R72" s="5"/>
      <c r="S72" s="5"/>
      <c r="T72" s="5"/>
      <c r="U72" s="5"/>
      <c r="V72" s="5"/>
    </row>
    <row r="73" spans="2:22" ht="13.25" customHeight="1">
      <c r="D73"/>
      <c r="E73"/>
      <c r="F73"/>
      <c r="G73"/>
      <c r="H73"/>
      <c r="I73"/>
      <c r="J73"/>
      <c r="K73"/>
      <c r="L73"/>
      <c r="M73"/>
      <c r="N73"/>
      <c r="O73"/>
      <c r="P73" s="5"/>
      <c r="Q73" s="5"/>
      <c r="R73" s="5"/>
      <c r="S73" s="5"/>
      <c r="T73" s="5"/>
      <c r="U73" s="5"/>
      <c r="V73" s="5"/>
    </row>
    <row r="74" spans="2:22" ht="13.25" customHeight="1">
      <c r="D74"/>
      <c r="E74"/>
      <c r="F74"/>
      <c r="G74"/>
      <c r="H74"/>
      <c r="I74"/>
      <c r="J74"/>
      <c r="K74"/>
      <c r="L74"/>
      <c r="M74"/>
      <c r="N74"/>
      <c r="O74"/>
      <c r="P74" s="5"/>
      <c r="Q74" s="5"/>
      <c r="R74" s="5"/>
      <c r="S74" s="5"/>
      <c r="T74" s="5"/>
      <c r="U74" s="5"/>
      <c r="V74" s="5"/>
    </row>
    <row r="75" spans="2:22" ht="17.649999999999999">
      <c r="D75" s="3061" t="s">
        <v>1444</v>
      </c>
      <c r="E75" s="3062" t="s">
        <v>1445</v>
      </c>
      <c r="F75" s="3063" t="s">
        <v>1446</v>
      </c>
      <c r="G75" s="3063"/>
      <c r="H75" s="1"/>
      <c r="I75" s="1"/>
      <c r="J75" s="1"/>
      <c r="K75" s="1"/>
      <c r="L75" s="1"/>
      <c r="M75" s="1"/>
      <c r="N75" s="1"/>
      <c r="O75" s="1"/>
      <c r="P75" s="5"/>
      <c r="Q75" s="5"/>
      <c r="R75" s="5"/>
      <c r="S75" s="5"/>
      <c r="T75" s="5"/>
      <c r="U75" s="5"/>
      <c r="V75" s="5"/>
    </row>
    <row r="76" spans="2:22" ht="13.25" customHeight="1" thickBot="1">
      <c r="D76" s="3064"/>
      <c r="E76" s="3066"/>
      <c r="F76" s="3066"/>
      <c r="G76" s="3066"/>
      <c r="H76"/>
      <c r="I76"/>
      <c r="J76"/>
      <c r="K76"/>
      <c r="L76"/>
      <c r="M76"/>
      <c r="N76"/>
      <c r="O76"/>
      <c r="P76" s="5"/>
      <c r="Q76" s="5"/>
      <c r="R76" s="5"/>
      <c r="S76" s="5"/>
      <c r="T76" s="5"/>
      <c r="U76" s="5"/>
      <c r="V76" s="5"/>
    </row>
    <row r="77" spans="2:22" ht="13.25" customHeight="1">
      <c r="D77" s="3067"/>
      <c r="E77" t="s">
        <v>1447</v>
      </c>
      <c r="F77"/>
      <c r="G77"/>
      <c r="H77"/>
      <c r="I77"/>
      <c r="J77"/>
      <c r="K77"/>
      <c r="L77"/>
      <c r="M77" s="3425" t="s">
        <v>1404</v>
      </c>
      <c r="N77" s="3426"/>
      <c r="O77"/>
      <c r="P77" s="5"/>
      <c r="Q77" s="5"/>
      <c r="R77" s="5"/>
      <c r="S77" s="5"/>
      <c r="T77" s="5"/>
      <c r="U77" s="5"/>
      <c r="V77" s="5"/>
    </row>
    <row r="78" spans="2:22" ht="13.25" customHeight="1">
      <c r="D78"/>
      <c r="E78" t="s">
        <v>1448</v>
      </c>
      <c r="F78"/>
      <c r="G78"/>
      <c r="H78" t="s">
        <v>1424</v>
      </c>
      <c r="I78"/>
      <c r="J78"/>
      <c r="K78"/>
      <c r="L78"/>
      <c r="M78" s="3069" t="s">
        <v>1449</v>
      </c>
      <c r="N78" s="3070" t="s">
        <v>1406</v>
      </c>
      <c r="O78" s="3076"/>
      <c r="P78" s="5"/>
      <c r="Q78" s="5"/>
      <c r="R78" s="5"/>
      <c r="S78" s="5"/>
      <c r="T78" s="5"/>
      <c r="U78" s="5"/>
      <c r="V78" s="5"/>
    </row>
    <row r="79" spans="2:22" ht="13.25" customHeight="1">
      <c r="D79"/>
      <c r="E79"/>
      <c r="F79"/>
      <c r="G79"/>
      <c r="H79"/>
      <c r="I79"/>
      <c r="J79"/>
      <c r="K79"/>
      <c r="L79"/>
      <c r="M79" s="3071" t="s">
        <v>1450</v>
      </c>
      <c r="N79" s="3072" t="s">
        <v>1411</v>
      </c>
      <c r="O79" s="3076"/>
      <c r="P79" s="5"/>
      <c r="Q79" s="5"/>
      <c r="R79" s="5"/>
      <c r="S79" s="5"/>
      <c r="T79" s="5"/>
      <c r="U79" s="5"/>
      <c r="V79" s="5"/>
    </row>
    <row r="80" spans="2:22" ht="13.25" customHeight="1">
      <c r="B80" s="397"/>
      <c r="D80"/>
      <c r="E80"/>
      <c r="F80"/>
      <c r="G80"/>
      <c r="H80"/>
      <c r="I80"/>
      <c r="J80"/>
      <c r="K80"/>
      <c r="L80"/>
      <c r="M80" s="3071" t="s">
        <v>1451</v>
      </c>
      <c r="N80" s="3072" t="s">
        <v>1415</v>
      </c>
      <c r="O80" s="3076"/>
      <c r="P80" s="5"/>
      <c r="Q80" s="5"/>
      <c r="R80" s="5"/>
      <c r="S80" s="5"/>
      <c r="T80" s="5"/>
      <c r="U80" s="5"/>
      <c r="V80" s="5"/>
    </row>
    <row r="81" spans="2:22" ht="13.25" customHeight="1" thickBot="1">
      <c r="D81"/>
      <c r="E81"/>
      <c r="F81"/>
      <c r="G81"/>
      <c r="H81"/>
      <c r="I81"/>
      <c r="J81"/>
      <c r="K81"/>
      <c r="L81"/>
      <c r="M81" s="3073" t="s">
        <v>1452</v>
      </c>
      <c r="N81" s="3074" t="s">
        <v>1420</v>
      </c>
      <c r="O81" s="3076"/>
      <c r="P81" s="5"/>
      <c r="Q81" s="5"/>
      <c r="R81" s="5"/>
      <c r="S81" s="5"/>
      <c r="T81" s="5"/>
      <c r="U81" s="5"/>
      <c r="V81" s="5"/>
    </row>
    <row r="82" spans="2:22" ht="13.25" customHeight="1">
      <c r="B82" s="397"/>
      <c r="D82"/>
      <c r="E82"/>
      <c r="F82"/>
      <c r="G82"/>
      <c r="H82"/>
      <c r="I82"/>
      <c r="J82"/>
      <c r="K82"/>
      <c r="L82"/>
      <c r="M82" s="3076"/>
      <c r="N82" s="3076"/>
      <c r="O82" s="3076"/>
      <c r="P82" s="5"/>
      <c r="Q82" s="5"/>
      <c r="R82" s="5"/>
      <c r="S82" s="5"/>
      <c r="T82" s="5"/>
      <c r="U82" s="5"/>
      <c r="V82" s="5"/>
    </row>
    <row r="83" spans="2:22" ht="13.25" customHeight="1">
      <c r="D83"/>
      <c r="E83"/>
      <c r="F83"/>
      <c r="G83"/>
      <c r="H83"/>
      <c r="I83"/>
      <c r="J83"/>
      <c r="K83"/>
      <c r="L83"/>
      <c r="M83" s="3076"/>
      <c r="N83" s="3076"/>
      <c r="O83"/>
      <c r="P83" s="5"/>
      <c r="Q83" s="5"/>
      <c r="R83" s="5"/>
      <c r="S83" s="5"/>
      <c r="T83" s="5"/>
      <c r="U83" s="5"/>
      <c r="V83" s="5"/>
    </row>
    <row r="84" spans="2:22" ht="13.25" customHeight="1">
      <c r="B84" s="397"/>
      <c r="D84"/>
      <c r="E84"/>
      <c r="F84"/>
      <c r="G84"/>
      <c r="H84"/>
      <c r="I84"/>
      <c r="J84"/>
      <c r="K84"/>
      <c r="L84"/>
      <c r="M84" s="3076"/>
      <c r="N84" s="3076"/>
      <c r="O84"/>
      <c r="P84" s="5"/>
      <c r="Q84" s="5"/>
      <c r="R84" s="5"/>
      <c r="S84" s="5"/>
      <c r="T84" s="5"/>
      <c r="U84" s="5"/>
      <c r="V84" s="5"/>
    </row>
    <row r="85" spans="2:22" ht="13.25" customHeight="1">
      <c r="B85" s="397"/>
      <c r="D85"/>
      <c r="E85"/>
      <c r="F85"/>
      <c r="G85"/>
      <c r="H85"/>
      <c r="I85"/>
      <c r="J85"/>
      <c r="K85"/>
      <c r="L85"/>
      <c r="M85" s="3076"/>
      <c r="N85" s="3076"/>
      <c r="O85"/>
      <c r="P85" s="5"/>
      <c r="Q85" s="5"/>
      <c r="R85" s="5"/>
      <c r="S85" s="5"/>
      <c r="T85" s="5"/>
      <c r="U85" s="5"/>
      <c r="V85" s="5"/>
    </row>
    <row r="86" spans="2:22">
      <c r="B86" s="397"/>
      <c r="D86"/>
      <c r="E86"/>
      <c r="F86"/>
      <c r="G86"/>
      <c r="H86"/>
      <c r="I86"/>
      <c r="J86"/>
      <c r="K86"/>
      <c r="L86"/>
      <c r="M86" s="3076"/>
      <c r="N86" s="3076"/>
      <c r="O86"/>
      <c r="P86" s="5"/>
      <c r="Q86" s="5"/>
      <c r="R86" s="5"/>
      <c r="S86" s="5"/>
      <c r="T86" s="5"/>
      <c r="U86" s="5"/>
      <c r="V86" s="5"/>
    </row>
    <row r="87" spans="2:22">
      <c r="B87" s="397"/>
      <c r="D87"/>
      <c r="E87"/>
      <c r="F87"/>
      <c r="G87"/>
      <c r="H87"/>
      <c r="I87"/>
      <c r="J87"/>
      <c r="K87"/>
      <c r="L87"/>
      <c r="M87" s="3076"/>
      <c r="N87" s="3076"/>
      <c r="O87"/>
      <c r="P87" s="5"/>
      <c r="Q87" s="5"/>
      <c r="R87" s="5"/>
      <c r="S87" s="5"/>
      <c r="T87" s="5"/>
      <c r="U87" s="5"/>
      <c r="V87" s="5"/>
    </row>
    <row r="88" spans="2:22" ht="13.25" customHeight="1">
      <c r="B88" s="397"/>
      <c r="D88" t="s">
        <v>1416</v>
      </c>
      <c r="E88" t="s">
        <v>1417</v>
      </c>
      <c r="F88" t="s">
        <v>1418</v>
      </c>
      <c r="G88"/>
      <c r="H88"/>
      <c r="I88"/>
      <c r="J88"/>
      <c r="K88" t="s">
        <v>1453</v>
      </c>
      <c r="L88"/>
      <c r="M88" s="3076"/>
      <c r="N88" s="3076"/>
      <c r="O88"/>
      <c r="P88" s="5"/>
      <c r="Q88" s="5"/>
      <c r="R88" s="5"/>
      <c r="S88" s="5"/>
      <c r="T88" s="5"/>
      <c r="U88" s="5"/>
      <c r="V88" s="5"/>
    </row>
    <row r="89" spans="2:22" ht="13.25" customHeight="1">
      <c r="D89"/>
      <c r="E89"/>
      <c r="F89"/>
      <c r="G89"/>
      <c r="H89"/>
      <c r="I89"/>
      <c r="J89"/>
      <c r="K89"/>
      <c r="L89"/>
      <c r="M89" s="3076"/>
      <c r="N89" s="3076"/>
      <c r="O89"/>
      <c r="P89" s="5"/>
      <c r="Q89" s="5"/>
      <c r="R89" s="5"/>
      <c r="S89" s="5"/>
      <c r="T89" s="5"/>
      <c r="U89" s="5"/>
      <c r="V89" s="5"/>
    </row>
    <row r="90" spans="2:22" ht="13.25" customHeight="1">
      <c r="B90" s="397"/>
      <c r="D90" s="3061" t="s">
        <v>1454</v>
      </c>
      <c r="E90" s="3062" t="s">
        <v>1455</v>
      </c>
      <c r="F90" s="3063" t="s">
        <v>1456</v>
      </c>
      <c r="G90" s="1"/>
      <c r="H90" s="1"/>
      <c r="I90" s="1"/>
      <c r="J90" s="1"/>
      <c r="K90" s="1"/>
      <c r="L90" s="1"/>
      <c r="M90" s="1"/>
      <c r="N90" s="1"/>
      <c r="O90" s="1"/>
      <c r="P90" s="5"/>
      <c r="Q90" s="5"/>
      <c r="R90" s="5"/>
      <c r="S90" s="5"/>
      <c r="T90" s="5"/>
      <c r="U90" s="5"/>
      <c r="V90" s="5"/>
    </row>
    <row r="91" spans="2:22" ht="13.25" customHeight="1">
      <c r="B91" s="397"/>
      <c r="D91" s="3064"/>
      <c r="E91" s="3065"/>
      <c r="F91" s="3066"/>
      <c r="G91"/>
      <c r="H91"/>
      <c r="I91"/>
      <c r="J91"/>
      <c r="K91"/>
      <c r="L91"/>
      <c r="M91"/>
      <c r="N91"/>
      <c r="O91"/>
      <c r="P91" s="5"/>
      <c r="Q91" s="5"/>
      <c r="R91" s="5"/>
      <c r="S91" s="5"/>
      <c r="T91" s="5"/>
      <c r="U91" s="5"/>
      <c r="V91" s="5"/>
    </row>
    <row r="92" spans="2:22" ht="13.25" customHeight="1" thickBot="1">
      <c r="D92" s="3067"/>
      <c r="E92" t="s">
        <v>1447</v>
      </c>
      <c r="F92"/>
      <c r="G92"/>
      <c r="H92"/>
      <c r="I92"/>
      <c r="J92"/>
      <c r="K92"/>
      <c r="L92"/>
      <c r="M92"/>
      <c r="N92"/>
      <c r="O92"/>
      <c r="P92" s="5"/>
      <c r="Q92" s="5"/>
      <c r="R92" s="5"/>
      <c r="S92" s="5"/>
      <c r="T92" s="5"/>
      <c r="U92" s="5"/>
      <c r="V92" s="5"/>
    </row>
    <row r="93" spans="2:22" ht="13.25" customHeight="1">
      <c r="D93"/>
      <c r="E93" t="s">
        <v>1448</v>
      </c>
      <c r="F93"/>
      <c r="G93"/>
      <c r="H93" t="s">
        <v>1424</v>
      </c>
      <c r="I93"/>
      <c r="J93"/>
      <c r="K93"/>
      <c r="L93"/>
      <c r="M93" s="3425" t="s">
        <v>1404</v>
      </c>
      <c r="N93" s="3426"/>
      <c r="O93" s="3076"/>
      <c r="P93" s="5"/>
      <c r="Q93" s="5"/>
      <c r="R93" s="5"/>
      <c r="S93" s="5"/>
      <c r="T93" s="5"/>
      <c r="U93" s="5"/>
      <c r="V93" s="5"/>
    </row>
    <row r="94" spans="2:22" ht="13.25" customHeight="1">
      <c r="D94"/>
      <c r="E94"/>
      <c r="F94"/>
      <c r="G94"/>
      <c r="H94"/>
      <c r="I94"/>
      <c r="J94"/>
      <c r="K94"/>
      <c r="L94"/>
      <c r="M94" s="3069" t="s">
        <v>1449</v>
      </c>
      <c r="N94" s="3070" t="s">
        <v>1406</v>
      </c>
      <c r="O94" s="3076"/>
      <c r="P94" s="5"/>
      <c r="Q94" s="5"/>
      <c r="R94" s="5"/>
      <c r="S94" s="5"/>
      <c r="T94" s="5"/>
      <c r="U94" s="5"/>
      <c r="V94" s="5"/>
    </row>
    <row r="95" spans="2:22" ht="13.25" customHeight="1">
      <c r="D95"/>
      <c r="E95"/>
      <c r="F95"/>
      <c r="G95"/>
      <c r="H95"/>
      <c r="I95"/>
      <c r="J95"/>
      <c r="K95"/>
      <c r="L95"/>
      <c r="M95" s="3079" t="s">
        <v>1450</v>
      </c>
      <c r="N95" s="3072" t="s">
        <v>1411</v>
      </c>
      <c r="O95" s="3076"/>
      <c r="P95" s="5"/>
      <c r="Q95" s="5"/>
      <c r="R95" s="5"/>
      <c r="S95" s="5"/>
      <c r="T95" s="5"/>
      <c r="U95" s="5"/>
      <c r="V95" s="5"/>
    </row>
    <row r="96" spans="2:22" ht="13.25" customHeight="1">
      <c r="D96"/>
      <c r="E96"/>
      <c r="F96"/>
      <c r="G96"/>
      <c r="H96"/>
      <c r="I96"/>
      <c r="J96"/>
      <c r="K96"/>
      <c r="L96"/>
      <c r="M96" s="3079" t="s">
        <v>1451</v>
      </c>
      <c r="N96" s="3072" t="s">
        <v>1415</v>
      </c>
      <c r="O96" s="3076"/>
      <c r="P96" s="5"/>
      <c r="Q96" s="5"/>
      <c r="R96" s="5"/>
      <c r="S96" s="5"/>
      <c r="T96" s="5"/>
      <c r="U96" s="5"/>
      <c r="V96" s="5"/>
    </row>
    <row r="97" spans="4:22" ht="13.25" customHeight="1" thickBot="1">
      <c r="D97"/>
      <c r="E97"/>
      <c r="F97"/>
      <c r="G97"/>
      <c r="H97"/>
      <c r="I97"/>
      <c r="J97"/>
      <c r="K97"/>
      <c r="L97"/>
      <c r="M97" s="3080" t="s">
        <v>1457</v>
      </c>
      <c r="N97" s="3074" t="s">
        <v>1420</v>
      </c>
      <c r="O97" s="3076"/>
      <c r="P97" s="5"/>
      <c r="Q97" s="5"/>
      <c r="R97" s="5"/>
      <c r="S97" s="5"/>
      <c r="T97" s="5"/>
      <c r="U97" s="5"/>
      <c r="V97" s="5"/>
    </row>
    <row r="98" spans="4:22" ht="13.25" customHeight="1">
      <c r="D98"/>
      <c r="E98"/>
      <c r="F98"/>
      <c r="G98"/>
      <c r="H98"/>
      <c r="I98"/>
      <c r="J98"/>
      <c r="K98"/>
      <c r="L98"/>
      <c r="M98"/>
      <c r="N98"/>
      <c r="O98"/>
      <c r="P98" s="5"/>
      <c r="Q98" s="5"/>
      <c r="R98" s="5"/>
      <c r="S98" s="5"/>
      <c r="T98" s="5"/>
      <c r="U98" s="5"/>
      <c r="V98" s="5"/>
    </row>
    <row r="99" spans="4:22" ht="13.25" customHeight="1">
      <c r="D99"/>
      <c r="E99"/>
      <c r="F99"/>
      <c r="G99"/>
      <c r="H99"/>
      <c r="I99"/>
      <c r="J99"/>
      <c r="K99"/>
      <c r="L99"/>
      <c r="M99"/>
      <c r="N99"/>
      <c r="O99"/>
      <c r="P99" s="5"/>
      <c r="Q99" s="5"/>
      <c r="R99" s="5"/>
      <c r="S99" s="5"/>
      <c r="T99" s="5"/>
      <c r="U99" s="5"/>
      <c r="V99" s="5"/>
    </row>
    <row r="100" spans="4:22" ht="13.25" customHeight="1">
      <c r="D100"/>
      <c r="E100"/>
      <c r="F100"/>
      <c r="G100"/>
      <c r="H100"/>
      <c r="I100"/>
      <c r="J100"/>
      <c r="K100"/>
      <c r="L100"/>
      <c r="M100"/>
      <c r="N100"/>
      <c r="O100"/>
      <c r="P100" s="5"/>
      <c r="Q100" s="5"/>
      <c r="R100" s="5"/>
      <c r="S100" s="5"/>
      <c r="T100" s="5"/>
      <c r="U100" s="5"/>
      <c r="V100" s="5"/>
    </row>
    <row r="101" spans="4:22">
      <c r="D101"/>
      <c r="E101"/>
      <c r="F101"/>
      <c r="G101"/>
      <c r="H101"/>
      <c r="I101"/>
      <c r="J101"/>
      <c r="K101"/>
      <c r="L101"/>
      <c r="M101"/>
      <c r="N101"/>
      <c r="O101"/>
      <c r="P101" s="5"/>
      <c r="Q101" s="5"/>
      <c r="R101" s="5"/>
      <c r="S101" s="5"/>
      <c r="T101" s="5"/>
      <c r="U101" s="5"/>
      <c r="V101" s="5"/>
    </row>
    <row r="102" spans="4:22">
      <c r="D102"/>
      <c r="E102"/>
      <c r="F102"/>
      <c r="G102"/>
      <c r="H102"/>
      <c r="I102"/>
      <c r="J102"/>
      <c r="K102"/>
      <c r="L102"/>
      <c r="M102"/>
      <c r="N102"/>
      <c r="O102"/>
      <c r="P102" s="5"/>
      <c r="Q102" s="5"/>
      <c r="R102" s="5"/>
      <c r="S102" s="5"/>
      <c r="T102" s="5"/>
      <c r="U102" s="5"/>
      <c r="V102" s="5"/>
    </row>
    <row r="103" spans="4:22" ht="13.25" customHeight="1">
      <c r="D103" t="s">
        <v>1416</v>
      </c>
      <c r="E103" t="s">
        <v>1417</v>
      </c>
      <c r="F103" t="s">
        <v>1418</v>
      </c>
      <c r="G103"/>
      <c r="H103"/>
      <c r="I103"/>
      <c r="J103"/>
      <c r="K103" t="s">
        <v>1458</v>
      </c>
      <c r="L103"/>
      <c r="M103"/>
      <c r="N103"/>
      <c r="O103"/>
      <c r="P103" s="5"/>
      <c r="Q103" s="5"/>
      <c r="R103" s="5"/>
      <c r="S103" s="5"/>
      <c r="T103" s="5"/>
      <c r="U103" s="5"/>
      <c r="V103" s="5"/>
    </row>
    <row r="104" spans="4:22" ht="13.25" customHeight="1">
      <c r="D104"/>
      <c r="E104"/>
      <c r="F104"/>
      <c r="G104"/>
      <c r="H104"/>
      <c r="I104"/>
      <c r="J104"/>
      <c r="K104"/>
      <c r="L104"/>
      <c r="M104"/>
      <c r="N104"/>
      <c r="O104"/>
      <c r="P104" s="5"/>
      <c r="Q104" s="5"/>
      <c r="R104" s="5"/>
      <c r="S104" s="5"/>
      <c r="T104" s="5"/>
      <c r="U104" s="5"/>
      <c r="V104" s="5"/>
    </row>
    <row r="105" spans="4:22" ht="13.25" customHeight="1">
      <c r="D105" s="3061" t="s">
        <v>304</v>
      </c>
      <c r="E105" s="3062" t="s">
        <v>1445</v>
      </c>
      <c r="F105" s="3063" t="s">
        <v>1459</v>
      </c>
      <c r="G105" s="1"/>
      <c r="H105" s="1"/>
      <c r="I105" s="1"/>
      <c r="J105" s="1"/>
      <c r="K105" s="1"/>
      <c r="L105" s="1"/>
      <c r="M105" s="1"/>
      <c r="N105" s="1"/>
      <c r="O105" s="1"/>
      <c r="P105" s="5"/>
      <c r="Q105" s="5"/>
      <c r="R105" s="5"/>
      <c r="S105" s="5"/>
      <c r="T105" s="5"/>
      <c r="U105" s="5"/>
      <c r="V105" s="5"/>
    </row>
    <row r="106" spans="4:22" ht="13.25" customHeight="1" thickBot="1">
      <c r="D106" s="3066"/>
      <c r="E106" s="3066"/>
      <c r="F106" s="3066"/>
      <c r="G106"/>
      <c r="H106"/>
      <c r="I106"/>
      <c r="J106"/>
      <c r="K106"/>
      <c r="L106"/>
      <c r="M106"/>
      <c r="N106"/>
      <c r="O106"/>
      <c r="P106" s="5"/>
      <c r="Q106" s="5"/>
      <c r="R106" s="5"/>
      <c r="S106" s="5"/>
      <c r="T106" s="5"/>
      <c r="U106" s="5"/>
      <c r="V106" s="5"/>
    </row>
    <row r="107" spans="4:22" ht="13.25" customHeight="1">
      <c r="D107" s="3067"/>
      <c r="E107"/>
      <c r="F107"/>
      <c r="G107"/>
      <c r="H107"/>
      <c r="I107"/>
      <c r="J107"/>
      <c r="K107"/>
      <c r="L107"/>
      <c r="M107" s="3425" t="s">
        <v>1404</v>
      </c>
      <c r="N107" s="3426"/>
      <c r="O107"/>
      <c r="P107" s="5"/>
      <c r="Q107" s="5"/>
      <c r="R107" s="5"/>
      <c r="S107" s="5"/>
      <c r="T107" s="5"/>
      <c r="U107" s="5"/>
      <c r="V107" s="5"/>
    </row>
    <row r="108" spans="4:22" ht="13.25" customHeight="1">
      <c r="D108" s="3067"/>
      <c r="E108"/>
      <c r="F108"/>
      <c r="G108"/>
      <c r="H108"/>
      <c r="I108"/>
      <c r="J108"/>
      <c r="K108"/>
      <c r="L108"/>
      <c r="M108" s="3069" t="s">
        <v>1449</v>
      </c>
      <c r="N108" s="3070" t="s">
        <v>1406</v>
      </c>
      <c r="O108"/>
      <c r="P108" s="5"/>
      <c r="Q108" s="5"/>
      <c r="R108" s="5"/>
      <c r="S108" s="5"/>
      <c r="T108" s="5"/>
      <c r="U108" s="5"/>
      <c r="V108" s="5"/>
    </row>
    <row r="109" spans="4:22" ht="13.25" customHeight="1">
      <c r="D109" s="3067"/>
      <c r="E109"/>
      <c r="F109"/>
      <c r="G109"/>
      <c r="H109"/>
      <c r="I109"/>
      <c r="J109"/>
      <c r="K109"/>
      <c r="L109"/>
      <c r="M109" s="3079" t="s">
        <v>1450</v>
      </c>
      <c r="N109" s="3072" t="s">
        <v>1411</v>
      </c>
      <c r="O109"/>
      <c r="P109" s="5"/>
      <c r="Q109" s="5"/>
      <c r="R109" s="5"/>
      <c r="S109" s="5"/>
      <c r="T109" s="5"/>
      <c r="U109" s="5"/>
      <c r="V109" s="5"/>
    </row>
    <row r="110" spans="4:22" ht="13.25" customHeight="1">
      <c r="D110" t="s">
        <v>1416</v>
      </c>
      <c r="E110" t="s">
        <v>1417</v>
      </c>
      <c r="F110" t="s">
        <v>1418</v>
      </c>
      <c r="G110"/>
      <c r="H110"/>
      <c r="I110"/>
      <c r="J110"/>
      <c r="K110"/>
      <c r="L110"/>
      <c r="M110" s="3079" t="s">
        <v>1451</v>
      </c>
      <c r="N110" s="3072" t="s">
        <v>1415</v>
      </c>
      <c r="O110" s="3076"/>
      <c r="P110" s="5"/>
      <c r="Q110" s="5"/>
      <c r="R110" s="5"/>
      <c r="S110" s="5"/>
      <c r="T110" s="5"/>
      <c r="U110" s="5"/>
      <c r="V110" s="5"/>
    </row>
    <row r="111" spans="4:22" ht="13.25" customHeight="1" thickBot="1">
      <c r="D111"/>
      <c r="E111"/>
      <c r="F111"/>
      <c r="G111"/>
      <c r="H111"/>
      <c r="I111"/>
      <c r="J111"/>
      <c r="K111"/>
      <c r="L111"/>
      <c r="M111" s="3080" t="s">
        <v>1452</v>
      </c>
      <c r="N111" s="3074" t="s">
        <v>1420</v>
      </c>
      <c r="O111" s="3076"/>
      <c r="P111" s="5"/>
      <c r="Q111" s="5"/>
      <c r="R111" s="5"/>
      <c r="S111" s="5"/>
      <c r="T111" s="5"/>
      <c r="U111" s="5"/>
      <c r="V111" s="5"/>
    </row>
    <row r="112" spans="4:22" ht="13.25" customHeight="1">
      <c r="D112"/>
      <c r="E112"/>
      <c r="F112"/>
      <c r="G112"/>
      <c r="H112"/>
      <c r="I112"/>
      <c r="J112"/>
      <c r="K112"/>
      <c r="L112"/>
      <c r="M112" s="3076"/>
      <c r="N112" s="3076"/>
      <c r="O112" s="3076"/>
      <c r="P112" s="5"/>
      <c r="Q112" s="5"/>
      <c r="R112" s="5"/>
      <c r="S112" s="5"/>
      <c r="T112" s="5"/>
      <c r="U112" s="5"/>
      <c r="V112" s="5"/>
    </row>
    <row r="113" spans="4:22">
      <c r="D113"/>
      <c r="E113"/>
      <c r="F113"/>
      <c r="G113"/>
      <c r="H113"/>
      <c r="I113"/>
      <c r="J113"/>
      <c r="K113"/>
      <c r="L113"/>
      <c r="M113"/>
      <c r="N113"/>
      <c r="O113" s="3076"/>
      <c r="P113" s="5"/>
      <c r="Q113" s="5"/>
      <c r="R113" s="5"/>
      <c r="S113" s="5"/>
      <c r="T113" s="5"/>
      <c r="U113" s="5"/>
      <c r="V113" s="5"/>
    </row>
    <row r="114" spans="4:22">
      <c r="D114"/>
      <c r="E114"/>
      <c r="F114"/>
      <c r="G114"/>
      <c r="H114"/>
      <c r="I114"/>
      <c r="J114"/>
      <c r="K114"/>
      <c r="L114"/>
      <c r="M114"/>
      <c r="N114"/>
      <c r="O114" s="3076"/>
      <c r="P114" s="5"/>
      <c r="Q114" s="5"/>
      <c r="R114" s="5"/>
      <c r="S114" s="5"/>
      <c r="T114" s="5"/>
      <c r="U114" s="5"/>
      <c r="V114" s="5"/>
    </row>
    <row r="115" spans="4:22">
      <c r="D115"/>
      <c r="E115"/>
      <c r="F115"/>
      <c r="G115"/>
      <c r="H115"/>
      <c r="I115"/>
      <c r="J115"/>
      <c r="K115"/>
      <c r="L115"/>
      <c r="M115"/>
      <c r="N115"/>
      <c r="O115" s="3076"/>
      <c r="P115" s="5"/>
      <c r="Q115" s="5"/>
      <c r="R115" s="5"/>
      <c r="S115" s="5"/>
      <c r="T115" s="5"/>
      <c r="U115" s="5"/>
      <c r="V115" s="5"/>
    </row>
    <row r="116" spans="4:22" ht="13.25" customHeight="1">
      <c r="D116" t="s">
        <v>1416</v>
      </c>
      <c r="E116" t="s">
        <v>1460</v>
      </c>
      <c r="F116"/>
      <c r="G116"/>
      <c r="H116"/>
      <c r="I116"/>
      <c r="J116"/>
      <c r="K116" t="s">
        <v>1461</v>
      </c>
      <c r="L116"/>
      <c r="M116"/>
      <c r="N116"/>
      <c r="O116" s="3076"/>
      <c r="P116" s="5"/>
      <c r="Q116" s="5"/>
      <c r="R116" s="5"/>
      <c r="S116" s="5"/>
      <c r="T116" s="5"/>
      <c r="U116" s="5"/>
      <c r="V116" s="5"/>
    </row>
    <row r="117" spans="4:22" ht="13.25" customHeight="1">
      <c r="D117"/>
      <c r="E117"/>
      <c r="F117"/>
      <c r="G117"/>
      <c r="H117"/>
      <c r="I117"/>
      <c r="J117"/>
      <c r="K117"/>
      <c r="L117"/>
      <c r="M117"/>
      <c r="N117"/>
      <c r="O117"/>
      <c r="P117" s="5"/>
      <c r="Q117" s="5"/>
      <c r="R117" s="5"/>
      <c r="S117" s="5"/>
      <c r="T117" s="5"/>
      <c r="U117" s="5"/>
      <c r="V117" s="5"/>
    </row>
    <row r="118" spans="4:22" ht="13.25" customHeight="1">
      <c r="D118" s="3061" t="s">
        <v>305</v>
      </c>
      <c r="E118" s="3062" t="s">
        <v>1455</v>
      </c>
      <c r="F118" s="3063" t="s">
        <v>1462</v>
      </c>
      <c r="G118" s="1"/>
      <c r="H118" s="1"/>
      <c r="I118" s="1"/>
      <c r="J118" s="1"/>
      <c r="K118" s="1"/>
      <c r="L118" s="1"/>
      <c r="M118" s="1"/>
      <c r="N118" s="1"/>
      <c r="O118" s="1"/>
      <c r="P118" s="5"/>
      <c r="Q118" s="5"/>
      <c r="R118" s="5"/>
      <c r="S118" s="5"/>
      <c r="T118" s="5"/>
      <c r="U118" s="5"/>
      <c r="V118" s="5"/>
    </row>
    <row r="119" spans="4:22" ht="13.25" customHeight="1" thickBot="1">
      <c r="D119" s="3066"/>
      <c r="E119" s="3066"/>
      <c r="F119" s="3066"/>
      <c r="G119"/>
      <c r="H119"/>
      <c r="I119"/>
      <c r="J119"/>
      <c r="K119"/>
      <c r="L119"/>
      <c r="M119"/>
      <c r="N119"/>
      <c r="O119"/>
      <c r="P119" s="5"/>
      <c r="Q119" s="5"/>
      <c r="R119" s="5"/>
      <c r="S119" s="5"/>
      <c r="T119" s="5"/>
      <c r="U119" s="5"/>
      <c r="V119" s="5"/>
    </row>
    <row r="120" spans="4:22" ht="13.25" customHeight="1">
      <c r="D120" s="3067"/>
      <c r="E120"/>
      <c r="F120"/>
      <c r="G120"/>
      <c r="H120"/>
      <c r="I120"/>
      <c r="J120"/>
      <c r="K120"/>
      <c r="L120"/>
      <c r="M120" s="3425" t="s">
        <v>1404</v>
      </c>
      <c r="N120" s="3426"/>
      <c r="O120"/>
      <c r="P120" s="5"/>
      <c r="Q120" s="5"/>
      <c r="R120" s="5"/>
      <c r="S120" s="5"/>
      <c r="T120" s="5"/>
      <c r="U120" s="5"/>
      <c r="V120" s="5"/>
    </row>
    <row r="121" spans="4:22" ht="13.25" customHeight="1">
      <c r="D121" s="3067"/>
      <c r="E121"/>
      <c r="F121"/>
      <c r="G121"/>
      <c r="H121"/>
      <c r="I121"/>
      <c r="J121"/>
      <c r="K121"/>
      <c r="L121"/>
      <c r="M121" s="3069" t="s">
        <v>1449</v>
      </c>
      <c r="N121" s="3070" t="s">
        <v>1406</v>
      </c>
      <c r="O121"/>
      <c r="P121" s="5"/>
      <c r="Q121" s="5"/>
      <c r="R121" s="5"/>
      <c r="S121" s="5"/>
      <c r="T121" s="5"/>
      <c r="U121" s="5"/>
      <c r="V121" s="5"/>
    </row>
    <row r="122" spans="4:22" ht="13.25" customHeight="1">
      <c r="D122" s="3067"/>
      <c r="E122"/>
      <c r="F122"/>
      <c r="G122"/>
      <c r="H122"/>
      <c r="I122"/>
      <c r="J122"/>
      <c r="K122"/>
      <c r="L122"/>
      <c r="M122" s="3079" t="s">
        <v>1450</v>
      </c>
      <c r="N122" s="3072" t="s">
        <v>1411</v>
      </c>
      <c r="O122"/>
      <c r="P122" s="5"/>
      <c r="Q122" s="5"/>
      <c r="R122" s="5"/>
      <c r="S122" s="5"/>
      <c r="T122" s="5"/>
      <c r="U122" s="5"/>
      <c r="V122" s="5"/>
    </row>
    <row r="123" spans="4:22" ht="13.25" customHeight="1">
      <c r="D123" s="3067"/>
      <c r="E123"/>
      <c r="F123"/>
      <c r="G123"/>
      <c r="H123"/>
      <c r="I123"/>
      <c r="J123"/>
      <c r="K123"/>
      <c r="L123"/>
      <c r="M123" s="3079" t="s">
        <v>1451</v>
      </c>
      <c r="N123" s="3072" t="s">
        <v>1415</v>
      </c>
      <c r="O123"/>
      <c r="P123" s="5"/>
      <c r="Q123" s="5"/>
      <c r="R123" s="5"/>
      <c r="S123" s="5"/>
      <c r="T123" s="5"/>
      <c r="U123" s="5"/>
      <c r="V123" s="5"/>
    </row>
    <row r="124" spans="4:22" ht="13.25" customHeight="1" thickBot="1">
      <c r="D124" s="3067"/>
      <c r="E124"/>
      <c r="F124"/>
      <c r="G124"/>
      <c r="H124"/>
      <c r="I124"/>
      <c r="J124"/>
      <c r="K124"/>
      <c r="L124"/>
      <c r="M124" s="3080" t="s">
        <v>1457</v>
      </c>
      <c r="N124" s="3074" t="s">
        <v>1420</v>
      </c>
      <c r="O124"/>
      <c r="P124" s="5"/>
      <c r="Q124" s="5"/>
      <c r="R124" s="5"/>
      <c r="S124" s="5"/>
      <c r="T124" s="5"/>
      <c r="U124" s="5"/>
      <c r="V124" s="5"/>
    </row>
    <row r="125" spans="4:22" ht="13.25" customHeight="1">
      <c r="D125" t="s">
        <v>1416</v>
      </c>
      <c r="E125" t="s">
        <v>1417</v>
      </c>
      <c r="F125" t="s">
        <v>1418</v>
      </c>
      <c r="G125"/>
      <c r="H125"/>
      <c r="I125"/>
      <c r="J125"/>
      <c r="K125"/>
      <c r="L125"/>
      <c r="M125"/>
      <c r="N125"/>
      <c r="O125" s="3076"/>
      <c r="P125" s="5"/>
      <c r="Q125" s="5"/>
      <c r="R125" s="5"/>
      <c r="S125" s="5"/>
      <c r="T125" s="5"/>
      <c r="U125" s="5"/>
      <c r="V125" s="5"/>
    </row>
    <row r="126" spans="4:22" ht="13.25" customHeight="1">
      <c r="D126"/>
      <c r="E126"/>
      <c r="F126"/>
      <c r="G126"/>
      <c r="H126"/>
      <c r="I126"/>
      <c r="J126"/>
      <c r="K126"/>
      <c r="L126"/>
      <c r="M126"/>
      <c r="N126"/>
      <c r="O126" s="3076"/>
      <c r="P126" s="5"/>
      <c r="Q126" s="5"/>
      <c r="R126" s="5"/>
      <c r="S126" s="5"/>
      <c r="T126" s="5"/>
      <c r="U126" s="5"/>
      <c r="V126" s="5"/>
    </row>
    <row r="127" spans="4:22" ht="13.25" customHeight="1">
      <c r="D127"/>
      <c r="E127"/>
      <c r="F127"/>
      <c r="G127" s="3081" t="s">
        <v>1463</v>
      </c>
      <c r="H127"/>
      <c r="I127"/>
      <c r="J127"/>
      <c r="K127"/>
      <c r="L127"/>
      <c r="M127"/>
      <c r="N127"/>
      <c r="O127" s="3076"/>
      <c r="P127" s="5"/>
      <c r="Q127" s="5"/>
      <c r="R127" s="5"/>
      <c r="S127" s="5"/>
      <c r="T127" s="5"/>
      <c r="U127" s="5"/>
      <c r="V127" s="5"/>
    </row>
    <row r="128" spans="4:22" ht="13.25" customHeight="1">
      <c r="D128"/>
      <c r="E128"/>
      <c r="F128"/>
      <c r="G128"/>
      <c r="H128"/>
      <c r="I128"/>
      <c r="J128"/>
      <c r="K128"/>
      <c r="L128"/>
      <c r="M128"/>
      <c r="N128"/>
      <c r="O128" s="3076"/>
      <c r="P128" s="5"/>
      <c r="Q128" s="5"/>
      <c r="R128" s="5"/>
      <c r="S128" s="5"/>
      <c r="T128" s="5"/>
      <c r="U128" s="5"/>
      <c r="V128" s="5"/>
    </row>
    <row r="129" spans="2:22" ht="13.25" customHeight="1">
      <c r="D129"/>
      <c r="E129"/>
      <c r="F129"/>
      <c r="G129"/>
      <c r="H129"/>
      <c r="I129"/>
      <c r="J129"/>
      <c r="K129"/>
      <c r="L129"/>
      <c r="M129"/>
      <c r="N129"/>
      <c r="O129" s="3076"/>
      <c r="P129" s="5"/>
      <c r="Q129" s="5"/>
      <c r="R129" s="5"/>
      <c r="S129" s="5"/>
      <c r="T129" s="5"/>
      <c r="U129" s="5"/>
      <c r="V129" s="5"/>
    </row>
    <row r="130" spans="2:22" ht="15">
      <c r="D130" t="s">
        <v>1416</v>
      </c>
      <c r="E130" t="s">
        <v>1464</v>
      </c>
      <c r="F130"/>
      <c r="G130"/>
      <c r="H130"/>
      <c r="I130"/>
      <c r="J130"/>
      <c r="K130"/>
      <c r="L130"/>
      <c r="M130"/>
      <c r="N130"/>
      <c r="O130" s="3076"/>
      <c r="P130" s="5"/>
      <c r="Q130" s="5"/>
      <c r="R130" s="5"/>
      <c r="S130" s="5"/>
      <c r="T130" s="5"/>
      <c r="U130" s="5"/>
      <c r="V130" s="5"/>
    </row>
    <row r="131" spans="2:22" ht="14.25">
      <c r="D131"/>
      <c r="E131" t="s">
        <v>1424</v>
      </c>
      <c r="F131"/>
      <c r="G131"/>
      <c r="H131"/>
      <c r="I131"/>
      <c r="J131"/>
      <c r="K131" t="s">
        <v>1465</v>
      </c>
      <c r="L131"/>
      <c r="M131"/>
      <c r="N131"/>
      <c r="O131"/>
      <c r="P131" s="5"/>
      <c r="Q131" s="5"/>
      <c r="R131" s="5"/>
      <c r="S131" s="5"/>
      <c r="T131" s="5"/>
      <c r="U131" s="5"/>
      <c r="V131" s="5"/>
    </row>
    <row r="132" spans="2:22" ht="13.25" customHeight="1">
      <c r="D132"/>
      <c r="E132"/>
      <c r="F132"/>
      <c r="G132"/>
      <c r="H132"/>
      <c r="I132"/>
      <c r="J132"/>
      <c r="K132"/>
      <c r="L132"/>
      <c r="M132"/>
      <c r="N132"/>
      <c r="O132"/>
      <c r="P132" s="5"/>
      <c r="Q132" s="5"/>
      <c r="R132" s="5"/>
      <c r="S132" s="5"/>
      <c r="T132" s="5"/>
      <c r="U132" s="5"/>
      <c r="V132" s="5"/>
    </row>
    <row r="133" spans="2:22" ht="13.25" customHeight="1">
      <c r="D133" s="3061" t="s">
        <v>1466</v>
      </c>
      <c r="E133" s="3062" t="s">
        <v>1467</v>
      </c>
      <c r="F133" s="3431" t="s">
        <v>1437</v>
      </c>
      <c r="G133" s="3431"/>
      <c r="H133" s="3431"/>
      <c r="I133" s="3431"/>
      <c r="J133" s="3431"/>
      <c r="K133" s="3431"/>
      <c r="L133" s="3431"/>
      <c r="M133" s="3431"/>
      <c r="N133" s="3431"/>
      <c r="O133" s="3431"/>
      <c r="P133" s="5"/>
      <c r="Q133" s="5"/>
      <c r="R133" s="5"/>
      <c r="S133" s="5"/>
      <c r="T133" s="5"/>
      <c r="U133" s="5"/>
      <c r="V133" s="5"/>
    </row>
    <row r="134" spans="2:22" ht="13.25" customHeight="1">
      <c r="D134" s="3063"/>
      <c r="E134" s="3063"/>
      <c r="F134" s="3431"/>
      <c r="G134" s="3431"/>
      <c r="H134" s="3431"/>
      <c r="I134" s="3431"/>
      <c r="J134" s="3431"/>
      <c r="K134" s="3431"/>
      <c r="L134" s="3431"/>
      <c r="M134" s="3431"/>
      <c r="N134" s="3431"/>
      <c r="O134" s="3431"/>
      <c r="P134" s="5"/>
      <c r="Q134" s="5"/>
      <c r="R134" s="5"/>
      <c r="S134" s="5"/>
      <c r="T134" s="5"/>
      <c r="U134" s="5"/>
      <c r="V134" s="5"/>
    </row>
    <row r="135" spans="2:22" ht="13.25" customHeight="1" thickBot="1">
      <c r="D135" s="3066"/>
      <c r="E135" s="3066"/>
      <c r="F135" s="3082"/>
      <c r="G135" s="3082"/>
      <c r="H135" s="3082"/>
      <c r="I135" s="3082"/>
      <c r="J135" s="3082"/>
      <c r="K135" s="3082"/>
      <c r="L135" s="3082"/>
      <c r="M135" s="3082"/>
      <c r="N135" s="3082"/>
      <c r="O135" s="3082"/>
      <c r="P135" s="5"/>
      <c r="Q135" s="5"/>
      <c r="R135" s="5"/>
      <c r="S135" s="5"/>
      <c r="T135" s="5"/>
      <c r="U135" s="5"/>
      <c r="V135" s="5"/>
    </row>
    <row r="136" spans="2:22" ht="13.25" customHeight="1">
      <c r="D136" s="3067"/>
      <c r="E136"/>
      <c r="F136"/>
      <c r="G136"/>
      <c r="H136"/>
      <c r="I136"/>
      <c r="J136"/>
      <c r="K136"/>
      <c r="L136"/>
      <c r="M136" s="3428" t="s">
        <v>1404</v>
      </c>
      <c r="N136" s="3429"/>
      <c r="O136"/>
      <c r="P136" s="5"/>
      <c r="Q136" s="5"/>
      <c r="R136" s="5"/>
      <c r="S136" s="5"/>
      <c r="T136" s="5"/>
      <c r="U136" s="5"/>
      <c r="V136" s="5"/>
    </row>
    <row r="137" spans="2:22" ht="13.25" customHeight="1">
      <c r="D137" s="3067"/>
      <c r="E137"/>
      <c r="F137"/>
      <c r="G137"/>
      <c r="H137"/>
      <c r="I137"/>
      <c r="J137"/>
      <c r="K137"/>
      <c r="L137"/>
      <c r="M137" s="3069" t="s">
        <v>1438</v>
      </c>
      <c r="N137" s="3070" t="s">
        <v>1406</v>
      </c>
      <c r="O137"/>
      <c r="P137" s="5"/>
      <c r="Q137" s="5"/>
      <c r="R137" s="5"/>
      <c r="S137" s="5"/>
      <c r="T137" s="5"/>
      <c r="U137" s="5"/>
      <c r="V137" s="5"/>
    </row>
    <row r="138" spans="2:22" ht="13.25" customHeight="1">
      <c r="D138" s="3067"/>
      <c r="E138"/>
      <c r="F138"/>
      <c r="G138"/>
      <c r="H138"/>
      <c r="I138"/>
      <c r="J138"/>
      <c r="K138"/>
      <c r="L138"/>
      <c r="M138" s="3071" t="s">
        <v>1439</v>
      </c>
      <c r="N138" s="3072" t="s">
        <v>1411</v>
      </c>
      <c r="O138"/>
      <c r="P138" s="5"/>
      <c r="Q138" s="5"/>
      <c r="R138" s="5"/>
      <c r="S138" s="5"/>
      <c r="T138" s="5"/>
      <c r="U138" s="5"/>
      <c r="V138" s="5"/>
    </row>
    <row r="139" spans="2:22" ht="13.25" customHeight="1">
      <c r="D139" t="s">
        <v>1416</v>
      </c>
      <c r="E139" t="s">
        <v>1417</v>
      </c>
      <c r="F139" t="s">
        <v>1418</v>
      </c>
      <c r="G139"/>
      <c r="H139"/>
      <c r="I139"/>
      <c r="J139"/>
      <c r="K139"/>
      <c r="L139"/>
      <c r="M139" s="3071" t="s">
        <v>1440</v>
      </c>
      <c r="N139" s="3072" t="s">
        <v>1415</v>
      </c>
      <c r="O139"/>
      <c r="P139" s="5"/>
      <c r="Q139" s="5"/>
      <c r="R139" s="5"/>
      <c r="S139" s="5"/>
      <c r="T139" s="5"/>
      <c r="U139" s="5"/>
      <c r="V139" s="5"/>
    </row>
    <row r="140" spans="2:22" ht="13.25" customHeight="1" thickBot="1">
      <c r="B140" s="397"/>
      <c r="D140"/>
      <c r="E140" t="s">
        <v>1441</v>
      </c>
      <c r="F140"/>
      <c r="G140"/>
      <c r="H140"/>
      <c r="I140"/>
      <c r="J140"/>
      <c r="K140" t="s">
        <v>1468</v>
      </c>
      <c r="L140"/>
      <c r="M140" s="3073" t="s">
        <v>1442</v>
      </c>
      <c r="N140" s="3074" t="s">
        <v>1420</v>
      </c>
      <c r="O140"/>
      <c r="P140" s="5"/>
      <c r="Q140" s="5"/>
      <c r="R140" s="5"/>
      <c r="S140" s="5"/>
      <c r="T140" s="5"/>
      <c r="U140" s="5"/>
      <c r="V140" s="5"/>
    </row>
    <row r="141" spans="2:22" ht="13.25" customHeight="1">
      <c r="D141"/>
      <c r="E141"/>
      <c r="F141"/>
      <c r="G141"/>
      <c r="H141"/>
      <c r="I141"/>
      <c r="J141"/>
      <c r="K141"/>
      <c r="L141"/>
      <c r="M141"/>
      <c r="N141"/>
      <c r="O141"/>
      <c r="P141" s="5"/>
      <c r="Q141" s="5"/>
      <c r="R141" s="5"/>
      <c r="S141" s="5"/>
      <c r="T141" s="5"/>
      <c r="U141" s="5"/>
      <c r="V141" s="5"/>
    </row>
    <row r="142" spans="2:22" ht="13.25" customHeight="1">
      <c r="D142" s="3061" t="s">
        <v>1469</v>
      </c>
      <c r="E142" s="3062" t="s">
        <v>1470</v>
      </c>
      <c r="F142" s="3063" t="s">
        <v>1471</v>
      </c>
      <c r="G142" s="1"/>
      <c r="H142" s="1"/>
      <c r="I142" s="1"/>
      <c r="J142" s="1"/>
      <c r="K142" s="1"/>
      <c r="L142" s="1"/>
      <c r="M142" s="1"/>
      <c r="N142" s="1"/>
      <c r="O142" s="1"/>
      <c r="P142" s="5"/>
      <c r="Q142" s="5"/>
      <c r="R142" s="5"/>
      <c r="S142" s="5"/>
      <c r="T142" s="5"/>
      <c r="U142" s="5"/>
      <c r="V142" s="5"/>
    </row>
    <row r="143" spans="2:22" ht="13.25" customHeight="1" thickBot="1">
      <c r="B143" s="397"/>
      <c r="D143" s="3064"/>
      <c r="E143" s="3065"/>
      <c r="F143" s="3066"/>
      <c r="G143"/>
      <c r="H143"/>
      <c r="I143"/>
      <c r="J143"/>
      <c r="K143"/>
      <c r="L143"/>
      <c r="M143"/>
      <c r="N143"/>
      <c r="O143"/>
      <c r="P143" s="5"/>
      <c r="Q143" s="5"/>
      <c r="R143" s="5"/>
      <c r="S143" s="5"/>
      <c r="T143" s="5"/>
      <c r="U143" s="5"/>
      <c r="V143" s="5"/>
    </row>
    <row r="144" spans="2:22" ht="13.25" customHeight="1">
      <c r="B144" s="397"/>
      <c r="D144" s="3067"/>
      <c r="E144"/>
      <c r="F144"/>
      <c r="G144"/>
      <c r="H144"/>
      <c r="I144"/>
      <c r="J144"/>
      <c r="K144"/>
      <c r="L144"/>
      <c r="M144" s="3425" t="s">
        <v>1404</v>
      </c>
      <c r="N144" s="3426"/>
      <c r="O144"/>
      <c r="P144" s="5"/>
      <c r="Q144" s="5"/>
      <c r="R144" s="5"/>
      <c r="S144" s="5"/>
      <c r="T144" s="5"/>
      <c r="U144" s="5"/>
      <c r="V144" s="5"/>
    </row>
    <row r="145" spans="2:22" ht="13.25" customHeight="1">
      <c r="B145" s="397"/>
      <c r="D145"/>
      <c r="E145"/>
      <c r="F145"/>
      <c r="G145"/>
      <c r="H145"/>
      <c r="I145"/>
      <c r="J145"/>
      <c r="K145"/>
      <c r="L145"/>
      <c r="M145" s="3069" t="s">
        <v>123</v>
      </c>
      <c r="N145" s="3070" t="s">
        <v>1472</v>
      </c>
      <c r="O145" s="3076"/>
      <c r="P145" s="5"/>
      <c r="Q145" s="5"/>
      <c r="R145" s="5"/>
      <c r="S145" s="5"/>
      <c r="T145" s="5"/>
      <c r="U145" s="5"/>
      <c r="V145" s="5"/>
    </row>
    <row r="146" spans="2:22" ht="13.25" customHeight="1">
      <c r="D146"/>
      <c r="E146"/>
      <c r="F146"/>
      <c r="G146"/>
      <c r="H146"/>
      <c r="I146"/>
      <c r="J146"/>
      <c r="K146"/>
      <c r="L146"/>
      <c r="M146" s="3071" t="s">
        <v>1473</v>
      </c>
      <c r="N146" s="3083" t="s">
        <v>1474</v>
      </c>
      <c r="O146" s="3076"/>
      <c r="P146" s="5"/>
      <c r="Q146" s="5"/>
      <c r="R146" s="5"/>
      <c r="S146" s="5"/>
      <c r="T146" s="5"/>
      <c r="U146" s="5"/>
      <c r="V146" s="5"/>
    </row>
    <row r="147" spans="2:22" ht="13.25" customHeight="1">
      <c r="B147" s="397"/>
      <c r="D147"/>
      <c r="E147"/>
      <c r="F147"/>
      <c r="G147"/>
      <c r="H147"/>
      <c r="I147"/>
      <c r="J147"/>
      <c r="K147"/>
      <c r="L147"/>
      <c r="M147" s="3071" t="s">
        <v>1475</v>
      </c>
      <c r="N147" s="3083" t="s">
        <v>1476</v>
      </c>
      <c r="O147" s="3076"/>
      <c r="P147" s="5"/>
      <c r="Q147" s="5"/>
      <c r="R147" s="5"/>
      <c r="S147" s="5"/>
      <c r="T147" s="5"/>
      <c r="U147" s="5"/>
      <c r="V147" s="5"/>
    </row>
    <row r="148" spans="2:22" ht="13.25" customHeight="1" thickBot="1">
      <c r="B148" s="397"/>
      <c r="D148"/>
      <c r="E148"/>
      <c r="F148"/>
      <c r="G148"/>
      <c r="H148"/>
      <c r="I148"/>
      <c r="J148"/>
      <c r="K148"/>
      <c r="L148"/>
      <c r="M148" s="3073" t="s">
        <v>1477</v>
      </c>
      <c r="N148" s="3084" t="s">
        <v>1478</v>
      </c>
      <c r="O148" s="3076"/>
      <c r="P148" s="5"/>
      <c r="Q148" s="5"/>
      <c r="R148" s="5"/>
      <c r="S148" s="5"/>
      <c r="T148" s="5"/>
      <c r="U148" s="5"/>
      <c r="V148" s="5"/>
    </row>
    <row r="149" spans="2:22" ht="13.25" customHeight="1">
      <c r="B149" s="397"/>
      <c r="D149"/>
      <c r="E149"/>
      <c r="F149"/>
      <c r="G149"/>
      <c r="H149"/>
      <c r="I149"/>
      <c r="J149"/>
      <c r="K149"/>
      <c r="L149"/>
      <c r="M149"/>
      <c r="N149"/>
      <c r="O149" s="3076"/>
      <c r="P149" s="5"/>
      <c r="Q149" s="5"/>
      <c r="R149" s="5"/>
      <c r="S149" s="5"/>
      <c r="T149" s="5"/>
      <c r="U149" s="5"/>
      <c r="V149" s="5"/>
    </row>
    <row r="150" spans="2:22" ht="13.25" customHeight="1">
      <c r="D150"/>
      <c r="E150"/>
      <c r="F150"/>
      <c r="G150"/>
      <c r="H150"/>
      <c r="I150"/>
      <c r="J150"/>
      <c r="K150"/>
      <c r="L150"/>
      <c r="M150"/>
      <c r="N150"/>
      <c r="O150" s="3076"/>
      <c r="P150" s="5"/>
      <c r="Q150" s="5"/>
      <c r="R150" s="5"/>
      <c r="S150" s="5"/>
      <c r="T150" s="5"/>
      <c r="U150" s="5"/>
      <c r="V150" s="5"/>
    </row>
    <row r="151" spans="2:22" ht="13.25" customHeight="1">
      <c r="D151"/>
      <c r="E151"/>
      <c r="F151"/>
      <c r="G151"/>
      <c r="H151"/>
      <c r="I151"/>
      <c r="J151"/>
      <c r="K151"/>
      <c r="L151"/>
      <c r="M151"/>
      <c r="N151"/>
      <c r="O151" s="3076"/>
      <c r="P151" s="5"/>
      <c r="Q151" s="5"/>
      <c r="R151" s="5"/>
      <c r="S151" s="5"/>
      <c r="T151" s="5"/>
      <c r="U151" s="5"/>
      <c r="V151" s="5"/>
    </row>
    <row r="152" spans="2:22" ht="13.25" customHeight="1">
      <c r="D152"/>
      <c r="E152"/>
      <c r="F152"/>
      <c r="G152"/>
      <c r="H152"/>
      <c r="I152"/>
      <c r="J152"/>
      <c r="K152"/>
      <c r="L152"/>
      <c r="M152"/>
      <c r="N152"/>
      <c r="O152" s="3076"/>
      <c r="P152" s="5"/>
      <c r="Q152" s="5"/>
      <c r="R152" s="5"/>
      <c r="S152" s="5"/>
      <c r="T152" s="5"/>
      <c r="U152" s="5"/>
      <c r="V152" s="5"/>
    </row>
    <row r="153" spans="2:22" ht="15">
      <c r="D153" t="s">
        <v>1479</v>
      </c>
      <c r="E153" t="s">
        <v>1480</v>
      </c>
      <c r="F153"/>
      <c r="G153"/>
      <c r="H153"/>
      <c r="I153"/>
      <c r="J153"/>
      <c r="K153"/>
      <c r="L153"/>
      <c r="M153"/>
      <c r="N153"/>
      <c r="O153"/>
      <c r="P153" s="5"/>
      <c r="Q153" s="5"/>
      <c r="R153" s="5"/>
      <c r="S153" s="5"/>
      <c r="T153" s="5"/>
      <c r="U153" s="5"/>
      <c r="V153" s="5"/>
    </row>
    <row r="154" spans="2:22" ht="13.25" customHeight="1">
      <c r="D154"/>
      <c r="E154" t="s">
        <v>1481</v>
      </c>
      <c r="F154" t="s">
        <v>1482</v>
      </c>
      <c r="G154"/>
      <c r="H154"/>
      <c r="I154"/>
      <c r="J154"/>
      <c r="K154" t="s">
        <v>1483</v>
      </c>
      <c r="L154"/>
      <c r="M154"/>
      <c r="N154"/>
      <c r="O154"/>
      <c r="P154" s="5"/>
      <c r="Q154" s="5"/>
      <c r="R154" s="5"/>
      <c r="S154" s="5"/>
      <c r="T154" s="5"/>
      <c r="U154" s="5"/>
      <c r="V154" s="5"/>
    </row>
    <row r="155" spans="2:22" ht="13.25" customHeight="1">
      <c r="D155"/>
      <c r="E155"/>
      <c r="F155"/>
      <c r="G155"/>
      <c r="H155"/>
      <c r="I155"/>
      <c r="J155"/>
      <c r="K155"/>
      <c r="L155"/>
      <c r="M155"/>
      <c r="N155"/>
      <c r="O155"/>
      <c r="P155" s="5"/>
      <c r="Q155" s="5"/>
      <c r="R155" s="5"/>
      <c r="S155" s="5"/>
      <c r="T155" s="5"/>
      <c r="U155" s="5"/>
      <c r="V155" s="5"/>
    </row>
    <row r="156" spans="2:22" ht="13.25" customHeight="1">
      <c r="D156" s="3061" t="s">
        <v>1484</v>
      </c>
      <c r="E156" s="3062" t="s">
        <v>1485</v>
      </c>
      <c r="F156" s="3085" t="s">
        <v>1486</v>
      </c>
      <c r="G156" s="3063"/>
      <c r="H156" s="1"/>
      <c r="I156" s="1"/>
      <c r="J156" s="1"/>
      <c r="K156" s="1"/>
      <c r="L156" s="1"/>
      <c r="M156" s="1"/>
      <c r="N156" s="1"/>
      <c r="O156" s="1"/>
      <c r="P156" s="5"/>
      <c r="Q156" s="5"/>
      <c r="R156" s="5"/>
      <c r="S156" s="5"/>
      <c r="T156" s="5"/>
      <c r="U156" s="5"/>
      <c r="V156" s="5"/>
    </row>
    <row r="157" spans="2:22" ht="13.25" customHeight="1" thickBot="1">
      <c r="D157" s="3066"/>
      <c r="E157" s="3066"/>
      <c r="F157" s="3086"/>
      <c r="G157" s="3066"/>
      <c r="H157"/>
      <c r="I157"/>
      <c r="J157"/>
      <c r="K157"/>
      <c r="L157"/>
      <c r="M157"/>
      <c r="N157"/>
      <c r="O157"/>
      <c r="P157" s="5"/>
      <c r="Q157" s="5"/>
      <c r="R157" s="5"/>
      <c r="S157" s="5"/>
      <c r="T157" s="5"/>
      <c r="U157" s="5"/>
      <c r="V157" s="5"/>
    </row>
    <row r="158" spans="2:22" ht="13.25" customHeight="1">
      <c r="D158" s="3067"/>
      <c r="E158"/>
      <c r="F158"/>
      <c r="G158"/>
      <c r="H158"/>
      <c r="I158"/>
      <c r="J158"/>
      <c r="K158"/>
      <c r="L158"/>
      <c r="M158" s="3425" t="s">
        <v>1404</v>
      </c>
      <c r="N158" s="3426"/>
      <c r="O158"/>
      <c r="P158" s="5"/>
      <c r="Q158" s="5"/>
      <c r="R158" s="5"/>
      <c r="S158" s="5"/>
      <c r="T158" s="5"/>
      <c r="U158" s="5"/>
      <c r="V158" s="5"/>
    </row>
    <row r="159" spans="2:22" ht="13.25" customHeight="1">
      <c r="D159"/>
      <c r="E159"/>
      <c r="F159"/>
      <c r="G159"/>
      <c r="H159"/>
      <c r="I159"/>
      <c r="J159"/>
      <c r="K159"/>
      <c r="L159"/>
      <c r="M159" s="3069" t="s">
        <v>123</v>
      </c>
      <c r="N159" s="3070" t="s">
        <v>1472</v>
      </c>
      <c r="O159"/>
      <c r="P159" s="5"/>
      <c r="Q159" s="5"/>
      <c r="R159" s="5"/>
      <c r="S159" s="5"/>
      <c r="T159" s="5"/>
      <c r="U159" s="5"/>
      <c r="V159" s="5"/>
    </row>
    <row r="160" spans="2:22" ht="13.25" customHeight="1">
      <c r="D160"/>
      <c r="E160"/>
      <c r="F160"/>
      <c r="G160"/>
      <c r="H160"/>
      <c r="I160"/>
      <c r="J160"/>
      <c r="K160"/>
      <c r="L160"/>
      <c r="M160" s="3071" t="s">
        <v>1487</v>
      </c>
      <c r="N160" s="3083" t="s">
        <v>1488</v>
      </c>
      <c r="O160"/>
      <c r="P160" s="5"/>
      <c r="Q160" s="5"/>
      <c r="R160" s="5"/>
      <c r="S160" s="5"/>
      <c r="T160" s="5"/>
      <c r="U160" s="5"/>
      <c r="V160" s="5"/>
    </row>
    <row r="161" spans="4:22" ht="13.25" customHeight="1">
      <c r="D161"/>
      <c r="E161"/>
      <c r="F161"/>
      <c r="G161"/>
      <c r="H161"/>
      <c r="I161"/>
      <c r="J161"/>
      <c r="K161"/>
      <c r="L161"/>
      <c r="M161" s="3071" t="s">
        <v>1475</v>
      </c>
      <c r="N161" s="3083" t="s">
        <v>1476</v>
      </c>
      <c r="O161"/>
      <c r="P161" s="5"/>
      <c r="Q161" s="5"/>
      <c r="R161" s="5"/>
      <c r="S161" s="5"/>
      <c r="T161" s="5"/>
      <c r="U161" s="5"/>
      <c r="V161" s="5"/>
    </row>
    <row r="162" spans="4:22" ht="13.25" customHeight="1" thickBot="1">
      <c r="D162"/>
      <c r="E162"/>
      <c r="F162"/>
      <c r="G162"/>
      <c r="H162"/>
      <c r="I162"/>
      <c r="J162"/>
      <c r="K162"/>
      <c r="L162"/>
      <c r="M162" s="3073" t="s">
        <v>1477</v>
      </c>
      <c r="N162" s="3084" t="s">
        <v>1478</v>
      </c>
      <c r="O162"/>
      <c r="P162" s="5"/>
      <c r="Q162" s="5"/>
      <c r="R162" s="5"/>
      <c r="S162" s="5"/>
      <c r="T162" s="5"/>
      <c r="U162" s="5"/>
      <c r="V162" s="5"/>
    </row>
    <row r="163" spans="4:22" ht="13.25" customHeight="1">
      <c r="D163"/>
      <c r="E163"/>
      <c r="F163"/>
      <c r="G163"/>
      <c r="H163"/>
      <c r="I163"/>
      <c r="J163"/>
      <c r="K163"/>
      <c r="L163"/>
      <c r="M163" s="3087"/>
      <c r="N163" s="3088"/>
      <c r="O163"/>
      <c r="P163" s="5"/>
      <c r="Q163" s="5"/>
      <c r="R163" s="5"/>
      <c r="S163" s="5"/>
      <c r="T163" s="5"/>
      <c r="U163" s="5"/>
      <c r="V163" s="5"/>
    </row>
    <row r="164" spans="4:22" ht="13.25" customHeight="1">
      <c r="D164"/>
      <c r="E164"/>
      <c r="F164"/>
      <c r="G164"/>
      <c r="H164"/>
      <c r="I164"/>
      <c r="J164"/>
      <c r="K164"/>
      <c r="L164"/>
      <c r="M164"/>
      <c r="N164"/>
      <c r="O164"/>
      <c r="P164" s="5"/>
      <c r="Q164" s="5"/>
      <c r="R164" s="5"/>
      <c r="S164" s="5"/>
      <c r="T164" s="5"/>
      <c r="U164" s="5"/>
      <c r="V164" s="5"/>
    </row>
    <row r="165" spans="4:22" ht="13.25" customHeight="1">
      <c r="D165"/>
      <c r="E165"/>
      <c r="F165"/>
      <c r="G165"/>
      <c r="H165"/>
      <c r="I165"/>
      <c r="J165"/>
      <c r="K165"/>
      <c r="L165"/>
      <c r="M165"/>
      <c r="N165"/>
      <c r="O165"/>
      <c r="P165" s="5"/>
      <c r="Q165" s="5"/>
      <c r="R165" s="5"/>
      <c r="S165" s="5"/>
      <c r="T165" s="5"/>
      <c r="U165" s="5"/>
      <c r="V165" s="5"/>
    </row>
    <row r="166" spans="4:22" ht="13.25" customHeight="1">
      <c r="D166"/>
      <c r="E166"/>
      <c r="F166"/>
      <c r="G166"/>
      <c r="H166"/>
      <c r="I166"/>
      <c r="J166"/>
      <c r="K166"/>
      <c r="L166"/>
      <c r="M166"/>
      <c r="N166"/>
      <c r="O166"/>
      <c r="P166" s="5"/>
      <c r="Q166" s="5"/>
      <c r="R166" s="5"/>
      <c r="S166" s="5"/>
      <c r="T166" s="5"/>
      <c r="U166" s="5"/>
      <c r="V166" s="5"/>
    </row>
    <row r="167" spans="4:22" ht="15">
      <c r="D167" t="s">
        <v>1479</v>
      </c>
      <c r="E167" t="s">
        <v>1480</v>
      </c>
      <c r="F167"/>
      <c r="G167"/>
      <c r="H167"/>
      <c r="I167"/>
      <c r="J167"/>
      <c r="K167"/>
      <c r="L167"/>
      <c r="M167"/>
      <c r="N167"/>
      <c r="O167"/>
      <c r="P167" s="5"/>
      <c r="Q167" s="5"/>
      <c r="R167" s="5"/>
      <c r="S167" s="5"/>
      <c r="T167" s="5"/>
      <c r="U167" s="5"/>
      <c r="V167" s="5"/>
    </row>
    <row r="168" spans="4:22" ht="13.25" customHeight="1">
      <c r="D168"/>
      <c r="E168" t="s">
        <v>1481</v>
      </c>
      <c r="F168" t="s">
        <v>1482</v>
      </c>
      <c r="G168"/>
      <c r="H168"/>
      <c r="I168"/>
      <c r="J168"/>
      <c r="K168" t="s">
        <v>1489</v>
      </c>
      <c r="L168"/>
      <c r="M168"/>
      <c r="N168"/>
      <c r="O168"/>
      <c r="P168" s="5"/>
      <c r="Q168" s="5"/>
      <c r="R168" s="5"/>
      <c r="S168" s="5"/>
      <c r="T168" s="5"/>
      <c r="U168" s="5"/>
      <c r="V168" s="5"/>
    </row>
    <row r="169" spans="4:22" ht="13.25" customHeight="1">
      <c r="D169"/>
      <c r="E169"/>
      <c r="F169"/>
      <c r="G169"/>
      <c r="H169"/>
      <c r="I169"/>
      <c r="J169"/>
      <c r="K169"/>
      <c r="L169"/>
      <c r="M169"/>
      <c r="N169"/>
      <c r="O169"/>
      <c r="P169" s="5"/>
      <c r="Q169" s="5"/>
      <c r="R169" s="5"/>
      <c r="S169" s="5"/>
      <c r="T169" s="5"/>
      <c r="U169" s="5"/>
      <c r="V169" s="5"/>
    </row>
    <row r="170" spans="4:22" ht="17.649999999999999">
      <c r="D170" s="3061" t="s">
        <v>221</v>
      </c>
      <c r="E170" s="3062" t="s">
        <v>1470</v>
      </c>
      <c r="F170" s="3063" t="s">
        <v>1490</v>
      </c>
      <c r="G170" s="3063"/>
      <c r="H170" s="1"/>
      <c r="I170" s="1"/>
      <c r="J170" s="1"/>
      <c r="K170" s="1"/>
      <c r="L170" s="1"/>
      <c r="M170" s="1"/>
      <c r="N170" s="1"/>
      <c r="O170" s="1"/>
      <c r="P170" s="5"/>
      <c r="Q170" s="5"/>
      <c r="R170" s="5"/>
      <c r="S170" s="5"/>
      <c r="T170" s="5"/>
      <c r="U170" s="5"/>
      <c r="V170" s="5"/>
    </row>
    <row r="171" spans="4:22" ht="13.25" customHeight="1" thickBot="1">
      <c r="D171" s="3066"/>
      <c r="E171" s="3066"/>
      <c r="F171" s="3066"/>
      <c r="G171" s="3066"/>
      <c r="H171"/>
      <c r="I171"/>
      <c r="J171"/>
      <c r="K171"/>
      <c r="L171"/>
      <c r="M171"/>
      <c r="N171"/>
      <c r="O171"/>
      <c r="P171" s="5"/>
      <c r="Q171" s="5"/>
      <c r="R171" s="5"/>
      <c r="S171" s="5"/>
      <c r="T171" s="5"/>
      <c r="U171" s="5"/>
      <c r="V171" s="5"/>
    </row>
    <row r="172" spans="4:22" ht="13.25" customHeight="1">
      <c r="D172" s="3067"/>
      <c r="E172"/>
      <c r="F172"/>
      <c r="G172"/>
      <c r="H172"/>
      <c r="I172"/>
      <c r="J172"/>
      <c r="K172"/>
      <c r="L172"/>
      <c r="M172" s="3425" t="s">
        <v>1404</v>
      </c>
      <c r="N172" s="3426"/>
      <c r="O172" s="3076"/>
      <c r="P172" s="5"/>
      <c r="Q172" s="5"/>
      <c r="R172" s="5"/>
      <c r="S172" s="5"/>
      <c r="T172" s="5"/>
      <c r="U172" s="5"/>
      <c r="V172" s="5"/>
    </row>
    <row r="173" spans="4:22" ht="13.25" customHeight="1">
      <c r="D173" s="3067"/>
      <c r="E173"/>
      <c r="F173"/>
      <c r="G173"/>
      <c r="H173"/>
      <c r="I173"/>
      <c r="J173"/>
      <c r="K173"/>
      <c r="L173"/>
      <c r="M173" s="3069" t="s">
        <v>123</v>
      </c>
      <c r="N173" s="3070" t="s">
        <v>1472</v>
      </c>
      <c r="O173" s="3076"/>
      <c r="P173" s="5"/>
      <c r="Q173" s="5"/>
      <c r="R173" s="5"/>
      <c r="S173" s="5"/>
      <c r="T173" s="5"/>
      <c r="U173" s="5"/>
      <c r="V173" s="5"/>
    </row>
    <row r="174" spans="4:22" ht="13.25" customHeight="1">
      <c r="D174" s="3067"/>
      <c r="E174"/>
      <c r="F174"/>
      <c r="G174"/>
      <c r="H174"/>
      <c r="I174"/>
      <c r="J174"/>
      <c r="K174"/>
      <c r="L174"/>
      <c r="M174" s="3071" t="s">
        <v>1473</v>
      </c>
      <c r="N174" s="3083" t="s">
        <v>1474</v>
      </c>
      <c r="O174" s="3076"/>
      <c r="P174" s="5"/>
      <c r="Q174" s="5"/>
      <c r="R174" s="5"/>
      <c r="S174" s="5"/>
      <c r="T174" s="5"/>
      <c r="U174" s="5"/>
      <c r="V174" s="5"/>
    </row>
    <row r="175" spans="4:22" ht="13.25" customHeight="1">
      <c r="D175" t="s">
        <v>1479</v>
      </c>
      <c r="E175" t="s">
        <v>1481</v>
      </c>
      <c r="F175" t="s">
        <v>1482</v>
      </c>
      <c r="G175"/>
      <c r="H175"/>
      <c r="I175"/>
      <c r="J175"/>
      <c r="K175"/>
      <c r="L175"/>
      <c r="M175" s="3071" t="s">
        <v>1475</v>
      </c>
      <c r="N175" s="3083" t="s">
        <v>1476</v>
      </c>
      <c r="O175" s="3076"/>
      <c r="P175" s="5"/>
      <c r="Q175" s="5"/>
      <c r="R175" s="5"/>
      <c r="S175" s="5"/>
      <c r="T175" s="5"/>
      <c r="U175" s="5"/>
      <c r="V175" s="5"/>
    </row>
    <row r="176" spans="4:22" ht="13.25" customHeight="1" thickBot="1">
      <c r="D176"/>
      <c r="E176"/>
      <c r="F176"/>
      <c r="G176"/>
      <c r="H176"/>
      <c r="I176"/>
      <c r="J176"/>
      <c r="K176"/>
      <c r="L176"/>
      <c r="M176" s="3073" t="s">
        <v>1477</v>
      </c>
      <c r="N176" s="3084" t="s">
        <v>1478</v>
      </c>
      <c r="O176" s="3076"/>
      <c r="P176" s="5"/>
      <c r="Q176" s="5"/>
      <c r="R176" s="5"/>
      <c r="S176" s="5"/>
      <c r="T176" s="5"/>
      <c r="U176" s="5"/>
      <c r="V176" s="5"/>
    </row>
    <row r="177" spans="2:22">
      <c r="D177"/>
      <c r="E177"/>
      <c r="F177"/>
      <c r="G177"/>
      <c r="H177"/>
      <c r="I177"/>
      <c r="J177"/>
      <c r="K177"/>
      <c r="L177"/>
      <c r="M177"/>
      <c r="N177"/>
      <c r="O177" s="3076"/>
      <c r="P177" s="5"/>
      <c r="Q177" s="5"/>
      <c r="R177" s="5"/>
      <c r="S177" s="5"/>
      <c r="T177" s="5"/>
      <c r="U177" s="5"/>
      <c r="V177" s="5"/>
    </row>
    <row r="178" spans="2:22" ht="13.25" customHeight="1">
      <c r="D178"/>
      <c r="E178"/>
      <c r="F178"/>
      <c r="G178"/>
      <c r="H178"/>
      <c r="I178"/>
      <c r="J178"/>
      <c r="K178" t="s">
        <v>1491</v>
      </c>
      <c r="L178"/>
      <c r="M178" s="3076"/>
      <c r="N178" s="3076"/>
      <c r="O178" s="3076"/>
      <c r="P178" s="5"/>
      <c r="Q178" s="5"/>
      <c r="R178" s="5"/>
      <c r="S178" s="5"/>
      <c r="T178" s="5"/>
      <c r="U178" s="5"/>
      <c r="V178" s="5"/>
    </row>
    <row r="179" spans="2:22" ht="13.25" customHeight="1">
      <c r="D179"/>
      <c r="E179"/>
      <c r="F179"/>
      <c r="G179"/>
      <c r="H179"/>
      <c r="I179"/>
      <c r="J179"/>
      <c r="K179"/>
      <c r="L179"/>
      <c r="M179" s="3076"/>
      <c r="N179" s="3076"/>
      <c r="O179"/>
      <c r="P179" s="5"/>
      <c r="Q179" s="5"/>
      <c r="R179" s="5"/>
      <c r="S179" s="5"/>
      <c r="T179" s="5"/>
      <c r="U179" s="5"/>
      <c r="V179" s="5"/>
    </row>
    <row r="180" spans="2:22" ht="13.25" customHeight="1">
      <c r="D180"/>
      <c r="E180"/>
      <c r="F180"/>
      <c r="G180"/>
      <c r="H180"/>
      <c r="I180"/>
      <c r="J180"/>
      <c r="K180"/>
      <c r="L180"/>
      <c r="M180" s="3076"/>
      <c r="N180" s="3076"/>
      <c r="O180"/>
      <c r="P180" s="5"/>
      <c r="Q180" s="5"/>
      <c r="R180" s="5"/>
      <c r="S180" s="5"/>
      <c r="T180" s="5"/>
      <c r="U180" s="5"/>
      <c r="V180" s="5"/>
    </row>
    <row r="181" spans="2:22" ht="17.649999999999999">
      <c r="D181" s="3061" t="s">
        <v>227</v>
      </c>
      <c r="E181" s="3062" t="s">
        <v>1485</v>
      </c>
      <c r="F181" s="3085" t="s">
        <v>1492</v>
      </c>
      <c r="G181" s="3063"/>
      <c r="H181" s="1"/>
      <c r="I181" s="1"/>
      <c r="J181" s="1"/>
      <c r="K181" s="1"/>
      <c r="L181" s="1"/>
      <c r="M181" s="1"/>
      <c r="N181" s="1"/>
      <c r="O181" s="1"/>
      <c r="P181" s="5"/>
      <c r="Q181" s="5"/>
      <c r="R181" s="5"/>
      <c r="S181" s="5"/>
      <c r="T181" s="5"/>
      <c r="U181" s="5"/>
      <c r="V181" s="5"/>
    </row>
    <row r="182" spans="2:22" ht="13.25" customHeight="1" thickBot="1">
      <c r="D182" s="3066"/>
      <c r="E182" s="3066"/>
      <c r="F182" s="3086"/>
      <c r="G182" s="3066"/>
      <c r="H182"/>
      <c r="I182"/>
      <c r="J182"/>
      <c r="K182"/>
      <c r="L182"/>
      <c r="M182"/>
      <c r="N182"/>
      <c r="O182"/>
      <c r="P182" s="5"/>
      <c r="Q182" s="5"/>
      <c r="R182" s="5"/>
      <c r="S182" s="5"/>
      <c r="T182" s="5"/>
      <c r="U182" s="5"/>
      <c r="V182" s="5"/>
    </row>
    <row r="183" spans="2:22" ht="13.25" customHeight="1">
      <c r="D183" s="3067"/>
      <c r="E183"/>
      <c r="F183"/>
      <c r="G183"/>
      <c r="H183"/>
      <c r="I183"/>
      <c r="J183"/>
      <c r="K183"/>
      <c r="L183"/>
      <c r="M183" s="3425" t="s">
        <v>1404</v>
      </c>
      <c r="N183" s="3426"/>
      <c r="O183" s="3076"/>
      <c r="P183" s="5"/>
      <c r="Q183" s="5"/>
      <c r="R183" s="5"/>
      <c r="S183" s="5"/>
      <c r="T183" s="5"/>
      <c r="U183" s="5"/>
      <c r="V183" s="5"/>
    </row>
    <row r="184" spans="2:22" ht="13.25" customHeight="1">
      <c r="B184" s="397"/>
      <c r="D184" s="3067"/>
      <c r="E184"/>
      <c r="F184"/>
      <c r="G184"/>
      <c r="H184"/>
      <c r="I184"/>
      <c r="J184"/>
      <c r="K184"/>
      <c r="L184"/>
      <c r="M184" s="3069" t="s">
        <v>123</v>
      </c>
      <c r="N184" s="3070" t="s">
        <v>1472</v>
      </c>
      <c r="O184" s="3076"/>
      <c r="P184" s="5"/>
      <c r="Q184" s="5"/>
      <c r="R184" s="5"/>
      <c r="S184" s="5"/>
      <c r="T184" s="5"/>
      <c r="U184" s="5"/>
      <c r="V184" s="5"/>
    </row>
    <row r="185" spans="2:22" ht="13.25" customHeight="1">
      <c r="B185" s="397"/>
      <c r="D185" s="3067"/>
      <c r="E185"/>
      <c r="F185"/>
      <c r="G185"/>
      <c r="H185"/>
      <c r="I185"/>
      <c r="J185"/>
      <c r="K185"/>
      <c r="L185"/>
      <c r="M185" s="3071" t="s">
        <v>1493</v>
      </c>
      <c r="N185" s="3083" t="s">
        <v>1474</v>
      </c>
      <c r="O185" s="3076"/>
      <c r="P185" s="5"/>
      <c r="Q185" s="5"/>
      <c r="R185" s="5"/>
      <c r="S185" s="5"/>
      <c r="T185" s="5"/>
      <c r="U185" s="5"/>
      <c r="V185" s="5"/>
    </row>
    <row r="186" spans="2:22" ht="13.25" customHeight="1">
      <c r="B186" s="397"/>
      <c r="D186" t="s">
        <v>1479</v>
      </c>
      <c r="E186" t="s">
        <v>1481</v>
      </c>
      <c r="F186" t="s">
        <v>1482</v>
      </c>
      <c r="G186"/>
      <c r="H186"/>
      <c r="I186"/>
      <c r="J186"/>
      <c r="K186"/>
      <c r="L186"/>
      <c r="M186" s="3071" t="s">
        <v>1494</v>
      </c>
      <c r="N186" s="3083" t="s">
        <v>1476</v>
      </c>
      <c r="O186" s="3076"/>
      <c r="P186" s="5"/>
      <c r="Q186" s="5"/>
      <c r="R186" s="5"/>
      <c r="S186" s="5"/>
      <c r="T186" s="5"/>
      <c r="U186" s="5"/>
      <c r="V186" s="5"/>
    </row>
    <row r="187" spans="2:22" ht="13.25" customHeight="1" thickBot="1">
      <c r="B187" s="397"/>
      <c r="D187"/>
      <c r="E187"/>
      <c r="F187"/>
      <c r="G187"/>
      <c r="H187"/>
      <c r="I187"/>
      <c r="J187"/>
      <c r="K187"/>
      <c r="L187"/>
      <c r="M187" s="3073" t="s">
        <v>1477</v>
      </c>
      <c r="N187" s="3084" t="s">
        <v>1478</v>
      </c>
      <c r="O187" s="3076"/>
      <c r="P187" s="5"/>
      <c r="Q187" s="5"/>
      <c r="R187" s="5"/>
      <c r="S187" s="5"/>
      <c r="T187" s="5"/>
      <c r="U187" s="5"/>
      <c r="V187" s="5"/>
    </row>
    <row r="188" spans="2:22" ht="13.25" customHeight="1">
      <c r="D188"/>
      <c r="E188"/>
      <c r="F188"/>
      <c r="G188"/>
      <c r="H188"/>
      <c r="I188"/>
      <c r="J188"/>
      <c r="K188"/>
      <c r="L188"/>
      <c r="M188" s="3087"/>
      <c r="N188" s="3088"/>
      <c r="O188" s="3076"/>
      <c r="P188" s="5"/>
      <c r="Q188" s="5"/>
      <c r="R188" s="5"/>
      <c r="S188" s="5"/>
      <c r="T188" s="5"/>
      <c r="U188" s="5"/>
      <c r="V188" s="5"/>
    </row>
    <row r="189" spans="2:22">
      <c r="B189" s="397"/>
      <c r="D189"/>
      <c r="E189"/>
      <c r="F189"/>
      <c r="G189"/>
      <c r="H189"/>
      <c r="I189"/>
      <c r="J189"/>
      <c r="K189" s="3076"/>
      <c r="L189"/>
      <c r="M189" s="3076"/>
      <c r="N189" s="3076"/>
      <c r="O189" s="3076"/>
      <c r="P189" s="5"/>
      <c r="Q189" s="5"/>
      <c r="R189" s="5"/>
      <c r="S189" s="5"/>
      <c r="T189" s="5"/>
      <c r="U189" s="5"/>
      <c r="V189" s="5"/>
    </row>
    <row r="190" spans="2:22">
      <c r="D190"/>
      <c r="E190"/>
      <c r="F190"/>
      <c r="G190"/>
      <c r="H190"/>
      <c r="I190"/>
      <c r="J190"/>
      <c r="K190" s="3076"/>
      <c r="L190"/>
      <c r="M190" s="3076"/>
      <c r="N190" s="3076"/>
      <c r="O190" s="3076"/>
      <c r="P190" s="5"/>
      <c r="Q190" s="5"/>
      <c r="R190" s="5"/>
      <c r="S190" s="5"/>
      <c r="T190" s="5"/>
      <c r="U190" s="5"/>
      <c r="V190" s="5"/>
    </row>
    <row r="191" spans="2:22">
      <c r="D191"/>
      <c r="E191"/>
      <c r="F191"/>
      <c r="G191"/>
      <c r="H191"/>
      <c r="I191"/>
      <c r="J191"/>
      <c r="K191" t="s">
        <v>1495</v>
      </c>
      <c r="L191"/>
      <c r="M191"/>
      <c r="N191"/>
      <c r="O191"/>
      <c r="P191" s="5"/>
      <c r="Q191" s="5"/>
      <c r="R191" s="5"/>
      <c r="S191" s="5"/>
      <c r="T191" s="5"/>
      <c r="U191" s="5"/>
      <c r="V191" s="5"/>
    </row>
    <row r="192" spans="2:22" ht="13.25" customHeight="1">
      <c r="D192"/>
      <c r="E192"/>
      <c r="F192"/>
      <c r="G192"/>
      <c r="H192"/>
      <c r="I192"/>
      <c r="J192"/>
      <c r="K192"/>
      <c r="L192"/>
      <c r="M192"/>
      <c r="N192"/>
      <c r="O192"/>
      <c r="P192" s="5"/>
      <c r="Q192" s="5"/>
      <c r="R192" s="5"/>
      <c r="S192" s="5"/>
      <c r="T192" s="5"/>
      <c r="U192" s="5"/>
      <c r="V192" s="5"/>
    </row>
    <row r="193" spans="2:22" ht="13.25" customHeight="1">
      <c r="B193" s="397"/>
      <c r="D193" s="3061" t="s">
        <v>1496</v>
      </c>
      <c r="E193" s="3062" t="s">
        <v>1497</v>
      </c>
      <c r="F193" s="3431" t="s">
        <v>1498</v>
      </c>
      <c r="G193" s="3431"/>
      <c r="H193" s="3431"/>
      <c r="I193" s="3431"/>
      <c r="J193" s="3431"/>
      <c r="K193" s="3431"/>
      <c r="L193" s="3431"/>
      <c r="M193" s="3431"/>
      <c r="N193" s="3431"/>
      <c r="O193" s="3431"/>
      <c r="P193" s="5"/>
      <c r="Q193" s="5"/>
      <c r="R193" s="5"/>
      <c r="S193" s="5"/>
      <c r="T193" s="5"/>
      <c r="U193" s="5"/>
      <c r="V193" s="5"/>
    </row>
    <row r="194" spans="2:22" ht="13.25" customHeight="1">
      <c r="B194" s="397"/>
      <c r="D194" s="862"/>
      <c r="E194" s="862"/>
      <c r="F194" s="3431"/>
      <c r="G194" s="3431"/>
      <c r="H194" s="3431"/>
      <c r="I194" s="3431"/>
      <c r="J194" s="3431"/>
      <c r="K194" s="3431"/>
      <c r="L194" s="3431"/>
      <c r="M194" s="3431"/>
      <c r="N194" s="3431"/>
      <c r="O194" s="3431"/>
      <c r="P194" s="5"/>
      <c r="Q194" s="5"/>
      <c r="R194" s="5"/>
      <c r="S194" s="5"/>
      <c r="T194" s="5"/>
      <c r="U194" s="5"/>
      <c r="V194" s="5"/>
    </row>
    <row r="195" spans="2:22" ht="13.25" customHeight="1" thickBot="1">
      <c r="B195" s="397"/>
      <c r="D195"/>
      <c r="E195"/>
      <c r="F195"/>
      <c r="G195"/>
      <c r="H195"/>
      <c r="I195"/>
      <c r="J195"/>
      <c r="K195"/>
      <c r="L195"/>
      <c r="M195"/>
      <c r="N195"/>
      <c r="O195"/>
      <c r="P195" s="5"/>
      <c r="Q195" s="5"/>
      <c r="R195" s="5"/>
      <c r="S195" s="5"/>
      <c r="T195" s="5"/>
      <c r="U195" s="5"/>
      <c r="V195" s="5"/>
    </row>
    <row r="196" spans="2:22" ht="13.25" customHeight="1">
      <c r="D196" s="3067"/>
      <c r="E196"/>
      <c r="F196"/>
      <c r="G196"/>
      <c r="H196"/>
      <c r="I196"/>
      <c r="J196"/>
      <c r="K196"/>
      <c r="L196"/>
      <c r="M196" s="3425" t="s">
        <v>1404</v>
      </c>
      <c r="N196" s="3426"/>
      <c r="O196" s="3076"/>
      <c r="P196" s="5"/>
      <c r="Q196" s="5"/>
      <c r="R196" s="5"/>
      <c r="S196" s="5"/>
      <c r="T196" s="5"/>
      <c r="U196" s="5"/>
      <c r="V196" s="5"/>
    </row>
    <row r="197" spans="2:22" ht="13.25" customHeight="1">
      <c r="B197" s="397"/>
      <c r="D197" s="3067"/>
      <c r="E197"/>
      <c r="F197"/>
      <c r="G197"/>
      <c r="H197"/>
      <c r="I197"/>
      <c r="J197"/>
      <c r="K197"/>
      <c r="L197"/>
      <c r="M197" s="3069" t="s">
        <v>1438</v>
      </c>
      <c r="N197" s="3070" t="s">
        <v>1472</v>
      </c>
      <c r="O197" s="3076"/>
      <c r="P197" s="5"/>
      <c r="Q197" s="5"/>
      <c r="R197" s="5"/>
      <c r="S197" s="5"/>
      <c r="T197" s="5"/>
      <c r="U197" s="5"/>
      <c r="V197" s="5"/>
    </row>
    <row r="198" spans="2:22" ht="13.25" customHeight="1">
      <c r="B198" s="397"/>
      <c r="D198" t="s">
        <v>1479</v>
      </c>
      <c r="E198" t="s">
        <v>1481</v>
      </c>
      <c r="F198" t="s">
        <v>1482</v>
      </c>
      <c r="G198"/>
      <c r="H198"/>
      <c r="I198"/>
      <c r="J198"/>
      <c r="K198"/>
      <c r="L198"/>
      <c r="M198" s="3071" t="s">
        <v>1499</v>
      </c>
      <c r="N198" s="3089" t="s">
        <v>1478</v>
      </c>
      <c r="O198" s="3076"/>
      <c r="P198" s="5"/>
      <c r="Q198" s="5"/>
      <c r="R198" s="5"/>
      <c r="S198" s="5"/>
      <c r="T198" s="5"/>
      <c r="U198" s="5"/>
      <c r="V198" s="5"/>
    </row>
    <row r="199" spans="2:22" ht="13.25" customHeight="1">
      <c r="B199" s="397"/>
      <c r="D199"/>
      <c r="E199"/>
      <c r="F199"/>
      <c r="G199"/>
      <c r="H199"/>
      <c r="I199"/>
      <c r="J199"/>
      <c r="K199"/>
      <c r="L199"/>
      <c r="M199" s="3071" t="s">
        <v>1500</v>
      </c>
      <c r="N199" s="3089" t="s">
        <v>1476</v>
      </c>
      <c r="O199" s="3076"/>
      <c r="P199" s="5"/>
      <c r="Q199" s="5"/>
      <c r="R199" s="5"/>
      <c r="S199" s="5"/>
      <c r="T199" s="5"/>
      <c r="U199" s="5"/>
      <c r="V199" s="5"/>
    </row>
    <row r="200" spans="2:22" ht="13.25" customHeight="1" thickBot="1">
      <c r="D200"/>
      <c r="E200"/>
      <c r="F200"/>
      <c r="G200"/>
      <c r="H200"/>
      <c r="I200"/>
      <c r="J200"/>
      <c r="K200"/>
      <c r="L200"/>
      <c r="M200" s="3073" t="s">
        <v>1501</v>
      </c>
      <c r="N200" s="3090" t="s">
        <v>1474</v>
      </c>
      <c r="O200" s="3076"/>
      <c r="P200" s="5"/>
      <c r="Q200" s="5"/>
      <c r="R200" s="5"/>
      <c r="S200" s="5"/>
      <c r="T200" s="5"/>
      <c r="U200" s="5"/>
      <c r="V200" s="5"/>
    </row>
    <row r="201" spans="2:22">
      <c r="D201"/>
      <c r="E201"/>
      <c r="F201"/>
      <c r="G201"/>
      <c r="H201"/>
      <c r="I201"/>
      <c r="J201"/>
      <c r="K201" s="3076"/>
      <c r="L201"/>
      <c r="M201"/>
      <c r="N201"/>
      <c r="O201" s="3076"/>
      <c r="P201" s="5"/>
      <c r="Q201" s="5"/>
      <c r="R201" s="5"/>
      <c r="S201" s="5"/>
      <c r="T201" s="5"/>
      <c r="U201" s="5"/>
      <c r="V201" s="5"/>
    </row>
    <row r="202" spans="2:22" ht="13.25" customHeight="1">
      <c r="D202"/>
      <c r="E202"/>
      <c r="F202"/>
      <c r="G202"/>
      <c r="H202"/>
      <c r="I202"/>
      <c r="J202"/>
      <c r="K202" t="s">
        <v>1502</v>
      </c>
      <c r="L202"/>
      <c r="M202" s="3076"/>
      <c r="N202" s="3076"/>
      <c r="O202"/>
    </row>
    <row r="203" spans="2:22" ht="13.25" customHeight="1">
      <c r="D203"/>
      <c r="E203"/>
      <c r="F203"/>
      <c r="G203"/>
      <c r="H203"/>
      <c r="I203"/>
      <c r="J203"/>
      <c r="K203"/>
      <c r="L203"/>
      <c r="M203"/>
      <c r="N203"/>
      <c r="O203"/>
    </row>
    <row r="204" spans="2:22" ht="17.649999999999999">
      <c r="D204" s="3061" t="s">
        <v>1503</v>
      </c>
      <c r="E204" s="1"/>
      <c r="F204" s="1"/>
      <c r="G204" s="1"/>
      <c r="H204" s="1"/>
      <c r="I204" s="1"/>
      <c r="J204" s="1"/>
      <c r="K204" s="1"/>
      <c r="L204" s="1"/>
      <c r="M204" s="1"/>
      <c r="N204" s="1"/>
      <c r="O204" s="1"/>
    </row>
    <row r="205" spans="2:22" ht="13.25" customHeight="1">
      <c r="D205"/>
      <c r="E205"/>
      <c r="F205"/>
      <c r="G205"/>
      <c r="H205"/>
      <c r="I205"/>
      <c r="J205"/>
      <c r="K205"/>
      <c r="L205"/>
      <c r="M205"/>
      <c r="N205"/>
      <c r="O205"/>
    </row>
    <row r="206" spans="2:22" ht="13.25" customHeight="1">
      <c r="D206" s="3067"/>
      <c r="E206"/>
      <c r="F206"/>
      <c r="G206"/>
      <c r="H206"/>
      <c r="I206"/>
      <c r="J206"/>
      <c r="K206"/>
      <c r="L206"/>
      <c r="M206"/>
      <c r="N206"/>
      <c r="O206"/>
    </row>
    <row r="207" spans="2:22" ht="13.25" customHeight="1">
      <c r="D207"/>
      <c r="E207"/>
      <c r="F207"/>
      <c r="G207"/>
      <c r="H207"/>
      <c r="I207"/>
      <c r="J207"/>
      <c r="K207"/>
      <c r="L207"/>
      <c r="M207"/>
      <c r="N207"/>
      <c r="O207"/>
    </row>
    <row r="208" spans="2:22" ht="13.25" customHeight="1">
      <c r="D208"/>
      <c r="E208"/>
      <c r="F208"/>
      <c r="G208"/>
      <c r="H208"/>
      <c r="I208"/>
      <c r="J208"/>
      <c r="K208"/>
      <c r="L208"/>
      <c r="M208"/>
      <c r="N208"/>
      <c r="O208"/>
    </row>
    <row r="209" spans="2:15" ht="13.25" customHeight="1">
      <c r="D209"/>
      <c r="E209"/>
      <c r="F209"/>
      <c r="G209"/>
      <c r="H209"/>
      <c r="I209"/>
      <c r="J209"/>
      <c r="K209"/>
      <c r="L209"/>
      <c r="M209"/>
      <c r="N209"/>
      <c r="O209"/>
    </row>
    <row r="210" spans="2:15">
      <c r="D210"/>
      <c r="E210"/>
      <c r="F210"/>
      <c r="G210"/>
      <c r="H210"/>
      <c r="I210"/>
      <c r="J210"/>
      <c r="K210"/>
      <c r="L210"/>
      <c r="M210"/>
      <c r="N210"/>
      <c r="O210"/>
    </row>
    <row r="211" spans="2:15">
      <c r="D211"/>
      <c r="E211"/>
      <c r="F211"/>
      <c r="G211"/>
      <c r="H211"/>
      <c r="I211"/>
      <c r="J211"/>
      <c r="K211"/>
      <c r="L211"/>
      <c r="M211"/>
      <c r="N211"/>
      <c r="O211"/>
    </row>
    <row r="212" spans="2:15">
      <c r="D212"/>
      <c r="E212"/>
      <c r="F212"/>
      <c r="G212"/>
      <c r="H212"/>
      <c r="I212"/>
      <c r="J212"/>
      <c r="K212"/>
      <c r="L212"/>
      <c r="M212"/>
      <c r="N212"/>
      <c r="O212"/>
    </row>
    <row r="213" spans="2:15">
      <c r="D213"/>
      <c r="E213"/>
      <c r="F213"/>
      <c r="G213"/>
      <c r="H213"/>
      <c r="I213"/>
      <c r="J213"/>
      <c r="K213"/>
      <c r="L213"/>
      <c r="M213"/>
      <c r="N213"/>
      <c r="O213"/>
    </row>
    <row r="214" spans="2:15">
      <c r="D214"/>
      <c r="E214"/>
      <c r="F214"/>
      <c r="G214"/>
      <c r="H214"/>
      <c r="I214"/>
      <c r="J214"/>
      <c r="K214"/>
      <c r="L214"/>
      <c r="M214"/>
      <c r="N214"/>
      <c r="O214"/>
    </row>
    <row r="218" spans="2:15">
      <c r="B218" s="397"/>
    </row>
    <row r="220" spans="2:15">
      <c r="B220" s="397"/>
    </row>
    <row r="222" spans="2:15">
      <c r="B222" s="397"/>
    </row>
    <row r="223" spans="2:15">
      <c r="B223" s="397"/>
    </row>
    <row r="224" spans="2:15">
      <c r="B224" s="397"/>
    </row>
    <row r="226" spans="2:2">
      <c r="B226" s="397"/>
    </row>
    <row r="227" spans="2:2">
      <c r="B227" s="397"/>
    </row>
    <row r="234" spans="2:2" ht="15.6" customHeight="1"/>
    <row r="235" spans="2:2" ht="15.6" customHeight="1"/>
    <row r="248" spans="2:2">
      <c r="B248" s="397"/>
    </row>
    <row r="250" spans="2:2">
      <c r="B250" s="397"/>
    </row>
    <row r="252" spans="2:2">
      <c r="B252" s="397"/>
    </row>
    <row r="253" spans="2:2">
      <c r="B253" s="397"/>
    </row>
    <row r="254" spans="2:2">
      <c r="B254" s="397"/>
    </row>
    <row r="256" spans="2:2">
      <c r="B256" s="397"/>
    </row>
    <row r="257" spans="2:2">
      <c r="B257" s="397"/>
    </row>
    <row r="279" spans="2:2">
      <c r="B279" s="397"/>
    </row>
    <row r="281" spans="2:2">
      <c r="B281" s="397"/>
    </row>
    <row r="283" spans="2:2">
      <c r="B283" s="397"/>
    </row>
    <row r="284" spans="2:2">
      <c r="B284" s="397"/>
    </row>
    <row r="285" spans="2:2">
      <c r="B285" s="397"/>
    </row>
    <row r="287" spans="2:2">
      <c r="B287" s="397"/>
    </row>
    <row r="288" spans="2:2">
      <c r="B288" s="397"/>
    </row>
    <row r="303" spans="2:2">
      <c r="B303" s="397"/>
    </row>
    <row r="305" spans="2:2">
      <c r="B305" s="397"/>
    </row>
    <row r="307" spans="2:2">
      <c r="B307" s="397"/>
    </row>
    <row r="308" spans="2:2">
      <c r="B308" s="397"/>
    </row>
    <row r="309" spans="2:2">
      <c r="B309" s="397"/>
    </row>
    <row r="311" spans="2:2">
      <c r="B311" s="397"/>
    </row>
    <row r="312" spans="2:2">
      <c r="B312" s="397"/>
    </row>
    <row r="319" spans="2:2">
      <c r="B319" s="397"/>
    </row>
    <row r="321" spans="2:2">
      <c r="B321" s="397"/>
    </row>
    <row r="323" spans="2:2">
      <c r="B323" s="397"/>
    </row>
    <row r="324" spans="2:2">
      <c r="B324" s="397"/>
    </row>
    <row r="325" spans="2:2">
      <c r="B325" s="397"/>
    </row>
    <row r="327" spans="2:2">
      <c r="B327" s="397"/>
    </row>
    <row r="328" spans="2:2">
      <c r="B328" s="397"/>
    </row>
    <row r="334" spans="2:2">
      <c r="B334" s="397"/>
    </row>
    <row r="336" spans="2:2">
      <c r="B336" s="397"/>
    </row>
    <row r="338" spans="2:2">
      <c r="B338" s="397"/>
    </row>
    <row r="339" spans="2:2">
      <c r="B339" s="397"/>
    </row>
    <row r="340" spans="2:2">
      <c r="B340" s="397"/>
    </row>
    <row r="342" spans="2:2">
      <c r="B342" s="397"/>
    </row>
    <row r="356" spans="2:2">
      <c r="B356" s="397"/>
    </row>
    <row r="358" spans="2:2">
      <c r="B358" s="397"/>
    </row>
    <row r="360" spans="2:2">
      <c r="B360" s="397"/>
    </row>
    <row r="361" spans="2:2">
      <c r="B361" s="397"/>
    </row>
    <row r="362" spans="2:2">
      <c r="B362" s="397"/>
    </row>
    <row r="364" spans="2:2">
      <c r="B364" s="397"/>
    </row>
    <row r="365" spans="2:2">
      <c r="B365" s="397"/>
    </row>
    <row r="425" spans="2:2">
      <c r="B425" s="397"/>
    </row>
    <row r="427" spans="2:2">
      <c r="B427" s="397"/>
    </row>
    <row r="429" spans="2:2">
      <c r="B429" s="397"/>
    </row>
    <row r="430" spans="2:2">
      <c r="B430" s="397"/>
    </row>
    <row r="431" spans="2:2">
      <c r="B431" s="397"/>
    </row>
    <row r="433" spans="2:2">
      <c r="B433" s="397"/>
    </row>
    <row r="434" spans="2:2">
      <c r="B434" s="397"/>
    </row>
    <row r="455" spans="2:2">
      <c r="B455" s="397"/>
    </row>
    <row r="457" spans="2:2">
      <c r="B457" s="397"/>
    </row>
    <row r="459" spans="2:2">
      <c r="B459" s="397"/>
    </row>
    <row r="460" spans="2:2">
      <c r="B460" s="397"/>
    </row>
    <row r="461" spans="2:2">
      <c r="B461" s="397"/>
    </row>
    <row r="462" spans="2:2" ht="18.600000000000001" customHeight="1"/>
    <row r="463" spans="2:2">
      <c r="B463" s="397"/>
    </row>
    <row r="464" spans="2:2">
      <c r="B464" s="397"/>
    </row>
    <row r="478" spans="2:2">
      <c r="B478" s="397"/>
    </row>
    <row r="480" spans="2:2">
      <c r="B480" s="397"/>
    </row>
    <row r="482" spans="2:2">
      <c r="B482" s="397"/>
    </row>
    <row r="483" spans="2:2">
      <c r="B483" s="397"/>
    </row>
    <row r="484" spans="2:2">
      <c r="B484" s="397"/>
    </row>
    <row r="486" spans="2:2">
      <c r="B486" s="397"/>
    </row>
    <row r="487" spans="2:2">
      <c r="B487" s="397"/>
    </row>
    <row r="508" spans="2:2">
      <c r="B508" s="397"/>
    </row>
    <row r="510" spans="2:2">
      <c r="B510" s="397"/>
    </row>
    <row r="512" spans="2:2">
      <c r="B512" s="397"/>
    </row>
    <row r="513" spans="2:2">
      <c r="B513" s="397"/>
    </row>
    <row r="514" spans="2:2">
      <c r="B514" s="397"/>
    </row>
    <row r="516" spans="2:2">
      <c r="B516" s="397"/>
    </row>
    <row r="517" spans="2:2">
      <c r="B517" s="397"/>
    </row>
    <row r="548" spans="2:2">
      <c r="B548" s="397"/>
    </row>
    <row r="550" spans="2:2">
      <c r="B550" s="397"/>
    </row>
    <row r="552" spans="2:2">
      <c r="B552" s="397"/>
    </row>
    <row r="553" spans="2:2">
      <c r="B553" s="397"/>
    </row>
    <row r="554" spans="2:2">
      <c r="B554" s="397"/>
    </row>
    <row r="556" spans="2:2">
      <c r="B556" s="397"/>
    </row>
    <row r="557" spans="2:2">
      <c r="B557" s="397"/>
    </row>
    <row r="598" spans="2:2">
      <c r="B598" s="397"/>
    </row>
    <row r="600" spans="2:2">
      <c r="B600" s="397"/>
    </row>
    <row r="602" spans="2:2">
      <c r="B602" s="397"/>
    </row>
    <row r="603" spans="2:2">
      <c r="B603" s="397"/>
    </row>
    <row r="604" spans="2:2">
      <c r="B604" s="397"/>
    </row>
    <row r="606" spans="2:2">
      <c r="B606" s="397"/>
    </row>
    <row r="607" spans="2:2">
      <c r="B607" s="397"/>
    </row>
    <row r="644" spans="2:2">
      <c r="B644" s="397"/>
    </row>
    <row r="646" spans="2:2">
      <c r="B646" s="397"/>
    </row>
    <row r="648" spans="2:2">
      <c r="B648" s="397"/>
    </row>
    <row r="649" spans="2:2">
      <c r="B649" s="397"/>
    </row>
    <row r="650" spans="2:2">
      <c r="B650" s="397"/>
    </row>
    <row r="652" spans="2:2">
      <c r="B652" s="397"/>
    </row>
    <row r="653" spans="2:2">
      <c r="B653" s="397"/>
    </row>
    <row r="703" spans="2:2">
      <c r="B703" s="397"/>
    </row>
    <row r="705" spans="2:2">
      <c r="B705" s="397"/>
    </row>
    <row r="707" spans="2:2">
      <c r="B707" s="397"/>
    </row>
    <row r="708" spans="2:2">
      <c r="B708" s="397"/>
    </row>
    <row r="709" spans="2:2">
      <c r="B709" s="397"/>
    </row>
    <row r="711" spans="2:2">
      <c r="B711" s="397"/>
    </row>
    <row r="712" spans="2:2">
      <c r="B712" s="397"/>
    </row>
    <row r="731" spans="2:2">
      <c r="B731" s="397"/>
    </row>
    <row r="733" spans="2:2">
      <c r="B733" s="397"/>
    </row>
    <row r="735" spans="2:2">
      <c r="B735" s="397"/>
    </row>
    <row r="736" spans="2:2">
      <c r="B736" s="397"/>
    </row>
    <row r="737" spans="2:2">
      <c r="B737" s="397"/>
    </row>
    <row r="739" spans="2:2">
      <c r="B739" s="397"/>
    </row>
    <row r="740" spans="2:2">
      <c r="B740" s="397"/>
    </row>
    <row r="755" spans="2:2">
      <c r="B755" s="397"/>
    </row>
    <row r="757" spans="2:2">
      <c r="B757" s="397"/>
    </row>
    <row r="759" spans="2:2">
      <c r="B759" s="397"/>
    </row>
    <row r="760" spans="2:2">
      <c r="B760" s="397"/>
    </row>
    <row r="761" spans="2:2">
      <c r="B761" s="397"/>
    </row>
    <row r="763" spans="2:2">
      <c r="B763" s="397"/>
    </row>
    <row r="764" spans="2:2">
      <c r="B764" s="397"/>
    </row>
    <row r="792" spans="2:2">
      <c r="B792" s="397"/>
    </row>
    <row r="794" spans="2:2">
      <c r="B794" s="397"/>
    </row>
    <row r="796" spans="2:2">
      <c r="B796" s="397"/>
    </row>
    <row r="797" spans="2:2">
      <c r="B797" s="397"/>
    </row>
    <row r="798" spans="2:2">
      <c r="B798" s="397"/>
    </row>
    <row r="800" spans="2:2">
      <c r="B800" s="397"/>
    </row>
    <row r="801" spans="2:2">
      <c r="B801" s="397"/>
    </row>
    <row r="830" spans="2:2">
      <c r="B830" s="397"/>
    </row>
    <row r="832" spans="2:2">
      <c r="B832" s="397"/>
    </row>
    <row r="834" spans="2:2">
      <c r="B834" s="397"/>
    </row>
    <row r="835" spans="2:2">
      <c r="B835" s="397"/>
    </row>
    <row r="836" spans="2:2">
      <c r="B836" s="397"/>
    </row>
    <row r="838" spans="2:2">
      <c r="B838" s="397"/>
    </row>
    <row r="839" spans="2:2">
      <c r="B839" s="397"/>
    </row>
    <row r="865" spans="2:2">
      <c r="B865" s="397"/>
    </row>
    <row r="867" spans="2:2">
      <c r="B867" s="397"/>
    </row>
    <row r="869" spans="2:2">
      <c r="B869" s="397"/>
    </row>
    <row r="870" spans="2:2">
      <c r="B870" s="397"/>
    </row>
    <row r="871" spans="2:2">
      <c r="B871" s="397"/>
    </row>
    <row r="873" spans="2:2">
      <c r="B873" s="397"/>
    </row>
    <row r="874" spans="2:2">
      <c r="B874" s="397"/>
    </row>
    <row r="894" spans="2:2">
      <c r="B894" s="397"/>
    </row>
    <row r="896" spans="2:2">
      <c r="B896" s="397"/>
    </row>
    <row r="898" spans="2:2">
      <c r="B898" s="397"/>
    </row>
    <row r="899" spans="2:2">
      <c r="B899" s="397"/>
    </row>
    <row r="900" spans="2:2">
      <c r="B900" s="397"/>
    </row>
    <row r="902" spans="2:2">
      <c r="B902" s="397"/>
    </row>
    <row r="903" spans="2:2">
      <c r="B903" s="397"/>
    </row>
    <row r="919" spans="2:2">
      <c r="B919" s="397"/>
    </row>
    <row r="921" spans="2:2">
      <c r="B921" s="397"/>
    </row>
    <row r="923" spans="2:2">
      <c r="B923" s="397"/>
    </row>
    <row r="924" spans="2:2">
      <c r="B924" s="397"/>
    </row>
    <row r="925" spans="2:2">
      <c r="B925" s="397"/>
    </row>
    <row r="927" spans="2:2">
      <c r="B927" s="397"/>
    </row>
    <row r="928" spans="2:2">
      <c r="B928" s="397"/>
    </row>
  </sheetData>
  <mergeCells count="20">
    <mergeCell ref="F193:O194"/>
    <mergeCell ref="M196:N196"/>
    <mergeCell ref="F133:O134"/>
    <mergeCell ref="M136:N136"/>
    <mergeCell ref="M144:N144"/>
    <mergeCell ref="M158:N158"/>
    <mergeCell ref="M172:N172"/>
    <mergeCell ref="M183:N183"/>
    <mergeCell ref="M120:N120"/>
    <mergeCell ref="B2:B3"/>
    <mergeCell ref="D2:O3"/>
    <mergeCell ref="M7:N7"/>
    <mergeCell ref="M21:N21"/>
    <mergeCell ref="M36:N36"/>
    <mergeCell ref="M51:N51"/>
    <mergeCell ref="F64:O65"/>
    <mergeCell ref="M67:N67"/>
    <mergeCell ref="M77:N77"/>
    <mergeCell ref="M93:N93"/>
    <mergeCell ref="M107:N107"/>
  </mergeCells>
  <hyperlinks>
    <hyperlink ref="B5" location="'Documents Manager'!A1" display="DOCUMENTS MANAGER" xr:uid="{5E1DE9B7-1E52-44A2-9189-D74665BBBDCA}"/>
    <hyperlink ref="B2:B3" location="Home!A1" display="HOME" xr:uid="{11BD4B2D-934E-494F-BDCF-C1B72EBC37D0}"/>
    <hyperlink ref="B15" location="'ASTM Formulas'!A1" display="• ASTM Formulas" xr:uid="{F50FE836-07AA-4CAA-96D9-3DD8A0040FE6}"/>
    <hyperlink ref="B6" location="'ASTM Vol. XI - Tab.1'!A1" display="ASTM TABLES" xr:uid="{A17F294F-A7FB-4FDE-82F0-43B2C96B71DF}"/>
    <hyperlink ref="B12" location="'Guidelines - Definitions'!A1" display="• Definitions" xr:uid="{EF2DF535-8589-4FCE-A4CF-B98D9BD4258F}"/>
    <hyperlink ref="B25" location="Disclaimer!A1" display="Disclaimer" xr:uid="{0EE7997C-CB51-4549-A3A6-BE0BAB0B78E3}"/>
    <hyperlink ref="B24" location="Help!A1" display="Help" xr:uid="{FA0B0C42-5AC7-406F-8F28-0D611EB240CD}"/>
    <hyperlink ref="B22" location="'Source - Links'!A1" display="SOURCE / LINKS" xr:uid="{4E46B98B-5F78-4387-9E87-034A770D3D1E}"/>
    <hyperlink ref="B17" location="'Conversion Charts Metric'!A1" display="• Conversion Charts Metric system" xr:uid="{0279A268-0020-468D-B9E9-BA0D8F6BED7E}"/>
    <hyperlink ref="B18" location="'Conversion Charts Barrel'!A1" display="• Conversion Charts Barrel system" xr:uid="{A82158C3-DD45-45A8-9BA4-F0235C8C07A3}"/>
    <hyperlink ref="B13" location="'Guidelines - Procedure of Calc'!A1" display="• Procedure of Calculations" xr:uid="{341A5A02-E250-4092-A702-5D72E4A9C09F}"/>
    <hyperlink ref="B7" location="'ASTM Converter (Tab.1)'!A1" display="ASTM - CONVERTERS" xr:uid="{129F7223-CE26-4A96-A879-481292DD29F2}"/>
    <hyperlink ref="B45" location="'Guidelines - Saybolt Manual'!A1" display="Go to Top" xr:uid="{EB02B2D1-F243-44C5-B897-8B9A4E34FD4C}"/>
    <hyperlink ref="B16" location="'Which tables to use When'!A1" display="• Chart Which tables to use When" xr:uid="{1D8CF171-8044-4D76-A13B-C0DEEF09C86A}"/>
    <hyperlink ref="B19" location="'Conversion Charts Mass &amp; Weight'!A1" display="• Conversion Charts Mass &amp; Weight" xr:uid="{BD1842E4-9A47-4367-932E-3682D4616685}"/>
    <hyperlink ref="B14" location="'Guidelines - Saybolt Manual'!A1" display="• Saybolt Inspection Manual" xr:uid="{7AAFFEAB-F93E-48E7-A03B-E08877D8A528}"/>
    <hyperlink ref="B20" location="'Outturn Charts'!A1" display="• Outturn Charts" xr:uid="{96344EF0-6537-4810-9A5B-6A2FE7F0F0F6}"/>
    <hyperlink ref="B8" location="'ASTM Calculator V.W.'!A1" display="ASTM - CALCULATORS" xr:uid="{ABD0FD13-0DE1-45D2-8CF9-60E8EC668071}"/>
    <hyperlink ref="B11" location="'Guidelines - Definitions'!A1" display="GUIDELINES" xr:uid="{C3FA9CAD-FAC6-43CB-96EE-B00E4DF575A3}"/>
    <hyperlink ref="B21" location="'Guidelines - Bottom Lines'!A1" display="GUIDELINES - CARGO" xr:uid="{FC2CECAD-EECF-4809-9AF4-1D557C4CA326}"/>
    <hyperlink ref="B9" location="'Initial&amp;Max. Loading Rate'!A1" display="CARGO - CALCULATORS" xr:uid="{7145D0C8-F19F-4D76-9838-8D786CA01D38}"/>
  </hyperlinks>
  <pageMargins left="0.7" right="0.7" top="0.75" bottom="0.75" header="0.3" footer="0.3"/>
  <pageSetup paperSize="9" orientation="portrait" r:id="rId1"/>
  <drawing r:id="rId2"/>
  <legacyDrawing r:id="rId3"/>
  <oleObjects>
    <mc:AlternateContent xmlns:mc="http://schemas.openxmlformats.org/markup-compatibility/2006">
      <mc:Choice Requires="x14">
        <oleObject progId="Equation.3" shapeId="352257" r:id="rId4">
          <objectPr defaultSize="0" autoPict="0" r:id="rId5">
            <anchor moveWithCells="1">
              <from>
                <xdr:col>4</xdr:col>
                <xdr:colOff>47625</xdr:colOff>
                <xdr:row>5</xdr:row>
                <xdr:rowOff>242888</xdr:rowOff>
              </from>
              <to>
                <xdr:col>8</xdr:col>
                <xdr:colOff>76200</xdr:colOff>
                <xdr:row>7</xdr:row>
                <xdr:rowOff>61913</xdr:rowOff>
              </to>
            </anchor>
          </objectPr>
        </oleObject>
      </mc:Choice>
      <mc:Fallback>
        <oleObject progId="Equation.3" shapeId="352257" r:id="rId4"/>
      </mc:Fallback>
    </mc:AlternateContent>
    <mc:AlternateContent xmlns:mc="http://schemas.openxmlformats.org/markup-compatibility/2006">
      <mc:Choice Requires="x14">
        <oleObject progId="Equation.3" shapeId="352258" r:id="rId6">
          <objectPr defaultSize="0" autoPict="0" r:id="rId7">
            <anchor moveWithCells="1" sizeWithCells="1">
              <from>
                <xdr:col>4</xdr:col>
                <xdr:colOff>47625</xdr:colOff>
                <xdr:row>8</xdr:row>
                <xdr:rowOff>0</xdr:rowOff>
              </from>
              <to>
                <xdr:col>6</xdr:col>
                <xdr:colOff>633413</xdr:colOff>
                <xdr:row>10</xdr:row>
                <xdr:rowOff>76200</xdr:rowOff>
              </to>
            </anchor>
          </objectPr>
        </oleObject>
      </mc:Choice>
      <mc:Fallback>
        <oleObject progId="Equation.3" shapeId="352258" r:id="rId6"/>
      </mc:Fallback>
    </mc:AlternateContent>
    <mc:AlternateContent xmlns:mc="http://schemas.openxmlformats.org/markup-compatibility/2006">
      <mc:Choice Requires="x14">
        <oleObject progId="Equation.3" shapeId="352259" r:id="rId8">
          <objectPr defaultSize="0" autoPict="0" r:id="rId9">
            <anchor moveWithCells="1" sizeWithCells="1">
              <from>
                <xdr:col>4</xdr:col>
                <xdr:colOff>61913</xdr:colOff>
                <xdr:row>12</xdr:row>
                <xdr:rowOff>90488</xdr:rowOff>
              </from>
              <to>
                <xdr:col>6</xdr:col>
                <xdr:colOff>647700</xdr:colOff>
                <xdr:row>14</xdr:row>
                <xdr:rowOff>166688</xdr:rowOff>
              </to>
            </anchor>
          </objectPr>
        </oleObject>
      </mc:Choice>
      <mc:Fallback>
        <oleObject progId="Equation.3" shapeId="352259" r:id="rId8"/>
      </mc:Fallback>
    </mc:AlternateContent>
    <mc:AlternateContent xmlns:mc="http://schemas.openxmlformats.org/markup-compatibility/2006">
      <mc:Choice Requires="x14">
        <oleObject progId="Equation.3" shapeId="352260" r:id="rId10">
          <objectPr defaultSize="0" autoPict="0" r:id="rId9">
            <anchor moveWithCells="1" sizeWithCells="1">
              <from>
                <xdr:col>4</xdr:col>
                <xdr:colOff>52388</xdr:colOff>
                <xdr:row>21</xdr:row>
                <xdr:rowOff>47625</xdr:rowOff>
              </from>
              <to>
                <xdr:col>6</xdr:col>
                <xdr:colOff>638175</xdr:colOff>
                <xdr:row>23</xdr:row>
                <xdr:rowOff>123825</xdr:rowOff>
              </to>
            </anchor>
          </objectPr>
        </oleObject>
      </mc:Choice>
      <mc:Fallback>
        <oleObject progId="Equation.3" shapeId="352260" r:id="rId10"/>
      </mc:Fallback>
    </mc:AlternateContent>
    <mc:AlternateContent xmlns:mc="http://schemas.openxmlformats.org/markup-compatibility/2006">
      <mc:Choice Requires="x14">
        <oleObject progId="Equation.3" shapeId="352261" r:id="rId11">
          <objectPr defaultSize="0" autoPict="0" r:id="rId12">
            <anchor moveWithCells="1" sizeWithCells="1">
              <from>
                <xdr:col>4</xdr:col>
                <xdr:colOff>66675</xdr:colOff>
                <xdr:row>23</xdr:row>
                <xdr:rowOff>176213</xdr:rowOff>
              </from>
              <to>
                <xdr:col>6</xdr:col>
                <xdr:colOff>657225</xdr:colOff>
                <xdr:row>25</xdr:row>
                <xdr:rowOff>252413</xdr:rowOff>
              </to>
            </anchor>
          </objectPr>
        </oleObject>
      </mc:Choice>
      <mc:Fallback>
        <oleObject progId="Equation.3" shapeId="352261" r:id="rId11"/>
      </mc:Fallback>
    </mc:AlternateContent>
    <mc:AlternateContent xmlns:mc="http://schemas.openxmlformats.org/markup-compatibility/2006">
      <mc:Choice Requires="x14">
        <oleObject progId="Equation.3" shapeId="352262" r:id="rId13">
          <objectPr defaultSize="0" autoPict="0" r:id="rId5">
            <anchor moveWithCells="1">
              <from>
                <xdr:col>4</xdr:col>
                <xdr:colOff>61913</xdr:colOff>
                <xdr:row>27</xdr:row>
                <xdr:rowOff>23813</xdr:rowOff>
              </from>
              <to>
                <xdr:col>8</xdr:col>
                <xdr:colOff>776288</xdr:colOff>
                <xdr:row>28</xdr:row>
                <xdr:rowOff>104775</xdr:rowOff>
              </to>
            </anchor>
          </objectPr>
        </oleObject>
      </mc:Choice>
      <mc:Fallback>
        <oleObject progId="Equation.3" shapeId="352262" r:id="rId13"/>
      </mc:Fallback>
    </mc:AlternateContent>
    <mc:AlternateContent xmlns:mc="http://schemas.openxmlformats.org/markup-compatibility/2006">
      <mc:Choice Requires="x14">
        <oleObject progId="Equation.3" shapeId="352263" r:id="rId14">
          <objectPr defaultSize="0" autoPict="0" r:id="rId15">
            <anchor moveWithCells="1">
              <from>
                <xdr:col>4</xdr:col>
                <xdr:colOff>14288</xdr:colOff>
                <xdr:row>15</xdr:row>
                <xdr:rowOff>257175</xdr:rowOff>
              </from>
              <to>
                <xdr:col>7</xdr:col>
                <xdr:colOff>561975</xdr:colOff>
                <xdr:row>17</xdr:row>
                <xdr:rowOff>76200</xdr:rowOff>
              </to>
            </anchor>
          </objectPr>
        </oleObject>
      </mc:Choice>
      <mc:Fallback>
        <oleObject progId="Equation.3" shapeId="352263" r:id="rId14"/>
      </mc:Fallback>
    </mc:AlternateContent>
    <mc:AlternateContent xmlns:mc="http://schemas.openxmlformats.org/markup-compatibility/2006">
      <mc:Choice Requires="x14">
        <oleObject progId="Equation.3" shapeId="352264" r:id="rId16">
          <objectPr defaultSize="0" autoPict="0" r:id="rId17">
            <anchor moveWithCells="1" sizeWithCells="1">
              <from>
                <xdr:col>4</xdr:col>
                <xdr:colOff>9525</xdr:colOff>
                <xdr:row>29</xdr:row>
                <xdr:rowOff>128588</xdr:rowOff>
              </from>
              <to>
                <xdr:col>7</xdr:col>
                <xdr:colOff>557213</xdr:colOff>
                <xdr:row>31</xdr:row>
                <xdr:rowOff>142875</xdr:rowOff>
              </to>
            </anchor>
          </objectPr>
        </oleObject>
      </mc:Choice>
      <mc:Fallback>
        <oleObject progId="Equation.3" shapeId="352264" r:id="rId16"/>
      </mc:Fallback>
    </mc:AlternateContent>
    <mc:AlternateContent xmlns:mc="http://schemas.openxmlformats.org/markup-compatibility/2006">
      <mc:Choice Requires="x14">
        <oleObject progId="Equation.3" shapeId="352265" r:id="rId18">
          <objectPr defaultSize="0" autoPict="0" r:id="rId5">
            <anchor moveWithCells="1" sizeWithCells="1">
              <from>
                <xdr:col>4</xdr:col>
                <xdr:colOff>23813</xdr:colOff>
                <xdr:row>35</xdr:row>
                <xdr:rowOff>0</xdr:rowOff>
              </from>
              <to>
                <xdr:col>8</xdr:col>
                <xdr:colOff>738188</xdr:colOff>
                <xdr:row>37</xdr:row>
                <xdr:rowOff>14288</xdr:rowOff>
              </to>
            </anchor>
          </objectPr>
        </oleObject>
      </mc:Choice>
      <mc:Fallback>
        <oleObject progId="Equation.3" shapeId="352265" r:id="rId18"/>
      </mc:Fallback>
    </mc:AlternateContent>
    <mc:AlternateContent xmlns:mc="http://schemas.openxmlformats.org/markup-compatibility/2006">
      <mc:Choice Requires="x14">
        <oleObject progId="Equation.3" shapeId="352266" r:id="rId19">
          <objectPr defaultSize="0" autoPict="0" r:id="rId12">
            <anchor moveWithCells="1" sizeWithCells="1">
              <from>
                <xdr:col>4</xdr:col>
                <xdr:colOff>38100</xdr:colOff>
                <xdr:row>39</xdr:row>
                <xdr:rowOff>23813</xdr:rowOff>
              </from>
              <to>
                <xdr:col>6</xdr:col>
                <xdr:colOff>623888</xdr:colOff>
                <xdr:row>42</xdr:row>
                <xdr:rowOff>128588</xdr:rowOff>
              </to>
            </anchor>
          </objectPr>
        </oleObject>
      </mc:Choice>
      <mc:Fallback>
        <oleObject progId="Equation.3" shapeId="352266" r:id="rId19"/>
      </mc:Fallback>
    </mc:AlternateContent>
    <mc:AlternateContent xmlns:mc="http://schemas.openxmlformats.org/markup-compatibility/2006">
      <mc:Choice Requires="x14">
        <oleObject progId="Equation.3" shapeId="352267" r:id="rId20">
          <objectPr defaultSize="0" autoPict="0" r:id="rId21">
            <anchor moveWithCells="1" sizeWithCells="1">
              <from>
                <xdr:col>4</xdr:col>
                <xdr:colOff>66675</xdr:colOff>
                <xdr:row>43</xdr:row>
                <xdr:rowOff>9525</xdr:rowOff>
              </from>
              <to>
                <xdr:col>6</xdr:col>
                <xdr:colOff>657225</xdr:colOff>
                <xdr:row>46</xdr:row>
                <xdr:rowOff>114300</xdr:rowOff>
              </to>
            </anchor>
          </objectPr>
        </oleObject>
      </mc:Choice>
      <mc:Fallback>
        <oleObject progId="Equation.3" shapeId="352267" r:id="rId20"/>
      </mc:Fallback>
    </mc:AlternateContent>
    <mc:AlternateContent xmlns:mc="http://schemas.openxmlformats.org/markup-compatibility/2006">
      <mc:Choice Requires="x14">
        <oleObject progId="Equation.3" shapeId="352268" r:id="rId22">
          <objectPr defaultSize="0" autoPict="0" r:id="rId5">
            <anchor moveWithCells="1" sizeWithCells="1">
              <from>
                <xdr:col>4</xdr:col>
                <xdr:colOff>61913</xdr:colOff>
                <xdr:row>49</xdr:row>
                <xdr:rowOff>152400</xdr:rowOff>
              </from>
              <to>
                <xdr:col>8</xdr:col>
                <xdr:colOff>776288</xdr:colOff>
                <xdr:row>52</xdr:row>
                <xdr:rowOff>0</xdr:rowOff>
              </to>
            </anchor>
          </objectPr>
        </oleObject>
      </mc:Choice>
      <mc:Fallback>
        <oleObject progId="Equation.3" shapeId="352268" r:id="rId22"/>
      </mc:Fallback>
    </mc:AlternateContent>
    <mc:AlternateContent xmlns:mc="http://schemas.openxmlformats.org/markup-compatibility/2006">
      <mc:Choice Requires="x14">
        <oleObject progId="Equation.3" shapeId="352269" r:id="rId23">
          <objectPr defaultSize="0" autoPict="0" r:id="rId12">
            <anchor moveWithCells="1" sizeWithCells="1">
              <from>
                <xdr:col>4</xdr:col>
                <xdr:colOff>0</xdr:colOff>
                <xdr:row>54</xdr:row>
                <xdr:rowOff>38100</xdr:rowOff>
              </from>
              <to>
                <xdr:col>6</xdr:col>
                <xdr:colOff>585788</xdr:colOff>
                <xdr:row>57</xdr:row>
                <xdr:rowOff>142875</xdr:rowOff>
              </to>
            </anchor>
          </objectPr>
        </oleObject>
      </mc:Choice>
      <mc:Fallback>
        <oleObject progId="Equation.3" shapeId="352269" r:id="rId23"/>
      </mc:Fallback>
    </mc:AlternateContent>
    <mc:AlternateContent xmlns:mc="http://schemas.openxmlformats.org/markup-compatibility/2006">
      <mc:Choice Requires="x14">
        <oleObject progId="Equation.3" shapeId="352270" r:id="rId24">
          <objectPr defaultSize="0" autoPict="0" r:id="rId21">
            <anchor moveWithCells="1" sizeWithCells="1">
              <from>
                <xdr:col>4</xdr:col>
                <xdr:colOff>38100</xdr:colOff>
                <xdr:row>58</xdr:row>
                <xdr:rowOff>23813</xdr:rowOff>
              </from>
              <to>
                <xdr:col>6</xdr:col>
                <xdr:colOff>623888</xdr:colOff>
                <xdr:row>61</xdr:row>
                <xdr:rowOff>128588</xdr:rowOff>
              </to>
            </anchor>
          </objectPr>
        </oleObject>
      </mc:Choice>
      <mc:Fallback>
        <oleObject progId="Equation.3" shapeId="352270" r:id="rId24"/>
      </mc:Fallback>
    </mc:AlternateContent>
    <mc:AlternateContent xmlns:mc="http://schemas.openxmlformats.org/markup-compatibility/2006">
      <mc:Choice Requires="x14">
        <oleObject progId="Equation.3" shapeId="352271" r:id="rId25">
          <objectPr defaultSize="0" autoPict="0" r:id="rId5">
            <anchor moveWithCells="1" sizeWithCells="1">
              <from>
                <xdr:col>4</xdr:col>
                <xdr:colOff>9525</xdr:colOff>
                <xdr:row>66</xdr:row>
                <xdr:rowOff>52388</xdr:rowOff>
              </from>
              <to>
                <xdr:col>8</xdr:col>
                <xdr:colOff>723900</xdr:colOff>
                <xdr:row>68</xdr:row>
                <xdr:rowOff>66675</xdr:rowOff>
              </to>
            </anchor>
          </objectPr>
        </oleObject>
      </mc:Choice>
      <mc:Fallback>
        <oleObject progId="Equation.3" shapeId="352271" r:id="rId25"/>
      </mc:Fallback>
    </mc:AlternateContent>
    <mc:AlternateContent xmlns:mc="http://schemas.openxmlformats.org/markup-compatibility/2006">
      <mc:Choice Requires="x14">
        <oleObject progId="Equation.3" shapeId="352272" r:id="rId26">
          <objectPr defaultSize="0" autoPict="0" r:id="rId12">
            <anchor moveWithCells="1" sizeWithCells="1">
              <from>
                <xdr:col>4</xdr:col>
                <xdr:colOff>47625</xdr:colOff>
                <xdr:row>78</xdr:row>
                <xdr:rowOff>23813</xdr:rowOff>
              </from>
              <to>
                <xdr:col>6</xdr:col>
                <xdr:colOff>633413</xdr:colOff>
                <xdr:row>81</xdr:row>
                <xdr:rowOff>128588</xdr:rowOff>
              </to>
            </anchor>
          </objectPr>
        </oleObject>
      </mc:Choice>
      <mc:Fallback>
        <oleObject progId="Equation.3" shapeId="352272" r:id="rId26"/>
      </mc:Fallback>
    </mc:AlternateContent>
    <mc:AlternateContent xmlns:mc="http://schemas.openxmlformats.org/markup-compatibility/2006">
      <mc:Choice Requires="x14">
        <oleObject progId="Equation.3" shapeId="352273" r:id="rId27">
          <objectPr defaultSize="0" autoPict="0" r:id="rId5">
            <anchor moveWithCells="1">
              <from>
                <xdr:col>4</xdr:col>
                <xdr:colOff>52388</xdr:colOff>
                <xdr:row>81</xdr:row>
                <xdr:rowOff>138113</xdr:rowOff>
              </from>
              <to>
                <xdr:col>8</xdr:col>
                <xdr:colOff>771525</xdr:colOff>
                <xdr:row>83</xdr:row>
                <xdr:rowOff>152400</xdr:rowOff>
              </to>
            </anchor>
          </objectPr>
        </oleObject>
      </mc:Choice>
      <mc:Fallback>
        <oleObject progId="Equation.3" shapeId="352273" r:id="rId27"/>
      </mc:Fallback>
    </mc:AlternateContent>
    <mc:AlternateContent xmlns:mc="http://schemas.openxmlformats.org/markup-compatibility/2006">
      <mc:Choice Requires="x14">
        <oleObject progId="Equation.3" shapeId="352274" r:id="rId28">
          <objectPr defaultSize="0" autoPict="0" r:id="rId17">
            <anchor moveWithCells="1">
              <from>
                <xdr:col>4</xdr:col>
                <xdr:colOff>14288</xdr:colOff>
                <xdr:row>84</xdr:row>
                <xdr:rowOff>52388</xdr:rowOff>
              </from>
              <to>
                <xdr:col>7</xdr:col>
                <xdr:colOff>561975</xdr:colOff>
                <xdr:row>86</xdr:row>
                <xdr:rowOff>66675</xdr:rowOff>
              </to>
            </anchor>
          </objectPr>
        </oleObject>
      </mc:Choice>
      <mc:Fallback>
        <oleObject progId="Equation.3" shapeId="352274" r:id="rId28"/>
      </mc:Fallback>
    </mc:AlternateContent>
    <mc:AlternateContent xmlns:mc="http://schemas.openxmlformats.org/markup-compatibility/2006">
      <mc:Choice Requires="x14">
        <oleObject progId="Equation.3" shapeId="352275" r:id="rId29">
          <objectPr defaultSize="0" autoPict="0" r:id="rId12">
            <anchor moveWithCells="1">
              <from>
                <xdr:col>4</xdr:col>
                <xdr:colOff>47625</xdr:colOff>
                <xdr:row>93</xdr:row>
                <xdr:rowOff>0</xdr:rowOff>
              </from>
              <to>
                <xdr:col>6</xdr:col>
                <xdr:colOff>633413</xdr:colOff>
                <xdr:row>96</xdr:row>
                <xdr:rowOff>104775</xdr:rowOff>
              </to>
            </anchor>
          </objectPr>
        </oleObject>
      </mc:Choice>
      <mc:Fallback>
        <oleObject progId="Equation.3" shapeId="352275" r:id="rId29"/>
      </mc:Fallback>
    </mc:AlternateContent>
    <mc:AlternateContent xmlns:mc="http://schemas.openxmlformats.org/markup-compatibility/2006">
      <mc:Choice Requires="x14">
        <oleObject progId="Equation.3" shapeId="352276" r:id="rId30">
          <objectPr defaultSize="0" autoPict="0" r:id="rId5">
            <anchor moveWithCells="1">
              <from>
                <xdr:col>4</xdr:col>
                <xdr:colOff>23813</xdr:colOff>
                <xdr:row>96</xdr:row>
                <xdr:rowOff>128588</xdr:rowOff>
              </from>
              <to>
                <xdr:col>8</xdr:col>
                <xdr:colOff>738188</xdr:colOff>
                <xdr:row>98</xdr:row>
                <xdr:rowOff>142875</xdr:rowOff>
              </to>
            </anchor>
          </objectPr>
        </oleObject>
      </mc:Choice>
      <mc:Fallback>
        <oleObject progId="Equation.3" shapeId="352276" r:id="rId30"/>
      </mc:Fallback>
    </mc:AlternateContent>
    <mc:AlternateContent xmlns:mc="http://schemas.openxmlformats.org/markup-compatibility/2006">
      <mc:Choice Requires="x14">
        <oleObject progId="Equation.3" shapeId="352277" r:id="rId31">
          <objectPr defaultSize="0" autoPict="0" r:id="rId17">
            <anchor moveWithCells="1">
              <from>
                <xdr:col>4</xdr:col>
                <xdr:colOff>0</xdr:colOff>
                <xdr:row>98</xdr:row>
                <xdr:rowOff>152400</xdr:rowOff>
              </from>
              <to>
                <xdr:col>7</xdr:col>
                <xdr:colOff>547688</xdr:colOff>
                <xdr:row>101</xdr:row>
                <xdr:rowOff>0</xdr:rowOff>
              </to>
            </anchor>
          </objectPr>
        </oleObject>
      </mc:Choice>
      <mc:Fallback>
        <oleObject progId="Equation.3" shapeId="352277" r:id="rId31"/>
      </mc:Fallback>
    </mc:AlternateContent>
    <mc:AlternateContent xmlns:mc="http://schemas.openxmlformats.org/markup-compatibility/2006">
      <mc:Choice Requires="x14">
        <oleObject progId="Equation.3" shapeId="352278" r:id="rId32">
          <objectPr defaultSize="0" autoPict="0" r:id="rId5">
            <anchor moveWithCells="1">
              <from>
                <xdr:col>4</xdr:col>
                <xdr:colOff>9525</xdr:colOff>
                <xdr:row>106</xdr:row>
                <xdr:rowOff>38100</xdr:rowOff>
              </from>
              <to>
                <xdr:col>8</xdr:col>
                <xdr:colOff>723900</xdr:colOff>
                <xdr:row>108</xdr:row>
                <xdr:rowOff>52388</xdr:rowOff>
              </to>
            </anchor>
          </objectPr>
        </oleObject>
      </mc:Choice>
      <mc:Fallback>
        <oleObject progId="Equation.3" shapeId="352278" r:id="rId32"/>
      </mc:Fallback>
    </mc:AlternateContent>
    <mc:AlternateContent xmlns:mc="http://schemas.openxmlformats.org/markup-compatibility/2006">
      <mc:Choice Requires="x14">
        <oleObject progId="Equation.3" shapeId="352279" r:id="rId33">
          <objectPr defaultSize="0" autoPict="0" r:id="rId12">
            <anchor moveWithCells="1">
              <from>
                <xdr:col>4</xdr:col>
                <xdr:colOff>9525</xdr:colOff>
                <xdr:row>110</xdr:row>
                <xdr:rowOff>28575</xdr:rowOff>
              </from>
              <to>
                <xdr:col>6</xdr:col>
                <xdr:colOff>595313</xdr:colOff>
                <xdr:row>114</xdr:row>
                <xdr:rowOff>66675</xdr:rowOff>
              </to>
            </anchor>
          </objectPr>
        </oleObject>
      </mc:Choice>
      <mc:Fallback>
        <oleObject progId="Equation.3" shapeId="352279" r:id="rId33"/>
      </mc:Fallback>
    </mc:AlternateContent>
    <mc:AlternateContent xmlns:mc="http://schemas.openxmlformats.org/markup-compatibility/2006">
      <mc:Choice Requires="x14">
        <oleObject progId="Equation.3" shapeId="352280" r:id="rId34">
          <objectPr defaultSize="0" autoPict="0" r:id="rId5">
            <anchor moveWithCells="1">
              <from>
                <xdr:col>4</xdr:col>
                <xdr:colOff>0</xdr:colOff>
                <xdr:row>119</xdr:row>
                <xdr:rowOff>14288</xdr:rowOff>
              </from>
              <to>
                <xdr:col>8</xdr:col>
                <xdr:colOff>714375</xdr:colOff>
                <xdr:row>121</xdr:row>
                <xdr:rowOff>28575</xdr:rowOff>
              </to>
            </anchor>
          </objectPr>
        </oleObject>
      </mc:Choice>
      <mc:Fallback>
        <oleObject progId="Equation.3" shapeId="352280" r:id="rId34"/>
      </mc:Fallback>
    </mc:AlternateContent>
    <mc:AlternateContent xmlns:mc="http://schemas.openxmlformats.org/markup-compatibility/2006">
      <mc:Choice Requires="x14">
        <oleObject progId="Equation.3" shapeId="352281" r:id="rId35">
          <objectPr defaultSize="0" autoPict="0" r:id="rId12">
            <anchor moveWithCells="1">
              <from>
                <xdr:col>4</xdr:col>
                <xdr:colOff>9525</xdr:colOff>
                <xdr:row>125</xdr:row>
                <xdr:rowOff>9525</xdr:rowOff>
              </from>
              <to>
                <xdr:col>6</xdr:col>
                <xdr:colOff>595313</xdr:colOff>
                <xdr:row>128</xdr:row>
                <xdr:rowOff>114300</xdr:rowOff>
              </to>
            </anchor>
          </objectPr>
        </oleObject>
      </mc:Choice>
      <mc:Fallback>
        <oleObject progId="Equation.3" shapeId="352281" r:id="rId35"/>
      </mc:Fallback>
    </mc:AlternateContent>
    <mc:AlternateContent xmlns:mc="http://schemas.openxmlformats.org/markup-compatibility/2006">
      <mc:Choice Requires="x14">
        <oleObject progId="Equation.3" shapeId="352282" r:id="rId36">
          <objectPr defaultSize="0" autoPict="0" r:id="rId5">
            <anchor moveWithCells="1">
              <from>
                <xdr:col>4</xdr:col>
                <xdr:colOff>0</xdr:colOff>
                <xdr:row>135</xdr:row>
                <xdr:rowOff>9525</xdr:rowOff>
              </from>
              <to>
                <xdr:col>8</xdr:col>
                <xdr:colOff>714375</xdr:colOff>
                <xdr:row>137</xdr:row>
                <xdr:rowOff>23813</xdr:rowOff>
              </to>
            </anchor>
          </objectPr>
        </oleObject>
      </mc:Choice>
      <mc:Fallback>
        <oleObject progId="Equation.3" shapeId="352282" r:id="rId36"/>
      </mc:Fallback>
    </mc:AlternateContent>
    <mc:AlternateContent xmlns:mc="http://schemas.openxmlformats.org/markup-compatibility/2006">
      <mc:Choice Requires="x14">
        <oleObject progId="Equation.3" shapeId="352283" r:id="rId37">
          <objectPr defaultSize="0" autoPict="0" r:id="rId38">
            <anchor moveWithCells="1">
              <from>
                <xdr:col>4</xdr:col>
                <xdr:colOff>28575</xdr:colOff>
                <xdr:row>143</xdr:row>
                <xdr:rowOff>38100</xdr:rowOff>
              </from>
              <to>
                <xdr:col>6</xdr:col>
                <xdr:colOff>619125</xdr:colOff>
                <xdr:row>146</xdr:row>
                <xdr:rowOff>142875</xdr:rowOff>
              </to>
            </anchor>
          </objectPr>
        </oleObject>
      </mc:Choice>
      <mc:Fallback>
        <oleObject progId="Equation.3" shapeId="352283" r:id="rId37"/>
      </mc:Fallback>
    </mc:AlternateContent>
    <mc:AlternateContent xmlns:mc="http://schemas.openxmlformats.org/markup-compatibility/2006">
      <mc:Choice Requires="x14">
        <oleObject progId="Equation.3" shapeId="352284" r:id="rId39">
          <objectPr defaultSize="0" autoPict="0" r:id="rId40">
            <anchor moveWithCells="1">
              <from>
                <xdr:col>4</xdr:col>
                <xdr:colOff>9525</xdr:colOff>
                <xdr:row>146</xdr:row>
                <xdr:rowOff>142875</xdr:rowOff>
              </from>
              <to>
                <xdr:col>8</xdr:col>
                <xdr:colOff>723900</xdr:colOff>
                <xdr:row>148</xdr:row>
                <xdr:rowOff>161925</xdr:rowOff>
              </to>
            </anchor>
          </objectPr>
        </oleObject>
      </mc:Choice>
      <mc:Fallback>
        <oleObject progId="Equation.3" shapeId="352284" r:id="rId39"/>
      </mc:Fallback>
    </mc:AlternateContent>
    <mc:AlternateContent xmlns:mc="http://schemas.openxmlformats.org/markup-compatibility/2006">
      <mc:Choice Requires="x14">
        <oleObject progId="Equation.3" shapeId="352285" r:id="rId41">
          <objectPr defaultSize="0" autoPict="0" r:id="rId42">
            <anchor moveWithCells="1">
              <from>
                <xdr:col>4</xdr:col>
                <xdr:colOff>23813</xdr:colOff>
                <xdr:row>149</xdr:row>
                <xdr:rowOff>9525</xdr:rowOff>
              </from>
              <to>
                <xdr:col>7</xdr:col>
                <xdr:colOff>571500</xdr:colOff>
                <xdr:row>151</xdr:row>
                <xdr:rowOff>114300</xdr:rowOff>
              </to>
            </anchor>
          </objectPr>
        </oleObject>
      </mc:Choice>
      <mc:Fallback>
        <oleObject progId="Equation.3" shapeId="352285" r:id="rId41"/>
      </mc:Fallback>
    </mc:AlternateContent>
    <mc:AlternateContent xmlns:mc="http://schemas.openxmlformats.org/markup-compatibility/2006">
      <mc:Choice Requires="x14">
        <oleObject progId="Equation.3" shapeId="352286" r:id="rId43">
          <objectPr defaultSize="0" autoPict="0" r:id="rId44">
            <anchor moveWithCells="1">
              <from>
                <xdr:col>3</xdr:col>
                <xdr:colOff>600075</xdr:colOff>
                <xdr:row>157</xdr:row>
                <xdr:rowOff>14288</xdr:rowOff>
              </from>
              <to>
                <xdr:col>6</xdr:col>
                <xdr:colOff>542925</xdr:colOff>
                <xdr:row>160</xdr:row>
                <xdr:rowOff>123825</xdr:rowOff>
              </to>
            </anchor>
          </objectPr>
        </oleObject>
      </mc:Choice>
      <mc:Fallback>
        <oleObject progId="Equation.3" shapeId="352286" r:id="rId43"/>
      </mc:Fallback>
    </mc:AlternateContent>
    <mc:AlternateContent xmlns:mc="http://schemas.openxmlformats.org/markup-compatibility/2006">
      <mc:Choice Requires="x14">
        <oleObject progId="Equation.3" shapeId="352287" r:id="rId45">
          <objectPr defaultSize="0" autoPict="0" r:id="rId46">
            <anchor moveWithCells="1">
              <from>
                <xdr:col>4</xdr:col>
                <xdr:colOff>9525</xdr:colOff>
                <xdr:row>161</xdr:row>
                <xdr:rowOff>14288</xdr:rowOff>
              </from>
              <to>
                <xdr:col>8</xdr:col>
                <xdr:colOff>723900</xdr:colOff>
                <xdr:row>163</xdr:row>
                <xdr:rowOff>28575</xdr:rowOff>
              </to>
            </anchor>
          </objectPr>
        </oleObject>
      </mc:Choice>
      <mc:Fallback>
        <oleObject progId="Equation.3" shapeId="352287" r:id="rId45"/>
      </mc:Fallback>
    </mc:AlternateContent>
    <mc:AlternateContent xmlns:mc="http://schemas.openxmlformats.org/markup-compatibility/2006">
      <mc:Choice Requires="x14">
        <oleObject progId="Equation.3" shapeId="352288" r:id="rId47">
          <objectPr defaultSize="0" autoPict="0" r:id="rId48">
            <anchor moveWithCells="1">
              <from>
                <xdr:col>4</xdr:col>
                <xdr:colOff>0</xdr:colOff>
                <xdr:row>163</xdr:row>
                <xdr:rowOff>52388</xdr:rowOff>
              </from>
              <to>
                <xdr:col>7</xdr:col>
                <xdr:colOff>547688</xdr:colOff>
                <xdr:row>165</xdr:row>
                <xdr:rowOff>66675</xdr:rowOff>
              </to>
            </anchor>
          </objectPr>
        </oleObject>
      </mc:Choice>
      <mc:Fallback>
        <oleObject progId="Equation.3" shapeId="352288" r:id="rId47"/>
      </mc:Fallback>
    </mc:AlternateContent>
    <mc:AlternateContent xmlns:mc="http://schemas.openxmlformats.org/markup-compatibility/2006">
      <mc:Choice Requires="x14">
        <oleObject progId="Equation.3" shapeId="352289" r:id="rId49">
          <objectPr defaultSize="0" autoPict="0" r:id="rId46">
            <anchor moveWithCells="1">
              <from>
                <xdr:col>3</xdr:col>
                <xdr:colOff>623888</xdr:colOff>
                <xdr:row>171</xdr:row>
                <xdr:rowOff>14288</xdr:rowOff>
              </from>
              <to>
                <xdr:col>8</xdr:col>
                <xdr:colOff>695325</xdr:colOff>
                <xdr:row>173</xdr:row>
                <xdr:rowOff>28575</xdr:rowOff>
              </to>
            </anchor>
          </objectPr>
        </oleObject>
      </mc:Choice>
      <mc:Fallback>
        <oleObject progId="Equation.3" shapeId="352289" r:id="rId49"/>
      </mc:Fallback>
    </mc:AlternateContent>
    <mc:AlternateContent xmlns:mc="http://schemas.openxmlformats.org/markup-compatibility/2006">
      <mc:Choice Requires="x14">
        <oleObject progId="Equation.3" shapeId="352290" r:id="rId50">
          <objectPr defaultSize="0" autoPict="0" r:id="rId44">
            <anchor moveWithCells="1">
              <from>
                <xdr:col>4</xdr:col>
                <xdr:colOff>90488</xdr:colOff>
                <xdr:row>174</xdr:row>
                <xdr:rowOff>161925</xdr:rowOff>
              </from>
              <to>
                <xdr:col>6</xdr:col>
                <xdr:colOff>676275</xdr:colOff>
                <xdr:row>179</xdr:row>
                <xdr:rowOff>28575</xdr:rowOff>
              </to>
            </anchor>
          </objectPr>
        </oleObject>
      </mc:Choice>
      <mc:Fallback>
        <oleObject progId="Equation.3" shapeId="352290" r:id="rId50"/>
      </mc:Fallback>
    </mc:AlternateContent>
    <mc:AlternateContent xmlns:mc="http://schemas.openxmlformats.org/markup-compatibility/2006">
      <mc:Choice Requires="x14">
        <oleObject progId="Equation.3" shapeId="352291" r:id="rId51">
          <objectPr defaultSize="0" autoPict="0" r:id="rId46">
            <anchor moveWithCells="1">
              <from>
                <xdr:col>4</xdr:col>
                <xdr:colOff>9525</xdr:colOff>
                <xdr:row>181</xdr:row>
                <xdr:rowOff>104775</xdr:rowOff>
              </from>
              <to>
                <xdr:col>8</xdr:col>
                <xdr:colOff>723900</xdr:colOff>
                <xdr:row>183</xdr:row>
                <xdr:rowOff>123825</xdr:rowOff>
              </to>
            </anchor>
          </objectPr>
        </oleObject>
      </mc:Choice>
      <mc:Fallback>
        <oleObject progId="Equation.3" shapeId="352291" r:id="rId51"/>
      </mc:Fallback>
    </mc:AlternateContent>
    <mc:AlternateContent xmlns:mc="http://schemas.openxmlformats.org/markup-compatibility/2006">
      <mc:Choice Requires="x14">
        <oleObject progId="Equation.3" shapeId="352292" r:id="rId52">
          <objectPr defaultSize="0" autoPict="0" r:id="rId44">
            <anchor moveWithCells="1">
              <from>
                <xdr:col>4</xdr:col>
                <xdr:colOff>23813</xdr:colOff>
                <xdr:row>186</xdr:row>
                <xdr:rowOff>9525</xdr:rowOff>
              </from>
              <to>
                <xdr:col>6</xdr:col>
                <xdr:colOff>609600</xdr:colOff>
                <xdr:row>190</xdr:row>
                <xdr:rowOff>52388</xdr:rowOff>
              </to>
            </anchor>
          </objectPr>
        </oleObject>
      </mc:Choice>
      <mc:Fallback>
        <oleObject progId="Equation.3" shapeId="352292" r:id="rId52"/>
      </mc:Fallback>
    </mc:AlternateContent>
    <mc:AlternateContent xmlns:mc="http://schemas.openxmlformats.org/markup-compatibility/2006">
      <mc:Choice Requires="x14">
        <oleObject progId="Equation.3" shapeId="352293" r:id="rId53">
          <objectPr defaultSize="0" autoPict="0" r:id="rId46">
            <anchor moveWithCells="1">
              <from>
                <xdr:col>4</xdr:col>
                <xdr:colOff>0</xdr:colOff>
                <xdr:row>194</xdr:row>
                <xdr:rowOff>100013</xdr:rowOff>
              </from>
              <to>
                <xdr:col>8</xdr:col>
                <xdr:colOff>714375</xdr:colOff>
                <xdr:row>196</xdr:row>
                <xdr:rowOff>114300</xdr:rowOff>
              </to>
            </anchor>
          </objectPr>
        </oleObject>
      </mc:Choice>
      <mc:Fallback>
        <oleObject progId="Equation.3" shapeId="352293" r:id="rId53"/>
      </mc:Fallback>
    </mc:AlternateContent>
    <mc:AlternateContent xmlns:mc="http://schemas.openxmlformats.org/markup-compatibility/2006">
      <mc:Choice Requires="x14">
        <oleObject progId="Equation.3" shapeId="352294" r:id="rId54">
          <objectPr defaultSize="0" autoPict="0" r:id="rId44">
            <anchor moveWithCells="1">
              <from>
                <xdr:col>4</xdr:col>
                <xdr:colOff>38100</xdr:colOff>
                <xdr:row>198</xdr:row>
                <xdr:rowOff>23813</xdr:rowOff>
              </from>
              <to>
                <xdr:col>6</xdr:col>
                <xdr:colOff>623888</xdr:colOff>
                <xdr:row>202</xdr:row>
                <xdr:rowOff>61913</xdr:rowOff>
              </to>
            </anchor>
          </objectPr>
        </oleObject>
      </mc:Choice>
      <mc:Fallback>
        <oleObject progId="Equation.3" shapeId="352294" r:id="rId54"/>
      </mc:Fallback>
    </mc:AlternateContent>
    <mc:AlternateContent xmlns:mc="http://schemas.openxmlformats.org/markup-compatibility/2006">
      <mc:Choice Requires="x14">
        <oleObject progId="Equation.3" shapeId="352295" r:id="rId55">
          <objectPr defaultSize="0" autoPict="0" r:id="rId56">
            <anchor moveWithCells="1">
              <from>
                <xdr:col>6</xdr:col>
                <xdr:colOff>1652588</xdr:colOff>
                <xdr:row>121</xdr:row>
                <xdr:rowOff>52388</xdr:rowOff>
              </from>
              <to>
                <xdr:col>8</xdr:col>
                <xdr:colOff>733425</xdr:colOff>
                <xdr:row>124</xdr:row>
                <xdr:rowOff>161925</xdr:rowOff>
              </to>
            </anchor>
          </objectPr>
        </oleObject>
      </mc:Choice>
      <mc:Fallback>
        <oleObject progId="Equation.3" shapeId="352295" r:id="rId55"/>
      </mc:Fallback>
    </mc:AlternateContent>
    <mc:AlternateContent xmlns:mc="http://schemas.openxmlformats.org/markup-compatibility/2006">
      <mc:Choice Requires="x14">
        <oleObject progId="Equation.3" shapeId="352296" r:id="rId57">
          <objectPr defaultSize="0" autoPict="0" r:id="rId58">
            <anchor moveWithCells="1">
              <from>
                <xdr:col>6</xdr:col>
                <xdr:colOff>1571625</xdr:colOff>
                <xdr:row>125</xdr:row>
                <xdr:rowOff>0</xdr:rowOff>
              </from>
              <to>
                <xdr:col>8</xdr:col>
                <xdr:colOff>809625</xdr:colOff>
                <xdr:row>128</xdr:row>
                <xdr:rowOff>100013</xdr:rowOff>
              </to>
            </anchor>
          </objectPr>
        </oleObject>
      </mc:Choice>
      <mc:Fallback>
        <oleObject progId="Equation.3" shapeId="352296" r:id="rId57"/>
      </mc:Fallback>
    </mc:AlternateContent>
    <mc:AlternateContent xmlns:mc="http://schemas.openxmlformats.org/markup-compatibility/2006">
      <mc:Choice Requires="x14">
        <oleObject progId="Equation.3" shapeId="352297" r:id="rId59">
          <objectPr defaultSize="0" autoPict="0" r:id="rId60">
            <anchor moveWithCells="1" sizeWithCells="1">
              <from>
                <xdr:col>6</xdr:col>
                <xdr:colOff>1057275</xdr:colOff>
                <xdr:row>54</xdr:row>
                <xdr:rowOff>0</xdr:rowOff>
              </from>
              <to>
                <xdr:col>8</xdr:col>
                <xdr:colOff>138113</xdr:colOff>
                <xdr:row>57</xdr:row>
                <xdr:rowOff>104775</xdr:rowOff>
              </to>
            </anchor>
          </objectPr>
        </oleObject>
      </mc:Choice>
      <mc:Fallback>
        <oleObject progId="Equation.3" shapeId="352297" r:id="rId59"/>
      </mc:Fallback>
    </mc:AlternateContent>
    <mc:AlternateContent xmlns:mc="http://schemas.openxmlformats.org/markup-compatibility/2006">
      <mc:Choice Requires="x14">
        <oleObject progId="Equation.3" shapeId="352298" r:id="rId61">
          <objectPr defaultSize="0" autoPict="0" r:id="rId62">
            <anchor moveWithCells="1" sizeWithCells="1">
              <from>
                <xdr:col>8</xdr:col>
                <xdr:colOff>609600</xdr:colOff>
                <xdr:row>54</xdr:row>
                <xdr:rowOff>9525</xdr:rowOff>
              </from>
              <to>
                <xdr:col>11</xdr:col>
                <xdr:colOff>276225</xdr:colOff>
                <xdr:row>57</xdr:row>
                <xdr:rowOff>123825</xdr:rowOff>
              </to>
            </anchor>
          </objectPr>
        </oleObject>
      </mc:Choice>
      <mc:Fallback>
        <oleObject progId="Equation.3" shapeId="352298" r:id="rId61"/>
      </mc:Fallback>
    </mc:AlternateContent>
    <mc:AlternateContent xmlns:mc="http://schemas.openxmlformats.org/markup-compatibility/2006">
      <mc:Choice Requires="x14">
        <oleObject progId="Equation.3" shapeId="352299" r:id="rId63">
          <objectPr defaultSize="0" autoPict="0" r:id="rId64">
            <anchor moveWithCells="1">
              <from>
                <xdr:col>6</xdr:col>
                <xdr:colOff>923925</xdr:colOff>
                <xdr:row>185</xdr:row>
                <xdr:rowOff>138113</xdr:rowOff>
              </from>
              <to>
                <xdr:col>8</xdr:col>
                <xdr:colOff>0</xdr:colOff>
                <xdr:row>190</xdr:row>
                <xdr:rowOff>14288</xdr:rowOff>
              </to>
            </anchor>
          </objectPr>
        </oleObject>
      </mc:Choice>
      <mc:Fallback>
        <oleObject progId="Equation.3" shapeId="352299" r:id="rId63"/>
      </mc:Fallback>
    </mc:AlternateContent>
    <mc:AlternateContent xmlns:mc="http://schemas.openxmlformats.org/markup-compatibility/2006">
      <mc:Choice Requires="x14">
        <oleObject progId="Equation.3" shapeId="352300" r:id="rId65">
          <objectPr defaultSize="0" autoPict="0" r:id="rId66">
            <anchor moveWithCells="1">
              <from>
                <xdr:col>8</xdr:col>
                <xdr:colOff>504825</xdr:colOff>
                <xdr:row>185</xdr:row>
                <xdr:rowOff>85725</xdr:rowOff>
              </from>
              <to>
                <xdr:col>11</xdr:col>
                <xdr:colOff>333375</xdr:colOff>
                <xdr:row>189</xdr:row>
                <xdr:rowOff>123825</xdr:rowOff>
              </to>
            </anchor>
          </objectPr>
        </oleObject>
      </mc:Choice>
      <mc:Fallback>
        <oleObject progId="Equation.3" shapeId="352300" r:id="rId65"/>
      </mc:Fallback>
    </mc:AlternateContent>
    <mc:AlternateContent xmlns:mc="http://schemas.openxmlformats.org/markup-compatibility/2006">
      <mc:Choice Requires="x14">
        <oleObject progId="Equation.3" shapeId="352301" r:id="rId67">
          <objectPr defaultSize="0" autoPict="0" r:id="rId46">
            <anchor moveWithCells="1">
              <from>
                <xdr:col>4</xdr:col>
                <xdr:colOff>23813</xdr:colOff>
                <xdr:row>205</xdr:row>
                <xdr:rowOff>14288</xdr:rowOff>
              </from>
              <to>
                <xdr:col>8</xdr:col>
                <xdr:colOff>738188</xdr:colOff>
                <xdr:row>207</xdr:row>
                <xdr:rowOff>28575</xdr:rowOff>
              </to>
            </anchor>
          </objectPr>
        </oleObject>
      </mc:Choice>
      <mc:Fallback>
        <oleObject progId="Equation.3" shapeId="352301" r:id="rId67"/>
      </mc:Fallback>
    </mc:AlternateContent>
    <mc:AlternateContent xmlns:mc="http://schemas.openxmlformats.org/markup-compatibility/2006">
      <mc:Choice Requires="x14">
        <oleObject progId="Equation.3" shapeId="352302" r:id="rId68">
          <objectPr defaultSize="0" autoPict="0" r:id="rId64">
            <anchor moveWithCells="1">
              <from>
                <xdr:col>6</xdr:col>
                <xdr:colOff>962025</xdr:colOff>
                <xdr:row>207</xdr:row>
                <xdr:rowOff>123825</xdr:rowOff>
              </from>
              <to>
                <xdr:col>8</xdr:col>
                <xdr:colOff>38100</xdr:colOff>
                <xdr:row>211</xdr:row>
                <xdr:rowOff>61913</xdr:rowOff>
              </to>
            </anchor>
          </objectPr>
        </oleObject>
      </mc:Choice>
      <mc:Fallback>
        <oleObject progId="Equation.3" shapeId="352302" r:id="rId68"/>
      </mc:Fallback>
    </mc:AlternateContent>
    <mc:AlternateContent xmlns:mc="http://schemas.openxmlformats.org/markup-compatibility/2006">
      <mc:Choice Requires="x14">
        <oleObject progId="Equation.3" shapeId="352303" r:id="rId69">
          <objectPr defaultSize="0" autoPict="0" r:id="rId66">
            <anchor moveWithCells="1">
              <from>
                <xdr:col>8</xdr:col>
                <xdr:colOff>600075</xdr:colOff>
                <xdr:row>207</xdr:row>
                <xdr:rowOff>90488</xdr:rowOff>
              </from>
              <to>
                <xdr:col>11</xdr:col>
                <xdr:colOff>433388</xdr:colOff>
                <xdr:row>211</xdr:row>
                <xdr:rowOff>28575</xdr:rowOff>
              </to>
            </anchor>
          </objectPr>
        </oleObject>
      </mc:Choice>
      <mc:Fallback>
        <oleObject progId="Equation.3" shapeId="352303" r:id="rId69"/>
      </mc:Fallback>
    </mc:AlternateContent>
  </oleObjec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96DB-83CC-4317-9CA2-7E116F44D04D}">
  <sheetPr>
    <tabColor rgb="FF008080"/>
    <pageSetUpPr fitToPage="1"/>
  </sheetPr>
  <dimension ref="A1:IW117"/>
  <sheetViews>
    <sheetView showGridLines="0" showRowColHeaders="0" topLeftCell="B1" workbookViewId="0">
      <selection activeCell="B17" sqref="B17"/>
    </sheetView>
  </sheetViews>
  <sheetFormatPr defaultColWidth="9.1328125" defaultRowHeight="12.75"/>
  <cols>
    <col min="1" max="1" width="0" style="3045" hidden="1" customWidth="1"/>
    <col min="2" max="2" width="36.6640625" style="3098" customWidth="1"/>
    <col min="3" max="3" width="2.6640625" style="3045" customWidth="1"/>
    <col min="4" max="4" width="3.6640625" style="3092" customWidth="1"/>
    <col min="5" max="6" width="10.6640625" style="3092" customWidth="1"/>
    <col min="7" max="7" width="19" style="3092" customWidth="1"/>
    <col min="8" max="9" width="10.6640625" style="3092" customWidth="1"/>
    <col min="10" max="10" width="19" style="3092" customWidth="1"/>
    <col min="11" max="12" width="10.6640625" style="3092" customWidth="1"/>
    <col min="13" max="13" width="3.6640625" style="3092" customWidth="1"/>
    <col min="14" max="257" width="9.1328125" style="3092"/>
    <col min="258" max="258" width="0" style="3092" hidden="1" customWidth="1"/>
    <col min="259" max="259" width="43.46484375" style="3092" customWidth="1"/>
    <col min="260" max="260" width="3.6640625" style="3092" customWidth="1"/>
    <col min="261" max="261" width="32.6640625" style="3092" customWidth="1"/>
    <col min="262" max="262" width="27" style="3092" customWidth="1"/>
    <col min="263" max="264" width="9.1328125" style="3092" customWidth="1"/>
    <col min="265" max="265" width="5" style="3092" customWidth="1"/>
    <col min="266" max="267" width="9.1328125" style="3092" customWidth="1"/>
    <col min="268" max="268" width="10.53125" style="3092" customWidth="1"/>
    <col min="269" max="513" width="9.1328125" style="3092"/>
    <col min="514" max="514" width="0" style="3092" hidden="1" customWidth="1"/>
    <col min="515" max="515" width="43.46484375" style="3092" customWidth="1"/>
    <col min="516" max="516" width="3.6640625" style="3092" customWidth="1"/>
    <col min="517" max="517" width="32.6640625" style="3092" customWidth="1"/>
    <col min="518" max="518" width="27" style="3092" customWidth="1"/>
    <col min="519" max="520" width="9.1328125" style="3092" customWidth="1"/>
    <col min="521" max="521" width="5" style="3092" customWidth="1"/>
    <col min="522" max="523" width="9.1328125" style="3092" customWidth="1"/>
    <col min="524" max="524" width="10.53125" style="3092" customWidth="1"/>
    <col min="525" max="769" width="9.1328125" style="3092"/>
    <col min="770" max="770" width="0" style="3092" hidden="1" customWidth="1"/>
    <col min="771" max="771" width="43.46484375" style="3092" customWidth="1"/>
    <col min="772" max="772" width="3.6640625" style="3092" customWidth="1"/>
    <col min="773" max="773" width="32.6640625" style="3092" customWidth="1"/>
    <col min="774" max="774" width="27" style="3092" customWidth="1"/>
    <col min="775" max="776" width="9.1328125" style="3092" customWidth="1"/>
    <col min="777" max="777" width="5" style="3092" customWidth="1"/>
    <col min="778" max="779" width="9.1328125" style="3092" customWidth="1"/>
    <col min="780" max="780" width="10.53125" style="3092" customWidth="1"/>
    <col min="781" max="1025" width="9.1328125" style="3092"/>
    <col min="1026" max="1026" width="0" style="3092" hidden="1" customWidth="1"/>
    <col min="1027" max="1027" width="43.46484375" style="3092" customWidth="1"/>
    <col min="1028" max="1028" width="3.6640625" style="3092" customWidth="1"/>
    <col min="1029" max="1029" width="32.6640625" style="3092" customWidth="1"/>
    <col min="1030" max="1030" width="27" style="3092" customWidth="1"/>
    <col min="1031" max="1032" width="9.1328125" style="3092" customWidth="1"/>
    <col min="1033" max="1033" width="5" style="3092" customWidth="1"/>
    <col min="1034" max="1035" width="9.1328125" style="3092" customWidth="1"/>
    <col min="1036" max="1036" width="10.53125" style="3092" customWidth="1"/>
    <col min="1037" max="1281" width="9.1328125" style="3092"/>
    <col min="1282" max="1282" width="0" style="3092" hidden="1" customWidth="1"/>
    <col min="1283" max="1283" width="43.46484375" style="3092" customWidth="1"/>
    <col min="1284" max="1284" width="3.6640625" style="3092" customWidth="1"/>
    <col min="1285" max="1285" width="32.6640625" style="3092" customWidth="1"/>
    <col min="1286" max="1286" width="27" style="3092" customWidth="1"/>
    <col min="1287" max="1288" width="9.1328125" style="3092" customWidth="1"/>
    <col min="1289" max="1289" width="5" style="3092" customWidth="1"/>
    <col min="1290" max="1291" width="9.1328125" style="3092" customWidth="1"/>
    <col min="1292" max="1292" width="10.53125" style="3092" customWidth="1"/>
    <col min="1293" max="1537" width="9.1328125" style="3092"/>
    <col min="1538" max="1538" width="0" style="3092" hidden="1" customWidth="1"/>
    <col min="1539" max="1539" width="43.46484375" style="3092" customWidth="1"/>
    <col min="1540" max="1540" width="3.6640625" style="3092" customWidth="1"/>
    <col min="1541" max="1541" width="32.6640625" style="3092" customWidth="1"/>
    <col min="1542" max="1542" width="27" style="3092" customWidth="1"/>
    <col min="1543" max="1544" width="9.1328125" style="3092" customWidth="1"/>
    <col min="1545" max="1545" width="5" style="3092" customWidth="1"/>
    <col min="1546" max="1547" width="9.1328125" style="3092" customWidth="1"/>
    <col min="1548" max="1548" width="10.53125" style="3092" customWidth="1"/>
    <col min="1549" max="1793" width="9.1328125" style="3092"/>
    <col min="1794" max="1794" width="0" style="3092" hidden="1" customWidth="1"/>
    <col min="1795" max="1795" width="43.46484375" style="3092" customWidth="1"/>
    <col min="1796" max="1796" width="3.6640625" style="3092" customWidth="1"/>
    <col min="1797" max="1797" width="32.6640625" style="3092" customWidth="1"/>
    <col min="1798" max="1798" width="27" style="3092" customWidth="1"/>
    <col min="1799" max="1800" width="9.1328125" style="3092" customWidth="1"/>
    <col min="1801" max="1801" width="5" style="3092" customWidth="1"/>
    <col min="1802" max="1803" width="9.1328125" style="3092" customWidth="1"/>
    <col min="1804" max="1804" width="10.53125" style="3092" customWidth="1"/>
    <col min="1805" max="2049" width="9.1328125" style="3092"/>
    <col min="2050" max="2050" width="0" style="3092" hidden="1" customWidth="1"/>
    <col min="2051" max="2051" width="43.46484375" style="3092" customWidth="1"/>
    <col min="2052" max="2052" width="3.6640625" style="3092" customWidth="1"/>
    <col min="2053" max="2053" width="32.6640625" style="3092" customWidth="1"/>
    <col min="2054" max="2054" width="27" style="3092" customWidth="1"/>
    <col min="2055" max="2056" width="9.1328125" style="3092" customWidth="1"/>
    <col min="2057" max="2057" width="5" style="3092" customWidth="1"/>
    <col min="2058" max="2059" width="9.1328125" style="3092" customWidth="1"/>
    <col min="2060" max="2060" width="10.53125" style="3092" customWidth="1"/>
    <col min="2061" max="2305" width="9.1328125" style="3092"/>
    <col min="2306" max="2306" width="0" style="3092" hidden="1" customWidth="1"/>
    <col min="2307" max="2307" width="43.46484375" style="3092" customWidth="1"/>
    <col min="2308" max="2308" width="3.6640625" style="3092" customWidth="1"/>
    <col min="2309" max="2309" width="32.6640625" style="3092" customWidth="1"/>
    <col min="2310" max="2310" width="27" style="3092" customWidth="1"/>
    <col min="2311" max="2312" width="9.1328125" style="3092" customWidth="1"/>
    <col min="2313" max="2313" width="5" style="3092" customWidth="1"/>
    <col min="2314" max="2315" width="9.1328125" style="3092" customWidth="1"/>
    <col min="2316" max="2316" width="10.53125" style="3092" customWidth="1"/>
    <col min="2317" max="2561" width="9.1328125" style="3092"/>
    <col min="2562" max="2562" width="0" style="3092" hidden="1" customWidth="1"/>
    <col min="2563" max="2563" width="43.46484375" style="3092" customWidth="1"/>
    <col min="2564" max="2564" width="3.6640625" style="3092" customWidth="1"/>
    <col min="2565" max="2565" width="32.6640625" style="3092" customWidth="1"/>
    <col min="2566" max="2566" width="27" style="3092" customWidth="1"/>
    <col min="2567" max="2568" width="9.1328125" style="3092" customWidth="1"/>
    <col min="2569" max="2569" width="5" style="3092" customWidth="1"/>
    <col min="2570" max="2571" width="9.1328125" style="3092" customWidth="1"/>
    <col min="2572" max="2572" width="10.53125" style="3092" customWidth="1"/>
    <col min="2573" max="2817" width="9.1328125" style="3092"/>
    <col min="2818" max="2818" width="0" style="3092" hidden="1" customWidth="1"/>
    <col min="2819" max="2819" width="43.46484375" style="3092" customWidth="1"/>
    <col min="2820" max="2820" width="3.6640625" style="3092" customWidth="1"/>
    <col min="2821" max="2821" width="32.6640625" style="3092" customWidth="1"/>
    <col min="2822" max="2822" width="27" style="3092" customWidth="1"/>
    <col min="2823" max="2824" width="9.1328125" style="3092" customWidth="1"/>
    <col min="2825" max="2825" width="5" style="3092" customWidth="1"/>
    <col min="2826" max="2827" width="9.1328125" style="3092" customWidth="1"/>
    <col min="2828" max="2828" width="10.53125" style="3092" customWidth="1"/>
    <col min="2829" max="3073" width="9.1328125" style="3092"/>
    <col min="3074" max="3074" width="0" style="3092" hidden="1" customWidth="1"/>
    <col min="3075" max="3075" width="43.46484375" style="3092" customWidth="1"/>
    <col min="3076" max="3076" width="3.6640625" style="3092" customWidth="1"/>
    <col min="3077" max="3077" width="32.6640625" style="3092" customWidth="1"/>
    <col min="3078" max="3078" width="27" style="3092" customWidth="1"/>
    <col min="3079" max="3080" width="9.1328125" style="3092" customWidth="1"/>
    <col min="3081" max="3081" width="5" style="3092" customWidth="1"/>
    <col min="3082" max="3083" width="9.1328125" style="3092" customWidth="1"/>
    <col min="3084" max="3084" width="10.53125" style="3092" customWidth="1"/>
    <col min="3085" max="3329" width="9.1328125" style="3092"/>
    <col min="3330" max="3330" width="0" style="3092" hidden="1" customWidth="1"/>
    <col min="3331" max="3331" width="43.46484375" style="3092" customWidth="1"/>
    <col min="3332" max="3332" width="3.6640625" style="3092" customWidth="1"/>
    <col min="3333" max="3333" width="32.6640625" style="3092" customWidth="1"/>
    <col min="3334" max="3334" width="27" style="3092" customWidth="1"/>
    <col min="3335" max="3336" width="9.1328125" style="3092" customWidth="1"/>
    <col min="3337" max="3337" width="5" style="3092" customWidth="1"/>
    <col min="3338" max="3339" width="9.1328125" style="3092" customWidth="1"/>
    <col min="3340" max="3340" width="10.53125" style="3092" customWidth="1"/>
    <col min="3341" max="3585" width="9.1328125" style="3092"/>
    <col min="3586" max="3586" width="0" style="3092" hidden="1" customWidth="1"/>
    <col min="3587" max="3587" width="43.46484375" style="3092" customWidth="1"/>
    <col min="3588" max="3588" width="3.6640625" style="3092" customWidth="1"/>
    <col min="3589" max="3589" width="32.6640625" style="3092" customWidth="1"/>
    <col min="3590" max="3590" width="27" style="3092" customWidth="1"/>
    <col min="3591" max="3592" width="9.1328125" style="3092" customWidth="1"/>
    <col min="3593" max="3593" width="5" style="3092" customWidth="1"/>
    <col min="3594" max="3595" width="9.1328125" style="3092" customWidth="1"/>
    <col min="3596" max="3596" width="10.53125" style="3092" customWidth="1"/>
    <col min="3597" max="3841" width="9.1328125" style="3092"/>
    <col min="3842" max="3842" width="0" style="3092" hidden="1" customWidth="1"/>
    <col min="3843" max="3843" width="43.46484375" style="3092" customWidth="1"/>
    <col min="3844" max="3844" width="3.6640625" style="3092" customWidth="1"/>
    <col min="3845" max="3845" width="32.6640625" style="3092" customWidth="1"/>
    <col min="3846" max="3846" width="27" style="3092" customWidth="1"/>
    <col min="3847" max="3848" width="9.1328125" style="3092" customWidth="1"/>
    <col min="3849" max="3849" width="5" style="3092" customWidth="1"/>
    <col min="3850" max="3851" width="9.1328125" style="3092" customWidth="1"/>
    <col min="3852" max="3852" width="10.53125" style="3092" customWidth="1"/>
    <col min="3853" max="4097" width="9.1328125" style="3092"/>
    <col min="4098" max="4098" width="0" style="3092" hidden="1" customWidth="1"/>
    <col min="4099" max="4099" width="43.46484375" style="3092" customWidth="1"/>
    <col min="4100" max="4100" width="3.6640625" style="3092" customWidth="1"/>
    <col min="4101" max="4101" width="32.6640625" style="3092" customWidth="1"/>
    <col min="4102" max="4102" width="27" style="3092" customWidth="1"/>
    <col min="4103" max="4104" width="9.1328125" style="3092" customWidth="1"/>
    <col min="4105" max="4105" width="5" style="3092" customWidth="1"/>
    <col min="4106" max="4107" width="9.1328125" style="3092" customWidth="1"/>
    <col min="4108" max="4108" width="10.53125" style="3092" customWidth="1"/>
    <col min="4109" max="4353" width="9.1328125" style="3092"/>
    <col min="4354" max="4354" width="0" style="3092" hidden="1" customWidth="1"/>
    <col min="4355" max="4355" width="43.46484375" style="3092" customWidth="1"/>
    <col min="4356" max="4356" width="3.6640625" style="3092" customWidth="1"/>
    <col min="4357" max="4357" width="32.6640625" style="3092" customWidth="1"/>
    <col min="4358" max="4358" width="27" style="3092" customWidth="1"/>
    <col min="4359" max="4360" width="9.1328125" style="3092" customWidth="1"/>
    <col min="4361" max="4361" width="5" style="3092" customWidth="1"/>
    <col min="4362" max="4363" width="9.1328125" style="3092" customWidth="1"/>
    <col min="4364" max="4364" width="10.53125" style="3092" customWidth="1"/>
    <col min="4365" max="4609" width="9.1328125" style="3092"/>
    <col min="4610" max="4610" width="0" style="3092" hidden="1" customWidth="1"/>
    <col min="4611" max="4611" width="43.46484375" style="3092" customWidth="1"/>
    <col min="4612" max="4612" width="3.6640625" style="3092" customWidth="1"/>
    <col min="4613" max="4613" width="32.6640625" style="3092" customWidth="1"/>
    <col min="4614" max="4614" width="27" style="3092" customWidth="1"/>
    <col min="4615" max="4616" width="9.1328125" style="3092" customWidth="1"/>
    <col min="4617" max="4617" width="5" style="3092" customWidth="1"/>
    <col min="4618" max="4619" width="9.1328125" style="3092" customWidth="1"/>
    <col min="4620" max="4620" width="10.53125" style="3092" customWidth="1"/>
    <col min="4621" max="4865" width="9.1328125" style="3092"/>
    <col min="4866" max="4866" width="0" style="3092" hidden="1" customWidth="1"/>
    <col min="4867" max="4867" width="43.46484375" style="3092" customWidth="1"/>
    <col min="4868" max="4868" width="3.6640625" style="3092" customWidth="1"/>
    <col min="4869" max="4869" width="32.6640625" style="3092" customWidth="1"/>
    <col min="4870" max="4870" width="27" style="3092" customWidth="1"/>
    <col min="4871" max="4872" width="9.1328125" style="3092" customWidth="1"/>
    <col min="4873" max="4873" width="5" style="3092" customWidth="1"/>
    <col min="4874" max="4875" width="9.1328125" style="3092" customWidth="1"/>
    <col min="4876" max="4876" width="10.53125" style="3092" customWidth="1"/>
    <col min="4877" max="5121" width="9.1328125" style="3092"/>
    <col min="5122" max="5122" width="0" style="3092" hidden="1" customWidth="1"/>
    <col min="5123" max="5123" width="43.46484375" style="3092" customWidth="1"/>
    <col min="5124" max="5124" width="3.6640625" style="3092" customWidth="1"/>
    <col min="5125" max="5125" width="32.6640625" style="3092" customWidth="1"/>
    <col min="5126" max="5126" width="27" style="3092" customWidth="1"/>
    <col min="5127" max="5128" width="9.1328125" style="3092" customWidth="1"/>
    <col min="5129" max="5129" width="5" style="3092" customWidth="1"/>
    <col min="5130" max="5131" width="9.1328125" style="3092" customWidth="1"/>
    <col min="5132" max="5132" width="10.53125" style="3092" customWidth="1"/>
    <col min="5133" max="5377" width="9.1328125" style="3092"/>
    <col min="5378" max="5378" width="0" style="3092" hidden="1" customWidth="1"/>
    <col min="5379" max="5379" width="43.46484375" style="3092" customWidth="1"/>
    <col min="5380" max="5380" width="3.6640625" style="3092" customWidth="1"/>
    <col min="5381" max="5381" width="32.6640625" style="3092" customWidth="1"/>
    <col min="5382" max="5382" width="27" style="3092" customWidth="1"/>
    <col min="5383" max="5384" width="9.1328125" style="3092" customWidth="1"/>
    <col min="5385" max="5385" width="5" style="3092" customWidth="1"/>
    <col min="5386" max="5387" width="9.1328125" style="3092" customWidth="1"/>
    <col min="5388" max="5388" width="10.53125" style="3092" customWidth="1"/>
    <col min="5389" max="5633" width="9.1328125" style="3092"/>
    <col min="5634" max="5634" width="0" style="3092" hidden="1" customWidth="1"/>
    <col min="5635" max="5635" width="43.46484375" style="3092" customWidth="1"/>
    <col min="5636" max="5636" width="3.6640625" style="3092" customWidth="1"/>
    <col min="5637" max="5637" width="32.6640625" style="3092" customWidth="1"/>
    <col min="5638" max="5638" width="27" style="3092" customWidth="1"/>
    <col min="5639" max="5640" width="9.1328125" style="3092" customWidth="1"/>
    <col min="5641" max="5641" width="5" style="3092" customWidth="1"/>
    <col min="5642" max="5643" width="9.1328125" style="3092" customWidth="1"/>
    <col min="5644" max="5644" width="10.53125" style="3092" customWidth="1"/>
    <col min="5645" max="5889" width="9.1328125" style="3092"/>
    <col min="5890" max="5890" width="0" style="3092" hidden="1" customWidth="1"/>
    <col min="5891" max="5891" width="43.46484375" style="3092" customWidth="1"/>
    <col min="5892" max="5892" width="3.6640625" style="3092" customWidth="1"/>
    <col min="5893" max="5893" width="32.6640625" style="3092" customWidth="1"/>
    <col min="5894" max="5894" width="27" style="3092" customWidth="1"/>
    <col min="5895" max="5896" width="9.1328125" style="3092" customWidth="1"/>
    <col min="5897" max="5897" width="5" style="3092" customWidth="1"/>
    <col min="5898" max="5899" width="9.1328125" style="3092" customWidth="1"/>
    <col min="5900" max="5900" width="10.53125" style="3092" customWidth="1"/>
    <col min="5901" max="6145" width="9.1328125" style="3092"/>
    <col min="6146" max="6146" width="0" style="3092" hidden="1" customWidth="1"/>
    <col min="6147" max="6147" width="43.46484375" style="3092" customWidth="1"/>
    <col min="6148" max="6148" width="3.6640625" style="3092" customWidth="1"/>
    <col min="6149" max="6149" width="32.6640625" style="3092" customWidth="1"/>
    <col min="6150" max="6150" width="27" style="3092" customWidth="1"/>
    <col min="6151" max="6152" width="9.1328125" style="3092" customWidth="1"/>
    <col min="6153" max="6153" width="5" style="3092" customWidth="1"/>
    <col min="6154" max="6155" width="9.1328125" style="3092" customWidth="1"/>
    <col min="6156" max="6156" width="10.53125" style="3092" customWidth="1"/>
    <col min="6157" max="6401" width="9.1328125" style="3092"/>
    <col min="6402" max="6402" width="0" style="3092" hidden="1" customWidth="1"/>
    <col min="6403" max="6403" width="43.46484375" style="3092" customWidth="1"/>
    <col min="6404" max="6404" width="3.6640625" style="3092" customWidth="1"/>
    <col min="6405" max="6405" width="32.6640625" style="3092" customWidth="1"/>
    <col min="6406" max="6406" width="27" style="3092" customWidth="1"/>
    <col min="6407" max="6408" width="9.1328125" style="3092" customWidth="1"/>
    <col min="6409" max="6409" width="5" style="3092" customWidth="1"/>
    <col min="6410" max="6411" width="9.1328125" style="3092" customWidth="1"/>
    <col min="6412" max="6412" width="10.53125" style="3092" customWidth="1"/>
    <col min="6413" max="6657" width="9.1328125" style="3092"/>
    <col min="6658" max="6658" width="0" style="3092" hidden="1" customWidth="1"/>
    <col min="6659" max="6659" width="43.46484375" style="3092" customWidth="1"/>
    <col min="6660" max="6660" width="3.6640625" style="3092" customWidth="1"/>
    <col min="6661" max="6661" width="32.6640625" style="3092" customWidth="1"/>
    <col min="6662" max="6662" width="27" style="3092" customWidth="1"/>
    <col min="6663" max="6664" width="9.1328125" style="3092" customWidth="1"/>
    <col min="6665" max="6665" width="5" style="3092" customWidth="1"/>
    <col min="6666" max="6667" width="9.1328125" style="3092" customWidth="1"/>
    <col min="6668" max="6668" width="10.53125" style="3092" customWidth="1"/>
    <col min="6669" max="6913" width="9.1328125" style="3092"/>
    <col min="6914" max="6914" width="0" style="3092" hidden="1" customWidth="1"/>
    <col min="6915" max="6915" width="43.46484375" style="3092" customWidth="1"/>
    <col min="6916" max="6916" width="3.6640625" style="3092" customWidth="1"/>
    <col min="6917" max="6917" width="32.6640625" style="3092" customWidth="1"/>
    <col min="6918" max="6918" width="27" style="3092" customWidth="1"/>
    <col min="6919" max="6920" width="9.1328125" style="3092" customWidth="1"/>
    <col min="6921" max="6921" width="5" style="3092" customWidth="1"/>
    <col min="6922" max="6923" width="9.1328125" style="3092" customWidth="1"/>
    <col min="6924" max="6924" width="10.53125" style="3092" customWidth="1"/>
    <col min="6925" max="7169" width="9.1328125" style="3092"/>
    <col min="7170" max="7170" width="0" style="3092" hidden="1" customWidth="1"/>
    <col min="7171" max="7171" width="43.46484375" style="3092" customWidth="1"/>
    <col min="7172" max="7172" width="3.6640625" style="3092" customWidth="1"/>
    <col min="7173" max="7173" width="32.6640625" style="3092" customWidth="1"/>
    <col min="7174" max="7174" width="27" style="3092" customWidth="1"/>
    <col min="7175" max="7176" width="9.1328125" style="3092" customWidth="1"/>
    <col min="7177" max="7177" width="5" style="3092" customWidth="1"/>
    <col min="7178" max="7179" width="9.1328125" style="3092" customWidth="1"/>
    <col min="7180" max="7180" width="10.53125" style="3092" customWidth="1"/>
    <col min="7181" max="7425" width="9.1328125" style="3092"/>
    <col min="7426" max="7426" width="0" style="3092" hidden="1" customWidth="1"/>
    <col min="7427" max="7427" width="43.46484375" style="3092" customWidth="1"/>
    <col min="7428" max="7428" width="3.6640625" style="3092" customWidth="1"/>
    <col min="7429" max="7429" width="32.6640625" style="3092" customWidth="1"/>
    <col min="7430" max="7430" width="27" style="3092" customWidth="1"/>
    <col min="7431" max="7432" width="9.1328125" style="3092" customWidth="1"/>
    <col min="7433" max="7433" width="5" style="3092" customWidth="1"/>
    <col min="7434" max="7435" width="9.1328125" style="3092" customWidth="1"/>
    <col min="7436" max="7436" width="10.53125" style="3092" customWidth="1"/>
    <col min="7437" max="7681" width="9.1328125" style="3092"/>
    <col min="7682" max="7682" width="0" style="3092" hidden="1" customWidth="1"/>
    <col min="7683" max="7683" width="43.46484375" style="3092" customWidth="1"/>
    <col min="7684" max="7684" width="3.6640625" style="3092" customWidth="1"/>
    <col min="7685" max="7685" width="32.6640625" style="3092" customWidth="1"/>
    <col min="7686" max="7686" width="27" style="3092" customWidth="1"/>
    <col min="7687" max="7688" width="9.1328125" style="3092" customWidth="1"/>
    <col min="7689" max="7689" width="5" style="3092" customWidth="1"/>
    <col min="7690" max="7691" width="9.1328125" style="3092" customWidth="1"/>
    <col min="7692" max="7692" width="10.53125" style="3092" customWidth="1"/>
    <col min="7693" max="7937" width="9.1328125" style="3092"/>
    <col min="7938" max="7938" width="0" style="3092" hidden="1" customWidth="1"/>
    <col min="7939" max="7939" width="43.46484375" style="3092" customWidth="1"/>
    <col min="7940" max="7940" width="3.6640625" style="3092" customWidth="1"/>
    <col min="7941" max="7941" width="32.6640625" style="3092" customWidth="1"/>
    <col min="7942" max="7942" width="27" style="3092" customWidth="1"/>
    <col min="7943" max="7944" width="9.1328125" style="3092" customWidth="1"/>
    <col min="7945" max="7945" width="5" style="3092" customWidth="1"/>
    <col min="7946" max="7947" width="9.1328125" style="3092" customWidth="1"/>
    <col min="7948" max="7948" width="10.53125" style="3092" customWidth="1"/>
    <col min="7949" max="8193" width="9.1328125" style="3092"/>
    <col min="8194" max="8194" width="0" style="3092" hidden="1" customWidth="1"/>
    <col min="8195" max="8195" width="43.46484375" style="3092" customWidth="1"/>
    <col min="8196" max="8196" width="3.6640625" style="3092" customWidth="1"/>
    <col min="8197" max="8197" width="32.6640625" style="3092" customWidth="1"/>
    <col min="8198" max="8198" width="27" style="3092" customWidth="1"/>
    <col min="8199" max="8200" width="9.1328125" style="3092" customWidth="1"/>
    <col min="8201" max="8201" width="5" style="3092" customWidth="1"/>
    <col min="8202" max="8203" width="9.1328125" style="3092" customWidth="1"/>
    <col min="8204" max="8204" width="10.53125" style="3092" customWidth="1"/>
    <col min="8205" max="8449" width="9.1328125" style="3092"/>
    <col min="8450" max="8450" width="0" style="3092" hidden="1" customWidth="1"/>
    <col min="8451" max="8451" width="43.46484375" style="3092" customWidth="1"/>
    <col min="8452" max="8452" width="3.6640625" style="3092" customWidth="1"/>
    <col min="8453" max="8453" width="32.6640625" style="3092" customWidth="1"/>
    <col min="8454" max="8454" width="27" style="3092" customWidth="1"/>
    <col min="8455" max="8456" width="9.1328125" style="3092" customWidth="1"/>
    <col min="8457" max="8457" width="5" style="3092" customWidth="1"/>
    <col min="8458" max="8459" width="9.1328125" style="3092" customWidth="1"/>
    <col min="8460" max="8460" width="10.53125" style="3092" customWidth="1"/>
    <col min="8461" max="8705" width="9.1328125" style="3092"/>
    <col min="8706" max="8706" width="0" style="3092" hidden="1" customWidth="1"/>
    <col min="8707" max="8707" width="43.46484375" style="3092" customWidth="1"/>
    <col min="8708" max="8708" width="3.6640625" style="3092" customWidth="1"/>
    <col min="8709" max="8709" width="32.6640625" style="3092" customWidth="1"/>
    <col min="8710" max="8710" width="27" style="3092" customWidth="1"/>
    <col min="8711" max="8712" width="9.1328125" style="3092" customWidth="1"/>
    <col min="8713" max="8713" width="5" style="3092" customWidth="1"/>
    <col min="8714" max="8715" width="9.1328125" style="3092" customWidth="1"/>
    <col min="8716" max="8716" width="10.53125" style="3092" customWidth="1"/>
    <col min="8717" max="8961" width="9.1328125" style="3092"/>
    <col min="8962" max="8962" width="0" style="3092" hidden="1" customWidth="1"/>
    <col min="8963" max="8963" width="43.46484375" style="3092" customWidth="1"/>
    <col min="8964" max="8964" width="3.6640625" style="3092" customWidth="1"/>
    <col min="8965" max="8965" width="32.6640625" style="3092" customWidth="1"/>
    <col min="8966" max="8966" width="27" style="3092" customWidth="1"/>
    <col min="8967" max="8968" width="9.1328125" style="3092" customWidth="1"/>
    <col min="8969" max="8969" width="5" style="3092" customWidth="1"/>
    <col min="8970" max="8971" width="9.1328125" style="3092" customWidth="1"/>
    <col min="8972" max="8972" width="10.53125" style="3092" customWidth="1"/>
    <col min="8973" max="9217" width="9.1328125" style="3092"/>
    <col min="9218" max="9218" width="0" style="3092" hidden="1" customWidth="1"/>
    <col min="9219" max="9219" width="43.46484375" style="3092" customWidth="1"/>
    <col min="9220" max="9220" width="3.6640625" style="3092" customWidth="1"/>
    <col min="9221" max="9221" width="32.6640625" style="3092" customWidth="1"/>
    <col min="9222" max="9222" width="27" style="3092" customWidth="1"/>
    <col min="9223" max="9224" width="9.1328125" style="3092" customWidth="1"/>
    <col min="9225" max="9225" width="5" style="3092" customWidth="1"/>
    <col min="9226" max="9227" width="9.1328125" style="3092" customWidth="1"/>
    <col min="9228" max="9228" width="10.53125" style="3092" customWidth="1"/>
    <col min="9229" max="9473" width="9.1328125" style="3092"/>
    <col min="9474" max="9474" width="0" style="3092" hidden="1" customWidth="1"/>
    <col min="9475" max="9475" width="43.46484375" style="3092" customWidth="1"/>
    <col min="9476" max="9476" width="3.6640625" style="3092" customWidth="1"/>
    <col min="9477" max="9477" width="32.6640625" style="3092" customWidth="1"/>
    <col min="9478" max="9478" width="27" style="3092" customWidth="1"/>
    <col min="9479" max="9480" width="9.1328125" style="3092" customWidth="1"/>
    <col min="9481" max="9481" width="5" style="3092" customWidth="1"/>
    <col min="9482" max="9483" width="9.1328125" style="3092" customWidth="1"/>
    <col min="9484" max="9484" width="10.53125" style="3092" customWidth="1"/>
    <col min="9485" max="9729" width="9.1328125" style="3092"/>
    <col min="9730" max="9730" width="0" style="3092" hidden="1" customWidth="1"/>
    <col min="9731" max="9731" width="43.46484375" style="3092" customWidth="1"/>
    <col min="9732" max="9732" width="3.6640625" style="3092" customWidth="1"/>
    <col min="9733" max="9733" width="32.6640625" style="3092" customWidth="1"/>
    <col min="9734" max="9734" width="27" style="3092" customWidth="1"/>
    <col min="9735" max="9736" width="9.1328125" style="3092" customWidth="1"/>
    <col min="9737" max="9737" width="5" style="3092" customWidth="1"/>
    <col min="9738" max="9739" width="9.1328125" style="3092" customWidth="1"/>
    <col min="9740" max="9740" width="10.53125" style="3092" customWidth="1"/>
    <col min="9741" max="9985" width="9.1328125" style="3092"/>
    <col min="9986" max="9986" width="0" style="3092" hidden="1" customWidth="1"/>
    <col min="9987" max="9987" width="43.46484375" style="3092" customWidth="1"/>
    <col min="9988" max="9988" width="3.6640625" style="3092" customWidth="1"/>
    <col min="9989" max="9989" width="32.6640625" style="3092" customWidth="1"/>
    <col min="9990" max="9990" width="27" style="3092" customWidth="1"/>
    <col min="9991" max="9992" width="9.1328125" style="3092" customWidth="1"/>
    <col min="9993" max="9993" width="5" style="3092" customWidth="1"/>
    <col min="9994" max="9995" width="9.1328125" style="3092" customWidth="1"/>
    <col min="9996" max="9996" width="10.53125" style="3092" customWidth="1"/>
    <col min="9997" max="10241" width="9.1328125" style="3092"/>
    <col min="10242" max="10242" width="0" style="3092" hidden="1" customWidth="1"/>
    <col min="10243" max="10243" width="43.46484375" style="3092" customWidth="1"/>
    <col min="10244" max="10244" width="3.6640625" style="3092" customWidth="1"/>
    <col min="10245" max="10245" width="32.6640625" style="3092" customWidth="1"/>
    <col min="10246" max="10246" width="27" style="3092" customWidth="1"/>
    <col min="10247" max="10248" width="9.1328125" style="3092" customWidth="1"/>
    <col min="10249" max="10249" width="5" style="3092" customWidth="1"/>
    <col min="10250" max="10251" width="9.1328125" style="3092" customWidth="1"/>
    <col min="10252" max="10252" width="10.53125" style="3092" customWidth="1"/>
    <col min="10253" max="10497" width="9.1328125" style="3092"/>
    <col min="10498" max="10498" width="0" style="3092" hidden="1" customWidth="1"/>
    <col min="10499" max="10499" width="43.46484375" style="3092" customWidth="1"/>
    <col min="10500" max="10500" width="3.6640625" style="3092" customWidth="1"/>
    <col min="10501" max="10501" width="32.6640625" style="3092" customWidth="1"/>
    <col min="10502" max="10502" width="27" style="3092" customWidth="1"/>
    <col min="10503" max="10504" width="9.1328125" style="3092" customWidth="1"/>
    <col min="10505" max="10505" width="5" style="3092" customWidth="1"/>
    <col min="10506" max="10507" width="9.1328125" style="3092" customWidth="1"/>
    <col min="10508" max="10508" width="10.53125" style="3092" customWidth="1"/>
    <col min="10509" max="10753" width="9.1328125" style="3092"/>
    <col min="10754" max="10754" width="0" style="3092" hidden="1" customWidth="1"/>
    <col min="10755" max="10755" width="43.46484375" style="3092" customWidth="1"/>
    <col min="10756" max="10756" width="3.6640625" style="3092" customWidth="1"/>
    <col min="10757" max="10757" width="32.6640625" style="3092" customWidth="1"/>
    <col min="10758" max="10758" width="27" style="3092" customWidth="1"/>
    <col min="10759" max="10760" width="9.1328125" style="3092" customWidth="1"/>
    <col min="10761" max="10761" width="5" style="3092" customWidth="1"/>
    <col min="10762" max="10763" width="9.1328125" style="3092" customWidth="1"/>
    <col min="10764" max="10764" width="10.53125" style="3092" customWidth="1"/>
    <col min="10765" max="11009" width="9.1328125" style="3092"/>
    <col min="11010" max="11010" width="0" style="3092" hidden="1" customWidth="1"/>
    <col min="11011" max="11011" width="43.46484375" style="3092" customWidth="1"/>
    <col min="11012" max="11012" width="3.6640625" style="3092" customWidth="1"/>
    <col min="11013" max="11013" width="32.6640625" style="3092" customWidth="1"/>
    <col min="11014" max="11014" width="27" style="3092" customWidth="1"/>
    <col min="11015" max="11016" width="9.1328125" style="3092" customWidth="1"/>
    <col min="11017" max="11017" width="5" style="3092" customWidth="1"/>
    <col min="11018" max="11019" width="9.1328125" style="3092" customWidth="1"/>
    <col min="11020" max="11020" width="10.53125" style="3092" customWidth="1"/>
    <col min="11021" max="11265" width="9.1328125" style="3092"/>
    <col min="11266" max="11266" width="0" style="3092" hidden="1" customWidth="1"/>
    <col min="11267" max="11267" width="43.46484375" style="3092" customWidth="1"/>
    <col min="11268" max="11268" width="3.6640625" style="3092" customWidth="1"/>
    <col min="11269" max="11269" width="32.6640625" style="3092" customWidth="1"/>
    <col min="11270" max="11270" width="27" style="3092" customWidth="1"/>
    <col min="11271" max="11272" width="9.1328125" style="3092" customWidth="1"/>
    <col min="11273" max="11273" width="5" style="3092" customWidth="1"/>
    <col min="11274" max="11275" width="9.1328125" style="3092" customWidth="1"/>
    <col min="11276" max="11276" width="10.53125" style="3092" customWidth="1"/>
    <col min="11277" max="11521" width="9.1328125" style="3092"/>
    <col min="11522" max="11522" width="0" style="3092" hidden="1" customWidth="1"/>
    <col min="11523" max="11523" width="43.46484375" style="3092" customWidth="1"/>
    <col min="11524" max="11524" width="3.6640625" style="3092" customWidth="1"/>
    <col min="11525" max="11525" width="32.6640625" style="3092" customWidth="1"/>
    <col min="11526" max="11526" width="27" style="3092" customWidth="1"/>
    <col min="11527" max="11528" width="9.1328125" style="3092" customWidth="1"/>
    <col min="11529" max="11529" width="5" style="3092" customWidth="1"/>
    <col min="11530" max="11531" width="9.1328125" style="3092" customWidth="1"/>
    <col min="11532" max="11532" width="10.53125" style="3092" customWidth="1"/>
    <col min="11533" max="11777" width="9.1328125" style="3092"/>
    <col min="11778" max="11778" width="0" style="3092" hidden="1" customWidth="1"/>
    <col min="11779" max="11779" width="43.46484375" style="3092" customWidth="1"/>
    <col min="11780" max="11780" width="3.6640625" style="3092" customWidth="1"/>
    <col min="11781" max="11781" width="32.6640625" style="3092" customWidth="1"/>
    <col min="11782" max="11782" width="27" style="3092" customWidth="1"/>
    <col min="11783" max="11784" width="9.1328125" style="3092" customWidth="1"/>
    <col min="11785" max="11785" width="5" style="3092" customWidth="1"/>
    <col min="11786" max="11787" width="9.1328125" style="3092" customWidth="1"/>
    <col min="11788" max="11788" width="10.53125" style="3092" customWidth="1"/>
    <col min="11789" max="12033" width="9.1328125" style="3092"/>
    <col min="12034" max="12034" width="0" style="3092" hidden="1" customWidth="1"/>
    <col min="12035" max="12035" width="43.46484375" style="3092" customWidth="1"/>
    <col min="12036" max="12036" width="3.6640625" style="3092" customWidth="1"/>
    <col min="12037" max="12037" width="32.6640625" style="3092" customWidth="1"/>
    <col min="12038" max="12038" width="27" style="3092" customWidth="1"/>
    <col min="12039" max="12040" width="9.1328125" style="3092" customWidth="1"/>
    <col min="12041" max="12041" width="5" style="3092" customWidth="1"/>
    <col min="12042" max="12043" width="9.1328125" style="3092" customWidth="1"/>
    <col min="12044" max="12044" width="10.53125" style="3092" customWidth="1"/>
    <col min="12045" max="12289" width="9.1328125" style="3092"/>
    <col min="12290" max="12290" width="0" style="3092" hidden="1" customWidth="1"/>
    <col min="12291" max="12291" width="43.46484375" style="3092" customWidth="1"/>
    <col min="12292" max="12292" width="3.6640625" style="3092" customWidth="1"/>
    <col min="12293" max="12293" width="32.6640625" style="3092" customWidth="1"/>
    <col min="12294" max="12294" width="27" style="3092" customWidth="1"/>
    <col min="12295" max="12296" width="9.1328125" style="3092" customWidth="1"/>
    <col min="12297" max="12297" width="5" style="3092" customWidth="1"/>
    <col min="12298" max="12299" width="9.1328125" style="3092" customWidth="1"/>
    <col min="12300" max="12300" width="10.53125" style="3092" customWidth="1"/>
    <col min="12301" max="12545" width="9.1328125" style="3092"/>
    <col min="12546" max="12546" width="0" style="3092" hidden="1" customWidth="1"/>
    <col min="12547" max="12547" width="43.46484375" style="3092" customWidth="1"/>
    <col min="12548" max="12548" width="3.6640625" style="3092" customWidth="1"/>
    <col min="12549" max="12549" width="32.6640625" style="3092" customWidth="1"/>
    <col min="12550" max="12550" width="27" style="3092" customWidth="1"/>
    <col min="12551" max="12552" width="9.1328125" style="3092" customWidth="1"/>
    <col min="12553" max="12553" width="5" style="3092" customWidth="1"/>
    <col min="12554" max="12555" width="9.1328125" style="3092" customWidth="1"/>
    <col min="12556" max="12556" width="10.53125" style="3092" customWidth="1"/>
    <col min="12557" max="12801" width="9.1328125" style="3092"/>
    <col min="12802" max="12802" width="0" style="3092" hidden="1" customWidth="1"/>
    <col min="12803" max="12803" width="43.46484375" style="3092" customWidth="1"/>
    <col min="12804" max="12804" width="3.6640625" style="3092" customWidth="1"/>
    <col min="12805" max="12805" width="32.6640625" style="3092" customWidth="1"/>
    <col min="12806" max="12806" width="27" style="3092" customWidth="1"/>
    <col min="12807" max="12808" width="9.1328125" style="3092" customWidth="1"/>
    <col min="12809" max="12809" width="5" style="3092" customWidth="1"/>
    <col min="12810" max="12811" width="9.1328125" style="3092" customWidth="1"/>
    <col min="12812" max="12812" width="10.53125" style="3092" customWidth="1"/>
    <col min="12813" max="13057" width="9.1328125" style="3092"/>
    <col min="13058" max="13058" width="0" style="3092" hidden="1" customWidth="1"/>
    <col min="13059" max="13059" width="43.46484375" style="3092" customWidth="1"/>
    <col min="13060" max="13060" width="3.6640625" style="3092" customWidth="1"/>
    <col min="13061" max="13061" width="32.6640625" style="3092" customWidth="1"/>
    <col min="13062" max="13062" width="27" style="3092" customWidth="1"/>
    <col min="13063" max="13064" width="9.1328125" style="3092" customWidth="1"/>
    <col min="13065" max="13065" width="5" style="3092" customWidth="1"/>
    <col min="13066" max="13067" width="9.1328125" style="3092" customWidth="1"/>
    <col min="13068" max="13068" width="10.53125" style="3092" customWidth="1"/>
    <col min="13069" max="13313" width="9.1328125" style="3092"/>
    <col min="13314" max="13314" width="0" style="3092" hidden="1" customWidth="1"/>
    <col min="13315" max="13315" width="43.46484375" style="3092" customWidth="1"/>
    <col min="13316" max="13316" width="3.6640625" style="3092" customWidth="1"/>
    <col min="13317" max="13317" width="32.6640625" style="3092" customWidth="1"/>
    <col min="13318" max="13318" width="27" style="3092" customWidth="1"/>
    <col min="13319" max="13320" width="9.1328125" style="3092" customWidth="1"/>
    <col min="13321" max="13321" width="5" style="3092" customWidth="1"/>
    <col min="13322" max="13323" width="9.1328125" style="3092" customWidth="1"/>
    <col min="13324" max="13324" width="10.53125" style="3092" customWidth="1"/>
    <col min="13325" max="13569" width="9.1328125" style="3092"/>
    <col min="13570" max="13570" width="0" style="3092" hidden="1" customWidth="1"/>
    <col min="13571" max="13571" width="43.46484375" style="3092" customWidth="1"/>
    <col min="13572" max="13572" width="3.6640625" style="3092" customWidth="1"/>
    <col min="13573" max="13573" width="32.6640625" style="3092" customWidth="1"/>
    <col min="13574" max="13574" width="27" style="3092" customWidth="1"/>
    <col min="13575" max="13576" width="9.1328125" style="3092" customWidth="1"/>
    <col min="13577" max="13577" width="5" style="3092" customWidth="1"/>
    <col min="13578" max="13579" width="9.1328125" style="3092" customWidth="1"/>
    <col min="13580" max="13580" width="10.53125" style="3092" customWidth="1"/>
    <col min="13581" max="13825" width="9.1328125" style="3092"/>
    <col min="13826" max="13826" width="0" style="3092" hidden="1" customWidth="1"/>
    <col min="13827" max="13827" width="43.46484375" style="3092" customWidth="1"/>
    <col min="13828" max="13828" width="3.6640625" style="3092" customWidth="1"/>
    <col min="13829" max="13829" width="32.6640625" style="3092" customWidth="1"/>
    <col min="13830" max="13830" width="27" style="3092" customWidth="1"/>
    <col min="13831" max="13832" width="9.1328125" style="3092" customWidth="1"/>
    <col min="13833" max="13833" width="5" style="3092" customWidth="1"/>
    <col min="13834" max="13835" width="9.1328125" style="3092" customWidth="1"/>
    <col min="13836" max="13836" width="10.53125" style="3092" customWidth="1"/>
    <col min="13837" max="14081" width="9.1328125" style="3092"/>
    <col min="14082" max="14082" width="0" style="3092" hidden="1" customWidth="1"/>
    <col min="14083" max="14083" width="43.46484375" style="3092" customWidth="1"/>
    <col min="14084" max="14084" width="3.6640625" style="3092" customWidth="1"/>
    <col min="14085" max="14085" width="32.6640625" style="3092" customWidth="1"/>
    <col min="14086" max="14086" width="27" style="3092" customWidth="1"/>
    <col min="14087" max="14088" width="9.1328125" style="3092" customWidth="1"/>
    <col min="14089" max="14089" width="5" style="3092" customWidth="1"/>
    <col min="14090" max="14091" width="9.1328125" style="3092" customWidth="1"/>
    <col min="14092" max="14092" width="10.53125" style="3092" customWidth="1"/>
    <col min="14093" max="14337" width="9.1328125" style="3092"/>
    <col min="14338" max="14338" width="0" style="3092" hidden="1" customWidth="1"/>
    <col min="14339" max="14339" width="43.46484375" style="3092" customWidth="1"/>
    <col min="14340" max="14340" width="3.6640625" style="3092" customWidth="1"/>
    <col min="14341" max="14341" width="32.6640625" style="3092" customWidth="1"/>
    <col min="14342" max="14342" width="27" style="3092" customWidth="1"/>
    <col min="14343" max="14344" width="9.1328125" style="3092" customWidth="1"/>
    <col min="14345" max="14345" width="5" style="3092" customWidth="1"/>
    <col min="14346" max="14347" width="9.1328125" style="3092" customWidth="1"/>
    <col min="14348" max="14348" width="10.53125" style="3092" customWidth="1"/>
    <col min="14349" max="14593" width="9.1328125" style="3092"/>
    <col min="14594" max="14594" width="0" style="3092" hidden="1" customWidth="1"/>
    <col min="14595" max="14595" width="43.46484375" style="3092" customWidth="1"/>
    <col min="14596" max="14596" width="3.6640625" style="3092" customWidth="1"/>
    <col min="14597" max="14597" width="32.6640625" style="3092" customWidth="1"/>
    <col min="14598" max="14598" width="27" style="3092" customWidth="1"/>
    <col min="14599" max="14600" width="9.1328125" style="3092" customWidth="1"/>
    <col min="14601" max="14601" width="5" style="3092" customWidth="1"/>
    <col min="14602" max="14603" width="9.1328125" style="3092" customWidth="1"/>
    <col min="14604" max="14604" width="10.53125" style="3092" customWidth="1"/>
    <col min="14605" max="14849" width="9.1328125" style="3092"/>
    <col min="14850" max="14850" width="0" style="3092" hidden="1" customWidth="1"/>
    <col min="14851" max="14851" width="43.46484375" style="3092" customWidth="1"/>
    <col min="14852" max="14852" width="3.6640625" style="3092" customWidth="1"/>
    <col min="14853" max="14853" width="32.6640625" style="3092" customWidth="1"/>
    <col min="14854" max="14854" width="27" style="3092" customWidth="1"/>
    <col min="14855" max="14856" width="9.1328125" style="3092" customWidth="1"/>
    <col min="14857" max="14857" width="5" style="3092" customWidth="1"/>
    <col min="14858" max="14859" width="9.1328125" style="3092" customWidth="1"/>
    <col min="14860" max="14860" width="10.53125" style="3092" customWidth="1"/>
    <col min="14861" max="15105" width="9.1328125" style="3092"/>
    <col min="15106" max="15106" width="0" style="3092" hidden="1" customWidth="1"/>
    <col min="15107" max="15107" width="43.46484375" style="3092" customWidth="1"/>
    <col min="15108" max="15108" width="3.6640625" style="3092" customWidth="1"/>
    <col min="15109" max="15109" width="32.6640625" style="3092" customWidth="1"/>
    <col min="15110" max="15110" width="27" style="3092" customWidth="1"/>
    <col min="15111" max="15112" width="9.1328125" style="3092" customWidth="1"/>
    <col min="15113" max="15113" width="5" style="3092" customWidth="1"/>
    <col min="15114" max="15115" width="9.1328125" style="3092" customWidth="1"/>
    <col min="15116" max="15116" width="10.53125" style="3092" customWidth="1"/>
    <col min="15117" max="15361" width="9.1328125" style="3092"/>
    <col min="15362" max="15362" width="0" style="3092" hidden="1" customWidth="1"/>
    <col min="15363" max="15363" width="43.46484375" style="3092" customWidth="1"/>
    <col min="15364" max="15364" width="3.6640625" style="3092" customWidth="1"/>
    <col min="15365" max="15365" width="32.6640625" style="3092" customWidth="1"/>
    <col min="15366" max="15366" width="27" style="3092" customWidth="1"/>
    <col min="15367" max="15368" width="9.1328125" style="3092" customWidth="1"/>
    <col min="15369" max="15369" width="5" style="3092" customWidth="1"/>
    <col min="15370" max="15371" width="9.1328125" style="3092" customWidth="1"/>
    <col min="15372" max="15372" width="10.53125" style="3092" customWidth="1"/>
    <col min="15373" max="15617" width="9.1328125" style="3092"/>
    <col min="15618" max="15618" width="0" style="3092" hidden="1" customWidth="1"/>
    <col min="15619" max="15619" width="43.46484375" style="3092" customWidth="1"/>
    <col min="15620" max="15620" width="3.6640625" style="3092" customWidth="1"/>
    <col min="15621" max="15621" width="32.6640625" style="3092" customWidth="1"/>
    <col min="15622" max="15622" width="27" style="3092" customWidth="1"/>
    <col min="15623" max="15624" width="9.1328125" style="3092" customWidth="1"/>
    <col min="15625" max="15625" width="5" style="3092" customWidth="1"/>
    <col min="15626" max="15627" width="9.1328125" style="3092" customWidth="1"/>
    <col min="15628" max="15628" width="10.53125" style="3092" customWidth="1"/>
    <col min="15629" max="15873" width="9.1328125" style="3092"/>
    <col min="15874" max="15874" width="0" style="3092" hidden="1" customWidth="1"/>
    <col min="15875" max="15875" width="43.46484375" style="3092" customWidth="1"/>
    <col min="15876" max="15876" width="3.6640625" style="3092" customWidth="1"/>
    <col min="15877" max="15877" width="32.6640625" style="3092" customWidth="1"/>
    <col min="15878" max="15878" width="27" style="3092" customWidth="1"/>
    <col min="15879" max="15880" width="9.1328125" style="3092" customWidth="1"/>
    <col min="15881" max="15881" width="5" style="3092" customWidth="1"/>
    <col min="15882" max="15883" width="9.1328125" style="3092" customWidth="1"/>
    <col min="15884" max="15884" width="10.53125" style="3092" customWidth="1"/>
    <col min="15885" max="16129" width="9.1328125" style="3092"/>
    <col min="16130" max="16130" width="0" style="3092" hidden="1" customWidth="1"/>
    <col min="16131" max="16131" width="43.46484375" style="3092" customWidth="1"/>
    <col min="16132" max="16132" width="3.6640625" style="3092" customWidth="1"/>
    <col min="16133" max="16133" width="32.6640625" style="3092" customWidth="1"/>
    <col min="16134" max="16134" width="27" style="3092" customWidth="1"/>
    <col min="16135" max="16136" width="9.1328125" style="3092" customWidth="1"/>
    <col min="16137" max="16137" width="5" style="3092" customWidth="1"/>
    <col min="16138" max="16139" width="9.1328125" style="3092" customWidth="1"/>
    <col min="16140" max="16140" width="10.53125" style="3092" customWidth="1"/>
    <col min="16141" max="16384" width="9.1328125" style="3092"/>
  </cols>
  <sheetData>
    <row r="1" spans="1:257" ht="12.75" customHeight="1">
      <c r="B1" s="63"/>
    </row>
    <row r="2" spans="1:257" s="3047" customFormat="1" ht="21" customHeight="1">
      <c r="A2" s="3045"/>
      <c r="B2" s="3187" t="s">
        <v>0</v>
      </c>
      <c r="C2" s="3046"/>
      <c r="D2" s="3190" t="s">
        <v>1504</v>
      </c>
      <c r="E2" s="3190"/>
      <c r="F2" s="3190"/>
      <c r="G2" s="3190"/>
      <c r="H2" s="3190"/>
      <c r="I2" s="3190"/>
      <c r="J2" s="3190"/>
      <c r="K2" s="3190"/>
      <c r="L2" s="3190"/>
      <c r="M2" s="3190"/>
      <c r="N2" s="155"/>
      <c r="O2" s="155"/>
      <c r="P2" s="155"/>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c r="IW2" s="156"/>
    </row>
    <row r="3" spans="1:257" s="3047" customFormat="1" ht="21" customHeight="1">
      <c r="A3" s="3045"/>
      <c r="B3" s="3187"/>
      <c r="C3" s="3046"/>
      <c r="D3" s="3190"/>
      <c r="E3" s="3190"/>
      <c r="F3" s="3190"/>
      <c r="G3" s="3190"/>
      <c r="H3" s="3190"/>
      <c r="I3" s="3190"/>
      <c r="J3" s="3190"/>
      <c r="K3" s="3190"/>
      <c r="L3" s="3190"/>
      <c r="M3" s="3190"/>
    </row>
    <row r="4" spans="1:257" ht="21" customHeight="1">
      <c r="B4" s="63"/>
      <c r="C4" s="3048"/>
      <c r="D4" s="3093"/>
      <c r="E4" s="3094"/>
      <c r="F4" s="3093"/>
      <c r="G4" s="3093"/>
      <c r="H4" s="3093"/>
      <c r="I4" s="3093"/>
      <c r="J4" s="3093"/>
      <c r="K4" s="3093"/>
      <c r="L4" s="3093"/>
    </row>
    <row r="5" spans="1:257" ht="21" customHeight="1">
      <c r="B5" s="3050" t="s">
        <v>1</v>
      </c>
      <c r="E5"/>
      <c r="F5"/>
      <c r="G5" s="3081"/>
      <c r="H5" s="3066"/>
      <c r="I5" s="3066"/>
      <c r="K5" s="3066"/>
      <c r="L5" s="3066"/>
    </row>
    <row r="6" spans="1:257" ht="21" customHeight="1">
      <c r="B6" s="3050" t="s">
        <v>452</v>
      </c>
      <c r="E6"/>
      <c r="F6"/>
      <c r="G6" s="3081"/>
      <c r="H6" s="3066"/>
      <c r="I6" s="3066"/>
    </row>
    <row r="7" spans="1:257" ht="21" customHeight="1">
      <c r="B7" s="3050" t="s">
        <v>239</v>
      </c>
      <c r="E7"/>
      <c r="F7"/>
      <c r="G7" s="3081"/>
      <c r="H7" s="3066"/>
      <c r="I7" s="3066"/>
    </row>
    <row r="8" spans="1:257" ht="21" customHeight="1">
      <c r="B8" s="3050" t="s">
        <v>1263</v>
      </c>
    </row>
    <row r="9" spans="1:257" ht="21" customHeight="1">
      <c r="B9" s="62" t="s">
        <v>557</v>
      </c>
    </row>
    <row r="10" spans="1:257" ht="21" customHeight="1">
      <c r="B10" s="3050" t="s">
        <v>238</v>
      </c>
    </row>
    <row r="11" spans="1:257" ht="21" customHeight="1">
      <c r="B11" s="146" t="s">
        <v>1652</v>
      </c>
    </row>
    <row r="12" spans="1:257" ht="21" customHeight="1">
      <c r="B12" s="145" t="s">
        <v>95</v>
      </c>
    </row>
    <row r="13" spans="1:257" ht="21" customHeight="1">
      <c r="B13" s="145" t="s">
        <v>254</v>
      </c>
    </row>
    <row r="14" spans="1:257" ht="21" customHeight="1">
      <c r="B14" s="145" t="s">
        <v>1252</v>
      </c>
    </row>
    <row r="15" spans="1:257" ht="21" customHeight="1">
      <c r="B15" s="145" t="s">
        <v>1394</v>
      </c>
    </row>
    <row r="16" spans="1:257" ht="21" customHeight="1">
      <c r="B16" s="147" t="s">
        <v>1395</v>
      </c>
    </row>
    <row r="17" spans="2:12" ht="21" customHeight="1">
      <c r="B17" s="145" t="s">
        <v>1396</v>
      </c>
    </row>
    <row r="18" spans="2:12" ht="21" customHeight="1">
      <c r="B18" s="145" t="s">
        <v>1397</v>
      </c>
    </row>
    <row r="19" spans="2:12" ht="21" customHeight="1">
      <c r="B19" s="145" t="s">
        <v>1398</v>
      </c>
    </row>
    <row r="20" spans="2:12" ht="21" customHeight="1">
      <c r="B20" s="168" t="s">
        <v>1399</v>
      </c>
    </row>
    <row r="21" spans="2:12" ht="21" customHeight="1">
      <c r="B21" s="62" t="s">
        <v>1653</v>
      </c>
    </row>
    <row r="22" spans="2:12" ht="21" customHeight="1">
      <c r="B22" s="3050" t="s">
        <v>40</v>
      </c>
    </row>
    <row r="23" spans="2:12" ht="21" customHeight="1">
      <c r="B23" s="3050" t="s">
        <v>238</v>
      </c>
    </row>
    <row r="24" spans="2:12" ht="21" customHeight="1">
      <c r="B24" s="3050" t="s">
        <v>39</v>
      </c>
    </row>
    <row r="25" spans="2:12" ht="21" customHeight="1">
      <c r="B25" s="3050" t="s">
        <v>38</v>
      </c>
    </row>
    <row r="26" spans="2:12" ht="21" customHeight="1">
      <c r="B26" s="3050"/>
      <c r="E26" s="3045"/>
      <c r="F26" s="3045"/>
      <c r="G26" s="3045"/>
      <c r="H26" s="3045"/>
      <c r="I26" s="3045"/>
      <c r="J26" s="3045"/>
      <c r="K26" s="3045"/>
      <c r="L26" s="3045"/>
    </row>
    <row r="27" spans="2:12" ht="21" customHeight="1">
      <c r="B27" s="3050"/>
    </row>
    <row r="28" spans="2:12" ht="21" customHeight="1">
      <c r="B28" s="63"/>
      <c r="E28" s="3435" t="s">
        <v>1505</v>
      </c>
      <c r="F28" s="3435"/>
      <c r="G28" s="3435"/>
      <c r="H28" s="3435"/>
      <c r="I28" s="3435"/>
      <c r="J28" s="3435"/>
      <c r="K28" s="3435"/>
      <c r="L28" s="3435"/>
    </row>
    <row r="29" spans="2:12" ht="21" customHeight="1">
      <c r="B29" s="63"/>
    </row>
    <row r="30" spans="2:12" ht="21" customHeight="1">
      <c r="B30" s="3095"/>
      <c r="F30" s="3432" t="s">
        <v>1506</v>
      </c>
      <c r="G30" s="3433"/>
      <c r="H30" s="3433"/>
      <c r="I30" s="3433"/>
      <c r="J30" s="3433"/>
      <c r="K30" s="3434"/>
    </row>
    <row r="31" spans="2:12" ht="21" customHeight="1">
      <c r="B31" s="3095"/>
      <c r="F31" s="3436" t="s">
        <v>1507</v>
      </c>
      <c r="G31" s="3436"/>
      <c r="H31" s="3436"/>
      <c r="I31" s="3436"/>
      <c r="J31" s="3436"/>
      <c r="K31" s="3436"/>
    </row>
    <row r="32" spans="2:12" ht="21" customHeight="1">
      <c r="B32" s="3095"/>
      <c r="F32" s="3432" t="s">
        <v>1508</v>
      </c>
      <c r="G32" s="3433"/>
      <c r="H32" s="3433"/>
      <c r="I32" s="3433"/>
      <c r="J32" s="3433"/>
      <c r="K32" s="3434"/>
    </row>
    <row r="33" spans="2:11" ht="21" customHeight="1">
      <c r="B33" s="3095"/>
      <c r="F33" s="3436" t="s">
        <v>1507</v>
      </c>
      <c r="G33" s="3436"/>
      <c r="H33" s="3436"/>
      <c r="I33" s="3436"/>
      <c r="J33" s="3436"/>
      <c r="K33" s="3436"/>
    </row>
    <row r="34" spans="2:11" ht="21" customHeight="1">
      <c r="B34" s="3095"/>
      <c r="F34" s="3432" t="s">
        <v>1509</v>
      </c>
      <c r="G34" s="3433"/>
      <c r="H34" s="3433"/>
      <c r="I34" s="3433"/>
      <c r="J34" s="3433"/>
      <c r="K34" s="3434"/>
    </row>
    <row r="35" spans="2:11" ht="21" customHeight="1">
      <c r="B35" s="3095"/>
      <c r="F35" s="3436" t="s">
        <v>1507</v>
      </c>
      <c r="G35" s="3436"/>
      <c r="H35" s="3436"/>
      <c r="I35" s="3436"/>
      <c r="J35" s="3436"/>
      <c r="K35" s="3436"/>
    </row>
    <row r="36" spans="2:11" ht="21" customHeight="1">
      <c r="B36" s="3095"/>
      <c r="F36" s="3432" t="s">
        <v>1510</v>
      </c>
      <c r="G36" s="3433"/>
      <c r="H36" s="3433"/>
      <c r="I36" s="3433"/>
      <c r="J36" s="3433"/>
      <c r="K36" s="3434"/>
    </row>
    <row r="37" spans="2:11" ht="21" customHeight="1">
      <c r="B37" s="3095"/>
      <c r="F37" s="3436" t="s">
        <v>1507</v>
      </c>
      <c r="G37" s="3436"/>
      <c r="H37" s="3436"/>
      <c r="I37" s="3436"/>
      <c r="J37" s="3436"/>
      <c r="K37" s="3436"/>
    </row>
    <row r="38" spans="2:11" ht="21" customHeight="1">
      <c r="B38" s="3095"/>
      <c r="F38" s="3432" t="s">
        <v>1511</v>
      </c>
      <c r="G38" s="3433"/>
      <c r="H38" s="3433"/>
      <c r="I38" s="3433"/>
      <c r="J38" s="3433"/>
      <c r="K38" s="3434"/>
    </row>
    <row r="39" spans="2:11" ht="21" customHeight="1">
      <c r="B39" s="3095"/>
      <c r="F39" s="3436" t="s">
        <v>1507</v>
      </c>
      <c r="G39" s="3436"/>
      <c r="H39" s="3436"/>
      <c r="I39" s="3436"/>
      <c r="J39" s="3436"/>
      <c r="K39" s="3436"/>
    </row>
    <row r="40" spans="2:11" ht="21" customHeight="1">
      <c r="B40" s="3095"/>
      <c r="F40" s="3432" t="s">
        <v>1512</v>
      </c>
      <c r="G40" s="3433"/>
      <c r="H40" s="3433"/>
      <c r="I40" s="3433"/>
      <c r="J40" s="3433"/>
      <c r="K40" s="3434"/>
    </row>
    <row r="41" spans="2:11" ht="21" customHeight="1">
      <c r="B41" s="3095"/>
      <c r="F41" s="3436" t="s">
        <v>1507</v>
      </c>
      <c r="G41" s="3436"/>
      <c r="H41" s="3436"/>
      <c r="I41" s="3436"/>
      <c r="J41" s="3436"/>
      <c r="K41" s="3436"/>
    </row>
    <row r="42" spans="2:11" ht="21" customHeight="1">
      <c r="B42" s="3095"/>
      <c r="F42" s="3432" t="s">
        <v>1513</v>
      </c>
      <c r="G42" s="3433"/>
      <c r="H42" s="3433"/>
      <c r="I42" s="3433"/>
      <c r="J42" s="3433"/>
      <c r="K42" s="3434"/>
    </row>
    <row r="43" spans="2:11" ht="12.75" customHeight="1">
      <c r="B43" s="3095"/>
    </row>
    <row r="44" spans="2:11" ht="21" customHeight="1">
      <c r="B44" s="3095"/>
      <c r="E44" s="3096" t="s">
        <v>1514</v>
      </c>
    </row>
    <row r="45" spans="2:11">
      <c r="B45" s="3095"/>
      <c r="E45" s="3097" t="s">
        <v>1515</v>
      </c>
    </row>
    <row r="46" spans="2:11">
      <c r="B46" s="3095"/>
      <c r="E46" s="3097" t="s">
        <v>1516</v>
      </c>
    </row>
    <row r="47" spans="2:11">
      <c r="B47" s="3095"/>
      <c r="E47" s="3097" t="s">
        <v>1517</v>
      </c>
    </row>
    <row r="48" spans="2:11">
      <c r="B48" s="3095"/>
      <c r="E48" s="3097" t="s">
        <v>1518</v>
      </c>
    </row>
    <row r="49" spans="2:12">
      <c r="B49" s="3095"/>
      <c r="E49" s="3097" t="s">
        <v>1519</v>
      </c>
    </row>
    <row r="50" spans="2:12" ht="12.75" customHeight="1">
      <c r="B50" s="3095"/>
    </row>
    <row r="51" spans="2:12" ht="21" customHeight="1">
      <c r="B51" s="3095"/>
      <c r="E51" s="3096" t="s">
        <v>1520</v>
      </c>
    </row>
    <row r="52" spans="2:12" ht="12.75" customHeight="1">
      <c r="B52" s="3095"/>
      <c r="E52" s="3092" t="s">
        <v>1521</v>
      </c>
      <c r="F52" s="3092" t="s">
        <v>1522</v>
      </c>
    </row>
    <row r="53" spans="2:12" ht="12.75" customHeight="1">
      <c r="B53" s="3095"/>
      <c r="E53" s="3092" t="s">
        <v>1523</v>
      </c>
      <c r="F53" s="3092" t="s">
        <v>1524</v>
      </c>
    </row>
    <row r="54" spans="2:12" ht="12.75" customHeight="1">
      <c r="B54" s="3095"/>
      <c r="E54" s="3092" t="s">
        <v>1525</v>
      </c>
      <c r="F54" s="3092" t="s">
        <v>1526</v>
      </c>
    </row>
    <row r="55" spans="2:12" ht="12.75" customHeight="1">
      <c r="B55" s="3095"/>
      <c r="E55" s="3092" t="s">
        <v>1527</v>
      </c>
      <c r="F55" s="3092" t="s">
        <v>1528</v>
      </c>
    </row>
    <row r="56" spans="2:12" ht="12.75" customHeight="1">
      <c r="B56" s="3095"/>
    </row>
    <row r="57" spans="2:12" ht="12.75" customHeight="1">
      <c r="B57" s="3095"/>
      <c r="E57" s="3045"/>
      <c r="F57" s="3045"/>
      <c r="G57" s="3045"/>
      <c r="H57" s="3045"/>
      <c r="I57" s="3045"/>
      <c r="J57" s="3045"/>
      <c r="K57" s="3045"/>
      <c r="L57" s="3045"/>
    </row>
    <row r="58" spans="2:12" ht="12.75" customHeight="1">
      <c r="B58" s="3095"/>
    </row>
    <row r="59" spans="2:12" ht="12.75" customHeight="1">
      <c r="B59" s="3095"/>
    </row>
    <row r="60" spans="2:12" ht="12.75" customHeight="1">
      <c r="B60" s="3095"/>
    </row>
    <row r="61" spans="2:12" ht="12.75" customHeight="1">
      <c r="B61" s="3095"/>
    </row>
    <row r="62" spans="2:12" ht="12.75" customHeight="1">
      <c r="B62" s="3095"/>
    </row>
    <row r="63" spans="2:12" ht="12.75" customHeight="1">
      <c r="B63" s="3095"/>
    </row>
    <row r="64" spans="2:12" ht="12.75" customHeight="1">
      <c r="B64" s="3095"/>
    </row>
    <row r="65" spans="2:2" ht="12.75" customHeight="1">
      <c r="B65" s="3095"/>
    </row>
    <row r="66" spans="2:2" ht="12.75" customHeight="1">
      <c r="B66" s="3095"/>
    </row>
    <row r="67" spans="2:2" ht="12.75" customHeight="1">
      <c r="B67" s="3095"/>
    </row>
    <row r="68" spans="2:2" ht="12.75" customHeight="1">
      <c r="B68" s="3095"/>
    </row>
    <row r="69" spans="2:2" ht="12.75" customHeight="1">
      <c r="B69" s="3095"/>
    </row>
    <row r="70" spans="2:2" ht="12.75" customHeight="1">
      <c r="B70" s="3095"/>
    </row>
    <row r="71" spans="2:2" ht="12.75" customHeight="1">
      <c r="B71" s="3095"/>
    </row>
    <row r="72" spans="2:2" ht="12.75" customHeight="1">
      <c r="B72" s="3095"/>
    </row>
    <row r="73" spans="2:2" ht="12.75" customHeight="1">
      <c r="B73" s="3095"/>
    </row>
    <row r="74" spans="2:2" ht="12.75" customHeight="1">
      <c r="B74" s="3095"/>
    </row>
    <row r="75" spans="2:2" ht="12.75" customHeight="1">
      <c r="B75" s="3095"/>
    </row>
    <row r="76" spans="2:2" ht="12.75" customHeight="1">
      <c r="B76" s="3095"/>
    </row>
    <row r="77" spans="2:2" ht="12.75" customHeight="1">
      <c r="B77" s="3095"/>
    </row>
    <row r="78" spans="2:2" ht="12.75" customHeight="1">
      <c r="B78" s="3095"/>
    </row>
    <row r="79" spans="2:2" ht="12.75" customHeight="1">
      <c r="B79" s="3095"/>
    </row>
    <row r="80" spans="2:2" ht="12.75" customHeight="1">
      <c r="B80" s="3095"/>
    </row>
    <row r="81" spans="2:2" ht="12.75" customHeight="1">
      <c r="B81" s="3095"/>
    </row>
    <row r="82" spans="2:2" ht="12.75" customHeight="1">
      <c r="B82" s="3095"/>
    </row>
    <row r="83" spans="2:2" ht="12.75" customHeight="1">
      <c r="B83" s="3095"/>
    </row>
    <row r="84" spans="2:2" ht="12.75" customHeight="1">
      <c r="B84" s="3095"/>
    </row>
    <row r="85" spans="2:2" ht="12.75" customHeight="1">
      <c r="B85" s="3095"/>
    </row>
    <row r="86" spans="2:2" ht="12.75" customHeight="1">
      <c r="B86" s="3095"/>
    </row>
    <row r="87" spans="2:2" ht="12.75" customHeight="1">
      <c r="B87" s="3095"/>
    </row>
    <row r="88" spans="2:2" ht="12.75" customHeight="1">
      <c r="B88" s="3095"/>
    </row>
    <row r="89" spans="2:2" ht="12.75" customHeight="1">
      <c r="B89" s="3095"/>
    </row>
    <row r="90" spans="2:2" ht="12.75" customHeight="1">
      <c r="B90" s="3095"/>
    </row>
    <row r="91" spans="2:2" ht="12.75" customHeight="1">
      <c r="B91" s="3095"/>
    </row>
    <row r="92" spans="2:2" ht="12.75" customHeight="1">
      <c r="B92" s="3095"/>
    </row>
    <row r="93" spans="2:2" ht="12.75" customHeight="1">
      <c r="B93" s="3095"/>
    </row>
    <row r="94" spans="2:2" ht="12.75" customHeight="1">
      <c r="B94" s="3095"/>
    </row>
    <row r="95" spans="2:2" ht="12.75" customHeight="1">
      <c r="B95" s="3095"/>
    </row>
    <row r="96" spans="2:2" ht="12.75" customHeight="1">
      <c r="B96" s="3095"/>
    </row>
    <row r="97" spans="2:2" ht="12.75" customHeight="1">
      <c r="B97" s="3095"/>
    </row>
    <row r="98" spans="2:2" ht="12.75" customHeight="1">
      <c r="B98" s="3095"/>
    </row>
    <row r="99" spans="2:2" ht="12.75" customHeight="1">
      <c r="B99" s="3095"/>
    </row>
    <row r="100" spans="2:2" ht="12.75" customHeight="1">
      <c r="B100" s="3095"/>
    </row>
    <row r="101" spans="2:2" ht="12.75" customHeight="1">
      <c r="B101" s="3095"/>
    </row>
    <row r="102" spans="2:2" ht="12.75" customHeight="1">
      <c r="B102" s="3095"/>
    </row>
    <row r="103" spans="2:2" ht="12.75" customHeight="1">
      <c r="B103" s="3095"/>
    </row>
    <row r="104" spans="2:2" ht="12.75" customHeight="1">
      <c r="B104" s="3095"/>
    </row>
    <row r="105" spans="2:2" ht="12.75" customHeight="1">
      <c r="B105" s="3095"/>
    </row>
    <row r="106" spans="2:2" ht="12.75" customHeight="1"/>
    <row r="107" spans="2:2" ht="12.75" customHeight="1"/>
    <row r="108" spans="2:2" ht="12.75" customHeight="1"/>
    <row r="117" ht="12.75" customHeight="1"/>
  </sheetData>
  <mergeCells count="16">
    <mergeCell ref="F39:K39"/>
    <mergeCell ref="F40:K40"/>
    <mergeCell ref="F41:K41"/>
    <mergeCell ref="F42:K42"/>
    <mergeCell ref="F33:K33"/>
    <mergeCell ref="F34:K34"/>
    <mergeCell ref="F35:K35"/>
    <mergeCell ref="F36:K36"/>
    <mergeCell ref="F37:K37"/>
    <mergeCell ref="F38:K38"/>
    <mergeCell ref="F32:K32"/>
    <mergeCell ref="B2:B3"/>
    <mergeCell ref="D2:M3"/>
    <mergeCell ref="E28:L28"/>
    <mergeCell ref="F30:K30"/>
    <mergeCell ref="F31:K31"/>
  </mergeCells>
  <hyperlinks>
    <hyperlink ref="B5" location="'Documents Manager'!A1" display="DOCUMENTS MANAGER" xr:uid="{B0CCDA00-0D84-48A0-B9B9-3F60F30DBF3F}"/>
    <hyperlink ref="B2:B3" location="Home!A1" display="HOME" xr:uid="{71FF767B-453F-4E1A-8E41-4C0AE5BCB3C1}"/>
    <hyperlink ref="B25" location="Disclaimer!A1" display="Disclaimer" xr:uid="{6F116811-AFAE-4E76-8A0C-6B6AEC03FB7A}"/>
    <hyperlink ref="B24" location="Help!A1" display="Help" xr:uid="{6E85590A-2C03-422C-BAD9-A6A379E23760}"/>
    <hyperlink ref="B22" location="'Source - Links'!A1" display="SOURCE / LINKS" xr:uid="{6FF9D056-93F6-48AC-9471-CCB6294BF163}"/>
    <hyperlink ref="B14" location="'Guidelines - Saybolt Manual'!A1" display="• Saybolt Inspection Manual" xr:uid="{0C9EFBC9-532F-43BC-B828-B3AC5B87F76D}"/>
    <hyperlink ref="B17" location="'Conversion Charts Metric'!A1" display="• Conversion Charts Metric system" xr:uid="{DEAAD775-5C69-4FDD-92D4-31167C5F8C8F}"/>
    <hyperlink ref="B6" location="'ASTM Vol. XI - Tab.1'!A1" display="ASTM TABLES" xr:uid="{05372491-87BC-4C59-9026-48273DF7F768}"/>
    <hyperlink ref="B12" location="'Guidelines - Definitions'!A1" display="• Definitions" xr:uid="{6A8BDA01-35B5-49D4-AC58-F1AAF964C292}"/>
    <hyperlink ref="B18" location="'Conversion Charts Barrel'!A1" display="• Conversion Charts Barrel system" xr:uid="{E2659078-1506-4FF0-AEEF-9C1B973BCE9F}"/>
    <hyperlink ref="B13" location="'Guidelines - Procedure of Calc'!A1" display="• Procedure of Calculations" xr:uid="{C77D31BF-BFBA-4F8F-B5AB-49621EA231CB}"/>
    <hyperlink ref="B7" location="'ASTM Converter (Tab.1)'!A1" display="ASTM - CONVERTERS" xr:uid="{1F81D5C6-4296-4A94-B6A7-0BFC897B2648}"/>
    <hyperlink ref="B16" location="'Which tables to use When'!A1" display="• Chart Which tables to use When" xr:uid="{D4B0FAB8-AFD7-4D99-BFA5-0EDAB42EB948}"/>
    <hyperlink ref="B19" location="'Conversion Charts Mass &amp; Weight'!A1" display="• Conversion Charts Mass &amp; Weight" xr:uid="{557552FE-22C4-4506-88B7-4914A2DD0F91}"/>
    <hyperlink ref="B15" location="'ASTM Formulas'!A1" display="• ASTM Formulas" xr:uid="{1EA3EAC5-C232-47C8-BF1B-B34AD0B56A31}"/>
    <hyperlink ref="B20" location="'Outturn Charts'!A1" display="• Outturn Charts" xr:uid="{FEEB5A0D-810B-4EB0-A36F-AD78C88CD28E}"/>
    <hyperlink ref="B8" location="'ASTM Calculator V.W.'!A1" display="ASTM - CALCULATORS" xr:uid="{CC34E937-CF08-470D-9FFD-2CD07C6B5581}"/>
    <hyperlink ref="B11" location="'Guidelines - Definitions'!A1" display="GUIDELINES" xr:uid="{3662251C-1C34-41D1-A7C3-8100B327C395}"/>
    <hyperlink ref="B21" location="'Guidelines - Bottom Lines'!A1" display="GUIDELINES - CARGO" xr:uid="{259172E9-0631-47E6-9867-5EF4EE8913C1}"/>
    <hyperlink ref="B9" location="'Initial&amp;Max. Loading Rate'!A1" display="CARGO - CALCULATORS" xr:uid="{CBCDB2E8-36CD-44E6-AEE8-50D745E7D17D}"/>
  </hyperlinks>
  <pageMargins left="0.74803149606299213" right="0.74803149606299213" top="0.98425196850393704" bottom="0.98425196850393704" header="0.51181102362204722" footer="0.51181102362204722"/>
  <pageSetup paperSize="9" scale="80" fitToHeight="3" orientation="portrait" horizontalDpi="4294967294"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2F1B7-29CD-479E-B9F2-764613708A7C}">
  <sheetPr>
    <tabColor rgb="FF008080"/>
    <pageSetUpPr fitToPage="1"/>
  </sheetPr>
  <dimension ref="A1:IW116"/>
  <sheetViews>
    <sheetView showGridLines="0" showRowColHeaders="0" topLeftCell="B1" workbookViewId="0">
      <selection activeCell="B18" sqref="B18"/>
    </sheetView>
  </sheetViews>
  <sheetFormatPr defaultColWidth="9.1328125" defaultRowHeight="12.75"/>
  <cols>
    <col min="1" max="1" width="0" style="3045" hidden="1" customWidth="1"/>
    <col min="2" max="2" width="36.6640625" style="3098" customWidth="1"/>
    <col min="3" max="3" width="2.6640625" style="3045" customWidth="1"/>
    <col min="4" max="4" width="3.6640625" style="3092" customWidth="1"/>
    <col min="5" max="6" width="10.6640625" style="3092" customWidth="1"/>
    <col min="7" max="7" width="19" style="3092" customWidth="1"/>
    <col min="8" max="9" width="10.6640625" style="3092" customWidth="1"/>
    <col min="10" max="10" width="19" style="3092" customWidth="1"/>
    <col min="11" max="12" width="10.6640625" style="3092" customWidth="1"/>
    <col min="13" max="13" width="3.6640625" style="3092" customWidth="1"/>
    <col min="14" max="257" width="9.1328125" style="3092"/>
    <col min="258" max="258" width="0" style="3092" hidden="1" customWidth="1"/>
    <col min="259" max="259" width="43.46484375" style="3092" customWidth="1"/>
    <col min="260" max="260" width="3.6640625" style="3092" customWidth="1"/>
    <col min="261" max="261" width="32.6640625" style="3092" customWidth="1"/>
    <col min="262" max="262" width="27" style="3092" customWidth="1"/>
    <col min="263" max="264" width="9.1328125" style="3092" customWidth="1"/>
    <col min="265" max="265" width="5" style="3092" customWidth="1"/>
    <col min="266" max="267" width="9.1328125" style="3092" customWidth="1"/>
    <col min="268" max="268" width="10.53125" style="3092" customWidth="1"/>
    <col min="269" max="513" width="9.1328125" style="3092"/>
    <col min="514" max="514" width="0" style="3092" hidden="1" customWidth="1"/>
    <col min="515" max="515" width="43.46484375" style="3092" customWidth="1"/>
    <col min="516" max="516" width="3.6640625" style="3092" customWidth="1"/>
    <col min="517" max="517" width="32.6640625" style="3092" customWidth="1"/>
    <col min="518" max="518" width="27" style="3092" customWidth="1"/>
    <col min="519" max="520" width="9.1328125" style="3092" customWidth="1"/>
    <col min="521" max="521" width="5" style="3092" customWidth="1"/>
    <col min="522" max="523" width="9.1328125" style="3092" customWidth="1"/>
    <col min="524" max="524" width="10.53125" style="3092" customWidth="1"/>
    <col min="525" max="769" width="9.1328125" style="3092"/>
    <col min="770" max="770" width="0" style="3092" hidden="1" customWidth="1"/>
    <col min="771" max="771" width="43.46484375" style="3092" customWidth="1"/>
    <col min="772" max="772" width="3.6640625" style="3092" customWidth="1"/>
    <col min="773" max="773" width="32.6640625" style="3092" customWidth="1"/>
    <col min="774" max="774" width="27" style="3092" customWidth="1"/>
    <col min="775" max="776" width="9.1328125" style="3092" customWidth="1"/>
    <col min="777" max="777" width="5" style="3092" customWidth="1"/>
    <col min="778" max="779" width="9.1328125" style="3092" customWidth="1"/>
    <col min="780" max="780" width="10.53125" style="3092" customWidth="1"/>
    <col min="781" max="1025" width="9.1328125" style="3092"/>
    <col min="1026" max="1026" width="0" style="3092" hidden="1" customWidth="1"/>
    <col min="1027" max="1027" width="43.46484375" style="3092" customWidth="1"/>
    <col min="1028" max="1028" width="3.6640625" style="3092" customWidth="1"/>
    <col min="1029" max="1029" width="32.6640625" style="3092" customWidth="1"/>
    <col min="1030" max="1030" width="27" style="3092" customWidth="1"/>
    <col min="1031" max="1032" width="9.1328125" style="3092" customWidth="1"/>
    <col min="1033" max="1033" width="5" style="3092" customWidth="1"/>
    <col min="1034" max="1035" width="9.1328125" style="3092" customWidth="1"/>
    <col min="1036" max="1036" width="10.53125" style="3092" customWidth="1"/>
    <col min="1037" max="1281" width="9.1328125" style="3092"/>
    <col min="1282" max="1282" width="0" style="3092" hidden="1" customWidth="1"/>
    <col min="1283" max="1283" width="43.46484375" style="3092" customWidth="1"/>
    <col min="1284" max="1284" width="3.6640625" style="3092" customWidth="1"/>
    <col min="1285" max="1285" width="32.6640625" style="3092" customWidth="1"/>
    <col min="1286" max="1286" width="27" style="3092" customWidth="1"/>
    <col min="1287" max="1288" width="9.1328125" style="3092" customWidth="1"/>
    <col min="1289" max="1289" width="5" style="3092" customWidth="1"/>
    <col min="1290" max="1291" width="9.1328125" style="3092" customWidth="1"/>
    <col min="1292" max="1292" width="10.53125" style="3092" customWidth="1"/>
    <col min="1293" max="1537" width="9.1328125" style="3092"/>
    <col min="1538" max="1538" width="0" style="3092" hidden="1" customWidth="1"/>
    <col min="1539" max="1539" width="43.46484375" style="3092" customWidth="1"/>
    <col min="1540" max="1540" width="3.6640625" style="3092" customWidth="1"/>
    <col min="1541" max="1541" width="32.6640625" style="3092" customWidth="1"/>
    <col min="1542" max="1542" width="27" style="3092" customWidth="1"/>
    <col min="1543" max="1544" width="9.1328125" style="3092" customWidth="1"/>
    <col min="1545" max="1545" width="5" style="3092" customWidth="1"/>
    <col min="1546" max="1547" width="9.1328125" style="3092" customWidth="1"/>
    <col min="1548" max="1548" width="10.53125" style="3092" customWidth="1"/>
    <col min="1549" max="1793" width="9.1328125" style="3092"/>
    <col min="1794" max="1794" width="0" style="3092" hidden="1" customWidth="1"/>
    <col min="1795" max="1795" width="43.46484375" style="3092" customWidth="1"/>
    <col min="1796" max="1796" width="3.6640625" style="3092" customWidth="1"/>
    <col min="1797" max="1797" width="32.6640625" style="3092" customWidth="1"/>
    <col min="1798" max="1798" width="27" style="3092" customWidth="1"/>
    <col min="1799" max="1800" width="9.1328125" style="3092" customWidth="1"/>
    <col min="1801" max="1801" width="5" style="3092" customWidth="1"/>
    <col min="1802" max="1803" width="9.1328125" style="3092" customWidth="1"/>
    <col min="1804" max="1804" width="10.53125" style="3092" customWidth="1"/>
    <col min="1805" max="2049" width="9.1328125" style="3092"/>
    <col min="2050" max="2050" width="0" style="3092" hidden="1" customWidth="1"/>
    <col min="2051" max="2051" width="43.46484375" style="3092" customWidth="1"/>
    <col min="2052" max="2052" width="3.6640625" style="3092" customWidth="1"/>
    <col min="2053" max="2053" width="32.6640625" style="3092" customWidth="1"/>
    <col min="2054" max="2054" width="27" style="3092" customWidth="1"/>
    <col min="2055" max="2056" width="9.1328125" style="3092" customWidth="1"/>
    <col min="2057" max="2057" width="5" style="3092" customWidth="1"/>
    <col min="2058" max="2059" width="9.1328125" style="3092" customWidth="1"/>
    <col min="2060" max="2060" width="10.53125" style="3092" customWidth="1"/>
    <col min="2061" max="2305" width="9.1328125" style="3092"/>
    <col min="2306" max="2306" width="0" style="3092" hidden="1" customWidth="1"/>
    <col min="2307" max="2307" width="43.46484375" style="3092" customWidth="1"/>
    <col min="2308" max="2308" width="3.6640625" style="3092" customWidth="1"/>
    <col min="2309" max="2309" width="32.6640625" style="3092" customWidth="1"/>
    <col min="2310" max="2310" width="27" style="3092" customWidth="1"/>
    <col min="2311" max="2312" width="9.1328125" style="3092" customWidth="1"/>
    <col min="2313" max="2313" width="5" style="3092" customWidth="1"/>
    <col min="2314" max="2315" width="9.1328125" style="3092" customWidth="1"/>
    <col min="2316" max="2316" width="10.53125" style="3092" customWidth="1"/>
    <col min="2317" max="2561" width="9.1328125" style="3092"/>
    <col min="2562" max="2562" width="0" style="3092" hidden="1" customWidth="1"/>
    <col min="2563" max="2563" width="43.46484375" style="3092" customWidth="1"/>
    <col min="2564" max="2564" width="3.6640625" style="3092" customWidth="1"/>
    <col min="2565" max="2565" width="32.6640625" style="3092" customWidth="1"/>
    <col min="2566" max="2566" width="27" style="3092" customWidth="1"/>
    <col min="2567" max="2568" width="9.1328125" style="3092" customWidth="1"/>
    <col min="2569" max="2569" width="5" style="3092" customWidth="1"/>
    <col min="2570" max="2571" width="9.1328125" style="3092" customWidth="1"/>
    <col min="2572" max="2572" width="10.53125" style="3092" customWidth="1"/>
    <col min="2573" max="2817" width="9.1328125" style="3092"/>
    <col min="2818" max="2818" width="0" style="3092" hidden="1" customWidth="1"/>
    <col min="2819" max="2819" width="43.46484375" style="3092" customWidth="1"/>
    <col min="2820" max="2820" width="3.6640625" style="3092" customWidth="1"/>
    <col min="2821" max="2821" width="32.6640625" style="3092" customWidth="1"/>
    <col min="2822" max="2822" width="27" style="3092" customWidth="1"/>
    <col min="2823" max="2824" width="9.1328125" style="3092" customWidth="1"/>
    <col min="2825" max="2825" width="5" style="3092" customWidth="1"/>
    <col min="2826" max="2827" width="9.1328125" style="3092" customWidth="1"/>
    <col min="2828" max="2828" width="10.53125" style="3092" customWidth="1"/>
    <col min="2829" max="3073" width="9.1328125" style="3092"/>
    <col min="3074" max="3074" width="0" style="3092" hidden="1" customWidth="1"/>
    <col min="3075" max="3075" width="43.46484375" style="3092" customWidth="1"/>
    <col min="3076" max="3076" width="3.6640625" style="3092" customWidth="1"/>
    <col min="3077" max="3077" width="32.6640625" style="3092" customWidth="1"/>
    <col min="3078" max="3078" width="27" style="3092" customWidth="1"/>
    <col min="3079" max="3080" width="9.1328125" style="3092" customWidth="1"/>
    <col min="3081" max="3081" width="5" style="3092" customWidth="1"/>
    <col min="3082" max="3083" width="9.1328125" style="3092" customWidth="1"/>
    <col min="3084" max="3084" width="10.53125" style="3092" customWidth="1"/>
    <col min="3085" max="3329" width="9.1328125" style="3092"/>
    <col min="3330" max="3330" width="0" style="3092" hidden="1" customWidth="1"/>
    <col min="3331" max="3331" width="43.46484375" style="3092" customWidth="1"/>
    <col min="3332" max="3332" width="3.6640625" style="3092" customWidth="1"/>
    <col min="3333" max="3333" width="32.6640625" style="3092" customWidth="1"/>
    <col min="3334" max="3334" width="27" style="3092" customWidth="1"/>
    <col min="3335" max="3336" width="9.1328125" style="3092" customWidth="1"/>
    <col min="3337" max="3337" width="5" style="3092" customWidth="1"/>
    <col min="3338" max="3339" width="9.1328125" style="3092" customWidth="1"/>
    <col min="3340" max="3340" width="10.53125" style="3092" customWidth="1"/>
    <col min="3341" max="3585" width="9.1328125" style="3092"/>
    <col min="3586" max="3586" width="0" style="3092" hidden="1" customWidth="1"/>
    <col min="3587" max="3587" width="43.46484375" style="3092" customWidth="1"/>
    <col min="3588" max="3588" width="3.6640625" style="3092" customWidth="1"/>
    <col min="3589" max="3589" width="32.6640625" style="3092" customWidth="1"/>
    <col min="3590" max="3590" width="27" style="3092" customWidth="1"/>
    <col min="3591" max="3592" width="9.1328125" style="3092" customWidth="1"/>
    <col min="3593" max="3593" width="5" style="3092" customWidth="1"/>
    <col min="3594" max="3595" width="9.1328125" style="3092" customWidth="1"/>
    <col min="3596" max="3596" width="10.53125" style="3092" customWidth="1"/>
    <col min="3597" max="3841" width="9.1328125" style="3092"/>
    <col min="3842" max="3842" width="0" style="3092" hidden="1" customWidth="1"/>
    <col min="3843" max="3843" width="43.46484375" style="3092" customWidth="1"/>
    <col min="3844" max="3844" width="3.6640625" style="3092" customWidth="1"/>
    <col min="3845" max="3845" width="32.6640625" style="3092" customWidth="1"/>
    <col min="3846" max="3846" width="27" style="3092" customWidth="1"/>
    <col min="3847" max="3848" width="9.1328125" style="3092" customWidth="1"/>
    <col min="3849" max="3849" width="5" style="3092" customWidth="1"/>
    <col min="3850" max="3851" width="9.1328125" style="3092" customWidth="1"/>
    <col min="3852" max="3852" width="10.53125" style="3092" customWidth="1"/>
    <col min="3853" max="4097" width="9.1328125" style="3092"/>
    <col min="4098" max="4098" width="0" style="3092" hidden="1" customWidth="1"/>
    <col min="4099" max="4099" width="43.46484375" style="3092" customWidth="1"/>
    <col min="4100" max="4100" width="3.6640625" style="3092" customWidth="1"/>
    <col min="4101" max="4101" width="32.6640625" style="3092" customWidth="1"/>
    <col min="4102" max="4102" width="27" style="3092" customWidth="1"/>
    <col min="4103" max="4104" width="9.1328125" style="3092" customWidth="1"/>
    <col min="4105" max="4105" width="5" style="3092" customWidth="1"/>
    <col min="4106" max="4107" width="9.1328125" style="3092" customWidth="1"/>
    <col min="4108" max="4108" width="10.53125" style="3092" customWidth="1"/>
    <col min="4109" max="4353" width="9.1328125" style="3092"/>
    <col min="4354" max="4354" width="0" style="3092" hidden="1" customWidth="1"/>
    <col min="4355" max="4355" width="43.46484375" style="3092" customWidth="1"/>
    <col min="4356" max="4356" width="3.6640625" style="3092" customWidth="1"/>
    <col min="4357" max="4357" width="32.6640625" style="3092" customWidth="1"/>
    <col min="4358" max="4358" width="27" style="3092" customWidth="1"/>
    <col min="4359" max="4360" width="9.1328125" style="3092" customWidth="1"/>
    <col min="4361" max="4361" width="5" style="3092" customWidth="1"/>
    <col min="4362" max="4363" width="9.1328125" style="3092" customWidth="1"/>
    <col min="4364" max="4364" width="10.53125" style="3092" customWidth="1"/>
    <col min="4365" max="4609" width="9.1328125" style="3092"/>
    <col min="4610" max="4610" width="0" style="3092" hidden="1" customWidth="1"/>
    <col min="4611" max="4611" width="43.46484375" style="3092" customWidth="1"/>
    <col min="4612" max="4612" width="3.6640625" style="3092" customWidth="1"/>
    <col min="4613" max="4613" width="32.6640625" style="3092" customWidth="1"/>
    <col min="4614" max="4614" width="27" style="3092" customWidth="1"/>
    <col min="4615" max="4616" width="9.1328125" style="3092" customWidth="1"/>
    <col min="4617" max="4617" width="5" style="3092" customWidth="1"/>
    <col min="4618" max="4619" width="9.1328125" style="3092" customWidth="1"/>
    <col min="4620" max="4620" width="10.53125" style="3092" customWidth="1"/>
    <col min="4621" max="4865" width="9.1328125" style="3092"/>
    <col min="4866" max="4866" width="0" style="3092" hidden="1" customWidth="1"/>
    <col min="4867" max="4867" width="43.46484375" style="3092" customWidth="1"/>
    <col min="4868" max="4868" width="3.6640625" style="3092" customWidth="1"/>
    <col min="4869" max="4869" width="32.6640625" style="3092" customWidth="1"/>
    <col min="4870" max="4870" width="27" style="3092" customWidth="1"/>
    <col min="4871" max="4872" width="9.1328125" style="3092" customWidth="1"/>
    <col min="4873" max="4873" width="5" style="3092" customWidth="1"/>
    <col min="4874" max="4875" width="9.1328125" style="3092" customWidth="1"/>
    <col min="4876" max="4876" width="10.53125" style="3092" customWidth="1"/>
    <col min="4877" max="5121" width="9.1328125" style="3092"/>
    <col min="5122" max="5122" width="0" style="3092" hidden="1" customWidth="1"/>
    <col min="5123" max="5123" width="43.46484375" style="3092" customWidth="1"/>
    <col min="5124" max="5124" width="3.6640625" style="3092" customWidth="1"/>
    <col min="5125" max="5125" width="32.6640625" style="3092" customWidth="1"/>
    <col min="5126" max="5126" width="27" style="3092" customWidth="1"/>
    <col min="5127" max="5128" width="9.1328125" style="3092" customWidth="1"/>
    <col min="5129" max="5129" width="5" style="3092" customWidth="1"/>
    <col min="5130" max="5131" width="9.1328125" style="3092" customWidth="1"/>
    <col min="5132" max="5132" width="10.53125" style="3092" customWidth="1"/>
    <col min="5133" max="5377" width="9.1328125" style="3092"/>
    <col min="5378" max="5378" width="0" style="3092" hidden="1" customWidth="1"/>
    <col min="5379" max="5379" width="43.46484375" style="3092" customWidth="1"/>
    <col min="5380" max="5380" width="3.6640625" style="3092" customWidth="1"/>
    <col min="5381" max="5381" width="32.6640625" style="3092" customWidth="1"/>
    <col min="5382" max="5382" width="27" style="3092" customWidth="1"/>
    <col min="5383" max="5384" width="9.1328125" style="3092" customWidth="1"/>
    <col min="5385" max="5385" width="5" style="3092" customWidth="1"/>
    <col min="5386" max="5387" width="9.1328125" style="3092" customWidth="1"/>
    <col min="5388" max="5388" width="10.53125" style="3092" customWidth="1"/>
    <col min="5389" max="5633" width="9.1328125" style="3092"/>
    <col min="5634" max="5634" width="0" style="3092" hidden="1" customWidth="1"/>
    <col min="5635" max="5635" width="43.46484375" style="3092" customWidth="1"/>
    <col min="5636" max="5636" width="3.6640625" style="3092" customWidth="1"/>
    <col min="5637" max="5637" width="32.6640625" style="3092" customWidth="1"/>
    <col min="5638" max="5638" width="27" style="3092" customWidth="1"/>
    <col min="5639" max="5640" width="9.1328125" style="3092" customWidth="1"/>
    <col min="5641" max="5641" width="5" style="3092" customWidth="1"/>
    <col min="5642" max="5643" width="9.1328125" style="3092" customWidth="1"/>
    <col min="5644" max="5644" width="10.53125" style="3092" customWidth="1"/>
    <col min="5645" max="5889" width="9.1328125" style="3092"/>
    <col min="5890" max="5890" width="0" style="3092" hidden="1" customWidth="1"/>
    <col min="5891" max="5891" width="43.46484375" style="3092" customWidth="1"/>
    <col min="5892" max="5892" width="3.6640625" style="3092" customWidth="1"/>
    <col min="5893" max="5893" width="32.6640625" style="3092" customWidth="1"/>
    <col min="5894" max="5894" width="27" style="3092" customWidth="1"/>
    <col min="5895" max="5896" width="9.1328125" style="3092" customWidth="1"/>
    <col min="5897" max="5897" width="5" style="3092" customWidth="1"/>
    <col min="5898" max="5899" width="9.1328125" style="3092" customWidth="1"/>
    <col min="5900" max="5900" width="10.53125" style="3092" customWidth="1"/>
    <col min="5901" max="6145" width="9.1328125" style="3092"/>
    <col min="6146" max="6146" width="0" style="3092" hidden="1" customWidth="1"/>
    <col min="6147" max="6147" width="43.46484375" style="3092" customWidth="1"/>
    <col min="6148" max="6148" width="3.6640625" style="3092" customWidth="1"/>
    <col min="6149" max="6149" width="32.6640625" style="3092" customWidth="1"/>
    <col min="6150" max="6150" width="27" style="3092" customWidth="1"/>
    <col min="6151" max="6152" width="9.1328125" style="3092" customWidth="1"/>
    <col min="6153" max="6153" width="5" style="3092" customWidth="1"/>
    <col min="6154" max="6155" width="9.1328125" style="3092" customWidth="1"/>
    <col min="6156" max="6156" width="10.53125" style="3092" customWidth="1"/>
    <col min="6157" max="6401" width="9.1328125" style="3092"/>
    <col min="6402" max="6402" width="0" style="3092" hidden="1" customWidth="1"/>
    <col min="6403" max="6403" width="43.46484375" style="3092" customWidth="1"/>
    <col min="6404" max="6404" width="3.6640625" style="3092" customWidth="1"/>
    <col min="6405" max="6405" width="32.6640625" style="3092" customWidth="1"/>
    <col min="6406" max="6406" width="27" style="3092" customWidth="1"/>
    <col min="6407" max="6408" width="9.1328125" style="3092" customWidth="1"/>
    <col min="6409" max="6409" width="5" style="3092" customWidth="1"/>
    <col min="6410" max="6411" width="9.1328125" style="3092" customWidth="1"/>
    <col min="6412" max="6412" width="10.53125" style="3092" customWidth="1"/>
    <col min="6413" max="6657" width="9.1328125" style="3092"/>
    <col min="6658" max="6658" width="0" style="3092" hidden="1" customWidth="1"/>
    <col min="6659" max="6659" width="43.46484375" style="3092" customWidth="1"/>
    <col min="6660" max="6660" width="3.6640625" style="3092" customWidth="1"/>
    <col min="6661" max="6661" width="32.6640625" style="3092" customWidth="1"/>
    <col min="6662" max="6662" width="27" style="3092" customWidth="1"/>
    <col min="6663" max="6664" width="9.1328125" style="3092" customWidth="1"/>
    <col min="6665" max="6665" width="5" style="3092" customWidth="1"/>
    <col min="6666" max="6667" width="9.1328125" style="3092" customWidth="1"/>
    <col min="6668" max="6668" width="10.53125" style="3092" customWidth="1"/>
    <col min="6669" max="6913" width="9.1328125" style="3092"/>
    <col min="6914" max="6914" width="0" style="3092" hidden="1" customWidth="1"/>
    <col min="6915" max="6915" width="43.46484375" style="3092" customWidth="1"/>
    <col min="6916" max="6916" width="3.6640625" style="3092" customWidth="1"/>
    <col min="6917" max="6917" width="32.6640625" style="3092" customWidth="1"/>
    <col min="6918" max="6918" width="27" style="3092" customWidth="1"/>
    <col min="6919" max="6920" width="9.1328125" style="3092" customWidth="1"/>
    <col min="6921" max="6921" width="5" style="3092" customWidth="1"/>
    <col min="6922" max="6923" width="9.1328125" style="3092" customWidth="1"/>
    <col min="6924" max="6924" width="10.53125" style="3092" customWidth="1"/>
    <col min="6925" max="7169" width="9.1328125" style="3092"/>
    <col min="7170" max="7170" width="0" style="3092" hidden="1" customWidth="1"/>
    <col min="7171" max="7171" width="43.46484375" style="3092" customWidth="1"/>
    <col min="7172" max="7172" width="3.6640625" style="3092" customWidth="1"/>
    <col min="7173" max="7173" width="32.6640625" style="3092" customWidth="1"/>
    <col min="7174" max="7174" width="27" style="3092" customWidth="1"/>
    <col min="7175" max="7176" width="9.1328125" style="3092" customWidth="1"/>
    <col min="7177" max="7177" width="5" style="3092" customWidth="1"/>
    <col min="7178" max="7179" width="9.1328125" style="3092" customWidth="1"/>
    <col min="7180" max="7180" width="10.53125" style="3092" customWidth="1"/>
    <col min="7181" max="7425" width="9.1328125" style="3092"/>
    <col min="7426" max="7426" width="0" style="3092" hidden="1" customWidth="1"/>
    <col min="7427" max="7427" width="43.46484375" style="3092" customWidth="1"/>
    <col min="7428" max="7428" width="3.6640625" style="3092" customWidth="1"/>
    <col min="7429" max="7429" width="32.6640625" style="3092" customWidth="1"/>
    <col min="7430" max="7430" width="27" style="3092" customWidth="1"/>
    <col min="7431" max="7432" width="9.1328125" style="3092" customWidth="1"/>
    <col min="7433" max="7433" width="5" style="3092" customWidth="1"/>
    <col min="7434" max="7435" width="9.1328125" style="3092" customWidth="1"/>
    <col min="7436" max="7436" width="10.53125" style="3092" customWidth="1"/>
    <col min="7437" max="7681" width="9.1328125" style="3092"/>
    <col min="7682" max="7682" width="0" style="3092" hidden="1" customWidth="1"/>
    <col min="7683" max="7683" width="43.46484375" style="3092" customWidth="1"/>
    <col min="7684" max="7684" width="3.6640625" style="3092" customWidth="1"/>
    <col min="7685" max="7685" width="32.6640625" style="3092" customWidth="1"/>
    <col min="7686" max="7686" width="27" style="3092" customWidth="1"/>
    <col min="7687" max="7688" width="9.1328125" style="3092" customWidth="1"/>
    <col min="7689" max="7689" width="5" style="3092" customWidth="1"/>
    <col min="7690" max="7691" width="9.1328125" style="3092" customWidth="1"/>
    <col min="7692" max="7692" width="10.53125" style="3092" customWidth="1"/>
    <col min="7693" max="7937" width="9.1328125" style="3092"/>
    <col min="7938" max="7938" width="0" style="3092" hidden="1" customWidth="1"/>
    <col min="7939" max="7939" width="43.46484375" style="3092" customWidth="1"/>
    <col min="7940" max="7940" width="3.6640625" style="3092" customWidth="1"/>
    <col min="7941" max="7941" width="32.6640625" style="3092" customWidth="1"/>
    <col min="7942" max="7942" width="27" style="3092" customWidth="1"/>
    <col min="7943" max="7944" width="9.1328125" style="3092" customWidth="1"/>
    <col min="7945" max="7945" width="5" style="3092" customWidth="1"/>
    <col min="7946" max="7947" width="9.1328125" style="3092" customWidth="1"/>
    <col min="7948" max="7948" width="10.53125" style="3092" customWidth="1"/>
    <col min="7949" max="8193" width="9.1328125" style="3092"/>
    <col min="8194" max="8194" width="0" style="3092" hidden="1" customWidth="1"/>
    <col min="8195" max="8195" width="43.46484375" style="3092" customWidth="1"/>
    <col min="8196" max="8196" width="3.6640625" style="3092" customWidth="1"/>
    <col min="8197" max="8197" width="32.6640625" style="3092" customWidth="1"/>
    <col min="8198" max="8198" width="27" style="3092" customWidth="1"/>
    <col min="8199" max="8200" width="9.1328125" style="3092" customWidth="1"/>
    <col min="8201" max="8201" width="5" style="3092" customWidth="1"/>
    <col min="8202" max="8203" width="9.1328125" style="3092" customWidth="1"/>
    <col min="8204" max="8204" width="10.53125" style="3092" customWidth="1"/>
    <col min="8205" max="8449" width="9.1328125" style="3092"/>
    <col min="8450" max="8450" width="0" style="3092" hidden="1" customWidth="1"/>
    <col min="8451" max="8451" width="43.46484375" style="3092" customWidth="1"/>
    <col min="8452" max="8452" width="3.6640625" style="3092" customWidth="1"/>
    <col min="8453" max="8453" width="32.6640625" style="3092" customWidth="1"/>
    <col min="8454" max="8454" width="27" style="3092" customWidth="1"/>
    <col min="8455" max="8456" width="9.1328125" style="3092" customWidth="1"/>
    <col min="8457" max="8457" width="5" style="3092" customWidth="1"/>
    <col min="8458" max="8459" width="9.1328125" style="3092" customWidth="1"/>
    <col min="8460" max="8460" width="10.53125" style="3092" customWidth="1"/>
    <col min="8461" max="8705" width="9.1328125" style="3092"/>
    <col min="8706" max="8706" width="0" style="3092" hidden="1" customWidth="1"/>
    <col min="8707" max="8707" width="43.46484375" style="3092" customWidth="1"/>
    <col min="8708" max="8708" width="3.6640625" style="3092" customWidth="1"/>
    <col min="8709" max="8709" width="32.6640625" style="3092" customWidth="1"/>
    <col min="8710" max="8710" width="27" style="3092" customWidth="1"/>
    <col min="8711" max="8712" width="9.1328125" style="3092" customWidth="1"/>
    <col min="8713" max="8713" width="5" style="3092" customWidth="1"/>
    <col min="8714" max="8715" width="9.1328125" style="3092" customWidth="1"/>
    <col min="8716" max="8716" width="10.53125" style="3092" customWidth="1"/>
    <col min="8717" max="8961" width="9.1328125" style="3092"/>
    <col min="8962" max="8962" width="0" style="3092" hidden="1" customWidth="1"/>
    <col min="8963" max="8963" width="43.46484375" style="3092" customWidth="1"/>
    <col min="8964" max="8964" width="3.6640625" style="3092" customWidth="1"/>
    <col min="8965" max="8965" width="32.6640625" style="3092" customWidth="1"/>
    <col min="8966" max="8966" width="27" style="3092" customWidth="1"/>
    <col min="8967" max="8968" width="9.1328125" style="3092" customWidth="1"/>
    <col min="8969" max="8969" width="5" style="3092" customWidth="1"/>
    <col min="8970" max="8971" width="9.1328125" style="3092" customWidth="1"/>
    <col min="8972" max="8972" width="10.53125" style="3092" customWidth="1"/>
    <col min="8973" max="9217" width="9.1328125" style="3092"/>
    <col min="9218" max="9218" width="0" style="3092" hidden="1" customWidth="1"/>
    <col min="9219" max="9219" width="43.46484375" style="3092" customWidth="1"/>
    <col min="9220" max="9220" width="3.6640625" style="3092" customWidth="1"/>
    <col min="9221" max="9221" width="32.6640625" style="3092" customWidth="1"/>
    <col min="9222" max="9222" width="27" style="3092" customWidth="1"/>
    <col min="9223" max="9224" width="9.1328125" style="3092" customWidth="1"/>
    <col min="9225" max="9225" width="5" style="3092" customWidth="1"/>
    <col min="9226" max="9227" width="9.1328125" style="3092" customWidth="1"/>
    <col min="9228" max="9228" width="10.53125" style="3092" customWidth="1"/>
    <col min="9229" max="9473" width="9.1328125" style="3092"/>
    <col min="9474" max="9474" width="0" style="3092" hidden="1" customWidth="1"/>
    <col min="9475" max="9475" width="43.46484375" style="3092" customWidth="1"/>
    <col min="9476" max="9476" width="3.6640625" style="3092" customWidth="1"/>
    <col min="9477" max="9477" width="32.6640625" style="3092" customWidth="1"/>
    <col min="9478" max="9478" width="27" style="3092" customWidth="1"/>
    <col min="9479" max="9480" width="9.1328125" style="3092" customWidth="1"/>
    <col min="9481" max="9481" width="5" style="3092" customWidth="1"/>
    <col min="9482" max="9483" width="9.1328125" style="3092" customWidth="1"/>
    <col min="9484" max="9484" width="10.53125" style="3092" customWidth="1"/>
    <col min="9485" max="9729" width="9.1328125" style="3092"/>
    <col min="9730" max="9730" width="0" style="3092" hidden="1" customWidth="1"/>
    <col min="9731" max="9731" width="43.46484375" style="3092" customWidth="1"/>
    <col min="9732" max="9732" width="3.6640625" style="3092" customWidth="1"/>
    <col min="9733" max="9733" width="32.6640625" style="3092" customWidth="1"/>
    <col min="9734" max="9734" width="27" style="3092" customWidth="1"/>
    <col min="9735" max="9736" width="9.1328125" style="3092" customWidth="1"/>
    <col min="9737" max="9737" width="5" style="3092" customWidth="1"/>
    <col min="9738" max="9739" width="9.1328125" style="3092" customWidth="1"/>
    <col min="9740" max="9740" width="10.53125" style="3092" customWidth="1"/>
    <col min="9741" max="9985" width="9.1328125" style="3092"/>
    <col min="9986" max="9986" width="0" style="3092" hidden="1" customWidth="1"/>
    <col min="9987" max="9987" width="43.46484375" style="3092" customWidth="1"/>
    <col min="9988" max="9988" width="3.6640625" style="3092" customWidth="1"/>
    <col min="9989" max="9989" width="32.6640625" style="3092" customWidth="1"/>
    <col min="9990" max="9990" width="27" style="3092" customWidth="1"/>
    <col min="9991" max="9992" width="9.1328125" style="3092" customWidth="1"/>
    <col min="9993" max="9993" width="5" style="3092" customWidth="1"/>
    <col min="9994" max="9995" width="9.1328125" style="3092" customWidth="1"/>
    <col min="9996" max="9996" width="10.53125" style="3092" customWidth="1"/>
    <col min="9997" max="10241" width="9.1328125" style="3092"/>
    <col min="10242" max="10242" width="0" style="3092" hidden="1" customWidth="1"/>
    <col min="10243" max="10243" width="43.46484375" style="3092" customWidth="1"/>
    <col min="10244" max="10244" width="3.6640625" style="3092" customWidth="1"/>
    <col min="10245" max="10245" width="32.6640625" style="3092" customWidth="1"/>
    <col min="10246" max="10246" width="27" style="3092" customWidth="1"/>
    <col min="10247" max="10248" width="9.1328125" style="3092" customWidth="1"/>
    <col min="10249" max="10249" width="5" style="3092" customWidth="1"/>
    <col min="10250" max="10251" width="9.1328125" style="3092" customWidth="1"/>
    <col min="10252" max="10252" width="10.53125" style="3092" customWidth="1"/>
    <col min="10253" max="10497" width="9.1328125" style="3092"/>
    <col min="10498" max="10498" width="0" style="3092" hidden="1" customWidth="1"/>
    <col min="10499" max="10499" width="43.46484375" style="3092" customWidth="1"/>
    <col min="10500" max="10500" width="3.6640625" style="3092" customWidth="1"/>
    <col min="10501" max="10501" width="32.6640625" style="3092" customWidth="1"/>
    <col min="10502" max="10502" width="27" style="3092" customWidth="1"/>
    <col min="10503" max="10504" width="9.1328125" style="3092" customWidth="1"/>
    <col min="10505" max="10505" width="5" style="3092" customWidth="1"/>
    <col min="10506" max="10507" width="9.1328125" style="3092" customWidth="1"/>
    <col min="10508" max="10508" width="10.53125" style="3092" customWidth="1"/>
    <col min="10509" max="10753" width="9.1328125" style="3092"/>
    <col min="10754" max="10754" width="0" style="3092" hidden="1" customWidth="1"/>
    <col min="10755" max="10755" width="43.46484375" style="3092" customWidth="1"/>
    <col min="10756" max="10756" width="3.6640625" style="3092" customWidth="1"/>
    <col min="10757" max="10757" width="32.6640625" style="3092" customWidth="1"/>
    <col min="10758" max="10758" width="27" style="3092" customWidth="1"/>
    <col min="10759" max="10760" width="9.1328125" style="3092" customWidth="1"/>
    <col min="10761" max="10761" width="5" style="3092" customWidth="1"/>
    <col min="10762" max="10763" width="9.1328125" style="3092" customWidth="1"/>
    <col min="10764" max="10764" width="10.53125" style="3092" customWidth="1"/>
    <col min="10765" max="11009" width="9.1328125" style="3092"/>
    <col min="11010" max="11010" width="0" style="3092" hidden="1" customWidth="1"/>
    <col min="11011" max="11011" width="43.46484375" style="3092" customWidth="1"/>
    <col min="11012" max="11012" width="3.6640625" style="3092" customWidth="1"/>
    <col min="11013" max="11013" width="32.6640625" style="3092" customWidth="1"/>
    <col min="11014" max="11014" width="27" style="3092" customWidth="1"/>
    <col min="11015" max="11016" width="9.1328125" style="3092" customWidth="1"/>
    <col min="11017" max="11017" width="5" style="3092" customWidth="1"/>
    <col min="11018" max="11019" width="9.1328125" style="3092" customWidth="1"/>
    <col min="11020" max="11020" width="10.53125" style="3092" customWidth="1"/>
    <col min="11021" max="11265" width="9.1328125" style="3092"/>
    <col min="11266" max="11266" width="0" style="3092" hidden="1" customWidth="1"/>
    <col min="11267" max="11267" width="43.46484375" style="3092" customWidth="1"/>
    <col min="11268" max="11268" width="3.6640625" style="3092" customWidth="1"/>
    <col min="11269" max="11269" width="32.6640625" style="3092" customWidth="1"/>
    <col min="11270" max="11270" width="27" style="3092" customWidth="1"/>
    <col min="11271" max="11272" width="9.1328125" style="3092" customWidth="1"/>
    <col min="11273" max="11273" width="5" style="3092" customWidth="1"/>
    <col min="11274" max="11275" width="9.1328125" style="3092" customWidth="1"/>
    <col min="11276" max="11276" width="10.53125" style="3092" customWidth="1"/>
    <col min="11277" max="11521" width="9.1328125" style="3092"/>
    <col min="11522" max="11522" width="0" style="3092" hidden="1" customWidth="1"/>
    <col min="11523" max="11523" width="43.46484375" style="3092" customWidth="1"/>
    <col min="11524" max="11524" width="3.6640625" style="3092" customWidth="1"/>
    <col min="11525" max="11525" width="32.6640625" style="3092" customWidth="1"/>
    <col min="11526" max="11526" width="27" style="3092" customWidth="1"/>
    <col min="11527" max="11528" width="9.1328125" style="3092" customWidth="1"/>
    <col min="11529" max="11529" width="5" style="3092" customWidth="1"/>
    <col min="11530" max="11531" width="9.1328125" style="3092" customWidth="1"/>
    <col min="11532" max="11532" width="10.53125" style="3092" customWidth="1"/>
    <col min="11533" max="11777" width="9.1328125" style="3092"/>
    <col min="11778" max="11778" width="0" style="3092" hidden="1" customWidth="1"/>
    <col min="11779" max="11779" width="43.46484375" style="3092" customWidth="1"/>
    <col min="11780" max="11780" width="3.6640625" style="3092" customWidth="1"/>
    <col min="11781" max="11781" width="32.6640625" style="3092" customWidth="1"/>
    <col min="11782" max="11782" width="27" style="3092" customWidth="1"/>
    <col min="11783" max="11784" width="9.1328125" style="3092" customWidth="1"/>
    <col min="11785" max="11785" width="5" style="3092" customWidth="1"/>
    <col min="11786" max="11787" width="9.1328125" style="3092" customWidth="1"/>
    <col min="11788" max="11788" width="10.53125" style="3092" customWidth="1"/>
    <col min="11789" max="12033" width="9.1328125" style="3092"/>
    <col min="12034" max="12034" width="0" style="3092" hidden="1" customWidth="1"/>
    <col min="12035" max="12035" width="43.46484375" style="3092" customWidth="1"/>
    <col min="12036" max="12036" width="3.6640625" style="3092" customWidth="1"/>
    <col min="12037" max="12037" width="32.6640625" style="3092" customWidth="1"/>
    <col min="12038" max="12038" width="27" style="3092" customWidth="1"/>
    <col min="12039" max="12040" width="9.1328125" style="3092" customWidth="1"/>
    <col min="12041" max="12041" width="5" style="3092" customWidth="1"/>
    <col min="12042" max="12043" width="9.1328125" style="3092" customWidth="1"/>
    <col min="12044" max="12044" width="10.53125" style="3092" customWidth="1"/>
    <col min="12045" max="12289" width="9.1328125" style="3092"/>
    <col min="12290" max="12290" width="0" style="3092" hidden="1" customWidth="1"/>
    <col min="12291" max="12291" width="43.46484375" style="3092" customWidth="1"/>
    <col min="12292" max="12292" width="3.6640625" style="3092" customWidth="1"/>
    <col min="12293" max="12293" width="32.6640625" style="3092" customWidth="1"/>
    <col min="12294" max="12294" width="27" style="3092" customWidth="1"/>
    <col min="12295" max="12296" width="9.1328125" style="3092" customWidth="1"/>
    <col min="12297" max="12297" width="5" style="3092" customWidth="1"/>
    <col min="12298" max="12299" width="9.1328125" style="3092" customWidth="1"/>
    <col min="12300" max="12300" width="10.53125" style="3092" customWidth="1"/>
    <col min="12301" max="12545" width="9.1328125" style="3092"/>
    <col min="12546" max="12546" width="0" style="3092" hidden="1" customWidth="1"/>
    <col min="12547" max="12547" width="43.46484375" style="3092" customWidth="1"/>
    <col min="12548" max="12548" width="3.6640625" style="3092" customWidth="1"/>
    <col min="12549" max="12549" width="32.6640625" style="3092" customWidth="1"/>
    <col min="12550" max="12550" width="27" style="3092" customWidth="1"/>
    <col min="12551" max="12552" width="9.1328125" style="3092" customWidth="1"/>
    <col min="12553" max="12553" width="5" style="3092" customWidth="1"/>
    <col min="12554" max="12555" width="9.1328125" style="3092" customWidth="1"/>
    <col min="12556" max="12556" width="10.53125" style="3092" customWidth="1"/>
    <col min="12557" max="12801" width="9.1328125" style="3092"/>
    <col min="12802" max="12802" width="0" style="3092" hidden="1" customWidth="1"/>
    <col min="12803" max="12803" width="43.46484375" style="3092" customWidth="1"/>
    <col min="12804" max="12804" width="3.6640625" style="3092" customWidth="1"/>
    <col min="12805" max="12805" width="32.6640625" style="3092" customWidth="1"/>
    <col min="12806" max="12806" width="27" style="3092" customWidth="1"/>
    <col min="12807" max="12808" width="9.1328125" style="3092" customWidth="1"/>
    <col min="12809" max="12809" width="5" style="3092" customWidth="1"/>
    <col min="12810" max="12811" width="9.1328125" style="3092" customWidth="1"/>
    <col min="12812" max="12812" width="10.53125" style="3092" customWidth="1"/>
    <col min="12813" max="13057" width="9.1328125" style="3092"/>
    <col min="13058" max="13058" width="0" style="3092" hidden="1" customWidth="1"/>
    <col min="13059" max="13059" width="43.46484375" style="3092" customWidth="1"/>
    <col min="13060" max="13060" width="3.6640625" style="3092" customWidth="1"/>
    <col min="13061" max="13061" width="32.6640625" style="3092" customWidth="1"/>
    <col min="13062" max="13062" width="27" style="3092" customWidth="1"/>
    <col min="13063" max="13064" width="9.1328125" style="3092" customWidth="1"/>
    <col min="13065" max="13065" width="5" style="3092" customWidth="1"/>
    <col min="13066" max="13067" width="9.1328125" style="3092" customWidth="1"/>
    <col min="13068" max="13068" width="10.53125" style="3092" customWidth="1"/>
    <col min="13069" max="13313" width="9.1328125" style="3092"/>
    <col min="13314" max="13314" width="0" style="3092" hidden="1" customWidth="1"/>
    <col min="13315" max="13315" width="43.46484375" style="3092" customWidth="1"/>
    <col min="13316" max="13316" width="3.6640625" style="3092" customWidth="1"/>
    <col min="13317" max="13317" width="32.6640625" style="3092" customWidth="1"/>
    <col min="13318" max="13318" width="27" style="3092" customWidth="1"/>
    <col min="13319" max="13320" width="9.1328125" style="3092" customWidth="1"/>
    <col min="13321" max="13321" width="5" style="3092" customWidth="1"/>
    <col min="13322" max="13323" width="9.1328125" style="3092" customWidth="1"/>
    <col min="13324" max="13324" width="10.53125" style="3092" customWidth="1"/>
    <col min="13325" max="13569" width="9.1328125" style="3092"/>
    <col min="13570" max="13570" width="0" style="3092" hidden="1" customWidth="1"/>
    <col min="13571" max="13571" width="43.46484375" style="3092" customWidth="1"/>
    <col min="13572" max="13572" width="3.6640625" style="3092" customWidth="1"/>
    <col min="13573" max="13573" width="32.6640625" style="3092" customWidth="1"/>
    <col min="13574" max="13574" width="27" style="3092" customWidth="1"/>
    <col min="13575" max="13576" width="9.1328125" style="3092" customWidth="1"/>
    <col min="13577" max="13577" width="5" style="3092" customWidth="1"/>
    <col min="13578" max="13579" width="9.1328125" style="3092" customWidth="1"/>
    <col min="13580" max="13580" width="10.53125" style="3092" customWidth="1"/>
    <col min="13581" max="13825" width="9.1328125" style="3092"/>
    <col min="13826" max="13826" width="0" style="3092" hidden="1" customWidth="1"/>
    <col min="13827" max="13827" width="43.46484375" style="3092" customWidth="1"/>
    <col min="13828" max="13828" width="3.6640625" style="3092" customWidth="1"/>
    <col min="13829" max="13829" width="32.6640625" style="3092" customWidth="1"/>
    <col min="13830" max="13830" width="27" style="3092" customWidth="1"/>
    <col min="13831" max="13832" width="9.1328125" style="3092" customWidth="1"/>
    <col min="13833" max="13833" width="5" style="3092" customWidth="1"/>
    <col min="13834" max="13835" width="9.1328125" style="3092" customWidth="1"/>
    <col min="13836" max="13836" width="10.53125" style="3092" customWidth="1"/>
    <col min="13837" max="14081" width="9.1328125" style="3092"/>
    <col min="14082" max="14082" width="0" style="3092" hidden="1" customWidth="1"/>
    <col min="14083" max="14083" width="43.46484375" style="3092" customWidth="1"/>
    <col min="14084" max="14084" width="3.6640625" style="3092" customWidth="1"/>
    <col min="14085" max="14085" width="32.6640625" style="3092" customWidth="1"/>
    <col min="14086" max="14086" width="27" style="3092" customWidth="1"/>
    <col min="14087" max="14088" width="9.1328125" style="3092" customWidth="1"/>
    <col min="14089" max="14089" width="5" style="3092" customWidth="1"/>
    <col min="14090" max="14091" width="9.1328125" style="3092" customWidth="1"/>
    <col min="14092" max="14092" width="10.53125" style="3092" customWidth="1"/>
    <col min="14093" max="14337" width="9.1328125" style="3092"/>
    <col min="14338" max="14338" width="0" style="3092" hidden="1" customWidth="1"/>
    <col min="14339" max="14339" width="43.46484375" style="3092" customWidth="1"/>
    <col min="14340" max="14340" width="3.6640625" style="3092" customWidth="1"/>
    <col min="14341" max="14341" width="32.6640625" style="3092" customWidth="1"/>
    <col min="14342" max="14342" width="27" style="3092" customWidth="1"/>
    <col min="14343" max="14344" width="9.1328125" style="3092" customWidth="1"/>
    <col min="14345" max="14345" width="5" style="3092" customWidth="1"/>
    <col min="14346" max="14347" width="9.1328125" style="3092" customWidth="1"/>
    <col min="14348" max="14348" width="10.53125" style="3092" customWidth="1"/>
    <col min="14349" max="14593" width="9.1328125" style="3092"/>
    <col min="14594" max="14594" width="0" style="3092" hidden="1" customWidth="1"/>
    <col min="14595" max="14595" width="43.46484375" style="3092" customWidth="1"/>
    <col min="14596" max="14596" width="3.6640625" style="3092" customWidth="1"/>
    <col min="14597" max="14597" width="32.6640625" style="3092" customWidth="1"/>
    <col min="14598" max="14598" width="27" style="3092" customWidth="1"/>
    <col min="14599" max="14600" width="9.1328125" style="3092" customWidth="1"/>
    <col min="14601" max="14601" width="5" style="3092" customWidth="1"/>
    <col min="14602" max="14603" width="9.1328125" style="3092" customWidth="1"/>
    <col min="14604" max="14604" width="10.53125" style="3092" customWidth="1"/>
    <col min="14605" max="14849" width="9.1328125" style="3092"/>
    <col min="14850" max="14850" width="0" style="3092" hidden="1" customWidth="1"/>
    <col min="14851" max="14851" width="43.46484375" style="3092" customWidth="1"/>
    <col min="14852" max="14852" width="3.6640625" style="3092" customWidth="1"/>
    <col min="14853" max="14853" width="32.6640625" style="3092" customWidth="1"/>
    <col min="14854" max="14854" width="27" style="3092" customWidth="1"/>
    <col min="14855" max="14856" width="9.1328125" style="3092" customWidth="1"/>
    <col min="14857" max="14857" width="5" style="3092" customWidth="1"/>
    <col min="14858" max="14859" width="9.1328125" style="3092" customWidth="1"/>
    <col min="14860" max="14860" width="10.53125" style="3092" customWidth="1"/>
    <col min="14861" max="15105" width="9.1328125" style="3092"/>
    <col min="15106" max="15106" width="0" style="3092" hidden="1" customWidth="1"/>
    <col min="15107" max="15107" width="43.46484375" style="3092" customWidth="1"/>
    <col min="15108" max="15108" width="3.6640625" style="3092" customWidth="1"/>
    <col min="15109" max="15109" width="32.6640625" style="3092" customWidth="1"/>
    <col min="15110" max="15110" width="27" style="3092" customWidth="1"/>
    <col min="15111" max="15112" width="9.1328125" style="3092" customWidth="1"/>
    <col min="15113" max="15113" width="5" style="3092" customWidth="1"/>
    <col min="15114" max="15115" width="9.1328125" style="3092" customWidth="1"/>
    <col min="15116" max="15116" width="10.53125" style="3092" customWidth="1"/>
    <col min="15117" max="15361" width="9.1328125" style="3092"/>
    <col min="15362" max="15362" width="0" style="3092" hidden="1" customWidth="1"/>
    <col min="15363" max="15363" width="43.46484375" style="3092" customWidth="1"/>
    <col min="15364" max="15364" width="3.6640625" style="3092" customWidth="1"/>
    <col min="15365" max="15365" width="32.6640625" style="3092" customWidth="1"/>
    <col min="15366" max="15366" width="27" style="3092" customWidth="1"/>
    <col min="15367" max="15368" width="9.1328125" style="3092" customWidth="1"/>
    <col min="15369" max="15369" width="5" style="3092" customWidth="1"/>
    <col min="15370" max="15371" width="9.1328125" style="3092" customWidth="1"/>
    <col min="15372" max="15372" width="10.53125" style="3092" customWidth="1"/>
    <col min="15373" max="15617" width="9.1328125" style="3092"/>
    <col min="15618" max="15618" width="0" style="3092" hidden="1" customWidth="1"/>
    <col min="15619" max="15619" width="43.46484375" style="3092" customWidth="1"/>
    <col min="15620" max="15620" width="3.6640625" style="3092" customWidth="1"/>
    <col min="15621" max="15621" width="32.6640625" style="3092" customWidth="1"/>
    <col min="15622" max="15622" width="27" style="3092" customWidth="1"/>
    <col min="15623" max="15624" width="9.1328125" style="3092" customWidth="1"/>
    <col min="15625" max="15625" width="5" style="3092" customWidth="1"/>
    <col min="15626" max="15627" width="9.1328125" style="3092" customWidth="1"/>
    <col min="15628" max="15628" width="10.53125" style="3092" customWidth="1"/>
    <col min="15629" max="15873" width="9.1328125" style="3092"/>
    <col min="15874" max="15874" width="0" style="3092" hidden="1" customWidth="1"/>
    <col min="15875" max="15875" width="43.46484375" style="3092" customWidth="1"/>
    <col min="15876" max="15876" width="3.6640625" style="3092" customWidth="1"/>
    <col min="15877" max="15877" width="32.6640625" style="3092" customWidth="1"/>
    <col min="15878" max="15878" width="27" style="3092" customWidth="1"/>
    <col min="15879" max="15880" width="9.1328125" style="3092" customWidth="1"/>
    <col min="15881" max="15881" width="5" style="3092" customWidth="1"/>
    <col min="15882" max="15883" width="9.1328125" style="3092" customWidth="1"/>
    <col min="15884" max="15884" width="10.53125" style="3092" customWidth="1"/>
    <col min="15885" max="16129" width="9.1328125" style="3092"/>
    <col min="16130" max="16130" width="0" style="3092" hidden="1" customWidth="1"/>
    <col min="16131" max="16131" width="43.46484375" style="3092" customWidth="1"/>
    <col min="16132" max="16132" width="3.6640625" style="3092" customWidth="1"/>
    <col min="16133" max="16133" width="32.6640625" style="3092" customWidth="1"/>
    <col min="16134" max="16134" width="27" style="3092" customWidth="1"/>
    <col min="16135" max="16136" width="9.1328125" style="3092" customWidth="1"/>
    <col min="16137" max="16137" width="5" style="3092" customWidth="1"/>
    <col min="16138" max="16139" width="9.1328125" style="3092" customWidth="1"/>
    <col min="16140" max="16140" width="10.53125" style="3092" customWidth="1"/>
    <col min="16141" max="16384" width="9.1328125" style="3092"/>
  </cols>
  <sheetData>
    <row r="1" spans="1:257" ht="12.75" customHeight="1">
      <c r="B1" s="63"/>
    </row>
    <row r="2" spans="1:257" s="3047" customFormat="1" ht="21" customHeight="1">
      <c r="A2" s="3045"/>
      <c r="B2" s="3187" t="s">
        <v>0</v>
      </c>
      <c r="C2" s="3046"/>
      <c r="D2" s="3190" t="s">
        <v>1529</v>
      </c>
      <c r="E2" s="3190"/>
      <c r="F2" s="3190"/>
      <c r="G2" s="3190"/>
      <c r="H2" s="3190"/>
      <c r="I2" s="3190"/>
      <c r="J2" s="3190"/>
      <c r="K2" s="3190"/>
      <c r="L2" s="3190"/>
      <c r="M2" s="3190"/>
      <c r="N2" s="155"/>
      <c r="O2" s="155"/>
      <c r="P2" s="155"/>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c r="IW2" s="156"/>
    </row>
    <row r="3" spans="1:257" s="3047" customFormat="1" ht="21" customHeight="1">
      <c r="A3" s="3045"/>
      <c r="B3" s="3187"/>
      <c r="C3" s="3046"/>
      <c r="D3" s="3190"/>
      <c r="E3" s="3190"/>
      <c r="F3" s="3190"/>
      <c r="G3" s="3190"/>
      <c r="H3" s="3190"/>
      <c r="I3" s="3190"/>
      <c r="J3" s="3190"/>
      <c r="K3" s="3190"/>
      <c r="L3" s="3190"/>
      <c r="M3" s="3190"/>
    </row>
    <row r="4" spans="1:257" ht="21" customHeight="1">
      <c r="B4" s="63"/>
      <c r="C4" s="3048"/>
      <c r="D4" s="3093"/>
      <c r="E4" s="3094"/>
      <c r="F4" s="3093"/>
      <c r="G4" s="3093"/>
      <c r="H4" s="3093"/>
      <c r="I4" s="3093"/>
      <c r="J4" s="3093"/>
      <c r="K4" s="3093"/>
      <c r="L4" s="3093"/>
    </row>
    <row r="5" spans="1:257" ht="21" customHeight="1">
      <c r="B5" s="3050" t="s">
        <v>1</v>
      </c>
      <c r="E5" s="3099"/>
      <c r="F5" s="3100"/>
      <c r="G5" s="3100"/>
      <c r="H5" s="3101" t="s">
        <v>1530</v>
      </c>
      <c r="I5" s="3102" t="s">
        <v>1531</v>
      </c>
      <c r="J5" s="3100"/>
      <c r="K5" s="3100"/>
      <c r="L5" s="3103"/>
    </row>
    <row r="6" spans="1:257" ht="21" customHeight="1">
      <c r="B6" s="3050" t="s">
        <v>452</v>
      </c>
      <c r="E6" s="3104"/>
      <c r="F6" s="3105"/>
      <c r="G6" s="3105"/>
      <c r="H6" s="3106" t="s">
        <v>1532</v>
      </c>
      <c r="I6" s="3107" t="s">
        <v>1533</v>
      </c>
      <c r="J6" s="3105"/>
      <c r="K6" s="3105"/>
      <c r="L6" s="3108"/>
    </row>
    <row r="7" spans="1:257" ht="21" customHeight="1" thickBot="1">
      <c r="B7" s="3050" t="s">
        <v>239</v>
      </c>
      <c r="E7"/>
    </row>
    <row r="8" spans="1:257" ht="21" customHeight="1" thickTop="1">
      <c r="B8" s="3050" t="s">
        <v>1263</v>
      </c>
      <c r="E8" s="3440" t="s">
        <v>1534</v>
      </c>
      <c r="F8" s="3441"/>
      <c r="G8" s="3109" t="s">
        <v>1535</v>
      </c>
      <c r="H8" s="3444" t="s">
        <v>1536</v>
      </c>
      <c r="I8" s="3445"/>
      <c r="J8" s="3110" t="s">
        <v>1537</v>
      </c>
      <c r="K8" s="3448" t="s">
        <v>1538</v>
      </c>
      <c r="L8" s="3441"/>
    </row>
    <row r="9" spans="1:257" ht="21" customHeight="1" thickBot="1">
      <c r="B9" s="62" t="s">
        <v>557</v>
      </c>
      <c r="E9" s="3442"/>
      <c r="F9" s="3443"/>
      <c r="G9" s="3081"/>
      <c r="H9" s="3446"/>
      <c r="I9" s="3447"/>
      <c r="J9" s="3110" t="s">
        <v>1539</v>
      </c>
      <c r="K9" s="3442"/>
      <c r="L9" s="3443"/>
    </row>
    <row r="10" spans="1:257" ht="21" customHeight="1">
      <c r="B10" s="3050" t="s">
        <v>238</v>
      </c>
      <c r="E10" s="3437" t="s">
        <v>1540</v>
      </c>
      <c r="F10" s="3438" t="s">
        <v>1541</v>
      </c>
      <c r="G10" s="3081"/>
      <c r="H10" s="3439" t="s">
        <v>1542</v>
      </c>
      <c r="I10" s="3439" t="s">
        <v>1543</v>
      </c>
    </row>
    <row r="11" spans="1:257" ht="21" customHeight="1" thickBot="1">
      <c r="B11" s="146" t="s">
        <v>1652</v>
      </c>
      <c r="E11" s="3437"/>
      <c r="F11" s="3438"/>
      <c r="G11" s="3081"/>
      <c r="H11" s="3439"/>
      <c r="I11" s="3439"/>
    </row>
    <row r="12" spans="1:257" ht="21" customHeight="1">
      <c r="B12" s="145" t="s">
        <v>95</v>
      </c>
      <c r="E12" s="3440" t="s">
        <v>1544</v>
      </c>
      <c r="F12" s="3441"/>
      <c r="G12" s="3109"/>
      <c r="H12" s="3440" t="s">
        <v>1545</v>
      </c>
      <c r="I12" s="3441"/>
      <c r="J12" s="3109" t="s">
        <v>1546</v>
      </c>
      <c r="K12" s="3440" t="s">
        <v>1547</v>
      </c>
      <c r="L12" s="3441"/>
    </row>
    <row r="13" spans="1:257" ht="21" customHeight="1" thickBot="1">
      <c r="B13" s="145" t="s">
        <v>254</v>
      </c>
      <c r="E13" s="3442"/>
      <c r="F13" s="3443"/>
      <c r="G13" s="3109"/>
      <c r="H13" s="3442"/>
      <c r="I13" s="3443"/>
      <c r="J13" s="3109" t="s">
        <v>1548</v>
      </c>
      <c r="K13" s="3442"/>
      <c r="L13" s="3443"/>
    </row>
    <row r="14" spans="1:257" ht="21" customHeight="1">
      <c r="B14" s="145" t="s">
        <v>1252</v>
      </c>
      <c r="E14" s="3439" t="s">
        <v>1549</v>
      </c>
      <c r="F14" s="3438" t="s">
        <v>1550</v>
      </c>
      <c r="G14" s="3081"/>
      <c r="H14" s="3437"/>
      <c r="I14" s="3449" t="s">
        <v>1551</v>
      </c>
      <c r="K14" s="3439" t="s">
        <v>1552</v>
      </c>
      <c r="L14" s="3439" t="s">
        <v>1539</v>
      </c>
    </row>
    <row r="15" spans="1:257" ht="21" customHeight="1" thickBot="1">
      <c r="B15" s="145" t="s">
        <v>1394</v>
      </c>
      <c r="E15" s="3439"/>
      <c r="F15" s="3438"/>
      <c r="G15" s="3081"/>
      <c r="H15" s="3437"/>
      <c r="I15" s="3449"/>
      <c r="K15" s="3439"/>
      <c r="L15" s="3439"/>
    </row>
    <row r="16" spans="1:257" ht="21" customHeight="1">
      <c r="B16" s="145" t="s">
        <v>1395</v>
      </c>
      <c r="E16" s="3440" t="s">
        <v>1553</v>
      </c>
      <c r="F16" s="3441"/>
      <c r="G16" s="3081"/>
      <c r="K16" s="3440" t="s">
        <v>1554</v>
      </c>
      <c r="L16" s="3441"/>
    </row>
    <row r="17" spans="2:12" ht="21" customHeight="1" thickBot="1">
      <c r="B17" s="147" t="s">
        <v>1396</v>
      </c>
      <c r="E17" s="3442"/>
      <c r="F17" s="3443"/>
      <c r="G17" s="3081"/>
      <c r="K17" s="3442"/>
      <c r="L17" s="3443"/>
    </row>
    <row r="18" spans="2:12" ht="21" customHeight="1">
      <c r="B18" s="145" t="s">
        <v>1397</v>
      </c>
      <c r="G18" s="3081"/>
    </row>
    <row r="19" spans="2:12" ht="21" customHeight="1">
      <c r="B19" s="145" t="s">
        <v>1398</v>
      </c>
      <c r="E19" s="3111" t="s">
        <v>1555</v>
      </c>
      <c r="G19" s="3081"/>
      <c r="J19" s="3111" t="s">
        <v>1556</v>
      </c>
    </row>
    <row r="20" spans="2:12" ht="21" customHeight="1">
      <c r="B20" s="168" t="s">
        <v>1399</v>
      </c>
      <c r="E20" s="3111" t="s">
        <v>1557</v>
      </c>
      <c r="G20" s="3081"/>
      <c r="J20" s="3111" t="s">
        <v>1558</v>
      </c>
    </row>
    <row r="21" spans="2:12" ht="21" customHeight="1">
      <c r="B21" s="62" t="s">
        <v>1653</v>
      </c>
      <c r="E21" s="3099"/>
      <c r="F21" s="3100"/>
      <c r="G21" s="3100"/>
      <c r="H21" s="3101" t="s">
        <v>1530</v>
      </c>
      <c r="I21" s="3102" t="s">
        <v>1559</v>
      </c>
      <c r="J21" s="3100"/>
      <c r="K21" s="3100"/>
      <c r="L21" s="3103"/>
    </row>
    <row r="22" spans="2:12" ht="21" customHeight="1">
      <c r="B22" s="3050" t="s">
        <v>40</v>
      </c>
      <c r="E22" s="3104"/>
      <c r="F22" s="3105"/>
      <c r="G22" s="3105"/>
      <c r="H22" s="3106" t="s">
        <v>1532</v>
      </c>
      <c r="I22" s="3107" t="s">
        <v>1560</v>
      </c>
      <c r="J22" s="3105"/>
      <c r="K22" s="3105"/>
      <c r="L22" s="3108"/>
    </row>
    <row r="23" spans="2:12" ht="21" customHeight="1" thickBot="1">
      <c r="B23" s="3050" t="s">
        <v>238</v>
      </c>
      <c r="E23"/>
      <c r="F23" s="3112"/>
      <c r="G23" s="3113"/>
      <c r="H23"/>
      <c r="I23"/>
    </row>
    <row r="24" spans="2:12" ht="21" customHeight="1" thickTop="1">
      <c r="B24" s="3050" t="s">
        <v>39</v>
      </c>
      <c r="E24" s="3440" t="s">
        <v>1534</v>
      </c>
      <c r="F24" s="3441"/>
      <c r="G24" s="3081"/>
      <c r="H24" s="3444" t="s">
        <v>1536</v>
      </c>
      <c r="I24" s="3445"/>
      <c r="J24" s="3110" t="s">
        <v>1537</v>
      </c>
      <c r="K24" s="3448" t="s">
        <v>1538</v>
      </c>
      <c r="L24" s="3441"/>
    </row>
    <row r="25" spans="2:12" ht="21" customHeight="1" thickBot="1">
      <c r="B25" s="3050" t="s">
        <v>38</v>
      </c>
      <c r="E25" s="3442"/>
      <c r="F25" s="3443"/>
      <c r="G25" s="3081"/>
      <c r="H25" s="3446"/>
      <c r="I25" s="3447"/>
      <c r="J25" s="3110" t="s">
        <v>1539</v>
      </c>
      <c r="K25" s="3442"/>
      <c r="L25" s="3443"/>
    </row>
    <row r="26" spans="2:12" ht="21" customHeight="1">
      <c r="B26" s="3050"/>
      <c r="E26" s="3450" t="s">
        <v>1561</v>
      </c>
      <c r="F26" s="3452" t="s">
        <v>1562</v>
      </c>
      <c r="G26" s="3081"/>
      <c r="H26" s="3439" t="s">
        <v>1546</v>
      </c>
      <c r="I26" s="3439" t="s">
        <v>1543</v>
      </c>
    </row>
    <row r="27" spans="2:12" ht="21" customHeight="1" thickBot="1">
      <c r="B27" s="3050"/>
      <c r="E27" s="3451"/>
      <c r="F27" s="3453"/>
      <c r="G27" s="3081"/>
      <c r="H27" s="3439"/>
      <c r="I27" s="3439"/>
    </row>
    <row r="28" spans="2:12" ht="21" customHeight="1">
      <c r="B28" s="63"/>
      <c r="E28" s="3440" t="s">
        <v>1544</v>
      </c>
      <c r="F28" s="3441"/>
      <c r="G28" s="3081" t="s">
        <v>1561</v>
      </c>
      <c r="H28" s="3440" t="s">
        <v>1545</v>
      </c>
      <c r="I28" s="3441"/>
      <c r="J28" s="3109" t="s">
        <v>1546</v>
      </c>
      <c r="K28" s="3440" t="s">
        <v>1547</v>
      </c>
      <c r="L28" s="3441"/>
    </row>
    <row r="29" spans="2:12" ht="21" customHeight="1" thickBot="1">
      <c r="B29" s="63"/>
      <c r="E29" s="3442"/>
      <c r="F29" s="3443"/>
      <c r="G29" s="3081" t="s">
        <v>1563</v>
      </c>
      <c r="H29" s="3442"/>
      <c r="I29" s="3443"/>
      <c r="J29" s="3109" t="s">
        <v>1548</v>
      </c>
      <c r="K29" s="3442"/>
      <c r="L29" s="3443"/>
    </row>
    <row r="30" spans="2:12" ht="21" customHeight="1">
      <c r="B30" s="3095"/>
      <c r="E30" s="3450" t="s">
        <v>1564</v>
      </c>
      <c r="F30" s="3454" t="s">
        <v>1539</v>
      </c>
      <c r="G30" s="3081"/>
      <c r="H30" s="3437"/>
      <c r="I30" s="3449"/>
      <c r="K30" s="3437" t="s">
        <v>1565</v>
      </c>
      <c r="L30" s="3449" t="s">
        <v>1539</v>
      </c>
    </row>
    <row r="31" spans="2:12" ht="21" customHeight="1" thickBot="1">
      <c r="B31" s="3095"/>
      <c r="E31" s="3451"/>
      <c r="F31" s="3455"/>
      <c r="G31" s="3081"/>
      <c r="H31" s="3437"/>
      <c r="I31" s="3449"/>
      <c r="K31" s="3437"/>
      <c r="L31" s="3449"/>
    </row>
    <row r="32" spans="2:12" ht="21" customHeight="1">
      <c r="B32" s="3095"/>
      <c r="E32" s="3440" t="s">
        <v>1553</v>
      </c>
      <c r="F32" s="3441"/>
      <c r="G32" s="3081"/>
      <c r="H32" s="3439"/>
      <c r="I32" s="3439"/>
      <c r="K32" s="3440" t="s">
        <v>1554</v>
      </c>
      <c r="L32" s="3441"/>
    </row>
    <row r="33" spans="2:12" ht="21" customHeight="1" thickBot="1">
      <c r="B33" s="3095"/>
      <c r="E33" s="3442"/>
      <c r="F33" s="3443"/>
      <c r="G33" s="3081"/>
      <c r="H33" s="3439"/>
      <c r="I33" s="3439"/>
      <c r="K33" s="3442"/>
      <c r="L33" s="3443"/>
    </row>
    <row r="34" spans="2:12" ht="21" customHeight="1">
      <c r="B34" s="3095"/>
      <c r="E34"/>
      <c r="F34"/>
      <c r="G34" s="3081"/>
      <c r="H34" s="3066"/>
      <c r="I34" s="3066"/>
    </row>
    <row r="35" spans="2:12" ht="21" customHeight="1">
      <c r="B35" s="3095"/>
      <c r="E35" s="3099"/>
      <c r="F35" s="3100"/>
      <c r="G35" s="3100"/>
      <c r="H35" s="3101" t="s">
        <v>1530</v>
      </c>
      <c r="I35" s="3102" t="s">
        <v>1559</v>
      </c>
      <c r="J35" s="3100"/>
      <c r="K35" s="3100"/>
      <c r="L35" s="3103"/>
    </row>
    <row r="36" spans="2:12" ht="21" customHeight="1">
      <c r="B36" s="3095"/>
      <c r="E36" s="3104"/>
      <c r="F36" s="3105"/>
      <c r="G36" s="3105"/>
      <c r="H36" s="3106" t="s">
        <v>1532</v>
      </c>
      <c r="I36" s="3107" t="s">
        <v>1566</v>
      </c>
      <c r="J36" s="3105"/>
      <c r="K36" s="3105"/>
      <c r="L36" s="3108"/>
    </row>
    <row r="37" spans="2:12" ht="21" customHeight="1" thickBot="1">
      <c r="B37" s="3095"/>
      <c r="E37"/>
      <c r="F37"/>
      <c r="G37" s="3081"/>
      <c r="H37" s="3066"/>
      <c r="I37" s="3066"/>
    </row>
    <row r="38" spans="2:12" ht="21" customHeight="1">
      <c r="B38" s="3095"/>
      <c r="E38" s="3440" t="s">
        <v>1534</v>
      </c>
      <c r="F38" s="3441"/>
      <c r="G38" s="3081"/>
      <c r="H38" s="3440" t="s">
        <v>1536</v>
      </c>
      <c r="I38" s="3441"/>
      <c r="J38" s="3110" t="s">
        <v>1537</v>
      </c>
      <c r="K38" s="3448" t="s">
        <v>1538</v>
      </c>
      <c r="L38" s="3441"/>
    </row>
    <row r="39" spans="2:12" ht="21" customHeight="1" thickBot="1">
      <c r="B39" s="3095"/>
      <c r="E39" s="3442"/>
      <c r="F39" s="3443"/>
      <c r="G39" s="3081"/>
      <c r="H39" s="3442"/>
      <c r="I39" s="3443"/>
      <c r="J39" s="3110" t="s">
        <v>1539</v>
      </c>
      <c r="K39" s="3442"/>
      <c r="L39" s="3443"/>
    </row>
    <row r="40" spans="2:12" ht="21" customHeight="1">
      <c r="B40" s="3095"/>
      <c r="E40" s="3450" t="s">
        <v>1540</v>
      </c>
      <c r="F40" s="3452" t="s">
        <v>1562</v>
      </c>
      <c r="G40" s="3081"/>
      <c r="H40" s="3439" t="s">
        <v>1567</v>
      </c>
      <c r="I40" s="3439" t="s">
        <v>1543</v>
      </c>
    </row>
    <row r="41" spans="2:12" ht="21" customHeight="1" thickBot="1">
      <c r="B41" s="3095"/>
      <c r="E41" s="3451"/>
      <c r="F41" s="3453"/>
      <c r="G41" s="3081"/>
      <c r="H41" s="3439"/>
      <c r="I41" s="3439"/>
    </row>
    <row r="42" spans="2:12" ht="21" customHeight="1" thickTop="1">
      <c r="B42" s="3095"/>
      <c r="E42" s="3440" t="s">
        <v>1544</v>
      </c>
      <c r="F42" s="3441"/>
      <c r="G42" s="3081" t="s">
        <v>1561</v>
      </c>
      <c r="H42" s="3444" t="s">
        <v>1545</v>
      </c>
      <c r="I42" s="3445"/>
      <c r="J42" s="3115" t="s">
        <v>1546</v>
      </c>
      <c r="K42" s="3440" t="s">
        <v>1547</v>
      </c>
      <c r="L42" s="3441"/>
    </row>
    <row r="43" spans="2:12" ht="21" customHeight="1" thickBot="1">
      <c r="B43" s="3095"/>
      <c r="E43" s="3442"/>
      <c r="F43" s="3443"/>
      <c r="G43" s="3081" t="s">
        <v>1563</v>
      </c>
      <c r="H43" s="3446"/>
      <c r="I43" s="3447"/>
      <c r="J43" s="3109" t="s">
        <v>1548</v>
      </c>
      <c r="K43" s="3442"/>
      <c r="L43" s="3443"/>
    </row>
    <row r="44" spans="2:12" ht="21" customHeight="1">
      <c r="B44" s="3095"/>
      <c r="E44" s="3450" t="s">
        <v>1549</v>
      </c>
      <c r="F44" s="3454" t="s">
        <v>1550</v>
      </c>
      <c r="G44" s="3081"/>
      <c r="K44" s="3439" t="s">
        <v>1552</v>
      </c>
      <c r="L44" s="3439" t="s">
        <v>1550</v>
      </c>
    </row>
    <row r="45" spans="2:12" ht="21" customHeight="1" thickBot="1">
      <c r="B45" s="3095"/>
      <c r="E45" s="3451"/>
      <c r="F45" s="3455"/>
      <c r="G45" s="3081"/>
      <c r="K45" s="3439"/>
      <c r="L45" s="3439"/>
    </row>
    <row r="46" spans="2:12" ht="21" customHeight="1">
      <c r="B46" s="3095"/>
      <c r="E46" s="3440" t="s">
        <v>1553</v>
      </c>
      <c r="F46" s="3441"/>
      <c r="G46" s="3081"/>
      <c r="K46" s="3440" t="s">
        <v>1554</v>
      </c>
      <c r="L46" s="3441"/>
    </row>
    <row r="47" spans="2:12" ht="21" customHeight="1" thickBot="1">
      <c r="B47" s="3095"/>
      <c r="E47" s="3442"/>
      <c r="F47" s="3443"/>
      <c r="G47" s="3081"/>
      <c r="K47" s="3442"/>
      <c r="L47" s="3443"/>
    </row>
    <row r="48" spans="2:12" ht="12.75" customHeight="1">
      <c r="B48" s="3095"/>
      <c r="E48"/>
      <c r="F48"/>
      <c r="G48" s="3081"/>
      <c r="H48" s="3066"/>
      <c r="I48" s="3066"/>
      <c r="K48" s="3066"/>
      <c r="L48" s="3066"/>
    </row>
    <row r="49" spans="2:9" ht="12.75" customHeight="1">
      <c r="B49" s="3095"/>
      <c r="E49"/>
      <c r="F49"/>
      <c r="G49" s="3081"/>
      <c r="H49" s="3066"/>
      <c r="I49" s="3066"/>
    </row>
    <row r="50" spans="2:9" ht="12.75" customHeight="1">
      <c r="B50" s="3095"/>
      <c r="E50"/>
      <c r="F50"/>
      <c r="G50" s="3081"/>
      <c r="H50" s="3066"/>
      <c r="I50" s="3066"/>
    </row>
    <row r="51" spans="2:9" ht="12.75" customHeight="1">
      <c r="B51" s="3095"/>
    </row>
    <row r="52" spans="2:9" ht="12.75" customHeight="1">
      <c r="B52" s="3095"/>
    </row>
    <row r="53" spans="2:9" ht="12.75" customHeight="1">
      <c r="B53" s="3095"/>
    </row>
    <row r="54" spans="2:9" ht="12.75" customHeight="1">
      <c r="B54" s="3095"/>
    </row>
    <row r="55" spans="2:9" ht="12.75" customHeight="1">
      <c r="B55" s="3095"/>
    </row>
    <row r="56" spans="2:9" ht="12.75" customHeight="1">
      <c r="B56" s="3095"/>
    </row>
    <row r="57" spans="2:9" ht="12.75" customHeight="1">
      <c r="B57" s="3095"/>
    </row>
    <row r="58" spans="2:9" ht="12.75" customHeight="1">
      <c r="B58" s="3095"/>
    </row>
    <row r="59" spans="2:9" ht="12.75" customHeight="1">
      <c r="B59" s="3095"/>
    </row>
    <row r="60" spans="2:9" ht="12.75" customHeight="1">
      <c r="B60" s="3095"/>
    </row>
    <row r="61" spans="2:9" ht="12.75" customHeight="1">
      <c r="B61" s="3095"/>
    </row>
    <row r="62" spans="2:9" ht="12.75" customHeight="1">
      <c r="B62" s="3095"/>
    </row>
    <row r="63" spans="2:9" ht="12.75" customHeight="1">
      <c r="B63" s="3095"/>
    </row>
    <row r="64" spans="2:9" ht="12.75" customHeight="1">
      <c r="B64" s="3095"/>
    </row>
    <row r="65" spans="2:2" ht="12.75" customHeight="1">
      <c r="B65" s="3095"/>
    </row>
    <row r="66" spans="2:2" ht="12.75" customHeight="1">
      <c r="B66" s="3095"/>
    </row>
    <row r="67" spans="2:2" ht="12.75" customHeight="1">
      <c r="B67" s="3095"/>
    </row>
    <row r="68" spans="2:2" ht="12.75" customHeight="1">
      <c r="B68" s="3095"/>
    </row>
    <row r="69" spans="2:2" ht="12.75" customHeight="1">
      <c r="B69" s="3095"/>
    </row>
    <row r="70" spans="2:2" ht="12.75" customHeight="1">
      <c r="B70" s="3095"/>
    </row>
    <row r="71" spans="2:2" ht="12.75" customHeight="1">
      <c r="B71" s="3095"/>
    </row>
    <row r="72" spans="2:2" ht="12.75" customHeight="1">
      <c r="B72" s="3095"/>
    </row>
    <row r="73" spans="2:2" ht="12.75" customHeight="1">
      <c r="B73" s="3095"/>
    </row>
    <row r="74" spans="2:2" ht="12.75" customHeight="1">
      <c r="B74" s="3095"/>
    </row>
    <row r="75" spans="2:2" ht="12.75" customHeight="1">
      <c r="B75" s="3095"/>
    </row>
    <row r="76" spans="2:2" ht="12.75" customHeight="1">
      <c r="B76" s="3095"/>
    </row>
    <row r="77" spans="2:2" ht="12.75" customHeight="1">
      <c r="B77" s="3095"/>
    </row>
    <row r="78" spans="2:2" ht="12.75" customHeight="1">
      <c r="B78" s="3095"/>
    </row>
    <row r="79" spans="2:2" ht="12.75" customHeight="1">
      <c r="B79" s="3095"/>
    </row>
    <row r="80" spans="2:2" ht="12.75" customHeight="1">
      <c r="B80" s="3095"/>
    </row>
    <row r="81" spans="2:2" ht="12.75" customHeight="1">
      <c r="B81" s="3095"/>
    </row>
    <row r="82" spans="2:2" ht="12.75" customHeight="1">
      <c r="B82" s="3095"/>
    </row>
    <row r="83" spans="2:2" ht="12.75" customHeight="1">
      <c r="B83" s="3095"/>
    </row>
    <row r="84" spans="2:2" ht="12.75" customHeight="1">
      <c r="B84" s="3095"/>
    </row>
    <row r="85" spans="2:2" ht="12.75" customHeight="1">
      <c r="B85" s="3095"/>
    </row>
    <row r="86" spans="2:2" ht="12.75" customHeight="1">
      <c r="B86" s="3095"/>
    </row>
    <row r="87" spans="2:2" ht="12.75" customHeight="1">
      <c r="B87" s="3095"/>
    </row>
    <row r="88" spans="2:2" ht="12.75" customHeight="1">
      <c r="B88" s="3095"/>
    </row>
    <row r="89" spans="2:2" ht="12.75" customHeight="1">
      <c r="B89" s="3095"/>
    </row>
    <row r="90" spans="2:2" ht="12.75" customHeight="1">
      <c r="B90" s="3095"/>
    </row>
    <row r="91" spans="2:2" ht="12.75" customHeight="1">
      <c r="B91" s="3095"/>
    </row>
    <row r="92" spans="2:2" ht="12.75" customHeight="1">
      <c r="B92" s="3095"/>
    </row>
    <row r="93" spans="2:2" ht="12.75" customHeight="1">
      <c r="B93" s="3095"/>
    </row>
    <row r="94" spans="2:2" ht="12.75" customHeight="1">
      <c r="B94" s="3095"/>
    </row>
    <row r="95" spans="2:2" ht="12.75" customHeight="1">
      <c r="B95" s="3095"/>
    </row>
    <row r="96" spans="2:2" ht="12.75" customHeight="1">
      <c r="B96" s="3095"/>
    </row>
    <row r="97" spans="2:2" ht="12.75" customHeight="1">
      <c r="B97" s="3095"/>
    </row>
    <row r="98" spans="2:2" ht="12.75" customHeight="1">
      <c r="B98" s="3095"/>
    </row>
    <row r="99" spans="2:2" ht="12.75" customHeight="1">
      <c r="B99" s="3095"/>
    </row>
    <row r="100" spans="2:2" ht="12.75" customHeight="1">
      <c r="B100" s="3095"/>
    </row>
    <row r="101" spans="2:2" ht="12.75" customHeight="1">
      <c r="B101" s="3095"/>
    </row>
    <row r="102" spans="2:2" ht="12.75" customHeight="1">
      <c r="B102" s="3095"/>
    </row>
    <row r="103" spans="2:2" ht="12.75" customHeight="1">
      <c r="B103" s="3095"/>
    </row>
    <row r="104" spans="2:2" ht="12.75" customHeight="1">
      <c r="B104" s="3095"/>
    </row>
    <row r="105" spans="2:2" ht="12.75" customHeight="1"/>
    <row r="106" spans="2:2" ht="12.75" customHeight="1"/>
    <row r="107" spans="2:2" ht="12.75" customHeight="1"/>
    <row r="116" ht="12.75" customHeight="1"/>
  </sheetData>
  <mergeCells count="55">
    <mergeCell ref="E46:F47"/>
    <mergeCell ref="K46:L47"/>
    <mergeCell ref="E40:E41"/>
    <mergeCell ref="F40:F41"/>
    <mergeCell ref="H40:H41"/>
    <mergeCell ref="I40:I41"/>
    <mergeCell ref="E42:F43"/>
    <mergeCell ref="H42:I43"/>
    <mergeCell ref="K42:L43"/>
    <mergeCell ref="E44:E45"/>
    <mergeCell ref="F44:F45"/>
    <mergeCell ref="K44:K45"/>
    <mergeCell ref="L44:L45"/>
    <mergeCell ref="L30:L31"/>
    <mergeCell ref="E32:F33"/>
    <mergeCell ref="H32:I33"/>
    <mergeCell ref="K32:L33"/>
    <mergeCell ref="E38:F39"/>
    <mergeCell ref="H38:I39"/>
    <mergeCell ref="K38:L39"/>
    <mergeCell ref="E30:E31"/>
    <mergeCell ref="F30:F31"/>
    <mergeCell ref="H30:H31"/>
    <mergeCell ref="I30:I31"/>
    <mergeCell ref="K30:K31"/>
    <mergeCell ref="E24:F25"/>
    <mergeCell ref="H24:I25"/>
    <mergeCell ref="K24:L25"/>
    <mergeCell ref="E28:F29"/>
    <mergeCell ref="H28:I29"/>
    <mergeCell ref="K28:L29"/>
    <mergeCell ref="E26:E27"/>
    <mergeCell ref="F26:F27"/>
    <mergeCell ref="H26:H27"/>
    <mergeCell ref="I26:I27"/>
    <mergeCell ref="E12:F13"/>
    <mergeCell ref="H12:I13"/>
    <mergeCell ref="E16:F17"/>
    <mergeCell ref="K12:L13"/>
    <mergeCell ref="E14:E15"/>
    <mergeCell ref="F14:F15"/>
    <mergeCell ref="H14:H15"/>
    <mergeCell ref="I14:I15"/>
    <mergeCell ref="K14:K15"/>
    <mergeCell ref="L14:L15"/>
    <mergeCell ref="K16:L17"/>
    <mergeCell ref="E10:E11"/>
    <mergeCell ref="F10:F11"/>
    <mergeCell ref="H10:H11"/>
    <mergeCell ref="I10:I11"/>
    <mergeCell ref="B2:B3"/>
    <mergeCell ref="D2:M3"/>
    <mergeCell ref="E8:F9"/>
    <mergeCell ref="H8:I9"/>
    <mergeCell ref="K8:L9"/>
  </mergeCells>
  <hyperlinks>
    <hyperlink ref="B5" location="'Documents Manager'!A1" display="DOCUMENTS MANAGER" xr:uid="{01501801-CF3C-4854-8D12-BE1653BF7396}"/>
    <hyperlink ref="B2:B3" location="Home!A1" display="HOME" xr:uid="{31249826-1820-4587-8502-83F61149A3B2}"/>
    <hyperlink ref="B25" location="Disclaimer!A1" display="Disclaimer" xr:uid="{7E1CB4EC-8FC9-43AF-B6DA-0F830E6C4525}"/>
    <hyperlink ref="B24" location="Help!A1" display="Help" xr:uid="{9532441F-0C0E-4A91-A46F-99A7D9E45807}"/>
    <hyperlink ref="B22" location="'Source - Links'!A1" display="SOURCE / LINKS" xr:uid="{DA3ADBE9-A59E-40E8-9AF2-FCF4D249C8A4}"/>
    <hyperlink ref="B14" location="'Guidelines - Saybolt Manual'!A1" display="• Saybolt Inspection Manual" xr:uid="{1195F413-6EE8-44FD-BFF2-B7AC3EEBE229}"/>
    <hyperlink ref="B17" location="'Conversion Charts Metric'!A1" display="• Conversion Charts Metric system" xr:uid="{D2937C93-21B3-4B2F-8B33-4970135F3422}"/>
    <hyperlink ref="B6" location="'ASTM Vol. XI - Tab.1'!A1" display="ASTM TABLES" xr:uid="{8BC47A3E-90FA-4AAE-A3B1-86F73A86CBF0}"/>
    <hyperlink ref="B12" location="'Guidelines - Definitions'!A1" display="• Definitions" xr:uid="{63324D87-2830-4D57-8EF8-5327F5A62826}"/>
    <hyperlink ref="B18" location="'Conversion Charts Barrel'!A1" display="• Conversion Charts Barrel system" xr:uid="{905F0225-5083-4414-8978-6599C2DBB486}"/>
    <hyperlink ref="B13" location="'Guidelines - Procedure of Calc'!A1" display="• Procedure of Calculations" xr:uid="{1A9AAB0A-523F-4203-AADD-B865E4312837}"/>
    <hyperlink ref="B7" location="'ASTM Converter (Tab.1)'!A1" display="ASTM - CONVERTERS" xr:uid="{C5273C4C-CC61-4D26-9533-D5EF57859A47}"/>
    <hyperlink ref="B16" location="'Which tables to use When'!A1" display="• Chart Which tables to use When" xr:uid="{3F1665A2-052B-4D92-94DB-33CCF9AD6566}"/>
    <hyperlink ref="B19" location="'Conversion Charts Mass &amp; Weight'!A1" display="• Conversion Charts Mass &amp; Weight" xr:uid="{32E6A03D-3CCC-4272-8AC3-900A98F94C68}"/>
    <hyperlink ref="B15" location="'ASTM Formulas'!A1" display="• ASTM Formulas" xr:uid="{DD43ABCB-D514-4646-A69A-65D87D27A424}"/>
    <hyperlink ref="B20" location="'Outturn Charts'!A1" display="• Outturn Charts" xr:uid="{8F8C2E0D-831A-49B3-95F2-7F91A5D10222}"/>
    <hyperlink ref="B8" location="'ASTM Calculator V.W.'!A1" display="ASTM - CALCULATORS" xr:uid="{DBC66938-9507-41EF-B7B2-8A942E0D006F}"/>
    <hyperlink ref="B11" location="'Guidelines - Definitions'!A1" display="GUIDELINES" xr:uid="{2F0125FB-C0C0-42F8-BCD5-423C97DC1BD5}"/>
    <hyperlink ref="B21" location="'Guidelines - Bottom Lines'!A1" display="GUIDELINES - CARGO" xr:uid="{A638F73E-E20D-497C-AA5B-45225572E2F4}"/>
    <hyperlink ref="B9" location="'Initial&amp;Max. Loading Rate'!A1" display="CARGO - CALCULATORS" xr:uid="{D14D889F-F946-4C0F-96C4-E7FBD0620BE8}"/>
  </hyperlinks>
  <pageMargins left="0.74803149606299213" right="0.74803149606299213" top="0.98425196850393704" bottom="0.98425196850393704" header="0.51181102362204722" footer="0.51181102362204722"/>
  <pageSetup paperSize="9" scale="80" fitToHeight="3" orientation="portrait" horizontalDpi="4294967294"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2D07-9B6D-4C6D-BC5C-088EC82E2227}">
  <sheetPr>
    <tabColor rgb="FF008080"/>
    <pageSetUpPr fitToPage="1"/>
  </sheetPr>
  <dimension ref="A1:IW111"/>
  <sheetViews>
    <sheetView showGridLines="0" showRowColHeaders="0" topLeftCell="B1" workbookViewId="0">
      <selection activeCell="B19" sqref="B19"/>
    </sheetView>
  </sheetViews>
  <sheetFormatPr defaultColWidth="9.1328125" defaultRowHeight="12.75"/>
  <cols>
    <col min="1" max="1" width="0" style="3045" hidden="1" customWidth="1"/>
    <col min="2" max="2" width="36.6640625" style="3098" customWidth="1"/>
    <col min="3" max="3" width="2.6640625" style="3045" customWidth="1"/>
    <col min="4" max="4" width="3.6640625" style="3092" customWidth="1"/>
    <col min="5" max="6" width="10.6640625" style="3092" customWidth="1"/>
    <col min="7" max="7" width="19" style="3092" customWidth="1"/>
    <col min="8" max="9" width="10.6640625" style="3092" customWidth="1"/>
    <col min="10" max="10" width="19" style="3092" customWidth="1"/>
    <col min="11" max="12" width="10.6640625" style="3092" customWidth="1"/>
    <col min="13" max="13" width="3.6640625" style="3092" customWidth="1"/>
    <col min="14" max="257" width="9.1328125" style="3092"/>
    <col min="258" max="258" width="0" style="3092" hidden="1" customWidth="1"/>
    <col min="259" max="259" width="43.46484375" style="3092" customWidth="1"/>
    <col min="260" max="260" width="3.6640625" style="3092" customWidth="1"/>
    <col min="261" max="261" width="32.6640625" style="3092" customWidth="1"/>
    <col min="262" max="262" width="27" style="3092" customWidth="1"/>
    <col min="263" max="264" width="9.1328125" style="3092" customWidth="1"/>
    <col min="265" max="265" width="5" style="3092" customWidth="1"/>
    <col min="266" max="267" width="9.1328125" style="3092" customWidth="1"/>
    <col min="268" max="268" width="10.53125" style="3092" customWidth="1"/>
    <col min="269" max="513" width="9.1328125" style="3092"/>
    <col min="514" max="514" width="0" style="3092" hidden="1" customWidth="1"/>
    <col min="515" max="515" width="43.46484375" style="3092" customWidth="1"/>
    <col min="516" max="516" width="3.6640625" style="3092" customWidth="1"/>
    <col min="517" max="517" width="32.6640625" style="3092" customWidth="1"/>
    <col min="518" max="518" width="27" style="3092" customWidth="1"/>
    <col min="519" max="520" width="9.1328125" style="3092" customWidth="1"/>
    <col min="521" max="521" width="5" style="3092" customWidth="1"/>
    <col min="522" max="523" width="9.1328125" style="3092" customWidth="1"/>
    <col min="524" max="524" width="10.53125" style="3092" customWidth="1"/>
    <col min="525" max="769" width="9.1328125" style="3092"/>
    <col min="770" max="770" width="0" style="3092" hidden="1" customWidth="1"/>
    <col min="771" max="771" width="43.46484375" style="3092" customWidth="1"/>
    <col min="772" max="772" width="3.6640625" style="3092" customWidth="1"/>
    <col min="773" max="773" width="32.6640625" style="3092" customWidth="1"/>
    <col min="774" max="774" width="27" style="3092" customWidth="1"/>
    <col min="775" max="776" width="9.1328125" style="3092" customWidth="1"/>
    <col min="777" max="777" width="5" style="3092" customWidth="1"/>
    <col min="778" max="779" width="9.1328125" style="3092" customWidth="1"/>
    <col min="780" max="780" width="10.53125" style="3092" customWidth="1"/>
    <col min="781" max="1025" width="9.1328125" style="3092"/>
    <col min="1026" max="1026" width="0" style="3092" hidden="1" customWidth="1"/>
    <col min="1027" max="1027" width="43.46484375" style="3092" customWidth="1"/>
    <col min="1028" max="1028" width="3.6640625" style="3092" customWidth="1"/>
    <col min="1029" max="1029" width="32.6640625" style="3092" customWidth="1"/>
    <col min="1030" max="1030" width="27" style="3092" customWidth="1"/>
    <col min="1031" max="1032" width="9.1328125" style="3092" customWidth="1"/>
    <col min="1033" max="1033" width="5" style="3092" customWidth="1"/>
    <col min="1034" max="1035" width="9.1328125" style="3092" customWidth="1"/>
    <col min="1036" max="1036" width="10.53125" style="3092" customWidth="1"/>
    <col min="1037" max="1281" width="9.1328125" style="3092"/>
    <col min="1282" max="1282" width="0" style="3092" hidden="1" customWidth="1"/>
    <col min="1283" max="1283" width="43.46484375" style="3092" customWidth="1"/>
    <col min="1284" max="1284" width="3.6640625" style="3092" customWidth="1"/>
    <col min="1285" max="1285" width="32.6640625" style="3092" customWidth="1"/>
    <col min="1286" max="1286" width="27" style="3092" customWidth="1"/>
    <col min="1287" max="1288" width="9.1328125" style="3092" customWidth="1"/>
    <col min="1289" max="1289" width="5" style="3092" customWidth="1"/>
    <col min="1290" max="1291" width="9.1328125" style="3092" customWidth="1"/>
    <col min="1292" max="1292" width="10.53125" style="3092" customWidth="1"/>
    <col min="1293" max="1537" width="9.1328125" style="3092"/>
    <col min="1538" max="1538" width="0" style="3092" hidden="1" customWidth="1"/>
    <col min="1539" max="1539" width="43.46484375" style="3092" customWidth="1"/>
    <col min="1540" max="1540" width="3.6640625" style="3092" customWidth="1"/>
    <col min="1541" max="1541" width="32.6640625" style="3092" customWidth="1"/>
    <col min="1542" max="1542" width="27" style="3092" customWidth="1"/>
    <col min="1543" max="1544" width="9.1328125" style="3092" customWidth="1"/>
    <col min="1545" max="1545" width="5" style="3092" customWidth="1"/>
    <col min="1546" max="1547" width="9.1328125" style="3092" customWidth="1"/>
    <col min="1548" max="1548" width="10.53125" style="3092" customWidth="1"/>
    <col min="1549" max="1793" width="9.1328125" style="3092"/>
    <col min="1794" max="1794" width="0" style="3092" hidden="1" customWidth="1"/>
    <col min="1795" max="1795" width="43.46484375" style="3092" customWidth="1"/>
    <col min="1796" max="1796" width="3.6640625" style="3092" customWidth="1"/>
    <col min="1797" max="1797" width="32.6640625" style="3092" customWidth="1"/>
    <col min="1798" max="1798" width="27" style="3092" customWidth="1"/>
    <col min="1799" max="1800" width="9.1328125" style="3092" customWidth="1"/>
    <col min="1801" max="1801" width="5" style="3092" customWidth="1"/>
    <col min="1802" max="1803" width="9.1328125" style="3092" customWidth="1"/>
    <col min="1804" max="1804" width="10.53125" style="3092" customWidth="1"/>
    <col min="1805" max="2049" width="9.1328125" style="3092"/>
    <col min="2050" max="2050" width="0" style="3092" hidden="1" customWidth="1"/>
    <col min="2051" max="2051" width="43.46484375" style="3092" customWidth="1"/>
    <col min="2052" max="2052" width="3.6640625" style="3092" customWidth="1"/>
    <col min="2053" max="2053" width="32.6640625" style="3092" customWidth="1"/>
    <col min="2054" max="2054" width="27" style="3092" customWidth="1"/>
    <col min="2055" max="2056" width="9.1328125" style="3092" customWidth="1"/>
    <col min="2057" max="2057" width="5" style="3092" customWidth="1"/>
    <col min="2058" max="2059" width="9.1328125" style="3092" customWidth="1"/>
    <col min="2060" max="2060" width="10.53125" style="3092" customWidth="1"/>
    <col min="2061" max="2305" width="9.1328125" style="3092"/>
    <col min="2306" max="2306" width="0" style="3092" hidden="1" customWidth="1"/>
    <col min="2307" max="2307" width="43.46484375" style="3092" customWidth="1"/>
    <col min="2308" max="2308" width="3.6640625" style="3092" customWidth="1"/>
    <col min="2309" max="2309" width="32.6640625" style="3092" customWidth="1"/>
    <col min="2310" max="2310" width="27" style="3092" customWidth="1"/>
    <col min="2311" max="2312" width="9.1328125" style="3092" customWidth="1"/>
    <col min="2313" max="2313" width="5" style="3092" customWidth="1"/>
    <col min="2314" max="2315" width="9.1328125" style="3092" customWidth="1"/>
    <col min="2316" max="2316" width="10.53125" style="3092" customWidth="1"/>
    <col min="2317" max="2561" width="9.1328125" style="3092"/>
    <col min="2562" max="2562" width="0" style="3092" hidden="1" customWidth="1"/>
    <col min="2563" max="2563" width="43.46484375" style="3092" customWidth="1"/>
    <col min="2564" max="2564" width="3.6640625" style="3092" customWidth="1"/>
    <col min="2565" max="2565" width="32.6640625" style="3092" customWidth="1"/>
    <col min="2566" max="2566" width="27" style="3092" customWidth="1"/>
    <col min="2567" max="2568" width="9.1328125" style="3092" customWidth="1"/>
    <col min="2569" max="2569" width="5" style="3092" customWidth="1"/>
    <col min="2570" max="2571" width="9.1328125" style="3092" customWidth="1"/>
    <col min="2572" max="2572" width="10.53125" style="3092" customWidth="1"/>
    <col min="2573" max="2817" width="9.1328125" style="3092"/>
    <col min="2818" max="2818" width="0" style="3092" hidden="1" customWidth="1"/>
    <col min="2819" max="2819" width="43.46484375" style="3092" customWidth="1"/>
    <col min="2820" max="2820" width="3.6640625" style="3092" customWidth="1"/>
    <col min="2821" max="2821" width="32.6640625" style="3092" customWidth="1"/>
    <col min="2822" max="2822" width="27" style="3092" customWidth="1"/>
    <col min="2823" max="2824" width="9.1328125" style="3092" customWidth="1"/>
    <col min="2825" max="2825" width="5" style="3092" customWidth="1"/>
    <col min="2826" max="2827" width="9.1328125" style="3092" customWidth="1"/>
    <col min="2828" max="2828" width="10.53125" style="3092" customWidth="1"/>
    <col min="2829" max="3073" width="9.1328125" style="3092"/>
    <col min="3074" max="3074" width="0" style="3092" hidden="1" customWidth="1"/>
    <col min="3075" max="3075" width="43.46484375" style="3092" customWidth="1"/>
    <col min="3076" max="3076" width="3.6640625" style="3092" customWidth="1"/>
    <col min="3077" max="3077" width="32.6640625" style="3092" customWidth="1"/>
    <col min="3078" max="3078" width="27" style="3092" customWidth="1"/>
    <col min="3079" max="3080" width="9.1328125" style="3092" customWidth="1"/>
    <col min="3081" max="3081" width="5" style="3092" customWidth="1"/>
    <col min="3082" max="3083" width="9.1328125" style="3092" customWidth="1"/>
    <col min="3084" max="3084" width="10.53125" style="3092" customWidth="1"/>
    <col min="3085" max="3329" width="9.1328125" style="3092"/>
    <col min="3330" max="3330" width="0" style="3092" hidden="1" customWidth="1"/>
    <col min="3331" max="3331" width="43.46484375" style="3092" customWidth="1"/>
    <col min="3332" max="3332" width="3.6640625" style="3092" customWidth="1"/>
    <col min="3333" max="3333" width="32.6640625" style="3092" customWidth="1"/>
    <col min="3334" max="3334" width="27" style="3092" customWidth="1"/>
    <col min="3335" max="3336" width="9.1328125" style="3092" customWidth="1"/>
    <col min="3337" max="3337" width="5" style="3092" customWidth="1"/>
    <col min="3338" max="3339" width="9.1328125" style="3092" customWidth="1"/>
    <col min="3340" max="3340" width="10.53125" style="3092" customWidth="1"/>
    <col min="3341" max="3585" width="9.1328125" style="3092"/>
    <col min="3586" max="3586" width="0" style="3092" hidden="1" customWidth="1"/>
    <col min="3587" max="3587" width="43.46484375" style="3092" customWidth="1"/>
    <col min="3588" max="3588" width="3.6640625" style="3092" customWidth="1"/>
    <col min="3589" max="3589" width="32.6640625" style="3092" customWidth="1"/>
    <col min="3590" max="3590" width="27" style="3092" customWidth="1"/>
    <col min="3591" max="3592" width="9.1328125" style="3092" customWidth="1"/>
    <col min="3593" max="3593" width="5" style="3092" customWidth="1"/>
    <col min="3594" max="3595" width="9.1328125" style="3092" customWidth="1"/>
    <col min="3596" max="3596" width="10.53125" style="3092" customWidth="1"/>
    <col min="3597" max="3841" width="9.1328125" style="3092"/>
    <col min="3842" max="3842" width="0" style="3092" hidden="1" customWidth="1"/>
    <col min="3843" max="3843" width="43.46484375" style="3092" customWidth="1"/>
    <col min="3844" max="3844" width="3.6640625" style="3092" customWidth="1"/>
    <col min="3845" max="3845" width="32.6640625" style="3092" customWidth="1"/>
    <col min="3846" max="3846" width="27" style="3092" customWidth="1"/>
    <col min="3847" max="3848" width="9.1328125" style="3092" customWidth="1"/>
    <col min="3849" max="3849" width="5" style="3092" customWidth="1"/>
    <col min="3850" max="3851" width="9.1328125" style="3092" customWidth="1"/>
    <col min="3852" max="3852" width="10.53125" style="3092" customWidth="1"/>
    <col min="3853" max="4097" width="9.1328125" style="3092"/>
    <col min="4098" max="4098" width="0" style="3092" hidden="1" customWidth="1"/>
    <col min="4099" max="4099" width="43.46484375" style="3092" customWidth="1"/>
    <col min="4100" max="4100" width="3.6640625" style="3092" customWidth="1"/>
    <col min="4101" max="4101" width="32.6640625" style="3092" customWidth="1"/>
    <col min="4102" max="4102" width="27" style="3092" customWidth="1"/>
    <col min="4103" max="4104" width="9.1328125" style="3092" customWidth="1"/>
    <col min="4105" max="4105" width="5" style="3092" customWidth="1"/>
    <col min="4106" max="4107" width="9.1328125" style="3092" customWidth="1"/>
    <col min="4108" max="4108" width="10.53125" style="3092" customWidth="1"/>
    <col min="4109" max="4353" width="9.1328125" style="3092"/>
    <col min="4354" max="4354" width="0" style="3092" hidden="1" customWidth="1"/>
    <col min="4355" max="4355" width="43.46484375" style="3092" customWidth="1"/>
    <col min="4356" max="4356" width="3.6640625" style="3092" customWidth="1"/>
    <col min="4357" max="4357" width="32.6640625" style="3092" customWidth="1"/>
    <col min="4358" max="4358" width="27" style="3092" customWidth="1"/>
    <col min="4359" max="4360" width="9.1328125" style="3092" customWidth="1"/>
    <col min="4361" max="4361" width="5" style="3092" customWidth="1"/>
    <col min="4362" max="4363" width="9.1328125" style="3092" customWidth="1"/>
    <col min="4364" max="4364" width="10.53125" style="3092" customWidth="1"/>
    <col min="4365" max="4609" width="9.1328125" style="3092"/>
    <col min="4610" max="4610" width="0" style="3092" hidden="1" customWidth="1"/>
    <col min="4611" max="4611" width="43.46484375" style="3092" customWidth="1"/>
    <col min="4612" max="4612" width="3.6640625" style="3092" customWidth="1"/>
    <col min="4613" max="4613" width="32.6640625" style="3092" customWidth="1"/>
    <col min="4614" max="4614" width="27" style="3092" customWidth="1"/>
    <col min="4615" max="4616" width="9.1328125" style="3092" customWidth="1"/>
    <col min="4617" max="4617" width="5" style="3092" customWidth="1"/>
    <col min="4618" max="4619" width="9.1328125" style="3092" customWidth="1"/>
    <col min="4620" max="4620" width="10.53125" style="3092" customWidth="1"/>
    <col min="4621" max="4865" width="9.1328125" style="3092"/>
    <col min="4866" max="4866" width="0" style="3092" hidden="1" customWidth="1"/>
    <col min="4867" max="4867" width="43.46484375" style="3092" customWidth="1"/>
    <col min="4868" max="4868" width="3.6640625" style="3092" customWidth="1"/>
    <col min="4869" max="4869" width="32.6640625" style="3092" customWidth="1"/>
    <col min="4870" max="4870" width="27" style="3092" customWidth="1"/>
    <col min="4871" max="4872" width="9.1328125" style="3092" customWidth="1"/>
    <col min="4873" max="4873" width="5" style="3092" customWidth="1"/>
    <col min="4874" max="4875" width="9.1328125" style="3092" customWidth="1"/>
    <col min="4876" max="4876" width="10.53125" style="3092" customWidth="1"/>
    <col min="4877" max="5121" width="9.1328125" style="3092"/>
    <col min="5122" max="5122" width="0" style="3092" hidden="1" customWidth="1"/>
    <col min="5123" max="5123" width="43.46484375" style="3092" customWidth="1"/>
    <col min="5124" max="5124" width="3.6640625" style="3092" customWidth="1"/>
    <col min="5125" max="5125" width="32.6640625" style="3092" customWidth="1"/>
    <col min="5126" max="5126" width="27" style="3092" customWidth="1"/>
    <col min="5127" max="5128" width="9.1328125" style="3092" customWidth="1"/>
    <col min="5129" max="5129" width="5" style="3092" customWidth="1"/>
    <col min="5130" max="5131" width="9.1328125" style="3092" customWidth="1"/>
    <col min="5132" max="5132" width="10.53125" style="3092" customWidth="1"/>
    <col min="5133" max="5377" width="9.1328125" style="3092"/>
    <col min="5378" max="5378" width="0" style="3092" hidden="1" customWidth="1"/>
    <col min="5379" max="5379" width="43.46484375" style="3092" customWidth="1"/>
    <col min="5380" max="5380" width="3.6640625" style="3092" customWidth="1"/>
    <col min="5381" max="5381" width="32.6640625" style="3092" customWidth="1"/>
    <col min="5382" max="5382" width="27" style="3092" customWidth="1"/>
    <col min="5383" max="5384" width="9.1328125" style="3092" customWidth="1"/>
    <col min="5385" max="5385" width="5" style="3092" customWidth="1"/>
    <col min="5386" max="5387" width="9.1328125" style="3092" customWidth="1"/>
    <col min="5388" max="5388" width="10.53125" style="3092" customWidth="1"/>
    <col min="5389" max="5633" width="9.1328125" style="3092"/>
    <col min="5634" max="5634" width="0" style="3092" hidden="1" customWidth="1"/>
    <col min="5635" max="5635" width="43.46484375" style="3092" customWidth="1"/>
    <col min="5636" max="5636" width="3.6640625" style="3092" customWidth="1"/>
    <col min="5637" max="5637" width="32.6640625" style="3092" customWidth="1"/>
    <col min="5638" max="5638" width="27" style="3092" customWidth="1"/>
    <col min="5639" max="5640" width="9.1328125" style="3092" customWidth="1"/>
    <col min="5641" max="5641" width="5" style="3092" customWidth="1"/>
    <col min="5642" max="5643" width="9.1328125" style="3092" customWidth="1"/>
    <col min="5644" max="5644" width="10.53125" style="3092" customWidth="1"/>
    <col min="5645" max="5889" width="9.1328125" style="3092"/>
    <col min="5890" max="5890" width="0" style="3092" hidden="1" customWidth="1"/>
    <col min="5891" max="5891" width="43.46484375" style="3092" customWidth="1"/>
    <col min="5892" max="5892" width="3.6640625" style="3092" customWidth="1"/>
    <col min="5893" max="5893" width="32.6640625" style="3092" customWidth="1"/>
    <col min="5894" max="5894" width="27" style="3092" customWidth="1"/>
    <col min="5895" max="5896" width="9.1328125" style="3092" customWidth="1"/>
    <col min="5897" max="5897" width="5" style="3092" customWidth="1"/>
    <col min="5898" max="5899" width="9.1328125" style="3092" customWidth="1"/>
    <col min="5900" max="5900" width="10.53125" style="3092" customWidth="1"/>
    <col min="5901" max="6145" width="9.1328125" style="3092"/>
    <col min="6146" max="6146" width="0" style="3092" hidden="1" customWidth="1"/>
    <col min="6147" max="6147" width="43.46484375" style="3092" customWidth="1"/>
    <col min="6148" max="6148" width="3.6640625" style="3092" customWidth="1"/>
    <col min="6149" max="6149" width="32.6640625" style="3092" customWidth="1"/>
    <col min="6150" max="6150" width="27" style="3092" customWidth="1"/>
    <col min="6151" max="6152" width="9.1328125" style="3092" customWidth="1"/>
    <col min="6153" max="6153" width="5" style="3092" customWidth="1"/>
    <col min="6154" max="6155" width="9.1328125" style="3092" customWidth="1"/>
    <col min="6156" max="6156" width="10.53125" style="3092" customWidth="1"/>
    <col min="6157" max="6401" width="9.1328125" style="3092"/>
    <col min="6402" max="6402" width="0" style="3092" hidden="1" customWidth="1"/>
    <col min="6403" max="6403" width="43.46484375" style="3092" customWidth="1"/>
    <col min="6404" max="6404" width="3.6640625" style="3092" customWidth="1"/>
    <col min="6405" max="6405" width="32.6640625" style="3092" customWidth="1"/>
    <col min="6406" max="6406" width="27" style="3092" customWidth="1"/>
    <col min="6407" max="6408" width="9.1328125" style="3092" customWidth="1"/>
    <col min="6409" max="6409" width="5" style="3092" customWidth="1"/>
    <col min="6410" max="6411" width="9.1328125" style="3092" customWidth="1"/>
    <col min="6412" max="6412" width="10.53125" style="3092" customWidth="1"/>
    <col min="6413" max="6657" width="9.1328125" style="3092"/>
    <col min="6658" max="6658" width="0" style="3092" hidden="1" customWidth="1"/>
    <col min="6659" max="6659" width="43.46484375" style="3092" customWidth="1"/>
    <col min="6660" max="6660" width="3.6640625" style="3092" customWidth="1"/>
    <col min="6661" max="6661" width="32.6640625" style="3092" customWidth="1"/>
    <col min="6662" max="6662" width="27" style="3092" customWidth="1"/>
    <col min="6663" max="6664" width="9.1328125" style="3092" customWidth="1"/>
    <col min="6665" max="6665" width="5" style="3092" customWidth="1"/>
    <col min="6666" max="6667" width="9.1328125" style="3092" customWidth="1"/>
    <col min="6668" max="6668" width="10.53125" style="3092" customWidth="1"/>
    <col min="6669" max="6913" width="9.1328125" style="3092"/>
    <col min="6914" max="6914" width="0" style="3092" hidden="1" customWidth="1"/>
    <col min="6915" max="6915" width="43.46484375" style="3092" customWidth="1"/>
    <col min="6916" max="6916" width="3.6640625" style="3092" customWidth="1"/>
    <col min="6917" max="6917" width="32.6640625" style="3092" customWidth="1"/>
    <col min="6918" max="6918" width="27" style="3092" customWidth="1"/>
    <col min="6919" max="6920" width="9.1328125" style="3092" customWidth="1"/>
    <col min="6921" max="6921" width="5" style="3092" customWidth="1"/>
    <col min="6922" max="6923" width="9.1328125" style="3092" customWidth="1"/>
    <col min="6924" max="6924" width="10.53125" style="3092" customWidth="1"/>
    <col min="6925" max="7169" width="9.1328125" style="3092"/>
    <col min="7170" max="7170" width="0" style="3092" hidden="1" customWidth="1"/>
    <col min="7171" max="7171" width="43.46484375" style="3092" customWidth="1"/>
    <col min="7172" max="7172" width="3.6640625" style="3092" customWidth="1"/>
    <col min="7173" max="7173" width="32.6640625" style="3092" customWidth="1"/>
    <col min="7174" max="7174" width="27" style="3092" customWidth="1"/>
    <col min="7175" max="7176" width="9.1328125" style="3092" customWidth="1"/>
    <col min="7177" max="7177" width="5" style="3092" customWidth="1"/>
    <col min="7178" max="7179" width="9.1328125" style="3092" customWidth="1"/>
    <col min="7180" max="7180" width="10.53125" style="3092" customWidth="1"/>
    <col min="7181" max="7425" width="9.1328125" style="3092"/>
    <col min="7426" max="7426" width="0" style="3092" hidden="1" customWidth="1"/>
    <col min="7427" max="7427" width="43.46484375" style="3092" customWidth="1"/>
    <col min="7428" max="7428" width="3.6640625" style="3092" customWidth="1"/>
    <col min="7429" max="7429" width="32.6640625" style="3092" customWidth="1"/>
    <col min="7430" max="7430" width="27" style="3092" customWidth="1"/>
    <col min="7431" max="7432" width="9.1328125" style="3092" customWidth="1"/>
    <col min="7433" max="7433" width="5" style="3092" customWidth="1"/>
    <col min="7434" max="7435" width="9.1328125" style="3092" customWidth="1"/>
    <col min="7436" max="7436" width="10.53125" style="3092" customWidth="1"/>
    <col min="7437" max="7681" width="9.1328125" style="3092"/>
    <col min="7682" max="7682" width="0" style="3092" hidden="1" customWidth="1"/>
    <col min="7683" max="7683" width="43.46484375" style="3092" customWidth="1"/>
    <col min="7684" max="7684" width="3.6640625" style="3092" customWidth="1"/>
    <col min="7685" max="7685" width="32.6640625" style="3092" customWidth="1"/>
    <col min="7686" max="7686" width="27" style="3092" customWidth="1"/>
    <col min="7687" max="7688" width="9.1328125" style="3092" customWidth="1"/>
    <col min="7689" max="7689" width="5" style="3092" customWidth="1"/>
    <col min="7690" max="7691" width="9.1328125" style="3092" customWidth="1"/>
    <col min="7692" max="7692" width="10.53125" style="3092" customWidth="1"/>
    <col min="7693" max="7937" width="9.1328125" style="3092"/>
    <col min="7938" max="7938" width="0" style="3092" hidden="1" customWidth="1"/>
    <col min="7939" max="7939" width="43.46484375" style="3092" customWidth="1"/>
    <col min="7940" max="7940" width="3.6640625" style="3092" customWidth="1"/>
    <col min="7941" max="7941" width="32.6640625" style="3092" customWidth="1"/>
    <col min="7942" max="7942" width="27" style="3092" customWidth="1"/>
    <col min="7943" max="7944" width="9.1328125" style="3092" customWidth="1"/>
    <col min="7945" max="7945" width="5" style="3092" customWidth="1"/>
    <col min="7946" max="7947" width="9.1328125" style="3092" customWidth="1"/>
    <col min="7948" max="7948" width="10.53125" style="3092" customWidth="1"/>
    <col min="7949" max="8193" width="9.1328125" style="3092"/>
    <col min="8194" max="8194" width="0" style="3092" hidden="1" customWidth="1"/>
    <col min="8195" max="8195" width="43.46484375" style="3092" customWidth="1"/>
    <col min="8196" max="8196" width="3.6640625" style="3092" customWidth="1"/>
    <col min="8197" max="8197" width="32.6640625" style="3092" customWidth="1"/>
    <col min="8198" max="8198" width="27" style="3092" customWidth="1"/>
    <col min="8199" max="8200" width="9.1328125" style="3092" customWidth="1"/>
    <col min="8201" max="8201" width="5" style="3092" customWidth="1"/>
    <col min="8202" max="8203" width="9.1328125" style="3092" customWidth="1"/>
    <col min="8204" max="8204" width="10.53125" style="3092" customWidth="1"/>
    <col min="8205" max="8449" width="9.1328125" style="3092"/>
    <col min="8450" max="8450" width="0" style="3092" hidden="1" customWidth="1"/>
    <col min="8451" max="8451" width="43.46484375" style="3092" customWidth="1"/>
    <col min="8452" max="8452" width="3.6640625" style="3092" customWidth="1"/>
    <col min="8453" max="8453" width="32.6640625" style="3092" customWidth="1"/>
    <col min="8454" max="8454" width="27" style="3092" customWidth="1"/>
    <col min="8455" max="8456" width="9.1328125" style="3092" customWidth="1"/>
    <col min="8457" max="8457" width="5" style="3092" customWidth="1"/>
    <col min="8458" max="8459" width="9.1328125" style="3092" customWidth="1"/>
    <col min="8460" max="8460" width="10.53125" style="3092" customWidth="1"/>
    <col min="8461" max="8705" width="9.1328125" style="3092"/>
    <col min="8706" max="8706" width="0" style="3092" hidden="1" customWidth="1"/>
    <col min="8707" max="8707" width="43.46484375" style="3092" customWidth="1"/>
    <col min="8708" max="8708" width="3.6640625" style="3092" customWidth="1"/>
    <col min="8709" max="8709" width="32.6640625" style="3092" customWidth="1"/>
    <col min="8710" max="8710" width="27" style="3092" customWidth="1"/>
    <col min="8711" max="8712" width="9.1328125" style="3092" customWidth="1"/>
    <col min="8713" max="8713" width="5" style="3092" customWidth="1"/>
    <col min="8714" max="8715" width="9.1328125" style="3092" customWidth="1"/>
    <col min="8716" max="8716" width="10.53125" style="3092" customWidth="1"/>
    <col min="8717" max="8961" width="9.1328125" style="3092"/>
    <col min="8962" max="8962" width="0" style="3092" hidden="1" customWidth="1"/>
    <col min="8963" max="8963" width="43.46484375" style="3092" customWidth="1"/>
    <col min="8964" max="8964" width="3.6640625" style="3092" customWidth="1"/>
    <col min="8965" max="8965" width="32.6640625" style="3092" customWidth="1"/>
    <col min="8966" max="8966" width="27" style="3092" customWidth="1"/>
    <col min="8967" max="8968" width="9.1328125" style="3092" customWidth="1"/>
    <col min="8969" max="8969" width="5" style="3092" customWidth="1"/>
    <col min="8970" max="8971" width="9.1328125" style="3092" customWidth="1"/>
    <col min="8972" max="8972" width="10.53125" style="3092" customWidth="1"/>
    <col min="8973" max="9217" width="9.1328125" style="3092"/>
    <col min="9218" max="9218" width="0" style="3092" hidden="1" customWidth="1"/>
    <col min="9219" max="9219" width="43.46484375" style="3092" customWidth="1"/>
    <col min="9220" max="9220" width="3.6640625" style="3092" customWidth="1"/>
    <col min="9221" max="9221" width="32.6640625" style="3092" customWidth="1"/>
    <col min="9222" max="9222" width="27" style="3092" customWidth="1"/>
    <col min="9223" max="9224" width="9.1328125" style="3092" customWidth="1"/>
    <col min="9225" max="9225" width="5" style="3092" customWidth="1"/>
    <col min="9226" max="9227" width="9.1328125" style="3092" customWidth="1"/>
    <col min="9228" max="9228" width="10.53125" style="3092" customWidth="1"/>
    <col min="9229" max="9473" width="9.1328125" style="3092"/>
    <col min="9474" max="9474" width="0" style="3092" hidden="1" customWidth="1"/>
    <col min="9475" max="9475" width="43.46484375" style="3092" customWidth="1"/>
    <col min="9476" max="9476" width="3.6640625" style="3092" customWidth="1"/>
    <col min="9477" max="9477" width="32.6640625" style="3092" customWidth="1"/>
    <col min="9478" max="9478" width="27" style="3092" customWidth="1"/>
    <col min="9479" max="9480" width="9.1328125" style="3092" customWidth="1"/>
    <col min="9481" max="9481" width="5" style="3092" customWidth="1"/>
    <col min="9482" max="9483" width="9.1328125" style="3092" customWidth="1"/>
    <col min="9484" max="9484" width="10.53125" style="3092" customWidth="1"/>
    <col min="9485" max="9729" width="9.1328125" style="3092"/>
    <col min="9730" max="9730" width="0" style="3092" hidden="1" customWidth="1"/>
    <col min="9731" max="9731" width="43.46484375" style="3092" customWidth="1"/>
    <col min="9732" max="9732" width="3.6640625" style="3092" customWidth="1"/>
    <col min="9733" max="9733" width="32.6640625" style="3092" customWidth="1"/>
    <col min="9734" max="9734" width="27" style="3092" customWidth="1"/>
    <col min="9735" max="9736" width="9.1328125" style="3092" customWidth="1"/>
    <col min="9737" max="9737" width="5" style="3092" customWidth="1"/>
    <col min="9738" max="9739" width="9.1328125" style="3092" customWidth="1"/>
    <col min="9740" max="9740" width="10.53125" style="3092" customWidth="1"/>
    <col min="9741" max="9985" width="9.1328125" style="3092"/>
    <col min="9986" max="9986" width="0" style="3092" hidden="1" customWidth="1"/>
    <col min="9987" max="9987" width="43.46484375" style="3092" customWidth="1"/>
    <col min="9988" max="9988" width="3.6640625" style="3092" customWidth="1"/>
    <col min="9989" max="9989" width="32.6640625" style="3092" customWidth="1"/>
    <col min="9990" max="9990" width="27" style="3092" customWidth="1"/>
    <col min="9991" max="9992" width="9.1328125" style="3092" customWidth="1"/>
    <col min="9993" max="9993" width="5" style="3092" customWidth="1"/>
    <col min="9994" max="9995" width="9.1328125" style="3092" customWidth="1"/>
    <col min="9996" max="9996" width="10.53125" style="3092" customWidth="1"/>
    <col min="9997" max="10241" width="9.1328125" style="3092"/>
    <col min="10242" max="10242" width="0" style="3092" hidden="1" customWidth="1"/>
    <col min="10243" max="10243" width="43.46484375" style="3092" customWidth="1"/>
    <col min="10244" max="10244" width="3.6640625" style="3092" customWidth="1"/>
    <col min="10245" max="10245" width="32.6640625" style="3092" customWidth="1"/>
    <col min="10246" max="10246" width="27" style="3092" customWidth="1"/>
    <col min="10247" max="10248" width="9.1328125" style="3092" customWidth="1"/>
    <col min="10249" max="10249" width="5" style="3092" customWidth="1"/>
    <col min="10250" max="10251" width="9.1328125" style="3092" customWidth="1"/>
    <col min="10252" max="10252" width="10.53125" style="3092" customWidth="1"/>
    <col min="10253" max="10497" width="9.1328125" style="3092"/>
    <col min="10498" max="10498" width="0" style="3092" hidden="1" customWidth="1"/>
    <col min="10499" max="10499" width="43.46484375" style="3092" customWidth="1"/>
    <col min="10500" max="10500" width="3.6640625" style="3092" customWidth="1"/>
    <col min="10501" max="10501" width="32.6640625" style="3092" customWidth="1"/>
    <col min="10502" max="10502" width="27" style="3092" customWidth="1"/>
    <col min="10503" max="10504" width="9.1328125" style="3092" customWidth="1"/>
    <col min="10505" max="10505" width="5" style="3092" customWidth="1"/>
    <col min="10506" max="10507" width="9.1328125" style="3092" customWidth="1"/>
    <col min="10508" max="10508" width="10.53125" style="3092" customWidth="1"/>
    <col min="10509" max="10753" width="9.1328125" style="3092"/>
    <col min="10754" max="10754" width="0" style="3092" hidden="1" customWidth="1"/>
    <col min="10755" max="10755" width="43.46484375" style="3092" customWidth="1"/>
    <col min="10756" max="10756" width="3.6640625" style="3092" customWidth="1"/>
    <col min="10757" max="10757" width="32.6640625" style="3092" customWidth="1"/>
    <col min="10758" max="10758" width="27" style="3092" customWidth="1"/>
    <col min="10759" max="10760" width="9.1328125" style="3092" customWidth="1"/>
    <col min="10761" max="10761" width="5" style="3092" customWidth="1"/>
    <col min="10762" max="10763" width="9.1328125" style="3092" customWidth="1"/>
    <col min="10764" max="10764" width="10.53125" style="3092" customWidth="1"/>
    <col min="10765" max="11009" width="9.1328125" style="3092"/>
    <col min="11010" max="11010" width="0" style="3092" hidden="1" customWidth="1"/>
    <col min="11011" max="11011" width="43.46484375" style="3092" customWidth="1"/>
    <col min="11012" max="11012" width="3.6640625" style="3092" customWidth="1"/>
    <col min="11013" max="11013" width="32.6640625" style="3092" customWidth="1"/>
    <col min="11014" max="11014" width="27" style="3092" customWidth="1"/>
    <col min="11015" max="11016" width="9.1328125" style="3092" customWidth="1"/>
    <col min="11017" max="11017" width="5" style="3092" customWidth="1"/>
    <col min="11018" max="11019" width="9.1328125" style="3092" customWidth="1"/>
    <col min="11020" max="11020" width="10.53125" style="3092" customWidth="1"/>
    <col min="11021" max="11265" width="9.1328125" style="3092"/>
    <col min="11266" max="11266" width="0" style="3092" hidden="1" customWidth="1"/>
    <col min="11267" max="11267" width="43.46484375" style="3092" customWidth="1"/>
    <col min="11268" max="11268" width="3.6640625" style="3092" customWidth="1"/>
    <col min="11269" max="11269" width="32.6640625" style="3092" customWidth="1"/>
    <col min="11270" max="11270" width="27" style="3092" customWidth="1"/>
    <col min="11271" max="11272" width="9.1328125" style="3092" customWidth="1"/>
    <col min="11273" max="11273" width="5" style="3092" customWidth="1"/>
    <col min="11274" max="11275" width="9.1328125" style="3092" customWidth="1"/>
    <col min="11276" max="11276" width="10.53125" style="3092" customWidth="1"/>
    <col min="11277" max="11521" width="9.1328125" style="3092"/>
    <col min="11522" max="11522" width="0" style="3092" hidden="1" customWidth="1"/>
    <col min="11523" max="11523" width="43.46484375" style="3092" customWidth="1"/>
    <col min="11524" max="11524" width="3.6640625" style="3092" customWidth="1"/>
    <col min="11525" max="11525" width="32.6640625" style="3092" customWidth="1"/>
    <col min="11526" max="11526" width="27" style="3092" customWidth="1"/>
    <col min="11527" max="11528" width="9.1328125" style="3092" customWidth="1"/>
    <col min="11529" max="11529" width="5" style="3092" customWidth="1"/>
    <col min="11530" max="11531" width="9.1328125" style="3092" customWidth="1"/>
    <col min="11532" max="11532" width="10.53125" style="3092" customWidth="1"/>
    <col min="11533" max="11777" width="9.1328125" style="3092"/>
    <col min="11778" max="11778" width="0" style="3092" hidden="1" customWidth="1"/>
    <col min="11779" max="11779" width="43.46484375" style="3092" customWidth="1"/>
    <col min="11780" max="11780" width="3.6640625" style="3092" customWidth="1"/>
    <col min="11781" max="11781" width="32.6640625" style="3092" customWidth="1"/>
    <col min="11782" max="11782" width="27" style="3092" customWidth="1"/>
    <col min="11783" max="11784" width="9.1328125" style="3092" customWidth="1"/>
    <col min="11785" max="11785" width="5" style="3092" customWidth="1"/>
    <col min="11786" max="11787" width="9.1328125" style="3092" customWidth="1"/>
    <col min="11788" max="11788" width="10.53125" style="3092" customWidth="1"/>
    <col min="11789" max="12033" width="9.1328125" style="3092"/>
    <col min="12034" max="12034" width="0" style="3092" hidden="1" customWidth="1"/>
    <col min="12035" max="12035" width="43.46484375" style="3092" customWidth="1"/>
    <col min="12036" max="12036" width="3.6640625" style="3092" customWidth="1"/>
    <col min="12037" max="12037" width="32.6640625" style="3092" customWidth="1"/>
    <col min="12038" max="12038" width="27" style="3092" customWidth="1"/>
    <col min="12039" max="12040" width="9.1328125" style="3092" customWidth="1"/>
    <col min="12041" max="12041" width="5" style="3092" customWidth="1"/>
    <col min="12042" max="12043" width="9.1328125" style="3092" customWidth="1"/>
    <col min="12044" max="12044" width="10.53125" style="3092" customWidth="1"/>
    <col min="12045" max="12289" width="9.1328125" style="3092"/>
    <col min="12290" max="12290" width="0" style="3092" hidden="1" customWidth="1"/>
    <col min="12291" max="12291" width="43.46484375" style="3092" customWidth="1"/>
    <col min="12292" max="12292" width="3.6640625" style="3092" customWidth="1"/>
    <col min="12293" max="12293" width="32.6640625" style="3092" customWidth="1"/>
    <col min="12294" max="12294" width="27" style="3092" customWidth="1"/>
    <col min="12295" max="12296" width="9.1328125" style="3092" customWidth="1"/>
    <col min="12297" max="12297" width="5" style="3092" customWidth="1"/>
    <col min="12298" max="12299" width="9.1328125" style="3092" customWidth="1"/>
    <col min="12300" max="12300" width="10.53125" style="3092" customWidth="1"/>
    <col min="12301" max="12545" width="9.1328125" style="3092"/>
    <col min="12546" max="12546" width="0" style="3092" hidden="1" customWidth="1"/>
    <col min="12547" max="12547" width="43.46484375" style="3092" customWidth="1"/>
    <col min="12548" max="12548" width="3.6640625" style="3092" customWidth="1"/>
    <col min="12549" max="12549" width="32.6640625" style="3092" customWidth="1"/>
    <col min="12550" max="12550" width="27" style="3092" customWidth="1"/>
    <col min="12551" max="12552" width="9.1328125" style="3092" customWidth="1"/>
    <col min="12553" max="12553" width="5" style="3092" customWidth="1"/>
    <col min="12554" max="12555" width="9.1328125" style="3092" customWidth="1"/>
    <col min="12556" max="12556" width="10.53125" style="3092" customWidth="1"/>
    <col min="12557" max="12801" width="9.1328125" style="3092"/>
    <col min="12802" max="12802" width="0" style="3092" hidden="1" customWidth="1"/>
    <col min="12803" max="12803" width="43.46484375" style="3092" customWidth="1"/>
    <col min="12804" max="12804" width="3.6640625" style="3092" customWidth="1"/>
    <col min="12805" max="12805" width="32.6640625" style="3092" customWidth="1"/>
    <col min="12806" max="12806" width="27" style="3092" customWidth="1"/>
    <col min="12807" max="12808" width="9.1328125" style="3092" customWidth="1"/>
    <col min="12809" max="12809" width="5" style="3092" customWidth="1"/>
    <col min="12810" max="12811" width="9.1328125" style="3092" customWidth="1"/>
    <col min="12812" max="12812" width="10.53125" style="3092" customWidth="1"/>
    <col min="12813" max="13057" width="9.1328125" style="3092"/>
    <col min="13058" max="13058" width="0" style="3092" hidden="1" customWidth="1"/>
    <col min="13059" max="13059" width="43.46484375" style="3092" customWidth="1"/>
    <col min="13060" max="13060" width="3.6640625" style="3092" customWidth="1"/>
    <col min="13061" max="13061" width="32.6640625" style="3092" customWidth="1"/>
    <col min="13062" max="13062" width="27" style="3092" customWidth="1"/>
    <col min="13063" max="13064" width="9.1328125" style="3092" customWidth="1"/>
    <col min="13065" max="13065" width="5" style="3092" customWidth="1"/>
    <col min="13066" max="13067" width="9.1328125" style="3092" customWidth="1"/>
    <col min="13068" max="13068" width="10.53125" style="3092" customWidth="1"/>
    <col min="13069" max="13313" width="9.1328125" style="3092"/>
    <col min="13314" max="13314" width="0" style="3092" hidden="1" customWidth="1"/>
    <col min="13315" max="13315" width="43.46484375" style="3092" customWidth="1"/>
    <col min="13316" max="13316" width="3.6640625" style="3092" customWidth="1"/>
    <col min="13317" max="13317" width="32.6640625" style="3092" customWidth="1"/>
    <col min="13318" max="13318" width="27" style="3092" customWidth="1"/>
    <col min="13319" max="13320" width="9.1328125" style="3092" customWidth="1"/>
    <col min="13321" max="13321" width="5" style="3092" customWidth="1"/>
    <col min="13322" max="13323" width="9.1328125" style="3092" customWidth="1"/>
    <col min="13324" max="13324" width="10.53125" style="3092" customWidth="1"/>
    <col min="13325" max="13569" width="9.1328125" style="3092"/>
    <col min="13570" max="13570" width="0" style="3092" hidden="1" customWidth="1"/>
    <col min="13571" max="13571" width="43.46484375" style="3092" customWidth="1"/>
    <col min="13572" max="13572" width="3.6640625" style="3092" customWidth="1"/>
    <col min="13573" max="13573" width="32.6640625" style="3092" customWidth="1"/>
    <col min="13574" max="13574" width="27" style="3092" customWidth="1"/>
    <col min="13575" max="13576" width="9.1328125" style="3092" customWidth="1"/>
    <col min="13577" max="13577" width="5" style="3092" customWidth="1"/>
    <col min="13578" max="13579" width="9.1328125" style="3092" customWidth="1"/>
    <col min="13580" max="13580" width="10.53125" style="3092" customWidth="1"/>
    <col min="13581" max="13825" width="9.1328125" style="3092"/>
    <col min="13826" max="13826" width="0" style="3092" hidden="1" customWidth="1"/>
    <col min="13827" max="13827" width="43.46484375" style="3092" customWidth="1"/>
    <col min="13828" max="13828" width="3.6640625" style="3092" customWidth="1"/>
    <col min="13829" max="13829" width="32.6640625" style="3092" customWidth="1"/>
    <col min="13830" max="13830" width="27" style="3092" customWidth="1"/>
    <col min="13831" max="13832" width="9.1328125" style="3092" customWidth="1"/>
    <col min="13833" max="13833" width="5" style="3092" customWidth="1"/>
    <col min="13834" max="13835" width="9.1328125" style="3092" customWidth="1"/>
    <col min="13836" max="13836" width="10.53125" style="3092" customWidth="1"/>
    <col min="13837" max="14081" width="9.1328125" style="3092"/>
    <col min="14082" max="14082" width="0" style="3092" hidden="1" customWidth="1"/>
    <col min="14083" max="14083" width="43.46484375" style="3092" customWidth="1"/>
    <col min="14084" max="14084" width="3.6640625" style="3092" customWidth="1"/>
    <col min="14085" max="14085" width="32.6640625" style="3092" customWidth="1"/>
    <col min="14086" max="14086" width="27" style="3092" customWidth="1"/>
    <col min="14087" max="14088" width="9.1328125" style="3092" customWidth="1"/>
    <col min="14089" max="14089" width="5" style="3092" customWidth="1"/>
    <col min="14090" max="14091" width="9.1328125" style="3092" customWidth="1"/>
    <col min="14092" max="14092" width="10.53125" style="3092" customWidth="1"/>
    <col min="14093" max="14337" width="9.1328125" style="3092"/>
    <col min="14338" max="14338" width="0" style="3092" hidden="1" customWidth="1"/>
    <col min="14339" max="14339" width="43.46484375" style="3092" customWidth="1"/>
    <col min="14340" max="14340" width="3.6640625" style="3092" customWidth="1"/>
    <col min="14341" max="14341" width="32.6640625" style="3092" customWidth="1"/>
    <col min="14342" max="14342" width="27" style="3092" customWidth="1"/>
    <col min="14343" max="14344" width="9.1328125" style="3092" customWidth="1"/>
    <col min="14345" max="14345" width="5" style="3092" customWidth="1"/>
    <col min="14346" max="14347" width="9.1328125" style="3092" customWidth="1"/>
    <col min="14348" max="14348" width="10.53125" style="3092" customWidth="1"/>
    <col min="14349" max="14593" width="9.1328125" style="3092"/>
    <col min="14594" max="14594" width="0" style="3092" hidden="1" customWidth="1"/>
    <col min="14595" max="14595" width="43.46484375" style="3092" customWidth="1"/>
    <col min="14596" max="14596" width="3.6640625" style="3092" customWidth="1"/>
    <col min="14597" max="14597" width="32.6640625" style="3092" customWidth="1"/>
    <col min="14598" max="14598" width="27" style="3092" customWidth="1"/>
    <col min="14599" max="14600" width="9.1328125" style="3092" customWidth="1"/>
    <col min="14601" max="14601" width="5" style="3092" customWidth="1"/>
    <col min="14602" max="14603" width="9.1328125" style="3092" customWidth="1"/>
    <col min="14604" max="14604" width="10.53125" style="3092" customWidth="1"/>
    <col min="14605" max="14849" width="9.1328125" style="3092"/>
    <col min="14850" max="14850" width="0" style="3092" hidden="1" customWidth="1"/>
    <col min="14851" max="14851" width="43.46484375" style="3092" customWidth="1"/>
    <col min="14852" max="14852" width="3.6640625" style="3092" customWidth="1"/>
    <col min="14853" max="14853" width="32.6640625" style="3092" customWidth="1"/>
    <col min="14854" max="14854" width="27" style="3092" customWidth="1"/>
    <col min="14855" max="14856" width="9.1328125" style="3092" customWidth="1"/>
    <col min="14857" max="14857" width="5" style="3092" customWidth="1"/>
    <col min="14858" max="14859" width="9.1328125" style="3092" customWidth="1"/>
    <col min="14860" max="14860" width="10.53125" style="3092" customWidth="1"/>
    <col min="14861" max="15105" width="9.1328125" style="3092"/>
    <col min="15106" max="15106" width="0" style="3092" hidden="1" customWidth="1"/>
    <col min="15107" max="15107" width="43.46484375" style="3092" customWidth="1"/>
    <col min="15108" max="15108" width="3.6640625" style="3092" customWidth="1"/>
    <col min="15109" max="15109" width="32.6640625" style="3092" customWidth="1"/>
    <col min="15110" max="15110" width="27" style="3092" customWidth="1"/>
    <col min="15111" max="15112" width="9.1328125" style="3092" customWidth="1"/>
    <col min="15113" max="15113" width="5" style="3092" customWidth="1"/>
    <col min="15114" max="15115" width="9.1328125" style="3092" customWidth="1"/>
    <col min="15116" max="15116" width="10.53125" style="3092" customWidth="1"/>
    <col min="15117" max="15361" width="9.1328125" style="3092"/>
    <col min="15362" max="15362" width="0" style="3092" hidden="1" customWidth="1"/>
    <col min="15363" max="15363" width="43.46484375" style="3092" customWidth="1"/>
    <col min="15364" max="15364" width="3.6640625" style="3092" customWidth="1"/>
    <col min="15365" max="15365" width="32.6640625" style="3092" customWidth="1"/>
    <col min="15366" max="15366" width="27" style="3092" customWidth="1"/>
    <col min="15367" max="15368" width="9.1328125" style="3092" customWidth="1"/>
    <col min="15369" max="15369" width="5" style="3092" customWidth="1"/>
    <col min="15370" max="15371" width="9.1328125" style="3092" customWidth="1"/>
    <col min="15372" max="15372" width="10.53125" style="3092" customWidth="1"/>
    <col min="15373" max="15617" width="9.1328125" style="3092"/>
    <col min="15618" max="15618" width="0" style="3092" hidden="1" customWidth="1"/>
    <col min="15619" max="15619" width="43.46484375" style="3092" customWidth="1"/>
    <col min="15620" max="15620" width="3.6640625" style="3092" customWidth="1"/>
    <col min="15621" max="15621" width="32.6640625" style="3092" customWidth="1"/>
    <col min="15622" max="15622" width="27" style="3092" customWidth="1"/>
    <col min="15623" max="15624" width="9.1328125" style="3092" customWidth="1"/>
    <col min="15625" max="15625" width="5" style="3092" customWidth="1"/>
    <col min="15626" max="15627" width="9.1328125" style="3092" customWidth="1"/>
    <col min="15628" max="15628" width="10.53125" style="3092" customWidth="1"/>
    <col min="15629" max="15873" width="9.1328125" style="3092"/>
    <col min="15874" max="15874" width="0" style="3092" hidden="1" customWidth="1"/>
    <col min="15875" max="15875" width="43.46484375" style="3092" customWidth="1"/>
    <col min="15876" max="15876" width="3.6640625" style="3092" customWidth="1"/>
    <col min="15877" max="15877" width="32.6640625" style="3092" customWidth="1"/>
    <col min="15878" max="15878" width="27" style="3092" customWidth="1"/>
    <col min="15879" max="15880" width="9.1328125" style="3092" customWidth="1"/>
    <col min="15881" max="15881" width="5" style="3092" customWidth="1"/>
    <col min="15882" max="15883" width="9.1328125" style="3092" customWidth="1"/>
    <col min="15884" max="15884" width="10.53125" style="3092" customWidth="1"/>
    <col min="15885" max="16129" width="9.1328125" style="3092"/>
    <col min="16130" max="16130" width="0" style="3092" hidden="1" customWidth="1"/>
    <col min="16131" max="16131" width="43.46484375" style="3092" customWidth="1"/>
    <col min="16132" max="16132" width="3.6640625" style="3092" customWidth="1"/>
    <col min="16133" max="16133" width="32.6640625" style="3092" customWidth="1"/>
    <col min="16134" max="16134" width="27" style="3092" customWidth="1"/>
    <col min="16135" max="16136" width="9.1328125" style="3092" customWidth="1"/>
    <col min="16137" max="16137" width="5" style="3092" customWidth="1"/>
    <col min="16138" max="16139" width="9.1328125" style="3092" customWidth="1"/>
    <col min="16140" max="16140" width="10.53125" style="3092" customWidth="1"/>
    <col min="16141" max="16384" width="9.1328125" style="3092"/>
  </cols>
  <sheetData>
    <row r="1" spans="1:257" ht="12.75" customHeight="1">
      <c r="B1" s="63"/>
    </row>
    <row r="2" spans="1:257" s="3047" customFormat="1" ht="21" customHeight="1">
      <c r="A2" s="3045"/>
      <c r="B2" s="3187" t="s">
        <v>0</v>
      </c>
      <c r="C2" s="3046"/>
      <c r="D2" s="3190" t="s">
        <v>1568</v>
      </c>
      <c r="E2" s="3190"/>
      <c r="F2" s="3190"/>
      <c r="G2" s="3190"/>
      <c r="H2" s="3190"/>
      <c r="I2" s="3190"/>
      <c r="J2" s="3190"/>
      <c r="K2" s="3190"/>
      <c r="L2" s="3190"/>
      <c r="M2" s="3190"/>
      <c r="N2" s="155"/>
      <c r="O2" s="155"/>
      <c r="P2" s="155"/>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c r="IW2" s="156"/>
    </row>
    <row r="3" spans="1:257" s="3047" customFormat="1" ht="21" customHeight="1">
      <c r="A3" s="3045"/>
      <c r="B3" s="3187"/>
      <c r="C3" s="3046"/>
      <c r="D3" s="3190"/>
      <c r="E3" s="3190"/>
      <c r="F3" s="3190"/>
      <c r="G3" s="3190"/>
      <c r="H3" s="3190"/>
      <c r="I3" s="3190"/>
      <c r="J3" s="3190"/>
      <c r="K3" s="3190"/>
      <c r="L3" s="3190"/>
      <c r="M3" s="3190"/>
    </row>
    <row r="4" spans="1:257" ht="21" customHeight="1">
      <c r="B4" s="63"/>
      <c r="C4" s="3048"/>
      <c r="D4" s="3093"/>
      <c r="E4" s="3094"/>
      <c r="F4" s="3093"/>
      <c r="G4" s="3093"/>
      <c r="H4" s="3093"/>
      <c r="I4" s="3093"/>
      <c r="J4" s="3093"/>
      <c r="K4" s="3093"/>
      <c r="L4" s="3093"/>
    </row>
    <row r="5" spans="1:257" ht="21" customHeight="1">
      <c r="B5" s="3050" t="s">
        <v>1</v>
      </c>
      <c r="E5" s="3099"/>
      <c r="F5" s="3100"/>
      <c r="G5" s="3100"/>
      <c r="H5" s="3101" t="s">
        <v>1530</v>
      </c>
      <c r="I5" s="3102" t="s">
        <v>1569</v>
      </c>
      <c r="J5" s="3100"/>
      <c r="K5" s="3100"/>
      <c r="L5" s="3103"/>
    </row>
    <row r="6" spans="1:257" ht="21" customHeight="1">
      <c r="B6" s="3050" t="s">
        <v>452</v>
      </c>
      <c r="E6" s="3104"/>
      <c r="F6" s="3105"/>
      <c r="G6" s="3105"/>
      <c r="H6" s="3106" t="s">
        <v>1532</v>
      </c>
      <c r="I6" s="3107" t="s">
        <v>1570</v>
      </c>
      <c r="J6" s="3105"/>
      <c r="K6" s="3105"/>
      <c r="L6" s="3108"/>
    </row>
    <row r="7" spans="1:257" ht="21" customHeight="1" thickBot="1">
      <c r="B7" s="3050" t="s">
        <v>239</v>
      </c>
      <c r="E7"/>
      <c r="F7" s="3112"/>
      <c r="G7" s="3113"/>
      <c r="H7"/>
      <c r="I7"/>
    </row>
    <row r="8" spans="1:257" ht="21" customHeight="1" thickTop="1">
      <c r="B8" s="3050" t="s">
        <v>1263</v>
      </c>
      <c r="E8" s="3440" t="s">
        <v>1534</v>
      </c>
      <c r="F8" s="3441"/>
      <c r="G8" s="3081"/>
      <c r="H8" s="3456" t="s">
        <v>1571</v>
      </c>
      <c r="I8" s="3457"/>
      <c r="J8" s="3115" t="s">
        <v>1572</v>
      </c>
      <c r="K8" s="3448" t="s">
        <v>1573</v>
      </c>
      <c r="L8" s="3441"/>
    </row>
    <row r="9" spans="1:257" ht="21" customHeight="1" thickBot="1">
      <c r="B9" s="62" t="s">
        <v>557</v>
      </c>
      <c r="E9" s="3442"/>
      <c r="F9" s="3443"/>
      <c r="G9" s="3081"/>
      <c r="H9" s="3458"/>
      <c r="I9" s="3459"/>
      <c r="J9" s="3109" t="s">
        <v>1550</v>
      </c>
      <c r="K9" s="3442"/>
      <c r="L9" s="3443"/>
    </row>
    <row r="10" spans="1:257" ht="21" customHeight="1">
      <c r="B10" s="3050" t="s">
        <v>238</v>
      </c>
      <c r="E10" s="3450" t="s">
        <v>1540</v>
      </c>
      <c r="F10" s="3452" t="s">
        <v>1541</v>
      </c>
      <c r="G10" s="3081"/>
      <c r="H10" s="3439" t="s">
        <v>1542</v>
      </c>
      <c r="I10" s="3439" t="s">
        <v>1574</v>
      </c>
    </row>
    <row r="11" spans="1:257" ht="21" customHeight="1" thickBot="1">
      <c r="B11" s="146" t="s">
        <v>1652</v>
      </c>
      <c r="E11" s="3451"/>
      <c r="F11" s="3453"/>
      <c r="G11" s="3081"/>
      <c r="H11" s="3439"/>
      <c r="I11" s="3439"/>
    </row>
    <row r="12" spans="1:257" ht="21" customHeight="1">
      <c r="B12" s="145" t="s">
        <v>95</v>
      </c>
      <c r="E12" s="3440" t="s">
        <v>1544</v>
      </c>
      <c r="F12" s="3441"/>
      <c r="G12" s="3109"/>
      <c r="H12" s="3440" t="s">
        <v>1547</v>
      </c>
      <c r="I12" s="3441"/>
      <c r="J12" s="3109" t="s">
        <v>1546</v>
      </c>
      <c r="K12" s="3440" t="s">
        <v>1545</v>
      </c>
      <c r="L12" s="3441"/>
    </row>
    <row r="13" spans="1:257" ht="21" customHeight="1" thickBot="1">
      <c r="B13" s="145" t="s">
        <v>254</v>
      </c>
      <c r="E13" s="3442"/>
      <c r="F13" s="3443"/>
      <c r="G13" s="3081"/>
      <c r="H13" s="3442"/>
      <c r="I13" s="3443"/>
      <c r="J13" s="3109" t="s">
        <v>1575</v>
      </c>
      <c r="K13" s="3442"/>
      <c r="L13" s="3443"/>
    </row>
    <row r="14" spans="1:257" ht="21" customHeight="1">
      <c r="B14" s="145" t="s">
        <v>1252</v>
      </c>
      <c r="E14" s="3450" t="s">
        <v>1576</v>
      </c>
      <c r="F14" s="3454" t="s">
        <v>1550</v>
      </c>
      <c r="G14" s="3081"/>
      <c r="H14" s="3439" t="s">
        <v>1577</v>
      </c>
      <c r="I14" s="3439" t="s">
        <v>1550</v>
      </c>
    </row>
    <row r="15" spans="1:257" ht="21" customHeight="1" thickBot="1">
      <c r="B15" s="145" t="s">
        <v>1394</v>
      </c>
      <c r="E15" s="3451"/>
      <c r="F15" s="3455"/>
      <c r="H15" s="3451"/>
      <c r="I15" s="3451"/>
    </row>
    <row r="16" spans="1:257" ht="21" customHeight="1">
      <c r="B16" s="145" t="s">
        <v>1395</v>
      </c>
      <c r="E16" s="3440" t="s">
        <v>1553</v>
      </c>
      <c r="F16" s="3441"/>
      <c r="G16" s="3109" t="s">
        <v>1561</v>
      </c>
      <c r="H16" s="3440" t="s">
        <v>1554</v>
      </c>
      <c r="I16" s="3441"/>
    </row>
    <row r="17" spans="2:12" ht="21" customHeight="1" thickBot="1">
      <c r="B17" s="168" t="s">
        <v>1396</v>
      </c>
      <c r="E17" s="3442"/>
      <c r="F17" s="3443"/>
      <c r="G17" s="3081" t="s">
        <v>1578</v>
      </c>
      <c r="H17" s="3442"/>
      <c r="I17" s="3443"/>
    </row>
    <row r="18" spans="2:12" ht="21" customHeight="1">
      <c r="B18" s="147" t="s">
        <v>1397</v>
      </c>
    </row>
    <row r="19" spans="2:12" ht="21" customHeight="1">
      <c r="B19" s="145" t="s">
        <v>1398</v>
      </c>
    </row>
    <row r="20" spans="2:12" ht="21" customHeight="1">
      <c r="B20" s="168" t="s">
        <v>1399</v>
      </c>
    </row>
    <row r="21" spans="2:12" ht="21" customHeight="1">
      <c r="B21" s="62" t="s">
        <v>1653</v>
      </c>
      <c r="E21" s="3099"/>
      <c r="F21" s="3100"/>
      <c r="G21" s="3100"/>
      <c r="H21" s="3101" t="s">
        <v>1530</v>
      </c>
      <c r="I21" s="3102" t="s">
        <v>1579</v>
      </c>
      <c r="J21" s="3100"/>
      <c r="K21" s="3100"/>
      <c r="L21" s="3103"/>
    </row>
    <row r="22" spans="2:12" ht="21" customHeight="1">
      <c r="B22" s="3050" t="s">
        <v>40</v>
      </c>
      <c r="E22" s="3104"/>
      <c r="F22" s="3105"/>
      <c r="G22" s="3105"/>
      <c r="H22" s="3106" t="s">
        <v>1532</v>
      </c>
      <c r="I22" s="3107" t="s">
        <v>1580</v>
      </c>
      <c r="J22" s="3105"/>
      <c r="K22" s="3105"/>
      <c r="L22" s="3108"/>
    </row>
    <row r="23" spans="2:12" ht="21" customHeight="1" thickBot="1">
      <c r="B23" s="3050" t="s">
        <v>238</v>
      </c>
    </row>
    <row r="24" spans="2:12" ht="21" customHeight="1" thickTop="1">
      <c r="B24" s="3050" t="s">
        <v>39</v>
      </c>
      <c r="E24" s="3440" t="s">
        <v>1534</v>
      </c>
      <c r="F24" s="3441"/>
      <c r="H24" s="3456" t="s">
        <v>1571</v>
      </c>
      <c r="I24" s="3457"/>
      <c r="J24" s="3115" t="s">
        <v>1572</v>
      </c>
      <c r="K24" s="3448" t="s">
        <v>1573</v>
      </c>
      <c r="L24" s="3441"/>
    </row>
    <row r="25" spans="2:12" ht="21" customHeight="1" thickBot="1">
      <c r="B25" s="3050" t="s">
        <v>38</v>
      </c>
      <c r="E25" s="3442"/>
      <c r="F25" s="3443"/>
      <c r="H25" s="3458"/>
      <c r="I25" s="3459"/>
      <c r="J25" s="3109" t="s">
        <v>1550</v>
      </c>
      <c r="K25" s="3442"/>
      <c r="L25" s="3443"/>
    </row>
    <row r="26" spans="2:12" ht="21" customHeight="1">
      <c r="B26" s="3050"/>
      <c r="E26" s="3450" t="s">
        <v>1540</v>
      </c>
      <c r="F26" s="3452" t="s">
        <v>1541</v>
      </c>
      <c r="H26" s="3439" t="s">
        <v>1542</v>
      </c>
      <c r="I26" s="3439" t="s">
        <v>1574</v>
      </c>
    </row>
    <row r="27" spans="2:12" ht="21" customHeight="1" thickBot="1">
      <c r="B27" s="63"/>
      <c r="E27" s="3451"/>
      <c r="F27" s="3453"/>
      <c r="H27" s="3439"/>
      <c r="I27" s="3439"/>
    </row>
    <row r="28" spans="2:12" ht="21" customHeight="1">
      <c r="B28" s="63"/>
      <c r="E28" s="3440" t="s">
        <v>1544</v>
      </c>
      <c r="F28" s="3441"/>
      <c r="G28" s="3081" t="s">
        <v>1561</v>
      </c>
      <c r="H28" s="3440" t="s">
        <v>1547</v>
      </c>
      <c r="I28" s="3441"/>
      <c r="J28" s="3109" t="s">
        <v>1546</v>
      </c>
      <c r="K28" s="3440" t="s">
        <v>1545</v>
      </c>
      <c r="L28" s="3441"/>
    </row>
    <row r="29" spans="2:12" ht="21" customHeight="1" thickBot="1">
      <c r="B29" s="3095"/>
      <c r="E29" s="3442"/>
      <c r="F29" s="3443"/>
      <c r="G29" s="3081" t="s">
        <v>1581</v>
      </c>
      <c r="H29" s="3442"/>
      <c r="I29" s="3443"/>
      <c r="J29" s="3109" t="s">
        <v>1575</v>
      </c>
      <c r="K29" s="3442"/>
      <c r="L29" s="3443"/>
    </row>
    <row r="30" spans="2:12" ht="21" customHeight="1">
      <c r="B30" s="3095"/>
      <c r="E30" s="3450" t="s">
        <v>1549</v>
      </c>
      <c r="F30" s="3454" t="s">
        <v>1550</v>
      </c>
      <c r="H30" s="3439" t="s">
        <v>1577</v>
      </c>
      <c r="I30" s="3439" t="s">
        <v>1550</v>
      </c>
    </row>
    <row r="31" spans="2:12" ht="21" customHeight="1" thickBot="1">
      <c r="B31" s="3095"/>
      <c r="E31" s="3451"/>
      <c r="F31" s="3455"/>
      <c r="H31" s="3451"/>
      <c r="I31" s="3451"/>
    </row>
    <row r="32" spans="2:12" ht="21" customHeight="1">
      <c r="B32" s="3095"/>
      <c r="E32" s="3440" t="s">
        <v>1553</v>
      </c>
      <c r="F32" s="3441"/>
      <c r="H32" s="3440" t="s">
        <v>1554</v>
      </c>
      <c r="I32" s="3441"/>
    </row>
    <row r="33" spans="2:12" ht="21" customHeight="1" thickBot="1">
      <c r="B33" s="3095"/>
      <c r="E33" s="3442"/>
      <c r="F33" s="3443"/>
      <c r="H33" s="3442"/>
      <c r="I33" s="3443"/>
    </row>
    <row r="34" spans="2:12" ht="21" customHeight="1">
      <c r="B34" s="3095"/>
    </row>
    <row r="35" spans="2:12" ht="21" customHeight="1">
      <c r="B35" s="3095"/>
    </row>
    <row r="36" spans="2:12" ht="12.75" customHeight="1">
      <c r="B36" s="3095"/>
    </row>
    <row r="37" spans="2:12" ht="12.75" customHeight="1">
      <c r="B37" s="3095"/>
      <c r="E37" s="3099"/>
      <c r="F37" s="3100"/>
      <c r="G37" s="3100"/>
      <c r="H37" s="3101" t="s">
        <v>1530</v>
      </c>
      <c r="I37" s="3102" t="s">
        <v>1582</v>
      </c>
      <c r="J37" s="3100"/>
      <c r="K37" s="3100"/>
      <c r="L37" s="3103"/>
    </row>
    <row r="38" spans="2:12" ht="12.75" customHeight="1">
      <c r="B38" s="3095"/>
      <c r="E38" s="3104"/>
      <c r="F38" s="3105"/>
      <c r="G38" s="3105"/>
      <c r="H38" s="3106" t="s">
        <v>1532</v>
      </c>
      <c r="I38" s="3107" t="s">
        <v>1570</v>
      </c>
      <c r="J38" s="3105"/>
      <c r="K38" s="3105"/>
      <c r="L38" s="3108"/>
    </row>
    <row r="39" spans="2:12" ht="12.75" customHeight="1" thickBot="1">
      <c r="B39" s="3095"/>
    </row>
    <row r="40" spans="2:12" ht="12.75" customHeight="1">
      <c r="B40" s="3095"/>
      <c r="E40" s="3440" t="s">
        <v>1534</v>
      </c>
      <c r="F40" s="3441"/>
      <c r="H40" s="3440" t="s">
        <v>1571</v>
      </c>
      <c r="I40" s="3441"/>
      <c r="J40" s="3115" t="s">
        <v>1572</v>
      </c>
      <c r="K40" s="3448" t="s">
        <v>1573</v>
      </c>
      <c r="L40" s="3441"/>
    </row>
    <row r="41" spans="2:12" ht="12.75" customHeight="1" thickBot="1">
      <c r="B41" s="3095"/>
      <c r="E41" s="3442"/>
      <c r="F41" s="3443"/>
      <c r="H41" s="3442"/>
      <c r="I41" s="3443"/>
      <c r="J41" s="3109" t="s">
        <v>1550</v>
      </c>
      <c r="K41" s="3442"/>
      <c r="L41" s="3443"/>
    </row>
    <row r="42" spans="2:12" ht="12.75" customHeight="1">
      <c r="B42" s="3095"/>
      <c r="E42" s="3450" t="s">
        <v>1540</v>
      </c>
      <c r="F42" s="3452" t="s">
        <v>1541</v>
      </c>
      <c r="H42" s="3439" t="s">
        <v>1567</v>
      </c>
      <c r="I42" s="3439" t="s">
        <v>1574</v>
      </c>
    </row>
    <row r="43" spans="2:12" ht="12.75" customHeight="1" thickBot="1">
      <c r="B43" s="3095"/>
      <c r="E43" s="3451"/>
      <c r="F43" s="3453"/>
      <c r="H43" s="3439"/>
      <c r="I43" s="3439"/>
    </row>
    <row r="44" spans="2:12" ht="12.75" customHeight="1" thickTop="1">
      <c r="B44" s="3095"/>
      <c r="E44" s="3440" t="s">
        <v>1544</v>
      </c>
      <c r="F44" s="3441"/>
      <c r="G44" s="3110" t="s">
        <v>1561</v>
      </c>
      <c r="H44" s="3456" t="s">
        <v>1547</v>
      </c>
      <c r="I44" s="3457"/>
      <c r="J44" s="3109" t="s">
        <v>1583</v>
      </c>
      <c r="K44" s="3440" t="s">
        <v>1545</v>
      </c>
      <c r="L44" s="3441"/>
    </row>
    <row r="45" spans="2:12" ht="12.75" customHeight="1" thickBot="1">
      <c r="B45" s="3095"/>
      <c r="E45" s="3442"/>
      <c r="F45" s="3443"/>
      <c r="G45" s="3110" t="s">
        <v>1581</v>
      </c>
      <c r="H45" s="3458"/>
      <c r="I45" s="3459"/>
      <c r="J45" s="3110" t="s">
        <v>1548</v>
      </c>
      <c r="K45" s="3442"/>
      <c r="L45" s="3443"/>
    </row>
    <row r="46" spans="2:12" ht="12.75" customHeight="1">
      <c r="B46" s="3095"/>
      <c r="H46" s="3439" t="s">
        <v>1577</v>
      </c>
      <c r="I46" s="3439" t="s">
        <v>1550</v>
      </c>
    </row>
    <row r="47" spans="2:12" ht="12.75" customHeight="1" thickBot="1">
      <c r="B47" s="3095"/>
      <c r="H47" s="3451"/>
      <c r="I47" s="3451"/>
    </row>
    <row r="48" spans="2:12" ht="12.75" customHeight="1">
      <c r="B48" s="3095"/>
      <c r="E48" s="3440" t="s">
        <v>1553</v>
      </c>
      <c r="F48" s="3441"/>
      <c r="G48" s="3110" t="s">
        <v>1561</v>
      </c>
      <c r="H48" s="3440" t="s">
        <v>1554</v>
      </c>
      <c r="I48" s="3441"/>
      <c r="J48" s="3110"/>
    </row>
    <row r="49" spans="2:12" ht="12.75" customHeight="1" thickBot="1">
      <c r="B49" s="3095"/>
      <c r="E49" s="3442"/>
      <c r="F49" s="3443"/>
      <c r="G49" s="3110" t="s">
        <v>1578</v>
      </c>
      <c r="H49" s="3442"/>
      <c r="I49" s="3443"/>
      <c r="J49" s="3110"/>
    </row>
    <row r="50" spans="2:12" ht="12.75" customHeight="1">
      <c r="B50" s="3095"/>
      <c r="E50" s="3066"/>
      <c r="F50" s="3116"/>
    </row>
    <row r="51" spans="2:12" ht="12.75" customHeight="1">
      <c r="B51" s="3095"/>
      <c r="E51" s="3066"/>
      <c r="F51" s="3116"/>
    </row>
    <row r="52" spans="2:12" ht="12.75" customHeight="1">
      <c r="B52" s="3095"/>
      <c r="E52" s="3066"/>
      <c r="F52" s="3066"/>
    </row>
    <row r="53" spans="2:12" ht="12.75" customHeight="1">
      <c r="B53" s="3095"/>
      <c r="E53" s="3099"/>
      <c r="F53" s="3100"/>
      <c r="G53" s="3100"/>
      <c r="H53" s="3101" t="s">
        <v>1530</v>
      </c>
      <c r="I53" s="3102" t="s">
        <v>1584</v>
      </c>
      <c r="J53" s="3100"/>
      <c r="K53" s="3100"/>
      <c r="L53" s="3103"/>
    </row>
    <row r="54" spans="2:12" ht="12.75" customHeight="1">
      <c r="B54" s="3095"/>
      <c r="E54" s="3104"/>
      <c r="F54" s="3105"/>
      <c r="G54" s="3105"/>
      <c r="H54" s="3106" t="s">
        <v>1585</v>
      </c>
      <c r="I54" s="3107" t="s">
        <v>1586</v>
      </c>
      <c r="J54" s="3105"/>
      <c r="K54" s="3105"/>
      <c r="L54" s="3108"/>
    </row>
    <row r="55" spans="2:12" ht="12.75" customHeight="1" thickBot="1">
      <c r="B55" s="3095"/>
    </row>
    <row r="56" spans="2:12" ht="13.15" thickTop="1">
      <c r="B56" s="3095"/>
      <c r="E56" s="3440" t="s">
        <v>1534</v>
      </c>
      <c r="F56" s="3441"/>
      <c r="H56" s="3456" t="s">
        <v>1571</v>
      </c>
      <c r="I56" s="3457"/>
      <c r="J56" s="3115" t="s">
        <v>1572</v>
      </c>
      <c r="K56" s="3448" t="s">
        <v>1573</v>
      </c>
      <c r="L56" s="3441"/>
    </row>
    <row r="57" spans="2:12" ht="13.15" thickBot="1">
      <c r="B57" s="3095"/>
      <c r="E57" s="3442"/>
      <c r="F57" s="3443"/>
      <c r="H57" s="3458"/>
      <c r="I57" s="3459"/>
      <c r="J57" s="3109" t="s">
        <v>1550</v>
      </c>
      <c r="K57" s="3442"/>
      <c r="L57" s="3443"/>
    </row>
    <row r="58" spans="2:12" ht="15.75" customHeight="1">
      <c r="B58" s="3095"/>
      <c r="E58" s="3450" t="s">
        <v>1540</v>
      </c>
      <c r="F58" s="3452" t="s">
        <v>1541</v>
      </c>
      <c r="H58" s="3439" t="s">
        <v>1542</v>
      </c>
      <c r="I58" s="3439" t="s">
        <v>1587</v>
      </c>
    </row>
    <row r="59" spans="2:12" ht="13.15" thickBot="1">
      <c r="B59" s="3095"/>
      <c r="E59" s="3451"/>
      <c r="F59" s="3453"/>
      <c r="H59" s="3439"/>
      <c r="I59" s="3439"/>
    </row>
    <row r="60" spans="2:12">
      <c r="B60" s="3095"/>
      <c r="E60" s="3440" t="s">
        <v>1544</v>
      </c>
      <c r="F60" s="3441"/>
      <c r="G60" s="3081"/>
      <c r="H60" s="3440" t="s">
        <v>1547</v>
      </c>
      <c r="I60" s="3441"/>
      <c r="J60" s="3109" t="s">
        <v>1546</v>
      </c>
      <c r="K60" s="3440" t="s">
        <v>1545</v>
      </c>
      <c r="L60" s="3441"/>
    </row>
    <row r="61" spans="2:12" ht="12.75" customHeight="1" thickBot="1">
      <c r="B61" s="3095"/>
      <c r="E61" s="3442"/>
      <c r="F61" s="3443"/>
      <c r="G61" s="3081"/>
      <c r="H61" s="3442"/>
      <c r="I61" s="3443"/>
      <c r="J61" s="3109" t="s">
        <v>1588</v>
      </c>
      <c r="K61" s="3442"/>
      <c r="L61" s="3443"/>
    </row>
    <row r="62" spans="2:12" ht="12.75" customHeight="1">
      <c r="B62" s="3095"/>
      <c r="E62" s="3450" t="s">
        <v>1576</v>
      </c>
      <c r="F62" s="3454" t="s">
        <v>1550</v>
      </c>
      <c r="H62" s="3439" t="s">
        <v>1577</v>
      </c>
      <c r="I62" s="3439" t="s">
        <v>1550</v>
      </c>
    </row>
    <row r="63" spans="2:12" ht="12.75" customHeight="1" thickBot="1">
      <c r="B63" s="3095"/>
      <c r="E63" s="3451"/>
      <c r="F63" s="3455"/>
      <c r="H63" s="3451"/>
      <c r="I63" s="3451"/>
    </row>
    <row r="64" spans="2:12" ht="12.75" customHeight="1">
      <c r="B64" s="3095"/>
      <c r="E64" s="3440" t="s">
        <v>1553</v>
      </c>
      <c r="F64" s="3441"/>
      <c r="G64" s="3081" t="s">
        <v>1561</v>
      </c>
      <c r="H64" s="3440" t="s">
        <v>1554</v>
      </c>
      <c r="I64" s="3441"/>
    </row>
    <row r="65" spans="2:12" ht="12.75" customHeight="1" thickBot="1">
      <c r="B65" s="3095"/>
      <c r="E65" s="3442"/>
      <c r="F65" s="3443"/>
      <c r="G65" s="3081" t="s">
        <v>1589</v>
      </c>
      <c r="H65" s="3442"/>
      <c r="I65" s="3443"/>
    </row>
    <row r="66" spans="2:12" ht="12.75" customHeight="1">
      <c r="B66" s="3095"/>
      <c r="E66" s="3450"/>
      <c r="F66" s="3452"/>
    </row>
    <row r="67" spans="2:12" ht="12.75" customHeight="1">
      <c r="B67" s="3095"/>
      <c r="E67" s="3439"/>
      <c r="F67" s="3460"/>
    </row>
    <row r="68" spans="2:12" ht="12.75" customHeight="1">
      <c r="B68" s="3095"/>
      <c r="E68" s="3066"/>
      <c r="F68" s="3066"/>
    </row>
    <row r="69" spans="2:12" ht="12.75" customHeight="1">
      <c r="B69" s="3095"/>
      <c r="E69" s="3099"/>
      <c r="F69" s="3100"/>
      <c r="G69" s="3100"/>
      <c r="H69" s="3101" t="s">
        <v>1530</v>
      </c>
      <c r="I69" s="3102" t="s">
        <v>1582</v>
      </c>
      <c r="J69" s="3100"/>
      <c r="K69" s="3100"/>
      <c r="L69" s="3103"/>
    </row>
    <row r="70" spans="2:12" ht="12.75" customHeight="1">
      <c r="B70" s="3095"/>
      <c r="E70" s="3104"/>
      <c r="F70" s="3105"/>
      <c r="G70" s="3105"/>
      <c r="H70" s="3106" t="s">
        <v>1585</v>
      </c>
      <c r="I70" s="3107" t="s">
        <v>1590</v>
      </c>
      <c r="J70" s="3105"/>
      <c r="K70" s="3105"/>
      <c r="L70" s="3108"/>
    </row>
    <row r="71" spans="2:12" ht="12.75" customHeight="1" thickBot="1">
      <c r="B71" s="3095"/>
    </row>
    <row r="72" spans="2:12" ht="12.75" customHeight="1" thickTop="1">
      <c r="B72" s="3095"/>
      <c r="E72" s="3439"/>
      <c r="F72" s="3439"/>
      <c r="H72" s="3456" t="s">
        <v>1571</v>
      </c>
      <c r="I72" s="3457"/>
      <c r="J72" s="3115"/>
      <c r="K72" s="3082"/>
      <c r="L72" s="3066"/>
    </row>
    <row r="73" spans="2:12" ht="12.75" customHeight="1" thickBot="1">
      <c r="B73" s="3095"/>
      <c r="E73" s="3439"/>
      <c r="F73" s="3439"/>
      <c r="H73" s="3458"/>
      <c r="I73" s="3459"/>
      <c r="J73" s="3109"/>
      <c r="K73" s="3066"/>
      <c r="L73" s="3066"/>
    </row>
    <row r="74" spans="2:12" ht="12.75" customHeight="1" thickTop="1">
      <c r="B74" s="3095"/>
      <c r="E74" s="3439"/>
      <c r="F74" s="3460"/>
      <c r="H74" s="3439" t="s">
        <v>1542</v>
      </c>
      <c r="I74" s="3066"/>
    </row>
    <row r="75" spans="2:12" ht="12.75" customHeight="1">
      <c r="B75" s="3095"/>
      <c r="E75" s="3439"/>
      <c r="F75" s="3460"/>
      <c r="H75" s="3439"/>
      <c r="I75" s="3117" t="s">
        <v>1591</v>
      </c>
    </row>
    <row r="76" spans="2:12" ht="12.75" customHeight="1">
      <c r="B76" s="3095"/>
      <c r="E76" s="3439"/>
      <c r="F76" s="3460"/>
      <c r="H76" s="3439"/>
      <c r="I76" s="3117" t="s">
        <v>1592</v>
      </c>
    </row>
    <row r="77" spans="2:12" ht="12.75" customHeight="1" thickBot="1">
      <c r="B77" s="3095"/>
      <c r="E77" s="3451"/>
      <c r="F77" s="3453"/>
      <c r="H77" s="3439"/>
      <c r="I77" s="3066"/>
    </row>
    <row r="78" spans="2:12" ht="12.75" customHeight="1">
      <c r="B78" s="3095"/>
      <c r="E78" s="3440" t="s">
        <v>1593</v>
      </c>
      <c r="F78" s="3441"/>
      <c r="G78" s="3081" t="s">
        <v>1561</v>
      </c>
      <c r="H78" s="3440" t="s">
        <v>1547</v>
      </c>
      <c r="I78" s="3441"/>
      <c r="J78" s="3109" t="s">
        <v>1561</v>
      </c>
      <c r="K78" s="3440" t="s">
        <v>1594</v>
      </c>
      <c r="L78" s="3441"/>
    </row>
    <row r="79" spans="2:12" ht="12.75" customHeight="1" thickBot="1">
      <c r="B79" s="3095"/>
      <c r="E79" s="3442"/>
      <c r="F79" s="3443"/>
      <c r="G79" s="3081" t="s">
        <v>1595</v>
      </c>
      <c r="H79" s="3442"/>
      <c r="I79" s="3443"/>
      <c r="J79" s="3109" t="s">
        <v>1596</v>
      </c>
      <c r="K79" s="3442"/>
      <c r="L79" s="3443"/>
    </row>
    <row r="80" spans="2:12" ht="12.75" customHeight="1">
      <c r="B80" s="3095"/>
      <c r="E80" s="3450"/>
      <c r="F80" s="3454"/>
      <c r="H80" s="3439" t="s">
        <v>1561</v>
      </c>
      <c r="I80" s="3461" t="s">
        <v>1597</v>
      </c>
    </row>
    <row r="81" spans="2:9" ht="12.75" customHeight="1" thickBot="1">
      <c r="B81" s="3095"/>
      <c r="E81" s="3439"/>
      <c r="F81" s="3438"/>
      <c r="H81" s="3451"/>
      <c r="I81" s="3462"/>
    </row>
    <row r="82" spans="2:9" ht="12.75" customHeight="1">
      <c r="B82" s="3095"/>
      <c r="E82" s="3066"/>
      <c r="F82" s="3066"/>
      <c r="G82" s="3081"/>
      <c r="H82" s="3440" t="s">
        <v>1598</v>
      </c>
      <c r="I82" s="3441"/>
    </row>
    <row r="83" spans="2:9" ht="12.75" customHeight="1" thickBot="1">
      <c r="B83" s="3095"/>
      <c r="E83" s="3066"/>
      <c r="F83" s="3066"/>
      <c r="G83" s="3081"/>
      <c r="H83" s="3442"/>
      <c r="I83" s="3443"/>
    </row>
    <row r="84" spans="2:9" ht="12.75" customHeight="1">
      <c r="B84" s="3095"/>
    </row>
    <row r="85" spans="2:9" ht="12.75" customHeight="1">
      <c r="B85" s="3095"/>
    </row>
    <row r="86" spans="2:9" ht="12.75" customHeight="1">
      <c r="B86" s="3095"/>
    </row>
    <row r="87" spans="2:9" ht="12.75" customHeight="1">
      <c r="B87" s="3095"/>
    </row>
    <row r="88" spans="2:9" ht="12.75" customHeight="1">
      <c r="B88" s="3095"/>
    </row>
    <row r="89" spans="2:9" ht="12.75" customHeight="1">
      <c r="B89" s="3095"/>
    </row>
    <row r="90" spans="2:9" ht="12.75" customHeight="1">
      <c r="B90" s="3095"/>
    </row>
    <row r="91" spans="2:9" ht="12.75" customHeight="1">
      <c r="B91" s="3095"/>
    </row>
    <row r="92" spans="2:9" ht="12.75" customHeight="1">
      <c r="B92" s="3095"/>
    </row>
    <row r="93" spans="2:9" ht="12.75" customHeight="1">
      <c r="B93" s="3095"/>
    </row>
    <row r="94" spans="2:9" ht="12.75" customHeight="1">
      <c r="B94" s="3095"/>
    </row>
    <row r="95" spans="2:9" ht="12.75" customHeight="1">
      <c r="B95" s="3095"/>
    </row>
    <row r="96" spans="2:9" ht="12.75" customHeight="1">
      <c r="B96" s="3095"/>
    </row>
    <row r="97" spans="2:2" ht="12.75" customHeight="1">
      <c r="B97" s="3095"/>
    </row>
    <row r="98" spans="2:2" ht="12.75" customHeight="1">
      <c r="B98" s="3095"/>
    </row>
    <row r="99" spans="2:2" ht="12.75" customHeight="1">
      <c r="B99" s="3095"/>
    </row>
    <row r="100" spans="2:2" ht="12.75" customHeight="1">
      <c r="B100" s="3095"/>
    </row>
    <row r="101" spans="2:2" ht="12.75" customHeight="1">
      <c r="B101" s="3095"/>
    </row>
    <row r="102" spans="2:2" ht="12.75" customHeight="1">
      <c r="B102" s="3095"/>
    </row>
    <row r="103" spans="2:2" ht="12.75" customHeight="1">
      <c r="B103" s="3095"/>
    </row>
    <row r="104" spans="2:2" ht="12.75" customHeight="1">
      <c r="B104" s="3095"/>
    </row>
    <row r="105" spans="2:2" ht="12.75" customHeight="1">
      <c r="B105" s="3095"/>
    </row>
    <row r="106" spans="2:2" ht="12.75" customHeight="1">
      <c r="B106" s="3095"/>
    </row>
    <row r="107" spans="2:2" ht="12.75" customHeight="1">
      <c r="B107" s="3095"/>
    </row>
    <row r="108" spans="2:2" ht="12.75" customHeight="1"/>
    <row r="109" spans="2:2" ht="12.75" customHeight="1"/>
    <row r="110" spans="2:2" ht="12.75" customHeight="1"/>
    <row r="111" spans="2:2" ht="12.75" customHeight="1"/>
  </sheetData>
  <mergeCells count="79">
    <mergeCell ref="E80:E81"/>
    <mergeCell ref="F80:F81"/>
    <mergeCell ref="H80:H81"/>
    <mergeCell ref="I80:I81"/>
    <mergeCell ref="H82:I83"/>
    <mergeCell ref="K78:L79"/>
    <mergeCell ref="E64:F65"/>
    <mergeCell ref="H64:I65"/>
    <mergeCell ref="E66:E67"/>
    <mergeCell ref="F66:F67"/>
    <mergeCell ref="E72:F73"/>
    <mergeCell ref="H72:I73"/>
    <mergeCell ref="E74:E77"/>
    <mergeCell ref="F74:F77"/>
    <mergeCell ref="H74:H77"/>
    <mergeCell ref="E78:F79"/>
    <mergeCell ref="H78:I79"/>
    <mergeCell ref="K60:L61"/>
    <mergeCell ref="E62:E63"/>
    <mergeCell ref="F62:F63"/>
    <mergeCell ref="H62:H63"/>
    <mergeCell ref="I62:I63"/>
    <mergeCell ref="E58:E59"/>
    <mergeCell ref="F58:F59"/>
    <mergeCell ref="H58:H59"/>
    <mergeCell ref="I58:I59"/>
    <mergeCell ref="E60:F61"/>
    <mergeCell ref="H60:I61"/>
    <mergeCell ref="E56:F57"/>
    <mergeCell ref="H56:I57"/>
    <mergeCell ref="K56:L57"/>
    <mergeCell ref="E48:F49"/>
    <mergeCell ref="H48:I49"/>
    <mergeCell ref="E44:F45"/>
    <mergeCell ref="H44:I45"/>
    <mergeCell ref="K44:L45"/>
    <mergeCell ref="H46:H47"/>
    <mergeCell ref="I46:I47"/>
    <mergeCell ref="E42:E43"/>
    <mergeCell ref="F42:F43"/>
    <mergeCell ref="H42:H43"/>
    <mergeCell ref="I42:I43"/>
    <mergeCell ref="E32:F33"/>
    <mergeCell ref="H32:I33"/>
    <mergeCell ref="E40:F41"/>
    <mergeCell ref="H40:I41"/>
    <mergeCell ref="E26:E27"/>
    <mergeCell ref="F26:F27"/>
    <mergeCell ref="H26:H27"/>
    <mergeCell ref="I26:I27"/>
    <mergeCell ref="K40:L41"/>
    <mergeCell ref="E28:F29"/>
    <mergeCell ref="H28:I29"/>
    <mergeCell ref="K28:L29"/>
    <mergeCell ref="E30:E31"/>
    <mergeCell ref="F30:F31"/>
    <mergeCell ref="H30:H31"/>
    <mergeCell ref="I30:I31"/>
    <mergeCell ref="E16:F17"/>
    <mergeCell ref="H16:I17"/>
    <mergeCell ref="E24:F25"/>
    <mergeCell ref="H24:I25"/>
    <mergeCell ref="K24:L25"/>
    <mergeCell ref="K12:L13"/>
    <mergeCell ref="E14:E15"/>
    <mergeCell ref="F14:F15"/>
    <mergeCell ref="H14:H15"/>
    <mergeCell ref="I14:I15"/>
    <mergeCell ref="E12:F13"/>
    <mergeCell ref="H12:I13"/>
    <mergeCell ref="E10:E11"/>
    <mergeCell ref="F10:F11"/>
    <mergeCell ref="H10:H11"/>
    <mergeCell ref="I10:I11"/>
    <mergeCell ref="B2:B3"/>
    <mergeCell ref="D2:M3"/>
    <mergeCell ref="E8:F9"/>
    <mergeCell ref="H8:I9"/>
    <mergeCell ref="K8:L9"/>
  </mergeCells>
  <hyperlinks>
    <hyperlink ref="B5" location="'Documents Manager'!A1" display="DOCUMENTS MANAGER" xr:uid="{C0029B5D-FE59-42AB-B567-5085D2F9652E}"/>
    <hyperlink ref="B2:B3" location="Home!A1" display="HOME" xr:uid="{838124C0-2BEA-4AAA-B570-8279AD5586D6}"/>
    <hyperlink ref="B14" location="'Guidelines - Saybolt Manual'!A1" display="• Saybolt Inspection Manual" xr:uid="{D1568C2A-6DBC-4D96-BE69-E41F406ACAA6}"/>
    <hyperlink ref="B6" location="'ASTM Vol. XI - Tab.1'!A1" display="ASTM TABLES" xr:uid="{414ABEEE-9E9F-4FA0-8A54-BD7890414DFA}"/>
    <hyperlink ref="B12" location="'Guidelines - Definitions'!A1" display="• Definitions" xr:uid="{EC351425-A790-49EA-AF66-5583BD15DE2B}"/>
    <hyperlink ref="B25" location="Disclaimer!A1" display="Disclaimer" xr:uid="{4E69E132-06D8-4922-8B5C-FEA895CDAF06}"/>
    <hyperlink ref="B24" location="Help!A1" display="Help" xr:uid="{71D35AAB-FB0D-4155-9B20-4180AD233BFD}"/>
    <hyperlink ref="B22" location="'Source - Links'!A1" display="SOURCE / LINKS" xr:uid="{0056A4E6-E378-475C-90EA-1AAF40469AAA}"/>
    <hyperlink ref="B17" location="'Conversion Charts Metric'!A1" display="• Conversion Charts Metric system" xr:uid="{B7E671FD-431A-4834-B156-E528200977A9}"/>
    <hyperlink ref="B18" location="'Conversion Charts Barrel'!A1" display="• Conversion Charts Barrel system" xr:uid="{5339A09C-648E-4859-A7E7-BD2AE3065E4F}"/>
    <hyperlink ref="B13" location="'Guidelines - Procedure of Calc'!A1" display="• Procedure of Calculations" xr:uid="{2C2079D0-5769-4323-84D0-9FD2D73ADA49}"/>
    <hyperlink ref="B7" location="'ASTM Converter (Tab.1)'!A1" display="ASTM - CONVERTERS" xr:uid="{9CD2E785-ACAF-49D8-94FF-E4A6C7486D6F}"/>
    <hyperlink ref="B16" location="'Which tables to use When'!A1" display="• Chart Which tables to use When" xr:uid="{5E0BD456-D340-4C1A-8076-3D4F7914E889}"/>
    <hyperlink ref="B19" location="'Conversion Charts Mass &amp; Weight'!A1" display="• Conversion Charts Mass &amp; Weight" xr:uid="{4FF5C92D-D9DC-45AA-8A64-47C41E242160}"/>
    <hyperlink ref="B15" location="'ASTM Formulas'!A1" display="• ASTM Formulas" xr:uid="{6559ABDF-61B2-44A9-B5C1-279C4325A31F}"/>
    <hyperlink ref="B20" location="'Outturn Charts'!A1" display="• Outturn Charts" xr:uid="{93E1679D-4E89-4510-80FC-D59931EDE248}"/>
    <hyperlink ref="B8" location="'ASTM Calculator V.W.'!A1" display="ASTM - CALCULATORS" xr:uid="{56B64DD8-D413-4C1C-B065-A352AC171B95}"/>
    <hyperlink ref="B11" location="'Guidelines - Definitions'!A1" display="GUIDELINES" xr:uid="{BFF6A7BE-15C8-43C3-8F10-6F0136629702}"/>
    <hyperlink ref="B21" location="'Guidelines - Bottom Lines'!A1" display="GUIDELINES - CARGO" xr:uid="{3B0B6146-631F-4F73-9B07-2833851C6983}"/>
    <hyperlink ref="B9" location="'Initial&amp;Max. Loading Rate'!A1" display="CARGO - CALCULATORS" xr:uid="{250E4FA7-2B63-46FF-B918-4ABA47ED7C31}"/>
  </hyperlinks>
  <pageMargins left="0.39370078740157483" right="0.39370078740157483" top="0.39370078740157483" bottom="0.39370078740157483" header="0.51181102362204722" footer="0.51181102362204722"/>
  <pageSetup paperSize="9" scale="86" orientation="portrait" horizontalDpi="4294967294" r:id="rId1"/>
  <headerFooter alignWithMargins="0"/>
  <drawing r:id="rId2"/>
</worksheet>
</file>

<file path=xl/worksheets/sheet47.xml><?xml version="1.0" encoding="UTF-8" standalone="yes"?>
<worksheet xmlns="http://schemas.openxmlformats.org/spreadsheetml/2006/main" xmlns:r="http://schemas.openxmlformats.org/officeDocument/2006/relationships" xmlns:mc="http://schemas.openxmlformats.org/markup-compatibility/2006" mc:Ignorable="x14ac xr xr2 xr3" xmlns:x14ac="http://schemas.microsoft.com/office/spreadsheetml/2009/9/ac" xmlns:xr="http://schemas.microsoft.com/office/spreadsheetml/2014/revision" xmlns:xr2="http://schemas.microsoft.com/office/spreadsheetml/2015/revision2" xmlns:xr3="http://schemas.microsoft.com/office/spreadsheetml/2016/revision3" xr:uid="{ED7BFB6F-0FCE-49F9-8906-85C403AC6431}"><sheetPr><tabColor rgb="FF008080"/><pageSetUpPr fitToPage="1"/></sheetPr><dimension ref="A1:IW109"/><sheetViews><sheetView showGridLines="0" showRowColHeaders="0" topLeftCell="B1" workbookViewId="0"><selection activeCell="B20" sqref="B20"/></sheetView></sheetViews><sheetFormatPr defaultColWidth="9.1328125" defaultRowHeight="12.75"/><cols><col min="1" max="1" width="0" style="3045" hidden="1" customWidth="1"/><col min="2" max="2" width="36.6640625" style="3098" customWidth="1"/><col min="3" max="3" width="2.6640625" style="3045" customWidth="1"/><col min="4" max="4" width="3.6640625" style="3092" customWidth="1"/><col min="5" max="6" width="10.6640625" style="3092" customWidth="1"/><col min="7" max="7" width="19" style="3092" customWidth="1"/><col min="8" max="9" width="10.6640625" style="3092" customWidth="1"/><col min="10" max="10" width="19" style="3092" customWidth="1"/><col min="11" max="12" width="10.6640625" style="3092" customWidth="1"/><col min="13" max="13" width="3.6640625" style="3092" customWidth="1"/><col min="14" max="257" width="9.1328125" style="3092"/><col min="258" max="258" width="0" style="3092" hidden="1" customWidth="1"/><col min="259" max="259" width="43.46484375" style="3092" customWidth="1"/><col min="260" max="260" width="3.6640625" style="3092" customWidth="1"/><col min="261" max="261" width="32.6640625" style="3092" customWidth="1"/><col min="262" max="262" width="27" style="3092" customWidth="1"/><col min="263" max="264" width="9.1328125" style="3092" customWidth="1"/><col min="265" max="265" width="5" style="3092" customWidth="1"/><col min="266" max="267" width="9.1328125" style="3092" customWidth="1"/><col min="268" max="268" width="10.53125" style="3092" customWidth="1"/><col min="269" max="513" width="9.1328125" style="3092"/><col min="514" max="514" width="0" style="3092" hidden="1" customWidth="1"/><col min="515" max="515" width="43.46484375" style="3092" customWidth="1"/><col min="516" max="516" width="3.6640625" style="3092" customWidth="1"/><col min="517" max="517" width="32.6640625" style="3092" customWidth="1"/><col min="518" max="518" width="27" style="3092" customWidth="1"/><col min="519" max="520" width="9.1328125" style="3092" customWidth="1"/><col min="521" max="521" width="5" style="3092" customWidth="1"/><col min="522" max="523" width="9.1328125" style="3092" customWidth="1"/><col min="524" max="524" width="10.53125" style="3092" customWidth="1"/><col min="525" max="769" width="9.1328125" style="3092"/><col min="770" max="770" width="0" style="3092" hidden="1" customWidth="1"/><col min="771" max="771" width="43.46484375" style="3092" customWidth="1"/><col min="772" max="772" width="3.6640625" style="3092" customWidth="1"/><col min="773" max="773" width="32.6640625" style="3092" customWidth="1"/><col min="774" max="774" width="27" style="3092" customWidth="1"/><col min="775" max="776" width="9.1328125" style="3092" customWidth="1"/><col min="777" max="777" width="5" style="3092" customWidth="1"/><col min="778" max="779" width="9.1328125" style="3092" customWidth="1"/><col min="780" max="780" width="10.53125" style="3092" customWidth="1"/><col min="781" max="1025" width="9.1328125" style="3092"/><col min="1026" max="1026" width="0" style="3092" hidden="1" customWidth="1"/><col min="1027" max="1027" width="43.46484375" style="3092" customWidth="1"/><col min="1028" max="1028" width="3.6640625" style="3092" customWidth="1"/><col min="1029" max="1029" width="32.6640625" style="3092" customWidth="1"/><col min="1030" max="1030" width="27" style="3092" customWidth="1"/><col min="1031" max="1032" width="9.1328125" style="3092" customWidth="1"/><col min="1033" max="1033" width="5" style="3092" customWidth="1"/><col min="1034" max="1035" width="9.1328125" style="3092" customWidth="1"/><col min="1036" max="1036" width="10.53125" style="3092" customWidth="1"/><col min="1037" max="1281" width="9.1328125" style="3092"/><col min="1282" max="1282" width="0" style="3092" hidden="1" customWidth="1"/><col min="1283" max="1283" width="43.46484375" style="3092" customWidth="1"/><col min="1284" max="1284" width="3.6640625" style="3092" customWidth="1"/><col min="1285" max="1285" width="32.6640625" style="3092" customWidth="1"/><col min="1286" max="1286" width="27" style="3092" customWidth="1"/><col min="1287" max="1288" width="9.1328125" style="3092" customWidth="1"/><col min="1289" max="1289" width="5" style="3092" customWidth="1"/><col min="1290" max="1291" width="9.1328125" style="3092" customWidth="1"/><col min="1292" max="1292" width="10.53125" style="3092" customWidth="1"/><col min="1293" max="1537" width="9.1328125" style="3092"/><col min="1538" max="1538" width="0" style="3092" hidden="1" customWidth="1"/><col min="1539" max="1539" width="43.46484375" style="3092" customWidth="1"/><col min="1540" max="1540" width="3.6640625" style="3092" customWidth="1"/><col min="1541" max="1541" width="32.6640625" style="3092" customWidth="1"/><col min="1542" max="1542" width="27" style="3092" customWidth="1"/><col min="1543" max="1544" width="9.1328125" style="3092" customWidth="1"/><col min="1545" max="1545" width="5" style="3092" customWidth="1"/><col min="1546" max="1547" width="9.1328125" style="3092" customWidth="1"/><col min="1548" max="1548" width="10.53125" style="3092" customWidth="1"/><col min="1549" max="1793" width="9.1328125" style="3092"/><col min="1794" max="1794" width="0" style="3092" hidden="1" customWidth="1"/><col min="1795" max="1795" width="43.46484375" style="3092" customWidth="1"/><col min="1796" max="1796" width="3.6640625" style="3092" customWidth="1"/><col min="1797" max="1797" width="32.6640625" style="3092" customWidth="1"/><col min="1798" max="1798" width="27" style="3092" customWidth="1"/><col min="1799" max="1800" width="9.1328125" style="3092" customWidth="1"/><col min="1801" max="1801" width="5" style="3092" customWidth="1"/><col min="1802" max="1803" width="9.1328125" style="3092" customWidth="1"/><col min="1804" max="1804" width="10.53125" style="3092" customWidth="1"/><col min="1805" max="2049" width="9.1328125" style="3092"/><col min="2050" max="2050" width="0" style="3092" hidden="1" customWidth="1"/><col min="2051" max="2051" width="43.46484375" style="3092" customWidth="1"/><col min="2052" max="2052" width="3.6640625" style="3092" customWidth="1"/><col min="2053" max="2053" width="32.6640625" style="3092" customWidth="1"/><col min="2054" max="2054" width="27" style="3092" customWidth="1"/><col min="2055" max="2056" width="9.1328125" style="3092" customWidth="1"/><col min="2057" max="2057" width="5" style="3092" customWidth="1"/><col min="2058" max="2059" width="9.1328125" style="3092" customWidth="1"/><col min="2060" max="2060" width="10.53125" style="3092" customWidth="1"/><col min="2061" max="2305" width="9.1328125" style="3092"/><col min="2306" max="2306" width="0" style="3092" hidden="1" customWidth="1"/><col min="2307" max="2307" width="43.46484375" style="3092" customWidth="1"/><col min="2308" max="2308" width="3.6640625" style="3092" customWidth="1"/><col min="2309" max="2309" width="32.6640625" style="3092" customWidth="1"/><col min="2310" max="2310" width="27" style="3092" customWidth="1"/><col min="2311" max="2312" width="9.1328125" style="3092" customWidth="1"/><col min="2313" max="2313" width="5" style="3092" customWidth="1"/><col min="2314" max="2315" width="9.1328125" style="3092" customWidth="1"/><col min="2316" max="2316" width="10.53125" style="3092" customWidth="1"/><col min="2317" max="2561" width="9.1328125" style="3092"/><col min="2562" max="2562" width="0" style="3092" hidden="1" customWidth="1"/><col min="2563" max="2563" width="43.46484375" style="3092" customWidth="1"/><col min="2564" max="2564" width="3.6640625" style="3092" customWidth="1"/><col min="2565" max="2565" width="32.6640625" style="3092" customWidth="1"/><col min="2566" max="2566" width="27" style="3092" customWidth="1"/><col min="2567" max="2568" width="9.1328125" style="3092" customWidth="1"/><col min="2569" max="2569" width="5" style="3092" customWidth="1"/><col min="2570" max="2571" width="9.1328125" style="3092" customWidth="1"/><col min="2572" max="2572" width="10.53125" style="3092" customWidth="1"/><col min="2573" max="2817" width="9.1328125" style="3092"/><col min="2818" max="2818" width="0" style="3092" hidden="1" customWidth="1"/><col min="2819" max="2819" width="43.46484375" style="3092" customWidth="1"/><col min="2820" max="2820" width="3.6640625" style="3092" customWidth="1"/><col min="2821" max="2821" width="32.6640625" style="3092" customWidth="1"/><col min="2822" max="2822" width="27" style="3092" customWidth="1"/><col min="2823" max="2824" width="9.1328125" style="3092" customWidth="1"/><col min="2825" max="2825" width="5" style="3092" customWidth="1"/><col min="2826" max="2827" width="9.1328125" style="3092" customWidth="1"/><col min="2828" max="2828" width="10.53125" style="3092" customWidth="1"/><col min="2829" max="3073" width="9.1328125" style="3092"/><col min="3074" max="3074" width="0" style="3092" hidden="1" customWidth="1"/><col min="3075" max="3075" width="43.46484375" style="3092" customWidth="1"/><col min="3076" max="3076" width="3.6640625" style="3092" customWidth="1"/><col min="3077" max="3077" width="32.6640625" style="3092" customWidth="1"/><col min="3078" max="3078" width="27" style="3092" customWidth="1"/><col min="3079" max="3080" width="9.1328125" style="3092" customWidth="1"/><col min="3081" max="3081" width="5" style="3092" customWidth="1"/><col min="3082" max="3083" width="9.1328125" style="3092" customWidth="1"/><col min="3084" max="3084" width="10.53125" style="3092" customWidth="1"/><col min="3085" max="3329" width="9.1328125" style="3092"/><col min="3330" max="3330" width="0" style="3092" hidden="1" customWidth="1"/><col min="3331" max="3331" width="43.46484375" style="3092" customWidth="1"/><col min="3332" max="3332" width="3.6640625" style="3092" customWidth="1"/><col min="3333" max="3333" width="32.6640625" style="3092" customWidth="1"/><col min="3334" max="3334" width="27" style="3092" customWidth="1"/><col min="3335" max="3336" width="9.1328125" style="3092" customWidth="1"/><col min="3337" max="3337" width="5" style="3092" customWidth="1"/><col min="3338" max="3339" width="9.1328125" style="3092" customWidth="1"/><col min="3340" max="3340" width="10.53125" style="3092" customWidth="1"/><col min="3341" max="3585" width="9.1328125" style="3092"/><col min="3586" max="3586" width="0" style="3092" hidden="1" customWidth="1"/><col min="3587" max="3587" width="43.46484375" style="3092" customWidth="1"/><col min="3588" max="3588" width="3.6640625" style="3092" customWidth="1"/><col min="3589" max="3589" width="32.6640625" style="3092" customWidth="1"/><col min="3590" max="3590" width="27" style="3092" customWidth="1"/><col min="3591" max="3592" width="9.1328125" style="3092" customWidth="1"/><col min="3593" max="3593" width="5" style="3092" customWidth="1"/><col min="3594" max="3595" width="9.1328125" style="3092" customWidth="1"/><col min="3596" max="3596" width="10.53125" style="3092" customWidth="1"/><col min="3597" max="3841" width="9.1328125" style="3092"/><col min="3842" max="3842" width="0" style="3092" hidden="1" customWidth="1"/><col min="3843" max="3843" width="43.46484375" style="3092" customWidth="1"/><col min="3844" max="3844" width="3.6640625" style="3092" customWidth="1"/><col min="3845" max="3845" width="32.6640625" style="3092" customWidth="1"/><col min="3846" max="3846" width="27" style="3092" customWidth="1"/><col min="3847" max="3848" width="9.1328125" style="3092" customWidth="1"/><col min="3849" max="3849" width="5" style="3092" customWidth="1"/><col min="3850" max="3851" width="9.1328125" style="3092" customWidth="1"/><col min="3852" max="3852" width="10.53125" style="3092" customWidth="1"/><col min="3853" max="4097" width="9.1328125" style="3092"/><col min="4098" max="4098" width="0" style="3092" hidden="1" customWidth="1"/><col min="4099" max="4099" width="43.46484375" style="3092" customWidth="1"/><col min="4100" max="4100" width="3.6640625" style="3092" customWidth="1"/><col min="4101" max="4101" width="32.6640625" style="3092" customWidth="1"/><col min="4102" max="4102" width="27" style="3092" customWidth="1"/><col min="4103" max="4104" width="9.1328125" style="3092" customWidth="1"/><col min="4105" max="4105" width="5" style="3092" customWidth="1"/><col min="4106" max="4107" width="9.1328125" style="3092" customWidth="1"/><col min="4108" max="4108" width="10.53125" style="3092" customWidth="1"/><col min="4109" max="4353" width="9.1328125" style="3092"/><col min="4354" max="4354" width="0" style="3092" hidden="1" customWidth="1"/><col min="4355" max="4355" width="43.46484375" style="3092" customWidth="1"/><col min="4356" max="4356" width="3.6640625" style="3092" customWidth="1"/><col min="4357" max="4357" width="32.6640625" style="3092" customWidth="1"/><col min="4358" max="4358" width="27" style="3092" customWidth="1"/><col min="4359" max="4360" width="9.1328125" style="3092" customWidth="1"/><col min="4361" max="4361" width="5" style="3092" customWidth="1"/><col min="4362" max="4363" width="9.1328125" style="3092" customWidth="1"/><col min="4364" max="4364" width="10.53125" style="3092" customWidth="1"/><col min="4365" max="4609" width="9.1328125" style="3092"/><col min="4610" max="4610" width="0" style="3092" hidden="1" customWidth="1"/><col min="4611" max="4611" width="43.46484375" style="3092" customWidth="1"/><col min="4612" max="4612" width="3.6640625" style="3092" customWidth="1"/><col min="4613" max="4613" width="32.6640625" style="3092" customWidth="1"/><col min="4614" max="4614" width="27" style="3092" customWidth="1"/><col min="4615" max="4616" width="9.1328125" style="3092" customWidth="1"/><col min="4617" max="4617" width="5" style="3092" customWidth="1"/><col min="4618" max="4619" width="9.1328125" style="3092" customWidth="1"/><col min="4620" max="4620" width="10.53125" style="3092" customWidth="1"/><col min="4621" max="4865" width="9.1328125" style="3092"/><col min="4866" max="4866" width="0" style="3092" hidden="1" customWidth="1"/><col min="4867" max="4867" width="43.46484375" style="3092" customWidth="1"/><col min="4868" max="4868" width="3.6640625" style="3092" customWidth="1"/><col min="4869" max="4869" width="32.6640625" style="3092" customWidth="1"/><col min="4870" max="4870" width="27" style="3092" customWidth="1"/><col min="4871" max="4872" width="9.1328125" style="3092" customWidth="1"/><col min="4873" max="4873" width="5" style="3092" customWidth="1"/><col min="4874" max="4875" width="9.1328125" style="3092" customWidth="1"/><col min="4876" max="4876" width="10.53125" style="3092" customWidth="1"/><col min="4877" max="5121" width="9.1328125" style="3092"/><col min="5122" max="5122" width="0" style="3092" hidden="1" customWidth="1"/><col min="5123" max="5123" width="43.46484375" style="3092" customWidth="1"/><col min="5124" max="5124" width="3.6640625" style="3092" customWidth="1"/><col min="5125" max="5125" width="32.6640625" style="3092" customWidth="1"/><col min="5126" max="5126" width="27" style="3092" customWidth="1"/><col min="5127" max="5128" width="9.1328125" style="3092" customWidth="1"/><col min="5129" max="5129" width="5" style="3092" customWidth="1"/><col min="5130" max="5131" width="9.1328125" style="3092" customWidth="1"/><col min="5132" max="5132" width="10.53125" style="3092" customWidth="1"/><col min="5133" max="5377" width="9.1328125" style="3092"/><col min="5378" max="5378" width="0" style="3092" hidden="1" customWidth="1"/><col min="5379" max="5379" width="43.46484375" style="3092" customWidth="1"/><col min="5380" max="5380" width="3.6640625" style="3092" customWidth="1"/><col min="5381" max="5381" width="32.6640625" style="3092" customWidth="1"/><col min="5382" max="5382" width="27" style="3092" customWidth="1"/><col min="5383" max="5384" width="9.1328125" style="3092" customWidth="1"/><col min="5385" max="5385" width="5" style="3092" customWidth="1"/><col min="5386" max="5387" width="9.1328125" style="3092" customWidth="1"/><col min="5388" max="5388" width="10.53125" style="3092" customWidth="1"/><col min="5389" max="5633" width="9.1328125" style="3092"/><col min="5634" max="5634" width="0" style="3092" hidden="1" customWidth="1"/><col min="5635" max="5635" width="43.46484375" style="3092" customWidth="1"/><col min="5636" max="5636" width="3.6640625" style="3092" customWidth="1"/><col min="5637" max="5637" width="32.6640625" style="3092" customWidth="1"/><col min="5638" max="5638" width="27" style="3092" customWidth="1"/><col min="5639" max="5640" width="9.1328125" style="3092" customWidth="1"/><col min="5641" max="5641" width="5" style="3092" customWidth="1"/><col min="5642" max="5643" width="9.1328125" style="3092" customWidth="1"/><col min="5644" max="5644" width="10.53125" style="3092" customWidth="1"/><col min="5645" max="5889" width="9.1328125" style="3092"/><col min="5890" max="5890" width="0" style="3092" hidden="1" customWidth="1"/><col min="5891" max="5891" width="43.46484375" style="3092" customWidth="1"/><col min="5892" max="5892" width="3.6640625" style="3092" customWidth="1"/><col min="5893" max="5893" width="32.6640625" style="3092" customWidth="1"/><col min="5894" max="5894" width="27" style="3092" customWidth="1"/><col min="5895" max="5896" width="9.1328125" style="3092" customWidth="1"/><col min="5897" max="5897" width="5" style="3092" customWidth="1"/><col min="5898" max="5899" width="9.1328125" style="3092" customWidth="1"/><col min="5900" max="5900" width="10.53125" style="3092" customWidth="1"/><col min="5901" max="6145" width="9.1328125" style="3092"/><col min="6146" max="6146" width="0" style="3092" hidden="1" customWidth="1"/><col min="6147" max="6147" width="43.46484375" style="3092" customWidth="1"/><col min="6148" max="6148" width="3.6640625" style="3092" customWidth="1"/><col min="6149" max="6149" width="32.6640625" style="3092" customWidth="1"/><col min="6150" max="6150" width="27" style="3092" customWidth="1"/><col min="6151" max="6152" width="9.1328125" style="3092" customWidth="1"/><col min="6153" max="6153" width="5" style="3092" customWidth="1"/><col min="6154" max="6155" width="9.1328125" style="3092" customWidth="1"/><col min="6156" max="6156" width="10.53125" style="3092" customWidth="1"/><col min="6157" max="6401" width="9.1328125" style="3092"/><col min="6402" max="6402" width="0" style="3092" hidden="1" customWidth="1"/><col min="6403" max="6403" width="43.46484375" style="3092" customWidth="1"/><col min="6404" max="6404" width="3.6640625" style="3092" customWidth="1"/><col min="6405" max="6405" width="32.6640625" style="3092" customWidth="1"/><col min="6406" max="6406" width="27" style="3092" customWidth="1"/><col min="6407" max="6408" width="9.1328125" style="3092" customWidth="1"/><col min="6409" max="6409" width="5" style="3092" customWidth="1"/><col min="6410" max="6411" width="9.1328125" style="3092" customWidth="1"/><col min="6412" max="6412" width="10.53125" style="3092" customWidth="1"/><col min="6413" max="6657" width="9.1328125" style="3092"/><col min="6658" max="6658" width="0" style="3092" hidden="1" customWidth="1"/><col min="6659" max="6659" width="43.46484375" style="3092" customWidth="1"/><col min="6660" max="6660" width="3.6640625" style="3092" customWidth="1"/><col min="6661" max="6661" width="32.6640625" style="3092" customWidth="1"/><col min="6662" max="6662" width="27" style="3092" customWidth="1"/><col min="6663" max="6664" width="9.1328125" style="3092" customWidth="1"/><col min="6665" max="6665" width="5" style="3092" customWidth="1"/><col min="6666" max="6667" width="9.1328125" style="3092" customWidth="1"/><col min="6668" max="6668" width="10.53125" style="3092" customWidth="1"/><col min="6669" max="6913" width="9.1328125" style="3092"/><col min="6914" max="6914" width="0" style="3092" hidden="1" customWidth="1"/><col min="6915" max="6915" width="43.46484375" style="3092" customWidth="1"/><col min="6916" max="6916" width="3.6640625" style="3092" customWidth="1"/><col min="6917" max="6917" width="32.6640625" style="3092" customWidth="1"/><col min="6918" max="6918" width="27" style="3092" customWidth="1"/><col min="6919" max="6920" width="9.1328125" style="3092" customWidth="1"/><col min="6921" max="6921" width="5" style="3092" customWidth="1"/><col min="6922" max="6923" width="9.1328125" style="3092" customWidth="1"/><col min="6924" max="6924" width="10.53125" style="3092" customWidth="1"/><col min="6925" max="7169" width="9.1328125" style="3092"/><col min="7170" max="7170" width="0" style="3092" hidden="1" customWidth="1"/><col min="7171" max="7171" width="43.46484375" style="3092" customWidth="1"/><col min="7172" max="7172" width="3.6640625" style="3092" customWidth="1"/><col min="7173" max="7173" width="32.6640625" style="3092" customWidth="1"/><col min="7174" max="7174" width="27" style="3092" customWidth="1"/><col min="7175" max="7176" width="9.1328125" style="3092" customWidth="1"/><col min="7177" max="7177" width="5" style="3092" customWidth="1"/><col min="7178" max="7179" width="9.1328125" style="3092" customWidth="1"/><col min="7180" max="7180" width="10.53125" style="3092" customWidth="1"/><col min="7181" max="7425" width="9.1328125" style="3092"/><col min="7426" max="7426" width="0" style="3092" hidden="1" customWidth="1"/><col min="7427" max="7427" width="43.46484375" style="3092" customWidth="1"/><col min="7428" max="7428" width="3.6640625" style="3092" customWidth="1"/><col min="7429" max="7429" width="32.6640625" style="3092" customWidth="1"/><col min="7430" max="7430" width="27" style="3092" customWidth="1"/><col min="7431" max="7432" width="9.1328125" style="3092" customWidth="1"/><col min="7433" max="7433" width="5" style="3092" customWidth="1"/><col min="7434" max="7435" width="9.1328125" style="3092" customWidth="1"/><col min="7436" max="7436" width="10.53125" style="3092" customWidth="1"/><col min="7437" max="7681" width="9.1328125" style="3092"/><col min="7682" max="7682" width="0" style="3092" hidden="1" customWidth="1"/><col min="7683" max="7683" width="43.46484375" style="3092" customWidth="1"/><col min="7684" max="7684" width="3.6640625" style="3092" customWidth="1"/><col min="7685" max="7685" width="32.6640625" style="3092" customWidth="1"/><col min="7686" max="7686" width="27" style="3092" customWidth="1"/><col min="7687" max="7688" width="9.1328125" style="3092" customWidth="1"/><col min="7689" max="7689" width="5" style="3092" customWidth="1"/><col min="7690" max="7691" width="9.1328125" style="3092" customWidth="1"/><col min="7692" max="7692" width="10.53125" style="3092" customWidth="1"/><col min="7693" max="7937" width="9.1328125" style="3092"/><col min="7938" max="7938" width="0" style="3092" hidden="1" customWidth="1"/><col min="7939" max="7939" width="43.46484375" style="3092" customWidth="1"/><col min="7940" max="7940" width="3.6640625" style="3092" customWidth="1"/><col min="7941" max="7941" width="32.6640625" style="3092" customWidth="1"/><col min="7942" max="7942" width="27" style="3092" customWidth="1"/><col min="7943" max="7944" width="9.1328125" style="3092" customWidth="1"/><col min="7945" max="7945" width="5" style="3092" customWidth="1"/><col min="7946" max="7947" width="9.1328125" style="3092" customWidth="1"/><col min="7948" max="7948" width="10.53125" style="3092" customWidth="1"/><col min="7949" max="8193" width="9.1328125" style="3092"/><col min="8194" max="8194" width="0" style="3092" hidden="1" customWidth="1"/><col min="8195" max="8195" width="43.46484375" style="3092" customWidth="1"/><col min="8196" max="8196" width="3.6640625" style="3092" customWidth="1"/><col min="8197" max="8197" width="32.6640625" style="3092" customWidth="1"/><col min="8198" max="8198" width="27" style="3092" customWidth="1"/><col min="8199" max="8200" width="9.1328125" style="3092" customWidth="1"/><col min="8201" max="8201" width="5" style="3092" customWidth="1"/><col min="8202" max="8203" width="9.1328125" style="3092" customWidth="1"/><col min="8204" max="8204" width="10.53125" style="3092" customWidth="1"/><col min="8205" max="8449" width="9.1328125" style="3092"/><col min="8450" max="8450" width="0" style="3092" hidden="1" customWidth="1"/><col min="8451" max="8451" width="43.46484375" style="3092" customWidth="1"/><col min="8452" max="8452" width="3.6640625" style="3092" customWidth="1"/><col min="8453" max="8453" width="32.6640625" style="3092" customWidth="1"/><col min="8454" max="8454" width="27" style="3092" customWidth="1"/><col min="8455" max="8456" width="9.1328125" style="3092" customWidth="1"/><col min="8457" max="8457" width="5" style="3092" customWidth="1"/><col min="8458" max="8459" width="9.1328125" style="3092" customWidth="1"/><col min="8460" max="8460" width="10.53125" style="3092" customWidth="1"/><col min="8461" max="8705" width="9.1328125" style="3092"/><col min="8706" max="8706" width="0" style="3092" hidden="1" customWidth="1"/><col min="8707" max="8707" width="43.46484375" style="3092" customWidth="1"/><col min="8708" max="8708" width="3.6640625" style="3092" customWidth="1"/><col min="8709" max="8709" width="32.6640625" style="3092" customWidth="1"/><col min="8710" max="8710" width="27" style="3092" customWidth="1"/><col min="8711" max="8712" width="9.1328125" style="3092" customWidth="1"/><col min="8713" max="8713" width="5" style="3092" customWidth="1"/><col min="8714" max="8715" width="9.1328125" style="3092" customWidth="1"/><col min="8716" max="8716" width="10.53125" style="3092" customWidth="1"/><col min="8717" max="8961" width="9.1328125" style="3092"/><col min="8962" max="8962" width="0" style="3092" hidden="1" customWidth="1"/><col min="8963" max="8963" width="43.46484375" style="3092" customWidth="1"/><col min="8964" max="8964" width="3.6640625" style="3092" customWidth="1"/><col min="8965" max="8965" width="32.6640625" style="3092" customWidth="1"/><col min="8966" max="8966" width="27" style="3092" customWidth="1"/><col min="8967" max="8968" width="9.1328125" style="3092" customWidth="1"/><col min="8969" max="8969" width="5" style="3092" customWidth="1"/><col min="8970" max="8971" width="9.1328125" style="3092" customWidth="1"/><col min="8972" max="8972" width="10.53125" style="3092" customWidth="1"/><col min="8973" max="9217" width="9.1328125" style="3092"/><col min="9218" max="9218" width="0" style="3092" hidden="1" customWidth="1"/><col min="9219" max="9219" width="43.46484375" style="3092" customWidth="1"/><col min="9220" max="9220" width="3.6640625" style="3092" customWidth="1"/><col min="9221" max="9221" width="32.6640625" style="3092" customWidth="1"/><col min="9222" max="9222" width="27" style="3092" customWidth="1"/><col min="9223" max="9224" width="9.1328125" style="3092" customWidth="1"/><col min="9225" max="9225" width="5" style="3092" customWidth="1"/><col min="9226" max="9227" width="9.1328125" style="3092" customWidth="1"/><col min="9228" max="9228" width="10.53125" style="3092" customWidth="1"/><col min="9229" max="9473" width="9.1328125" style="3092"/><col min="9474" max="9474" width="0" style="3092" hidden="1" customWidth="1"/><col min="9475" max="9475" width="43.46484375" style="3092" customWidth="1"/><col min="9476" max="9476" width="3.6640625" style="3092" customWidth="1"/><col min="9477" max="9477" width="32.6640625" style="3092" customWidth="1"/><col min="9478" max="9478" width="27" style="3092" customWidth="1"/><col min="9479" max="9480" width="9.1328125" style="3092" customWidth="1"/><col min="9481" max="9481" width="5" style="3092" customWidth="1"/><col min="9482" max="9483" width="9.1328125" style="3092" customWidth="1"/><col min="9484" max="9484" width="10.53125" style="3092" customWidth="1"/><col min="9485" max="9729" width="9.1328125" style="3092"/><col min="9730" max="9730" width="0" style="3092" hidden="1" customWidth="1"/><col min="9731" max="9731" width="43.46484375" style="3092" customWidth="1"/><col min="9732" max="9732" width="3.6640625" style="3092" customWidth="1"/><col min="9733" max="9733" width="32.6640625" style="3092" customWidth="1"/><col min="9734" max="9734" width="27" style="3092" customWidth="1"/><col min="9735" max="9736" width="9.1328125" style="3092" customWidth="1"/><col min="9737" max="9737" width="5" style="3092" customWidth="1"/><col min="9738" max="9739" width="9.1328125" style="3092" customWidth="1"/><col min="9740" max="9740" width="10.53125" style="3092" customWidth="1"/><col min="9741" max="9985" width="9.1328125" style="3092"/><col min="9986" max="9986" width="0" style="3092" hidden="1" customWidth="1"/><col min="9987" max="9987" width="43.46484375" style="3092" customWidth="1"/><col min="9988" max="9988" width="3.6640625" style="3092" customWidth="1"/><col min="9989" max="9989" width="32.6640625" style="3092" customWidth="1"/><col min="9990" max="9990" width="27" style="3092" customWidth="1"/><col min="9991" max="9992" width="9.1328125" style="3092" customWidth="1"/><col min="9993" max="9993" width="5" style="3092" customWidth="1"/><col min="9994" max="9995" width="9.1328125" style="3092" customWidth="1"/><col min="9996" max="9996" width="10.53125" style="3092" customWidth="1"/><col min="9997" max="10241" width="9.1328125" style="3092"/><col min="10242" max="10242" width="0" style="3092" hidden="1" customWidth="1"/><col min="10243" max="10243" width="43.46484375" style="3092" customWidth="1"/><col min="10244" max="10244" width="3.6640625" style="3092" customWidth="1"/><col min="10245" max="10245" width="32.6640625" style="3092" customWidth="1"/><col min="10246" max="10246" width="27" style="3092" customWidth="1"/><col min="10247" max="10248" width="9.1328125" style="3092" customWidth="1"/><col min="10249" max="10249" width="5" style="3092" customWidth="1"/><col min="10250" max="10251" width="9.1328125" style="3092" customWidth="1"/><col min="10252" max="10252" width="10.53125" style="3092" customWidth="1"/><col min="10253" max="10497" width="9.1328125" style="3092"/><col min="10498" max="10498" width="0" style="3092" hidden="1" customWidth="1"/><col min="10499" max="10499" width="43.46484375" style="3092" customWidth="1"/><col min="10500" max="10500" width="3.6640625" style="3092" customWidth="1"/><col min="10501" max="10501" width="32.6640625" style="3092" customWidth="1"/><col min="10502" max="10502" width="27" style="3092" customWidth="1"/><col min="10503" max="10504" width="9.1328125" style="3092" customWidth="1"/><col min="10505" max="10505" width="5" style="3092" customWidth="1"/><col min="10506" max="10507" width="9.1328125" style="3092" customWidth="1"/><col min="10508" max="10508" width="10.53125" style="3092" customWidth="1"/><col min="10509" max="10753" width="9.1328125" style="3092"/><col min="10754" max="10754" width="0" style="3092" hidden="1" customWidth="1"/><col min="10755" max="10755" width="43.46484375" style="3092" customWidth="1"/><col min="10756" max="10756" width="3.6640625" style="3092" customWidth="1"/><col min="10757" max="10757" width="32.6640625" style="3092" customWidth="1"/><col min="10758" max="10758" width="27" style="3092" customWidth="1"/><col min="10759" max="10760" width="9.1328125" style="3092" customWidth="1"/><col min="10761" max="10761" width="5" style="3092" customWidth="1"/><col min="10762" max="10763" width="9.1328125" style="3092" customWidth="1"/><col min="10764" max="10764" width="10.53125" style="3092" customWidth="1"/><col min="10765" max="11009" width="9.1328125" style="3092"/><col min="11010" max="11010" width="0" style="3092" hidden="1" customWidth="1"/><col min="11011" max="11011" width="43.46484375" style="3092" customWidth="1"/><col min="11012" max="11012" width="3.6640625" style="3092" customWidth="1"/><col min="11013" max="11013" width="32.6640625" style="3092" customWidth="1"/><col min="11014" max="11014" width="27" style="3092" customWidth="1"/><col min="11015" max="11016" width="9.1328125" style="3092" customWidth="1"/><col min="11017" max="11017" width="5" style="3092" customWidth="1"/><col min="11018" max="11019" width="9.1328125" style="3092" customWidth="1"/><col min="11020" max="11020" width="10.53125" style="3092" customWidth="1"/><col min="11021" max="11265" width="9.1328125" style="3092"/><col min="11266" max="11266" width="0" style="3092" hidden="1" customWidth="1"/><col min="11267" max="11267" width="43.46484375" style="3092" customWidth="1"/><col min="11268" max="11268" width="3.6640625" style="3092" customWidth="1"/><col min="11269" max="11269" width="32.6640625" style="3092" customWidth="1"/><col min="11270" max="11270" width="27" style="3092" customWidth="1"/><col min="11271" max="11272" width="9.1328125" style="3092" customWidth="1"/><col min="11273" max="11273" width="5" style="3092" customWidth="1"/><col min="11274" max="11275" width="9.1328125" style="3092" customWidth="1"/><col min="11276" max="11276" width="10.53125" style="3092" customWidth="1"/><col min="11277" max="11521" width="9.1328125" style="3092"/><col min="11522" max="11522" width="0" style="3092" hidden="1" customWidth="1"/><col min="11523" max="11523" width="43.46484375" style="3092" customWidth="1"/><col min="11524" max="11524" width="3.6640625" style="3092" customWidth="1"/><col min="11525" max="11525" width="32.6640625" style="3092" customWidth="1"/><col min="11526" max="11526" width="27" style="3092" customWidth="1"/><col min="11527" max="11528" width="9.1328125" style="3092" customWidth="1"/><col min="11529" max="11529" width="5" style="3092" customWidth="1"/><col min="11530" max="11531" width="9.1328125" style="3092" customWidth="1"/><col min="11532" max="11532" width="10.53125" style="3092" customWidth="1"/><col min="11533" max="11777" width="9.1328125" style="3092"/><col min="11778" max="11778" width="0" style="3092" hidden="1" customWidth="1"/><col min="11779" max="11779" width="43.46484375" style="3092" customWidth="1"/><col min="11780" max="11780" width="3.6640625" style="3092" customWidth="1"/><col min="11781" max="11781" width="32.6640625" style="3092" customWidth="1"/><col min="11782" max="11782" width="27" style="3092" customWidth="1"/><col min="11783" max="11784" width="9.1328125" style="3092" customWidth="1"/><col min="11785" max="11785" width="5" style="3092" customWidth="1"/><col min="11786" max="11787" width="9.1328125" style="3092" customWidth="1"/><col min="11788" max="11788" width="10.53125" style="3092" customWidth="1"/><col min="11789" max="12033" width="9.1328125" style="3092"/><col min="12034" max="12034" width="0" style="3092" hidden="1" customWidth="1"/><col min="12035" max="12035" width="43.46484375" style="3092" customWidth="1"/><col min="12036" max="12036" width="3.6640625" style="3092" customWidth="1"/><col min="12037" max="12037" width="32.6640625" style="3092" customWidth="1"/><col min="12038" max="12038" width="27" style="3092" customWidth="1"/><col min="12039" max="12040" width="9.1328125" style="3092" customWidth="1"/><col min="12041" max="12041" width="5" style="3092" customWidth="1"/><col min="12042" max="12043" width="9.1328125" style="3092" customWidth="1"/><col min="12044" max="12044" width="10.53125" style="3092" customWidth="1"/><col min="12045" max="12289" width="9.1328125" style="3092"/><col min="12290" max="12290" width="0" style="3092" hidden="1" customWidth="1"/><col min="12291" max="12291" width="43.46484375" style="3092" customWidth="1"/><col min="12292" max="12292" width="3.6640625" style="3092" customWidth="1"/><col min="12293" max="12293" width="32.6640625" style="3092" customWidth="1"/><col min="12294" max="12294" width="27" style="3092" customWidth="1"/><col min="12295" max="12296" width="9.1328125" style="3092" customWidth="1"/><col min="12297" max="12297" width="5" style="3092" customWidth="1"/><col min="12298" max="12299" width="9.1328125" style="3092" customWidth="1"/><col min="12300" max="12300" width="10.53125" style="3092" customWidth="1"/><col min="12301" max="12545" width="9.1328125" style="3092"/><col min="12546" max="12546" width="0" style="3092" hidden="1" customWidth="1"/><col min="12547" max="12547" width="43.46484375" style="3092" customWidth="1"/><col min="12548" max="12548" width="3.6640625" style="3092" customWidth="1"/><col min="12549" max="12549" width="32.6640625" style="3092" customWidth="1"/><col min="12550" max="12550" width="27" style="3092" customWidth="1"/><col min="12551" max="12552" width="9.1328125" style="3092" customWidth="1"/><col min="12553" max="12553" width="5" style="3092" customWidth="1"/><col min="12554" max="12555" width="9.1328125" style="3092" customWidth="1"/><col min="12556" max="12556" width="10.53125" style="3092" customWidth="1"/><col min="12557" max="12801" width="9.1328125" style="3092"/><col min="12802" max="12802" width="0" style="3092" hidden="1" customWidth="1"/><col min="12803" max="12803" width="43.46484375" style="3092" customWidth="1"/><col min="12804" max="12804" width="3.6640625" style="3092" customWidth="1"/><col min="12805" max="12805" width="32.6640625" style="3092" customWidth="1"/><col min="12806" max="12806" width="27" style="3092" customWidth="1"/><col min="12807" max="12808" width="9.1328125" style="3092" customWidth="1"/><col min="12809" max="12809" width="5" style="3092" customWidth="1"/><col min="12810" max="12811" width="9.1328125" style="3092" customWidth="1"/><col min="12812" max="12812" width="10.53125" style="3092" customWidth="1"/><col min="12813" max="13057" width="9.1328125" style="3092"/><col min="13058" max="13058" width="0" style="3092" hidden="1" customWidth="1"/><col min="13059" max="13059" width="43.46484375" style="3092" customWidth="1"/><col min="13060" max="13060" width="3.6640625" style="3092" customWidth="1"/><col min="13061" max="13061" width="32.6640625" style="3092" customWidth="1"/><col min="13062" max="13062" width="27" style="3092" customWidth="1"/><col min="13063" max="13064" width="9.1328125" style="3092" customWidth="1"/><col min="13065" max="13065" width="5" style="3092" customWidth="1"/><col min="13066" max="13067" width="9.1328125" style="3092" customWidth="1"/><col min="13068" max="13068" width="10.53125" style="3092" customWidth="1"/><col min="13069" max="13313" width="9.1328125" style="3092"/><col min="13314" max="13314" width="0" style="3092" hidden="1" customWidth="1"/><col min="13315" max="13315" width="43.46484375" style="3092" customWidth="1"/><col min="13316" max="13316" width="3.6640625" style="3092" customWidth="1"/><col min="13317" max="13317" width="32.6640625" style="3092" customWidth="1"/><col min="13318" max="13318" width="27" style="3092" customWidth="1"/><col min="13319" max="13320" width="9.1328125" style="3092" customWidth="1"/><col min="13321" max="13321" width="5" style="3092" customWidth="1"/><col min="13322" max="13323" width="9.1328125" style="3092" customWidth="1"/><col min="13324" max="13324" width="10.53125" style="3092" customWidth="1"/><col min="13325" max="13569" width="9.1328125" style="3092"/><col min="13570" max="13570" width="0" style="3092" hidden="1" customWidth="1"/><col min="13571" max="13571" width="43.46484375" style="3092" customWidth="1"/><col min="13572" max="13572" width="3.6640625" style="3092" customWidth="1"/><col min="13573" max="13573" width="32.6640625" style="3092" customWidth="1"/><col min="13574" max="13574" width="27" style="3092" customWidth="1"/><col min="13575" max="13576" width="9.1328125" style="3092" customWidth="1"/><col min="13577" max="13577" width="5" style="3092" customWidth="1"/><col min="13578" max="13579" width="9.1328125" style="3092" customWidth="1"/><col min="13580" max="13580" width="10.53125" style="3092" customWidth="1"/><col min="13581" max="13825" width="9.1328125" style="3092"/><col min="13826" max="13826" width="0" style="3092" hidden="1" customWidth="1"/><col min="13827" max="13827" width="43.46484375" style="3092" customWidth="1"/><col min="13828" max="13828" width="3.6640625" style="3092" customWidth="1"/><col min="13829" max="13829" width="32.6640625" style="3092" customWidth="1"/><col min="13830" max="13830" width="27" style="3092" customWidth="1"/><col min="13831" max="13832" width="9.1328125" style="3092" customWidth="1"/><col min="13833" max="13833" width="5" style="3092" customWidth="1"/><col min="13834" max="13835" width="9.1328125" style="3092" customWidth="1"/><col min="13836" max="13836" width="10.53125" style="3092" customWidth="1"/><col min="13837" max="14081" width="9.1328125" style="3092"/><col min="14082" max="14082" width="0" style="3092" hidden="1" customWidth="1"/><col min="14083" max="14083" width="43.46484375" style="3092" customWidth="1"/><col min="14084" max="14084" width="3.6640625" style="3092" customWidth="1"/><col min="14085" max="14085" width="32.6640625" style="3092" customWidth="1"/><col min="14086" max="14086" width="27" style="3092" customWidth="1"/><col min="14087" max="14088" width="9.1328125" style="3092" customWidth="1"/><col min="14089" max="14089" width="5" style="3092" customWidth="1"/><col min="14090" max="14091" width="9.1328125" style="3092" customWidth="1"/><col min="14092" max="14092" width="10.53125" style="3092" customWidth="1"/><col min="14093" max="14337" width="9.1328125" style="3092"/><col min="14338" max="14338" width="0" style="3092" hidden="1" customWidth="1"/><col min="14339" max="14339" width="43.46484375" style="3092" customWidth="1"/><col min="14340" max="14340" width="3.6640625" style="3092" customWidth="1"/><col min="14341" max="14341" width="32.6640625" style="3092" customWidth="1"/><col min="14342" max="14342" width="27" style="3092" customWidth="1"/><col min="14343" max="14344" width="9.1328125" style="3092" customWidth="1"/><col min="14345" max="14345" width="5" style="3092" customWidth="1"/><col min="14346" max="14347" width="9.1328125" style="3092" customWidth="1"/><col min="14348" max="14348" width="10.53125" style="3092" customWidth="1"/><col min="14349" max="14593" width="9.1328125" style="3092"/><col min="14594" max="14594" width="0" style="3092" hidden="1" customWidth="1"/><col min="14595" max="14595" width="43.46484375" style="3092" customWidth="1"/><col min="14596" max="14596" width="3.6640625" style="3092" customWidth="1"/><col min="14597" max="14597" width="32.6640625" style="3092" customWidth="1"/><col min="14598" max="14598" width="27" style="3092" customWidth="1"/><col min="14599" max="14600" width="9.1328125" style="3092" customWidth="1"/><col min="14601" max="14601" width="5" style="3092" customWidth="1"/><col min="14602" max="14603" width="9.1328125" style="3092" customWidth="1"/><col min="14604" max="14604" width="10.53125" style="3092" customWidth="1"/><col min="14605" max="14849" width="9.1328125" style="3092"/><col min="14850" max="14850" width="0" style="3092" hidden="1" customWidth="1"/><col min="14851" max="14851" width="43.46484375" style="3092" customWidth="1"/><col min="14852" max="14852" width="3.6640625" style="3092" customWidth="1"/><col min="14853" max="14853" width="32.6640625" style="3092" customWidth="1"/><col min="14854" max="14854" width="27" style="3092" customWidth="1"/><col min="14855" max="14856" width="9.1328125" style="3092" customWidth="1"/><col min="14857" max="14857" width="5" style="3092" customWidth="1"/><col min="14858" max="14859" width="9.1328125" style="3092" customWidth="1"/><col min="14860" max="14860" width="10.53125" style="3092" customWidth="1"/><col min="14861" max="15105" width="9.1328125" style="3092"/><col min="15106" max="15106" width="0" style="3092" hidden="1" customWidth="1"/><col min="15107" max="15107" width="43.46484375" style="3092" customWidth="1"/><col min="15108" max="15108" width="3.6640625" style="3092" customWidth="1"/><col min="15109" max="15109" width="32.6640625" style="3092" customWidth="1"/><col min="15110" max="15110" width="27" style="3092" customWidth="1"/><col min="15111" max="15112" width="9.1328125" style="3092" customWidth="1"/><col min="15113" max="15113" width="5" style="3092" customWidth="1"/><col min="15114" max="15115" width="9.1328125" style="3092" customWidth="1"/><col min="15116" max="15116" width="10.53125" style="3092" customWidth="1"/><col min="15117" max="15361" width="9.1328125" style="3092"/><col min="15362" max="15362" width="0" style="3092" hidden="1" customWidth="1"/><col min="15363" max="15363" width="43.46484375" style="3092" customWidth="1"/><col min="15364" max="15364" width="3.6640625" style="3092" customWidth="1"/><col min="15365" max="15365" width="32.6640625" style="3092" customWidth="1"/><col min="15366" max="15366" width="27" style="3092" customWidth="1"/><col min="15367" max="15368" width="9.1328125" style="3092" customWidth="1"/><col min="15369" max="15369" width="5" style="3092" customWidth="1"/><col min="15370" max="15371" width="9.1328125" style="3092" customWidth="1"/><col min="15372" max="15372" width="10.53125" style="3092" customWidth="1"/><col min="15373" max="15617" width="9.1328125" style="3092"/><col min="15618" max="15618" width="0" style="3092" hidden="1" customWidth="1"/><col min="15619" max="15619" width="43.46484375" style="3092" customWidth="1"/><col min="15620" max="15620" width="3.6640625" style="3092" customWidth="1"/><col min="15621" max="15621" width="32.6640625" style="3092" customWidth="1"/><col min="15622" max="15622" width="27" style="3092" customWidth="1"/><col min="15623" max="15624" width="9.1328125" style="3092" customWidth="1"/><col min="15625" max="15625" width="5" style="3092" customWidth="1"/><col min="15626" max="15627" width="9.1328125" style="3092" customWidth="1"/><col min="15628" max="15628" width="10.53125" style="3092" customWidth="1"/><col min="15629" max="15873" width="9.1328125" style="3092"/><col min="15874" max="15874" width="0" style="3092" hidden="1" customWidth="1"/><col min="15875" max="15875" width="43.46484375" style="3092" customWidth="1"/><col min="15876" max="15876" width="3.6640625" style="3092" customWidth="1"/><col min="15877" max="15877" width="32.6640625" style="3092" customWidth="1"/><col min="15878" max="15878" width="27" style="3092" customWidth="1"/><col min="15879" max="15880" width="9.1328125" style="3092" customWidth="1"/><col min="15881" max="15881" width="5" style="3092" customWidth="1"/><col min="15882" max="15883" width="9.1328125" style="3092" customWidth="1"/><col min="15884" max="15884" width="10.53125" style="3092" customWidth="1"/><col min="15885" max="16129" width="9.1328125" style="3092"/><col min="16130" max="16130" width="0" style="3092" hidden="1" customWidth="1"/><col min="16131" max="16131" width="43.46484375" style="3092" customWidth="1"/><col min="16132" max="16132" width="3.6640625" style="3092" customWidth="1"/><col min="16133" max="16133" width="32.6640625" style="3092" customWidth="1"/><col min="16134" max="16134" width="27" style="3092" customWidth="1"/><col min="16135" max="16136" width="9.1328125" style="3092" customWidth="1"/><col min="16137" max="16137" width="5" style="3092" customWidth="1"/><col min="16138" max="16139" width="9.1328125" style="3092" customWidth="1"/><col min="16140" max="16140" width="10.53125" style="3092" customWidth="1"/><col min="16141" max="16384" width="9.1328125" style="3092"/></cols><sheetData><row r="1" spans="1:257" ht="12.75" customHeight="1"><c r="B1" s="63"/></row><row r="2" spans="1:257" s="3047" customFormat="1" ht="21" customHeight="1"><c r="A2" s="3045"/><c r="B2" s="3187" t="s"><v>0</v></c><c r="C2" s="3046"/><c r="D2" s="3190" t="s"><v>1599</v></c><c r="E2" s="3190"/><c r="F2" s="3190"/><c r="G2" s="3190"/><c r="H2" s="3190"/><c r="I2" s="3190"/><c r="J2" s="3190"/><c r="K2" s="3190"/><c r="L2" s="3190"/><c r="M2" s="3190"/><c r="N2" s="155"/><c r="O2" s="155"/><c r="P2" s="155"/><c r="Q2" s="156"/><c r="R2" s="156"/><c r="S2" s="156"/><c r="T2" s="156"/><c r="U2" s="156"/><c r="V2" s="156"/><c r="W2" s="156"/><c r="X2" s="156"/><c r="Y2" s="156"/><c r="Z2" s="156"/><c r="AA2" s="156"/><c r="AB2" s="156"/><c r="AC2" s="156"/><c r="AD2" s="156"/><c r="AE2" s="156"/><c r="AF2" s="156"/><c r="AG2" s="156"/><c r="AH2" s="156"/><c r="AI2" s="156"/><c r="AJ2" s="156"/><c r="AK2" s="156"/><c r="AL2" s="156"/><c r="AM2" s="156"/><c r="AN2" s="156"/><c r="AO2" s="156"/><c r="AP2" s="156"/><c r="AQ2" s="156"/><c r="AR2" s="156"/><c r="AS2" s="156"/><c r="AT2" s="156"/><c r="AU2" s="156"/><c r="AV2" s="156"/><c r="AW2" s="156"/><c r="AX2" s="156"/><c r="AY2" s="156"/><c r="AZ2" s="156"/><c r="BA2" s="156"/><c r="BB2" s="156"/><c r="BC2" s="156"/><c r="BD2" s="156"/><c r="BE2" s="156"/><c r="BF2" s="156"/><c r="BG2" s="156"/><c r="BH2" s="156"/><c r="BI2" s="156"/><c r="BJ2" s="156"/><c r="BK2" s="156"/><c r="BL2" s="156"/><c r="BM2" s="156"/><c r="BN2" s="156"/><c r="BO2" s="156"/><c r="BP2" s="156"/><c r="BQ2" s="156"/><c r="BR2" s="156"/><c r="BS2" s="156"/><c r="BT2" s="156"/><c r="BU2" s="156"/><c r="BV2" s="156"/><c r="BW2" s="156"/><c r="BX2" s="156"/><c r="BY2" s="156"/><c r="BZ2" s="156"/><c r="CA2" s="156"/><c r="CB2" s="156"/><c r="CC2" s="156"/><c r="CD2" s="156"/><c r="CE2" s="156"/><c r="CF2" s="156"/><c r="CG2" s="156"/><c r="CH2" s="156"/><c r="CI2" s="156"/><c r="CJ2" s="156"/><c r="CK2" s="156"/><c r="CL2" s="156"/><c r="CM2" s="156"/><c r="CN2" s="156"/><c r="CO2" s="156"/><c r="CP2" s="156"/><c r="CQ2" s="156"/><c r="CR2" s="156"/><c r="CS2" s="156"/><c r="CT2" s="156"/><c r="CU2" s="156"/><c r="CV2" s="156"/><c r="CW2" s="156"/><c r="CX2" s="156"/><c r="CY2" s="156"/><c r="CZ2" s="156"/><c r="DA2" s="156"/><c r="DB2" s="156"/><c r="DC2" s="156"/><c r="DD2" s="156"/><c r="DE2" s="156"/><c r="DF2" s="156"/><c r="DG2" s="156"/><c r="DH2" s="156"/><c r="DI2" s="156"/><c r="DJ2" s="156"/><c r="DK2" s="156"/><c r="DL2" s="156"/><c r="DM2" s="156"/><c r="DN2" s="156"/><c r="DO2" s="156"/><c r="DP2" s="156"/><c r="DQ2" s="156"/><c r="DR2" s="156"/><c r="DS2" s="156"/><c r="DT2" s="156"/><c r="DU2" s="156"/><c r="DV2" s="156"/><c r="DW2" s="156"/><c r="DX2" s="156"/><c r="DY2" s="156"/><c r="DZ2" s="156"/><c r="EA2" s="156"/><c r="EB2" s="156"/><c r="EC2" s="156"/><c r="ED2" s="156"/><c r="EE2" s="156"/><c r="EF2" s="156"/><c r="EG2" s="156"/><c r="EH2" s="156"/><c r="EI2" s="156"/><c r="EJ2" s="156"/><c r="EK2" s="156"/><c r="EL2" s="156"/><c r="EM2" s="156"/><c r="EN2" s="156"/><c r="EO2" s="156"/><c r="EP2" s="156"/><c r="EQ2" s="156"/><c r="ER2" s="156"/><c r="ES2" s="156"/><c r="ET2" s="156"/><c r="EU2" s="156"/><c r="EV2" s="156"/><c r="EW2" s="156"/><c r="EX2" s="156"/><c r="EY2" s="156"/><c r="EZ2" s="156"/><c r="FA2" s="156"/><c r="FB2" s="156"/><c r="FC2" s="156"/><c r="FD2" s="156"/><c r="FE2" s="156"/><c r="FF2" s="156"/><c r="FG2" s="156"/><c r="FH2" s="156"/><c r="FI2" s="156"/><c r="FJ2" s="156"/><c r="FK2" s="156"/><c r="FL2" s="156"/><c r="FM2" s="156"/><c r="FN2" s="156"/><c r="FO2" s="156"/><c r="FP2" s="156"/><c r="FQ2" s="156"/><c r="FR2" s="156"/><c r="FS2" s="156"/><c r="FT2" s="156"/><c r="FU2" s="156"/><c r="FV2" s="156"/><c r="FW2" s="156"/><c r="FX2" s="156"/><c r="FY2" s="156"/><c r="FZ2" s="156"/><c r="GA2" s="156"/><c r="GB2" s="156"/><c r="GC2" s="156"/><c r="GD2" s="156"/><c r="GE2" s="156"/><c r="GF2" s="156"/><c r="GG2" s="156"/><c r="GH2" s="156"/><c r="GI2" s="156"/><c r="GJ2" s="156"/><c r="GK2" s="156"/><c r="GL2" s="156"/><c r="GM2" s="156"/><c r="GN2" s="156"/><c r="GO2" s="156"/><c r="GP2" s="156"/><c r="GQ2" s="156"/><c r="GR2" s="156"/><c r="GS2" s="156"/><c r="GT2" s="156"/><c r="GU2" s="156"/><c r="GV2" s="156"/><c r="GW2" s="156"/><c r="GX2" s="156"/><c r="GY2" s="156"/><c r="GZ2" s="156"/><c r="HA2" s="156"/><c r="HB2" s="156"/><c r="HC2" s="156"/><c r="HD2" s="156"/><c r="HE2" s="156"/><c r="HF2" s="156"/><c r="HG2" s="156"/><c r="HH2" s="156"/><c r="HI2" s="156"/><c r="HJ2" s="156"/><c r="HK2" s="156"/><c r="HL2" s="156"/><c r="HM2" s="156"/><c r="HN2" s="156"/><c r="HO2" s="156"/><c r="HP2" s="156"/><c r="HQ2" s="156"/><c r="HR2" s="156"/><c r="HS2" s="156"/><c r="HT2" s="156"/><c r="HU2" s="156"/><c r="HV2" s="156"/><c r="HW2" s="156"/><c r="HX2" s="156"/><c r="HY2" s="156"/><c r="HZ2" s="156"/><c r="IA2" s="156"/><c r="IB2" s="156"/><c r="IC2" s="156"/><c r="ID2" s="156"/><c r="IE2" s="156"/><c r="IF2" s="156"/><c r="IG2" s="156"/><c r="IH2" s="156"/><c r="II2" s="156"/><c r="IJ2" s="156"/><c r="IK2" s="156"/><c r="IL2" s="156"/><c r="IM2" s="156"/><c r="IN2" s="156"/><c r="IO2" s="156"/><c r="IP2" s="156"/><c r="IQ2" s="156"/><c r="IR2" s="156"/><c r="IS2" s="156"/><c r="IT2" s="156"/><c r="IU2" s="156"/><c r="IV2" s="156"/><c r="IW2" s="156"/></row><row r="3" spans="1:257" s="3047" customFormat="1" ht="21" customHeight="1"><c r="A3" s="3045"/><c r="B3" s="3187"/><c r="C3" s="3046"/><c r="D3" s="3190"/><c r="E3" s="3190"/><c r="F3" s="3190"/><c r="G3" s="3190"/><c r="H3" s="3190"/><c r="I3" s="3190"/><c r="J3" s="3190"/><c r="K3" s="3190"/><c r="L3" s="3190"/><c r="M3" s="3190"/></row><row r="4" spans="1:257" ht="21" customHeight="1"><c r="B4" s="63"/><c r="C4" s="3048"/><c r="D4" s="3093"/><c r="E4" s="3094"/><c r="F4" s="3093"/><c r="G4" s="3093"/><c r="H4" s="3093"/><c r="I4" s="3093"/><c r="J4" s="3093"/><c r="K4" s="3093"/><c r="L4" s="3093"/></row><row r="5" spans="1:257" ht="21" customHeight="1"><c r="B5" s="3050" t="s"><v>1</v></c><c r="E5" s="3465" t="s"><v>1600</v></c><c r="F5" s="3466"/><c r="G5" s="3466"/><c r="H5" s="3466"/><c r="I5" s="3466"/><c r="J5" s="3466"/><c r="K5" s="3466"/><c r="L5" s="3467"/></row><row r="6" spans="1:257" ht="21" customHeight="1"><c r="B6" s="3050" t="s"><v>452</v></c><c r="E6" s="3468"/><c r="F6" s="3469"/><c r="G6" s="3469"/><c r="H6" s="3469"/><c r="I6" s="3469"/><c r="J6" s="3469"/><c r="K6" s="3469"/><c r="L6" s="3470"/></row><row r="7" spans="1:257" ht="21" customHeight="1" thickBot="1"><c r="B7" s="3050" t="s"><v>239</v></c><c r="E7"/><c r="F7" s="3112"/><c r="G7" s="3113"/><c r="H7"/><c r="I7"/></row><row r="8" spans="1:257" ht="21" customHeight="1"><c r="B8" s="3050" t="s"><v>1263</v></c><c r="E8" s="3066"/><c r="F8" s="3066"/><c r="G8" s="3081"/><c r="H8" s="3066"/><c r="I8" s="3118"/><c r="J8" s="3463" t="s"><v>1601</v></c><c r="K8" s="3464"/><c r="L8" s="3066"/></row><row r="9" spans="1:257" ht="21" customHeight="1"><c r="B9" s="62" t="s"><v>557</v></c><c r="E9" s="3066"/><c r="F9" s="3066"/><c r="G9" s="3081"/><c r="H9" s="3066"/><c r="I9" s="3119" t="s"><v>1602</v></c><c r="J9" s="3109"/><c r="K9" s="3120"/><c r="L9" s="3066"/></row><row r="10" spans="1:257" ht="21" customHeight="1" thickBot="1"><c r="B10" s="3050" t="s"><v>238</v></c><c r="E10" s="3066"/><c r="F10" s="3116"/><c r="G10" s="3081"/><c r="H10" s="3066"/><c r="I10" s="3121"/><c r="J10" s="3471" t="s"><v>20</v></c><c r="K10" s="3472"/></row><row r="11" spans="1:257" ht="21" customHeight="1" thickBot="1"><c r="B11" s="146" t="s"><v>1652</v></c><c r="E11" s="3066"/><c r="F11" s="3116"/><c r="G11" s="3081"/><c r="H11" s="3066"/><c r="I11" s="3066"/></row><row r="12" spans="1:257" ht="21" customHeight="1"><c r="B12" s="145" t="s"><v>95</v></c><c r="E12" s="3066"/><c r="F12" s="3066"/><c r="G12" s="3109"/><c r="H12" s="3066"/><c r="I12" s="3118"/><c r="J12" s="3463" t="s"><v>1601</v></c><c r="K12" s="3464"/><c r="L12" s="3066"/></row><row r="13" spans="1:257" ht="21" customHeight="1"><c r="B13" s="145" t="s"><v>254</v></c><c r="E13" s="3066"/><c r="F13" s="3066"/><c r="G13" s="3081"/><c r="H13" s="3066"/><c r="I13" s="3119" t="s"><v>1603</v></c><c r="J13" s="3109"/><c r="K13" s="3120"/><c r="L13" s="3066"/></row><row r="14" spans="1:257" ht="21" customHeight="1" thickBot="1"><c r="B14" s="145" t="s"><v>1252</v></c><c r="E14" s="3066"/><c r="F14" s="3082"/><c r="G14" s="3081"/><c r="H14" s="3066"/><c r="I14" s="3121"/><c r="J14" s="3471" t="s"><v>592</v></c><c r="K14" s="3472"/></row><row r="15" spans="1:257" ht="21" customHeight="1" thickBot="1"><c r="B15" s="145" t="s"><v>1394</v></c><c r="E15" s="3066"/><c r="F15" s="3082"/><c r="H15" s="3066"/><c r="I15" s="3066"/></row><row r="16" spans="1:257" ht="21" customHeight="1"><c r="B16" s="145" t="s"><v>1395</v></c><c r="E16" s="3066"/><c r="F16" s="3066"/><c r="G16" s="3109"/><c r="H16" s="3066"/><c r="I16" s="3118"/><c r="J16" s="3463"/><c r="K16" s="3464"/></row><row r="17" spans="2:12" ht="21" customHeight="1"><c r="B17" s="168" t="s"><v>1396</v></c><c r="E17" s="3066"/><c r="F17" s="3066"/><c r="G17" s="3081"/><c r="H17" s="3066"/><c r="I17" s="3119" t="s"><v>1604</v></c><c r="J17" s="3109"/><c r="K17" s="3120"/></row><row r="18" spans="2:12" ht="21" customHeight="1" thickBot="1"><c r="B18" s="145" t="s"><v>1397</v></c><c r="I18" s="3121"/><c r="J18" s="3471"/><c r="K18" s="3472"/></row><row r="19" spans="2:12" ht="21" customHeight="1"><c r="B19" s="147" t="s"><v>1398</v></c><c r="E19" s="3122" t="s"><v>1605</v></c></row><row r="20" spans="2:12" ht="21" customHeight="1"><c r="B20" s="168" t="s"><v>1399</v></c><c r="E20" s="3123" t="s"><v>1606</v></c></row><row r="21" spans="2:12" ht="21" customHeight="1"><c r="B21" s="62" t="s"><v>1653</v></c><c r="E21" s="3124" t="s"><v>1607</v></c><c r="H21" s="3125"/><c r="I21" s="3126"/></row><row r="22" spans="2:12" ht="21" customHeight="1"><c r="B22" s="3050" t="s"><v>40</v></c><c r="E22" s="3127" t="s"><v>1608</v></c><c r="H22" s="3128"/><c r="I22" s="3066"/></row><row r="23" spans="2:12" ht="21" customHeight="1"><c r="B23" s="3050" t="s"><v>238</v></c><c r="E23" s="3066"/><c r="F23" s="3066"/><c r="H23" s="3066"/><c r="I23" s="3066"/><c r="J23" s="3115"/><c r="K23" s="3082"/><c r="L23" s="3066"/></row><row r="24" spans="2:12" ht="21" customHeight="1" thickBot="1"><c r="B24" s="3050" t="s"><v>39</v></c><c r="F24" s="3129" t="s"><v>1609</v></c><c r="H24" s="3066"/><c r="I24" s="3066"/><c r="J24" s="3109"/><c r="K24" s="3066"/><c r="L24" s="3066"/></row><row r="25" spans="2:12" ht="21" customHeight="1"><c r="B25" s="3050" t="s"><v>38</v></c><c r="F25" s="3130"/><c r="G25" s="3131"/><c r="H25" s="3132"/><c r="I25" s="3132"/><c r="J25" s="3131"/><c r="K25" s="3133"/></row><row r="26" spans="2:12" ht="21" customHeight="1"><c r="B26" s="3050"/><c r="F26" s="3134" t="s"><v>1610</v></c><c r="H26" s="3066"/><c r="I26" s="3066"/><c r="K26" s="3135"/></row><row r="27" spans="2:12" ht="21" customHeight="1"><c r="B27" s="63"/><c r="E27" s="3066"/><c r="F27" s="3136" t="s"><v>1611</v></c><c r="G27" s="3081"/><c r="H27" s="3066"/><c r="I27" s="3066"/><c r="J27" s="3109"/><c r="K27" s="3120"/><c r="L27" s="3066"/></row><row r="28" spans="2:12" ht="21" customHeight="1" thickBot="1"><c r="B28" s="63"/><c r="E28" s="3066"/><c r="F28" s="3137"/><c r="G28" s="3138"/><c r="H28" s="3139"/><c r="I28" s="3139"/><c r="J28" s="3114"/><c r="K28" s="3140"/><c r="L28" s="3066"/></row><row r="29" spans="2:12" ht="21" customHeight="1"><c r="B29" s="3095"/><c r="E29" s="3066"/><c r="F29" s="3082"/><c r="H29" s="3066"/><c r="I29" s="3066"/></row><row r="30" spans="2:12" ht="21" customHeight="1"><c r="B30" s="3095"/><c r="E30" s="3465" t="s"><v>1612</v></c><c r="F30" s="3466"/><c r="G30" s="3466"/><c r="H30" s="3466"/><c r="I30" s="3466"/><c r="J30" s="3466"/><c r="K30" s="3466"/><c r="L30" s="3467"/></row><row r="31" spans="2:12" ht="21" customHeight="1"><c r="B31" s="3095"/><c r="E31" s="3468"/><c r="F31" s="3469"/><c r="G31" s="3469"/><c r="H31" s="3469"/><c r="I31" s="3469"/><c r="J31" s="3469"/><c r="K31" s="3469"/><c r="L31" s="3470"/></row><row r="32" spans="2:12" ht="21" customHeight="1"><c r="B32" s="3095"/><c r="E32" s="3141" t="s"><v>1613</v></c><c r="F32" s="3066"/><c r="H32" s="3066"/><c r="I32" s="3066"/></row><row r="33" spans="2:12" ht="21" customHeight="1"><c r="B33" s="3095"/><c r="E33" s="3142" t="s"><v>1614</v></c></row><row r="34" spans="2:12" ht="21" customHeight="1"><c r="B34" s="3095"/><c r="E34" s="3143" t="s"><v>1615</v></c></row><row r="35" spans="2:12" ht="12.75" customHeight="1"><c r="B35" s="3095"/></row><row r="36" spans="2:12" ht="14.25" thickBot="1"><c r="B36" s="3095"/><c r="E36"/><c r="F36" s="3144" t="s"><v>1616</v></c><c r="G36" s="3145"/><c r="H36" s="3146"/><c r="I36" s="3147"/><c r="J36" s="3145"/><c r="K36" s="3145"/></row><row r="37" spans="2:12" ht="20.25" customHeight="1"><c r="B37" s="3095"/><c r="E37"/><c r="F37" s="3148" t="s"><v>1617</v></c><c r="G37" s="3149"/><c r="H37" s="3150"/><c r="I37" s="3151"/><c r="J37" s="3149"/><c r="K37" s="3152"/></row><row r="38" spans="2:12" ht="15" customHeight="1"><c r="B38" s="3095"/><c r="E38"/><c r="F38" s="3153"/><c r="G38" s="3154"/><c r="H38" s="3125"/><c r="I38" s="3126"/><c r="J38" s="3154"/><c r="K38" s="3135"/></row><row r="39" spans="2:12" ht="23.25" customHeight="1"><c r="B39" s="3095"/><c r="F39" s="3134" t="s"><v>1618</v></c><c r="K39" s="3135"/></row><row r="40" spans="2:12" ht="15" customHeight="1"><c r="B40" s="3095"/><c r="E40" s="3066"/><c r="F40" s="3136" t="s"><v>1619</v></c><c r="H40" s="3066"/><c r="I40" s="3066"/><c r="J40" s="3115"/><c r="K40" s="3155"/><c r="L40" s="3066"/></row><row r="41" spans="2:12" ht="12.75" customHeight="1" thickBot="1"><c r="B41" s="3095"/><c r="E41" s="3066"/><c r="F41" s="3156"/><c r="G41" s="3157"/><c r="H41" s="3139"/><c r="I41" s="3139"/><c r="J41" s="3114"/><c r="K41" s="3140"/><c r="L41" s="3066"/></row><row r="42" spans="2:12" ht="12.75" customHeight="1" thickBot="1"><c r="B42" s="3095"/><c r="E42" s="3066"/><c r="F42" s="3116"/><c r="H42" s="3066"/><c r="I42" s="3066"/></row><row r="43" spans="2:12" ht="20.25" customHeight="1"><c r="B43" s="3095"/><c r="E43" s="3066"/><c r="F43" s="3148" t="s"><v>1620</v></c><c r="G43" s="3149"/><c r="H43" s="3150"/><c r="I43" s="3151"/><c r="J43" s="3149"/><c r="K43" s="3152"/></row><row r="44" spans="2:12" ht="15" customHeight="1"><c r="B44" s="3095"/><c r="E44" s="3066"/><c r="F44" s="3153"/><c r="G44" s="3154"/><c r="H44" s="3125"/><c r="I44" s="3126"/><c r="J44" s="3154"/><c r="K44" s="3120"/><c r="L44" s="3066"/></row><row r="45" spans="2:12" ht="23.25" customHeight="1"><c r="B45" s="3095"/><c r="E45" s="3066"/><c r="F45" s="3134" t="s"><v>1621</v></c><c r="K45" s="3120"/><c r="L45" s="3066"/></row><row r="46" spans="2:12" ht="15" customHeight="1"><c r="B46" s="3095"/><c r="F46" s="3136" t="s"><v>1622</v></c><c r="H46" s="3066"/><c r="I46" s="3066"/><c r="J46" s="3115"/><c r="K46" s="3135"/></row><row r="47" spans="2:12" ht="12.75" customHeight="1"><c r="B47" s="3095"/><c r="F47" s="3136"/><c r="H47" s="3066"/><c r="I47" s="3066"/><c r="J47" s="3115"/><c r="K47" s="3135"/></row><row r="48" spans="2:12" ht="23.25" customHeight="1"><c r="B48" s="3095"/><c r="E48" s="3066"/><c r="F48" s="3134" t="s"><v>1623</v></c><c r="H48" s="3066"/><c r="I48" s="3066"/><c r="J48" s="3115"/><c r="K48" s="3135"/></row><row r="49" spans="2:12" ht="15" customHeight="1"><c r="B49" s="3095"/><c r="E49" s="3066"/><c r="F49" s="3136" t="s"><v>1624</v></c><c r="H49" s="3066"/><c r="I49" s="3066"/><c r="J49" s="3115"/><c r="K49" s="3135"/></row><row r="50" spans="2:12" ht="12.75" customHeight="1" thickBot="1"><c r="B50" s="3095"/><c r="E50" s="3066"/><c r="F50" s="3156"/><c r="G50" s="3157"/><c r="H50" s="3139"/><c r="I50" s="3139"/><c r="J50" s="3114"/><c r="K50" s="3158"/></row><row r="51" spans="2:12" ht="21" customHeight="1"><c r="B51" s="3095"/><c r="E51" s="3066"/><c r="F51" s="3066"/><c r="G51" s="3110"/><c r="H51" s="3066"/><c r="I51" s="3066"/><c r="J51" s="3110"/></row><row r="52" spans="2:12" ht="21" customHeight="1"><c r="B52" s="3095"/><c r="E52" s="3465" t="s"><v>20</v></c><c r="F52" s="3466"/><c r="G52" s="3466"/><c r="H52" s="3466"/><c r="I52" s="3466"/><c r="J52" s="3466"/><c r="K52" s="3466"/><c r="L52" s="3467"/></row><row r="53" spans="2:12" ht="21" customHeight="1"><c r="B53" s="3095"/><c r="E53" s="3468"/><c r="F53" s="3469"/><c r="G53" s="3469"/><c r="H53" s="3469"/><c r="I53" s="3469"/><c r="J53" s="3469"/><c r="K53" s="3469"/><c r="L53" s="3470"/></row><row r="54" spans="2:12" ht="20.25" customHeight="1" thickBot="1"><c r="B54" s="3095"/><c r="F54" s="3116"/></row><row r="55" spans="2:12" ht="20.25" customHeight="1"><c r="B55" s="3095"/><c r="E55" s="3066"/><c r="F55" s="3159" t="s"><v>1625</v></c><c r="G55" s="3160"/><c r="H55" s="3161"/><c r="I55" s="3162"/><c r="J55" s="3160"/><c r="K55" s="3163"/><c r="L55" s="3066"/></row><row r="56" spans="2:12" ht="13.9"><c r="B56" s="3095"/><c r="E56" s="3066"/><c r="F56" s="3153"/><c r="G56" s="3154"/><c r="H56" s="3125"/><c r="I56" s="3126"/><c r="J56" s="3154"/><c r="K56" s="3135"/><c r="L56" s="3066"/></row><row r="57" spans="2:12" ht="20.25"><c r="B57" s="3095"/><c r="E57" s="3066"/><c r="F57" s="3134" t="s"><v>1626</v></c><c r="K57" s="3135"/></row><row r="58" spans="2:12" ht="15" customHeight="1"><c r="B58" s="3095"/><c r="E58" s="3066"/><c r="F58" s="3164" t="s"><v>1627</v></c><c r="H58" s="3165" t="s"><v>1627</v></c><c r="I58" s="3066"/><c r="J58" s="3115"/><c r="K58" s="3155"/></row><row r="59" spans="2:12" ht="12.75" customHeight="1" thickBot="1"><c r="B59" s="3095"/><c r="E59" s="3066"/><c r="F59" s="3156"/><c r="G59" s="3157"/><c r="H59" s="3139"/><c r="I59" s="3139"/><c r="J59" s="3114"/><c r="K59" s="3140"/><c r="L59" s="3066"/></row><row r="60" spans="2:12"><c r="B60" s="3095"/><c r="E60" s="3066"/><c r="F60" s="3066"/><c r="H60" s="3066"/><c r="I60" s="3066"/><c r="J60" s="3109"/><c r="K60" s="3066"/><c r="L60" s="3066"/></row><row r="61" spans="2:12" ht="12.75" customHeight="1"><c r="B61" s="3095"/><c r="E61" s="3066"/><c r="F61" s="3116"/><c r="H61" s="3066"/><c r="I61" s="3066"/></row><row r="62" spans="2:12" ht="12.75" customHeight="1"><c r="B62" s="3095"/><c r="E62" s="3066"/><c r="F62" s="3116"/><c r="H62" s="3066"/><c r="I62" s="3066"/></row><row r="63" spans="2:12" ht="12.75" customHeight="1"><c r="B63" s="3095"/><c r="E63" s="3066"/><c r="F63" s="3066"/><c r="G63" s="3081"/><c r="H63" s="3066"/><c r="I63" s="3066"/><c r="J63" s="3109"/></row><row r="64" spans="2:12" ht="12.75" customHeight="1"><c r="B64" s="3095"/><c r="E64" s="3066"/><c r="F64" s="3066"/><c r="G64" s="3081"/><c r="H64" s="3066"/><c r="I64" s="3066"/><c r="J64" s="3109"/></row><row r="65" spans="2:9" ht="12.75" customHeight="1"><c r="B65" s="3095"/><c r="E65" s="3439"/><c r="F65" s="3082"/><c r="H65" s="3066"/><c r="I65" s="3066"/></row><row r="66" spans="2:9" ht="12.75" customHeight="1"><c r="B66" s="3095"/><c r="E66" s="3439"/><c r="F66" s="3082"/><c r="H66" s="3066"/><c r="I66" s="3066"/></row><row r="67" spans="2:9" ht="12.75" customHeight="1"><c r="B67" s="3095"/><c r="E67" s="3066"/><c r="F67" s="3066"/><c r="G67" s="3081"/><c r="H67" s="3066"/><c r="I67" s="3066"/></row><row r="68" spans="2:9" ht="12.75" customHeight="1"><c r="B68" s="3095"/><c r="E68" s="3066"/><c r="F68" s="3066"/><c r="G68" s="3081"/><c r="H68" s="3066"/><c r="I68" s="3066"/></row><row r="69" spans="2:9" ht="12.75" customHeight="1"><c r="B69" s="3095"/><c r="F69" s="3460"/></row><row r="70" spans="2:9" ht="12.75" customHeight="1"><c r="B70" s="3095"/><c r="F70" s="3460"/></row><row r="71" spans="2:9" ht="12.75" customHeight="1"><c r="B71" s="3095"/><c r="F71" s="3066"/></row><row r="72" spans="2:9" ht="12.75" customHeight="1"><c r="B72" s="3095"/><c r="F72" s="3066"/></row><row r="73" spans="2:9" ht="12.75" customHeight="1"><c r="B73" s="3095"/></row><row r="74" spans="2:9" ht="12.75" customHeight="1"><c r="B74" s="3095"/></row><row r="75" spans="2:9" ht="12.75" customHeight="1"><c r="B75" s="3095"/></row><row r="76" spans="2:9" ht="12.75" customHeight="1"><c r="B76" s="3095"/></row><row r="77" spans="2:9" ht="12.75" customHeight="1"><c r="B77" s="3095"/></row><row r="78" spans="2:9" ht="12.75" customHeight="1"><c r="B78" s="3095"/></row><row r="79" spans="2:9" ht="12.75" customHeight="1"><c r="B79" s="3095"/></row><row r="80" spans="2:9" ht="12.75" customHeight="1"><c r="B80" s="3095"/></row><row r="81" spans="2:257" s="3045" customFormat="1" ht="12.75" customHeight="1"><c r="B81" s="3095"/><c r="D81" s="3092"/><c r="E81" s="3092"/><c r="F81" s="3092"/><c r="G81" s="3092"/><c r="H81" s="3092"/><c r="I81" s="3092"/><c r="J81" s="3092"/><c r="K81" s="3092"/><c r="L81" s="3092"/><c r="M81" s="3092"/><c r="N81" s="3092"/><c r="O81" s="3092"/><c r="P81" s="3092"/><c r="Q81" s="3092"/><c r="R81" s="3092"/><c r="S81" s="3092"/><c r="T81" s="3092"/><c r="U81" s="3092"/><c r="V81" s="3092"/><c r="W81" s="3092"/><c r="X81" s="3092"/><c r="Y81" s="3092"/><c r="Z81" s="3092"/><c r="AA81" s="3092"/><c r="AB81" s="3092"/><c r="AC81" s="3092"/><c r="AD81" s="3092"/><c r="AE81" s="3092"/><c r="AF81" s="3092"/><c r="AG81" s="3092"/><c r="AH81" s="3092"/><c r="AI81" s="3092"/><c r="AJ81" s="3092"/><c r="AK81" s="3092"/><c r="AL81" s="3092"/><c r="AM81" s="3092"/><c r="AN81" s="3092"/><c r="AO81" s="3092"/><c r="AP81" s="3092"/><c r="AQ81" s="3092"/><c r="AR81" s="3092"/><c r="AS81" s="3092"/><c r="AT81" s="3092"/><c r="AU81" s="3092"/><c r="AV81" s="3092"/><c r="AW81" s="3092"/><c r="AX81" s="3092"/><c r="AY81" s="3092"/><c r="AZ81" s="3092"/><c r="BA81" s="3092"/><c r="BB81" s="3092"/><c r="BC81" s="3092"/><c r="BD81" s="3092"/><c r="BE81" s="3092"/><c r="BF81" s="3092"/><c r="BG81" s="3092"/><c r="BH81" s="3092"/><c r="BI81" s="3092"/><c r="BJ81" s="3092"/><c r="BK81" s="3092"/><c r="BL81" s="3092"/><c r="BM81" s="3092"/><c r="BN81" s="3092"/><c r="BO81" s="3092"/><c r="BP81" s="3092"/><c r="BQ81" s="3092"/><c r="BR81" s="3092"/><c r="BS81" s="3092"/><c r="BT81" s="3092"/><c r="BU81" s="3092"/><c r="BV81" s="3092"/><c r="BW81" s="3092"/><c r="BX81" s="3092"/><c r="BY81" s="3092"/><c r="BZ81" s="3092"/><c r="CA81" s="3092"/><c r="CB81" s="3092"/><c r="CC81" s="3092"/><c r="CD81" s="3092"/><c r="CE81" s="3092"/><c r="CF81" s="3092"/><c r="CG81" s="3092"/><c r="CH81" s="3092"/><c r="CI81" s="3092"/><c r="CJ81" s="3092"/><c r="CK81" s="3092"/><c r="CL81" s="3092"/><c r="CM81" s="3092"/><c r="CN81" s="3092"/><c r="CO81" s="3092"/><c r="CP81" s="3092"/><c r="CQ81" s="3092"/><c r="CR81" s="3092"/><c r="CS81" s="3092"/><c r="CT81" s="3092"/><c r="CU81" s="3092"/><c r="CV81" s="3092"/><c r="CW81" s="3092"/><c r="CX81" s="3092"/><c r="CY81" s="3092"/><c r="CZ81" s="3092"/><c r="DA81" s="3092"/><c r="DB81" s="3092"/><c r="DC81" s="3092"/><c r="DD81" s="3092"/><c r="DE81" s="3092"/><c r="DF81" s="3092"/><c r="DG81" s="3092"/><c r="DH81" s="3092"/><c r="DI81" s="3092"/><c r="DJ81" s="3092"/><c r="DK81" s="3092"/><c r="DL81" s="3092"/><c r="DM81" s="3092"/><c r="DN81" s="3092"/><c r="DO81" s="3092"/><c r="DP81" s="3092"/><c r="DQ81" s="3092"/><c r="DR81" s="3092"/><c r="DS81" s="3092"/><c r="DT81" s="3092"/><c r="DU81" s="3092"/><c r="DV81" s="3092"/><c r="DW81" s="3092"/><c r="DX81" s="3092"/><c r="DY81" s="3092"/><c r="DZ81" s="3092"/><c r="EA81" s="3092"/><c r="EB81" s="3092"/><c r="EC81" s="3092"/><c r="ED81" s="3092"/><c r="EE81" s="3092"/><c r="EF81" s="3092"/><c r="EG81" s="3092"/><c r="EH81" s="3092"/><c r="EI81" s="3092"/><c r="EJ81" s="3092"/><c r="EK81" s="3092"/><c r="EL81" s="3092"/><c r="EM81" s="3092"/><c r="EN81" s="3092"/><c r="EO81" s="3092"/><c r="EP81" s="3092"/><c r="EQ81" s="3092"/><c r="ER81" s="3092"/><c r="ES81" s="3092"/><c r="ET81" s="3092"/><c r="EU81" s="3092"/><c r="EV81" s="3092"/><c r="EW81" s="3092"/><c r="EX81" s="3092"/><c r="EY81" s="3092"/><c r="EZ81" s="3092"/><c r="FA81" s="3092"/><c r="FB81" s="3092"/><c r="FC81" s="3092"/><c r="FD81" s="3092"/><c r="FE81" s="3092"/><c r="FF81" s="3092"/><c r="FG81" s="3092"/><c r="FH81" s="3092"/><c r="FI81" s="3092"/><c r="FJ81" s="3092"/><c r="FK81" s="3092"/><c r="FL81" s="3092"/><c r="FM81" s="3092"/><c r="FN81" s="3092"/><c r="FO81" s="3092"/><c r="FP81" s="3092"/><c r="FQ81" s="3092"/><c r="FR81" s="3092"/><c r="FS81" s="3092"/><c r="FT81" s="3092"/><c r="FU81" s="3092"/><c r="FV81" s="3092"/><c r="FW81" s="3092"/><c r="FX81" s="3092"/><c r="FY81" s="3092"/><c r="FZ81" s="3092"/><c r="GA81" s="3092"/><c r="GB81" s="3092"/><c r="GC81" s="3092"/><c r="GD81" s="3092"/><c r="GE81" s="3092"/><c r="GF81" s="3092"/><c r="GG81" s="3092"/><c r="GH81" s="3092"/><c r="GI81" s="3092"/><c r="GJ81" s="3092"/><c r="GK81" s="3092"/><c r="GL81" s="3092"/><c r="GM81" s="3092"/><c r="GN81" s="3092"/><c r="GO81" s="3092"/><c r="GP81" s="3092"/><c r="GQ81" s="3092"/><c r="GR81" s="3092"/><c r="GS81" s="3092"/><c r="GT81" s="3092"/><c r="GU81" s="3092"/><c r="GV81" s="3092"/><c r="GW81" s="3092"/><c r="GX81" s="3092"/><c r="GY81" s="3092"/><c r="GZ81" s="3092"/><c r="HA81" s="3092"/><c r="HB81" s="3092"/><c r="HC81" s="3092"/><c r="HD81" s="3092"/><c r="HE81" s="3092"/><c r="HF81" s="3092"/><c r="HG81" s="3092"/><c r="HH81" s="3092"/><c r="HI81" s="3092"/><c r="HJ81" s="3092"/><c r="HK81" s="3092"/><c r="HL81" s="3092"/><c r="HM81" s="3092"/><c r="HN81" s="3092"/><c r="HO81" s="3092"/><c r="HP81" s="3092"/><c r="HQ81" s="3092"/><c r="HR81" s="3092"/><c r="HS81" s="3092"/><c r="HT81" s="3092"/><c r="HU81" s="3092"/><c r="HV81" s="3092"/><c r="HW81" s="3092"/><c r="HX81" s="3092"/><c r="HY81" s="3092"/><c r="HZ81" s="3092"/><c r="IA81" s="3092"/><c r="IB81" s="3092"/><c r="IC81" s="3092"/><c r="ID81" s="3092"/><c r="IE81" s="3092"/><c r="IF81" s="3092"/><c r="IG81" s="3092"/><c r="IH81" s="3092"/><c r="II81" s="3092"/><c r="IJ81" s="3092"/><c r="IK81" s="3092"/><c r="IL81" s="3092"/><c r="IM81" s="3092"/><c r="IN81" s="3092"/><c r="IO81" s="3092"/><c r="IP81" s="3092"/><c r="IQ81" s="3092"/><c r="IR81" s="3092"/><c r="IS81" s="3092"/><c r="IT81" s="3092"/><c r="IU81" s="3092"/><c r="IV81" s="3092"/><c r="IW81" s="3092"/></row><row r="82" spans="2:257" s="3045" customFormat="1" ht="12.75" customHeight="1"><c r="B82" s="3095"/><c r="D82" s="3092"/><c r="E82" s="3092"/><c r="F82" s="3092"/><c r="G82" s="3092"/><c r="H82" s="3092"/><c r="I82" s="3092"/><c r="J82" s="3092"/><c r="K82" s="3092"/><c r="L82" s="3092"/><c r="M82" s="3092"/><c r="N82" s="3092"/><c r="O82" s="3092"/><c r="P82" s="3092"/><c r="Q82" s="3092"/><c r="R82" s="3092"/><c r="S82" s="3092"/><c r="T82" s="3092"/><c r="U82" s="3092"/><c r="V82" s="3092"/><c r="W82" s="3092"/><c r="X82" s="3092"/><c r="Y82" s="3092"/><c r="Z82" s="3092"/><c r="AA82" s="3092"/><c r="AB82" s="3092"/><c r="AC82" s="3092"/><c r="AD82" s="3092"/><c r="AE82" s="3092"/><c r="AF82" s="3092"/><c r="AG82" s="3092"/><c r="AH82" s="3092"/><c r="AI82" s="3092"/><c r="AJ82" s="3092"/><c r="AK82" s="3092"/><c r="AL82" s="3092"/><c r="AM82" s="3092"/><c r="AN82" s="3092"/><c r="AO82" s="3092"/><c r="AP82" s="3092"/><c r="AQ82" s="3092"/><c r="AR82" s="3092"/><c r="AS82" s="3092"/><c r="AT82" s="3092"/><c r="AU82" s="3092"/><c r="AV82" s="3092"/><c r="AW82" s="3092"/><c r="AX82" s="3092"/><c r="AY82" s="3092"/><c r="AZ82" s="3092"/><c r="BA82" s="3092"/><c r="BB82" s="3092"/><c r="BC82" s="3092"/><c r="BD82" s="3092"/><c r="BE82" s="3092"/><c r="BF82" s="3092"/><c r="BG82" s="3092"/><c r="BH82" s="3092"/><c r="BI82" s="3092"/><c r="BJ82" s="3092"/><c r="BK82" s="3092"/><c r="BL82" s="3092"/><c r="BM82" s="3092"/><c r="BN82" s="3092"/><c r="BO82" s="3092"/><c r="BP82" s="3092"/><c r="BQ82" s="3092"/><c r="BR82" s="3092"/><c r="BS82" s="3092"/><c r="BT82" s="3092"/><c r="BU82" s="3092"/><c r="BV82" s="3092"/><c r="BW82" s="3092"/><c r="BX82" s="3092"/><c r="BY82" s="3092"/><c r="BZ82" s="3092"/><c r="CA82" s="3092"/><c r="CB82" s="3092"/><c r="CC82" s="3092"/><c r="CD82" s="3092"/><c r="CE82" s="3092"/><c r="CF82" s="3092"/><c r="CG82" s="3092"/><c r="CH82" s="3092"/><c r="CI82" s="3092"/><c r="CJ82" s="3092"/><c r="CK82" s="3092"/><c r="CL82" s="3092"/><c r="CM82" s="3092"/><c r="CN82" s="3092"/><c r="CO82" s="3092"/><c r="CP82" s="3092"/><c r="CQ82" s="3092"/><c r="CR82" s="3092"/><c r="CS82" s="3092"/><c r="CT82" s="3092"/><c r="CU82" s="3092"/><c r="CV82" s="3092"/><c r="CW82" s="3092"/><c r="CX82" s="3092"/><c r="CY82" s="3092"/><c r="CZ82" s="3092"/><c r="DA82" s="3092"/><c r="DB82" s="3092"/><c r="DC82" s="3092"/><c r="DD82" s="3092"/><c r="DE82" s="3092"/><c r="DF82" s="3092"/><c r="DG82" s="3092"/><c r="DH82" s="3092"/><c r="DI82" s="3092"/><c r="DJ82" s="3092"/><c r="DK82" s="3092"/><c r="DL82" s="3092"/><c r="DM82" s="3092"/><c r="DN82" s="3092"/><c r="DO82" s="3092"/><c r="DP82" s="3092"/><c r="DQ82" s="3092"/><c r="DR82" s="3092"/><c r="DS82" s="3092"/><c r="DT82" s="3092"/><c r="DU82" s="3092"/><c r="DV82" s="3092"/><c r="DW82" s="3092"/><c r="DX82" s="3092"/><c r="DY82" s="3092"/><c r="DZ82" s="3092"/><c r="EA82" s="3092"/><c r="EB82" s="3092"/><c r="EC82" s="3092"/><c r="ED82" s="3092"/><c r="EE82" s="3092"/><c r="EF82" s="3092"/><c r="EG82" s="3092"/><c r="EH82" s="3092"/><c r="EI82" s="3092"/><c r="EJ82" s="3092"/><c r="EK82" s="3092"/><c r="EL82" s="3092"/><c r="EM82" s="3092"/><c r="EN82" s="3092"/><c r="EO82" s="3092"/><c r="EP82" s="3092"/><c r="EQ82" s="3092"/><c r="ER82" s="3092"/><c r="ES82" s="3092"/><c r="ET82" s="3092"/><c r="EU82" s="3092"/><c r="EV82" s="3092"/><c r="EW82" s="3092"/><c r="EX82" s="3092"/><c r="EY82" s="3092"/><c r="EZ82" s="3092"/><c r="FA82" s="3092"/><c r="FB82" s="3092"/><c r="FC82" s="3092"/><c r="FD82" s="3092"/><c r="FE82" s="3092"/><c r="FF82" s="3092"/><c r="FG82" s="3092"/><c r="FH82" s="3092"/><c r="FI82" s="3092"/><c r="FJ82" s="3092"/><c r="FK82" s="3092"/><c r="FL82" s="3092"/><c r="FM82" s="3092"/><c r="FN82" s="3092"/><c r="FO82" s="3092"/><c r="FP82" s="3092"/><c r="FQ82" s="3092"/><c r="FR82" s="3092"/><c r="FS82" s="3092"/><c r="FT82" s="3092"/><c r="FU82" s="3092"/><c r="FV82" s="3092"/><c r="FW82" s="3092"/><c r="FX82" s="3092"/><c r="FY82" s="3092"/><c r="FZ82" s="3092"/><c r="GA82" s="3092"/><c r="GB82" s="3092"/><c r="GC82" s="3092"/><c r="GD82" s="3092"/><c r="GE82" s="3092"/><c r="GF82" s="3092"/><c r="GG82" s="3092"/><c r="GH82" s="3092"/><c r="GI82" s="3092"/><c r="GJ82" s="3092"/><c r="GK82" s="3092"/><c r="GL82" s="3092"/><c r="GM82" s="3092"/><c r="GN82" s="3092"/><c r="GO82" s="3092"/><c r="GP82" s="3092"/><c r="GQ82" s="3092"/><c r="GR82" s="3092"/><c r="GS82" s="3092"/><c r="GT82" s="3092"/><c r="GU82" s="3092"/><c r="GV82" s="3092"/><c r="GW82" s="3092"/><c r="GX82" s="3092"/><c r="GY82" s="3092"/><c r="GZ82" s="3092"/><c r="HA82" s="3092"/><c r="HB82" s="3092"/><c r="HC82" s="3092"/><c r="HD82" s="3092"/><c r="HE82" s="3092"/><c r="HF82" s="3092"/><c r="HG82" s="3092"/><c r="HH82" s="3092"/><c r="HI82" s="3092"/><c r="HJ82" s="3092"/><c r="HK82" s="3092"/><c r="HL82" s="3092"/><c r="HM82" s="3092"/><c r="HN82" s="3092"/><c r="HO82" s="3092"/><c r="HP82" s="3092"/><c r="HQ82" s="3092"/><c r="HR82" s="3092"/><c r="HS82" s="3092"/><c r="HT82" s="3092"/><c r="HU82" s="3092"/><c r="HV82" s="3092"/><c r="HW82" s="3092"/><c r="HX82" s="3092"/><c r="HY82" s="3092"/><c r="HZ82" s="3092"/><c r="IA82" s="3092"/><c r="IB82" s="3092"/><c r="IC82" s="3092"/><c r="ID82" s="3092"/><c r="IE82" s="3092"/><c r="IF82" s="3092"/><c r="IG82" s="3092"/><c r="IH82" s="3092"/><c r="II82" s="3092"/><c r="IJ82" s="3092"/><c r="IK82" s="3092"/><c r="IL82" s="3092"/><c r="IM82" s="3092"/><c r="IN82" s="3092"/><c r="IO82" s="3092"/><c r="IP82" s="3092"/><c r="IQ82" s="3092"/><c r="IR82" s="3092"/><c r="IS82" s="3092"/><c r="IT82" s="3092"/><c r="IU82" s="3092"/><c r="IV82" s="3092"/><c r="IW82" s="3092"/></row><row r="83" spans="2:257" s="3045" customFormat="1" ht="12.75" customHeight="1"><c r="B83" s="3095"/><c r="D83" s="3092"/><c r="E83" s="3092"/><c r="F83" s="3092"/><c r="G83" s="3092"/><c r="H83" s="3092"/><c r="I83" s="3092"/><c r="J83" s="3092"/><c r="K83" s="3092"/><c r="L83" s="3092"/><c r="M83" s="3092"/><c r="N83" s="3092"/><c r="O83" s="3092"/><c r="P83" s="3092"/><c r="Q83" s="3092"/><c r="R83" s="3092"/><c r="S83" s="3092"/><c r="T83" s="3092"/><c r="U83" s="3092"/><c r="V83" s="3092"/><c r="W83" s="3092"/><c r="X83" s="3092"/><c r="Y83" s="3092"/><c r="Z83" s="3092"/><c r="AA83" s="3092"/><c r="AB83" s="3092"/><c r="AC83" s="3092"/><c r="AD83" s="3092"/><c r="AE83" s="3092"/><c r="AF83" s="3092"/><c r="AG83" s="3092"/><c r="AH83" s="3092"/><c r="AI83" s="3092"/><c r="AJ83" s="3092"/><c r="AK83" s="3092"/><c r="AL83" s="3092"/><c r="AM83" s="3092"/><c r="AN83" s="3092"/><c r="AO83" s="3092"/><c r="AP83" s="3092"/><c r="AQ83" s="3092"/><c r="AR83" s="3092"/><c r="AS83" s="3092"/><c r="AT83" s="3092"/><c r="AU83" s="3092"/><c r="AV83" s="3092"/><c r="AW83" s="3092"/><c r="AX83" s="3092"/><c r="AY83" s="3092"/><c r="AZ83" s="3092"/><c r="BA83" s="3092"/><c r="BB83" s="3092"/><c r="BC83" s="3092"/><c r="BD83" s="3092"/><c r="BE83" s="3092"/><c r="BF83" s="3092"/><c r="BG83" s="3092"/><c r="BH83" s="3092"/><c r="BI83" s="3092"/><c r="BJ83" s="3092"/><c r="BK83" s="3092"/><c r="BL83" s="3092"/><c r="BM83" s="3092"/><c r="BN83" s="3092"/><c r="BO83" s="3092"/><c r="BP83" s="3092"/><c r="BQ83" s="3092"/><c r="BR83" s="3092"/><c r="BS83" s="3092"/><c r="BT83" s="3092"/><c r="BU83" s="3092"/><c r="BV83" s="3092"/><c r="BW83" s="3092"/><c r="BX83" s="3092"/><c r="BY83" s="3092"/><c r="BZ83" s="3092"/><c r="CA83" s="3092"/><c r="CB83" s="3092"/><c r="CC83" s="3092"/><c r="CD83" s="3092"/><c r="CE83" s="3092"/><c r="CF83" s="3092"/><c r="CG83" s="3092"/><c r="CH83" s="3092"/><c r="CI83" s="3092"/><c r="CJ83" s="3092"/><c r="CK83" s="3092"/><c r="CL83" s="3092"/><c r="CM83" s="3092"/><c r="CN83" s="3092"/><c r="CO83" s="3092"/><c r="CP83" s="3092"/><c r="CQ83" s="3092"/><c r="CR83" s="3092"/><c r="CS83" s="3092"/><c r="CT83" s="3092"/><c r="CU83" s="3092"/><c r="CV83" s="3092"/><c r="CW83" s="3092"/><c r="CX83" s="3092"/><c r="CY83" s="3092"/><c r="CZ83" s="3092"/><c r="DA83" s="3092"/><c r="DB83" s="3092"/><c r="DC83" s="3092"/><c r="DD83" s="3092"/><c r="DE83" s="3092"/><c r="DF83" s="3092"/><c r="DG83" s="3092"/><c r="DH83" s="3092"/><c r="DI83" s="3092"/><c r="DJ83" s="3092"/><c r="DK83" s="3092"/><c r="DL83" s="3092"/><c r="DM83" s="3092"/><c r="DN83" s="3092"/><c r="DO83" s="3092"/><c r="DP83" s="3092"/><c r="DQ83" s="3092"/><c r="DR83" s="3092"/><c r="DS83" s="3092"/><c r="DT83" s="3092"/><c r="DU83" s="3092"/><c r="DV83" s="3092"/><c r="DW83" s="3092"/><c r="DX83" s="3092"/><c r="DY83" s="3092"/><c r="DZ83" s="3092"/><c r="EA83" s="3092"/><c r="EB83" s="3092"/><c r="EC83" s="3092"/><c r="ED83" s="3092"/><c r="EE83" s="3092"/><c r="EF83" s="3092"/><c r="EG83" s="3092"/><c r="EH83" s="3092"/><c r="EI83" s="3092"/><c r="EJ83" s="3092"/><c r="EK83" s="3092"/><c r="EL83" s="3092"/><c r="EM83" s="3092"/><c r="EN83" s="3092"/><c r="EO83" s="3092"/><c r="EP83" s="3092"/><c r="EQ83" s="3092"/><c r="ER83" s="3092"/><c r="ES83" s="3092"/><c r="ET83" s="3092"/><c r="EU83" s="3092"/><c r="EV83" s="3092"/><c r="EW83" s="3092"/><c r="EX83" s="3092"/><c r="EY83" s="3092"/><c r="EZ83" s="3092"/><c r="FA83" s="3092"/><c r="FB83" s="3092"/><c r="FC83" s="3092"/><c r="FD83" s="3092"/><c r="FE83" s="3092"/><c r="FF83" s="3092"/><c r="FG83" s="3092"/><c r="FH83" s="3092"/><c r="FI83" s="3092"/><c r="FJ83" s="3092"/><c r="FK83" s="3092"/><c r="FL83" s="3092"/><c r="FM83" s="3092"/><c r="FN83" s="3092"/><c r="FO83" s="3092"/><c r="FP83" s="3092"/><c r="FQ83" s="3092"/><c r="FR83" s="3092"/><c r="FS83" s="3092"/><c r="FT83" s="3092"/><c r="FU83" s="3092"/><c r="FV83" s="3092"/><c r="FW83" s="3092"/><c r="FX83" s="3092"/><c r="FY83" s="3092"/><c r="FZ83" s="3092"/><c r="GA83" s="3092"/><c r="GB83" s="3092"/><c r="GC83" s="3092"/><c r="GD83" s="3092"/><c r="GE83" s="3092"/><c r="GF83" s="3092"/><c r="GG83" s="3092"/><c r="GH83" s="3092"/><c r="GI83" s="3092"/><c r="GJ83" s="3092"/><c r="GK83" s="3092"/><c r="GL83" s="3092"/><c r="GM83" s="3092"/><c r="GN83" s="3092"/><c r="GO83" s="3092"/><c r="GP83" s="3092"/><c r="GQ83" s="3092"/><c r="GR83" s="3092"/><c r="GS83" s="3092"/><c r="GT83" s="3092"/><c r="GU83" s="3092"/><c r="GV83" s="3092"/><c r="GW83" s="3092"/><c r="GX83" s="3092"/><c r="GY83" s="3092"/><c r="GZ83" s="3092"/><c r="HA83" s="3092"/><c r="HB83" s="3092"/><c r="HC83" s="3092"/><c r="HD83" s="3092"/><c r="HE83" s="3092"/><c r="HF83" s="3092"/><c r="HG83" s="3092"/><c r="HH83" s="3092"/><c r="HI83" s="3092"/><c r="HJ83" s="3092"/><c r="HK83" s="3092"/><c r="HL83" s="3092"/><c r="HM83" s="3092"/><c r="HN83" s="3092"/><c r="HO83" s="3092"/><c r="HP83" s="3092"/><c r="HQ83" s="3092"/><c r="HR83" s="3092"/><c r="HS83" s="3092"/><c r="HT83" s="3092"/><c r="HU83" s="3092"/><c r="HV83" s="3092"/><c r="HW83" s="3092"/><c r="HX83" s="3092"/><c r="HY83" s="3092"/><c r="HZ83" s="3092"/><c r="IA83" s="3092"/><c r="IB83" s="3092"/><c r="IC83" s="3092"/><c r="ID83" s="3092"/><c r="IE83" s="3092"/><c r="IF83" s="3092"/><c r="IG83" s="3092"/><c r="IH83" s="3092"/><c r="II83" s="3092"/><c r="IJ83" s="3092"/><c r="IK83" s="3092"/><c r="IL83" s="3092"/><c r="IM83" s="3092"/><c r="IN83" s="3092"/><c r="IO83" s="3092"/><c r="IP83" s="3092"/><c r="IQ83" s="3092"/><c r="IR83" s="3092"/><c r="IS83" s="3092"/><c r="IT83" s="3092"/><c r="IU83" s="3092"/><c r="IV83" s="3092"/><c r="IW83" s="3092"/></row><row r="84" spans="2:257" s="3045" customFormat="1" ht="12.75" customHeight="1"><c r="B84" s="3095"/><c r="D84" s="3092"/><c r="E84" s="3092"/><c r="F84" s="3092"/><c r="G84" s="3092"/><c r="H84" s="3092"/><c r="I84" s="3092"/><c r="J84" s="3092"/><c r="K84" s="3092"/><c r="L84" s="3092"/><c r="M84" s="3092"/><c r="N84" s="3092"/><c r="O84" s="3092"/><c r="P84" s="3092"/><c r="Q84" s="3092"/><c r="R84" s="3092"/><c r="S84" s="3092"/><c r="T84" s="3092"/><c r="U84" s="3092"/><c r="V84" s="3092"/><c r="W84" s="3092"/><c r="X84" s="3092"/><c r="Y84" s="3092"/><c r="Z84" s="3092"/><c r="AA84" s="3092"/><c r="AB84" s="3092"/><c r="AC84" s="3092"/><c r="AD84" s="3092"/><c r="AE84" s="3092"/><c r="AF84" s="3092"/><c r="AG84" s="3092"/><c r="AH84" s="3092"/><c r="AI84" s="3092"/><c r="AJ84" s="3092"/><c r="AK84" s="3092"/><c r="AL84" s="3092"/><c r="AM84" s="3092"/><c r="AN84" s="3092"/><c r="AO84" s="3092"/><c r="AP84" s="3092"/><c r="AQ84" s="3092"/><c r="AR84" s="3092"/><c r="AS84" s="3092"/><c r="AT84" s="3092"/><c r="AU84" s="3092"/><c r="AV84" s="3092"/><c r="AW84" s="3092"/><c r="AX84" s="3092"/><c r="AY84" s="3092"/><c r="AZ84" s="3092"/><c r="BA84" s="3092"/><c r="BB84" s="3092"/><c r="BC84" s="3092"/><c r="BD84" s="3092"/><c r="BE84" s="3092"/><c r="BF84" s="3092"/><c r="BG84" s="3092"/><c r="BH84" s="3092"/><c r="BI84" s="3092"/><c r="BJ84" s="3092"/><c r="BK84" s="3092"/><c r="BL84" s="3092"/><c r="BM84" s="3092"/><c r="BN84" s="3092"/><c r="BO84" s="3092"/><c r="BP84" s="3092"/><c r="BQ84" s="3092"/><c r="BR84" s="3092"/><c r="BS84" s="3092"/><c r="BT84" s="3092"/><c r="BU84" s="3092"/><c r="BV84" s="3092"/><c r="BW84" s="3092"/><c r="BX84" s="3092"/><c r="BY84" s="3092"/><c r="BZ84" s="3092"/><c r="CA84" s="3092"/><c r="CB84" s="3092"/><c r="CC84" s="3092"/><c r="CD84" s="3092"/><c r="CE84" s="3092"/><c r="CF84" s="3092"/><c r="CG84" s="3092"/><c r="CH84" s="3092"/><c r="CI84" s="3092"/><c r="CJ84" s="3092"/><c r="CK84" s="3092"/><c r="CL84" s="3092"/><c r="CM84" s="3092"/><c r="CN84" s="3092"/><c r="CO84" s="3092"/><c r="CP84" s="3092"/><c r="CQ84" s="3092"/><c r="CR84" s="3092"/><c r="CS84" s="3092"/><c r="CT84" s="3092"/><c r="CU84" s="3092"/><c r="CV84" s="3092"/><c r="CW84" s="3092"/><c r="CX84" s="3092"/><c r="CY84" s="3092"/><c r="CZ84" s="3092"/><c r="DA84" s="3092"/><c r="DB84" s="3092"/><c r="DC84" s="3092"/><c r="DD84" s="3092"/><c r="DE84" s="3092"/><c r="DF84" s="3092"/><c r="DG84" s="3092"/><c r="DH84" s="3092"/><c r="DI84" s="3092"/><c r="DJ84" s="3092"/><c r="DK84" s="3092"/><c r="DL84" s="3092"/><c r="DM84" s="3092"/><c r="DN84" s="3092"/><c r="DO84" s="3092"/><c r="DP84" s="3092"/><c r="DQ84" s="3092"/><c r="DR84" s="3092"/><c r="DS84" s="3092"/><c r="DT84" s="3092"/><c r="DU84" s="3092"/><c r="DV84" s="3092"/><c r="DW84" s="3092"/><c r="DX84" s="3092"/><c r="DY84" s="3092"/><c r="DZ84" s="3092"/><c r="EA84" s="3092"/><c r="EB84" s="3092"/><c r="EC84" s="3092"/><c r="ED84" s="3092"/><c r="EE84" s="3092"/><c r="EF84" s="3092"/><c r="EG84" s="3092"/><c r="EH84" s="3092"/><c r="EI84" s="3092"/><c r="EJ84" s="3092"/><c r="EK84" s="3092"/><c r="EL84" s="3092"/><c r="EM84" s="3092"/><c r="EN84" s="3092"/><c r="EO84" s="3092"/><c r="EP84" s="3092"/><c r="EQ84" s="3092"/><c r="ER84" s="3092"/><c r="ES84" s="3092"/><c r="ET84" s="3092"/><c r="EU84" s="3092"/><c r="EV84" s="3092"/><c r="EW84" s="3092"/><c r="EX84" s="3092"/><c r="EY84" s="3092"/><c r="EZ84" s="3092"/><c r="FA84" s="3092"/><c r="FB84" s="3092"/><c r="FC84" s="3092"/><c r="FD84" s="3092"/><c r="FE84" s="3092"/><c r="FF84" s="3092"/><c r="FG84" s="3092"/><c r="FH84" s="3092"/><c r="FI84" s="3092"/><c r="FJ84" s="3092"/><c r="FK84" s="3092"/><c r="FL84" s="3092"/><c r="FM84" s="3092"/><c r="FN84" s="3092"/><c r="FO84" s="3092"/><c r="FP84" s="3092"/><c r="FQ84" s="3092"/><c r="FR84" s="3092"/><c r="FS84" s="3092"/><c r="FT84" s="3092"/><c r="FU84" s="3092"/><c r="FV84" s="3092"/><c r="FW84" s="3092"/><c r="FX84" s="3092"/><c r="FY84" s="3092"/><c r="FZ84" s="3092"/><c r="GA84" s="3092"/><c r="GB84" s="3092"/><c r="GC84" s="3092"/><c r="GD84" s="3092"/><c r="GE84" s="3092"/><c r="GF84" s="3092"/><c r="GG84" s="3092"/><c r="GH84" s="3092"/><c r="GI84" s="3092"/><c r="GJ84" s="3092"/><c r="GK84" s="3092"/><c r="GL84" s="3092"/><c r="GM84" s="3092"/><c r="GN84" s="3092"/><c r="GO84" s="3092"/><c r="GP84" s="3092"/><c r="GQ84" s="3092"/><c r="GR84" s="3092"/><c r="GS84" s="3092"/><c r="GT84" s="3092"/><c r="GU84" s="3092"/><c r="GV84" s="3092"/><c r="GW84" s="3092"/><c r="GX84" s="3092"/><c r="GY84" s="3092"/><c r="GZ84" s="3092"/><c r="HA84" s="3092"/><c r="HB84" s="3092"/><c r="HC84" s="3092"/><c r="HD84" s="3092"/><c r="HE84" s="3092"/><c r="HF84" s="3092"/><c r="HG84" s="3092"/><c r="HH84" s="3092"/><c r="HI84" s="3092"/><c r="HJ84" s="3092"/><c r="HK84" s="3092"/><c r="HL84" s="3092"/><c r="HM84" s="3092"/><c r="HN84" s="3092"/><c r="HO84" s="3092"/><c r="HP84" s="3092"/><c r="HQ84" s="3092"/><c r="HR84" s="3092"/><c r="HS84" s="3092"/><c r="HT84" s="3092"/><c r="HU84" s="3092"/><c r="HV84" s="3092"/><c r="HW84" s="3092"/><c r="HX84" s="3092"/><c r="HY84" s="3092"/><c r="HZ84" s="3092"/><c r="IA84" s="3092"/><c r="IB84" s="3092"/><c r="IC84" s="3092"/><c r="ID84" s="3092"/><c r="IE84" s="3092"/><c r="IF84" s="3092"/><c r="IG84" s="3092"/><c r="IH84" s="3092"/><c r="II84" s="3092"/><c r="IJ84" s="3092"/><c r="IK84" s="3092"/><c r="IL84" s="3092"/><c r="IM84" s="3092"/><c r="IN84" s="3092"/><c r="IO84" s="3092"/><c r="IP84" s="3092"/><c r="IQ84" s="3092"/><c r="IR84" s="3092"/><c r="IS84" s="3092"/><c r="IT84" s="3092"/><c r="IU84" s="3092"/><c r="IV84" s="3092"/><c r="IW84" s="3092"/></row><row r="85" spans="2:257" s="3045" customFormat="1" ht="12.75" customHeight="1"><c r="B85" s="3095"/><c r="D85" s="3092"/><c r="E85" s="3092"/><c r="F85" s="3092"/><c r="G85" s="3092"/><c r="H85" s="3092"/><c r="I85" s="3092"/><c r="J85" s="3092"/><c r="K85" s="3092"/><c r="L85" s="3092"/><c r="M85" s="3092"/><c r="N85" s="3092"/><c r="O85" s="3092"/><c r="P85" s="3092"/><c r="Q85" s="3092"/><c r="R85" s="3092"/><c r="S85" s="3092"/><c r="T85" s="3092"/><c r="U85" s="3092"/><c r="V85" s="3092"/><c r="W85" s="3092"/><c r="X85" s="3092"/><c r="Y85" s="3092"/><c r="Z85" s="3092"/><c r="AA85" s="3092"/><c r="AB85" s="3092"/><c r="AC85" s="3092"/><c r="AD85" s="3092"/><c r="AE85" s="3092"/><c r="AF85" s="3092"/><c r="AG85" s="3092"/><c r="AH85" s="3092"/><c r="AI85" s="3092"/><c r="AJ85" s="3092"/><c r="AK85" s="3092"/><c r="AL85" s="3092"/><c r="AM85" s="3092"/><c r="AN85" s="3092"/><c r="AO85" s="3092"/><c r="AP85" s="3092"/><c r="AQ85" s="3092"/><c r="AR85" s="3092"/><c r="AS85" s="3092"/><c r="AT85" s="3092"/><c r="AU85" s="3092"/><c r="AV85" s="3092"/><c r="AW85" s="3092"/><c r="AX85" s="3092"/><c r="AY85" s="3092"/><c r="AZ85" s="3092"/><c r="BA85" s="3092"/><c r="BB85" s="3092"/><c r="BC85" s="3092"/><c r="BD85" s="3092"/><c r="BE85" s="3092"/><c r="BF85" s="3092"/><c r="BG85" s="3092"/><c r="BH85" s="3092"/><c r="BI85" s="3092"/><c r="BJ85" s="3092"/><c r="BK85" s="3092"/><c r="BL85" s="3092"/><c r="BM85" s="3092"/><c r="BN85" s="3092"/><c r="BO85" s="3092"/><c r="BP85" s="3092"/><c r="BQ85" s="3092"/><c r="BR85" s="3092"/><c r="BS85" s="3092"/><c r="BT85" s="3092"/><c r="BU85" s="3092"/><c r="BV85" s="3092"/><c r="BW85" s="3092"/><c r="BX85" s="3092"/><c r="BY85" s="3092"/><c r="BZ85" s="3092"/><c r="CA85" s="3092"/><c r="CB85" s="3092"/><c r="CC85" s="3092"/><c r="CD85" s="3092"/><c r="CE85" s="3092"/><c r="CF85" s="3092"/><c r="CG85" s="3092"/><c r="CH85" s="3092"/><c r="CI85" s="3092"/><c r="CJ85" s="3092"/><c r="CK85" s="3092"/><c r="CL85" s="3092"/><c r="CM85" s="3092"/><c r="CN85" s="3092"/><c r="CO85" s="3092"/><c r="CP85" s="3092"/><c r="CQ85" s="3092"/><c r="CR85" s="3092"/><c r="CS85" s="3092"/><c r="CT85" s="3092"/><c r="CU85" s="3092"/><c r="CV85" s="3092"/><c r="CW85" s="3092"/><c r="CX85" s="3092"/><c r="CY85" s="3092"/><c r="CZ85" s="3092"/><c r="DA85" s="3092"/><c r="DB85" s="3092"/><c r="DC85" s="3092"/><c r="DD85" s="3092"/><c r="DE85" s="3092"/><c r="DF85" s="3092"/><c r="DG85" s="3092"/><c r="DH85" s="3092"/><c r="DI85" s="3092"/><c r="DJ85" s="3092"/><c r="DK85" s="3092"/><c r="DL85" s="3092"/><c r="DM85" s="3092"/><c r="DN85" s="3092"/><c r="DO85" s="3092"/><c r="DP85" s="3092"/><c r="DQ85" s="3092"/><c r="DR85" s="3092"/><c r="DS85" s="3092"/><c r="DT85" s="3092"/><c r="DU85" s="3092"/><c r="DV85" s="3092"/><c r="DW85" s="3092"/><c r="DX85" s="3092"/><c r="DY85" s="3092"/><c r="DZ85" s="3092"/><c r="EA85" s="3092"/><c r="EB85" s="3092"/><c r="EC85" s="3092"/><c r="ED85" s="3092"/><c r="EE85" s="3092"/><c r="EF85" s="3092"/><c r="EG85" s="3092"/><c r="EH85" s="3092"/><c r="EI85" s="3092"/><c r="EJ85" s="3092"/><c r="EK85" s="3092"/><c r="EL85" s="3092"/><c r="EM85" s="3092"/><c r="EN85" s="3092"/><c r="EO85" s="3092"/><c r="EP85" s="3092"/><c r="EQ85" s="3092"/><c r="ER85" s="3092"/><c r="ES85" s="3092"/><c r="ET85" s="3092"/><c r="EU85" s="3092"/><c r="EV85" s="3092"/><c r="EW85" s="3092"/><c r="EX85" s="3092"/><c r="EY85" s="3092"/><c r="EZ85" s="3092"/><c r="FA85" s="3092"/><c r="FB85" s="3092"/><c r="FC85" s="3092"/><c r="FD85" s="3092"/><c r="FE85" s="3092"/><c r="FF85" s="3092"/><c r="FG85" s="3092"/><c r="FH85" s="3092"/><c r="FI85" s="3092"/><c r="FJ85" s="3092"/><c r="FK85" s="3092"/><c r="FL85" s="3092"/><c r="FM85" s="3092"/><c r="FN85" s="3092"/><c r="FO85" s="3092"/><c r="FP85" s="3092"/><c r="FQ85" s="3092"/><c r="FR85" s="3092"/><c r="FS85" s="3092"/><c r="FT85" s="3092"/><c r="FU85" s="3092"/><c r="FV85" s="3092"/><c r="FW85" s="3092"/><c r="FX85" s="3092"/><c r="FY85" s="3092"/><c r="FZ85" s="3092"/><c r="GA85" s="3092"/><c r="GB85" s="3092"/><c r="GC85" s="3092"/><c r="GD85" s="3092"/><c r="GE85" s="3092"/><c r="GF85" s="3092"/><c r="GG85" s="3092"/><c r="GH85" s="3092"/><c r="GI85" s="3092"/><c r="GJ85" s="3092"/><c r="GK85" s="3092"/><c r="GL85" s="3092"/><c r="GM85" s="3092"/><c r="GN85" s="3092"/><c r="GO85" s="3092"/><c r="GP85" s="3092"/><c r="GQ85" s="3092"/><c r="GR85" s="3092"/><c r="GS85" s="3092"/><c r="GT85" s="3092"/><c r="GU85" s="3092"/><c r="GV85" s="3092"/><c r="GW85" s="3092"/><c r="GX85" s="3092"/><c r="GY85" s="3092"/><c r="GZ85" s="3092"/><c r="HA85" s="3092"/><c r="HB85" s="3092"/><c r="HC85" s="3092"/><c r="HD85" s="3092"/><c r="HE85" s="3092"/><c r="HF85" s="3092"/><c r="HG85" s="3092"/><c r="HH85" s="3092"/><c r="HI85" s="3092"/><c r="HJ85" s="3092"/><c r="HK85" s="3092"/><c r="HL85" s="3092"/><c r="HM85" s="3092"/><c r="HN85" s="3092"/><c r="HO85" s="3092"/><c r="HP85" s="3092"/><c r="HQ85" s="3092"/><c r="HR85" s="3092"/><c r="HS85" s="3092"/><c r="HT85" s="3092"/><c r="HU85" s="3092"/><c r="HV85" s="3092"/><c r="HW85" s="3092"/><c r="HX85" s="3092"/><c r="HY85" s="3092"/><c r="HZ85" s="3092"/><c r="IA85" s="3092"/><c r="IB85" s="3092"/><c r="IC85" s="3092"/><c r="ID85" s="3092"/><c r="IE85" s="3092"/><c r="IF85" s="3092"/><c r="IG85" s="3092"/><c r="IH85" s="3092"/><c r="II85" s="3092"/><c r="IJ85" s="3092"/><c r="IK85" s="3092"/><c r="IL85" s="3092"/><c r="IM85" s="3092"/><c r="IN85" s="3092"/><c r="IO85" s="3092"/><c r="IP85" s="3092"/><c r="IQ85" s="3092"/><c r="IR85" s="3092"/><c r="IS85" s="3092"/><c r="IT85" s="3092"/><c r="IU85" s="3092"/><c r="IV85" s="3092"/><c r="IW85" s="3092"/></row><row r="86" spans="2:257" s="3045" customFormat="1" ht="12.75" customHeight="1"><c r="B86" s="3095"/><c r="D86" s="3092"/><c r="E86" s="3092"/><c r="F86" s="3092"/><c r="G86" s="3092"/><c r="H86" s="3092"/><c r="I86" s="3092"/><c r="J86" s="3092"/><c r="K86" s="3092"/><c r="L86" s="3092"/><c r="M86" s="3092"/><c r="N86" s="3092"/><c r="O86" s="3092"/><c r="P86" s="3092"/><c r="Q86" s="3092"/><c r="R86" s="3092"/><c r="S86" s="3092"/><c r="T86" s="3092"/><c r="U86" s="3092"/><c r="V86" s="3092"/><c r="W86" s="3092"/><c r="X86" s="3092"/><c r="Y86" s="3092"/><c r="Z86" s="3092"/><c r="AA86" s="3092"/><c r="AB86" s="3092"/><c r="AC86" s="3092"/><c r="AD86" s="3092"/><c r="AE86" s="3092"/><c r="AF86" s="3092"/><c r="AG86" s="3092"/><c r="AH86" s="3092"/><c r="AI86" s="3092"/><c r="AJ86" s="3092"/><c r="AK86" s="3092"/><c r="AL86" s="3092"/><c r="AM86" s="3092"/><c r="AN86" s="3092"/><c r="AO86" s="3092"/><c r="AP86" s="3092"/><c r="AQ86" s="3092"/><c r="AR86" s="3092"/><c r="AS86" s="3092"/><c r="AT86" s="3092"/><c r="AU86" s="3092"/><c r="AV86" s="3092"/><c r="AW86" s="3092"/><c r="AX86" s="3092"/><c r="AY86" s="3092"/><c r="AZ86" s="3092"/><c r="BA86" s="3092"/><c r="BB86" s="3092"/><c r="BC86" s="3092"/><c r="BD86" s="3092"/><c r="BE86" s="3092"/><c r="BF86" s="3092"/><c r="BG86" s="3092"/><c r="BH86" s="3092"/><c r="BI86" s="3092"/><c r="BJ86" s="3092"/><c r="BK86" s="3092"/><c r="BL86" s="3092"/><c r="BM86" s="3092"/><c r="BN86" s="3092"/><c r="BO86" s="3092"/><c r="BP86" s="3092"/><c r="BQ86" s="3092"/><c r="BR86" s="3092"/><c r="BS86" s="3092"/><c r="BT86" s="3092"/><c r="BU86" s="3092"/><c r="BV86" s="3092"/><c r="BW86" s="3092"/><c r="BX86" s="3092"/><c r="BY86" s="3092"/><c r="BZ86" s="3092"/><c r="CA86" s="3092"/><c r="CB86" s="3092"/><c r="CC86" s="3092"/><c r="CD86" s="3092"/><c r="CE86" s="3092"/><c r="CF86" s="3092"/><c r="CG86" s="3092"/><c r="CH86" s="3092"/><c r="CI86" s="3092"/><c r="CJ86" s="3092"/><c r="CK86" s="3092"/><c r="CL86" s="3092"/><c r="CM86" s="3092"/><c r="CN86" s="3092"/><c r="CO86" s="3092"/><c r="CP86" s="3092"/><c r="CQ86" s="3092"/><c r="CR86" s="3092"/><c r="CS86" s="3092"/><c r="CT86" s="3092"/><c r="CU86" s="3092"/><c r="CV86" s="3092"/><c r="CW86" s="3092"/><c r="CX86" s="3092"/><c r="CY86" s="3092"/><c r="CZ86" s="3092"/><c r="DA86" s="3092"/><c r="DB86" s="3092"/><c r="DC86" s="3092"/><c r="DD86" s="3092"/><c r="DE86" s="3092"/><c r="DF86" s="3092"/><c r="DG86" s="3092"/><c r="DH86" s="3092"/><c r="DI86" s="3092"/><c r="DJ86" s="3092"/><c r="DK86" s="3092"/><c r="DL86" s="3092"/><c r="DM86" s="3092"/><c r="DN86" s="3092"/><c r="DO86" s="3092"/><c r="DP86" s="3092"/><c r="DQ86" s="3092"/><c r="DR86" s="3092"/><c r="DS86" s="3092"/><c r="DT86" s="3092"/><c r="DU86" s="3092"/><c r="DV86" s="3092"/><c r="DW86" s="3092"/><c r="DX86" s="3092"/><c r="DY86" s="3092"/><c r="DZ86" s="3092"/><c r="EA86" s="3092"/><c r="EB86" s="3092"/><c r="EC86" s="3092"/><c r="ED86" s="3092"/><c r="EE86" s="3092"/><c r="EF86" s="3092"/><c r="EG86" s="3092"/><c r="EH86" s="3092"/><c r="EI86" s="3092"/><c r="EJ86" s="3092"/><c r="EK86" s="3092"/><c r="EL86" s="3092"/><c r="EM86" s="3092"/><c r="EN86" s="3092"/><c r="EO86" s="3092"/><c r="EP86" s="3092"/><c r="EQ86" s="3092"/><c r="ER86" s="3092"/><c r="ES86" s="3092"/><c r="ET86" s="3092"/><c r="EU86" s="3092"/><c r="EV86" s="3092"/><c r="EW86" s="3092"/><c r="EX86" s="3092"/><c r="EY86" s="3092"/><c r="EZ86" s="3092"/><c r="FA86" s="3092"/><c r="FB86" s="3092"/><c r="FC86" s="3092"/><c r="FD86" s="3092"/><c r="FE86" s="3092"/><c r="FF86" s="3092"/><c r="FG86" s="3092"/><c r="FH86" s="3092"/><c r="FI86" s="3092"/><c r="FJ86" s="3092"/><c r="FK86" s="3092"/><c r="FL86" s="3092"/><c r="FM86" s="3092"/><c r="FN86" s="3092"/><c r="FO86" s="3092"/><c r="FP86" s="3092"/><c r="FQ86" s="3092"/><c r="FR86" s="3092"/><c r="FS86" s="3092"/><c r="FT86" s="3092"/><c r="FU86" s="3092"/><c r="FV86" s="3092"/><c r="FW86" s="3092"/><c r="FX86" s="3092"/><c r="FY86" s="3092"/><c r="FZ86" s="3092"/><c r="GA86" s="3092"/><c r="GB86" s="3092"/><c r="GC86" s="3092"/><c r="GD86" s="3092"/><c r="GE86" s="3092"/><c r="GF86" s="3092"/><c r="GG86" s="3092"/><c r="GH86" s="3092"/><c r="GI86" s="3092"/><c r="GJ86" s="3092"/><c r="GK86" s="3092"/><c r="GL86" s="3092"/><c r="GM86" s="3092"/><c r="GN86" s="3092"/><c r="GO86" s="3092"/><c r="GP86" s="3092"/><c r="GQ86" s="3092"/><c r="GR86" s="3092"/><c r="GS86" s="3092"/><c r="GT86" s="3092"/><c r="GU86" s="3092"/><c r="GV86" s="3092"/><c r="GW86" s="3092"/><c r="GX86" s="3092"/><c r="GY86" s="3092"/><c r="GZ86" s="3092"/><c r="HA86" s="3092"/><c r="HB86" s="3092"/><c r="HC86" s="3092"/><c r="HD86" s="3092"/><c r="HE86" s="3092"/><c r="HF86" s="3092"/><c r="HG86" s="3092"/><c r="HH86" s="3092"/><c r="HI86" s="3092"/><c r="HJ86" s="3092"/><c r="HK86" s="3092"/><c r="HL86" s="3092"/><c r="HM86" s="3092"/><c r="HN86" s="3092"/><c r="HO86" s="3092"/><c r="HP86" s="3092"/><c r="HQ86" s="3092"/><c r="HR86" s="3092"/><c r="HS86" s="3092"/><c r="HT86" s="3092"/><c r="HU86" s="3092"/><c r="HV86" s="3092"/><c r="HW86" s="3092"/><c r="HX86" s="3092"/><c r="HY86" s="3092"/><c r="HZ86" s="3092"/><c r="IA86" s="3092"/><c r="IB86" s="3092"/><c r="IC86" s="3092"/><c r="ID86" s="3092"/><c r="IE86" s="3092"/><c r="IF86" s="3092"/><c r="IG86" s="3092"/><c r="IH86" s="3092"/><c r="II86" s="3092"/><c r="IJ86" s="3092"/><c r="IK86" s="3092"/><c r="IL86" s="3092"/><c r="IM86" s="3092"/><c r="IN86" s="3092"/><c r="IO86" s="3092"/><c r="IP86" s="3092"/><c r="IQ86" s="3092"/><c r="IR86" s="3092"/><c r="IS86" s="3092"/><c r="IT86" s="3092"/><c r="IU86" s="3092"/><c r="IV86" s="3092"/><c r="IW86" s="3092"/></row><row r="87" spans="2:257" s="3045" customFormat="1" ht="12.75" customHeight="1"><c r="B87" s="3095"/><c r="D87" s="3092"/><c r="E87" s="3092"/><c r="F87" s="3092"/><c r="G87" s="3092"/><c r="H87" s="3092"/><c r="I87" s="3092"/><c r="J87" s="3092"/><c r="K87" s="3092"/><c r="L87" s="3092"/><c r="M87" s="3092"/><c r="N87" s="3092"/><c r="O87" s="3092"/><c r="P87" s="3092"/><c r="Q87" s="3092"/><c r="R87" s="3092"/><c r="S87" s="3092"/><c r="T87" s="3092"/><c r="U87" s="3092"/><c r="V87" s="3092"/><c r="W87" s="3092"/><c r="X87" s="3092"/><c r="Y87" s="3092"/><c r="Z87" s="3092"/><c r="AA87" s="3092"/><c r="AB87" s="3092"/><c r="AC87" s="3092"/><c r="AD87" s="3092"/><c r="AE87" s="3092"/><c r="AF87" s="3092"/><c r="AG87" s="3092"/><c r="AH87" s="3092"/><c r="AI87" s="3092"/><c r="AJ87" s="3092"/><c r="AK87" s="3092"/><c r="AL87" s="3092"/><c r="AM87" s="3092"/><c r="AN87" s="3092"/><c r="AO87" s="3092"/><c r="AP87" s="3092"/><c r="AQ87" s="3092"/><c r="AR87" s="3092"/><c r="AS87" s="3092"/><c r="AT87" s="3092"/><c r="AU87" s="3092"/><c r="AV87" s="3092"/><c r="AW87" s="3092"/><c r="AX87" s="3092"/><c r="AY87" s="3092"/><c r="AZ87" s="3092"/><c r="BA87" s="3092"/><c r="BB87" s="3092"/><c r="BC87" s="3092"/><c r="BD87" s="3092"/><c r="BE87" s="3092"/><c r="BF87" s="3092"/><c r="BG87" s="3092"/><c r="BH87" s="3092"/><c r="BI87" s="3092"/><c r="BJ87" s="3092"/><c r="BK87" s="3092"/><c r="BL87" s="3092"/><c r="BM87" s="3092"/><c r="BN87" s="3092"/><c r="BO87" s="3092"/><c r="BP87" s="3092"/><c r="BQ87" s="3092"/><c r="BR87" s="3092"/><c r="BS87" s="3092"/><c r="BT87" s="3092"/><c r="BU87" s="3092"/><c r="BV87" s="3092"/><c r="BW87" s="3092"/><c r="BX87" s="3092"/><c r="BY87" s="3092"/><c r="BZ87" s="3092"/><c r="CA87" s="3092"/><c r="CB87" s="3092"/><c r="CC87" s="3092"/><c r="CD87" s="3092"/><c r="CE87" s="3092"/><c r="CF87" s="3092"/><c r="CG87" s="3092"/><c r="CH87" s="3092"/><c r="CI87" s="3092"/><c r="CJ87" s="3092"/><c r="CK87" s="3092"/><c r="CL87" s="3092"/><c r="CM87" s="3092"/><c r="CN87" s="3092"/><c r="CO87" s="3092"/><c r="CP87" s="3092"/><c r="CQ87" s="3092"/><c r="CR87" s="3092"/><c r="CS87" s="3092"/><c r="CT87" s="3092"/><c r="CU87" s="3092"/><c r="CV87" s="3092"/><c r="CW87" s="3092"/><c r="CX87" s="3092"/><c r="CY87" s="3092"/><c r="CZ87" s="3092"/><c r="DA87" s="3092"/><c r="DB87" s="3092"/><c r="DC87" s="3092"/><c r="DD87" s="3092"/><c r="DE87" s="3092"/><c r="DF87" s="3092"/><c r="DG87" s="3092"/><c r="DH87" s="3092"/><c r="DI87" s="3092"/><c r="DJ87" s="3092"/><c r="DK87" s="3092"/><c r="DL87" s="3092"/><c r="DM87" s="3092"/><c r="DN87" s="3092"/><c r="DO87" s="3092"/><c r="DP87" s="3092"/><c r="DQ87" s="3092"/><c r="DR87" s="3092"/><c r="DS87" s="3092"/><c r="DT87" s="3092"/><c r="DU87" s="3092"/><c r="DV87" s="3092"/><c r="DW87" s="3092"/><c r="DX87" s="3092"/><c r="DY87" s="3092"/><c r="DZ87" s="3092"/><c r="EA87" s="3092"/><c r="EB87" s="3092"/><c r="EC87" s="3092"/><c r="ED87" s="3092"/><c r="EE87" s="3092"/><c r="EF87" s="3092"/><c r="EG87" s="3092"/><c r="EH87" s="3092"/><c r="EI87" s="3092"/><c r="EJ87" s="3092"/><c r="EK87" s="3092"/><c r="EL87" s="3092"/><c r="EM87" s="3092"/><c r="EN87" s="3092"/><c r="EO87" s="3092"/><c r="EP87" s="3092"/><c r="EQ87" s="3092"/><c r="ER87" s="3092"/><c r="ES87" s="3092"/><c r="ET87" s="3092"/><c r="EU87" s="3092"/><c r="EV87" s="3092"/><c r="EW87" s="3092"/><c r="EX87" s="3092"/><c r="EY87" s="3092"/><c r="EZ87" s="3092"/><c r="FA87" s="3092"/><c r="FB87" s="3092"/><c r="FC87" s="3092"/><c r="FD87" s="3092"/><c r="FE87" s="3092"/><c r="FF87" s="3092"/><c r="FG87" s="3092"/><c r="FH87" s="3092"/><c r="FI87" s="3092"/><c r="FJ87" s="3092"/><c r="FK87" s="3092"/><c r="FL87" s="3092"/><c r="FM87" s="3092"/><c r="FN87" s="3092"/><c r="FO87" s="3092"/><c r="FP87" s="3092"/><c r="FQ87" s="3092"/><c r="FR87" s="3092"/><c r="FS87" s="3092"/><c r="FT87" s="3092"/><c r="FU87" s="3092"/><c r="FV87" s="3092"/><c r="FW87" s="3092"/><c r="FX87" s="3092"/><c r="FY87" s="3092"/><c r="FZ87" s="3092"/><c r="GA87" s="3092"/><c r="GB87" s="3092"/><c r="GC87" s="3092"/><c r="GD87" s="3092"/><c r="GE87" s="3092"/><c r="GF87" s="3092"/><c r="GG87" s="3092"/><c r="GH87" s="3092"/><c r="GI87" s="3092"/><c r="GJ87" s="3092"/><c r="GK87" s="3092"/><c r="GL87" s="3092"/><c r="GM87" s="3092"/><c r="GN87" s="3092"/><c r="GO87" s="3092"/><c r="GP87" s="3092"/><c r="GQ87" s="3092"/><c r="GR87" s="3092"/><c r="GS87" s="3092"/><c r="GT87" s="3092"/><c r="GU87" s="3092"/><c r="GV87" s="3092"/><c r="GW87" s="3092"/><c r="GX87" s="3092"/><c r="GY87" s="3092"/><c r="GZ87" s="3092"/><c r="HA87" s="3092"/><c r="HB87" s="3092"/><c r="HC87" s="3092"/><c r="HD87" s="3092"/><c r="HE87" s="3092"/><c r="HF87" s="3092"/><c r="HG87" s="3092"/><c r="HH87" s="3092"/><c r="HI87" s="3092"/><c r="HJ87" s="3092"/><c r="HK87" s="3092"/><c r="HL87" s="3092"/><c r="HM87" s="3092"/><c r="HN87" s="3092"/><c r="HO87" s="3092"/><c r="HP87" s="3092"/><c r="HQ87" s="3092"/><c r="HR87" s="3092"/><c r="HS87" s="3092"/><c r="HT87" s="3092"/><c r="HU87" s="3092"/><c r="HV87" s="3092"/><c r="HW87" s="3092"/><c r="HX87" s="3092"/><c r="HY87" s="3092"/><c r="HZ87" s="3092"/><c r="IA87" s="3092"/><c r="IB87" s="3092"/><c r="IC87" s="3092"/><c r="ID87" s="3092"/><c r="IE87" s="3092"/><c r="IF87" s="3092"/><c r="IG87" s="3092"/><c r="IH87" s="3092"/><c r="II87" s="3092"/><c r="IJ87" s="3092"/><c r="IK87" s="3092"/><c r="IL87" s="3092"/><c r="IM87" s="3092"/><c r="IN87" s="3092"/><c r="IO87" s="3092"/><c r="IP87" s="3092"/><c r="IQ87" s="3092"/><c r="IR87" s="3092"/><c r="IS87" s="3092"/><c r="IT87" s="3092"/><c r="IU87" s="3092"/><c r="IV87" s="3092"/><c r="IW87" s="3092"/></row><row r="88" spans="2:257" s="3045" customFormat="1" ht="12.75" customHeight="1"><c r="B88" s="3095"/><c r="D88" s="3092"/><c r="E88" s="3092"/><c r="F88" s="3092"/><c r="G88" s="3092"/><c r="H88" s="3092"/><c r="I88" s="3092"/><c r="J88" s="3092"/><c r="K88" s="3092"/><c r="L88" s="3092"/><c r="M88" s="3092"/><c r="N88" s="3092"/><c r="O88" s="3092"/><c r="P88" s="3092"/><c r="Q88" s="3092"/><c r="R88" s="3092"/><c r="S88" s="3092"/><c r="T88" s="3092"/><c r="U88" s="3092"/><c r="V88" s="3092"/><c r="W88" s="3092"/><c r="X88" s="3092"/><c r="Y88" s="3092"/><c r="Z88" s="3092"/><c r="AA88" s="3092"/><c r="AB88" s="3092"/><c r="AC88" s="3092"/><c r="AD88" s="3092"/><c r="AE88" s="3092"/><c r="AF88" s="3092"/><c r="AG88" s="3092"/><c r="AH88" s="3092"/><c r="AI88" s="3092"/><c r="AJ88" s="3092"/><c r="AK88" s="3092"/><c r="AL88" s="3092"/><c r="AM88" s="3092"/><c r="AN88" s="3092"/><c r="AO88" s="3092"/><c r="AP88" s="3092"/><c r="AQ88" s="3092"/><c r="AR88" s="3092"/><c r="AS88" s="3092"/><c r="AT88" s="3092"/><c r="AU88" s="3092"/><c r="AV88" s="3092"/><c r="AW88" s="3092"/><c r="AX88" s="3092"/><c r="AY88" s="3092"/><c r="AZ88" s="3092"/><c r="BA88" s="3092"/><c r="BB88" s="3092"/><c r="BC88" s="3092"/><c r="BD88" s="3092"/><c r="BE88" s="3092"/><c r="BF88" s="3092"/><c r="BG88" s="3092"/><c r="BH88" s="3092"/><c r="BI88" s="3092"/><c r="BJ88" s="3092"/><c r="BK88" s="3092"/><c r="BL88" s="3092"/><c r="BM88" s="3092"/><c r="BN88" s="3092"/><c r="BO88" s="3092"/><c r="BP88" s="3092"/><c r="BQ88" s="3092"/><c r="BR88" s="3092"/><c r="BS88" s="3092"/><c r="BT88" s="3092"/><c r="BU88" s="3092"/><c r="BV88" s="3092"/><c r="BW88" s="3092"/><c r="BX88" s="3092"/><c r="BY88" s="3092"/><c r="BZ88" s="3092"/><c r="CA88" s="3092"/><c r="CB88" s="3092"/><c r="CC88" s="3092"/><c r="CD88" s="3092"/><c r="CE88" s="3092"/><c r="CF88" s="3092"/><c r="CG88" s="3092"/><c r="CH88" s="3092"/><c r="CI88" s="3092"/><c r="CJ88" s="3092"/><c r="CK88" s="3092"/><c r="CL88" s="3092"/><c r="CM88" s="3092"/><c r="CN88" s="3092"/><c r="CO88" s="3092"/><c r="CP88" s="3092"/><c r="CQ88" s="3092"/><c r="CR88" s="3092"/><c r="CS88" s="3092"/><c r="CT88" s="3092"/><c r="CU88" s="3092"/><c r="CV88" s="3092"/><c r="CW88" s="3092"/><c r="CX88" s="3092"/><c r="CY88" s="3092"/><c r="CZ88" s="3092"/><c r="DA88" s="3092"/><c r="DB88" s="3092"/><c r="DC88" s="3092"/><c r="DD88" s="3092"/><c r="DE88" s="3092"/><c r="DF88" s="3092"/><c r="DG88" s="3092"/><c r="DH88" s="3092"/><c r="DI88" s="3092"/><c r="DJ88" s="3092"/><c r="DK88" s="3092"/><c r="DL88" s="3092"/><c r="DM88" s="3092"/><c r="DN88" s="3092"/><c r="DO88" s="3092"/><c r="DP88" s="3092"/><c r="DQ88" s="3092"/><c r="DR88" s="3092"/><c r="DS88" s="3092"/><c r="DT88" s="3092"/><c r="DU88" s="3092"/><c r="DV88" s="3092"/><c r="DW88" s="3092"/><c r="DX88" s="3092"/><c r="DY88" s="3092"/><c r="DZ88" s="3092"/><c r="EA88" s="3092"/><c r="EB88" s="3092"/><c r="EC88" s="3092"/><c r="ED88" s="3092"/><c r="EE88" s="3092"/><c r="EF88" s="3092"/><c r="EG88" s="3092"/><c r="EH88" s="3092"/><c r="EI88" s="3092"/><c r="EJ88" s="3092"/><c r="EK88" s="3092"/><c r="EL88" s="3092"/><c r="EM88" s="3092"/><c r="EN88" s="3092"/><c r="EO88" s="3092"/><c r="EP88" s="3092"/><c r="EQ88" s="3092"/><c r="ER88" s="3092"/><c r="ES88" s="3092"/><c r="ET88" s="3092"/><c r="EU88" s="3092"/><c r="EV88" s="3092"/><c r="EW88" s="3092"/><c r="EX88" s="3092"/><c r="EY88" s="3092"/><c r="EZ88" s="3092"/><c r="FA88" s="3092"/><c r="FB88" s="3092"/><c r="FC88" s="3092"/><c r="FD88" s="3092"/><c r="FE88" s="3092"/><c r="FF88" s="3092"/><c r="FG88" s="3092"/><c r="FH88" s="3092"/><c r="FI88" s="3092"/><c r="FJ88" s="3092"/><c r="FK88" s="3092"/><c r="FL88" s="3092"/><c r="FM88" s="3092"/><c r="FN88" s="3092"/><c r="FO88" s="3092"/><c r="FP88" s="3092"/><c r="FQ88" s="3092"/><c r="FR88" s="3092"/><c r="FS88" s="3092"/><c r="FT88" s="3092"/><c r="FU88" s="3092"/><c r="FV88" s="3092"/><c r="FW88" s="3092"/><c r="FX88" s="3092"/><c r="FY88" s="3092"/><c r="FZ88" s="3092"/><c r="GA88" s="3092"/><c r="GB88" s="3092"/><c r="GC88" s="3092"/><c r="GD88" s="3092"/><c r="GE88" s="3092"/><c r="GF88" s="3092"/><c r="GG88" s="3092"/><c r="GH88" s="3092"/><c r="GI88" s="3092"/><c r="GJ88" s="3092"/><c r="GK88" s="3092"/><c r="GL88" s="3092"/><c r="GM88" s="3092"/><c r="GN88" s="3092"/><c r="GO88" s="3092"/><c r="GP88" s="3092"/><c r="GQ88" s="3092"/><c r="GR88" s="3092"/><c r="GS88" s="3092"/><c r="GT88" s="3092"/><c r="GU88" s="3092"/><c r="GV88" s="3092"/><c r="GW88" s="3092"/><c r="GX88" s="3092"/><c r="GY88" s="3092"/><c r="GZ88" s="3092"/><c r="HA88" s="3092"/><c r="HB88" s="3092"/><c r="HC88" s="3092"/><c r="HD88" s="3092"/><c r="HE88" s="3092"/><c r="HF88" s="3092"/><c r="HG88" s="3092"/><c r="HH88" s="3092"/><c r="HI88" s="3092"/><c r="HJ88" s="3092"/><c r="HK88" s="3092"/><c r="HL88" s="3092"/><c r="HM88" s="3092"/><c r="HN88" s="3092"/><c r="HO88" s="3092"/><c r="HP88" s="3092"/><c r="HQ88" s="3092"/><c r="HR88" s="3092"/><c r="HS88" s="3092"/><c r="HT88" s="3092"/><c r="HU88" s="3092"/><c r="HV88" s="3092"/><c r="HW88" s="3092"/><c r="HX88" s="3092"/><c r="HY88" s="3092"/><c r="HZ88" s="3092"/><c r="IA88" s="3092"/><c r="IB88" s="3092"/><c r="IC88" s="3092"/><c r="ID88" s="3092"/><c r="IE88" s="3092"/><c r="IF88" s="3092"/><c r="IG88" s="3092"/><c r="IH88" s="3092"/><c r="II88" s="3092"/><c r="IJ88" s="3092"/><c r="IK88" s="3092"/><c r="IL88" s="3092"/><c r="IM88" s="3092"/><c r="IN88" s="3092"/><c r="IO88" s="3092"/><c r="IP88" s="3092"/><c r="IQ88" s="3092"/><c r="IR88" s="3092"/><c r="IS88" s="3092"/><c r="IT88" s="3092"/><c r="IU88" s="3092"/><c r="IV88" s="3092"/><c r="IW88" s="3092"/></row><row r="89" spans="2:257" s="3045" customFormat="1" ht="12.75" customHeight="1"><c r="B89" s="3095"/><c r="D89" s="3092"/><c r="E89" s="3092"/><c r="F89" s="3092"/><c r="G89" s="3092"/><c r="H89" s="3092"/><c r="I89" s="3092"/><c r="J89" s="3092"/><c r="K89" s="3092"/><c r="L89" s="3092"/><c r="M89" s="3092"/><c r="N89" s="3092"/><c r="O89" s="3092"/><c r="P89" s="3092"/><c r="Q89" s="3092"/><c r="R89" s="3092"/><c r="S89" s="3092"/><c r="T89" s="3092"/><c r="U89" s="3092"/><c r="V89" s="3092"/><c r="W89" s="3092"/><c r="X89" s="3092"/><c r="Y89" s="3092"/><c r="Z89" s="3092"/><c r="AA89" s="3092"/><c r="AB89" s="3092"/><c r="AC89" s="3092"/><c r="AD89" s="3092"/><c r="AE89" s="3092"/><c r="AF89" s="3092"/><c r="AG89" s="3092"/><c r="AH89" s="3092"/><c r="AI89" s="3092"/><c r="AJ89" s="3092"/><c r="AK89" s="3092"/><c r="AL89" s="3092"/><c r="AM89" s="3092"/><c r="AN89" s="3092"/><c r="AO89" s="3092"/><c r="AP89" s="3092"/><c r="AQ89" s="3092"/><c r="AR89" s="3092"/><c r="AS89" s="3092"/><c r="AT89" s="3092"/><c r="AU89" s="3092"/><c r="AV89" s="3092"/><c r="AW89" s="3092"/><c r="AX89" s="3092"/><c r="AY89" s="3092"/><c r="AZ89" s="3092"/><c r="BA89" s="3092"/><c r="BB89" s="3092"/><c r="BC89" s="3092"/><c r="BD89" s="3092"/><c r="BE89" s="3092"/><c r="BF89" s="3092"/><c r="BG89" s="3092"/><c r="BH89" s="3092"/><c r="BI89" s="3092"/><c r="BJ89" s="3092"/><c r="BK89" s="3092"/><c r="BL89" s="3092"/><c r="BM89" s="3092"/><c r="BN89" s="3092"/><c r="BO89" s="3092"/><c r="BP89" s="3092"/><c r="BQ89" s="3092"/><c r="BR89" s="3092"/><c r="BS89" s="3092"/><c r="BT89" s="3092"/><c r="BU89" s="3092"/><c r="BV89" s="3092"/><c r="BW89" s="3092"/><c r="BX89" s="3092"/><c r="BY89" s="3092"/><c r="BZ89" s="3092"/><c r="CA89" s="3092"/><c r="CB89" s="3092"/><c r="CC89" s="3092"/><c r="CD89" s="3092"/><c r="CE89" s="3092"/><c r="CF89" s="3092"/><c r="CG89" s="3092"/><c r="CH89" s="3092"/><c r="CI89" s="3092"/><c r="CJ89" s="3092"/><c r="CK89" s="3092"/><c r="CL89" s="3092"/><c r="CM89" s="3092"/><c r="CN89" s="3092"/><c r="CO89" s="3092"/><c r="CP89" s="3092"/><c r="CQ89" s="3092"/><c r="CR89" s="3092"/><c r="CS89" s="3092"/><c r="CT89" s="3092"/><c r="CU89" s="3092"/><c r="CV89" s="3092"/><c r="CW89" s="3092"/><c r="CX89" s="3092"/><c r="CY89" s="3092"/><c r="CZ89" s="3092"/><c r="DA89" s="3092"/><c r="DB89" s="3092"/><c r="DC89" s="3092"/><c r="DD89" s="3092"/><c r="DE89" s="3092"/><c r="DF89" s="3092"/><c r="DG89" s="3092"/><c r="DH89" s="3092"/><c r="DI89" s="3092"/><c r="DJ89" s="3092"/><c r="DK89" s="3092"/><c r="DL89" s="3092"/><c r="DM89" s="3092"/><c r="DN89" s="3092"/><c r="DO89" s="3092"/><c r="DP89" s="3092"/><c r="DQ89" s="3092"/><c r="DR89" s="3092"/><c r="DS89" s="3092"/><c r="DT89" s="3092"/><c r="DU89" s="3092"/><c r="DV89" s="3092"/><c r="DW89" s="3092"/><c r="DX89" s="3092"/><c r="DY89" s="3092"/><c r="DZ89" s="3092"/><c r="EA89" s="3092"/><c r="EB89" s="3092"/><c r="EC89" s="3092"/><c r="ED89" s="3092"/><c r="EE89" s="3092"/><c r="EF89" s="3092"/><c r="EG89" s="3092"/><c r="EH89" s="3092"/><c r="EI89" s="3092"/><c r="EJ89" s="3092"/><c r="EK89" s="3092"/><c r="EL89" s="3092"/><c r="EM89" s="3092"/><c r="EN89" s="3092"/><c r="EO89" s="3092"/><c r="EP89" s="3092"/><c r="EQ89" s="3092"/><c r="ER89" s="3092"/><c r="ES89" s="3092"/><c r="ET89" s="3092"/><c r="EU89" s="3092"/><c r="EV89" s="3092"/><c r="EW89" s="3092"/><c r="EX89" s="3092"/><c r="EY89" s="3092"/><c r="EZ89" s="3092"/><c r="FA89" s="3092"/><c r="FB89" s="3092"/><c r="FC89" s="3092"/><c r="FD89" s="3092"/><c r="FE89" s="3092"/><c r="FF89" s="3092"/><c r="FG89" s="3092"/><c r="FH89" s="3092"/><c r="FI89" s="3092"/><c r="FJ89" s="3092"/><c r="FK89" s="3092"/><c r="FL89" s="3092"/><c r="FM89" s="3092"/><c r="FN89" s="3092"/><c r="FO89" s="3092"/><c r="FP89" s="3092"/><c r="FQ89" s="3092"/><c r="FR89" s="3092"/><c r="FS89" s="3092"/><c r="FT89" s="3092"/><c r="FU89" s="3092"/><c r="FV89" s="3092"/><c r="FW89" s="3092"/><c r="FX89" s="3092"/><c r="FY89" s="3092"/><c r="FZ89" s="3092"/><c r="GA89" s="3092"/><c r="GB89" s="3092"/><c r="GC89" s="3092"/><c r="GD89" s="3092"/><c r="GE89" s="3092"/><c r="GF89" s="3092"/><c r="GG89" s="3092"/><c r="GH89" s="3092"/><c r="GI89" s="3092"/><c r="GJ89" s="3092"/><c r="GK89" s="3092"/><c r="GL89" s="3092"/><c r="GM89" s="3092"/><c r="GN89" s="3092"/><c r="GO89" s="3092"/><c r="GP89" s="3092"/><c r="GQ89" s="3092"/><c r="GR89" s="3092"/><c r="GS89" s="3092"/><c r="GT89" s="3092"/><c r="GU89" s="3092"/><c r="GV89" s="3092"/><c r="GW89" s="3092"/><c r="GX89" s="3092"/><c r="GY89" s="3092"/><c r="GZ89" s="3092"/><c r="HA89" s="3092"/><c r="HB89" s="3092"/><c r="HC89" s="3092"/><c r="HD89" s="3092"/><c r="HE89" s="3092"/><c r="HF89" s="3092"/><c r="HG89" s="3092"/><c r="HH89" s="3092"/><c r="HI89" s="3092"/><c r="HJ89" s="3092"/><c r="HK89" s="3092"/><c r="HL89" s="3092"/><c r="HM89" s="3092"/><c r="HN89" s="3092"/><c r="HO89" s="3092"/><c r="HP89" s="3092"/><c r="HQ89" s="3092"/><c r="HR89" s="3092"/><c r="HS89" s="3092"/><c r="HT89" s="3092"/><c r="HU89" s="3092"/><c r="HV89" s="3092"/><c r="HW89" s="3092"/><c r="HX89" s="3092"/><c r="HY89" s="3092"/><c r="HZ89" s="3092"/><c r="IA89" s="3092"/><c r="IB89" s="3092"/><c r="IC89" s="3092"/><c r="ID89" s="3092"/><c r="IE89" s="3092"/><c r="IF89" s="3092"/><c r="IG89" s="3092"/><c r="IH89" s="3092"/><c r="II89" s="3092"/><c r="IJ89" s="3092"/><c r="IK89" s="3092"/><c r="IL89" s="3092"/><c r="IM89" s="3092"/><c r="IN89" s="3092"/><c r="IO89" s="3092"/><c r="IP89" s="3092"/><c r="IQ89" s="3092"/><c r="IR89" s="3092"/><c r="IS89" s="3092"/><c r="IT89" s="3092"/><c r="IU89" s="3092"/><c r="IV89" s="3092"/><c r="IW89" s="3092"/></row><row r="90" spans="2:257" s="3045" customFormat="1" ht="12.75" customHeight="1"><c r="B90" s="3095"/><c r="D90" s="3092"/><c r="E90" s="3092"/><c r="F90" s="3092"/><c r="G90" s="3092"/><c r="H90" s="3092"/><c r="I90" s="3092"/><c r="J90" s="3092"/><c r="K90" s="3092"/><c r="L90" s="3092"/><c r="M90" s="3092"/><c r="N90" s="3092"/><c r="O90" s="3092"/><c r="P90" s="3092"/><c r="Q90" s="3092"/><c r="R90" s="3092"/><c r="S90" s="3092"/><c r="T90" s="3092"/><c r="U90" s="3092"/><c r="V90" s="3092"/><c r="W90" s="3092"/><c r="X90" s="3092"/><c r="Y90" s="3092"/><c r="Z90" s="3092"/><c r="AA90" s="3092"/><c r="AB90" s="3092"/><c r="AC90" s="3092"/><c r="AD90" s="3092"/><c r="AE90" s="3092"/><c r="AF90" s="3092"/><c r="AG90" s="3092"/><c r="AH90" s="3092"/><c r="AI90" s="3092"/><c r="AJ90" s="3092"/><c r="AK90" s="3092"/><c r="AL90" s="3092"/><c r="AM90" s="3092"/><c r="AN90" s="3092"/><c r="AO90" s="3092"/><c r="AP90" s="3092"/><c r="AQ90" s="3092"/><c r="AR90" s="3092"/><c r="AS90" s="3092"/><c r="AT90" s="3092"/><c r="AU90" s="3092"/><c r="AV90" s="3092"/><c r="AW90" s="3092"/><c r="AX90" s="3092"/><c r="AY90" s="3092"/><c r="AZ90" s="3092"/><c r="BA90" s="3092"/><c r="BB90" s="3092"/><c r="BC90" s="3092"/><c r="BD90" s="3092"/><c r="BE90" s="3092"/><c r="BF90" s="3092"/><c r="BG90" s="3092"/><c r="BH90" s="3092"/><c r="BI90" s="3092"/><c r="BJ90" s="3092"/><c r="BK90" s="3092"/><c r="BL90" s="3092"/><c r="BM90" s="3092"/><c r="BN90" s="3092"/><c r="BO90" s="3092"/><c r="BP90" s="3092"/><c r="BQ90" s="3092"/><c r="BR90" s="3092"/><c r="BS90" s="3092"/><c r="BT90" s="3092"/><c r="BU90" s="3092"/><c r="BV90" s="3092"/><c r="BW90" s="3092"/><c r="BX90" s="3092"/><c r="BY90" s="3092"/><c r="BZ90" s="3092"/><c r="CA90" s="3092"/><c r="CB90" s="3092"/><c r="CC90" s="3092"/><c r="CD90" s="3092"/><c r="CE90" s="3092"/><c r="CF90" s="3092"/><c r="CG90" s="3092"/><c r="CH90" s="3092"/><c r="CI90" s="3092"/><c r="CJ90" s="3092"/><c r="CK90" s="3092"/><c r="CL90" s="3092"/><c r="CM90" s="3092"/><c r="CN90" s="3092"/><c r="CO90" s="3092"/><c r="CP90" s="3092"/><c r="CQ90" s="3092"/><c r="CR90" s="3092"/><c r="CS90" s="3092"/><c r="CT90" s="3092"/><c r="CU90" s="3092"/><c r="CV90" s="3092"/><c r="CW90" s="3092"/><c r="CX90" s="3092"/><c r="CY90" s="3092"/><c r="CZ90" s="3092"/><c r="DA90" s="3092"/><c r="DB90" s="3092"/><c r="DC90" s="3092"/><c r="DD90" s="3092"/><c r="DE90" s="3092"/><c r="DF90" s="3092"/><c r="DG90" s="3092"/><c r="DH90" s="3092"/><c r="DI90" s="3092"/><c r="DJ90" s="3092"/><c r="DK90" s="3092"/><c r="DL90" s="3092"/><c r="DM90" s="3092"/><c r="DN90" s="3092"/><c r="DO90" s="3092"/><c r="DP90" s="3092"/><c r="DQ90" s="3092"/><c r="DR90" s="3092"/><c r="DS90" s="3092"/><c r="DT90" s="3092"/><c r="DU90" s="3092"/><c r="DV90" s="3092"/><c r="DW90" s="3092"/><c r="DX90" s="3092"/><c r="DY90" s="3092"/><c r="DZ90" s="3092"/><c r="EA90" s="3092"/><c r="EB90" s="3092"/><c r="EC90" s="3092"/><c r="ED90" s="3092"/><c r="EE90" s="3092"/><c r="EF90" s="3092"/><c r="EG90" s="3092"/><c r="EH90" s="3092"/><c r="EI90" s="3092"/><c r="EJ90" s="3092"/><c r="EK90" s="3092"/><c r="EL90" s="3092"/><c r="EM90" s="3092"/><c r="EN90" s="3092"/><c r="EO90" s="3092"/><c r="EP90" s="3092"/><c r="EQ90" s="3092"/><c r="ER90" s="3092"/><c r="ES90" s="3092"/><c r="ET90" s="3092"/><c r="EU90" s="3092"/><c r="EV90" s="3092"/><c r="EW90" s="3092"/><c r="EX90" s="3092"/><c r="EY90" s="3092"/><c r="EZ90" s="3092"/><c r="FA90" s="3092"/><c r="FB90" s="3092"/><c r="FC90" s="3092"/><c r="FD90" s="3092"/><c r="FE90" s="3092"/><c r="FF90" s="3092"/><c r="FG90" s="3092"/><c r="FH90" s="3092"/><c r="FI90" s="3092"/><c r="FJ90" s="3092"/><c r="FK90" s="3092"/><c r="FL90" s="3092"/><c r="FM90" s="3092"/><c r="FN90" s="3092"/><c r="FO90" s="3092"/><c r="FP90" s="3092"/><c r="FQ90" s="3092"/><c r="FR90" s="3092"/><c r="FS90" s="3092"/><c r="FT90" s="3092"/><c r="FU90" s="3092"/><c r="FV90" s="3092"/><c r="FW90" s="3092"/><c r="FX90" s="3092"/><c r="FY90" s="3092"/><c r="FZ90" s="3092"/><c r="GA90" s="3092"/><c r="GB90" s="3092"/><c r="GC90" s="3092"/><c r="GD90" s="3092"/><c r="GE90" s="3092"/><c r="GF90" s="3092"/><c r="GG90" s="3092"/><c r="GH90" s="3092"/><c r="GI90" s="3092"/><c r="GJ90" s="3092"/><c r="GK90" s="3092"/><c r="GL90" s="3092"/><c r="GM90" s="3092"/><c r="GN90" s="3092"/><c r="GO90" s="3092"/><c r="GP90" s="3092"/><c r="GQ90" s="3092"/><c r="GR90" s="3092"/><c r="GS90" s="3092"/><c r="GT90" s="3092"/><c r="GU90" s="3092"/><c r="GV90" s="3092"/><c r="GW90" s="3092"/><c r="GX90" s="3092"/><c r="GY90" s="3092"/><c r="GZ90" s="3092"/><c r="HA90" s="3092"/><c r="HB90" s="3092"/><c r="HC90" s="3092"/><c r="HD90" s="3092"/><c r="HE90" s="3092"/><c r="HF90" s="3092"/><c r="HG90" s="3092"/><c r="HH90" s="3092"/><c r="HI90" s="3092"/><c r="HJ90" s="3092"/><c r="HK90" s="3092"/><c r="HL90" s="3092"/><c r="HM90" s="3092"/><c r="HN90" s="3092"/><c r="HO90" s="3092"/><c r="HP90" s="3092"/><c r="HQ90" s="3092"/><c r="HR90" s="3092"/><c r="HS90" s="3092"/><c r="HT90" s="3092"/><c r="HU90" s="3092"/><c r="HV90" s="3092"/><c r="HW90" s="3092"/><c r="HX90" s="3092"/><c r="HY90" s="3092"/><c r="HZ90" s="3092"/><c r="IA90" s="3092"/><c r="IB90" s="3092"/><c r="IC90" s="3092"/><c r="ID90" s="3092"/><c r="IE90" s="3092"/><c r="IF90" s="3092"/><c r="IG90" s="3092"/><c r="IH90" s="3092"/><c r="II90" s="3092"/><c r="IJ90" s="3092"/><c r="IK90" s="3092"/><c r="IL90" s="3092"/><c r="IM90" s="3092"/><c r="IN90" s="3092"/><c r="IO90" s="3092"/><c r="IP90" s="3092"/><c r="IQ90" s="3092"/><c r="IR90" s="3092"/><c r="IS90" s="3092"/><c r="IT90" s="3092"/><c r="IU90" s="3092"/><c r="IV90" s="3092"/><c r="IW90" s="3092"/></row><row r="91" spans="2:257" s="3045" customFormat="1" ht="12.75" customHeight="1"><c r="B91" s="3095"/><c r="D91" s="3092"/><c r="E91" s="3092"/><c r="F91" s="3092"/><c r="G91" s="3092"/><c r="H91" s="3092"/><c r="I91" s="3092"/><c r="J91" s="3092"/><c r="K91" s="3092"/><c r="L91" s="3092"/><c r="M91" s="3092"/><c r="N91" s="3092"/><c r="O91" s="3092"/><c r="P91" s="3092"/><c r="Q91" s="3092"/><c r="R91" s="3092"/><c r="S91" s="3092"/><c r="T91" s="3092"/><c r="U91" s="3092"/><c r="V91" s="3092"/><c r="W91" s="3092"/><c r="X91" s="3092"/><c r="Y91" s="3092"/><c r="Z91" s="3092"/><c r="AA91" s="3092"/><c r="AB91" s="3092"/><c r="AC91" s="3092"/><c r="AD91" s="3092"/><c r="AE91" s="3092"/><c r="AF91" s="3092"/><c r="AG91" s="3092"/><c r="AH91" s="3092"/><c r="AI91" s="3092"/><c r="AJ91" s="3092"/><c r="AK91" s="3092"/><c r="AL91" s="3092"/><c r="AM91" s="3092"/><c r="AN91" s="3092"/><c r="AO91" s="3092"/><c r="AP91" s="3092"/><c r="AQ91" s="3092"/><c r="AR91" s="3092"/><c r="AS91" s="3092"/><c r="AT91" s="3092"/><c r="AU91" s="3092"/><c r="AV91" s="3092"/><c r="AW91" s="3092"/><c r="AX91" s="3092"/><c r="AY91" s="3092"/><c r="AZ91" s="3092"/><c r="BA91" s="3092"/><c r="BB91" s="3092"/><c r="BC91" s="3092"/><c r="BD91" s="3092"/><c r="BE91" s="3092"/><c r="BF91" s="3092"/><c r="BG91" s="3092"/><c r="BH91" s="3092"/><c r="BI91" s="3092"/><c r="BJ91" s="3092"/><c r="BK91" s="3092"/><c r="BL91" s="3092"/><c r="BM91" s="3092"/><c r="BN91" s="3092"/><c r="BO91" s="3092"/><c r="BP91" s="3092"/><c r="BQ91" s="3092"/><c r="BR91" s="3092"/><c r="BS91" s="3092"/><c r="BT91" s="3092"/><c r="BU91" s="3092"/><c r="BV91" s="3092"/><c r="BW91" s="3092"/><c r="BX91" s="3092"/><c r="BY91" s="3092"/><c r="BZ91" s="3092"/><c r="CA91" s="3092"/><c r="CB91" s="3092"/><c r="CC91" s="3092"/><c r="CD91" s="3092"/><c r="CE91" s="3092"/><c r="CF91" s="3092"/><c r="CG91" s="3092"/><c r="CH91" s="3092"/><c r="CI91" s="3092"/><c r="CJ91" s="3092"/><c r="CK91" s="3092"/><c r="CL91" s="3092"/><c r="CM91" s="3092"/><c r="CN91" s="3092"/><c r="CO91" s="3092"/><c r="CP91" s="3092"/><c r="CQ91" s="3092"/><c r="CR91" s="3092"/><c r="CS91" s="3092"/><c r="CT91" s="3092"/><c r="CU91" s="3092"/><c r="CV91" s="3092"/><c r="CW91" s="3092"/><c r="CX91" s="3092"/><c r="CY91" s="3092"/><c r="CZ91" s="3092"/><c r="DA91" s="3092"/><c r="DB91" s="3092"/><c r="DC91" s="3092"/><c r="DD91" s="3092"/><c r="DE91" s="3092"/><c r="DF91" s="3092"/><c r="DG91" s="3092"/><c r="DH91" s="3092"/><c r="DI91" s="3092"/><c r="DJ91" s="3092"/><c r="DK91" s="3092"/><c r="DL91" s="3092"/><c r="DM91" s="3092"/><c r="DN91" s="3092"/><c r="DO91" s="3092"/><c r="DP91" s="3092"/><c r="DQ91" s="3092"/><c r="DR91" s="3092"/><c r="DS91" s="3092"/><c r="DT91" s="3092"/><c r="DU91" s="3092"/><c r="DV91" s="3092"/><c r="DW91" s="3092"/><c r="DX91" s="3092"/><c r="DY91" s="3092"/><c r="DZ91" s="3092"/><c r="EA91" s="3092"/><c r="EB91" s="3092"/><c r="EC91" s="3092"/><c r="ED91" s="3092"/><c r="EE91" s="3092"/><c r="EF91" s="3092"/><c r="EG91" s="3092"/><c r="EH91" s="3092"/><c r="EI91" s="3092"/><c r="EJ91" s="3092"/><c r="EK91" s="3092"/><c r="EL91" s="3092"/><c r="EM91" s="3092"/><c r="EN91" s="3092"/><c r="EO91" s="3092"/><c r="EP91" s="3092"/><c r="EQ91" s="3092"/><c r="ER91" s="3092"/><c r="ES91" s="3092"/><c r="ET91" s="3092"/><c r="EU91" s="3092"/><c r="EV91" s="3092"/><c r="EW91" s="3092"/><c r="EX91" s="3092"/><c r="EY91" s="3092"/><c r="EZ91" s="3092"/><c r="FA91" s="3092"/><c r="FB91" s="3092"/><c r="FC91" s="3092"/><c r="FD91" s="3092"/><c r="FE91" s="3092"/><c r="FF91" s="3092"/><c r="FG91" s="3092"/><c r="FH91" s="3092"/><c r="FI91" s="3092"/><c r="FJ91" s="3092"/><c r="FK91" s="3092"/><c r="FL91" s="3092"/><c r="FM91" s="3092"/><c r="FN91" s="3092"/><c r="FO91" s="3092"/><c r="FP91" s="3092"/><c r="FQ91" s="3092"/><c r="FR91" s="3092"/><c r="FS91" s="3092"/><c r="FT91" s="3092"/><c r="FU91" s="3092"/><c r="FV91" s="3092"/><c r="FW91" s="3092"/><c r="FX91" s="3092"/><c r="FY91" s="3092"/><c r="FZ91" s="3092"/><c r="GA91" s="3092"/><c r="GB91" s="3092"/><c r="GC91" s="3092"/><c r="GD91" s="3092"/><c r="GE91" s="3092"/><c r="GF91" s="3092"/><c r="GG91" s="3092"/><c r="GH91" s="3092"/><c r="GI91" s="3092"/><c r="GJ91" s="3092"/><c r="GK91" s="3092"/><c r="GL91" s="3092"/><c r="GM91" s="3092"/><c r="GN91" s="3092"/><c r="GO91" s="3092"/><c r="GP91" s="3092"/><c r="GQ91" s="3092"/><c r="GR91" s="3092"/><c r="GS91" s="3092"/><c r="GT91" s="3092"/><c r="GU91" s="3092"/><c r="GV91" s="3092"/><c r="GW91" s="3092"/><c r="GX91" s="3092"/><c r="GY91" s="3092"/><c r="GZ91" s="3092"/><c r="HA91" s="3092"/><c r="HB91" s="3092"/><c r="HC91" s="3092"/><c r="HD91" s="3092"/><c r="HE91" s="3092"/><c r="HF91" s="3092"/><c r="HG91" s="3092"/><c r="HH91" s="3092"/><c r="HI91" s="3092"/><c r="HJ91" s="3092"/><c r="HK91" s="3092"/><c r="HL91" s="3092"/><c r="HM91" s="3092"/><c r="HN91" s="3092"/><c r="HO91" s="3092"/><c r="HP91" s="3092"/><c r="HQ91" s="3092"/><c r="HR91" s="3092"/><c r="HS91" s="3092"/><c r="HT91" s="3092"/><c r="HU91" s="3092"/><c r="HV91" s="3092"/><c r="HW91" s="3092"/><c r="HX91" s="3092"/><c r="HY91" s="3092"/><c r="HZ91" s="3092"/><c r="IA91" s="3092"/><c r="IB91" s="3092"/><c r="IC91" s="3092"/><c r="ID91" s="3092"/><c r="IE91" s="3092"/><c r="IF91" s="3092"/><c r="IG91" s="3092"/><c r="IH91" s="3092"/><c r="II91" s="3092"/><c r="IJ91" s="3092"/><c r="IK91" s="3092"/><c r="IL91" s="3092"/><c r="IM91" s="3092"/><c r="IN91" s="3092"/><c r="IO91" s="3092"/><c r="IP91" s="3092"/><c r="IQ91" s="3092"/><c r="IR91" s="3092"/><c r="IS91" s="3092"/><c r="IT91" s="3092"/><c r="IU91" s="3092"/><c r="IV91" s="3092"/><c r="IW91" s="3092"/></row><row r="92" spans="2:257" s="3045" customFormat="1" ht="12.75" customHeight="1"><c r="B92" s="3095"/><c r="D92" s="3092"/><c r="E92" s="3092"/><c r="F92" s="3092"/><c r="G92" s="3092"/><c r="H92" s="3092"/><c r="I92" s="3092"/><c r="J92" s="3092"/><c r="K92" s="3092"/><c r="L92" s="3092"/><c r="M92" s="3092"/><c r="N92" s="3092"/><c r="O92" s="3092"/><c r="P92" s="3092"/><c r="Q92" s="3092"/><c r="R92" s="3092"/><c r="S92" s="3092"/><c r="T92" s="3092"/><c r="U92" s="3092"/><c r="V92" s="3092"/><c r="W92" s="3092"/><c r="X92" s="3092"/><c r="Y92" s="3092"/><c r="Z92" s="3092"/><c r="AA92" s="3092"/><c r="AB92" s="3092"/><c r="AC92" s="3092"/><c r="AD92" s="3092"/><c r="AE92" s="3092"/><c r="AF92" s="3092"/><c r="AG92" s="3092"/><c r="AH92" s="3092"/><c r="AI92" s="3092"/><c r="AJ92" s="3092"/><c r="AK92" s="3092"/><c r="AL92" s="3092"/><c r="AM92" s="3092"/><c r="AN92" s="3092"/><c r="AO92" s="3092"/><c r="AP92" s="3092"/><c r="AQ92" s="3092"/><c r="AR92" s="3092"/><c r="AS92" s="3092"/><c r="AT92" s="3092"/><c r="AU92" s="3092"/><c r="AV92" s="3092"/><c r="AW92" s="3092"/><c r="AX92" s="3092"/><c r="AY92" s="3092"/><c r="AZ92" s="3092"/><c r="BA92" s="3092"/><c r="BB92" s="3092"/><c r="BC92" s="3092"/><c r="BD92" s="3092"/><c r="BE92" s="3092"/><c r="BF92" s="3092"/><c r="BG92" s="3092"/><c r="BH92" s="3092"/><c r="BI92" s="3092"/><c r="BJ92" s="3092"/><c r="BK92" s="3092"/><c r="BL92" s="3092"/><c r="BM92" s="3092"/><c r="BN92" s="3092"/><c r="BO92" s="3092"/><c r="BP92" s="3092"/><c r="BQ92" s="3092"/><c r="BR92" s="3092"/><c r="BS92" s="3092"/><c r="BT92" s="3092"/><c r="BU92" s="3092"/><c r="BV92" s="3092"/><c r="BW92" s="3092"/><c r="BX92" s="3092"/><c r="BY92" s="3092"/><c r="BZ92" s="3092"/><c r="CA92" s="3092"/><c r="CB92" s="3092"/><c r="CC92" s="3092"/><c r="CD92" s="3092"/><c r="CE92" s="3092"/><c r="CF92" s="3092"/><c r="CG92" s="3092"/><c r="CH92" s="3092"/><c r="CI92" s="3092"/><c r="CJ92" s="3092"/><c r="CK92" s="3092"/><c r="CL92" s="3092"/><c r="CM92" s="3092"/><c r="CN92" s="3092"/><c r="CO92" s="3092"/><c r="CP92" s="3092"/><c r="CQ92" s="3092"/><c r="CR92" s="3092"/><c r="CS92" s="3092"/><c r="CT92" s="3092"/><c r="CU92" s="3092"/><c r="CV92" s="3092"/><c r="CW92" s="3092"/><c r="CX92" s="3092"/><c r="CY92" s="3092"/><c r="CZ92" s="3092"/><c r="DA92" s="3092"/><c r="DB92" s="3092"/><c r="DC92" s="3092"/><c r="DD92" s="3092"/><c r="DE92" s="3092"/><c r="DF92" s="3092"/><c r="DG92" s="3092"/><c r="DH92" s="3092"/><c r="DI92" s="3092"/><c r="DJ92" s="3092"/><c r="DK92" s="3092"/><c r="DL92" s="3092"/><c r="DM92" s="3092"/><c r="DN92" s="3092"/><c r="DO92" s="3092"/><c r="DP92" s="3092"/><c r="DQ92" s="3092"/><c r="DR92" s="3092"/><c r="DS92" s="3092"/><c r="DT92" s="3092"/><c r="DU92" s="3092"/><c r="DV92" s="3092"/><c r="DW92" s="3092"/><c r="DX92" s="3092"/><c r="DY92" s="3092"/><c r="DZ92" s="3092"/><c r="EA92" s="3092"/><c r="EB92" s="3092"/><c r="EC92" s="3092"/><c r="ED92" s="3092"/><c r="EE92" s="3092"/><c r="EF92" s="3092"/><c r="EG92" s="3092"/><c r="EH92" s="3092"/><c r="EI92" s="3092"/><c r="EJ92" s="3092"/><c r="EK92" s="3092"/><c r="EL92" s="3092"/><c r="EM92" s="3092"/><c r="EN92" s="3092"/><c r="EO92" s="3092"/><c r="EP92" s="3092"/><c r="EQ92" s="3092"/><c r="ER92" s="3092"/><c r="ES92" s="3092"/><c r="ET92" s="3092"/><c r="EU92" s="3092"/><c r="EV92" s="3092"/><c r="EW92" s="3092"/><c r="EX92" s="3092"/><c r="EY92" s="3092"/><c r="EZ92" s="3092"/><c r="FA92" s="3092"/><c r="FB92" s="3092"/><c r="FC92" s="3092"/><c r="FD92" s="3092"/><c r="FE92" s="3092"/><c r="FF92" s="3092"/><c r="FG92" s="3092"/><c r="FH92" s="3092"/><c r="FI92" s="3092"/><c r="FJ92" s="3092"/><c r="FK92" s="3092"/><c r="FL92" s="3092"/><c r="FM92" s="3092"/><c r="FN92" s="3092"/><c r="FO92" s="3092"/><c r="FP92" s="3092"/><c r="FQ92" s="3092"/><c r="FR92" s="3092"/><c r="FS92" s="3092"/><c r="FT92" s="3092"/><c r="FU92" s="3092"/><c r="FV92" s="3092"/><c r="FW92" s="3092"/><c r="FX92" s="3092"/><c r="FY92" s="3092"/><c r="FZ92" s="3092"/><c r="GA92" s="3092"/><c r="GB92" s="3092"/><c r="GC92" s="3092"/><c r="GD92" s="3092"/><c r="GE92" s="3092"/><c r="GF92" s="3092"/><c r="GG92" s="3092"/><c r="GH92" s="3092"/><c r="GI92" s="3092"/><c r="GJ92" s="3092"/><c r="GK92" s="3092"/><c r="GL92" s="3092"/><c r="GM92" s="3092"/><c r="GN92" s="3092"/><c r="GO92" s="3092"/><c r="GP92" s="3092"/><c r="GQ92" s="3092"/><c r="GR92" s="3092"/><c r="GS92" s="3092"/><c r="GT92" s="3092"/><c r="GU92" s="3092"/><c r="GV92" s="3092"/><c r="GW92" s="3092"/><c r="GX92" s="3092"/><c r="GY92" s="3092"/><c r="GZ92" s="3092"/><c r="HA92" s="3092"/><c r="HB92" s="3092"/><c r="HC92" s="3092"/><c r="HD92" s="3092"/><c r="HE92" s="3092"/><c r="HF92" s="3092"/><c r="HG92" s="3092"/><c r="HH92" s="3092"/><c r="HI92" s="3092"/><c r="HJ92" s="3092"/><c r="HK92" s="3092"/><c r="HL92" s="3092"/><c r="HM92" s="3092"/><c r="HN92" s="3092"/><c r="HO92" s="3092"/><c r="HP92" s="3092"/><c r="HQ92" s="3092"/><c r="HR92" s="3092"/><c r="HS92" s="3092"/><c r="HT92" s="3092"/><c r="HU92" s="3092"/><c r="HV92" s="3092"/><c r="HW92" s="3092"/><c r="HX92" s="3092"/><c r="HY92" s="3092"/><c r="HZ92" s="3092"/><c r="IA92" s="3092"/><c r="IB92" s="3092"/><c r="IC92" s="3092"/><c r="ID92" s="3092"/><c r="IE92" s="3092"/><c r="IF92" s="3092"/><c r="IG92" s="3092"/><c r="IH92" s="3092"/><c r="II92" s="3092"/><c r="IJ92" s="3092"/><c r="IK92" s="3092"/><c r="IL92" s="3092"/><c r="IM92" s="3092"/><c r="IN92" s="3092"/><c r="IO92" s="3092"/><c r="IP92" s="3092"/><c r="IQ92" s="3092"/><c r="IR92" s="3092"/><c r="IS92" s="3092"/><c r="IT92" s="3092"/><c r="IU92" s="3092"/><c r="IV92" s="3092"/><c r="IW92" s="3092"/></row><row r="93" spans="2:257" s="3045" customFormat="1" ht="12.75" customHeight="1"><c r="B93" s="3095"/><c r="D93" s="3092"/><c r="E93" s="3092"/><c r="F93" s="3092"/><c r="G93" s="3092"/><c r="H93" s="3092"/><c r="I93" s="3092"/><c r="J93" s="3092"/><c r="K93" s="3092"/><c r="L93" s="3092"/><c r="M93" s="3092"/><c r="N93" s="3092"/><c r="O93" s="3092"/><c r="P93" s="3092"/><c r="Q93" s="3092"/><c r="R93" s="3092"/><c r="S93" s="3092"/><c r="T93" s="3092"/><c r="U93" s="3092"/><c r="V93" s="3092"/><c r="W93" s="3092"/><c r="X93" s="3092"/><c r="Y93" s="3092"/><c r="Z93" s="3092"/><c r="AA93" s="3092"/><c r="AB93" s="3092"/><c r="AC93" s="3092"/><c r="AD93" s="3092"/><c r="AE93" s="3092"/><c r="AF93" s="3092"/><c r="AG93" s="3092"/><c r="AH93" s="3092"/><c r="AI93" s="3092"/><c r="AJ93" s="3092"/><c r="AK93" s="3092"/><c r="AL93" s="3092"/><c r="AM93" s="3092"/><c r="AN93" s="3092"/><c r="AO93" s="3092"/><c r="AP93" s="3092"/><c r="AQ93" s="3092"/><c r="AR93" s="3092"/><c r="AS93" s="3092"/><c r="AT93" s="3092"/><c r="AU93" s="3092"/><c r="AV93" s="3092"/><c r="AW93" s="3092"/><c r="AX93" s="3092"/><c r="AY93" s="3092"/><c r="AZ93" s="3092"/><c r="BA93" s="3092"/><c r="BB93" s="3092"/><c r="BC93" s="3092"/><c r="BD93" s="3092"/><c r="BE93" s="3092"/><c r="BF93" s="3092"/><c r="BG93" s="3092"/><c r="BH93" s="3092"/><c r="BI93" s="3092"/><c r="BJ93" s="3092"/><c r="BK93" s="3092"/><c r="BL93" s="3092"/><c r="BM93" s="3092"/><c r="BN93" s="3092"/><c r="BO93" s="3092"/><c r="BP93" s="3092"/><c r="BQ93" s="3092"/><c r="BR93" s="3092"/><c r="BS93" s="3092"/><c r="BT93" s="3092"/><c r="BU93" s="3092"/><c r="BV93" s="3092"/><c r="BW93" s="3092"/><c r="BX93" s="3092"/><c r="BY93" s="3092"/><c r="BZ93" s="3092"/><c r="CA93" s="3092"/><c r="CB93" s="3092"/><c r="CC93" s="3092"/><c r="CD93" s="3092"/><c r="CE93" s="3092"/><c r="CF93" s="3092"/><c r="CG93" s="3092"/><c r="CH93" s="3092"/><c r="CI93" s="3092"/><c r="CJ93" s="3092"/><c r="CK93" s="3092"/><c r="CL93" s="3092"/><c r="CM93" s="3092"/><c r="CN93" s="3092"/><c r="CO93" s="3092"/><c r="CP93" s="3092"/><c r="CQ93" s="3092"/><c r="CR93" s="3092"/><c r="CS93" s="3092"/><c r="CT93" s="3092"/><c r="CU93" s="3092"/><c r="CV93" s="3092"/><c r="CW93" s="3092"/><c r="CX93" s="3092"/><c r="CY93" s="3092"/><c r="CZ93" s="3092"/><c r="DA93" s="3092"/><c r="DB93" s="3092"/><c r="DC93" s="3092"/><c r="DD93" s="3092"/><c r="DE93" s="3092"/><c r="DF93" s="3092"/><c r="DG93" s="3092"/><c r="DH93" s="3092"/><c r="DI93" s="3092"/><c r="DJ93" s="3092"/><c r="DK93" s="3092"/><c r="DL93" s="3092"/><c r="DM93" s="3092"/><c r="DN93" s="3092"/><c r="DO93" s="3092"/><c r="DP93" s="3092"/><c r="DQ93" s="3092"/><c r="DR93" s="3092"/><c r="DS93" s="3092"/><c r="DT93" s="3092"/><c r="DU93" s="3092"/><c r="DV93" s="3092"/><c r="DW93" s="3092"/><c r="DX93" s="3092"/><c r="DY93" s="3092"/><c r="DZ93" s="3092"/><c r="EA93" s="3092"/><c r="EB93" s="3092"/><c r="EC93" s="3092"/><c r="ED93" s="3092"/><c r="EE93" s="3092"/><c r="EF93" s="3092"/><c r="EG93" s="3092"/><c r="EH93" s="3092"/><c r="EI93" s="3092"/><c r="EJ93" s="3092"/><c r="EK93" s="3092"/><c r="EL93" s="3092"/><c r="EM93" s="3092"/><c r="EN93" s="3092"/><c r="EO93" s="3092"/><c r="EP93" s="3092"/><c r="EQ93" s="3092"/><c r="ER93" s="3092"/><c r="ES93" s="3092"/><c r="ET93" s="3092"/><c r="EU93" s="3092"/><c r="EV93" s="3092"/><c r="EW93" s="3092"/><c r="EX93" s="3092"/><c r="EY93" s="3092"/><c r="EZ93" s="3092"/><c r="FA93" s="3092"/><c r="FB93" s="3092"/><c r="FC93" s="3092"/><c r="FD93" s="3092"/><c r="FE93" s="3092"/><c r="FF93" s="3092"/><c r="FG93" s="3092"/><c r="FH93" s="3092"/><c r="FI93" s="3092"/><c r="FJ93" s="3092"/><c r="FK93" s="3092"/><c r="FL93" s="3092"/><c r="FM93" s="3092"/><c r="FN93" s="3092"/><c r="FO93" s="3092"/><c r="FP93" s="3092"/><c r="FQ93" s="3092"/><c r="FR93" s="3092"/><c r="FS93" s="3092"/><c r="FT93" s="3092"/><c r="FU93" s="3092"/><c r="FV93" s="3092"/><c r="FW93" s="3092"/><c r="FX93" s="3092"/><c r="FY93" s="3092"/><c r="FZ93" s="3092"/><c r="GA93" s="3092"/><c r="GB93" s="3092"/><c r="GC93" s="3092"/><c r="GD93" s="3092"/><c r="GE93" s="3092"/><c r="GF93" s="3092"/><c r="GG93" s="3092"/><c r="GH93" s="3092"/><c r="GI93" s="3092"/><c r="GJ93" s="3092"/><c r="GK93" s="3092"/><c r="GL93" s="3092"/><c r="GM93" s="3092"/><c r="GN93" s="3092"/><c r="GO93" s="3092"/><c r="GP93" s="3092"/><c r="GQ93" s="3092"/><c r="GR93" s="3092"/><c r="GS93" s="3092"/><c r="GT93" s="3092"/><c r="GU93" s="3092"/><c r="GV93" s="3092"/><c r="GW93" s="3092"/><c r="GX93" s="3092"/><c r="GY93" s="3092"/><c r="GZ93" s="3092"/><c r="HA93" s="3092"/><c r="HB93" s="3092"/><c r="HC93" s="3092"/><c r="HD93" s="3092"/><c r="HE93" s="3092"/><c r="HF93" s="3092"/><c r="HG93" s="3092"/><c r="HH93" s="3092"/><c r="HI93" s="3092"/><c r="HJ93" s="3092"/><c r="HK93" s="3092"/><c r="HL93" s="3092"/><c r="HM93" s="3092"/><c r="HN93" s="3092"/><c r="HO93" s="3092"/><c r="HP93" s="3092"/><c r="HQ93" s="3092"/><c r="HR93" s="3092"/><c r="HS93" s="3092"/><c r="HT93" s="3092"/><c r="HU93" s="3092"/><c r="HV93" s="3092"/><c r="HW93" s="3092"/><c r="HX93" s="3092"/><c r="HY93" s="3092"/><c r="HZ93" s="3092"/><c r="IA93" s="3092"/><c r="IB93" s="3092"/><c r="IC93" s="3092"/><c r="ID93" s="3092"/><c r="IE93" s="3092"/><c r="IF93" s="3092"/><c r="IG93" s="3092"/><c r="IH93" s="3092"/><c r="II93" s="3092"/><c r="IJ93" s="3092"/><c r="IK93" s="3092"/><c r="IL93" s="3092"/><c r="IM93" s="3092"/><c r="IN93" s="3092"/><c r="IO93" s="3092"/><c r="IP93" s="3092"/><c r="IQ93" s="3092"/><c r="IR93" s="3092"/><c r="IS93" s="3092"/><c r="IT93" s="3092"/><c r="IU93" s="3092"/><c r="IV93" s="3092"/><c r="IW93" s="3092"/></row><row r="94" spans="2:257" s="3045" customFormat="1" ht="12.75" customHeight="1"><c r="B94" s="3095"/><c r="D94" s="3092"/><c r="E94" s="3092"/><c r="F94" s="3092"/><c r="G94" s="3092"/><c r="H94" s="3092"/><c r="I94" s="3092"/><c r="J94" s="3092"/><c r="K94" s="3092"/><c r="L94" s="3092"/><c r="M94" s="3092"/><c r="N94" s="3092"/><c r="O94" s="3092"/><c r="P94" s="3092"/><c r="Q94" s="3092"/><c r="R94" s="3092"/><c r="S94" s="3092"/><c r="T94" s="3092"/><c r="U94" s="3092"/><c r="V94" s="3092"/><c r="W94" s="3092"/><c r="X94" s="3092"/><c r="Y94" s="3092"/><c r="Z94" s="3092"/><c r="AA94" s="3092"/><c r="AB94" s="3092"/><c r="AC94" s="3092"/><c r="AD94" s="3092"/><c r="AE94" s="3092"/><c r="AF94" s="3092"/><c r="AG94" s="3092"/><c r="AH94" s="3092"/><c r="AI94" s="3092"/><c r="AJ94" s="3092"/><c r="AK94" s="3092"/><c r="AL94" s="3092"/><c r="AM94" s="3092"/><c r="AN94" s="3092"/><c r="AO94" s="3092"/><c r="AP94" s="3092"/><c r="AQ94" s="3092"/><c r="AR94" s="3092"/><c r="AS94" s="3092"/><c r="AT94" s="3092"/><c r="AU94" s="3092"/><c r="AV94" s="3092"/><c r="AW94" s="3092"/><c r="AX94" s="3092"/><c r="AY94" s="3092"/><c r="AZ94" s="3092"/><c r="BA94" s="3092"/><c r="BB94" s="3092"/><c r="BC94" s="3092"/><c r="BD94" s="3092"/><c r="BE94" s="3092"/><c r="BF94" s="3092"/><c r="BG94" s="3092"/><c r="BH94" s="3092"/><c r="BI94" s="3092"/><c r="BJ94" s="3092"/><c r="BK94" s="3092"/><c r="BL94" s="3092"/><c r="BM94" s="3092"/><c r="BN94" s="3092"/><c r="BO94" s="3092"/><c r="BP94" s="3092"/><c r="BQ94" s="3092"/><c r="BR94" s="3092"/><c r="BS94" s="3092"/><c r="BT94" s="3092"/><c r="BU94" s="3092"/><c r="BV94" s="3092"/><c r="BW94" s="3092"/><c r="BX94" s="3092"/><c r="BY94" s="3092"/><c r="BZ94" s="3092"/><c r="CA94" s="3092"/><c r="CB94" s="3092"/><c r="CC94" s="3092"/><c r="CD94" s="3092"/><c r="CE94" s="3092"/><c r="CF94" s="3092"/><c r="CG94" s="3092"/><c r="CH94" s="3092"/><c r="CI94" s="3092"/><c r="CJ94" s="3092"/><c r="CK94" s="3092"/><c r="CL94" s="3092"/><c r="CM94" s="3092"/><c r="CN94" s="3092"/><c r="CO94" s="3092"/><c r="CP94" s="3092"/><c r="CQ94" s="3092"/><c r="CR94" s="3092"/><c r="CS94" s="3092"/><c r="CT94" s="3092"/><c r="CU94" s="3092"/><c r="CV94" s="3092"/><c r="CW94" s="3092"/><c r="CX94" s="3092"/><c r="CY94" s="3092"/><c r="CZ94" s="3092"/><c r="DA94" s="3092"/><c r="DB94" s="3092"/><c r="DC94" s="3092"/><c r="DD94" s="3092"/><c r="DE94" s="3092"/><c r="DF94" s="3092"/><c r="DG94" s="3092"/><c r="DH94" s="3092"/><c r="DI94" s="3092"/><c r="DJ94" s="3092"/><c r="DK94" s="3092"/><c r="DL94" s="3092"/><c r="DM94" s="3092"/><c r="DN94" s="3092"/><c r="DO94" s="3092"/><c r="DP94" s="3092"/><c r="DQ94" s="3092"/><c r="DR94" s="3092"/><c r="DS94" s="3092"/><c r="DT94" s="3092"/><c r="DU94" s="3092"/><c r="DV94" s="3092"/><c r="DW94" s="3092"/><c r="DX94" s="3092"/><c r="DY94" s="3092"/><c r="DZ94" s="3092"/><c r="EA94" s="3092"/><c r="EB94" s="3092"/><c r="EC94" s="3092"/><c r="ED94" s="3092"/><c r="EE94" s="3092"/><c r="EF94" s="3092"/><c r="EG94" s="3092"/><c r="EH94" s="3092"/><c r="EI94" s="3092"/><c r="EJ94" s="3092"/><c r="EK94" s="3092"/><c r="EL94" s="3092"/><c r="EM94" s="3092"/><c r="EN94" s="3092"/><c r="EO94" s="3092"/><c r="EP94" s="3092"/><c r="EQ94" s="3092"/><c r="ER94" s="3092"/><c r="ES94" s="3092"/><c r="ET94" s="3092"/><c r="EU94" s="3092"/><c r="EV94" s="3092"/><c r="EW94" s="3092"/><c r="EX94" s="3092"/><c r="EY94" s="3092"/><c r="EZ94" s="3092"/><c r="FA94" s="3092"/><c r="FB94" s="3092"/><c r="FC94" s="3092"/><c r="FD94" s="3092"/><c r="FE94" s="3092"/><c r="FF94" s="3092"/><c r="FG94" s="3092"/><c r="FH94" s="3092"/><c r="FI94" s="3092"/><c r="FJ94" s="3092"/><c r="FK94" s="3092"/><c r="FL94" s="3092"/><c r="FM94" s="3092"/><c r="FN94" s="3092"/><c r="FO94" s="3092"/><c r="FP94" s="3092"/><c r="FQ94" s="3092"/><c r="FR94" s="3092"/><c r="FS94" s="3092"/><c r="FT94" s="3092"/><c r="FU94" s="3092"/><c r="FV94" s="3092"/><c r="FW94" s="3092"/><c r="FX94" s="3092"/><c r="FY94" s="3092"/><c r="FZ94" s="3092"/><c r="GA94" s="3092"/><c r="GB94" s="3092"/><c r="GC94" s="3092"/><c r="GD94" s="3092"/><c r="GE94" s="3092"/><c r="GF94" s="3092"/><c r="GG94" s="3092"/><c r="GH94" s="3092"/><c r="GI94" s="3092"/><c r="GJ94" s="3092"/><c r="GK94" s="3092"/><c r="GL94" s="3092"/><c r="GM94" s="3092"/><c r="GN94" s="3092"/><c r="GO94" s="3092"/><c r="GP94" s="3092"/><c r="GQ94" s="3092"/><c r="GR94" s="3092"/><c r="GS94" s="3092"/><c r="GT94" s="3092"/><c r="GU94" s="3092"/><c r="GV94" s="3092"/><c r="GW94" s="3092"/><c r="GX94" s="3092"/><c r="GY94" s="3092"/><c r="GZ94" s="3092"/><c r="HA94" s="3092"/><c r="HB94" s="3092"/><c r="HC94" s="3092"/><c r="HD94" s="3092"/><c r="HE94" s="3092"/><c r="HF94" s="3092"/><c r="HG94" s="3092"/><c r="HH94" s="3092"/><c r="HI94" s="3092"/><c r="HJ94" s="3092"/><c r="HK94" s="3092"/><c r="HL94" s="3092"/><c r="HM94" s="3092"/><c r="HN94" s="3092"/><c r="HO94" s="3092"/><c r="HP94" s="3092"/><c r="HQ94" s="3092"/><c r="HR94" s="3092"/><c r="HS94" s="3092"/><c r="HT94" s="3092"/><c r="HU94" s="3092"/><c r="HV94" s="3092"/><c r="HW94" s="3092"/><c r="HX94" s="3092"/><c r="HY94" s="3092"/><c r="HZ94" s="3092"/><c r="IA94" s="3092"/><c r="IB94" s="3092"/><c r="IC94" s="3092"/><c r="ID94" s="3092"/><c r="IE94" s="3092"/><c r="IF94" s="3092"/><c r="IG94" s="3092"/><c r="IH94" s="3092"/><c r="II94" s="3092"/><c r="IJ94" s="3092"/><c r="IK94" s="3092"/><c r="IL94" s="3092"/><c r="IM94" s="3092"/><c r="IN94" s="3092"/><c r="IO94" s="3092"/><c r="IP94" s="3092"/><c r="IQ94" s="3092"/><c r="IR94" s="3092"/><c r="IS94" s="3092"/><c r="IT94" s="3092"/><c r="IU94" s="3092"/><c r="IV94" s="3092"/><c r="IW94" s="3092"/></row><row r="95" spans="2:257" s="3045" customFormat="1" ht="12.75" customHeight="1"><c r="B95" s="3095"/><c r="D95" s="3092"/><c r="E95" s="3092"/><c r="F95" s="3092"/><c r="G95" s="3092"/><c r="H95" s="3092"/><c r="I95" s="3092"/><c r="J95" s="3092"/><c r="K95" s="3092"/><c r="L95" s="3092"/><c r="M95" s="3092"/><c r="N95" s="3092"/><c r="O95" s="3092"/><c r="P95" s="3092"/><c r="Q95" s="3092"/><c r="R95" s="3092"/><c r="S95" s="3092"/><c r="T95" s="3092"/><c r="U95" s="3092"/><c r="V95" s="3092"/><c r="W95" s="3092"/><c r="X95" s="3092"/><c r="Y95" s="3092"/><c r="Z95" s="3092"/><c r="AA95" s="3092"/><c r="AB95" s="3092"/><c r="AC95" s="3092"/><c r="AD95" s="3092"/><c r="AE95" s="3092"/><c r="AF95" s="3092"/><c r="AG95" s="3092"/><c r="AH95" s="3092"/><c r="AI95" s="3092"/><c r="AJ95" s="3092"/><c r="AK95" s="3092"/><c r="AL95" s="3092"/><c r="AM95" s="3092"/><c r="AN95" s="3092"/><c r="AO95" s="3092"/><c r="AP95" s="3092"/><c r="AQ95" s="3092"/><c r="AR95" s="3092"/><c r="AS95" s="3092"/><c r="AT95" s="3092"/><c r="AU95" s="3092"/><c r="AV95" s="3092"/><c r="AW95" s="3092"/><c r="AX95" s="3092"/><c r="AY95" s="3092"/><c r="AZ95" s="3092"/><c r="BA95" s="3092"/><c r="BB95" s="3092"/><c r="BC95" s="3092"/><c r="BD95" s="3092"/><c r="BE95" s="3092"/><c r="BF95" s="3092"/><c r="BG95" s="3092"/><c r="BH95" s="3092"/><c r="BI95" s="3092"/><c r="BJ95" s="3092"/><c r="BK95" s="3092"/><c r="BL95" s="3092"/><c r="BM95" s="3092"/><c r="BN95" s="3092"/><c r="BO95" s="3092"/><c r="BP95" s="3092"/><c r="BQ95" s="3092"/><c r="BR95" s="3092"/><c r="BS95" s="3092"/><c r="BT95" s="3092"/><c r="BU95" s="3092"/><c r="BV95" s="3092"/><c r="BW95" s="3092"/><c r="BX95" s="3092"/><c r="BY95" s="3092"/><c r="BZ95" s="3092"/><c r="CA95" s="3092"/><c r="CB95" s="3092"/><c r="CC95" s="3092"/><c r="CD95" s="3092"/><c r="CE95" s="3092"/><c r="CF95" s="3092"/><c r="CG95" s="3092"/><c r="CH95" s="3092"/><c r="CI95" s="3092"/><c r="CJ95" s="3092"/><c r="CK95" s="3092"/><c r="CL95" s="3092"/><c r="CM95" s="3092"/><c r="CN95" s="3092"/><c r="CO95" s="3092"/><c r="CP95" s="3092"/><c r="CQ95" s="3092"/><c r="CR95" s="3092"/><c r="CS95" s="3092"/><c r="CT95" s="3092"/><c r="CU95" s="3092"/><c r="CV95" s="3092"/><c r="CW95" s="3092"/><c r="CX95" s="3092"/><c r="CY95" s="3092"/><c r="CZ95" s="3092"/><c r="DA95" s="3092"/><c r="DB95" s="3092"/><c r="DC95" s="3092"/><c r="DD95" s="3092"/><c r="DE95" s="3092"/><c r="DF95" s="3092"/><c r="DG95" s="3092"/><c r="DH95" s="3092"/><c r="DI95" s="3092"/><c r="DJ95" s="3092"/><c r="DK95" s="3092"/><c r="DL95" s="3092"/><c r="DM95" s="3092"/><c r="DN95" s="3092"/><c r="DO95" s="3092"/><c r="DP95" s="3092"/><c r="DQ95" s="3092"/><c r="DR95" s="3092"/><c r="DS95" s="3092"/><c r="DT95" s="3092"/><c r="DU95" s="3092"/><c r="DV95" s="3092"/><c r="DW95" s="3092"/><c r="DX95" s="3092"/><c r="DY95" s="3092"/><c r="DZ95" s="3092"/><c r="EA95" s="3092"/><c r="EB95" s="3092"/><c r="EC95" s="3092"/><c r="ED95" s="3092"/><c r="EE95" s="3092"/><c r="EF95" s="3092"/><c r="EG95" s="3092"/><c r="EH95" s="3092"/><c r="EI95" s="3092"/><c r="EJ95" s="3092"/><c r="EK95" s="3092"/><c r="EL95" s="3092"/><c r="EM95" s="3092"/><c r="EN95" s="3092"/><c r="EO95" s="3092"/><c r="EP95" s="3092"/><c r="EQ95" s="3092"/><c r="ER95" s="3092"/><c r="ES95" s="3092"/><c r="ET95" s="3092"/><c r="EU95" s="3092"/><c r="EV95" s="3092"/><c r="EW95" s="3092"/><c r="EX95" s="3092"/><c r="EY95" s="3092"/><c r="EZ95" s="3092"/><c r="FA95" s="3092"/><c r="FB95" s="3092"/><c r="FC95" s="3092"/><c r="FD95" s="3092"/><c r="FE95" s="3092"/><c r="FF95" s="3092"/><c r="FG95" s="3092"/><c r="FH95" s="3092"/><c r="FI95" s="3092"/><c r="FJ95" s="3092"/><c r="FK95" s="3092"/><c r="FL95" s="3092"/><c r="FM95" s="3092"/><c r="FN95" s="3092"/><c r="FO95" s="3092"/><c r="FP95" s="3092"/><c r="FQ95" s="3092"/><c r="FR95" s="3092"/><c r="FS95" s="3092"/><c r="FT95" s="3092"/><c r="FU95" s="3092"/><c r="FV95" s="3092"/><c r="FW95" s="3092"/><c r="FX95" s="3092"/><c r="FY95" s="3092"/><c r="FZ95" s="3092"/><c r="GA95" s="3092"/><c r="GB95" s="3092"/><c r="GC95" s="3092"/><c r="GD95" s="3092"/><c r="GE95" s="3092"/><c r="GF95" s="3092"/><c r="GG95" s="3092"/><c r="GH95" s="3092"/><c r="GI95" s="3092"/><c r="GJ95" s="3092"/><c r="GK95" s="3092"/><c r="GL95" s="3092"/><c r="GM95" s="3092"/><c r="GN95" s="3092"/><c r="GO95" s="3092"/><c r="GP95" s="3092"/><c r="GQ95" s="3092"/><c r="GR95" s="3092"/><c r="GS95" s="3092"/><c r="GT95" s="3092"/><c r="GU95" s="3092"/><c r="GV95" s="3092"/><c r="GW95" s="3092"/><c r="GX95" s="3092"/><c r="GY95" s="3092"/><c r="GZ95" s="3092"/><c r="HA95" s="3092"/><c r="HB95" s="3092"/><c r="HC95" s="3092"/><c r="HD95" s="3092"/><c r="HE95" s="3092"/><c r="HF95" s="3092"/><c r="HG95" s="3092"/><c r="HH95" s="3092"/><c r="HI95" s="3092"/><c r="HJ95" s="3092"/><c r="HK95" s="3092"/><c r="HL95" s="3092"/><c r="HM95" s="3092"/><c r="HN95" s="3092"/><c r="HO95" s="3092"/><c r="HP95" s="3092"/><c r="HQ95" s="3092"/><c r="HR95" s="3092"/><c r="HS95" s="3092"/><c r="HT95" s="3092"/><c r="HU95" s="3092"/><c r="HV95" s="3092"/><c r="HW95" s="3092"/><c r="HX95" s="3092"/><c r="HY95" s="3092"/><c r="HZ95" s="3092"/><c r="IA95" s="3092"/><c r="IB95" s="3092"/><c r="IC95" s="3092"/><c r="ID95" s="3092"/><c r="IE95" s="3092"/><c r="IF95" s="3092"/><c r="IG95" s="3092"/><c r="IH95" s="3092"/><c r="II95" s="3092"/><c r="IJ95" s="3092"/><c r="IK95" s="3092"/><c r="IL95" s="3092"/><c r="IM95" s="3092"/><c r="IN95" s="3092"/><c r="IO95" s="3092"/><c r="IP95" s="3092"/><c r="IQ95" s="3092"/><c r="IR95" s="3092"/><c r="IS95" s="3092"/><c r="IT95" s="3092"/><c r="IU95" s="3092"/><c r="IV95" s="3092"/><c r="IW95" s="3092"/></row><row r="96" spans="2:257" s="3045" customFormat="1" ht="12.75" customHeight="1"><c r="B96" s="3095"/><c r="D96" s="3092"/><c r="E96" s="3092"/><c r="F96" s="3092"/><c r="G96" s="3092"/><c r="H96" s="3092"/><c r="I96" s="3092"/><c r="J96" s="3092"/><c r="K96" s="3092"/><c r="L96" s="3092"/><c r="M96" s="3092"/><c r="N96" s="3092"/><c r="O96" s="3092"/><c r="P96" s="3092"/><c r="Q96" s="3092"/><c r="R96" s="3092"/><c r="S96" s="3092"/><c r="T96" s="3092"/><c r="U96" s="3092"/><c r="V96" s="3092"/><c r="W96" s="3092"/><c r="X96" s="3092"/><c r="Y96" s="3092"/><c r="Z96" s="3092"/><c r="AA96" s="3092"/><c r="AB96" s="3092"/><c r="AC96" s="3092"/><c r="AD96" s="3092"/><c r="AE96" s="3092"/><c r="AF96" s="3092"/><c r="AG96" s="3092"/><c r="AH96" s="3092"/><c r="AI96" s="3092"/><c r="AJ96" s="3092"/><c r="AK96" s="3092"/><c r="AL96" s="3092"/><c r="AM96" s="3092"/><c r="AN96" s="3092"/><c r="AO96" s="3092"/><c r="AP96" s="3092"/><c r="AQ96" s="3092"/><c r="AR96" s="3092"/><c r="AS96" s="3092"/><c r="AT96" s="3092"/><c r="AU96" s="3092"/><c r="AV96" s="3092"/><c r="AW96" s="3092"/><c r="AX96" s="3092"/><c r="AY96" s="3092"/><c r="AZ96" s="3092"/><c r="BA96" s="3092"/><c r="BB96" s="3092"/><c r="BC96" s="3092"/><c r="BD96" s="3092"/><c r="BE96" s="3092"/><c r="BF96" s="3092"/><c r="BG96" s="3092"/><c r="BH96" s="3092"/><c r="BI96" s="3092"/><c r="BJ96" s="3092"/><c r="BK96" s="3092"/><c r="BL96" s="3092"/><c r="BM96" s="3092"/><c r="BN96" s="3092"/><c r="BO96" s="3092"/><c r="BP96" s="3092"/><c r="BQ96" s="3092"/><c r="BR96" s="3092"/><c r="BS96" s="3092"/><c r="BT96" s="3092"/><c r="BU96" s="3092"/><c r="BV96" s="3092"/><c r="BW96" s="3092"/><c r="BX96" s="3092"/><c r="BY96" s="3092"/><c r="BZ96" s="3092"/><c r="CA96" s="3092"/><c r="CB96" s="3092"/><c r="CC96" s="3092"/><c r="CD96" s="3092"/><c r="CE96" s="3092"/><c r="CF96" s="3092"/><c r="CG96" s="3092"/><c r="CH96" s="3092"/><c r="CI96" s="3092"/><c r="CJ96" s="3092"/><c r="CK96" s="3092"/><c r="CL96" s="3092"/><c r="CM96" s="3092"/><c r="CN96" s="3092"/><c r="CO96" s="3092"/><c r="CP96" s="3092"/><c r="CQ96" s="3092"/><c r="CR96" s="3092"/><c r="CS96" s="3092"/><c r="CT96" s="3092"/><c r="CU96" s="3092"/><c r="CV96" s="3092"/><c r="CW96" s="3092"/><c r="CX96" s="3092"/><c r="CY96" s="3092"/><c r="CZ96" s="3092"/><c r="DA96" s="3092"/><c r="DB96" s="3092"/><c r="DC96" s="3092"/><c r="DD96" s="3092"/><c r="DE96" s="3092"/><c r="DF96" s="3092"/><c r="DG96" s="3092"/><c r="DH96" s="3092"/><c r="DI96" s="3092"/><c r="DJ96" s="3092"/><c r="DK96" s="3092"/><c r="DL96" s="3092"/><c r="DM96" s="3092"/><c r="DN96" s="3092"/><c r="DO96" s="3092"/><c r="DP96" s="3092"/><c r="DQ96" s="3092"/><c r="DR96" s="3092"/><c r="DS96" s="3092"/><c r="DT96" s="3092"/><c r="DU96" s="3092"/><c r="DV96" s="3092"/><c r="DW96" s="3092"/><c r="DX96" s="3092"/><c r="DY96" s="3092"/><c r="DZ96" s="3092"/><c r="EA96" s="3092"/><c r="EB96" s="3092"/><c r="EC96" s="3092"/><c r="ED96" s="3092"/><c r="EE96" s="3092"/><c r="EF96" s="3092"/><c r="EG96" s="3092"/><c r="EH96" s="3092"/><c r="EI96" s="3092"/><c r="EJ96" s="3092"/><c r="EK96" s="3092"/><c r="EL96" s="3092"/><c r="EM96" s="3092"/><c r="EN96" s="3092"/><c r="EO96" s="3092"/><c r="EP96" s="3092"/><c r="EQ96" s="3092"/><c r="ER96" s="3092"/><c r="ES96" s="3092"/><c r="ET96" s="3092"/><c r="EU96" s="3092"/><c r="EV96" s="3092"/><c r="EW96" s="3092"/><c r="EX96" s="3092"/><c r="EY96" s="3092"/><c r="EZ96" s="3092"/><c r="FA96" s="3092"/><c r="FB96" s="3092"/><c r="FC96" s="3092"/><c r="FD96" s="3092"/><c r="FE96" s="3092"/><c r="FF96" s="3092"/><c r="FG96" s="3092"/><c r="FH96" s="3092"/><c r="FI96" s="3092"/><c r="FJ96" s="3092"/><c r="FK96" s="3092"/><c r="FL96" s="3092"/><c r="FM96" s="3092"/><c r="FN96" s="3092"/><c r="FO96" s="3092"/><c r="FP96" s="3092"/><c r="FQ96" s="3092"/><c r="FR96" s="3092"/><c r="FS96" s="3092"/><c r="FT96" s="3092"/><c r="FU96" s="3092"/><c r="FV96" s="3092"/><c r="FW96" s="3092"/><c r="FX96" s="3092"/><c r="FY96" s="3092"/><c r="FZ96" s="3092"/><c r="GA96" s="3092"/><c r="GB96" s="3092"/><c r="GC96" s="3092"/><c r="GD96" s="3092"/><c r="GE96" s="3092"/><c r="GF96" s="3092"/><c r="GG96" s="3092"/><c r="GH96" s="3092"/><c r="GI96" s="3092"/><c r="GJ96" s="3092"/><c r="GK96" s="3092"/><c r="GL96" s="3092"/><c r="GM96" s="3092"/><c r="GN96" s="3092"/><c r="GO96" s="3092"/><c r="GP96" s="3092"/><c r="GQ96" s="3092"/><c r="GR96" s="3092"/><c r="GS96" s="3092"/><c r="GT96" s="3092"/><c r="GU96" s="3092"/><c r="GV96" s="3092"/><c r="GW96" s="3092"/><c r="GX96" s="3092"/><c r="GY96" s="3092"/><c r="GZ96" s="3092"/><c r="HA96" s="3092"/><c r="HB96" s="3092"/><c r="HC96" s="3092"/><c r="HD96" s="3092"/><c r="HE96" s="3092"/><c r="HF96" s="3092"/><c r="HG96" s="3092"/><c r="HH96" s="3092"/><c r="HI96" s="3092"/><c r="HJ96" s="3092"/><c r="HK96" s="3092"/><c r="HL96" s="3092"/><c r="HM96" s="3092"/><c r="HN96" s="3092"/><c r="HO96" s="3092"/><c r="HP96" s="3092"/><c r="HQ96" s="3092"/><c r="HR96" s="3092"/><c r="HS96" s="3092"/><c r="HT96" s="3092"/><c r="HU96" s="3092"/><c r="HV96" s="3092"/><c r="HW96" s="3092"/><c r="HX96" s="3092"/><c r="HY96" s="3092"/><c r="HZ96" s="3092"/><c r="IA96" s="3092"/><c r="IB96" s="3092"/><c r="IC96" s="3092"/><c r="ID96" s="3092"/><c r="IE96" s="3092"/><c r="IF96" s="3092"/><c r="IG96" s="3092"/><c r="IH96" s="3092"/><c r="II96" s="3092"/><c r="IJ96" s="3092"/><c r="IK96" s="3092"/><c r="IL96" s="3092"/><c r="IM96" s="3092"/><c r="IN96" s="3092"/><c r="IO96" s="3092"/><c r="IP96" s="3092"/><c r="IQ96" s="3092"/><c r="IR96" s="3092"/><c r="IS96" s="3092"/><c r="IT96" s="3092"/><c r="IU96" s="3092"/><c r="IV96" s="3092"/><c r="IW96" s="3092"/></row><row r="97" spans="2:257" s="3045" customFormat="1" ht="12.75" customHeight="1"><c r="B97" s="3095"/><c r="D97" s="3092"/><c r="E97" s="3092"/><c r="F97" s="3092"/><c r="G97" s="3092"/><c r="H97" s="3092"/><c r="I97" s="3092"/><c r="J97" s="3092"/><c r="K97" s="3092"/><c r="L97" s="3092"/><c r="M97" s="3092"/><c r="N97" s="3092"/><c r="O97" s="3092"/><c r="P97" s="3092"/><c r="Q97" s="3092"/><c r="R97" s="3092"/><c r="S97" s="3092"/><c r="T97" s="3092"/><c r="U97" s="3092"/><c r="V97" s="3092"/><c r="W97" s="3092"/><c r="X97" s="3092"/><c r="Y97" s="3092"/><c r="Z97" s="3092"/><c r="AA97" s="3092"/><c r="AB97" s="3092"/><c r="AC97" s="3092"/><c r="AD97" s="3092"/><c r="AE97" s="3092"/><c r="AF97" s="3092"/><c r="AG97" s="3092"/><c r="AH97" s="3092"/><c r="AI97" s="3092"/><c r="AJ97" s="3092"/><c r="AK97" s="3092"/><c r="AL97" s="3092"/><c r="AM97" s="3092"/><c r="AN97" s="3092"/><c r="AO97" s="3092"/><c r="AP97" s="3092"/><c r="AQ97" s="3092"/><c r="AR97" s="3092"/><c r="AS97" s="3092"/><c r="AT97" s="3092"/><c r="AU97" s="3092"/><c r="AV97" s="3092"/><c r="AW97" s="3092"/><c r="AX97" s="3092"/><c r="AY97" s="3092"/><c r="AZ97" s="3092"/><c r="BA97" s="3092"/><c r="BB97" s="3092"/><c r="BC97" s="3092"/><c r="BD97" s="3092"/><c r="BE97" s="3092"/><c r="BF97" s="3092"/><c r="BG97" s="3092"/><c r="BH97" s="3092"/><c r="BI97" s="3092"/><c r="BJ97" s="3092"/><c r="BK97" s="3092"/><c r="BL97" s="3092"/><c r="BM97" s="3092"/><c r="BN97" s="3092"/><c r="BO97" s="3092"/><c r="BP97" s="3092"/><c r="BQ97" s="3092"/><c r="BR97" s="3092"/><c r="BS97" s="3092"/><c r="BT97" s="3092"/><c r="BU97" s="3092"/><c r="BV97" s="3092"/><c r="BW97" s="3092"/><c r="BX97" s="3092"/><c r="BY97" s="3092"/><c r="BZ97" s="3092"/><c r="CA97" s="3092"/><c r="CB97" s="3092"/><c r="CC97" s="3092"/><c r="CD97" s="3092"/><c r="CE97" s="3092"/><c r="CF97" s="3092"/><c r="CG97" s="3092"/><c r="CH97" s="3092"/><c r="CI97" s="3092"/><c r="CJ97" s="3092"/><c r="CK97" s="3092"/><c r="CL97" s="3092"/><c r="CM97" s="3092"/><c r="CN97" s="3092"/><c r="CO97" s="3092"/><c r="CP97" s="3092"/><c r="CQ97" s="3092"/><c r="CR97" s="3092"/><c r="CS97" s="3092"/><c r="CT97" s="3092"/><c r="CU97" s="3092"/><c r="CV97" s="3092"/><c r="CW97" s="3092"/><c r="CX97" s="3092"/><c r="CY97" s="3092"/><c r="CZ97" s="3092"/><c r="DA97" s="3092"/><c r="DB97" s="3092"/><c r="DC97" s="3092"/><c r="DD97" s="3092"/><c r="DE97" s="3092"/><c r="DF97" s="3092"/><c r="DG97" s="3092"/><c r="DH97" s="3092"/><c r="DI97" s="3092"/><c r="DJ97" s="3092"/><c r="DK97" s="3092"/><c r="DL97" s="3092"/><c r="DM97" s="3092"/><c r="DN97" s="3092"/><c r="DO97" s="3092"/><c r="DP97" s="3092"/><c r="DQ97" s="3092"/><c r="DR97" s="3092"/><c r="DS97" s="3092"/><c r="DT97" s="3092"/><c r="DU97" s="3092"/><c r="DV97" s="3092"/><c r="DW97" s="3092"/><c r="DX97" s="3092"/><c r="DY97" s="3092"/><c r="DZ97" s="3092"/><c r="EA97" s="3092"/><c r="EB97" s="3092"/><c r="EC97" s="3092"/><c r="ED97" s="3092"/><c r="EE97" s="3092"/><c r="EF97" s="3092"/><c r="EG97" s="3092"/><c r="EH97" s="3092"/><c r="EI97" s="3092"/><c r="EJ97" s="3092"/><c r="EK97" s="3092"/><c r="EL97" s="3092"/><c r="EM97" s="3092"/><c r="EN97" s="3092"/><c r="EO97" s="3092"/><c r="EP97" s="3092"/><c r="EQ97" s="3092"/><c r="ER97" s="3092"/><c r="ES97" s="3092"/><c r="ET97" s="3092"/><c r="EU97" s="3092"/><c r="EV97" s="3092"/><c r="EW97" s="3092"/><c r="EX97" s="3092"/><c r="EY97" s="3092"/><c r="EZ97" s="3092"/><c r="FA97" s="3092"/><c r="FB97" s="3092"/><c r="FC97" s="3092"/><c r="FD97" s="3092"/><c r="FE97" s="3092"/><c r="FF97" s="3092"/><c r="FG97" s="3092"/><c r="FH97" s="3092"/><c r="FI97" s="3092"/><c r="FJ97" s="3092"/><c r="FK97" s="3092"/><c r="FL97" s="3092"/><c r="FM97" s="3092"/><c r="FN97" s="3092"/><c r="FO97" s="3092"/><c r="FP97" s="3092"/><c r="FQ97" s="3092"/><c r="FR97" s="3092"/><c r="FS97" s="3092"/><c r="FT97" s="3092"/><c r="FU97" s="3092"/><c r="FV97" s="3092"/><c r="FW97" s="3092"/><c r="FX97" s="3092"/><c r="FY97" s="3092"/><c r="FZ97" s="3092"/><c r="GA97" s="3092"/><c r="GB97" s="3092"/><c r="GC97" s="3092"/><c r="GD97" s="3092"/><c r="GE97" s="3092"/><c r="GF97" s="3092"/><c r="GG97" s="3092"/><c r="GH97" s="3092"/><c r="GI97" s="3092"/><c r="GJ97" s="3092"/><c r="GK97" s="3092"/><c r="GL97" s="3092"/><c r="GM97" s="3092"/><c r="GN97" s="3092"/><c r="GO97" s="3092"/><c r="GP97" s="3092"/><c r="GQ97" s="3092"/><c r="GR97" s="3092"/><c r="GS97" s="3092"/><c r="GT97" s="3092"/><c r="GU97" s="3092"/><c r="GV97" s="3092"/><c r="GW97" s="3092"/><c r="GX97" s="3092"/><c r="GY97" s="3092"/><c r="GZ97" s="3092"/><c r="HA97" s="3092"/><c r="HB97" s="3092"/><c r="HC97" s="3092"/><c r="HD97" s="3092"/><c r="HE97" s="3092"/><c r="HF97" s="3092"/><c r="HG97" s="3092"/><c r="HH97" s="3092"/><c r="HI97" s="3092"/><c r="HJ97" s="3092"/><c r="HK97" s="3092"/><c r="HL97" s="3092"/><c r="HM97" s="3092"/><c r="HN97" s="3092"/><c r="HO97" s="3092"/><c r="HP97" s="3092"/><c r="HQ97" s="3092"/><c r="HR97" s="3092"/><c r="HS97" s="3092"/><c r="HT97" s="3092"/><c r="HU97" s="3092"/><c r="HV97" s="3092"/><c r="HW97" s="3092"/><c r="HX97" s="3092"/><c r="HY97" s="3092"/><c r="HZ97" s="3092"/><c r="IA97" s="3092"/><c r="IB97" s="3092"/><c r="IC97" s="3092"/><c r="ID97" s="3092"/><c r="IE97" s="3092"/><c r="IF97" s="3092"/><c r="IG97" s="3092"/><c r="IH97" s="3092"/><c r="II97" s="3092"/><c r="IJ97" s="3092"/><c r="IK97" s="3092"/><c r="IL97" s="3092"/><c r="IM97" s="3092"/><c r="IN97" s="3092"/><c r="IO97" s="3092"/><c r="IP97" s="3092"/><c r="IQ97" s="3092"/><c r="IR97" s="3092"/><c r="IS97" s="3092"/><c r="IT97" s="3092"/><c r="IU97" s="3092"/><c r="IV97" s="3092"/><c r="IW97" s="3092"/></row><row r="98" spans="2:257" s="3045" customFormat="1" ht="12.75" customHeight="1"><c r="B98" s="3095"/><c r="D98" s="3092"/><c r="E98" s="3092"/><c r="F98" s="3092"/><c r="G98" s="3092"/><c r="H98" s="3092"/><c r="I98" s="3092"/><c r="J98" s="3092"/><c r="K98" s="3092"/><c r="L98" s="3092"/><c r="M98" s="3092"/><c r="N98" s="3092"/><c r="O98" s="3092"/><c r="P98" s="3092"/><c r="Q98" s="3092"/><c r="R98" s="3092"/><c r="S98" s="3092"/><c r="T98" s="3092"/><c r="U98" s="3092"/><c r="V98" s="3092"/><c r="W98" s="3092"/><c r="X98" s="3092"/><c r="Y98" s="3092"/><c r="Z98" s="3092"/><c r="AA98" s="3092"/><c r="AB98" s="3092"/><c r="AC98" s="3092"/><c r="AD98" s="3092"/><c r="AE98" s="3092"/><c r="AF98" s="3092"/><c r="AG98" s="3092"/><c r="AH98" s="3092"/><c r="AI98" s="3092"/><c r="AJ98" s="3092"/><c r="AK98" s="3092"/><c r="AL98" s="3092"/><c r="AM98" s="3092"/><c r="AN98" s="3092"/><c r="AO98" s="3092"/><c r="AP98" s="3092"/><c r="AQ98" s="3092"/><c r="AR98" s="3092"/><c r="AS98" s="3092"/><c r="AT98" s="3092"/><c r="AU98" s="3092"/><c r="AV98" s="3092"/><c r="AW98" s="3092"/><c r="AX98" s="3092"/><c r="AY98" s="3092"/><c r="AZ98" s="3092"/><c r="BA98" s="3092"/><c r="BB98" s="3092"/><c r="BC98" s="3092"/><c r="BD98" s="3092"/><c r="BE98" s="3092"/><c r="BF98" s="3092"/><c r="BG98" s="3092"/><c r="BH98" s="3092"/><c r="BI98" s="3092"/><c r="BJ98" s="3092"/><c r="BK98" s="3092"/><c r="BL98" s="3092"/><c r="BM98" s="3092"/><c r="BN98" s="3092"/><c r="BO98" s="3092"/><c r="BP98" s="3092"/><c r="BQ98" s="3092"/><c r="BR98" s="3092"/><c r="BS98" s="3092"/><c r="BT98" s="3092"/><c r="BU98" s="3092"/><c r="BV98" s="3092"/><c r="BW98" s="3092"/><c r="BX98" s="3092"/><c r="BY98" s="3092"/><c r="BZ98" s="3092"/><c r="CA98" s="3092"/><c r="CB98" s="3092"/><c r="CC98" s="3092"/><c r="CD98" s="3092"/><c r="CE98" s="3092"/><c r="CF98" s="3092"/><c r="CG98" s="3092"/><c r="CH98" s="3092"/><c r="CI98" s="3092"/><c r="CJ98" s="3092"/><c r="CK98" s="3092"/><c r="CL98" s="3092"/><c r="CM98" s="3092"/><c r="CN98" s="3092"/><c r="CO98" s="3092"/><c r="CP98" s="3092"/><c r="CQ98" s="3092"/><c r="CR98" s="3092"/><c r="CS98" s="3092"/><c r="CT98" s="3092"/><c r="CU98" s="3092"/><c r="CV98" s="3092"/><c r="CW98" s="3092"/><c r="CX98" s="3092"/><c r="CY98" s="3092"/><c r="CZ98" s="3092"/><c r="DA98" s="3092"/><c r="DB98" s="3092"/><c r="DC98" s="3092"/><c r="DD98" s="3092"/><c r="DE98" s="3092"/><c r="DF98" s="3092"/><c r="DG98" s="3092"/><c r="DH98" s="3092"/><c r="DI98" s="3092"/><c r="DJ98" s="3092"/><c r="DK98" s="3092"/><c r="DL98" s="3092"/><c r="DM98" s="3092"/><c r="DN98" s="3092"/><c r="DO98" s="3092"/><c r="DP98" s="3092"/><c r="DQ98" s="3092"/><c r="DR98" s="3092"/><c r="DS98" s="3092"/><c r="DT98" s="3092"/><c r="DU98" s="3092"/><c r="DV98" s="3092"/><c r="DW98" s="3092"/><c r="DX98" s="3092"/><c r="DY98" s="3092"/><c r="DZ98" s="3092"/><c r="EA98" s="3092"/><c r="EB98" s="3092"/><c r="EC98" s="3092"/><c r="ED98" s="3092"/><c r="EE98" s="3092"/><c r="EF98" s="3092"/><c r="EG98" s="3092"/><c r="EH98" s="3092"/><c r="EI98" s="3092"/><c r="EJ98" s="3092"/><c r="EK98" s="3092"/><c r="EL98" s="3092"/><c r="EM98" s="3092"/><c r="EN98" s="3092"/><c r="EO98" s="3092"/><c r="EP98" s="3092"/><c r="EQ98" s="3092"/><c r="ER98" s="3092"/><c r="ES98" s="3092"/><c r="ET98" s="3092"/><c r="EU98" s="3092"/><c r="EV98" s="3092"/><c r="EW98" s="3092"/><c r="EX98" s="3092"/><c r="EY98" s="3092"/><c r="EZ98" s="3092"/><c r="FA98" s="3092"/><c r="FB98" s="3092"/><c r="FC98" s="3092"/><c r="FD98" s="3092"/><c r="FE98" s="3092"/><c r="FF98" s="3092"/><c r="FG98" s="3092"/><c r="FH98" s="3092"/><c r="FI98" s="3092"/><c r="FJ98" s="3092"/><c r="FK98" s="3092"/><c r="FL98" s="3092"/><c r="FM98" s="3092"/><c r="FN98" s="3092"/><c r="FO98" s="3092"/><c r="FP98" s="3092"/><c r="FQ98" s="3092"/><c r="FR98" s="3092"/><c r="FS98" s="3092"/><c r="FT98" s="3092"/><c r="FU98" s="3092"/><c r="FV98" s="3092"/><c r="FW98" s="3092"/><c r="FX98" s="3092"/><c r="FY98" s="3092"/><c r="FZ98" s="3092"/><c r="GA98" s="3092"/><c r="GB98" s="3092"/><c r="GC98" s="3092"/><c r="GD98" s="3092"/><c r="GE98" s="3092"/><c r="GF98" s="3092"/><c r="GG98" s="3092"/><c r="GH98" s="3092"/><c r="GI98" s="3092"/><c r="GJ98" s="3092"/><c r="GK98" s="3092"/><c r="GL98" s="3092"/><c r="GM98" s="3092"/><c r="GN98" s="3092"/><c r="GO98" s="3092"/><c r="GP98" s="3092"/><c r="GQ98" s="3092"/><c r="GR98" s="3092"/><c r="GS98" s="3092"/><c r="GT98" s="3092"/><c r="GU98" s="3092"/><c r="GV98" s="3092"/><c r="GW98" s="3092"/><c r="GX98" s="3092"/><c r="GY98" s="3092"/><c r="GZ98" s="3092"/><c r="HA98" s="3092"/><c r="HB98" s="3092"/><c r="HC98" s="3092"/><c r="HD98" s="3092"/><c r="HE98" s="3092"/><c r="HF98" s="3092"/><c r="HG98" s="3092"/><c r="HH98" s="3092"/><c r="HI98" s="3092"/><c r="HJ98" s="3092"/><c r="HK98" s="3092"/><c r="HL98" s="3092"/><c r="HM98" s="3092"/><c r="HN98" s="3092"/><c r="HO98" s="3092"/><c r="HP98" s="3092"/><c r="HQ98" s="3092"/><c r="HR98" s="3092"/><c r="HS98" s="3092"/><c r="HT98" s="3092"/><c r="HU98" s="3092"/><c r="HV98" s="3092"/><c r="HW98" s="3092"/><c r="HX98" s="3092"/><c r="HY98" s="3092"/><c r="HZ98" s="3092"/><c r="IA98" s="3092"/><c r="IB98" s="3092"/><c r="IC98" s="3092"/><c r="ID98" s="3092"/><c r="IE98" s="3092"/><c r="IF98" s="3092"/><c r="IG98" s="3092"/><c r="IH98" s="3092"/><c r="II98" s="3092"/><c r="IJ98" s="3092"/><c r="IK98" s="3092"/><c r="IL98" s="3092"/><c r="IM98" s="3092"/><c r="IN98" s="3092"/><c r="IO98" s="3092"/><c r="IP98" s="3092"/><c r="IQ98" s="3092"/><c r="IR98" s="3092"/><c r="IS98" s="3092"/><c r="IT98" s="3092"/><c r="IU98" s="3092"/><c r="IV98" s="3092"/><c r="IW98" s="3092"/></row><row r="99" spans="2:257" s="3045" customFormat="1" ht="12.75" customHeight="1"><c r="B99" s="3095"/><c r="D99" s="3092"/><c r="E99" s="3092"/><c r="F99" s="3092"/><c r="G99" s="3092"/><c r="H99" s="3092"/><c r="I99" s="3092"/><c r="J99" s="3092"/><c r="K99" s="3092"/><c r="L99" s="3092"/><c r="M99" s="3092"/><c r="N99" s="3092"/><c r="O99" s="3092"/><c r="P99" s="3092"/><c r="Q99" s="3092"/><c r="R99" s="3092"/><c r="S99" s="3092"/><c r="T99" s="3092"/><c r="U99" s="3092"/><c r="V99" s="3092"/><c r="W99" s="3092"/><c r="X99" s="3092"/><c r="Y99" s="3092"/><c r="Z99" s="3092"/><c r="AA99" s="3092"/><c r="AB99" s="3092"/><c r="AC99" s="3092"/><c r="AD99" s="3092"/><c r="AE99" s="3092"/><c r="AF99" s="3092"/><c r="AG99" s="3092"/><c r="AH99" s="3092"/><c r="AI99" s="3092"/><c r="AJ99" s="3092"/><c r="AK99" s="3092"/><c r="AL99" s="3092"/><c r="AM99" s="3092"/><c r="AN99" s="3092"/><c r="AO99" s="3092"/><c r="AP99" s="3092"/><c r="AQ99" s="3092"/><c r="AR99" s="3092"/><c r="AS99" s="3092"/><c r="AT99" s="3092"/><c r="AU99" s="3092"/><c r="AV99" s="3092"/><c r="AW99" s="3092"/><c r="AX99" s="3092"/><c r="AY99" s="3092"/><c r="AZ99" s="3092"/><c r="BA99" s="3092"/><c r="BB99" s="3092"/><c r="BC99" s="3092"/><c r="BD99" s="3092"/><c r="BE99" s="3092"/><c r="BF99" s="3092"/><c r="BG99" s="3092"/><c r="BH99" s="3092"/><c r="BI99" s="3092"/><c r="BJ99" s="3092"/><c r="BK99" s="3092"/><c r="BL99" s="3092"/><c r="BM99" s="3092"/><c r="BN99" s="3092"/><c r="BO99" s="3092"/><c r="BP99" s="3092"/><c r="BQ99" s="3092"/><c r="BR99" s="3092"/><c r="BS99" s="3092"/><c r="BT99" s="3092"/><c r="BU99" s="3092"/><c r="BV99" s="3092"/><c r="BW99" s="3092"/><c r="BX99" s="3092"/><c r="BY99" s="3092"/><c r="BZ99" s="3092"/><c r="CA99" s="3092"/><c r="CB99" s="3092"/><c r="CC99" s="3092"/><c r="CD99" s="3092"/><c r="CE99" s="3092"/><c r="CF99" s="3092"/><c r="CG99" s="3092"/><c r="CH99" s="3092"/><c r="CI99" s="3092"/><c r="CJ99" s="3092"/><c r="CK99" s="3092"/><c r="CL99" s="3092"/><c r="CM99" s="3092"/><c r="CN99" s="3092"/><c r="CO99" s="3092"/><c r="CP99" s="3092"/><c r="CQ99" s="3092"/><c r="CR99" s="3092"/><c r="CS99" s="3092"/><c r="CT99" s="3092"/><c r="CU99" s="3092"/><c r="CV99" s="3092"/><c r="CW99" s="3092"/><c r="CX99" s="3092"/><c r="CY99" s="3092"/><c r="CZ99" s="3092"/><c r="DA99" s="3092"/><c r="DB99" s="3092"/><c r="DC99" s="3092"/><c r="DD99" s="3092"/><c r="DE99" s="3092"/><c r="DF99" s="3092"/><c r="DG99" s="3092"/><c r="DH99" s="3092"/><c r="DI99" s="3092"/><c r="DJ99" s="3092"/><c r="DK99" s="3092"/><c r="DL99" s="3092"/><c r="DM99" s="3092"/><c r="DN99" s="3092"/><c r="DO99" s="3092"/><c r="DP99" s="3092"/><c r="DQ99" s="3092"/><c r="DR99" s="3092"/><c r="DS99" s="3092"/><c r="DT99" s="3092"/><c r="DU99" s="3092"/><c r="DV99" s="3092"/><c r="DW99" s="3092"/><c r="DX99" s="3092"/><c r="DY99" s="3092"/><c r="DZ99" s="3092"/><c r="EA99" s="3092"/><c r="EB99" s="3092"/><c r="EC99" s="3092"/><c r="ED99" s="3092"/><c r="EE99" s="3092"/><c r="EF99" s="3092"/><c r="EG99" s="3092"/><c r="EH99" s="3092"/><c r="EI99" s="3092"/><c r="EJ99" s="3092"/><c r="EK99" s="3092"/><c r="EL99" s="3092"/><c r="EM99" s="3092"/><c r="EN99" s="3092"/><c r="EO99" s="3092"/><c r="EP99" s="3092"/><c r="EQ99" s="3092"/><c r="ER99" s="3092"/><c r="ES99" s="3092"/><c r="ET99" s="3092"/><c r="EU99" s="3092"/><c r="EV99" s="3092"/><c r="EW99" s="3092"/><c r="EX99" s="3092"/><c r="EY99" s="3092"/><c r="EZ99" s="3092"/><c r="FA99" s="3092"/><c r="FB99" s="3092"/><c r="FC99" s="3092"/><c r="FD99" s="3092"/><c r="FE99" s="3092"/><c r="FF99" s="3092"/><c r="FG99" s="3092"/><c r="FH99" s="3092"/><c r="FI99" s="3092"/><c r="FJ99" s="3092"/><c r="FK99" s="3092"/><c r="FL99" s="3092"/><c r="FM99" s="3092"/><c r="FN99" s="3092"/><c r="FO99" s="3092"/><c r="FP99" s="3092"/><c r="FQ99" s="3092"/><c r="FR99" s="3092"/><c r="FS99" s="3092"/><c r="FT99" s="3092"/><c r="FU99" s="3092"/><c r="FV99" s="3092"/><c r="FW99" s="3092"/><c r="FX99" s="3092"/><c r="FY99" s="3092"/><c r="FZ99" s="3092"/><c r="GA99" s="3092"/><c r="GB99" s="3092"/><c r="GC99" s="3092"/><c r="GD99" s="3092"/><c r="GE99" s="3092"/><c r="GF99" s="3092"/><c r="GG99" s="3092"/><c r="GH99" s="3092"/><c r="GI99" s="3092"/><c r="GJ99" s="3092"/><c r="GK99" s="3092"/><c r="GL99" s="3092"/><c r="GM99" s="3092"/><c r="GN99" s="3092"/><c r="GO99" s="3092"/><c r="GP99" s="3092"/><c r="GQ99" s="3092"/><c r="GR99" s="3092"/><c r="GS99" s="3092"/><c r="GT99" s="3092"/><c r="GU99" s="3092"/><c r="GV99" s="3092"/><c r="GW99" s="3092"/><c r="GX99" s="3092"/><c r="GY99" s="3092"/><c r="GZ99" s="3092"/><c r="HA99" s="3092"/><c r="HB99" s="3092"/><c r="HC99" s="3092"/><c r="HD99" s="3092"/><c r="HE99" s="3092"/><c r="HF99" s="3092"/><c r="HG99" s="3092"/><c r="HH99" s="3092"/><c r="HI99" s="3092"/><c r="HJ99" s="3092"/><c r="HK99" s="3092"/><c r="HL99" s="3092"/><c r="HM99" s="3092"/><c r="HN99" s="3092"/><c r="HO99" s="3092"/><c r="HP99" s="3092"/><c r="HQ99" s="3092"/><c r="HR99" s="3092"/><c r="HS99" s="3092"/><c r="HT99" s="3092"/><c r="HU99" s="3092"/><c r="HV99" s="3092"/><c r="HW99" s="3092"/><c r="HX99" s="3092"/><c r="HY99" s="3092"/><c r="HZ99" s="3092"/><c r="IA99" s="3092"/><c r="IB99" s="3092"/><c r="IC99" s="3092"/><c r="ID99" s="3092"/><c r="IE99" s="3092"/><c r="IF99" s="3092"/><c r="IG99" s="3092"/><c r="IH99" s="3092"/><c r="II99" s="3092"/><c r="IJ99" s="3092"/><c r="IK99" s="3092"/><c r="IL99" s="3092"/><c r="IM99" s="3092"/><c r="IN99" s="3092"/><c r="IO99" s="3092"/><c r="IP99" s="3092"/><c r="IQ99" s="3092"/><c r="IR99" s="3092"/><c r="IS99" s="3092"/><c r="IT99" s="3092"/><c r="IU99" s="3092"/><c r="IV99" s="3092"/><c r="IW99" s="3092"/></row><row r="100" spans="2:257" s="3045" customFormat="1" ht="12.75" customHeight="1"><c r="B100" s="3095"/><c r="D100" s="3092"/><c r="E100" s="3092"/><c r="F100" s="3092"/><c r="G100" s="3092"/><c r="H100" s="3092"/><c r="I100" s="3092"/><c r="J100" s="3092"/><c r="K100" s="3092"/><c r="L100" s="3092"/><c r="M100" s="3092"/><c r="N100" s="3092"/><c r="O100" s="3092"/><c r="P100" s="3092"/><c r="Q100" s="3092"/><c r="R100" s="3092"/><c r="S100" s="3092"/><c r="T100" s="3092"/><c r="U100" s="3092"/><c r="V100" s="3092"/><c r="W100" s="3092"/><c r="X100" s="3092"/><c r="Y100" s="3092"/><c r="Z100" s="3092"/><c r="AA100" s="3092"/><c r="AB100" s="3092"/><c r="AC100" s="3092"/><c r="AD100" s="3092"/><c r="AE100" s="3092"/><c r="AF100" s="3092"/><c r="AG100" s="3092"/><c r="AH100" s="3092"/><c r="AI100" s="3092"/><c r="AJ100" s="3092"/><c r="AK100" s="3092"/><c r="AL100" s="3092"/><c r="AM100" s="3092"/><c r="AN100" s="3092"/><c r="AO100" s="3092"/><c r="AP100" s="3092"/><c r="AQ100" s="3092"/><c r="AR100" s="3092"/><c r="AS100" s="3092"/><c r="AT100" s="3092"/><c r="AU100" s="3092"/><c r="AV100" s="3092"/><c r="AW100" s="3092"/><c r="AX100" s="3092"/><c r="AY100" s="3092"/><c r="AZ100" s="3092"/><c r="BA100" s="3092"/><c r="BB100" s="3092"/><c r="BC100" s="3092"/><c r="BD100" s="3092"/><c r="BE100" s="3092"/><c r="BF100" s="3092"/><c r="BG100" s="3092"/><c r="BH100" s="3092"/><c r="BI100" s="3092"/><c r="BJ100" s="3092"/><c r="BK100" s="3092"/><c r="BL100" s="3092"/><c r="BM100" s="3092"/><c r="BN100" s="3092"/><c r="BO100" s="3092"/><c r="BP100" s="3092"/><c r="BQ100" s="3092"/><c r="BR100" s="3092"/><c r="BS100" s="3092"/><c r="BT100" s="3092"/><c r="BU100" s="3092"/><c r="BV100" s="3092"/><c r="BW100" s="3092"/><c r="BX100" s="3092"/><c r="BY100" s="3092"/><c r="BZ100" s="3092"/><c r="CA100" s="3092"/><c r="CB100" s="3092"/><c r="CC100" s="3092"/><c r="CD100" s="3092"/><c r="CE100" s="3092"/><c r="CF100" s="3092"/><c r="CG100" s="3092"/><c r="CH100" s="3092"/><c r="CI100" s="3092"/><c r="CJ100" s="3092"/><c r="CK100" s="3092"/><c r="CL100" s="3092"/><c r="CM100" s="3092"/><c r="CN100" s="3092"/><c r="CO100" s="3092"/><c r="CP100" s="3092"/><c r="CQ100" s="3092"/><c r="CR100" s="3092"/><c r="CS100" s="3092"/><c r="CT100" s="3092"/><c r="CU100" s="3092"/><c r="CV100" s="3092"/><c r="CW100" s="3092"/><c r="CX100" s="3092"/><c r="CY100" s="3092"/><c r="CZ100" s="3092"/><c r="DA100" s="3092"/><c r="DB100" s="3092"/><c r="DC100" s="3092"/><c r="DD100" s="3092"/><c r="DE100" s="3092"/><c r="DF100" s="3092"/><c r="DG100" s="3092"/><c r="DH100" s="3092"/><c r="DI100" s="3092"/><c r="DJ100" s="3092"/><c r="DK100" s="3092"/><c r="DL100" s="3092"/><c r="DM100" s="3092"/><c r="DN100" s="3092"/><c r="DO100" s="3092"/><c r="DP100" s="3092"/><c r="DQ100" s="3092"/><c r="DR100" s="3092"/><c r="DS100" s="3092"/><c r="DT100" s="3092"/><c r="DU100" s="3092"/><c r="DV100" s="3092"/><c r="DW100" s="3092"/><c r="DX100" s="3092"/><c r="DY100" s="3092"/><c r="DZ100" s="3092"/><c r="EA100" s="3092"/><c r="EB100" s="3092"/><c r="EC100" s="3092"/><c r="ED100" s="3092"/><c r="EE100" s="3092"/><c r="EF100" s="3092"/><c r="EG100" s="3092"/><c r="EH100" s="3092"/><c r="EI100" s="3092"/><c r="EJ100" s="3092"/><c r="EK100" s="3092"/><c r="EL100" s="3092"/><c r="EM100" s="3092"/><c r="EN100" s="3092"/><c r="EO100" s="3092"/><c r="EP100" s="3092"/><c r="EQ100" s="3092"/><c r="ER100" s="3092"/><c r="ES100" s="3092"/><c r="ET100" s="3092"/><c r="EU100" s="3092"/><c r="EV100" s="3092"/><c r="EW100" s="3092"/><c r="EX100" s="3092"/><c r="EY100" s="3092"/><c r="EZ100" s="3092"/><c r="FA100" s="3092"/><c r="FB100" s="3092"/><c r="FC100" s="3092"/><c r="FD100" s="3092"/><c r="FE100" s="3092"/><c r="FF100" s="3092"/><c r="FG100" s="3092"/><c r="FH100" s="3092"/><c r="FI100" s="3092"/><c r="FJ100" s="3092"/><c r="FK100" s="3092"/><c r="FL100" s="3092"/><c r="FM100" s="3092"/><c r="FN100" s="3092"/><c r="FO100" s="3092"/><c r="FP100" s="3092"/><c r="FQ100" s="3092"/><c r="FR100" s="3092"/><c r="FS100" s="3092"/><c r="FT100" s="3092"/><c r="FU100" s="3092"/><c r="FV100" s="3092"/><c r="FW100" s="3092"/><c r="FX100" s="3092"/><c r="FY100" s="3092"/><c r="FZ100" s="3092"/><c r="GA100" s="3092"/><c r="GB100" s="3092"/><c r="GC100" s="3092"/><c r="GD100" s="3092"/><c r="GE100" s="3092"/><c r="GF100" s="3092"/><c r="GG100" s="3092"/><c r="GH100" s="3092"/><c r="GI100" s="3092"/><c r="GJ100" s="3092"/><c r="GK100" s="3092"/><c r="GL100" s="3092"/><c r="GM100" s="3092"/><c r="GN100" s="3092"/><c r="GO100" s="3092"/><c r="GP100" s="3092"/><c r="GQ100" s="3092"/><c r="GR100" s="3092"/><c r="GS100" s="3092"/><c r="GT100" s="3092"/><c r="GU100" s="3092"/><c r="GV100" s="3092"/><c r="GW100" s="3092"/><c r="GX100" s="3092"/><c r="GY100" s="3092"/><c r="GZ100" s="3092"/><c r="HA100" s="3092"/><c r="HB100" s="3092"/><c r="HC100" s="3092"/><c r="HD100" s="3092"/><c r="HE100" s="3092"/><c r="HF100" s="3092"/><c r="HG100" s="3092"/><c r="HH100" s="3092"/><c r="HI100" s="3092"/><c r="HJ100" s="3092"/><c r="HK100" s="3092"/><c r="HL100" s="3092"/><c r="HM100" s="3092"/><c r="HN100" s="3092"/><c r="HO100" s="3092"/><c r="HP100" s="3092"/><c r="HQ100" s="3092"/><c r="HR100" s="3092"/><c r="HS100" s="3092"/><c r="HT100" s="3092"/><c r="HU100" s="3092"/><c r="HV100" s="3092"/><c r="HW100" s="3092"/><c r="HX100" s="3092"/><c r="HY100" s="3092"/><c r="HZ100" s="3092"/><c r="IA100" s="3092"/><c r="IB100" s="3092"/><c r="IC100" s="3092"/><c r="ID100" s="3092"/><c r="IE100" s="3092"/><c r="IF100" s="3092"/><c r="IG100" s="3092"/><c r="IH100" s="3092"/><c r="II100" s="3092"/><c r="IJ100" s="3092"/><c r="IK100" s="3092"/><c r="IL100" s="3092"/><c r="IM100" s="3092"/><c r="IN100" s="3092"/><c r="IO100" s="3092"/><c r="IP100" s="3092"/><c r="IQ100" s="3092"/><c r="IR100" s="3092"/><c r="IS100" s="3092"/><c r="IT100" s="3092"/><c r="IU100" s="3092"/><c r="IV100" s="3092"/><c r="IW100" s="3092"/></row><row r="101" spans="2:257" s="3045" customFormat="1" ht="12.75" customHeight="1"><c r="B101" s="3095"/><c r="D101" s="3092"/><c r="E101" s="3092"/><c r="F101" s="3092"/><c r="G101" s="3092"/><c r="H101" s="3092"/><c r="I101" s="3092"/><c r="J101" s="3092"/><c r="K101" s="3092"/><c r="L101" s="3092"/><c r="M101" s="3092"/><c r="N101" s="3092"/><c r="O101" s="3092"/><c r="P101" s="3092"/><c r="Q101" s="3092"/><c r="R101" s="3092"/><c r="S101" s="3092"/><c r="T101" s="3092"/><c r="U101" s="3092"/><c r="V101" s="3092"/><c r="W101" s="3092"/><c r="X101" s="3092"/><c r="Y101" s="3092"/><c r="Z101" s="3092"/><c r="AA101" s="3092"/><c r="AB101" s="3092"/><c r="AC101" s="3092"/><c r="AD101" s="3092"/><c r="AE101" s="3092"/><c r="AF101" s="3092"/><c r="AG101" s="3092"/><c r="AH101" s="3092"/><c r="AI101" s="3092"/><c r="AJ101" s="3092"/><c r="AK101" s="3092"/><c r="AL101" s="3092"/><c r="AM101" s="3092"/><c r="AN101" s="3092"/><c r="AO101" s="3092"/><c r="AP101" s="3092"/><c r="AQ101" s="3092"/><c r="AR101" s="3092"/><c r="AS101" s="3092"/><c r="AT101" s="3092"/><c r="AU101" s="3092"/><c r="AV101" s="3092"/><c r="AW101" s="3092"/><c r="AX101" s="3092"/><c r="AY101" s="3092"/><c r="AZ101" s="3092"/><c r="BA101" s="3092"/><c r="BB101" s="3092"/><c r="BC101" s="3092"/><c r="BD101" s="3092"/><c r="BE101" s="3092"/><c r="BF101" s="3092"/><c r="BG101" s="3092"/><c r="BH101" s="3092"/><c r="BI101" s="3092"/><c r="BJ101" s="3092"/><c r="BK101" s="3092"/><c r="BL101" s="3092"/><c r="BM101" s="3092"/><c r="BN101" s="3092"/><c r="BO101" s="3092"/><c r="BP101" s="3092"/><c r="BQ101" s="3092"/><c r="BR101" s="3092"/><c r="BS101" s="3092"/><c r="BT101" s="3092"/><c r="BU101" s="3092"/><c r="BV101" s="3092"/><c r="BW101" s="3092"/><c r="BX101" s="3092"/><c r="BY101" s="3092"/><c r="BZ101" s="3092"/><c r="CA101" s="3092"/><c r="CB101" s="3092"/><c r="CC101" s="3092"/><c r="CD101" s="3092"/><c r="CE101" s="3092"/><c r="CF101" s="3092"/><c r="CG101" s="3092"/><c r="CH101" s="3092"/><c r="CI101" s="3092"/><c r="CJ101" s="3092"/><c r="CK101" s="3092"/><c r="CL101" s="3092"/><c r="CM101" s="3092"/><c r="CN101" s="3092"/><c r="CO101" s="3092"/><c r="CP101" s="3092"/><c r="CQ101" s="3092"/><c r="CR101" s="3092"/><c r="CS101" s="3092"/><c r="CT101" s="3092"/><c r="CU101" s="3092"/><c r="CV101" s="3092"/><c r="CW101" s="3092"/><c r="CX101" s="3092"/><c r="CY101" s="3092"/><c r="CZ101" s="3092"/><c r="DA101" s="3092"/><c r="DB101" s="3092"/><c r="DC101" s="3092"/><c r="DD101" s="3092"/><c r="DE101" s="3092"/><c r="DF101" s="3092"/><c r="DG101" s="3092"/><c r="DH101" s="3092"/><c r="DI101" s="3092"/><c r="DJ101" s="3092"/><c r="DK101" s="3092"/><c r="DL101" s="3092"/><c r="DM101" s="3092"/><c r="DN101" s="3092"/><c r="DO101" s="3092"/><c r="DP101" s="3092"/><c r="DQ101" s="3092"/><c r="DR101" s="3092"/><c r="DS101" s="3092"/><c r="DT101" s="3092"/><c r="DU101" s="3092"/><c r="DV101" s="3092"/><c r="DW101" s="3092"/><c r="DX101" s="3092"/><c r="DY101" s="3092"/><c r="DZ101" s="3092"/><c r="EA101" s="3092"/><c r="EB101" s="3092"/><c r="EC101" s="3092"/><c r="ED101" s="3092"/><c r="EE101" s="3092"/><c r="EF101" s="3092"/><c r="EG101" s="3092"/><c r="EH101" s="3092"/><c r="EI101" s="3092"/><c r="EJ101" s="3092"/><c r="EK101" s="3092"/><c r="EL101" s="3092"/><c r="EM101" s="3092"/><c r="EN101" s="3092"/><c r="EO101" s="3092"/><c r="EP101" s="3092"/><c r="EQ101" s="3092"/><c r="ER101" s="3092"/><c r="ES101" s="3092"/><c r="ET101" s="3092"/><c r="EU101" s="3092"/><c r="EV101" s="3092"/><c r="EW101" s="3092"/><c r="EX101" s="3092"/><c r="EY101" s="3092"/><c r="EZ101" s="3092"/><c r="FA101" s="3092"/><c r="FB101" s="3092"/><c r="FC101" s="3092"/><c r="FD101" s="3092"/><c r="FE101" s="3092"/><c r="FF101" s="3092"/><c r="FG101" s="3092"/><c r="FH101" s="3092"/><c r="FI101" s="3092"/><c r="FJ101" s="3092"/><c r="FK101" s="3092"/><c r="FL101" s="3092"/><c r="FM101" s="3092"/><c r="FN101" s="3092"/><c r="FO101" s="3092"/><c r="FP101" s="3092"/><c r="FQ101" s="3092"/><c r="FR101" s="3092"/><c r="FS101" s="3092"/><c r="FT101" s="3092"/><c r="FU101" s="3092"/><c r="FV101" s="3092"/><c r="FW101" s="3092"/><c r="FX101" s="3092"/><c r="FY101" s="3092"/><c r="FZ101" s="3092"/><c r="GA101" s="3092"/><c r="GB101" s="3092"/><c r="GC101" s="3092"/><c r="GD101" s="3092"/><c r="GE101" s="3092"/><c r="GF101" s="3092"/><c r="GG101" s="3092"/><c r="GH101" s="3092"/><c r="GI101" s="3092"/><c r="GJ101" s="3092"/><c r="GK101" s="3092"/><c r="GL101" s="3092"/><c r="GM101" s="3092"/><c r="GN101" s="3092"/><c r="GO101" s="3092"/><c r="GP101" s="3092"/><c r="GQ101" s="3092"/><c r="GR101" s="3092"/><c r="GS101" s="3092"/><c r="GT101" s="3092"/><c r="GU101" s="3092"/><c r="GV101" s="3092"/><c r="GW101" s="3092"/><c r="GX101" s="3092"/><c r="GY101" s="3092"/><c r="GZ101" s="3092"/><c r="HA101" s="3092"/><c r="HB101" s="3092"/><c r="HC101" s="3092"/><c r="HD101" s="3092"/><c r="HE101" s="3092"/><c r="HF101" s="3092"/><c r="HG101" s="3092"/><c r="HH101" s="3092"/><c r="HI101" s="3092"/><c r="HJ101" s="3092"/><c r="HK101" s="3092"/><c r="HL101" s="3092"/><c r="HM101" s="3092"/><c r="HN101" s="3092"/><c r="HO101" s="3092"/><c r="HP101" s="3092"/><c r="HQ101" s="3092"/><c r="HR101" s="3092"/><c r="HS101" s="3092"/><c r="HT101" s="3092"/><c r="HU101" s="3092"/><c r="HV101" s="3092"/><c r="HW101" s="3092"/><c r="HX101" s="3092"/><c r="HY101" s="3092"/><c r="HZ101" s="3092"/><c r="IA101" s="3092"/><c r="IB101" s="3092"/><c r="IC101" s="3092"/><c r="ID101" s="3092"/><c r="IE101" s="3092"/><c r="IF101" s="3092"/><c r="IG101" s="3092"/><c r="IH101" s="3092"/><c r="II101" s="3092"/><c r="IJ101" s="3092"/><c r="IK101" s="3092"/><c r="IL101" s="3092"/><c r="IM101" s="3092"/><c r="IN101" s="3092"/><c r="IO101" s="3092"/><c r="IP101" s="3092"/><c r="IQ101" s="3092"/><c r="IR101" s="3092"/><c r="IS101" s="3092"/><c r="IT101" s="3092"/><c r="IU101" s="3092"/><c r="IV101" s="3092"/><c r="IW101" s="3092"/></row><row r="102" spans="2:257" s="3045" customFormat="1" ht="12.75" customHeight="1"><c r="B102" s="3095"/><c r="D102" s="3092"/><c r="E102" s="3092"/><c r="F102" s="3092"/><c r="G102" s="3092"/><c r="H102" s="3092"/><c r="I102" s="3092"/><c r="J102" s="3092"/><c r="K102" s="3092"/><c r="L102" s="3092"/><c r="M102" s="3092"/><c r="N102" s="3092"/><c r="O102" s="3092"/><c r="P102" s="3092"/><c r="Q102" s="3092"/><c r="R102" s="3092"/><c r="S102" s="3092"/><c r="T102" s="3092"/><c r="U102" s="3092"/><c r="V102" s="3092"/><c r="W102" s="3092"/><c r="X102" s="3092"/><c r="Y102" s="3092"/><c r="Z102" s="3092"/><c r="AA102" s="3092"/><c r="AB102" s="3092"/><c r="AC102" s="3092"/><c r="AD102" s="3092"/><c r="AE102" s="3092"/><c r="AF102" s="3092"/><c r="AG102" s="3092"/><c r="AH102" s="3092"/><c r="AI102" s="3092"/><c r="AJ102" s="3092"/><c r="AK102" s="3092"/><c r="AL102" s="3092"/><c r="AM102" s="3092"/><c r="AN102" s="3092"/><c r="AO102" s="3092"/><c r="AP102" s="3092"/><c r="AQ102" s="3092"/><c r="AR102" s="3092"/><c r="AS102" s="3092"/><c r="AT102" s="3092"/><c r="AU102" s="3092"/><c r="AV102" s="3092"/><c r="AW102" s="3092"/><c r="AX102" s="3092"/><c r="AY102" s="3092"/><c r="AZ102" s="3092"/><c r="BA102" s="3092"/><c r="BB102" s="3092"/><c r="BC102" s="3092"/><c r="BD102" s="3092"/><c r="BE102" s="3092"/><c r="BF102" s="3092"/><c r="BG102" s="3092"/><c r="BH102" s="3092"/><c r="BI102" s="3092"/><c r="BJ102" s="3092"/><c r="BK102" s="3092"/><c r="BL102" s="3092"/><c r="BM102" s="3092"/><c r="BN102" s="3092"/><c r="BO102" s="3092"/><c r="BP102" s="3092"/><c r="BQ102" s="3092"/><c r="BR102" s="3092"/><c r="BS102" s="3092"/><c r="BT102" s="3092"/><c r="BU102" s="3092"/><c r="BV102" s="3092"/><c r="BW102" s="3092"/><c r="BX102" s="3092"/><c r="BY102" s="3092"/><c r="BZ102" s="3092"/><c r="CA102" s="3092"/><c r="CB102" s="3092"/><c r="CC102" s="3092"/><c r="CD102" s="3092"/><c r="CE102" s="3092"/><c r="CF102" s="3092"/><c r="CG102" s="3092"/><c r="CH102" s="3092"/><c r="CI102" s="3092"/><c r="CJ102" s="3092"/><c r="CK102" s="3092"/><c r="CL102" s="3092"/><c r="CM102" s="3092"/><c r="CN102" s="3092"/><c r="CO102" s="3092"/><c r="CP102" s="3092"/><c r="CQ102" s="3092"/><c r="CR102" s="3092"/><c r="CS102" s="3092"/><c r="CT102" s="3092"/><c r="CU102" s="3092"/><c r="CV102" s="3092"/><c r="CW102" s="3092"/><c r="CX102" s="3092"/><c r="CY102" s="3092"/><c r="CZ102" s="3092"/><c r="DA102" s="3092"/><c r="DB102" s="3092"/><c r="DC102" s="3092"/><c r="DD102" s="3092"/><c r="DE102" s="3092"/><c r="DF102" s="3092"/><c r="DG102" s="3092"/><c r="DH102" s="3092"/><c r="DI102" s="3092"/><c r="DJ102" s="3092"/><c r="DK102" s="3092"/><c r="DL102" s="3092"/><c r="DM102" s="3092"/><c r="DN102" s="3092"/><c r="DO102" s="3092"/><c r="DP102" s="3092"/><c r="DQ102" s="3092"/><c r="DR102" s="3092"/><c r="DS102" s="3092"/><c r="DT102" s="3092"/><c r="DU102" s="3092"/><c r="DV102" s="3092"/><c r="DW102" s="3092"/><c r="DX102" s="3092"/><c r="DY102" s="3092"/><c r="DZ102" s="3092"/><c r="EA102" s="3092"/><c r="EB102" s="3092"/><c r="EC102" s="3092"/><c r="ED102" s="3092"/><c r="EE102" s="3092"/><c r="EF102" s="3092"/><c r="EG102" s="3092"/><c r="EH102" s="3092"/><c r="EI102" s="3092"/><c r="EJ102" s="3092"/><c r="EK102" s="3092"/><c r="EL102" s="3092"/><c r="EM102" s="3092"/><c r="EN102" s="3092"/><c r="EO102" s="3092"/><c r="EP102" s="3092"/><c r="EQ102" s="3092"/><c r="ER102" s="3092"/><c r="ES102" s="3092"/><c r="ET102" s="3092"/><c r="EU102" s="3092"/><c r="EV102" s="3092"/><c r="EW102" s="3092"/><c r="EX102" s="3092"/><c r="EY102" s="3092"/><c r="EZ102" s="3092"/><c r="FA102" s="3092"/><c r="FB102" s="3092"/><c r="FC102" s="3092"/><c r="FD102" s="3092"/><c r="FE102" s="3092"/><c r="FF102" s="3092"/><c r="FG102" s="3092"/><c r="FH102" s="3092"/><c r="FI102" s="3092"/><c r="FJ102" s="3092"/><c r="FK102" s="3092"/><c r="FL102" s="3092"/><c r="FM102" s="3092"/><c r="FN102" s="3092"/><c r="FO102" s="3092"/><c r="FP102" s="3092"/><c r="FQ102" s="3092"/><c r="FR102" s="3092"/><c r="FS102" s="3092"/><c r="FT102" s="3092"/><c r="FU102" s="3092"/><c r="FV102" s="3092"/><c r="FW102" s="3092"/><c r="FX102" s="3092"/><c r="FY102" s="3092"/><c r="FZ102" s="3092"/><c r="GA102" s="3092"/><c r="GB102" s="3092"/><c r="GC102" s="3092"/><c r="GD102" s="3092"/><c r="GE102" s="3092"/><c r="GF102" s="3092"/><c r="GG102" s="3092"/><c r="GH102" s="3092"/><c r="GI102" s="3092"/><c r="GJ102" s="3092"/><c r="GK102" s="3092"/><c r="GL102" s="3092"/><c r="GM102" s="3092"/><c r="GN102" s="3092"/><c r="GO102" s="3092"/><c r="GP102" s="3092"/><c r="GQ102" s="3092"/><c r="GR102" s="3092"/><c r="GS102" s="3092"/><c r="GT102" s="3092"/><c r="GU102" s="3092"/><c r="GV102" s="3092"/><c r="GW102" s="3092"/><c r="GX102" s="3092"/><c r="GY102" s="3092"/><c r="GZ102" s="3092"/><c r="HA102" s="3092"/><c r="HB102" s="3092"/><c r="HC102" s="3092"/><c r="HD102" s="3092"/><c r="HE102" s="3092"/><c r="HF102" s="3092"/><c r="HG102" s="3092"/><c r="HH102" s="3092"/><c r="HI102" s="3092"/><c r="HJ102" s="3092"/><c r="HK102" s="3092"/><c r="HL102" s="3092"/><c r="HM102" s="3092"/><c r="HN102" s="3092"/><c r="HO102" s="3092"/><c r="HP102" s="3092"/><c r="HQ102" s="3092"/><c r="HR102" s="3092"/><c r="HS102" s="3092"/><c r="HT102" s="3092"/><c r="HU102" s="3092"/><c r="HV102" s="3092"/><c r="HW102" s="3092"/><c r="HX102" s="3092"/><c r="HY102" s="3092"/><c r="HZ102" s="3092"/><c r="IA102" s="3092"/><c r="IB102" s="3092"/><c r="IC102" s="3092"/><c r="ID102" s="3092"/><c r="IE102" s="3092"/><c r="IF102" s="3092"/><c r="IG102" s="3092"/><c r="IH102" s="3092"/><c r="II102" s="3092"/><c r="IJ102" s="3092"/><c r="IK102" s="3092"/><c r="IL102" s="3092"/><c r="IM102" s="3092"/><c r="IN102" s="3092"/><c r="IO102" s="3092"/><c r="IP102" s="3092"/><c r="IQ102" s="3092"/><c r="IR102" s="3092"/><c r="IS102" s="3092"/><c r="IT102" s="3092"/><c r="IU102" s="3092"/><c r="IV102" s="3092"/><c r="IW102" s="3092"/></row><row r="103" spans="2:257" s="3045" customFormat="1" ht="12.75" customHeight="1"><c r="B103" s="3095"/><c r="D103" s="3092"/><c r="E103" s="3092"/><c r="F103" s="3092"/><c r="G103" s="3092"/><c r="H103" s="3092"/><c r="I103" s="3092"/><c r="J103" s="3092"/><c r="K103" s="3092"/><c r="L103" s="3092"/><c r="M103" s="3092"/><c r="N103" s="3092"/><c r="O103" s="3092"/><c r="P103" s="3092"/><c r="Q103" s="3092"/><c r="R103" s="3092"/><c r="S103" s="3092"/><c r="T103" s="3092"/><c r="U103" s="3092"/><c r="V103" s="3092"/><c r="W103" s="3092"/><c r="X103" s="3092"/><c r="Y103" s="3092"/><c r="Z103" s="3092"/><c r="AA103" s="3092"/><c r="AB103" s="3092"/><c r="AC103" s="3092"/><c r="AD103" s="3092"/><c r="AE103" s="3092"/><c r="AF103" s="3092"/><c r="AG103" s="3092"/><c r="AH103" s="3092"/><c r="AI103" s="3092"/><c r="AJ103" s="3092"/><c r="AK103" s="3092"/><c r="AL103" s="3092"/><c r="AM103" s="3092"/><c r="AN103" s="3092"/><c r="AO103" s="3092"/><c r="AP103" s="3092"/><c r="AQ103" s="3092"/><c r="AR103" s="3092"/><c r="AS103" s="3092"/><c r="AT103" s="3092"/><c r="AU103" s="3092"/><c r="AV103" s="3092"/><c r="AW103" s="3092"/><c r="AX103" s="3092"/><c r="AY103" s="3092"/><c r="AZ103" s="3092"/><c r="BA103" s="3092"/><c r="BB103" s="3092"/><c r="BC103" s="3092"/><c r="BD103" s="3092"/><c r="BE103" s="3092"/><c r="BF103" s="3092"/><c r="BG103" s="3092"/><c r="BH103" s="3092"/><c r="BI103" s="3092"/><c r="BJ103" s="3092"/><c r="BK103" s="3092"/><c r="BL103" s="3092"/><c r="BM103" s="3092"/><c r="BN103" s="3092"/><c r="BO103" s="3092"/><c r="BP103" s="3092"/><c r="BQ103" s="3092"/><c r="BR103" s="3092"/><c r="BS103" s="3092"/><c r="BT103" s="3092"/><c r="BU103" s="3092"/><c r="BV103" s="3092"/><c r="BW103" s="3092"/><c r="BX103" s="3092"/><c r="BY103" s="3092"/><c r="BZ103" s="3092"/><c r="CA103" s="3092"/><c r="CB103" s="3092"/><c r="CC103" s="3092"/><c r="CD103" s="3092"/><c r="CE103" s="3092"/><c r="CF103" s="3092"/><c r="CG103" s="3092"/><c r="CH103" s="3092"/><c r="CI103" s="3092"/><c r="CJ103" s="3092"/><c r="CK103" s="3092"/><c r="CL103" s="3092"/><c r="CM103" s="3092"/><c r="CN103" s="3092"/><c r="CO103" s="3092"/><c r="CP103" s="3092"/><c r="CQ103" s="3092"/><c r="CR103" s="3092"/><c r="CS103" s="3092"/><c r="CT103" s="3092"/><c r="CU103" s="3092"/><c r="CV103" s="3092"/><c r="CW103" s="3092"/><c r="CX103" s="3092"/><c r="CY103" s="3092"/><c r="CZ103" s="3092"/><c r="DA103" s="3092"/><c r="DB103" s="3092"/><c r="DC103" s="3092"/><c r="DD103" s="3092"/><c r="DE103" s="3092"/><c r="DF103" s="3092"/><c r="DG103" s="3092"/><c r="DH103" s="3092"/><c r="DI103" s="3092"/><c r="DJ103" s="3092"/><c r="DK103" s="3092"/><c r="DL103" s="3092"/><c r="DM103" s="3092"/><c r="DN103" s="3092"/><c r="DO103" s="3092"/><c r="DP103" s="3092"/><c r="DQ103" s="3092"/><c r="DR103" s="3092"/><c r="DS103" s="3092"/><c r="DT103" s="3092"/><c r="DU103" s="3092"/><c r="DV103" s="3092"/><c r="DW103" s="3092"/><c r="DX103" s="3092"/><c r="DY103" s="3092"/><c r="DZ103" s="3092"/><c r="EA103" s="3092"/><c r="EB103" s="3092"/><c r="EC103" s="3092"/><c r="ED103" s="3092"/><c r="EE103" s="3092"/><c r="EF103" s="3092"/><c r="EG103" s="3092"/><c r="EH103" s="3092"/><c r="EI103" s="3092"/><c r="EJ103" s="3092"/><c r="EK103" s="3092"/><c r="EL103" s="3092"/><c r="EM103" s="3092"/><c r="EN103" s="3092"/><c r="EO103" s="3092"/><c r="EP103" s="3092"/><c r="EQ103" s="3092"/><c r="ER103" s="3092"/><c r="ES103" s="3092"/><c r="ET103" s="3092"/><c r="EU103" s="3092"/><c r="EV103" s="3092"/><c r="EW103" s="3092"/><c r="EX103" s="3092"/><c r="EY103" s="3092"/><c r="EZ103" s="3092"/><c r="FA103" s="3092"/><c r="FB103" s="3092"/><c r="FC103" s="3092"/><c r="FD103" s="3092"/><c r="FE103" s="3092"/><c r="FF103" s="3092"/><c r="FG103" s="3092"/><c r="FH103" s="3092"/><c r="FI103" s="3092"/><c r="FJ103" s="3092"/><c r="FK103" s="3092"/><c r="FL103" s="3092"/><c r="FM103" s="3092"/><c r="FN103" s="3092"/><c r="FO103" s="3092"/><c r="FP103" s="3092"/><c r="FQ103" s="3092"/><c r="FR103" s="3092"/><c r="FS103" s="3092"/><c r="FT103" s="3092"/><c r="FU103" s="3092"/><c r="FV103" s="3092"/><c r="FW103" s="3092"/><c r="FX103" s="3092"/><c r="FY103" s="3092"/><c r="FZ103" s="3092"/><c r="GA103" s="3092"/><c r="GB103" s="3092"/><c r="GC103" s="3092"/><c r="GD103" s="3092"/><c r="GE103" s="3092"/><c r="GF103" s="3092"/><c r="GG103" s="3092"/><c r="GH103" s="3092"/><c r="GI103" s="3092"/><c r="GJ103" s="3092"/><c r="GK103" s="3092"/><c r="GL103" s="3092"/><c r="GM103" s="3092"/><c r="GN103" s="3092"/><c r="GO103" s="3092"/><c r="GP103" s="3092"/><c r="GQ103" s="3092"/><c r="GR103" s="3092"/><c r="GS103" s="3092"/><c r="GT103" s="3092"/><c r="GU103" s="3092"/><c r="GV103" s="3092"/><c r="GW103" s="3092"/><c r="GX103" s="3092"/><c r="GY103" s="3092"/><c r="GZ103" s="3092"/><c r="HA103" s="3092"/><c r="HB103" s="3092"/><c r="HC103" s="3092"/><c r="HD103" s="3092"/><c r="HE103" s="3092"/><c r="HF103" s="3092"/><c r="HG103" s="3092"/><c r="HH103" s="3092"/><c r="HI103" s="3092"/><c r="HJ103" s="3092"/><c r="HK103" s="3092"/><c r="HL103" s="3092"/><c r="HM103" s="3092"/><c r="HN103" s="3092"/><c r="HO103" s="3092"/><c r="HP103" s="3092"/><c r="HQ103" s="3092"/><c r="HR103" s="3092"/><c r="HS103" s="3092"/><c r="HT103" s="3092"/><c r="HU103" s="3092"/><c r="HV103" s="3092"/><c r="HW103" s="3092"/><c r="HX103" s="3092"/><c r="HY103" s="3092"/><c r="HZ103" s="3092"/><c r="IA103" s="3092"/><c r="IB103" s="3092"/><c r="IC103" s="3092"/><c r="ID103" s="3092"/><c r="IE103" s="3092"/><c r="IF103" s="3092"/><c r="IG103" s="3092"/><c r="IH103" s="3092"/><c r="II103" s="3092"/><c r="IJ103" s="3092"/><c r="IK103" s="3092"/><c r="IL103" s="3092"/><c r="IM103" s="3092"/><c r="IN103" s="3092"/><c r="IO103" s="3092"/><c r="IP103" s="3092"/><c r="IQ103" s="3092"/><c r="IR103" s="3092"/><c r="IS103" s="3092"/><c r="IT103" s="3092"/><c r="IU103" s="3092"/><c r="IV103" s="3092"/><c r="IW103" s="3092"/></row><row r="104" spans="2:257" s="3045" customFormat="1" ht="12.75" customHeight="1"><c r="B104" s="3095"/><c r="D104" s="3092"/><c r="E104" s="3092"/><c r="F104" s="3092"/><c r="G104" s="3092"/><c r="H104" s="3092"/><c r="I104" s="3092"/><c r="J104" s="3092"/><c r="K104" s="3092"/><c r="L104" s="3092"/><c r="M104" s="3092"/><c r="N104" s="3092"/><c r="O104" s="3092"/><c r="P104" s="3092"/><c r="Q104" s="3092"/><c r="R104" s="3092"/><c r="S104" s="3092"/><c r="T104" s="3092"/><c r="U104" s="3092"/><c r="V104" s="3092"/><c r="W104" s="3092"/><c r="X104" s="3092"/><c r="Y104" s="3092"/><c r="Z104" s="3092"/><c r="AA104" s="3092"/><c r="AB104" s="3092"/><c r="AC104" s="3092"/><c r="AD104" s="3092"/><c r="AE104" s="3092"/><c r="AF104" s="3092"/><c r="AG104" s="3092"/><c r="AH104" s="3092"/><c r="AI104" s="3092"/><c r="AJ104" s="3092"/><c r="AK104" s="3092"/><c r="AL104" s="3092"/><c r="AM104" s="3092"/><c r="AN104" s="3092"/><c r="AO104" s="3092"/><c r="AP104" s="3092"/><c r="AQ104" s="3092"/><c r="AR104" s="3092"/><c r="AS104" s="3092"/><c r="AT104" s="3092"/><c r="AU104" s="3092"/><c r="AV104" s="3092"/><c r="AW104" s="3092"/><c r="AX104" s="3092"/><c r="AY104" s="3092"/><c r="AZ104" s="3092"/><c r="BA104" s="3092"/><c r="BB104" s="3092"/><c r="BC104" s="3092"/><c r="BD104" s="3092"/><c r="BE104" s="3092"/><c r="BF104" s="3092"/><c r="BG104" s="3092"/><c r="BH104" s="3092"/><c r="BI104" s="3092"/><c r="BJ104" s="3092"/><c r="BK104" s="3092"/><c r="BL104" s="3092"/><c r="BM104" s="3092"/><c r="BN104" s="3092"/><c r="BO104" s="3092"/><c r="BP104" s="3092"/><c r="BQ104" s="3092"/><c r="BR104" s="3092"/><c r="BS104" s="3092"/><c r="BT104" s="3092"/><c r="BU104" s="3092"/><c r="BV104" s="3092"/><c r="BW104" s="3092"/><c r="BX104" s="3092"/><c r="BY104" s="3092"/><c r="BZ104" s="3092"/><c r="CA104" s="3092"/><c r="CB104" s="3092"/><c r="CC104" s="3092"/><c r="CD104" s="3092"/><c r="CE104" s="3092"/><c r="CF104" s="3092"/><c r="CG104" s="3092"/><c r="CH104" s="3092"/><c r="CI104" s="3092"/><c r="CJ104" s="3092"/><c r="CK104" s="3092"/><c r="CL104" s="3092"/><c r="CM104" s="3092"/><c r="CN104" s="3092"/><c r="CO104" s="3092"/><c r="CP104" s="3092"/><c r="CQ104" s="3092"/><c r="CR104" s="3092"/><c r="CS104" s="3092"/><c r="CT104" s="3092"/><c r="CU104" s="3092"/><c r="CV104" s="3092"/><c r="CW104" s="3092"/><c r="CX104" s="3092"/><c r="CY104" s="3092"/><c r="CZ104" s="3092"/><c r="DA104" s="3092"/><c r="DB104" s="3092"/><c r="DC104" s="3092"/><c r="DD104" s="3092"/><c r="DE104" s="3092"/><c r="DF104" s="3092"/><c r="DG104" s="3092"/><c r="DH104" s="3092"/><c r="DI104" s="3092"/><c r="DJ104" s="3092"/><c r="DK104" s="3092"/><c r="DL104" s="3092"/><c r="DM104" s="3092"/><c r="DN104" s="3092"/><c r="DO104" s="3092"/><c r="DP104" s="3092"/><c r="DQ104" s="3092"/><c r="DR104" s="3092"/><c r="DS104" s="3092"/><c r="DT104" s="3092"/><c r="DU104" s="3092"/><c r="DV104" s="3092"/><c r="DW104" s="3092"/><c r="DX104" s="3092"/><c r="DY104" s="3092"/><c r="DZ104" s="3092"/><c r="EA104" s="3092"/><c r="EB104" s="3092"/><c r="EC104" s="3092"/><c r="ED104" s="3092"/><c r="EE104" s="3092"/><c r="EF104" s="3092"/><c r="EG104" s="3092"/><c r="EH104" s="3092"/><c r="EI104" s="3092"/><c r="EJ104" s="3092"/><c r="EK104" s="3092"/><c r="EL104" s="3092"/><c r="EM104" s="3092"/><c r="EN104" s="3092"/><c r="EO104" s="3092"/><c r="EP104" s="3092"/><c r="EQ104" s="3092"/><c r="ER104" s="3092"/><c r="ES104" s="3092"/><c r="ET104" s="3092"/><c r="EU104" s="3092"/><c r="EV104" s="3092"/><c r="EW104" s="3092"/><c r="EX104" s="3092"/><c r="EY104" s="3092"/><c r="EZ104" s="3092"/><c r="FA104" s="3092"/><c r="FB104" s="3092"/><c r="FC104" s="3092"/><c r="FD104" s="3092"/><c r="FE104" s="3092"/><c r="FF104" s="3092"/><c r="FG104" s="3092"/><c r="FH104" s="3092"/><c r="FI104" s="3092"/><c r="FJ104" s="3092"/><c r="FK104" s="3092"/><c r="FL104" s="3092"/><c r="FM104" s="3092"/><c r="FN104" s="3092"/><c r="FO104" s="3092"/><c r="FP104" s="3092"/><c r="FQ104" s="3092"/><c r="FR104" s="3092"/><c r="FS104" s="3092"/><c r="FT104" s="3092"/><c r="FU104" s="3092"/><c r="FV104" s="3092"/><c r="FW104" s="3092"/><c r="FX104" s="3092"/><c r="FY104" s="3092"/><c r="FZ104" s="3092"/><c r="GA104" s="3092"/><c r="GB104" s="3092"/><c r="GC104" s="3092"/><c r="GD104" s="3092"/><c r="GE104" s="3092"/><c r="GF104" s="3092"/><c r="GG104" s="3092"/><c r="GH104" s="3092"/><c r="GI104" s="3092"/><c r="GJ104" s="3092"/><c r="GK104" s="3092"/><c r="GL104" s="3092"/><c r="GM104" s="3092"/><c r="GN104" s="3092"/><c r="GO104" s="3092"/><c r="GP104" s="3092"/><c r="GQ104" s="3092"/><c r="GR104" s="3092"/><c r="GS104" s="3092"/><c r="GT104" s="3092"/><c r="GU104" s="3092"/><c r="GV104" s="3092"/><c r="GW104" s="3092"/><c r="GX104" s="3092"/><c r="GY104" s="3092"/><c r="GZ104" s="3092"/><c r="HA104" s="3092"/><c r="HB104" s="3092"/><c r="HC104" s="3092"/><c r="HD104" s="3092"/><c r="HE104" s="3092"/><c r="HF104" s="3092"/><c r="HG104" s="3092"/><c r="HH104" s="3092"/><c r="HI104" s="3092"/><c r="HJ104" s="3092"/><c r="HK104" s="3092"/><c r="HL104" s="3092"/><c r="HM104" s="3092"/><c r="HN104" s="3092"/><c r="HO104" s="3092"/><c r="HP104" s="3092"/><c r="HQ104" s="3092"/><c r="HR104" s="3092"/><c r="HS104" s="3092"/><c r="HT104" s="3092"/><c r="HU104" s="3092"/><c r="HV104" s="3092"/><c r="HW104" s="3092"/><c r="HX104" s="3092"/><c r="HY104" s="3092"/><c r="HZ104" s="3092"/><c r="IA104" s="3092"/><c r="IB104" s="3092"/><c r="IC104" s="3092"/><c r="ID104" s="3092"/><c r="IE104" s="3092"/><c r="IF104" s="3092"/><c r="IG104" s="3092"/><c r="IH104" s="3092"/><c r="II104" s="3092"/><c r="IJ104" s="3092"/><c r="IK104" s="3092"/><c r="IL104" s="3092"/><c r="IM104" s="3092"/><c r="IN104" s="3092"/><c r="IO104" s="3092"/><c r="IP104" s="3092"/><c r="IQ104" s="3092"/><c r="IR104" s="3092"/><c r="IS104" s="3092"/><c r="IT104" s="3092"/><c r="IU104" s="3092"/><c r="IV104" s="3092"/><c r="IW104" s="3092"/></row><row r="105" spans="2:257" s="3045" customFormat="1" ht="12.75" customHeight="1"><c r="B105" s="3095"/><c r="D105" s="3092"/><c r="E105" s="3092"/><c r="F105" s="3092"/><c r="G105" s="3092"/><c r="H105" s="3092"/><c r="I105" s="3092"/><c r="J105" s="3092"/><c r="K105" s="3092"/><c r="L105" s="3092"/><c r="M105" s="3092"/><c r="N105" s="3092"/><c r="O105" s="3092"/><c r="P105" s="3092"/><c r="Q105" s="3092"/><c r="R105" s="3092"/><c r="S105" s="3092"/><c r="T105" s="3092"/><c r="U105" s="3092"/><c r="V105" s="3092"/><c r="W105" s="3092"/><c r="X105" s="3092"/><c r="Y105" s="3092"/><c r="Z105" s="3092"/><c r="AA105" s="3092"/><c r="AB105" s="3092"/><c r="AC105" s="3092"/><c r="AD105" s="3092"/><c r="AE105" s="3092"/><c r="AF105" s="3092"/><c r="AG105" s="3092"/><c r="AH105" s="3092"/><c r="AI105" s="3092"/><c r="AJ105" s="3092"/><c r="AK105" s="3092"/><c r="AL105" s="3092"/><c r="AM105" s="3092"/><c r="AN105" s="3092"/><c r="AO105" s="3092"/><c r="AP105" s="3092"/><c r="AQ105" s="3092"/><c r="AR105" s="3092"/><c r="AS105" s="3092"/><c r="AT105" s="3092"/><c r="AU105" s="3092"/><c r="AV105" s="3092"/><c r="AW105" s="3092"/><c r="AX105" s="3092"/><c r="AY105" s="3092"/><c r="AZ105" s="3092"/><c r="BA105" s="3092"/><c r="BB105" s="3092"/><c r="BC105" s="3092"/><c r="BD105" s="3092"/><c r="BE105" s="3092"/><c r="BF105" s="3092"/><c r="BG105" s="3092"/><c r="BH105" s="3092"/><c r="BI105" s="3092"/><c r="BJ105" s="3092"/><c r="BK105" s="3092"/><c r="BL105" s="3092"/><c r="BM105" s="3092"/><c r="BN105" s="3092"/><c r="BO105" s="3092"/><c r="BP105" s="3092"/><c r="BQ105" s="3092"/><c r="BR105" s="3092"/><c r="BS105" s="3092"/><c r="BT105" s="3092"/><c r="BU105" s="3092"/><c r="BV105" s="3092"/><c r="BW105" s="3092"/><c r="BX105" s="3092"/><c r="BY105" s="3092"/><c r="BZ105" s="3092"/><c r="CA105" s="3092"/><c r="CB105" s="3092"/><c r="CC105" s="3092"/><c r="CD105" s="3092"/><c r="CE105" s="3092"/><c r="CF105" s="3092"/><c r="CG105" s="3092"/><c r="CH105" s="3092"/><c r="CI105" s="3092"/><c r="CJ105" s="3092"/><c r="CK105" s="3092"/><c r="CL105" s="3092"/><c r="CM105" s="3092"/><c r="CN105" s="3092"/><c r="CO105" s="3092"/><c r="CP105" s="3092"/><c r="CQ105" s="3092"/><c r="CR105" s="3092"/><c r="CS105" s="3092"/><c r="CT105" s="3092"/><c r="CU105" s="3092"/><c r="CV105" s="3092"/><c r="CW105" s="3092"/><c r="CX105" s="3092"/><c r="CY105" s="3092"/><c r="CZ105" s="3092"/><c r="DA105" s="3092"/><c r="DB105" s="3092"/><c r="DC105" s="3092"/><c r="DD105" s="3092"/><c r="DE105" s="3092"/><c r="DF105" s="3092"/><c r="DG105" s="3092"/><c r="DH105" s="3092"/><c r="DI105" s="3092"/><c r="DJ105" s="3092"/><c r="DK105" s="3092"/><c r="DL105" s="3092"/><c r="DM105" s="3092"/><c r="DN105" s="3092"/><c r="DO105" s="3092"/><c r="DP105" s="3092"/><c r="DQ105" s="3092"/><c r="DR105" s="3092"/><c r="DS105" s="3092"/><c r="DT105" s="3092"/><c r="DU105" s="3092"/><c r="DV105" s="3092"/><c r="DW105" s="3092"/><c r="DX105" s="3092"/><c r="DY105" s="3092"/><c r="DZ105" s="3092"/><c r="EA105" s="3092"/><c r="EB105" s="3092"/><c r="EC105" s="3092"/><c r="ED105" s="3092"/><c r="EE105" s="3092"/><c r="EF105" s="3092"/><c r="EG105" s="3092"/><c r="EH105" s="3092"/><c r="EI105" s="3092"/><c r="EJ105" s="3092"/><c r="EK105" s="3092"/><c r="EL105" s="3092"/><c r="EM105" s="3092"/><c r="EN105" s="3092"/><c r="EO105" s="3092"/><c r="EP105" s="3092"/><c r="EQ105" s="3092"/><c r="ER105" s="3092"/><c r="ES105" s="3092"/><c r="ET105" s="3092"/><c r="EU105" s="3092"/><c r="EV105" s="3092"/><c r="EW105" s="3092"/><c r="EX105" s="3092"/><c r="EY105" s="3092"/><c r="EZ105" s="3092"/><c r="FA105" s="3092"/><c r="FB105" s="3092"/><c r="FC105" s="3092"/><c r="FD105" s="3092"/><c r="FE105" s="3092"/><c r="FF105" s="3092"/><c r="FG105" s="3092"/><c r="FH105" s="3092"/><c r="FI105" s="3092"/><c r="FJ105" s="3092"/><c r="FK105" s="3092"/><c r="FL105" s="3092"/><c r="FM105" s="3092"/><c r="FN105" s="3092"/><c r="FO105" s="3092"/><c r="FP105" s="3092"/><c r="FQ105" s="3092"/><c r="FR105" s="3092"/><c r="FS105" s="3092"/><c r="FT105" s="3092"/><c r="FU105" s="3092"/><c r="FV105" s="3092"/><c r="FW105" s="3092"/><c r="FX105" s="3092"/><c r="FY105" s="3092"/><c r="FZ105" s="3092"/><c r="GA105" s="3092"/><c r="GB105" s="3092"/><c r="GC105" s="3092"/><c r="GD105" s="3092"/><c r="GE105" s="3092"/><c r="GF105" s="3092"/><c r="GG105" s="3092"/><c r="GH105" s="3092"/><c r="GI105" s="3092"/><c r="GJ105" s="3092"/><c r="GK105" s="3092"/><c r="GL105" s="3092"/><c r="GM105" s="3092"/><c r="GN105" s="3092"/><c r="GO105" s="3092"/><c r="GP105" s="3092"/><c r="GQ105" s="3092"/><c r="GR105" s="3092"/><c r="GS105" s="3092"/><c r="GT105" s="3092"/><c r="GU105" s="3092"/><c r="GV105" s="3092"/><c r="GW105" s="3092"/><c r="GX105" s="3092"/><c r="GY105" s="3092"/><c r="GZ105" s="3092"/><c r="HA105" s="3092"/><c r="HB105" s="3092"/><c r="HC105" s="3092"/><c r="HD105" s="3092"/><c r="HE105" s="3092"/><c r="HF105" s="3092"/><c r="HG105" s="3092"/><c r="HH105" s="3092"/><c r="HI105" s="3092"/><c r="HJ105" s="3092"/><c r="HK105" s="3092"/><c r="HL105" s="3092"/><c r="HM105" s="3092"/><c r="HN105" s="3092"/><c r="HO105" s="3092"/><c r="HP105" s="3092"/><c r="HQ105" s="3092"/><c r="HR105" s="3092"/><c r="HS105" s="3092"/><c r="HT105" s="3092"/><c r="HU105" s="3092"/><c r="HV105" s="3092"/><c r="HW105" s="3092"/><c r="HX105" s="3092"/><c r="HY105" s="3092"/><c r="HZ105" s="3092"/><c r="IA105" s="3092"/><c r="IB105" s="3092"/><c r="IC105" s="3092"/><c r="ID105" s="3092"/><c r="IE105" s="3092"/><c r="IF105" s="3092"/><c r="IG105" s="3092"/><c r="IH105" s="3092"/><c r="II105" s="3092"/><c r="IJ105" s="3092"/><c r="IK105" s="3092"/><c r="IL105" s="3092"/><c r="IM105" s="3092"/><c r="IN105" s="3092"/><c r="IO105" s="3092"/><c r="IP105" s="3092"/><c r="IQ105" s="3092"/><c r="IR105" s="3092"/><c r="IS105" s="3092"/><c r="IT105" s="3092"/><c r="IU105" s="3092"/><c r="IV105" s="3092"/><c r="IW105" s="3092"/></row><row r="106" spans="2:257" s="3045" customFormat="1" ht="12.75" customHeight="1"><c r="B106" s="3098"/><c r="D106" s="3092"/><c r="E106" s="3092"/><c r="F106" s="3092"/><c r="G106" s="3092"/><c r="H106" s="3092"/><c r="I106" s="3092"/><c r="J106" s="3092"/><c r="K106" s="3092"/><c r="L106" s="3092"/><c r="M106" s="3092"/><c r="N106" s="3092"/><c r="O106" s="3092"/><c r="P106" s="3092"/><c r="Q106" s="3092"/><c r="R106" s="3092"/><c r="S106" s="3092"/><c r="T106" s="3092"/><c r="U106" s="3092"/><c r="V106" s="3092"/><c r="W106" s="3092"/><c r="X106" s="3092"/><c r="Y106" s="3092"/><c r="Z106" s="3092"/><c r="AA106" s="3092"/><c r="AB106" s="3092"/><c r="AC106" s="3092"/><c r="AD106" s="3092"/><c r="AE106" s="3092"/><c r="AF106" s="3092"/><c r="AG106" s="3092"/><c r="AH106" s="3092"/><c r="AI106" s="3092"/><c r="AJ106" s="3092"/><c r="AK106" s="3092"/><c r="AL106" s="3092"/><c r="AM106" s="3092"/><c r="AN106" s="3092"/><c r="AO106" s="3092"/><c r="AP106" s="3092"/><c r="AQ106" s="3092"/><c r="AR106" s="3092"/><c r="AS106" s="3092"/><c r="AT106" s="3092"/><c r="AU106" s="3092"/><c r="AV106" s="3092"/><c r="AW106" s="3092"/><c r="AX106" s="3092"/><c r="AY106" s="3092"/><c r="AZ106" s="3092"/><c r="BA106" s="3092"/><c r="BB106" s="3092"/><c r="BC106" s="3092"/><c r="BD106" s="3092"/><c r="BE106" s="3092"/><c r="BF106" s="3092"/><c r="BG106" s="3092"/><c r="BH106" s="3092"/><c r="BI106" s="3092"/><c r="BJ106" s="3092"/><c r="BK106" s="3092"/><c r="BL106" s="3092"/><c r="BM106" s="3092"/><c r="BN106" s="3092"/><c r="BO106" s="3092"/><c r="BP106" s="3092"/><c r="BQ106" s="3092"/><c r="BR106" s="3092"/><c r="BS106" s="3092"/><c r="BT106" s="3092"/><c r="BU106" s="3092"/><c r="BV106" s="3092"/><c r="BW106" s="3092"/><c r="BX106" s="3092"/><c r="BY106" s="3092"/><c r="BZ106" s="3092"/><c r="CA106" s="3092"/><c r="CB106" s="3092"/><c r="CC106" s="3092"/><c r="CD106" s="3092"/><c r="CE106" s="3092"/><c r="CF106" s="3092"/><c r="CG106" s="3092"/><c r="CH106" s="3092"/><c r="CI106" s="3092"/><c r="CJ106" s="3092"/><c r="CK106" s="3092"/><c r="CL106" s="3092"/><c r="CM106" s="3092"/><c r="CN106" s="3092"/><c r="CO106" s="3092"/><c r="CP106" s="3092"/><c r="CQ106" s="3092"/><c r="CR106" s="3092"/><c r="CS106" s="3092"/><c r="CT106" s="3092"/><c r="CU106" s="3092"/><c r="CV106" s="3092"/><c r="CW106" s="3092"/><c r="CX106" s="3092"/><c r="CY106" s="3092"/><c r="CZ106" s="3092"/><c r="DA106" s="3092"/><c r="DB106" s="3092"/><c r="DC106" s="3092"/><c r="DD106" s="3092"/><c r="DE106" s="3092"/><c r="DF106" s="3092"/><c r="DG106" s="3092"/><c r="DH106" s="3092"/><c r="DI106" s="3092"/><c r="DJ106" s="3092"/><c r="DK106" s="3092"/><c r="DL106" s="3092"/><c r="DM106" s="3092"/><c r="DN106" s="3092"/><c r="DO106" s="3092"/><c r="DP106" s="3092"/><c r="DQ106" s="3092"/><c r="DR106" s="3092"/><c r="DS106" s="3092"/><c r="DT106" s="3092"/><c r="DU106" s="3092"/><c r="DV106" s="3092"/><c r="DW106" s="3092"/><c r="DX106" s="3092"/><c r="DY106" s="3092"/><c r="DZ106" s="3092"/><c r="EA106" s="3092"/><c r="EB106" s="3092"/><c r="EC106" s="3092"/><c r="ED106" s="3092"/><c r="EE106" s="3092"/><c r="EF106" s="3092"/><c r="EG106" s="3092"/><c r="EH106" s="3092"/><c r="EI106" s="3092"/><c r="EJ106" s="3092"/><c r="EK106" s="3092"/><c r="EL106" s="3092"/><c r="EM106" s="3092"/><c r="EN106" s="3092"/><c r="EO106" s="3092"/><c r="EP106" s="3092"/><c r="EQ106" s="3092"/><c r="ER106" s="3092"/><c r="ES106" s="3092"/><c r="ET106" s="3092"/><c r="EU106" s="3092"/><c r="EV106" s="3092"/><c r="EW106" s="3092"/><c r="EX106" s="3092"/><c r="EY106" s="3092"/><c r="EZ106" s="3092"/><c r="FA106" s="3092"/><c r="FB106" s="3092"/><c r="FC106" s="3092"/><c r="FD106" s="3092"/><c r="FE106" s="3092"/><c r="FF106" s="3092"/><c r="FG106" s="3092"/><c r="FH106" s="3092"/><c r="FI106" s="3092"/><c r="FJ106" s="3092"/><c r="FK106" s="3092"/><c r="FL106" s="3092"/><c r="FM106" s="3092"/><c r="FN106" s="3092"/><c r="FO106" s="3092"/><c r="FP106" s="3092"/><c r="FQ106" s="3092"/><c r="FR106" s="3092"/><c r="FS106" s="3092"/><c r="FT106" s="3092"/><c r="FU106" s="3092"/><c r="FV106" s="3092"/><c r="FW106" s="3092"/><c r="FX106" s="3092"/><c r="FY106" s="3092"/><c r="FZ106" s="3092"/><c r="GA106" s="3092"/><c r="GB106" s="3092"/><c r="GC106" s="3092"/><c r="GD106" s="3092"/><c r="GE106" s="3092"/><c r="GF106" s="3092"/><c r="GG106" s="3092"/><c r="GH106" s="3092"/><c r="GI106" s="3092"/><c r="GJ106" s="3092"/><c r="GK106" s="3092"/><c r="GL106" s="3092"/><c r="GM106" s="3092"/><c r="GN106" s="3092"/><c r="GO106" s="3092"/><c r="GP106" s="3092"/><c r="GQ106" s="3092"/><c r="GR106" s="3092"/><c r="GS106" s="3092"/><c r="GT106" s="3092"/><c r="GU106" s="3092"/><c r="GV106" s="3092"/><c r="GW106" s="3092"/><c r="GX106" s="3092"/><c r="GY106" s="3092"/><c r="GZ106" s="3092"/><c r="HA106" s="3092"/><c r="HB106" s="3092"/><c r="HC106" s="3092"/><c r="HD106" s="3092"/><c r="HE106" s="3092"/><c r="HF106" s="3092"/><c r="HG106" s="3092"/><c r="HH106" s="3092"/><c r="HI106" s="3092"/><c r="HJ106" s="3092"/><c r="HK106" s="3092"/><c r="HL106" s="3092"/><c r="HM106" s="3092"/><c r="HN106" s="3092"/><c r="HO106" s="3092"/><c r="HP106" s="3092"/><c r="HQ106" s="3092"/><c r="HR106" s="3092"/><c r="HS106" s="3092"/><c r="HT106" s="3092"/><c r="HU106" s="3092"/><c r="HV106" s="3092"/><c r="HW106" s="3092"/><c r="HX106" s="3092"/><c r="HY106" s="3092"/><c r="HZ106" s="3092"/><c r="IA106" s="3092"/><c r="IB106" s="3092"/><c r="IC106" s="3092"/><c r="ID106" s="3092"/><c r="IE106" s="3092"/><c r="IF106" s="3092"/><c r="IG106" s="3092"/><c r="IH106" s="3092"/><c r="II106" s="3092"/><c r="IJ106" s="3092"/><c r="IK106" s="3092"/><c r="IL106" s="3092"/><c r="IM106" s="3092"/><c r="IN106" s="3092"/><c r="IO106" s="3092"/><c r="IP106" s="3092"/><c r="IQ106" s="3092"/><c r="IR106" s="3092"/><c r="IS106" s="3092"/><c r="IT106" s="3092"/><c r="IU106" s="3092"/><c r="IV106" s="3092"/><c r="IW106" s="3092"/></row><row r="107" spans="2:257" s="3045" customFormat="1" ht="12.75" customHeight="1"><c r="B107" s="3098"/><c r="D107" s="3092"/><c r="E107" s="3092"/><c r="F107" s="3092"/><c r="G107" s="3092"/><c r="H107" s="3092"/><c r="I107" s="3092"/><c r="J107" s="3092"/><c r="K107" s="3092"/><c r="L107" s="3092"/><c r="M107" s="3092"/><c r="N107" s="3092"/><c r="O107" s="3092"/><c r="P107" s="3092"/><c r="Q107" s="3092"/><c r="R107" s="3092"/><c r="S107" s="3092"/><c r="T107" s="3092"/><c r="U107" s="3092"/><c r="V107" s="3092"/><c r="W107" s="3092"/><c r="X107" s="3092"/><c r="Y107" s="3092"/><c r="Z107" s="3092"/><c r="AA107" s="3092"/><c r="AB107" s="3092"/><c r="AC107" s="3092"/><c r="AD107" s="3092"/><c r="AE107" s="3092"/><c r="AF107" s="3092"/><c r="AG107" s="3092"/><c r="AH107" s="3092"/><c r="AI107" s="3092"/><c r="AJ107" s="3092"/><c r="AK107" s="3092"/><c r="AL107" s="3092"/><c r="AM107" s="3092"/><c r="AN107" s="3092"/><c r="AO107" s="3092"/><c r="AP107" s="3092"/><c r="AQ107" s="3092"/><c r="AR107" s="3092"/><c r="AS107" s="3092"/><c r="AT107" s="3092"/><c r="AU107" s="3092"/><c r="AV107" s="3092"/><c r="AW107" s="3092"/><c r="AX107" s="3092"/><c r="AY107" s="3092"/><c r="AZ107" s="3092"/><c r="BA107" s="3092"/><c r="BB107" s="3092"/><c r="BC107" s="3092"/><c r="BD107" s="3092"/><c r="BE107" s="3092"/><c r="BF107" s="3092"/><c r="BG107" s="3092"/><c r="BH107" s="3092"/><c r="BI107" s="3092"/><c r="BJ107" s="3092"/><c r="BK107" s="3092"/><c r="BL107" s="3092"/><c r="BM107" s="3092"/><c r="BN107" s="3092"/><c r="BO107" s="3092"/><c r="BP107" s="3092"/><c r="BQ107" s="3092"/><c r="BR107" s="3092"/><c r="BS107" s="3092"/><c r="BT107" s="3092"/><c r="BU107" s="3092"/><c r="BV107" s="3092"/><c r="BW107" s="3092"/><c r="BX107" s="3092"/><c r="BY107" s="3092"/><c r="BZ107" s="3092"/><c r="CA107" s="3092"/><c r="CB107" s="3092"/><c r="CC107" s="3092"/><c r="CD107" s="3092"/><c r="CE107" s="3092"/><c r="CF107" s="3092"/><c r="CG107" s="3092"/><c r="CH107" s="3092"/><c r="CI107" s="3092"/><c r="CJ107" s="3092"/><c r="CK107" s="3092"/><c r="CL107" s="3092"/><c r="CM107" s="3092"/><c r="CN107" s="3092"/><c r="CO107" s="3092"/><c r="CP107" s="3092"/><c r="CQ107" s="3092"/><c r="CR107" s="3092"/><c r="CS107" s="3092"/><c r="CT107" s="3092"/><c r="CU107" s="3092"/><c r="CV107" s="3092"/><c r="CW107" s="3092"/><c r="CX107" s="3092"/><c r="CY107" s="3092"/><c r="CZ107" s="3092"/><c r="DA107" s="3092"/><c r="DB107" s="3092"/><c r="DC107" s="3092"/><c r="DD107" s="3092"/><c r="DE107" s="3092"/><c r="DF107" s="3092"/><c r="DG107" s="3092"/><c r="DH107" s="3092"/><c r="DI107" s="3092"/><c r="DJ107" s="3092"/><c r="DK107" s="3092"/><c r="DL107" s="3092"/><c r="DM107" s="3092"/><c r="DN107" s="3092"/><c r="DO107" s="3092"/><c r="DP107" s="3092"/><c r="DQ107" s="3092"/><c r="DR107" s="3092"/><c r="DS107" s="3092"/><c r="DT107" s="3092"/><c r="DU107" s="3092"/><c r="DV107" s="3092"/><c r="DW107" s="3092"/><c r="DX107" s="3092"/><c r="DY107" s="3092"/><c r="DZ107" s="3092"/><c r="EA107" s="3092"/><c r="EB107" s="3092"/><c r="EC107" s="3092"/><c r="ED107" s="3092"/><c r="EE107" s="3092"/><c r="EF107" s="3092"/><c r="EG107" s="3092"/><c r="EH107" s="3092"/><c r="EI107" s="3092"/><c r="EJ107" s="3092"/><c r="EK107" s="3092"/><c r="EL107" s="3092"/><c r="EM107" s="3092"/><c r="EN107" s="3092"/><c r="EO107" s="3092"/><c r="EP107" s="3092"/><c r="EQ107" s="3092"/><c r="ER107" s="3092"/><c r="ES107" s="3092"/><c r="ET107" s="3092"/><c r="EU107" s="3092"/><c r="EV107" s="3092"/><c r="EW107" s="3092"/><c r="EX107" s="3092"/><c r="EY107" s="3092"/><c r="EZ107" s="3092"/><c r="FA107" s="3092"/><c r="FB107" s="3092"/><c r="FC107" s="3092"/><c r="FD107" s="3092"/><c r="FE107" s="3092"/><c r="FF107" s="3092"/><c r="FG107" s="3092"/><c r="FH107" s="3092"/><c r="FI107" s="3092"/><c r="FJ107" s="3092"/><c r="FK107" s="3092"/><c r="FL107" s="3092"/><c r="FM107" s="3092"/><c r="FN107" s="3092"/><c r="FO107" s="3092"/><c r="FP107" s="3092"/><c r="FQ107" s="3092"/><c r="FR107" s="3092"/><c r="FS107" s="3092"/><c r="FT107" s="3092"/><c r="FU107" s="3092"/><c r="FV107" s="3092"/><c r="FW107" s="3092"/><c r="FX107" s="3092"/><c r="FY107" s="3092"/><c r="FZ107" s="3092"/><c r="GA107" s="3092"/><c r="GB107" s="3092"/><c r="GC107" s="3092"/><c r="GD107" s="3092"/><c r="GE107" s="3092"/><c r="GF107" s="3092"/><c r="GG107" s="3092"/><c r="GH107" s="3092"/><c r="GI107" s="3092"/><c r="GJ107" s="3092"/><c r="GK107" s="3092"/><c r="GL107" s="3092"/><c r="GM107" s="3092"/><c r="GN107" s="3092"/><c r="GO107" s="3092"/><c r="GP107" s="3092"/><c r="GQ107" s="3092"/><c r="GR107" s="3092"/><c r="GS107" s="3092"/><c r="GT107" s="3092"/><c r="GU107" s="3092"/><c r="GV107" s="3092"/><c r="GW107" s="3092"/><c r="GX107" s="3092"/><c r="GY107" s="3092"/><c r="GZ107" s="3092"/><c r="HA107" s="3092"/><c r="HB107" s="3092"/><c r="HC107" s="3092"/><c r="HD107" s="3092"/><c r="HE107" s="3092"/><c r="HF107" s="3092"/><c r="HG107" s="3092"/><c r="HH107" s="3092"/><c r="HI107" s="3092"/><c r="HJ107" s="3092"/><c r="HK107" s="3092"/><c r="HL107" s="3092"/><c r="HM107" s="3092"/><c r="HN107" s="3092"/><c r="HO107" s="3092"/><c r="HP107" s="3092"/><c r="HQ107" s="3092"/><c r="HR107" s="3092"/><c r="HS107" s="3092"/><c r="HT107" s="3092"/><c r="HU107" s="3092"/><c r="HV107" s="3092"/><c r="HW107" s="3092"/><c r="HX107" s="3092"/><c r="HY107" s="3092"/><c r="HZ107" s="3092"/><c r="IA107" s="3092"/><c r="IB107" s="3092"/><c r="IC107" s="3092"/><c r="ID107" s="3092"/><c r="IE107" s="3092"/><c r="IF107" s="3092"/><c r="IG107" s="3092"/><c r="IH107" s="3092"/><c r="II107" s="3092"/><c r="IJ107" s="3092"/><c r="IK107" s="3092"/><c r="IL107" s="3092"/><c r="IM107" s="3092"/><c r="IN107" s="3092"/><c r="IO107" s="3092"/><c r="IP107" s="3092"/><c r="IQ107" s="3092"/><c r="IR107" s="3092"/><c r="IS107" s="3092"/><c r="IT107" s="3092"/><c r="IU107" s="3092"/><c r="IV107" s="3092"/><c r="IW107" s="3092"/></row><row r="108" spans="2:257" s="3045" customFormat="1" ht="12.75" customHeight="1"><c r="B108" s="3098"/><c r="D108" s="3092"/><c r="E108" s="3092"/><c r="F108" s="3092"/><c r="G108" s="3092"/><c r="H108" s="3092"/><c r="I108" s="3092"/><c r="J108" s="3092"/><c r="K108" s="3092"/><c r="L108" s="3092"/><c r="M108" s="3092"/><c r="N108" s="3092"/><c r="O108" s="3092"/><c r="P108" s="3092"/><c r="Q108" s="3092"/><c r="R108" s="3092"/><c r="S108" s="3092"/><c r="T108" s="3092"/><c r="U108" s="3092"/><c r="V108" s="3092"/><c r="W108" s="3092"/><c r="X108" s="3092"/><c r="Y108" s="3092"/><c r="Z108" s="3092"/><c r="AA108" s="3092"/><c r="AB108" s="3092"/><c r="AC108" s="3092"/><c r="AD108" s="3092"/><c r="AE108" s="3092"/><c r="AF108" s="3092"/><c r="AG108" s="3092"/><c r="AH108" s="3092"/><c r="AI108" s="3092"/><c r="AJ108" s="3092"/><c r="AK108" s="3092"/><c r="AL108" s="3092"/><c r="AM108" s="3092"/><c r="AN108" s="3092"/><c r="AO108" s="3092"/><c r="AP108" s="3092"/><c r="AQ108" s="3092"/><c r="AR108" s="3092"/><c r="AS108" s="3092"/><c r="AT108" s="3092"/><c r="AU108" s="3092"/><c r="AV108" s="3092"/><c r="AW108" s="3092"/><c r="AX108" s="3092"/><c r="AY108" s="3092"/><c r="AZ108" s="3092"/><c r="BA108" s="3092"/><c r="BB108" s="3092"/><c r="BC108" s="3092"/><c r="BD108" s="3092"/><c r="BE108" s="3092"/><c r="BF108" s="3092"/><c r="BG108" s="3092"/><c r="BH108" s="3092"/><c r="BI108" s="3092"/><c r="BJ108" s="3092"/><c r="BK108" s="3092"/><c r="BL108" s="3092"/><c r="BM108" s="3092"/><c r="BN108" s="3092"/><c r="BO108" s="3092"/><c r="BP108" s="3092"/><c r="BQ108" s="3092"/><c r="BR108" s="3092"/><c r="BS108" s="3092"/><c r="BT108" s="3092"/><c r="BU108" s="3092"/><c r="BV108" s="3092"/><c r="BW108" s="3092"/><c r="BX108" s="3092"/><c r="BY108" s="3092"/><c r="BZ108" s="3092"/><c r="CA108" s="3092"/><c r="CB108" s="3092"/><c r="CC108" s="3092"/><c r="CD108" s="3092"/><c r="CE108" s="3092"/><c r="CF108" s="3092"/><c r="CG108" s="3092"/><c r="CH108" s="3092"/><c r="CI108" s="3092"/><c r="CJ108" s="3092"/><c r="CK108" s="3092"/><c r="CL108" s="3092"/><c r="CM108" s="3092"/><c r="CN108" s="3092"/><c r="CO108" s="3092"/><c r="CP108" s="3092"/><c r="CQ108" s="3092"/><c r="CR108" s="3092"/><c r="CS108" s="3092"/><c r="CT108" s="3092"/><c r="CU108" s="3092"/><c r="CV108" s="3092"/><c r="CW108" s="3092"/><c r="CX108" s="3092"/><c r="CY108" s="3092"/><c r="CZ108" s="3092"/><c r="DA108" s="3092"/><c r="DB108" s="3092"/><c r="DC108" s="3092"/><c r="DD108" s="3092"/><c r="DE108" s="3092"/><c r="DF108" s="3092"/><c r="DG108" s="3092"/><c r="DH108" s="3092"/><c r="DI108" s="3092"/><c r="DJ108" s="3092"/><c r="DK108" s="3092"/><c r="DL108" s="3092"/><c r="DM108" s="3092"/><c r="DN108" s="3092"/><c r="DO108" s="3092"/><c r="DP108" s="3092"/><c r="DQ108" s="3092"/><c r="DR108" s="3092"/><c r="DS108" s="3092"/><c r="DT108" s="3092"/><c r="DU108" s="3092"/><c r="DV108" s="3092"/><c r="DW108" s="3092"/><c r="DX108" s="3092"/><c r="DY108" s="3092"/><c r="DZ108" s="3092"/><c r="EA108" s="3092"/><c r="EB108" s="3092"/><c r="EC108" s="3092"/><c r="ED108" s="3092"/><c r="EE108" s="3092"/><c r="EF108" s="3092"/><c r="EG108" s="3092"/><c r="EH108" s="3092"/><c r="EI108" s="3092"/><c r="EJ108" s="3092"/><c r="EK108" s="3092"/><c r="EL108" s="3092"/><c r="EM108" s="3092"/><c r="EN108" s="3092"/><c r="EO108" s="3092"/><c r="EP108" s="3092"/><c r="EQ108" s="3092"/><c r="ER108" s="3092"/><c r="ES108" s="3092"/><c r="ET108" s="3092"/><c r="EU108" s="3092"/><c r="EV108" s="3092"/><c r="EW108" s="3092"/><c r="EX108" s="3092"/><c r="EY108" s="3092"/><c r="EZ108" s="3092"/><c r="FA108" s="3092"/><c r="FB108" s="3092"/><c r="FC108" s="3092"/><c r="FD108" s="3092"/><c r="FE108" s="3092"/><c r="FF108" s="3092"/><c r="FG108" s="3092"/><c r="FH108" s="3092"/><c r="FI108" s="3092"/><c r="FJ108" s="3092"/><c r="FK108" s="3092"/><c r="FL108" s="3092"/><c r="FM108" s="3092"/><c r="FN108" s="3092"/><c r="FO108" s="3092"/><c r="FP108" s="3092"/><c r="FQ108" s="3092"/><c r="FR108" s="3092"/><c r="FS108" s="3092"/><c r="FT108" s="3092"/><c r="FU108" s="3092"/><c r="FV108" s="3092"/><c r="FW108" s="3092"/><c r="FX108" s="3092"/><c r="FY108" s="3092"/><c r="FZ108" s="3092"/><c r="GA108" s="3092"/><c r="GB108" s="3092"/><c r="GC108" s="3092"/><c r="GD108" s="3092"/><c r="GE108" s="3092"/><c r="GF108" s="3092"/><c r="GG108" s="3092"/><c r="GH108" s="3092"/><c r="GI108" s="3092"/><c r="GJ108" s="3092"/><c r="GK108" s="3092"/><c r="GL108" s="3092"/><c r="GM108" s="3092"/><c r="GN108" s="3092"/><c r="GO108" s="3092"/><c r="GP108" s="3092"/><c r="GQ108" s="3092"/><c r="GR108" s="3092"/><c r="GS108" s="3092"/><c r="GT108" s="3092"/><c r="GU108" s="3092"/><c r="GV108" s="3092"/><c r="GW108" s="3092"/><c r="GX108" s="3092"/><c r="GY108" s="3092"/><c r="GZ108" s="3092"/><c r="HA108" s="3092"/><c r="HB108" s="3092"/><c r="HC108" s="3092"/><c r="HD108" s="3092"/><c r="HE108" s="3092"/><c r="HF108" s="3092"/><c r="HG108" s="3092"/><c r="HH108" s="3092"/><c r="HI108" s="3092"/><c r="HJ108" s="3092"/><c r="HK108" s="3092"/><c r="HL108" s="3092"/><c r="HM108" s="3092"/><c r="HN108" s="3092"/><c r="HO108" s="3092"/><c r="HP108" s="3092"/><c r="HQ108" s="3092"/><c r="HR108" s="3092"/><c r="HS108" s="3092"/><c r="HT108" s="3092"/><c r="HU108" s="3092"/><c r="HV108" s="3092"/><c r="HW108" s="3092"/><c r="HX108" s="3092"/><c r="HY108" s="3092"/><c r="HZ108" s="3092"/><c r="IA108" s="3092"/><c r="IB108" s="3092"/><c r="IC108" s="3092"/><c r="ID108" s="3092"/><c r="IE108" s="3092"/><c r="IF108" s="3092"/><c r="IG108" s="3092"/><c r="IH108" s="3092"/><c r="II108" s="3092"/><c r="IJ108" s="3092"/><c r="IK108" s="3092"/><c r="IL108" s="3092"/><c r="IM108" s="3092"/><c r="IN108" s="3092"/><c r="IO108" s="3092"/><c r="IP108" s="3092"/><c r="IQ108" s="3092"/><c r="IR108" s="3092"/><c r="IS108" s="3092"/><c r="IT108" s="3092"/><c r="IU108" s="3092"/><c r="IV108" s="3092"/><c r="IW108" s="3092"/></row><row r="109" spans="2:257" s="3045" customFormat="1" ht="12.75" customHeight="1"><c r="B109" s="3098"/><c r="D109" s="3092"/><c r="E109" s="3092"/><c r="F109" s="3092"/><c r="G109" s="3092"/><c r="H109" s="3092"/><c r="I109" s="3092"/><c r="J109" s="3092"/><c r="K109" s="3092"/><c r="L109" s="3092"/><c r="M109" s="3092"/><c r="N109" s="3092"/><c r="O109" s="3092"/><c r="P109" s="3092"/><c r="Q109" s="3092"/><c r="R109" s="3092"/><c r="S109" s="3092"/><c r="T109" s="3092"/><c r="U109" s="3092"/><c r="V109" s="3092"/><c r="W109" s="3092"/><c r="X109" s="3092"/><c r="Y109" s="3092"/><c r="Z109" s="3092"/><c r="AA109" s="3092"/><c r="AB109" s="3092"/><c r="AC109" s="3092"/><c r="AD109" s="3092"/><c r="AE109" s="3092"/><c r="AF109" s="3092"/><c r="AG109" s="3092"/><c r="AH109" s="3092"/><c r="AI109" s="3092"/><c r="AJ109" s="3092"/><c r="AK109" s="3092"/><c r="AL109" s="3092"/><c r="AM109" s="3092"/><c r="AN109" s="3092"/><c r="AO109" s="3092"/><c r="AP109" s="3092"/><c r="AQ109" s="3092"/><c r="AR109" s="3092"/><c r="AS109" s="3092"/><c r="AT109" s="3092"/><c r="AU109" s="3092"/><c r="AV109" s="3092"/><c r="AW109" s="3092"/><c r="AX109" s="3092"/><c r="AY109" s="3092"/><c r="AZ109" s="3092"/><c r="BA109" s="3092"/><c r="BB109" s="3092"/><c r="BC109" s="3092"/><c r="BD109" s="3092"/><c r="BE109" s="3092"/><c r="BF109" s="3092"/><c r="BG109" s="3092"/><c r="BH109" s="3092"/><c r="BI109" s="3092"/><c r="BJ109" s="3092"/><c r="BK109" s="3092"/><c r="BL109" s="3092"/><c r="BM109" s="3092"/><c r="BN109" s="3092"/><c r="BO109" s="3092"/><c r="BP109" s="3092"/><c r="BQ109" s="3092"/><c r="BR109" s="3092"/><c r="BS109" s="3092"/><c r="BT109" s="3092"/><c r="BU109" s="3092"/><c r="BV109" s="3092"/><c r="BW109" s="3092"/><c r="BX109" s="3092"/><c r="BY109" s="3092"/><c r="BZ109" s="3092"/><c r="CA109" s="3092"/><c r="CB109" s="3092"/><c r="CC109" s="3092"/><c r="CD109" s="3092"/><c r="CE109" s="3092"/><c r="CF109" s="3092"/><c r="CG109" s="3092"/><c r="CH109" s="3092"/><c r="CI109" s="3092"/><c r="CJ109" s="3092"/><c r="CK109" s="3092"/><c r="CL109" s="3092"/><c r="CM109" s="3092"/><c r="CN109" s="3092"/><c r="CO109" s="3092"/><c r="CP109" s="3092"/><c r="CQ109" s="3092"/><c r="CR109" s="3092"/><c r="CS109" s="3092"/><c r="CT109" s="3092"/><c r="CU109" s="3092"/><c r="CV109" s="3092"/><c r="CW109" s="3092"/><c r="CX109" s="3092"/><c r="CY109" s="3092"/><c r="CZ109" s="3092"/><c r="DA109" s="3092"/><c r="DB109" s="3092"/><c r="DC109" s="3092"/><c r="DD109" s="3092"/><c r="DE109" s="3092"/><c r="DF109" s="3092"/><c r="DG109" s="3092"/><c r="DH109" s="3092"/><c r="DI109" s="3092"/><c r="DJ109" s="3092"/><c r="DK109" s="3092"/><c r="DL109" s="3092"/><c r="DM109" s="3092"/><c r="DN109" s="3092"/><c r="DO109" s="3092"/><c r="DP109" s="3092"/><c r="DQ109" s="3092"/><c r="DR109" s="3092"/><c r="DS109" s="3092"/><c r="DT109" s="3092"/><c r="DU109" s="3092"/><c r="DV109" s="3092"/><c r="DW109" s="3092"/><c r="DX109" s="3092"/><c r="DY109" s="3092"/><c r="DZ109" s="3092"/><c r="EA109" s="3092"/><c r="EB109" s="3092"/><c r="EC109" s="3092"/><c r="ED109" s="3092"/><c r="EE109" s="3092"/><c r="EF109" s="3092"/><c r="EG109" s="3092"/><c r="EH109" s="3092"/><c r="EI109" s="3092"/><c r="EJ109" s="3092"/><c r="EK109" s="3092"/><c r="EL109" s="3092"/><c r="EM109" s="3092"/><c r="EN109" s="3092"/><c r="EO109" s="3092"/><c r="EP109" s="3092"/><c r="EQ109" s="3092"/><c r="ER109" s="3092"/><c r="ES109" s="3092"/><c r="ET109" s="3092"/><c r="EU109" s="3092"/><c r="EV109" s="3092"/><c r="EW109" s="3092"/><c r="EX109" s="3092"/><c r="EY109" s="3092"/><c r="EZ109" s="3092"/><c r="FA109" s="3092"/><c r="FB109" s="3092"/><c r="FC109" s="3092"/><c r="FD109" s="3092"/><c r="FE109" s="3092"/><c r="FF109" s="3092"/><c r="FG109" s="3092"/><c r="FH109" s="3092"/><c r="FI109" s="3092"/><c r="FJ109" s="3092"/><c r="FK109" s="3092"/><c r="FL109" s="3092"/><c r="FM109" s="3092"/><c r="FN109" s="3092"/><c r="FO109" s="3092"/><c r="FP109" s="3092"/><c r="FQ109" s="3092"/><c r="FR109" s="3092"/><c r="FS109" s="3092"/><c r="FT109" s="3092"/><c r="FU109" s="3092"/><c r="FV109" s="3092"/><c r="FW109" s="3092"/><c r="FX109" s="3092"/><c r="FY109" s="3092"/><c r="FZ109" s="3092"/><c r="GA109" s="3092"/><c r="GB109" s="3092"/><c r="GC109" s="3092"/><c r="GD109" s="3092"/><c r="GE109" s="3092"/><c r="GF109" s="3092"/><c r="GG109" s="3092"/><c r="GH109" s="3092"/><c r="GI109" s="3092"/><c r="GJ109" s="3092"/><c r="GK109" s="3092"/><c r="GL109" s="3092"/><c r="GM109" s="3092"/><c r="GN109" s="3092"/><c r="GO109" s="3092"/><c r="GP109" s="3092"/><c r="GQ109" s="3092"/><c r="GR109" s="3092"/><c r="GS109" s="3092"/><c r="GT109" s="3092"/><c r="GU109" s="3092"/><c r="GV109" s="3092"/><c r="GW109" s="3092"/><c r="GX109" s="3092"/><c r="GY109" s="3092"/><c r="GZ109" s="3092"/><c r="HA109" s="3092"/><c r="HB109" s="3092"/><c r="HC109" s="3092"/><c r="HD109" s="3092"/><c r="HE109" s="3092"/><c r="HF109" s="3092"/><c r="HG109" s="3092"/><c r="HH109" s="3092"/><c r="HI109" s="3092"/><c r="HJ109" s="3092"/><c r="HK109" s="3092"/><c r="HL109" s="3092"/><c r="HM109" s="3092"/><c r="HN109" s="3092"/><c r="HO109" s="3092"/><c r="HP109" s="3092"/><c r="HQ109" s="3092"/><c r="HR109" s="3092"/><c r="HS109" s="3092"/><c r="HT109" s="3092"/><c r="HU109" s="3092"/><c r="HV109" s="3092"/><c r="HW109" s="3092"/><c r="HX109" s="3092"/><c r="HY109" s="3092"/><c r="HZ109" s="3092"/><c r="IA109" s="3092"/><c r="IB109" s="3092"/><c r="IC109" s="3092"/><c r="ID109" s="3092"/><c r="IE109" s="3092"/><c r="IF109" s="3092"/><c r="IG109" s="3092"/><c r="IH109" s="3092"/><c r="II109" s="3092"/><c r="IJ109" s="3092"/><c r="IK109" s="3092"/><c r="IL109" s="3092"/><c r="IM109" s="3092"/><c r="IN109" s="3092"/><c r="IO109" s="3092"/><c r="IP109" s="3092"/><c r="IQ109" s="3092"/><c r="IR109" s="3092"/><c r="IS109" s="3092"/><c r="IT109" s="3092"/><c r="IU109" s="3092"/><c r="IV109" s="3092"/><c r="IW109" s="3092"/></row></sheetData><mergeCell ref="J14:K14"/><mergeCell ref="J16:K16"/><mergeCell ref="J18:K18"/><mergeCell ref="E30:L31"/><mergeCell ref="E52:L53"/><mergeCell ref="E65:E66"/><mergeCell ref="J12:K12"/><mergeCell ref="B2:B3"/><mergeCell ref="D2:M3"/><mergeCell ref="E5:L6"/><mergeCell ref="J8:K8"/><mergeCell ref="J10:K10"/></mergeCells><hyperlinks><hyperlink ref="B5" location="'Documents Manager'!A1" display="DOCUMENTS MANAGER" xr:uid="{3BD96C08-E480-4C6F-B919-E1733DC3F36D}"/><hyperlink ref="B2:B3" location="Home!A1" display="HOME" xr:uid="{550E690F-118F-4BDB-B896-043CAB2214F8}"/><hyperlink ref="B14" location="'Guidelines - Saybolt Manual'!A1" display="• Saybolt Inspection Manual" xr:uid="{A22154C7-4875-4B8E-A200-412658FF2235}"/><hyperlink ref="B6" location="'ASTM Vol. XI - Tab.1'!A1" display="ASTM TABLES" xr:uid="{6D487114-5EA7-4BEB-9370-F5D1D7DAB362}"/><hyperlink ref="B12" location="'Guidelines - Definitions'!A1" display="• Definitions" xr:uid="{725C0F2B-0105-4CF2-8DA1-ABB3519B8B33}"/><hyperlink ref="B25" location="Disclaimer!A1" display="Disclaimer" xr:uid="{C437F47D-2CBA-4BDB-BA52-213AA4F44630}"/><hyperlink ref="B24" location="Help!A1" display="Help" xr:uid="{87146222-3BDC-4C69-8BF0-CCC73178DFC4}"/><hyperlink ref="B22" location="'Source - Links'!A1" display="SOURCE / LINKS" xr:uid="{13B62FA7-D7FA-4C02-8C78-3EE3C4EF486C}"/><hyperlink ref="B17" location="'Conversion Charts Metric'!A1" display="• Conversion Charts Metric system" xr:uid="{34DEB2C7-0C9D-49D2-BDFC-401410952E3D}"/><hyperlink ref="B19" location="'Conversion Charts Mass &amp; Weight'!A1" display="• Conversion Charts Mass &amp; Weight" xr:uid="{24412337-87BC-41E6-93E5-894E25CE7ECC}"/><hyperlink ref="B13" location="'Guidelines - Procedure of Calc'!A1" display="• Procedure of Calculations" xr:uid="{91AB943D-5BDD-4C99-B6C6-FBB85877AA27}"/><hyperlink ref="B7" location="'ASTM Converter (Tab.1)'!A1" display="ASTM - CONVERTERS" xr:uid="{D651F65A-B57D-419C-9EB0-1572FCCBB9ED}"/><hyperlink ref="B16" location="'Which tables to use When'!A1" display="• Chart Which tables to use When" xr:uid="{BC3CF114-6EDC-456C-A254-E30F1CD7EBD4}"/><hyperlink ref="B18" location="'Conversion Charts Barrel'!A1" display="• Conversion Charts Barrel system" xr:uid="{8C2B78DF-DC77-49EB-BCD6-1B7001B6095E}"/><hyperlink ref="B15" location="'ASTM Formulas'!A1" display="• ASTM Formulas" xr:uid="{2C110C22-3993-474B-82E7-B4F6AD685CB9}"/><hyperlink ref="B20" location="'Outturn Charts'!A1" display="• Outturn Charts" xr:uid="{00B1DE46-E92D-4445-8447-54D3D80EA9ED}"/><hyperlink ref="B8" location="'ASTM Calculator V.W.'!A1" display="ASTM - CALCULATORS" xr:uid="{1E723E75-214E-4E68-A987-751E0F4E6F5D}"/><hyperlink ref="B11" location="'Guidelines - Definitions'!A1" display="GUIDELINES" xr:uid="{E80F853E-8A5E-4D39-936E-B32AB4178B99}"/><hyperlink ref="B21" location="'Guidelines - Bottom Lines'!A1" display="GUIDELINES - CARGO" xr:uid="{DBE30AA4-5EF1-4A44-AF11-501143DE47AE}"/><hyperlink ref="B9" location="'Initial&amp;Max. Loading Rate'!A1" display="CARGO - CALCULATORS" xr:uid="{64B6482F-F183-47F2-9DF8-D2D5A10DBED1}"/></hyperlinks><pageMargins left="0.39370078740157483" right="0.39370078740157483" top="0.39370078740157483" bottom="0.39370078740157483" header="0.51181102362204722" footer="0.51181102362204722"/><pageSetup paperSize="9" scale="86" orientation="portrait" horizontalDpi="4294967294" r:id="rId1"/><headerFooter alignWithMargins="0"/><drawing r:id="rId2"/></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0A01-57F6-4533-AAD6-AD6D69F8787F}">
  <sheetPr>
    <tabColor rgb="FF008080"/>
    <pageSetUpPr fitToPage="1"/>
  </sheetPr>
  <dimension ref="A1:IW111"/>
  <sheetViews>
    <sheetView showGridLines="0" showRowColHeaders="0" topLeftCell="B1" workbookViewId="0">
      <selection activeCell="B21" sqref="B21"/>
    </sheetView>
  </sheetViews>
  <sheetFormatPr defaultColWidth="9.1328125" defaultRowHeight="12.75"/>
  <cols>
    <col min="1" max="1" width="0" style="3045" hidden="1" customWidth="1"/>
    <col min="2" max="2" width="36.6640625" style="3098" customWidth="1"/>
    <col min="3" max="3" width="2.6640625" style="3045" customWidth="1"/>
    <col min="4" max="4" width="3.6640625" style="3092" customWidth="1"/>
    <col min="5" max="6" width="10.6640625" style="3092" customWidth="1"/>
    <col min="7" max="7" width="19" style="3092" customWidth="1"/>
    <col min="8" max="9" width="10.6640625" style="3092" customWidth="1"/>
    <col min="10" max="10" width="19" style="3092" customWidth="1"/>
    <col min="11" max="12" width="10.6640625" style="3092" customWidth="1"/>
    <col min="13" max="13" width="3.6640625" style="3092" customWidth="1"/>
    <col min="14" max="257" width="9.1328125" style="3092"/>
    <col min="258" max="258" width="0" style="3092" hidden="1" customWidth="1"/>
    <col min="259" max="259" width="43.46484375" style="3092" customWidth="1"/>
    <col min="260" max="260" width="3.6640625" style="3092" customWidth="1"/>
    <col min="261" max="261" width="32.6640625" style="3092" customWidth="1"/>
    <col min="262" max="262" width="27" style="3092" customWidth="1"/>
    <col min="263" max="264" width="9.1328125" style="3092" customWidth="1"/>
    <col min="265" max="265" width="5" style="3092" customWidth="1"/>
    <col min="266" max="267" width="9.1328125" style="3092" customWidth="1"/>
    <col min="268" max="268" width="10.53125" style="3092" customWidth="1"/>
    <col min="269" max="513" width="9.1328125" style="3092"/>
    <col min="514" max="514" width="0" style="3092" hidden="1" customWidth="1"/>
    <col min="515" max="515" width="43.46484375" style="3092" customWidth="1"/>
    <col min="516" max="516" width="3.6640625" style="3092" customWidth="1"/>
    <col min="517" max="517" width="32.6640625" style="3092" customWidth="1"/>
    <col min="518" max="518" width="27" style="3092" customWidth="1"/>
    <col min="519" max="520" width="9.1328125" style="3092" customWidth="1"/>
    <col min="521" max="521" width="5" style="3092" customWidth="1"/>
    <col min="522" max="523" width="9.1328125" style="3092" customWidth="1"/>
    <col min="524" max="524" width="10.53125" style="3092" customWidth="1"/>
    <col min="525" max="769" width="9.1328125" style="3092"/>
    <col min="770" max="770" width="0" style="3092" hidden="1" customWidth="1"/>
    <col min="771" max="771" width="43.46484375" style="3092" customWidth="1"/>
    <col min="772" max="772" width="3.6640625" style="3092" customWidth="1"/>
    <col min="773" max="773" width="32.6640625" style="3092" customWidth="1"/>
    <col min="774" max="774" width="27" style="3092" customWidth="1"/>
    <col min="775" max="776" width="9.1328125" style="3092" customWidth="1"/>
    <col min="777" max="777" width="5" style="3092" customWidth="1"/>
    <col min="778" max="779" width="9.1328125" style="3092" customWidth="1"/>
    <col min="780" max="780" width="10.53125" style="3092" customWidth="1"/>
    <col min="781" max="1025" width="9.1328125" style="3092"/>
    <col min="1026" max="1026" width="0" style="3092" hidden="1" customWidth="1"/>
    <col min="1027" max="1027" width="43.46484375" style="3092" customWidth="1"/>
    <col min="1028" max="1028" width="3.6640625" style="3092" customWidth="1"/>
    <col min="1029" max="1029" width="32.6640625" style="3092" customWidth="1"/>
    <col min="1030" max="1030" width="27" style="3092" customWidth="1"/>
    <col min="1031" max="1032" width="9.1328125" style="3092" customWidth="1"/>
    <col min="1033" max="1033" width="5" style="3092" customWidth="1"/>
    <col min="1034" max="1035" width="9.1328125" style="3092" customWidth="1"/>
    <col min="1036" max="1036" width="10.53125" style="3092" customWidth="1"/>
    <col min="1037" max="1281" width="9.1328125" style="3092"/>
    <col min="1282" max="1282" width="0" style="3092" hidden="1" customWidth="1"/>
    <col min="1283" max="1283" width="43.46484375" style="3092" customWidth="1"/>
    <col min="1284" max="1284" width="3.6640625" style="3092" customWidth="1"/>
    <col min="1285" max="1285" width="32.6640625" style="3092" customWidth="1"/>
    <col min="1286" max="1286" width="27" style="3092" customWidth="1"/>
    <col min="1287" max="1288" width="9.1328125" style="3092" customWidth="1"/>
    <col min="1289" max="1289" width="5" style="3092" customWidth="1"/>
    <col min="1290" max="1291" width="9.1328125" style="3092" customWidth="1"/>
    <col min="1292" max="1292" width="10.53125" style="3092" customWidth="1"/>
    <col min="1293" max="1537" width="9.1328125" style="3092"/>
    <col min="1538" max="1538" width="0" style="3092" hidden="1" customWidth="1"/>
    <col min="1539" max="1539" width="43.46484375" style="3092" customWidth="1"/>
    <col min="1540" max="1540" width="3.6640625" style="3092" customWidth="1"/>
    <col min="1541" max="1541" width="32.6640625" style="3092" customWidth="1"/>
    <col min="1542" max="1542" width="27" style="3092" customWidth="1"/>
    <col min="1543" max="1544" width="9.1328125" style="3092" customWidth="1"/>
    <col min="1545" max="1545" width="5" style="3092" customWidth="1"/>
    <col min="1546" max="1547" width="9.1328125" style="3092" customWidth="1"/>
    <col min="1548" max="1548" width="10.53125" style="3092" customWidth="1"/>
    <col min="1549" max="1793" width="9.1328125" style="3092"/>
    <col min="1794" max="1794" width="0" style="3092" hidden="1" customWidth="1"/>
    <col min="1795" max="1795" width="43.46484375" style="3092" customWidth="1"/>
    <col min="1796" max="1796" width="3.6640625" style="3092" customWidth="1"/>
    <col min="1797" max="1797" width="32.6640625" style="3092" customWidth="1"/>
    <col min="1798" max="1798" width="27" style="3092" customWidth="1"/>
    <col min="1799" max="1800" width="9.1328125" style="3092" customWidth="1"/>
    <col min="1801" max="1801" width="5" style="3092" customWidth="1"/>
    <col min="1802" max="1803" width="9.1328125" style="3092" customWidth="1"/>
    <col min="1804" max="1804" width="10.53125" style="3092" customWidth="1"/>
    <col min="1805" max="2049" width="9.1328125" style="3092"/>
    <col min="2050" max="2050" width="0" style="3092" hidden="1" customWidth="1"/>
    <col min="2051" max="2051" width="43.46484375" style="3092" customWidth="1"/>
    <col min="2052" max="2052" width="3.6640625" style="3092" customWidth="1"/>
    <col min="2053" max="2053" width="32.6640625" style="3092" customWidth="1"/>
    <col min="2054" max="2054" width="27" style="3092" customWidth="1"/>
    <col min="2055" max="2056" width="9.1328125" style="3092" customWidth="1"/>
    <col min="2057" max="2057" width="5" style="3092" customWidth="1"/>
    <col min="2058" max="2059" width="9.1328125" style="3092" customWidth="1"/>
    <col min="2060" max="2060" width="10.53125" style="3092" customWidth="1"/>
    <col min="2061" max="2305" width="9.1328125" style="3092"/>
    <col min="2306" max="2306" width="0" style="3092" hidden="1" customWidth="1"/>
    <col min="2307" max="2307" width="43.46484375" style="3092" customWidth="1"/>
    <col min="2308" max="2308" width="3.6640625" style="3092" customWidth="1"/>
    <col min="2309" max="2309" width="32.6640625" style="3092" customWidth="1"/>
    <col min="2310" max="2310" width="27" style="3092" customWidth="1"/>
    <col min="2311" max="2312" width="9.1328125" style="3092" customWidth="1"/>
    <col min="2313" max="2313" width="5" style="3092" customWidth="1"/>
    <col min="2314" max="2315" width="9.1328125" style="3092" customWidth="1"/>
    <col min="2316" max="2316" width="10.53125" style="3092" customWidth="1"/>
    <col min="2317" max="2561" width="9.1328125" style="3092"/>
    <col min="2562" max="2562" width="0" style="3092" hidden="1" customWidth="1"/>
    <col min="2563" max="2563" width="43.46484375" style="3092" customWidth="1"/>
    <col min="2564" max="2564" width="3.6640625" style="3092" customWidth="1"/>
    <col min="2565" max="2565" width="32.6640625" style="3092" customWidth="1"/>
    <col min="2566" max="2566" width="27" style="3092" customWidth="1"/>
    <col min="2567" max="2568" width="9.1328125" style="3092" customWidth="1"/>
    <col min="2569" max="2569" width="5" style="3092" customWidth="1"/>
    <col min="2570" max="2571" width="9.1328125" style="3092" customWidth="1"/>
    <col min="2572" max="2572" width="10.53125" style="3092" customWidth="1"/>
    <col min="2573" max="2817" width="9.1328125" style="3092"/>
    <col min="2818" max="2818" width="0" style="3092" hidden="1" customWidth="1"/>
    <col min="2819" max="2819" width="43.46484375" style="3092" customWidth="1"/>
    <col min="2820" max="2820" width="3.6640625" style="3092" customWidth="1"/>
    <col min="2821" max="2821" width="32.6640625" style="3092" customWidth="1"/>
    <col min="2822" max="2822" width="27" style="3092" customWidth="1"/>
    <col min="2823" max="2824" width="9.1328125" style="3092" customWidth="1"/>
    <col min="2825" max="2825" width="5" style="3092" customWidth="1"/>
    <col min="2826" max="2827" width="9.1328125" style="3092" customWidth="1"/>
    <col min="2828" max="2828" width="10.53125" style="3092" customWidth="1"/>
    <col min="2829" max="3073" width="9.1328125" style="3092"/>
    <col min="3074" max="3074" width="0" style="3092" hidden="1" customWidth="1"/>
    <col min="3075" max="3075" width="43.46484375" style="3092" customWidth="1"/>
    <col min="3076" max="3076" width="3.6640625" style="3092" customWidth="1"/>
    <col min="3077" max="3077" width="32.6640625" style="3092" customWidth="1"/>
    <col min="3078" max="3078" width="27" style="3092" customWidth="1"/>
    <col min="3079" max="3080" width="9.1328125" style="3092" customWidth="1"/>
    <col min="3081" max="3081" width="5" style="3092" customWidth="1"/>
    <col min="3082" max="3083" width="9.1328125" style="3092" customWidth="1"/>
    <col min="3084" max="3084" width="10.53125" style="3092" customWidth="1"/>
    <col min="3085" max="3329" width="9.1328125" style="3092"/>
    <col min="3330" max="3330" width="0" style="3092" hidden="1" customWidth="1"/>
    <col min="3331" max="3331" width="43.46484375" style="3092" customWidth="1"/>
    <col min="3332" max="3332" width="3.6640625" style="3092" customWidth="1"/>
    <col min="3333" max="3333" width="32.6640625" style="3092" customWidth="1"/>
    <col min="3334" max="3334" width="27" style="3092" customWidth="1"/>
    <col min="3335" max="3336" width="9.1328125" style="3092" customWidth="1"/>
    <col min="3337" max="3337" width="5" style="3092" customWidth="1"/>
    <col min="3338" max="3339" width="9.1328125" style="3092" customWidth="1"/>
    <col min="3340" max="3340" width="10.53125" style="3092" customWidth="1"/>
    <col min="3341" max="3585" width="9.1328125" style="3092"/>
    <col min="3586" max="3586" width="0" style="3092" hidden="1" customWidth="1"/>
    <col min="3587" max="3587" width="43.46484375" style="3092" customWidth="1"/>
    <col min="3588" max="3588" width="3.6640625" style="3092" customWidth="1"/>
    <col min="3589" max="3589" width="32.6640625" style="3092" customWidth="1"/>
    <col min="3590" max="3590" width="27" style="3092" customWidth="1"/>
    <col min="3591" max="3592" width="9.1328125" style="3092" customWidth="1"/>
    <col min="3593" max="3593" width="5" style="3092" customWidth="1"/>
    <col min="3594" max="3595" width="9.1328125" style="3092" customWidth="1"/>
    <col min="3596" max="3596" width="10.53125" style="3092" customWidth="1"/>
    <col min="3597" max="3841" width="9.1328125" style="3092"/>
    <col min="3842" max="3842" width="0" style="3092" hidden="1" customWidth="1"/>
    <col min="3843" max="3843" width="43.46484375" style="3092" customWidth="1"/>
    <col min="3844" max="3844" width="3.6640625" style="3092" customWidth="1"/>
    <col min="3845" max="3845" width="32.6640625" style="3092" customWidth="1"/>
    <col min="3846" max="3846" width="27" style="3092" customWidth="1"/>
    <col min="3847" max="3848" width="9.1328125" style="3092" customWidth="1"/>
    <col min="3849" max="3849" width="5" style="3092" customWidth="1"/>
    <col min="3850" max="3851" width="9.1328125" style="3092" customWidth="1"/>
    <col min="3852" max="3852" width="10.53125" style="3092" customWidth="1"/>
    <col min="3853" max="4097" width="9.1328125" style="3092"/>
    <col min="4098" max="4098" width="0" style="3092" hidden="1" customWidth="1"/>
    <col min="4099" max="4099" width="43.46484375" style="3092" customWidth="1"/>
    <col min="4100" max="4100" width="3.6640625" style="3092" customWidth="1"/>
    <col min="4101" max="4101" width="32.6640625" style="3092" customWidth="1"/>
    <col min="4102" max="4102" width="27" style="3092" customWidth="1"/>
    <col min="4103" max="4104" width="9.1328125" style="3092" customWidth="1"/>
    <col min="4105" max="4105" width="5" style="3092" customWidth="1"/>
    <col min="4106" max="4107" width="9.1328125" style="3092" customWidth="1"/>
    <col min="4108" max="4108" width="10.53125" style="3092" customWidth="1"/>
    <col min="4109" max="4353" width="9.1328125" style="3092"/>
    <col min="4354" max="4354" width="0" style="3092" hidden="1" customWidth="1"/>
    <col min="4355" max="4355" width="43.46484375" style="3092" customWidth="1"/>
    <col min="4356" max="4356" width="3.6640625" style="3092" customWidth="1"/>
    <col min="4357" max="4357" width="32.6640625" style="3092" customWidth="1"/>
    <col min="4358" max="4358" width="27" style="3092" customWidth="1"/>
    <col min="4359" max="4360" width="9.1328125" style="3092" customWidth="1"/>
    <col min="4361" max="4361" width="5" style="3092" customWidth="1"/>
    <col min="4362" max="4363" width="9.1328125" style="3092" customWidth="1"/>
    <col min="4364" max="4364" width="10.53125" style="3092" customWidth="1"/>
    <col min="4365" max="4609" width="9.1328125" style="3092"/>
    <col min="4610" max="4610" width="0" style="3092" hidden="1" customWidth="1"/>
    <col min="4611" max="4611" width="43.46484375" style="3092" customWidth="1"/>
    <col min="4612" max="4612" width="3.6640625" style="3092" customWidth="1"/>
    <col min="4613" max="4613" width="32.6640625" style="3092" customWidth="1"/>
    <col min="4614" max="4614" width="27" style="3092" customWidth="1"/>
    <col min="4615" max="4616" width="9.1328125" style="3092" customWidth="1"/>
    <col min="4617" max="4617" width="5" style="3092" customWidth="1"/>
    <col min="4618" max="4619" width="9.1328125" style="3092" customWidth="1"/>
    <col min="4620" max="4620" width="10.53125" style="3092" customWidth="1"/>
    <col min="4621" max="4865" width="9.1328125" style="3092"/>
    <col min="4866" max="4866" width="0" style="3092" hidden="1" customWidth="1"/>
    <col min="4867" max="4867" width="43.46484375" style="3092" customWidth="1"/>
    <col min="4868" max="4868" width="3.6640625" style="3092" customWidth="1"/>
    <col min="4869" max="4869" width="32.6640625" style="3092" customWidth="1"/>
    <col min="4870" max="4870" width="27" style="3092" customWidth="1"/>
    <col min="4871" max="4872" width="9.1328125" style="3092" customWidth="1"/>
    <col min="4873" max="4873" width="5" style="3092" customWidth="1"/>
    <col min="4874" max="4875" width="9.1328125" style="3092" customWidth="1"/>
    <col min="4876" max="4876" width="10.53125" style="3092" customWidth="1"/>
    <col min="4877" max="5121" width="9.1328125" style="3092"/>
    <col min="5122" max="5122" width="0" style="3092" hidden="1" customWidth="1"/>
    <col min="5123" max="5123" width="43.46484375" style="3092" customWidth="1"/>
    <col min="5124" max="5124" width="3.6640625" style="3092" customWidth="1"/>
    <col min="5125" max="5125" width="32.6640625" style="3092" customWidth="1"/>
    <col min="5126" max="5126" width="27" style="3092" customWidth="1"/>
    <col min="5127" max="5128" width="9.1328125" style="3092" customWidth="1"/>
    <col min="5129" max="5129" width="5" style="3092" customWidth="1"/>
    <col min="5130" max="5131" width="9.1328125" style="3092" customWidth="1"/>
    <col min="5132" max="5132" width="10.53125" style="3092" customWidth="1"/>
    <col min="5133" max="5377" width="9.1328125" style="3092"/>
    <col min="5378" max="5378" width="0" style="3092" hidden="1" customWidth="1"/>
    <col min="5379" max="5379" width="43.46484375" style="3092" customWidth="1"/>
    <col min="5380" max="5380" width="3.6640625" style="3092" customWidth="1"/>
    <col min="5381" max="5381" width="32.6640625" style="3092" customWidth="1"/>
    <col min="5382" max="5382" width="27" style="3092" customWidth="1"/>
    <col min="5383" max="5384" width="9.1328125" style="3092" customWidth="1"/>
    <col min="5385" max="5385" width="5" style="3092" customWidth="1"/>
    <col min="5386" max="5387" width="9.1328125" style="3092" customWidth="1"/>
    <col min="5388" max="5388" width="10.53125" style="3092" customWidth="1"/>
    <col min="5389" max="5633" width="9.1328125" style="3092"/>
    <col min="5634" max="5634" width="0" style="3092" hidden="1" customWidth="1"/>
    <col min="5635" max="5635" width="43.46484375" style="3092" customWidth="1"/>
    <col min="5636" max="5636" width="3.6640625" style="3092" customWidth="1"/>
    <col min="5637" max="5637" width="32.6640625" style="3092" customWidth="1"/>
    <col min="5638" max="5638" width="27" style="3092" customWidth="1"/>
    <col min="5639" max="5640" width="9.1328125" style="3092" customWidth="1"/>
    <col min="5641" max="5641" width="5" style="3092" customWidth="1"/>
    <col min="5642" max="5643" width="9.1328125" style="3092" customWidth="1"/>
    <col min="5644" max="5644" width="10.53125" style="3092" customWidth="1"/>
    <col min="5645" max="5889" width="9.1328125" style="3092"/>
    <col min="5890" max="5890" width="0" style="3092" hidden="1" customWidth="1"/>
    <col min="5891" max="5891" width="43.46484375" style="3092" customWidth="1"/>
    <col min="5892" max="5892" width="3.6640625" style="3092" customWidth="1"/>
    <col min="5893" max="5893" width="32.6640625" style="3092" customWidth="1"/>
    <col min="5894" max="5894" width="27" style="3092" customWidth="1"/>
    <col min="5895" max="5896" width="9.1328125" style="3092" customWidth="1"/>
    <col min="5897" max="5897" width="5" style="3092" customWidth="1"/>
    <col min="5898" max="5899" width="9.1328125" style="3092" customWidth="1"/>
    <col min="5900" max="5900" width="10.53125" style="3092" customWidth="1"/>
    <col min="5901" max="6145" width="9.1328125" style="3092"/>
    <col min="6146" max="6146" width="0" style="3092" hidden="1" customWidth="1"/>
    <col min="6147" max="6147" width="43.46484375" style="3092" customWidth="1"/>
    <col min="6148" max="6148" width="3.6640625" style="3092" customWidth="1"/>
    <col min="6149" max="6149" width="32.6640625" style="3092" customWidth="1"/>
    <col min="6150" max="6150" width="27" style="3092" customWidth="1"/>
    <col min="6151" max="6152" width="9.1328125" style="3092" customWidth="1"/>
    <col min="6153" max="6153" width="5" style="3092" customWidth="1"/>
    <col min="6154" max="6155" width="9.1328125" style="3092" customWidth="1"/>
    <col min="6156" max="6156" width="10.53125" style="3092" customWidth="1"/>
    <col min="6157" max="6401" width="9.1328125" style="3092"/>
    <col min="6402" max="6402" width="0" style="3092" hidden="1" customWidth="1"/>
    <col min="6403" max="6403" width="43.46484375" style="3092" customWidth="1"/>
    <col min="6404" max="6404" width="3.6640625" style="3092" customWidth="1"/>
    <col min="6405" max="6405" width="32.6640625" style="3092" customWidth="1"/>
    <col min="6406" max="6406" width="27" style="3092" customWidth="1"/>
    <col min="6407" max="6408" width="9.1328125" style="3092" customWidth="1"/>
    <col min="6409" max="6409" width="5" style="3092" customWidth="1"/>
    <col min="6410" max="6411" width="9.1328125" style="3092" customWidth="1"/>
    <col min="6412" max="6412" width="10.53125" style="3092" customWidth="1"/>
    <col min="6413" max="6657" width="9.1328125" style="3092"/>
    <col min="6658" max="6658" width="0" style="3092" hidden="1" customWidth="1"/>
    <col min="6659" max="6659" width="43.46484375" style="3092" customWidth="1"/>
    <col min="6660" max="6660" width="3.6640625" style="3092" customWidth="1"/>
    <col min="6661" max="6661" width="32.6640625" style="3092" customWidth="1"/>
    <col min="6662" max="6662" width="27" style="3092" customWidth="1"/>
    <col min="6663" max="6664" width="9.1328125" style="3092" customWidth="1"/>
    <col min="6665" max="6665" width="5" style="3092" customWidth="1"/>
    <col min="6666" max="6667" width="9.1328125" style="3092" customWidth="1"/>
    <col min="6668" max="6668" width="10.53125" style="3092" customWidth="1"/>
    <col min="6669" max="6913" width="9.1328125" style="3092"/>
    <col min="6914" max="6914" width="0" style="3092" hidden="1" customWidth="1"/>
    <col min="6915" max="6915" width="43.46484375" style="3092" customWidth="1"/>
    <col min="6916" max="6916" width="3.6640625" style="3092" customWidth="1"/>
    <col min="6917" max="6917" width="32.6640625" style="3092" customWidth="1"/>
    <col min="6918" max="6918" width="27" style="3092" customWidth="1"/>
    <col min="6919" max="6920" width="9.1328125" style="3092" customWidth="1"/>
    <col min="6921" max="6921" width="5" style="3092" customWidth="1"/>
    <col min="6922" max="6923" width="9.1328125" style="3092" customWidth="1"/>
    <col min="6924" max="6924" width="10.53125" style="3092" customWidth="1"/>
    <col min="6925" max="7169" width="9.1328125" style="3092"/>
    <col min="7170" max="7170" width="0" style="3092" hidden="1" customWidth="1"/>
    <col min="7171" max="7171" width="43.46484375" style="3092" customWidth="1"/>
    <col min="7172" max="7172" width="3.6640625" style="3092" customWidth="1"/>
    <col min="7173" max="7173" width="32.6640625" style="3092" customWidth="1"/>
    <col min="7174" max="7174" width="27" style="3092" customWidth="1"/>
    <col min="7175" max="7176" width="9.1328125" style="3092" customWidth="1"/>
    <col min="7177" max="7177" width="5" style="3092" customWidth="1"/>
    <col min="7178" max="7179" width="9.1328125" style="3092" customWidth="1"/>
    <col min="7180" max="7180" width="10.53125" style="3092" customWidth="1"/>
    <col min="7181" max="7425" width="9.1328125" style="3092"/>
    <col min="7426" max="7426" width="0" style="3092" hidden="1" customWidth="1"/>
    <col min="7427" max="7427" width="43.46484375" style="3092" customWidth="1"/>
    <col min="7428" max="7428" width="3.6640625" style="3092" customWidth="1"/>
    <col min="7429" max="7429" width="32.6640625" style="3092" customWidth="1"/>
    <col min="7430" max="7430" width="27" style="3092" customWidth="1"/>
    <col min="7431" max="7432" width="9.1328125" style="3092" customWidth="1"/>
    <col min="7433" max="7433" width="5" style="3092" customWidth="1"/>
    <col min="7434" max="7435" width="9.1328125" style="3092" customWidth="1"/>
    <col min="7436" max="7436" width="10.53125" style="3092" customWidth="1"/>
    <col min="7437" max="7681" width="9.1328125" style="3092"/>
    <col min="7682" max="7682" width="0" style="3092" hidden="1" customWidth="1"/>
    <col min="7683" max="7683" width="43.46484375" style="3092" customWidth="1"/>
    <col min="7684" max="7684" width="3.6640625" style="3092" customWidth="1"/>
    <col min="7685" max="7685" width="32.6640625" style="3092" customWidth="1"/>
    <col min="7686" max="7686" width="27" style="3092" customWidth="1"/>
    <col min="7687" max="7688" width="9.1328125" style="3092" customWidth="1"/>
    <col min="7689" max="7689" width="5" style="3092" customWidth="1"/>
    <col min="7690" max="7691" width="9.1328125" style="3092" customWidth="1"/>
    <col min="7692" max="7692" width="10.53125" style="3092" customWidth="1"/>
    <col min="7693" max="7937" width="9.1328125" style="3092"/>
    <col min="7938" max="7938" width="0" style="3092" hidden="1" customWidth="1"/>
    <col min="7939" max="7939" width="43.46484375" style="3092" customWidth="1"/>
    <col min="7940" max="7940" width="3.6640625" style="3092" customWidth="1"/>
    <col min="7941" max="7941" width="32.6640625" style="3092" customWidth="1"/>
    <col min="7942" max="7942" width="27" style="3092" customWidth="1"/>
    <col min="7943" max="7944" width="9.1328125" style="3092" customWidth="1"/>
    <col min="7945" max="7945" width="5" style="3092" customWidth="1"/>
    <col min="7946" max="7947" width="9.1328125" style="3092" customWidth="1"/>
    <col min="7948" max="7948" width="10.53125" style="3092" customWidth="1"/>
    <col min="7949" max="8193" width="9.1328125" style="3092"/>
    <col min="8194" max="8194" width="0" style="3092" hidden="1" customWidth="1"/>
    <col min="8195" max="8195" width="43.46484375" style="3092" customWidth="1"/>
    <col min="8196" max="8196" width="3.6640625" style="3092" customWidth="1"/>
    <col min="8197" max="8197" width="32.6640625" style="3092" customWidth="1"/>
    <col min="8198" max="8198" width="27" style="3092" customWidth="1"/>
    <col min="8199" max="8200" width="9.1328125" style="3092" customWidth="1"/>
    <col min="8201" max="8201" width="5" style="3092" customWidth="1"/>
    <col min="8202" max="8203" width="9.1328125" style="3092" customWidth="1"/>
    <col min="8204" max="8204" width="10.53125" style="3092" customWidth="1"/>
    <col min="8205" max="8449" width="9.1328125" style="3092"/>
    <col min="8450" max="8450" width="0" style="3092" hidden="1" customWidth="1"/>
    <col min="8451" max="8451" width="43.46484375" style="3092" customWidth="1"/>
    <col min="8452" max="8452" width="3.6640625" style="3092" customWidth="1"/>
    <col min="8453" max="8453" width="32.6640625" style="3092" customWidth="1"/>
    <col min="8454" max="8454" width="27" style="3092" customWidth="1"/>
    <col min="8455" max="8456" width="9.1328125" style="3092" customWidth="1"/>
    <col min="8457" max="8457" width="5" style="3092" customWidth="1"/>
    <col min="8458" max="8459" width="9.1328125" style="3092" customWidth="1"/>
    <col min="8460" max="8460" width="10.53125" style="3092" customWidth="1"/>
    <col min="8461" max="8705" width="9.1328125" style="3092"/>
    <col min="8706" max="8706" width="0" style="3092" hidden="1" customWidth="1"/>
    <col min="8707" max="8707" width="43.46484375" style="3092" customWidth="1"/>
    <col min="8708" max="8708" width="3.6640625" style="3092" customWidth="1"/>
    <col min="8709" max="8709" width="32.6640625" style="3092" customWidth="1"/>
    <col min="8710" max="8710" width="27" style="3092" customWidth="1"/>
    <col min="8711" max="8712" width="9.1328125" style="3092" customWidth="1"/>
    <col min="8713" max="8713" width="5" style="3092" customWidth="1"/>
    <col min="8714" max="8715" width="9.1328125" style="3092" customWidth="1"/>
    <col min="8716" max="8716" width="10.53125" style="3092" customWidth="1"/>
    <col min="8717" max="8961" width="9.1328125" style="3092"/>
    <col min="8962" max="8962" width="0" style="3092" hidden="1" customWidth="1"/>
    <col min="8963" max="8963" width="43.46484375" style="3092" customWidth="1"/>
    <col min="8964" max="8964" width="3.6640625" style="3092" customWidth="1"/>
    <col min="8965" max="8965" width="32.6640625" style="3092" customWidth="1"/>
    <col min="8966" max="8966" width="27" style="3092" customWidth="1"/>
    <col min="8967" max="8968" width="9.1328125" style="3092" customWidth="1"/>
    <col min="8969" max="8969" width="5" style="3092" customWidth="1"/>
    <col min="8970" max="8971" width="9.1328125" style="3092" customWidth="1"/>
    <col min="8972" max="8972" width="10.53125" style="3092" customWidth="1"/>
    <col min="8973" max="9217" width="9.1328125" style="3092"/>
    <col min="9218" max="9218" width="0" style="3092" hidden="1" customWidth="1"/>
    <col min="9219" max="9219" width="43.46484375" style="3092" customWidth="1"/>
    <col min="9220" max="9220" width="3.6640625" style="3092" customWidth="1"/>
    <col min="9221" max="9221" width="32.6640625" style="3092" customWidth="1"/>
    <col min="9222" max="9222" width="27" style="3092" customWidth="1"/>
    <col min="9223" max="9224" width="9.1328125" style="3092" customWidth="1"/>
    <col min="9225" max="9225" width="5" style="3092" customWidth="1"/>
    <col min="9226" max="9227" width="9.1328125" style="3092" customWidth="1"/>
    <col min="9228" max="9228" width="10.53125" style="3092" customWidth="1"/>
    <col min="9229" max="9473" width="9.1328125" style="3092"/>
    <col min="9474" max="9474" width="0" style="3092" hidden="1" customWidth="1"/>
    <col min="9475" max="9475" width="43.46484375" style="3092" customWidth="1"/>
    <col min="9476" max="9476" width="3.6640625" style="3092" customWidth="1"/>
    <col min="9477" max="9477" width="32.6640625" style="3092" customWidth="1"/>
    <col min="9478" max="9478" width="27" style="3092" customWidth="1"/>
    <col min="9479" max="9480" width="9.1328125" style="3092" customWidth="1"/>
    <col min="9481" max="9481" width="5" style="3092" customWidth="1"/>
    <col min="9482" max="9483" width="9.1328125" style="3092" customWidth="1"/>
    <col min="9484" max="9484" width="10.53125" style="3092" customWidth="1"/>
    <col min="9485" max="9729" width="9.1328125" style="3092"/>
    <col min="9730" max="9730" width="0" style="3092" hidden="1" customWidth="1"/>
    <col min="9731" max="9731" width="43.46484375" style="3092" customWidth="1"/>
    <col min="9732" max="9732" width="3.6640625" style="3092" customWidth="1"/>
    <col min="9733" max="9733" width="32.6640625" style="3092" customWidth="1"/>
    <col min="9734" max="9734" width="27" style="3092" customWidth="1"/>
    <col min="9735" max="9736" width="9.1328125" style="3092" customWidth="1"/>
    <col min="9737" max="9737" width="5" style="3092" customWidth="1"/>
    <col min="9738" max="9739" width="9.1328125" style="3092" customWidth="1"/>
    <col min="9740" max="9740" width="10.53125" style="3092" customWidth="1"/>
    <col min="9741" max="9985" width="9.1328125" style="3092"/>
    <col min="9986" max="9986" width="0" style="3092" hidden="1" customWidth="1"/>
    <col min="9987" max="9987" width="43.46484375" style="3092" customWidth="1"/>
    <col min="9988" max="9988" width="3.6640625" style="3092" customWidth="1"/>
    <col min="9989" max="9989" width="32.6640625" style="3092" customWidth="1"/>
    <col min="9990" max="9990" width="27" style="3092" customWidth="1"/>
    <col min="9991" max="9992" width="9.1328125" style="3092" customWidth="1"/>
    <col min="9993" max="9993" width="5" style="3092" customWidth="1"/>
    <col min="9994" max="9995" width="9.1328125" style="3092" customWidth="1"/>
    <col min="9996" max="9996" width="10.53125" style="3092" customWidth="1"/>
    <col min="9997" max="10241" width="9.1328125" style="3092"/>
    <col min="10242" max="10242" width="0" style="3092" hidden="1" customWidth="1"/>
    <col min="10243" max="10243" width="43.46484375" style="3092" customWidth="1"/>
    <col min="10244" max="10244" width="3.6640625" style="3092" customWidth="1"/>
    <col min="10245" max="10245" width="32.6640625" style="3092" customWidth="1"/>
    <col min="10246" max="10246" width="27" style="3092" customWidth="1"/>
    <col min="10247" max="10248" width="9.1328125" style="3092" customWidth="1"/>
    <col min="10249" max="10249" width="5" style="3092" customWidth="1"/>
    <col min="10250" max="10251" width="9.1328125" style="3092" customWidth="1"/>
    <col min="10252" max="10252" width="10.53125" style="3092" customWidth="1"/>
    <col min="10253" max="10497" width="9.1328125" style="3092"/>
    <col min="10498" max="10498" width="0" style="3092" hidden="1" customWidth="1"/>
    <col min="10499" max="10499" width="43.46484375" style="3092" customWidth="1"/>
    <col min="10500" max="10500" width="3.6640625" style="3092" customWidth="1"/>
    <col min="10501" max="10501" width="32.6640625" style="3092" customWidth="1"/>
    <col min="10502" max="10502" width="27" style="3092" customWidth="1"/>
    <col min="10503" max="10504" width="9.1328125" style="3092" customWidth="1"/>
    <col min="10505" max="10505" width="5" style="3092" customWidth="1"/>
    <col min="10506" max="10507" width="9.1328125" style="3092" customWidth="1"/>
    <col min="10508" max="10508" width="10.53125" style="3092" customWidth="1"/>
    <col min="10509" max="10753" width="9.1328125" style="3092"/>
    <col min="10754" max="10754" width="0" style="3092" hidden="1" customWidth="1"/>
    <col min="10755" max="10755" width="43.46484375" style="3092" customWidth="1"/>
    <col min="10756" max="10756" width="3.6640625" style="3092" customWidth="1"/>
    <col min="10757" max="10757" width="32.6640625" style="3092" customWidth="1"/>
    <col min="10758" max="10758" width="27" style="3092" customWidth="1"/>
    <col min="10759" max="10760" width="9.1328125" style="3092" customWidth="1"/>
    <col min="10761" max="10761" width="5" style="3092" customWidth="1"/>
    <col min="10762" max="10763" width="9.1328125" style="3092" customWidth="1"/>
    <col min="10764" max="10764" width="10.53125" style="3092" customWidth="1"/>
    <col min="10765" max="11009" width="9.1328125" style="3092"/>
    <col min="11010" max="11010" width="0" style="3092" hidden="1" customWidth="1"/>
    <col min="11011" max="11011" width="43.46484375" style="3092" customWidth="1"/>
    <col min="11012" max="11012" width="3.6640625" style="3092" customWidth="1"/>
    <col min="11013" max="11013" width="32.6640625" style="3092" customWidth="1"/>
    <col min="11014" max="11014" width="27" style="3092" customWidth="1"/>
    <col min="11015" max="11016" width="9.1328125" style="3092" customWidth="1"/>
    <col min="11017" max="11017" width="5" style="3092" customWidth="1"/>
    <col min="11018" max="11019" width="9.1328125" style="3092" customWidth="1"/>
    <col min="11020" max="11020" width="10.53125" style="3092" customWidth="1"/>
    <col min="11021" max="11265" width="9.1328125" style="3092"/>
    <col min="11266" max="11266" width="0" style="3092" hidden="1" customWidth="1"/>
    <col min="11267" max="11267" width="43.46484375" style="3092" customWidth="1"/>
    <col min="11268" max="11268" width="3.6640625" style="3092" customWidth="1"/>
    <col min="11269" max="11269" width="32.6640625" style="3092" customWidth="1"/>
    <col min="11270" max="11270" width="27" style="3092" customWidth="1"/>
    <col min="11271" max="11272" width="9.1328125" style="3092" customWidth="1"/>
    <col min="11273" max="11273" width="5" style="3092" customWidth="1"/>
    <col min="11274" max="11275" width="9.1328125" style="3092" customWidth="1"/>
    <col min="11276" max="11276" width="10.53125" style="3092" customWidth="1"/>
    <col min="11277" max="11521" width="9.1328125" style="3092"/>
    <col min="11522" max="11522" width="0" style="3092" hidden="1" customWidth="1"/>
    <col min="11523" max="11523" width="43.46484375" style="3092" customWidth="1"/>
    <col min="11524" max="11524" width="3.6640625" style="3092" customWidth="1"/>
    <col min="11525" max="11525" width="32.6640625" style="3092" customWidth="1"/>
    <col min="11526" max="11526" width="27" style="3092" customWidth="1"/>
    <col min="11527" max="11528" width="9.1328125" style="3092" customWidth="1"/>
    <col min="11529" max="11529" width="5" style="3092" customWidth="1"/>
    <col min="11530" max="11531" width="9.1328125" style="3092" customWidth="1"/>
    <col min="11532" max="11532" width="10.53125" style="3092" customWidth="1"/>
    <col min="11533" max="11777" width="9.1328125" style="3092"/>
    <col min="11778" max="11778" width="0" style="3092" hidden="1" customWidth="1"/>
    <col min="11779" max="11779" width="43.46484375" style="3092" customWidth="1"/>
    <col min="11780" max="11780" width="3.6640625" style="3092" customWidth="1"/>
    <col min="11781" max="11781" width="32.6640625" style="3092" customWidth="1"/>
    <col min="11782" max="11782" width="27" style="3092" customWidth="1"/>
    <col min="11783" max="11784" width="9.1328125" style="3092" customWidth="1"/>
    <col min="11785" max="11785" width="5" style="3092" customWidth="1"/>
    <col min="11786" max="11787" width="9.1328125" style="3092" customWidth="1"/>
    <col min="11788" max="11788" width="10.53125" style="3092" customWidth="1"/>
    <col min="11789" max="12033" width="9.1328125" style="3092"/>
    <col min="12034" max="12034" width="0" style="3092" hidden="1" customWidth="1"/>
    <col min="12035" max="12035" width="43.46484375" style="3092" customWidth="1"/>
    <col min="12036" max="12036" width="3.6640625" style="3092" customWidth="1"/>
    <col min="12037" max="12037" width="32.6640625" style="3092" customWidth="1"/>
    <col min="12038" max="12038" width="27" style="3092" customWidth="1"/>
    <col min="12039" max="12040" width="9.1328125" style="3092" customWidth="1"/>
    <col min="12041" max="12041" width="5" style="3092" customWidth="1"/>
    <col min="12042" max="12043" width="9.1328125" style="3092" customWidth="1"/>
    <col min="12044" max="12044" width="10.53125" style="3092" customWidth="1"/>
    <col min="12045" max="12289" width="9.1328125" style="3092"/>
    <col min="12290" max="12290" width="0" style="3092" hidden="1" customWidth="1"/>
    <col min="12291" max="12291" width="43.46484375" style="3092" customWidth="1"/>
    <col min="12292" max="12292" width="3.6640625" style="3092" customWidth="1"/>
    <col min="12293" max="12293" width="32.6640625" style="3092" customWidth="1"/>
    <col min="12294" max="12294" width="27" style="3092" customWidth="1"/>
    <col min="12295" max="12296" width="9.1328125" style="3092" customWidth="1"/>
    <col min="12297" max="12297" width="5" style="3092" customWidth="1"/>
    <col min="12298" max="12299" width="9.1328125" style="3092" customWidth="1"/>
    <col min="12300" max="12300" width="10.53125" style="3092" customWidth="1"/>
    <col min="12301" max="12545" width="9.1328125" style="3092"/>
    <col min="12546" max="12546" width="0" style="3092" hidden="1" customWidth="1"/>
    <col min="12547" max="12547" width="43.46484375" style="3092" customWidth="1"/>
    <col min="12548" max="12548" width="3.6640625" style="3092" customWidth="1"/>
    <col min="12549" max="12549" width="32.6640625" style="3092" customWidth="1"/>
    <col min="12550" max="12550" width="27" style="3092" customWidth="1"/>
    <col min="12551" max="12552" width="9.1328125" style="3092" customWidth="1"/>
    <col min="12553" max="12553" width="5" style="3092" customWidth="1"/>
    <col min="12554" max="12555" width="9.1328125" style="3092" customWidth="1"/>
    <col min="12556" max="12556" width="10.53125" style="3092" customWidth="1"/>
    <col min="12557" max="12801" width="9.1328125" style="3092"/>
    <col min="12802" max="12802" width="0" style="3092" hidden="1" customWidth="1"/>
    <col min="12803" max="12803" width="43.46484375" style="3092" customWidth="1"/>
    <col min="12804" max="12804" width="3.6640625" style="3092" customWidth="1"/>
    <col min="12805" max="12805" width="32.6640625" style="3092" customWidth="1"/>
    <col min="12806" max="12806" width="27" style="3092" customWidth="1"/>
    <col min="12807" max="12808" width="9.1328125" style="3092" customWidth="1"/>
    <col min="12809" max="12809" width="5" style="3092" customWidth="1"/>
    <col min="12810" max="12811" width="9.1328125" style="3092" customWidth="1"/>
    <col min="12812" max="12812" width="10.53125" style="3092" customWidth="1"/>
    <col min="12813" max="13057" width="9.1328125" style="3092"/>
    <col min="13058" max="13058" width="0" style="3092" hidden="1" customWidth="1"/>
    <col min="13059" max="13059" width="43.46484375" style="3092" customWidth="1"/>
    <col min="13060" max="13060" width="3.6640625" style="3092" customWidth="1"/>
    <col min="13061" max="13061" width="32.6640625" style="3092" customWidth="1"/>
    <col min="13062" max="13062" width="27" style="3092" customWidth="1"/>
    <col min="13063" max="13064" width="9.1328125" style="3092" customWidth="1"/>
    <col min="13065" max="13065" width="5" style="3092" customWidth="1"/>
    <col min="13066" max="13067" width="9.1328125" style="3092" customWidth="1"/>
    <col min="13068" max="13068" width="10.53125" style="3092" customWidth="1"/>
    <col min="13069" max="13313" width="9.1328125" style="3092"/>
    <col min="13314" max="13314" width="0" style="3092" hidden="1" customWidth="1"/>
    <col min="13315" max="13315" width="43.46484375" style="3092" customWidth="1"/>
    <col min="13316" max="13316" width="3.6640625" style="3092" customWidth="1"/>
    <col min="13317" max="13317" width="32.6640625" style="3092" customWidth="1"/>
    <col min="13318" max="13318" width="27" style="3092" customWidth="1"/>
    <col min="13319" max="13320" width="9.1328125" style="3092" customWidth="1"/>
    <col min="13321" max="13321" width="5" style="3092" customWidth="1"/>
    <col min="13322" max="13323" width="9.1328125" style="3092" customWidth="1"/>
    <col min="13324" max="13324" width="10.53125" style="3092" customWidth="1"/>
    <col min="13325" max="13569" width="9.1328125" style="3092"/>
    <col min="13570" max="13570" width="0" style="3092" hidden="1" customWidth="1"/>
    <col min="13571" max="13571" width="43.46484375" style="3092" customWidth="1"/>
    <col min="13572" max="13572" width="3.6640625" style="3092" customWidth="1"/>
    <col min="13573" max="13573" width="32.6640625" style="3092" customWidth="1"/>
    <col min="13574" max="13574" width="27" style="3092" customWidth="1"/>
    <col min="13575" max="13576" width="9.1328125" style="3092" customWidth="1"/>
    <col min="13577" max="13577" width="5" style="3092" customWidth="1"/>
    <col min="13578" max="13579" width="9.1328125" style="3092" customWidth="1"/>
    <col min="13580" max="13580" width="10.53125" style="3092" customWidth="1"/>
    <col min="13581" max="13825" width="9.1328125" style="3092"/>
    <col min="13826" max="13826" width="0" style="3092" hidden="1" customWidth="1"/>
    <col min="13827" max="13827" width="43.46484375" style="3092" customWidth="1"/>
    <col min="13828" max="13828" width="3.6640625" style="3092" customWidth="1"/>
    <col min="13829" max="13829" width="32.6640625" style="3092" customWidth="1"/>
    <col min="13830" max="13830" width="27" style="3092" customWidth="1"/>
    <col min="13831" max="13832" width="9.1328125" style="3092" customWidth="1"/>
    <col min="13833" max="13833" width="5" style="3092" customWidth="1"/>
    <col min="13834" max="13835" width="9.1328125" style="3092" customWidth="1"/>
    <col min="13836" max="13836" width="10.53125" style="3092" customWidth="1"/>
    <col min="13837" max="14081" width="9.1328125" style="3092"/>
    <col min="14082" max="14082" width="0" style="3092" hidden="1" customWidth="1"/>
    <col min="14083" max="14083" width="43.46484375" style="3092" customWidth="1"/>
    <col min="14084" max="14084" width="3.6640625" style="3092" customWidth="1"/>
    <col min="14085" max="14085" width="32.6640625" style="3092" customWidth="1"/>
    <col min="14086" max="14086" width="27" style="3092" customWidth="1"/>
    <col min="14087" max="14088" width="9.1328125" style="3092" customWidth="1"/>
    <col min="14089" max="14089" width="5" style="3092" customWidth="1"/>
    <col min="14090" max="14091" width="9.1328125" style="3092" customWidth="1"/>
    <col min="14092" max="14092" width="10.53125" style="3092" customWidth="1"/>
    <col min="14093" max="14337" width="9.1328125" style="3092"/>
    <col min="14338" max="14338" width="0" style="3092" hidden="1" customWidth="1"/>
    <col min="14339" max="14339" width="43.46484375" style="3092" customWidth="1"/>
    <col min="14340" max="14340" width="3.6640625" style="3092" customWidth="1"/>
    <col min="14341" max="14341" width="32.6640625" style="3092" customWidth="1"/>
    <col min="14342" max="14342" width="27" style="3092" customWidth="1"/>
    <col min="14343" max="14344" width="9.1328125" style="3092" customWidth="1"/>
    <col min="14345" max="14345" width="5" style="3092" customWidth="1"/>
    <col min="14346" max="14347" width="9.1328125" style="3092" customWidth="1"/>
    <col min="14348" max="14348" width="10.53125" style="3092" customWidth="1"/>
    <col min="14349" max="14593" width="9.1328125" style="3092"/>
    <col min="14594" max="14594" width="0" style="3092" hidden="1" customWidth="1"/>
    <col min="14595" max="14595" width="43.46484375" style="3092" customWidth="1"/>
    <col min="14596" max="14596" width="3.6640625" style="3092" customWidth="1"/>
    <col min="14597" max="14597" width="32.6640625" style="3092" customWidth="1"/>
    <col min="14598" max="14598" width="27" style="3092" customWidth="1"/>
    <col min="14599" max="14600" width="9.1328125" style="3092" customWidth="1"/>
    <col min="14601" max="14601" width="5" style="3092" customWidth="1"/>
    <col min="14602" max="14603" width="9.1328125" style="3092" customWidth="1"/>
    <col min="14604" max="14604" width="10.53125" style="3092" customWidth="1"/>
    <col min="14605" max="14849" width="9.1328125" style="3092"/>
    <col min="14850" max="14850" width="0" style="3092" hidden="1" customWidth="1"/>
    <col min="14851" max="14851" width="43.46484375" style="3092" customWidth="1"/>
    <col min="14852" max="14852" width="3.6640625" style="3092" customWidth="1"/>
    <col min="14853" max="14853" width="32.6640625" style="3092" customWidth="1"/>
    <col min="14854" max="14854" width="27" style="3092" customWidth="1"/>
    <col min="14855" max="14856" width="9.1328125" style="3092" customWidth="1"/>
    <col min="14857" max="14857" width="5" style="3092" customWidth="1"/>
    <col min="14858" max="14859" width="9.1328125" style="3092" customWidth="1"/>
    <col min="14860" max="14860" width="10.53125" style="3092" customWidth="1"/>
    <col min="14861" max="15105" width="9.1328125" style="3092"/>
    <col min="15106" max="15106" width="0" style="3092" hidden="1" customWidth="1"/>
    <col min="15107" max="15107" width="43.46484375" style="3092" customWidth="1"/>
    <col min="15108" max="15108" width="3.6640625" style="3092" customWidth="1"/>
    <col min="15109" max="15109" width="32.6640625" style="3092" customWidth="1"/>
    <col min="15110" max="15110" width="27" style="3092" customWidth="1"/>
    <col min="15111" max="15112" width="9.1328125" style="3092" customWidth="1"/>
    <col min="15113" max="15113" width="5" style="3092" customWidth="1"/>
    <col min="15114" max="15115" width="9.1328125" style="3092" customWidth="1"/>
    <col min="15116" max="15116" width="10.53125" style="3092" customWidth="1"/>
    <col min="15117" max="15361" width="9.1328125" style="3092"/>
    <col min="15362" max="15362" width="0" style="3092" hidden="1" customWidth="1"/>
    <col min="15363" max="15363" width="43.46484375" style="3092" customWidth="1"/>
    <col min="15364" max="15364" width="3.6640625" style="3092" customWidth="1"/>
    <col min="15365" max="15365" width="32.6640625" style="3092" customWidth="1"/>
    <col min="15366" max="15366" width="27" style="3092" customWidth="1"/>
    <col min="15367" max="15368" width="9.1328125" style="3092" customWidth="1"/>
    <col min="15369" max="15369" width="5" style="3092" customWidth="1"/>
    <col min="15370" max="15371" width="9.1328125" style="3092" customWidth="1"/>
    <col min="15372" max="15372" width="10.53125" style="3092" customWidth="1"/>
    <col min="15373" max="15617" width="9.1328125" style="3092"/>
    <col min="15618" max="15618" width="0" style="3092" hidden="1" customWidth="1"/>
    <col min="15619" max="15619" width="43.46484375" style="3092" customWidth="1"/>
    <col min="15620" max="15620" width="3.6640625" style="3092" customWidth="1"/>
    <col min="15621" max="15621" width="32.6640625" style="3092" customWidth="1"/>
    <col min="15622" max="15622" width="27" style="3092" customWidth="1"/>
    <col min="15623" max="15624" width="9.1328125" style="3092" customWidth="1"/>
    <col min="15625" max="15625" width="5" style="3092" customWidth="1"/>
    <col min="15626" max="15627" width="9.1328125" style="3092" customWidth="1"/>
    <col min="15628" max="15628" width="10.53125" style="3092" customWidth="1"/>
    <col min="15629" max="15873" width="9.1328125" style="3092"/>
    <col min="15874" max="15874" width="0" style="3092" hidden="1" customWidth="1"/>
    <col min="15875" max="15875" width="43.46484375" style="3092" customWidth="1"/>
    <col min="15876" max="15876" width="3.6640625" style="3092" customWidth="1"/>
    <col min="15877" max="15877" width="32.6640625" style="3092" customWidth="1"/>
    <col min="15878" max="15878" width="27" style="3092" customWidth="1"/>
    <col min="15879" max="15880" width="9.1328125" style="3092" customWidth="1"/>
    <col min="15881" max="15881" width="5" style="3092" customWidth="1"/>
    <col min="15882" max="15883" width="9.1328125" style="3092" customWidth="1"/>
    <col min="15884" max="15884" width="10.53125" style="3092" customWidth="1"/>
    <col min="15885" max="16129" width="9.1328125" style="3092"/>
    <col min="16130" max="16130" width="0" style="3092" hidden="1" customWidth="1"/>
    <col min="16131" max="16131" width="43.46484375" style="3092" customWidth="1"/>
    <col min="16132" max="16132" width="3.6640625" style="3092" customWidth="1"/>
    <col min="16133" max="16133" width="32.6640625" style="3092" customWidth="1"/>
    <col min="16134" max="16134" width="27" style="3092" customWidth="1"/>
    <col min="16135" max="16136" width="9.1328125" style="3092" customWidth="1"/>
    <col min="16137" max="16137" width="5" style="3092" customWidth="1"/>
    <col min="16138" max="16139" width="9.1328125" style="3092" customWidth="1"/>
    <col min="16140" max="16140" width="10.53125" style="3092" customWidth="1"/>
    <col min="16141" max="16384" width="9.1328125" style="3092"/>
  </cols>
  <sheetData>
    <row r="1" spans="1:257" ht="12.75" customHeight="1">
      <c r="B1" s="63"/>
    </row>
    <row r="2" spans="1:257" s="3047" customFormat="1" ht="21" customHeight="1">
      <c r="A2" s="3045"/>
      <c r="B2" s="3187" t="s">
        <v>0</v>
      </c>
      <c r="C2" s="3046"/>
      <c r="D2" s="3190" t="s">
        <v>1628</v>
      </c>
      <c r="E2" s="3190"/>
      <c r="F2" s="3190"/>
      <c r="G2" s="3190"/>
      <c r="H2" s="3190"/>
      <c r="I2" s="3190"/>
      <c r="J2" s="3190"/>
      <c r="K2" s="3190"/>
      <c r="L2" s="3190"/>
      <c r="M2" s="3190"/>
      <c r="N2" s="155"/>
      <c r="O2" s="155"/>
      <c r="P2" s="155"/>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c r="IW2" s="156"/>
    </row>
    <row r="3" spans="1:257" s="3047" customFormat="1" ht="21" customHeight="1">
      <c r="A3" s="3045"/>
      <c r="B3" s="3187"/>
      <c r="C3" s="3046"/>
      <c r="D3" s="3190"/>
      <c r="E3" s="3190"/>
      <c r="F3" s="3190"/>
      <c r="G3" s="3190"/>
      <c r="H3" s="3190"/>
      <c r="I3" s="3190"/>
      <c r="J3" s="3190"/>
      <c r="K3" s="3190"/>
      <c r="L3" s="3190"/>
      <c r="M3" s="3190"/>
    </row>
    <row r="4" spans="1:257" ht="21" customHeight="1">
      <c r="B4" s="63"/>
      <c r="C4" s="3048"/>
      <c r="D4" s="3093"/>
      <c r="E4" s="3094"/>
      <c r="F4" s="3093"/>
      <c r="G4" s="3093"/>
      <c r="H4" s="3093"/>
      <c r="I4" s="3093"/>
      <c r="J4" s="3093"/>
      <c r="K4" s="3093"/>
      <c r="L4" s="3093"/>
    </row>
    <row r="5" spans="1:257" ht="21" customHeight="1">
      <c r="B5" s="3050" t="s">
        <v>1</v>
      </c>
      <c r="E5" s="3099"/>
      <c r="F5" s="3100"/>
      <c r="G5" s="3100"/>
      <c r="H5" s="3101" t="s">
        <v>1629</v>
      </c>
      <c r="I5" s="3102" t="s">
        <v>1630</v>
      </c>
      <c r="J5" s="3100"/>
      <c r="K5" s="3100"/>
      <c r="L5" s="3103"/>
    </row>
    <row r="6" spans="1:257" ht="21" customHeight="1">
      <c r="B6" s="3050" t="s">
        <v>452</v>
      </c>
      <c r="E6" s="3104"/>
      <c r="F6" s="3105"/>
      <c r="G6" s="3105"/>
      <c r="H6" s="3166" t="s">
        <v>1631</v>
      </c>
      <c r="I6" s="3167" t="s">
        <v>1632</v>
      </c>
      <c r="J6" s="3105"/>
      <c r="K6" s="3105"/>
      <c r="L6" s="3108"/>
    </row>
    <row r="7" spans="1:257" ht="21" customHeight="1">
      <c r="B7" s="3050" t="s">
        <v>239</v>
      </c>
      <c r="E7" s="3476" t="s">
        <v>1633</v>
      </c>
      <c r="F7" s="3477"/>
      <c r="G7" s="3477"/>
      <c r="H7" s="3477"/>
      <c r="I7" s="3477"/>
      <c r="J7" s="3477"/>
      <c r="K7" s="3477"/>
      <c r="L7" s="3478"/>
    </row>
    <row r="8" spans="1:257" ht="21" customHeight="1">
      <c r="B8" s="3050" t="s">
        <v>1263</v>
      </c>
      <c r="E8" s="3473" t="s">
        <v>1634</v>
      </c>
      <c r="F8" s="3474"/>
      <c r="G8" s="3474"/>
      <c r="H8" s="3474"/>
      <c r="I8" s="3474"/>
      <c r="J8" s="3474"/>
      <c r="K8" s="3474"/>
      <c r="L8" s="3475"/>
    </row>
    <row r="9" spans="1:257" ht="21" customHeight="1">
      <c r="B9" s="62" t="s">
        <v>557</v>
      </c>
      <c r="E9" s="3168"/>
      <c r="F9" s="3169" t="s">
        <v>1635</v>
      </c>
      <c r="G9" s="3081"/>
      <c r="H9" s="3065"/>
      <c r="I9" s="3065"/>
      <c r="J9" s="3115"/>
      <c r="K9" s="3082"/>
      <c r="L9" s="3170"/>
    </row>
    <row r="10" spans="1:257" ht="21" customHeight="1">
      <c r="B10" s="3050" t="s">
        <v>238</v>
      </c>
      <c r="E10" s="3168"/>
      <c r="F10" s="3171" t="s">
        <v>1636</v>
      </c>
      <c r="G10" s="3081"/>
      <c r="H10" s="3065"/>
      <c r="I10" s="3065"/>
      <c r="J10" s="3109"/>
      <c r="K10" s="3066"/>
      <c r="L10" s="3170"/>
    </row>
    <row r="11" spans="1:257" ht="21" customHeight="1">
      <c r="B11" s="146" t="s">
        <v>1652</v>
      </c>
      <c r="E11" s="3168"/>
      <c r="F11" s="3169" t="s">
        <v>1637</v>
      </c>
      <c r="G11" s="3081"/>
      <c r="H11" s="3066"/>
      <c r="I11" s="3066"/>
      <c r="L11" s="3172"/>
    </row>
    <row r="12" spans="1:257" ht="21" customHeight="1">
      <c r="B12" s="145" t="s">
        <v>95</v>
      </c>
      <c r="E12" s="3168"/>
      <c r="F12" s="3171" t="s">
        <v>1638</v>
      </c>
      <c r="G12" s="3081"/>
      <c r="H12" s="3066"/>
      <c r="I12" s="3066"/>
      <c r="L12" s="3172"/>
    </row>
    <row r="13" spans="1:257" ht="21" customHeight="1">
      <c r="B13" s="145" t="s">
        <v>254</v>
      </c>
      <c r="E13" s="3168"/>
      <c r="F13" s="3169" t="s">
        <v>1639</v>
      </c>
      <c r="G13" s="3109"/>
      <c r="H13" s="3066"/>
      <c r="I13" s="3066"/>
      <c r="J13" s="3109"/>
      <c r="K13" s="3066"/>
      <c r="L13" s="3170"/>
    </row>
    <row r="14" spans="1:257" ht="21" customHeight="1">
      <c r="B14" s="145" t="s">
        <v>1252</v>
      </c>
      <c r="E14" s="3168"/>
      <c r="F14" s="3171" t="s">
        <v>1640</v>
      </c>
      <c r="G14" s="3081"/>
      <c r="H14" s="3066"/>
      <c r="I14" s="3066"/>
      <c r="J14" s="3109"/>
      <c r="K14" s="3066"/>
      <c r="L14" s="3170"/>
    </row>
    <row r="15" spans="1:257" ht="21" customHeight="1">
      <c r="B15" s="145" t="s">
        <v>1394</v>
      </c>
      <c r="E15" s="3168"/>
      <c r="F15" s="3169" t="s">
        <v>1641</v>
      </c>
      <c r="G15" s="3081"/>
      <c r="H15" s="3066"/>
      <c r="I15" s="3066"/>
      <c r="L15" s="3172"/>
    </row>
    <row r="16" spans="1:257" ht="21" customHeight="1">
      <c r="B16" s="145" t="s">
        <v>1395</v>
      </c>
      <c r="E16" s="3168"/>
      <c r="F16" s="3171" t="s">
        <v>1642</v>
      </c>
      <c r="H16" s="3066"/>
      <c r="I16" s="3066"/>
      <c r="L16" s="3172"/>
    </row>
    <row r="17" spans="2:12" ht="21" customHeight="1">
      <c r="B17" s="168" t="s">
        <v>1396</v>
      </c>
      <c r="E17" s="3173"/>
      <c r="F17" s="3174"/>
      <c r="G17" s="3175"/>
      <c r="H17" s="3174"/>
      <c r="I17" s="3174"/>
      <c r="J17" s="3176"/>
      <c r="K17" s="3176"/>
      <c r="L17" s="3177"/>
    </row>
    <row r="18" spans="2:12" ht="21" customHeight="1">
      <c r="B18" s="145" t="s">
        <v>1397</v>
      </c>
      <c r="E18" s="3066"/>
      <c r="F18" s="3066"/>
      <c r="G18" s="3081"/>
      <c r="H18" s="3066"/>
      <c r="I18" s="3066"/>
    </row>
    <row r="19" spans="2:12" ht="21" customHeight="1">
      <c r="B19" s="145" t="s">
        <v>1398</v>
      </c>
      <c r="E19" s="3099"/>
      <c r="F19" s="3100"/>
      <c r="G19" s="3100"/>
      <c r="H19" s="3101" t="s">
        <v>1629</v>
      </c>
      <c r="I19" s="3102" t="s">
        <v>1643</v>
      </c>
      <c r="J19" s="3100"/>
      <c r="K19" s="3100"/>
      <c r="L19" s="3103"/>
    </row>
    <row r="20" spans="2:12" ht="21" customHeight="1">
      <c r="B20" s="147" t="s">
        <v>1399</v>
      </c>
      <c r="E20" s="3104"/>
      <c r="F20" s="3105"/>
      <c r="G20" s="3105"/>
      <c r="H20" s="3166" t="s">
        <v>1631</v>
      </c>
      <c r="I20" s="3167" t="s">
        <v>1644</v>
      </c>
      <c r="J20" s="3105"/>
      <c r="K20" s="3105"/>
      <c r="L20" s="3108"/>
    </row>
    <row r="21" spans="2:12" ht="21" customHeight="1">
      <c r="B21" s="62" t="s">
        <v>1653</v>
      </c>
      <c r="E21" s="3476" t="s">
        <v>1633</v>
      </c>
      <c r="F21" s="3477"/>
      <c r="G21" s="3477"/>
      <c r="H21" s="3477"/>
      <c r="I21" s="3477"/>
      <c r="J21" s="3477"/>
      <c r="K21" s="3477"/>
      <c r="L21" s="3478"/>
    </row>
    <row r="22" spans="2:12" ht="21" customHeight="1">
      <c r="B22" s="3050" t="s">
        <v>40</v>
      </c>
      <c r="E22" s="3473" t="s">
        <v>1634</v>
      </c>
      <c r="F22" s="3474"/>
      <c r="G22" s="3474"/>
      <c r="H22" s="3474"/>
      <c r="I22" s="3474"/>
      <c r="J22" s="3474"/>
      <c r="K22" s="3474"/>
      <c r="L22" s="3475"/>
    </row>
    <row r="23" spans="2:12" ht="21" customHeight="1">
      <c r="B23" s="3050" t="s">
        <v>238</v>
      </c>
      <c r="E23" s="3168"/>
      <c r="F23" s="3169" t="s">
        <v>1645</v>
      </c>
      <c r="G23" s="3081"/>
      <c r="H23" s="3065"/>
      <c r="I23" s="3065"/>
      <c r="J23" s="3115"/>
      <c r="K23" s="3082"/>
      <c r="L23" s="3170"/>
    </row>
    <row r="24" spans="2:12" ht="21" customHeight="1">
      <c r="B24" s="3050" t="s">
        <v>39</v>
      </c>
      <c r="E24" s="3168"/>
      <c r="F24" s="3178" t="s">
        <v>1646</v>
      </c>
      <c r="G24" s="3081"/>
      <c r="H24" s="3065"/>
      <c r="I24" s="3065"/>
      <c r="J24" s="3109"/>
      <c r="K24" s="3066"/>
      <c r="L24" s="3170"/>
    </row>
    <row r="25" spans="2:12" ht="21" customHeight="1">
      <c r="B25" s="3050" t="s">
        <v>38</v>
      </c>
      <c r="E25" s="3168"/>
      <c r="F25" s="3154" t="s">
        <v>1647</v>
      </c>
      <c r="G25" s="3081"/>
      <c r="H25" s="3066"/>
      <c r="I25" s="3066"/>
      <c r="L25" s="3172"/>
    </row>
    <row r="26" spans="2:12" ht="21" customHeight="1">
      <c r="B26" s="3050"/>
      <c r="E26" s="3168"/>
      <c r="F26" s="3179" t="s">
        <v>1648</v>
      </c>
      <c r="G26" s="3081"/>
      <c r="H26" s="3066"/>
      <c r="I26" s="3066"/>
      <c r="L26" s="3172"/>
    </row>
    <row r="27" spans="2:12" ht="21" customHeight="1">
      <c r="B27" s="63"/>
      <c r="E27" s="3168"/>
      <c r="F27" s="3169" t="s">
        <v>1649</v>
      </c>
      <c r="G27" s="3109"/>
      <c r="H27" s="3066"/>
      <c r="I27" s="3066"/>
      <c r="J27" s="3109"/>
      <c r="K27" s="3066"/>
      <c r="L27" s="3170"/>
    </row>
    <row r="28" spans="2:12" ht="21" customHeight="1">
      <c r="B28" s="63"/>
      <c r="E28" s="3168"/>
      <c r="F28" s="3171" t="s">
        <v>1650</v>
      </c>
      <c r="G28" s="3081"/>
      <c r="H28" s="3066"/>
      <c r="I28" s="3066"/>
      <c r="J28" s="3109"/>
      <c r="K28" s="3066"/>
      <c r="L28" s="3170"/>
    </row>
    <row r="29" spans="2:12" ht="21" customHeight="1">
      <c r="B29" s="3095"/>
      <c r="E29" s="3173"/>
      <c r="F29" s="3174"/>
      <c r="G29" s="3175"/>
      <c r="H29" s="3174"/>
      <c r="I29" s="3174"/>
      <c r="J29" s="3176"/>
      <c r="K29" s="3176"/>
      <c r="L29" s="3177"/>
    </row>
    <row r="30" spans="2:12" ht="21" customHeight="1">
      <c r="B30" s="3095"/>
    </row>
    <row r="31" spans="2:12" ht="21" customHeight="1">
      <c r="B31" s="3095"/>
    </row>
    <row r="32" spans="2:12" ht="21" customHeight="1">
      <c r="B32" s="3095"/>
    </row>
    <row r="33" spans="2:2" ht="21" customHeight="1">
      <c r="B33" s="3095"/>
    </row>
    <row r="34" spans="2:2" ht="21" customHeight="1">
      <c r="B34" s="3095"/>
    </row>
    <row r="35" spans="2:2" ht="21" customHeight="1">
      <c r="B35" s="3095"/>
    </row>
    <row r="36" spans="2:2" ht="21" customHeight="1">
      <c r="B36" s="3095"/>
    </row>
    <row r="37" spans="2:2" ht="21" customHeight="1">
      <c r="B37" s="3095"/>
    </row>
    <row r="38" spans="2:2" ht="21" customHeight="1">
      <c r="B38" s="3095"/>
    </row>
    <row r="39" spans="2:2" ht="21" customHeight="1">
      <c r="B39" s="3095"/>
    </row>
    <row r="40" spans="2:2" ht="21" customHeight="1">
      <c r="B40" s="3095"/>
    </row>
    <row r="41" spans="2:2" ht="21" customHeight="1">
      <c r="B41" s="3095"/>
    </row>
    <row r="42" spans="2:2" ht="12.75" customHeight="1">
      <c r="B42" s="3095"/>
    </row>
    <row r="43" spans="2:2" ht="12.75" customHeight="1">
      <c r="B43" s="3095"/>
    </row>
    <row r="44" spans="2:2" ht="12.75" customHeight="1">
      <c r="B44" s="3095"/>
    </row>
    <row r="45" spans="2:2" ht="12.75" customHeight="1">
      <c r="B45" s="3095"/>
    </row>
    <row r="46" spans="2:2" ht="12.75" customHeight="1">
      <c r="B46" s="3095"/>
    </row>
    <row r="47" spans="2:2" ht="12.75" customHeight="1">
      <c r="B47" s="3095"/>
    </row>
    <row r="48" spans="2:2" ht="12.75" customHeight="1">
      <c r="B48" s="3095"/>
    </row>
    <row r="49" spans="2:2" ht="12.75" customHeight="1">
      <c r="B49" s="3095"/>
    </row>
    <row r="50" spans="2:2" ht="12.75" customHeight="1">
      <c r="B50" s="3095"/>
    </row>
    <row r="51" spans="2:2" ht="12.75" customHeight="1">
      <c r="B51" s="3095"/>
    </row>
    <row r="52" spans="2:2" ht="12.75" customHeight="1">
      <c r="B52" s="3095"/>
    </row>
    <row r="53" spans="2:2" ht="12.75" customHeight="1">
      <c r="B53" s="3095"/>
    </row>
    <row r="54" spans="2:2" ht="12.75" customHeight="1">
      <c r="B54" s="3095"/>
    </row>
    <row r="55" spans="2:2" ht="12.75" customHeight="1">
      <c r="B55" s="3095"/>
    </row>
    <row r="56" spans="2:2">
      <c r="B56" s="3095"/>
    </row>
    <row r="57" spans="2:2">
      <c r="B57" s="3095"/>
    </row>
    <row r="58" spans="2:2" ht="15.75" customHeight="1">
      <c r="B58" s="3095"/>
    </row>
    <row r="59" spans="2:2">
      <c r="B59" s="3095"/>
    </row>
    <row r="60" spans="2:2">
      <c r="B60" s="3095"/>
    </row>
    <row r="61" spans="2:2" ht="12.75" customHeight="1">
      <c r="B61" s="3095"/>
    </row>
    <row r="62" spans="2:2" ht="12.75" customHeight="1">
      <c r="B62" s="3095"/>
    </row>
    <row r="63" spans="2:2" ht="12.75" customHeight="1">
      <c r="B63" s="3095"/>
    </row>
    <row r="64" spans="2:2" ht="12.75" customHeight="1">
      <c r="B64" s="3095"/>
    </row>
    <row r="65" spans="2:2" ht="12.75" customHeight="1">
      <c r="B65" s="3095"/>
    </row>
    <row r="66" spans="2:2" ht="12.75" customHeight="1">
      <c r="B66" s="3095"/>
    </row>
    <row r="67" spans="2:2" ht="12.75" customHeight="1">
      <c r="B67" s="3095"/>
    </row>
    <row r="68" spans="2:2" ht="12.75" customHeight="1">
      <c r="B68" s="3095"/>
    </row>
    <row r="69" spans="2:2" ht="12.75" customHeight="1">
      <c r="B69" s="3095"/>
    </row>
    <row r="70" spans="2:2" ht="12.75" customHeight="1">
      <c r="B70" s="3095"/>
    </row>
    <row r="71" spans="2:2" ht="12.75" customHeight="1">
      <c r="B71" s="3095"/>
    </row>
    <row r="72" spans="2:2" ht="12.75" customHeight="1">
      <c r="B72" s="3095"/>
    </row>
    <row r="73" spans="2:2" ht="12.75" customHeight="1">
      <c r="B73" s="3095"/>
    </row>
    <row r="74" spans="2:2" ht="12.75" customHeight="1">
      <c r="B74" s="3095"/>
    </row>
    <row r="75" spans="2:2" ht="12.75" customHeight="1">
      <c r="B75" s="3095"/>
    </row>
    <row r="76" spans="2:2" ht="12.75" customHeight="1">
      <c r="B76" s="3095"/>
    </row>
    <row r="77" spans="2:2" ht="12.75" customHeight="1">
      <c r="B77" s="3095"/>
    </row>
    <row r="78" spans="2:2" ht="12.75" customHeight="1">
      <c r="B78" s="3095"/>
    </row>
    <row r="79" spans="2:2" ht="12.75" customHeight="1">
      <c r="B79" s="3095"/>
    </row>
    <row r="80" spans="2:2" ht="12.75" customHeight="1">
      <c r="B80" s="3095"/>
    </row>
    <row r="81" spans="2:2" ht="12.75" customHeight="1">
      <c r="B81" s="3095"/>
    </row>
    <row r="82" spans="2:2" ht="12.75" customHeight="1">
      <c r="B82" s="3095"/>
    </row>
    <row r="83" spans="2:2" ht="12.75" customHeight="1">
      <c r="B83" s="3095"/>
    </row>
    <row r="84" spans="2:2" ht="12.75" customHeight="1">
      <c r="B84" s="3095"/>
    </row>
    <row r="85" spans="2:2" ht="12.75" customHeight="1">
      <c r="B85" s="3095"/>
    </row>
    <row r="86" spans="2:2" ht="12.75" customHeight="1">
      <c r="B86" s="3095"/>
    </row>
    <row r="87" spans="2:2" ht="12.75" customHeight="1">
      <c r="B87" s="3095"/>
    </row>
    <row r="88" spans="2:2" ht="12.75" customHeight="1">
      <c r="B88" s="3095"/>
    </row>
    <row r="89" spans="2:2" ht="12.75" customHeight="1">
      <c r="B89" s="3095"/>
    </row>
    <row r="90" spans="2:2" ht="12.75" customHeight="1">
      <c r="B90" s="3095"/>
    </row>
    <row r="91" spans="2:2" ht="12.75" customHeight="1">
      <c r="B91" s="3095"/>
    </row>
    <row r="92" spans="2:2" ht="12.75" customHeight="1">
      <c r="B92" s="3095"/>
    </row>
    <row r="93" spans="2:2" ht="12.75" customHeight="1">
      <c r="B93" s="3095"/>
    </row>
    <row r="94" spans="2:2" ht="12.75" customHeight="1">
      <c r="B94" s="3095"/>
    </row>
    <row r="95" spans="2:2" ht="12.75" customHeight="1">
      <c r="B95" s="3095"/>
    </row>
    <row r="96" spans="2:2" ht="12.75" customHeight="1">
      <c r="B96" s="3095"/>
    </row>
    <row r="97" spans="2:2" ht="12.75" customHeight="1">
      <c r="B97" s="3095"/>
    </row>
    <row r="98" spans="2:2" ht="12.75" customHeight="1">
      <c r="B98" s="3095"/>
    </row>
    <row r="99" spans="2:2" ht="12.75" customHeight="1">
      <c r="B99" s="3095"/>
    </row>
    <row r="100" spans="2:2" ht="12.75" customHeight="1">
      <c r="B100" s="3095"/>
    </row>
    <row r="101" spans="2:2" ht="12.75" customHeight="1">
      <c r="B101" s="3095"/>
    </row>
    <row r="102" spans="2:2" ht="12.75" customHeight="1">
      <c r="B102" s="3095"/>
    </row>
    <row r="103" spans="2:2" ht="12.75" customHeight="1">
      <c r="B103" s="3095"/>
    </row>
    <row r="104" spans="2:2" ht="12.75" customHeight="1">
      <c r="B104" s="3095"/>
    </row>
    <row r="105" spans="2:2" ht="12.75" customHeight="1">
      <c r="B105" s="3095"/>
    </row>
    <row r="106" spans="2:2" ht="12.75" customHeight="1">
      <c r="B106" s="3095"/>
    </row>
    <row r="107" spans="2:2" ht="12.75" customHeight="1">
      <c r="B107" s="3095"/>
    </row>
    <row r="108" spans="2:2" ht="12.75" customHeight="1"/>
    <row r="109" spans="2:2" ht="12.75" customHeight="1"/>
    <row r="110" spans="2:2" ht="12.75" customHeight="1"/>
    <row r="111" spans="2:2" ht="12.75" customHeight="1"/>
  </sheetData>
  <mergeCells count="6">
    <mergeCell ref="E22:L22"/>
    <mergeCell ref="B2:B3"/>
    <mergeCell ref="D2:M3"/>
    <mergeCell ref="E7:L7"/>
    <mergeCell ref="E8:L8"/>
    <mergeCell ref="E21:L21"/>
  </mergeCells>
  <hyperlinks>
    <hyperlink ref="B5" location="'Documents Manager'!A1" display="DOCUMENTS MANAGER" xr:uid="{0521FA80-888E-46F3-A7C4-862D6A18D312}"/>
    <hyperlink ref="B2:B3" location="Home!A1" display="HOME" xr:uid="{A0B26513-F9EE-43B4-B405-13AFA69990CC}"/>
    <hyperlink ref="B14" location="'Guidelines - Saybolt Manual'!A1" display="• Saybolt Inspection Manual" xr:uid="{BCE6FFDC-70DD-47DF-90A3-1A3E3DB437C3}"/>
    <hyperlink ref="B6" location="'ASTM Vol. XI - Tab.1'!A1" display="ASTM TABLES" xr:uid="{60F8EDCF-12B0-4977-941D-3B9D847D3787}"/>
    <hyperlink ref="B12" location="'Guidelines - Definitions'!A1" display="• Definitions" xr:uid="{9A66B5F4-6920-4115-BDF2-2F68AEC15C48}"/>
    <hyperlink ref="B25" location="Disclaimer!A1" display="Disclaimer" xr:uid="{A67B78A7-802D-4FA6-A76F-DE41AE84FAC6}"/>
    <hyperlink ref="B24" location="Help!A1" display="Help" xr:uid="{57E846E4-5722-4DDC-8C46-A84B55483A76}"/>
    <hyperlink ref="B22" location="'Source - Links'!A1" display="SOURCE / LINKS" xr:uid="{48142FFA-3F6C-47B5-AA52-5D4E4CEDAC69}"/>
    <hyperlink ref="B17" location="'Conversion Charts Metric'!A1" display="• Conversion Charts Metric system" xr:uid="{E20F1C72-2946-40F5-AAC3-9512FA8E09A1}"/>
    <hyperlink ref="B18" location="'Conversion Charts Barrel'!A1" display="• Conversion Charts Barrel system" xr:uid="{EE2C232F-E8A7-4A52-9903-FE144255E41B}"/>
    <hyperlink ref="B13" location="'Guidelines - Procedure of Calc'!A1" display="• Procedure of Calculations" xr:uid="{86E57DF2-5155-487A-AED2-39FBDCB6B14B}"/>
    <hyperlink ref="B7" location="'ASTM Converter (Tab.1)'!A1" display="ASTM - CONVERTERS" xr:uid="{0AC547BD-4CC1-466D-9730-FCF95FBFF24F}"/>
    <hyperlink ref="B16" location="'Which tables to use When'!A1" display="• Chart Which tables to use When" xr:uid="{8E57ED0F-B56F-406F-AFFD-A808F4780F5D}"/>
    <hyperlink ref="B19" location="'Conversion Charts Mass &amp; Weight'!A1" display="• Conversion Charts Mass &amp; Weight" xr:uid="{B4C7F29F-794F-47DF-A2BE-C467E0F969ED}"/>
    <hyperlink ref="B15" location="'ASTM Formulas'!A1" display="• ASTM Formulas" xr:uid="{C8F230D7-92FD-4AAB-AE98-C916F47AFFB9}"/>
    <hyperlink ref="B20" location="'Outturn Charts'!A1" display="• Outturn Charts" xr:uid="{CBAF05DA-EA3C-4376-BAC9-9DEEDEAE8685}"/>
    <hyperlink ref="B8" location="'ASTM Calculator V.W.'!A1" display="ASTM - CALCULATORS" xr:uid="{0A59AD45-BC36-4B74-B271-50C8D537C696}"/>
    <hyperlink ref="B11" location="'Guidelines - Definitions'!A1" display="GUIDELINES" xr:uid="{DE4F4B72-3550-49E6-ABA8-57ECB2E0D8C6}"/>
    <hyperlink ref="B21" location="'Guidelines - Bottom Lines'!A1" display="GUIDELINES - CARGO" xr:uid="{0AA6FC0C-8C1B-4C33-A7AB-C298D1A14D7E}"/>
    <hyperlink ref="B9" location="'Initial&amp;Max. Loading Rate'!A1" display="CARGO - CALCULATORS" xr:uid="{051814C8-42E5-4C59-B9FA-8BBF527FE1AC}"/>
  </hyperlinks>
  <pageMargins left="0.39370078740157483" right="0.39370078740157483" top="0.39370078740157483" bottom="0.39370078740157483" header="0.51181102362204722" footer="0.51181102362204722"/>
  <pageSetup paperSize="9" scale="86" orientation="portrait" horizontalDpi="4294967294"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B164-B120-4599-BDE8-8BF052ECBD40}">
  <sheetPr>
    <tabColor rgb="FF008080"/>
  </sheetPr>
  <dimension ref="A1:IV109"/>
  <sheetViews>
    <sheetView showGridLines="0" showRowColHeaders="0" topLeftCell="B1" workbookViewId="0">
      <selection activeCell="B2" sqref="B2:B3"/>
    </sheetView>
  </sheetViews>
  <sheetFormatPr defaultColWidth="9.1328125" defaultRowHeight="12.75"/>
  <cols>
    <col min="1" max="1" width="0" style="148" hidden="1" customWidth="1"/>
    <col min="2" max="2" width="36.6640625" style="144" customWidth="1"/>
    <col min="3" max="3" width="2.6640625" style="148" customWidth="1"/>
    <col min="4" max="4" width="32.6640625" style="148" customWidth="1"/>
    <col min="5" max="5" width="27" style="148" customWidth="1"/>
    <col min="6" max="7" width="9.1328125" style="148" customWidth="1"/>
    <col min="8" max="8" width="5" style="148" customWidth="1"/>
    <col min="9" max="10" width="9.1328125" style="148" customWidth="1"/>
    <col min="11" max="11" width="10.53125" style="148" customWidth="1"/>
    <col min="12" max="256" width="9.1328125" style="148"/>
    <col min="257" max="257" width="0" style="148" hidden="1" customWidth="1"/>
    <col min="258" max="258" width="43.46484375" style="148" customWidth="1"/>
    <col min="259" max="259" width="3.6640625" style="148" customWidth="1"/>
    <col min="260" max="260" width="32.6640625" style="148" customWidth="1"/>
    <col min="261" max="261" width="27" style="148" customWidth="1"/>
    <col min="262" max="263" width="9.1328125" style="148" customWidth="1"/>
    <col min="264" max="264" width="5" style="148" customWidth="1"/>
    <col min="265" max="266" width="9.1328125" style="148" customWidth="1"/>
    <col min="267" max="267" width="10.53125" style="148" customWidth="1"/>
    <col min="268" max="512" width="9.1328125" style="148"/>
    <col min="513" max="513" width="0" style="148" hidden="1" customWidth="1"/>
    <col min="514" max="514" width="43.46484375" style="148" customWidth="1"/>
    <col min="515" max="515" width="3.6640625" style="148" customWidth="1"/>
    <col min="516" max="516" width="32.6640625" style="148" customWidth="1"/>
    <col min="517" max="517" width="27" style="148" customWidth="1"/>
    <col min="518" max="519" width="9.1328125" style="148" customWidth="1"/>
    <col min="520" max="520" width="5" style="148" customWidth="1"/>
    <col min="521" max="522" width="9.1328125" style="148" customWidth="1"/>
    <col min="523" max="523" width="10.53125" style="148" customWidth="1"/>
    <col min="524" max="768" width="9.1328125" style="148"/>
    <col min="769" max="769" width="0" style="148" hidden="1" customWidth="1"/>
    <col min="770" max="770" width="43.46484375" style="148" customWidth="1"/>
    <col min="771" max="771" width="3.6640625" style="148" customWidth="1"/>
    <col min="772" max="772" width="32.6640625" style="148" customWidth="1"/>
    <col min="773" max="773" width="27" style="148" customWidth="1"/>
    <col min="774" max="775" width="9.1328125" style="148" customWidth="1"/>
    <col min="776" max="776" width="5" style="148" customWidth="1"/>
    <col min="777" max="778" width="9.1328125" style="148" customWidth="1"/>
    <col min="779" max="779" width="10.53125" style="148" customWidth="1"/>
    <col min="780" max="1024" width="9.1328125" style="148"/>
    <col min="1025" max="1025" width="0" style="148" hidden="1" customWidth="1"/>
    <col min="1026" max="1026" width="43.46484375" style="148" customWidth="1"/>
    <col min="1027" max="1027" width="3.6640625" style="148" customWidth="1"/>
    <col min="1028" max="1028" width="32.6640625" style="148" customWidth="1"/>
    <col min="1029" max="1029" width="27" style="148" customWidth="1"/>
    <col min="1030" max="1031" width="9.1328125" style="148" customWidth="1"/>
    <col min="1032" max="1032" width="5" style="148" customWidth="1"/>
    <col min="1033" max="1034" width="9.1328125" style="148" customWidth="1"/>
    <col min="1035" max="1035" width="10.53125" style="148" customWidth="1"/>
    <col min="1036" max="1280" width="9.1328125" style="148"/>
    <col min="1281" max="1281" width="0" style="148" hidden="1" customWidth="1"/>
    <col min="1282" max="1282" width="43.46484375" style="148" customWidth="1"/>
    <col min="1283" max="1283" width="3.6640625" style="148" customWidth="1"/>
    <col min="1284" max="1284" width="32.6640625" style="148" customWidth="1"/>
    <col min="1285" max="1285" width="27" style="148" customWidth="1"/>
    <col min="1286" max="1287" width="9.1328125" style="148" customWidth="1"/>
    <col min="1288" max="1288" width="5" style="148" customWidth="1"/>
    <col min="1289" max="1290" width="9.1328125" style="148" customWidth="1"/>
    <col min="1291" max="1291" width="10.53125" style="148" customWidth="1"/>
    <col min="1292" max="1536" width="9.1328125" style="148"/>
    <col min="1537" max="1537" width="0" style="148" hidden="1" customWidth="1"/>
    <col min="1538" max="1538" width="43.46484375" style="148" customWidth="1"/>
    <col min="1539" max="1539" width="3.6640625" style="148" customWidth="1"/>
    <col min="1540" max="1540" width="32.6640625" style="148" customWidth="1"/>
    <col min="1541" max="1541" width="27" style="148" customWidth="1"/>
    <col min="1542" max="1543" width="9.1328125" style="148" customWidth="1"/>
    <col min="1544" max="1544" width="5" style="148" customWidth="1"/>
    <col min="1545" max="1546" width="9.1328125" style="148" customWidth="1"/>
    <col min="1547" max="1547" width="10.53125" style="148" customWidth="1"/>
    <col min="1548" max="1792" width="9.1328125" style="148"/>
    <col min="1793" max="1793" width="0" style="148" hidden="1" customWidth="1"/>
    <col min="1794" max="1794" width="43.46484375" style="148" customWidth="1"/>
    <col min="1795" max="1795" width="3.6640625" style="148" customWidth="1"/>
    <col min="1796" max="1796" width="32.6640625" style="148" customWidth="1"/>
    <col min="1797" max="1797" width="27" style="148" customWidth="1"/>
    <col min="1798" max="1799" width="9.1328125" style="148" customWidth="1"/>
    <col min="1800" max="1800" width="5" style="148" customWidth="1"/>
    <col min="1801" max="1802" width="9.1328125" style="148" customWidth="1"/>
    <col min="1803" max="1803" width="10.53125" style="148" customWidth="1"/>
    <col min="1804" max="2048" width="9.1328125" style="148"/>
    <col min="2049" max="2049" width="0" style="148" hidden="1" customWidth="1"/>
    <col min="2050" max="2050" width="43.46484375" style="148" customWidth="1"/>
    <col min="2051" max="2051" width="3.6640625" style="148" customWidth="1"/>
    <col min="2052" max="2052" width="32.6640625" style="148" customWidth="1"/>
    <col min="2053" max="2053" width="27" style="148" customWidth="1"/>
    <col min="2054" max="2055" width="9.1328125" style="148" customWidth="1"/>
    <col min="2056" max="2056" width="5" style="148" customWidth="1"/>
    <col min="2057" max="2058" width="9.1328125" style="148" customWidth="1"/>
    <col min="2059" max="2059" width="10.53125" style="148" customWidth="1"/>
    <col min="2060" max="2304" width="9.1328125" style="148"/>
    <col min="2305" max="2305" width="0" style="148" hidden="1" customWidth="1"/>
    <col min="2306" max="2306" width="43.46484375" style="148" customWidth="1"/>
    <col min="2307" max="2307" width="3.6640625" style="148" customWidth="1"/>
    <col min="2308" max="2308" width="32.6640625" style="148" customWidth="1"/>
    <col min="2309" max="2309" width="27" style="148" customWidth="1"/>
    <col min="2310" max="2311" width="9.1328125" style="148" customWidth="1"/>
    <col min="2312" max="2312" width="5" style="148" customWidth="1"/>
    <col min="2313" max="2314" width="9.1328125" style="148" customWidth="1"/>
    <col min="2315" max="2315" width="10.53125" style="148" customWidth="1"/>
    <col min="2316" max="2560" width="9.1328125" style="148"/>
    <col min="2561" max="2561" width="0" style="148" hidden="1" customWidth="1"/>
    <col min="2562" max="2562" width="43.46484375" style="148" customWidth="1"/>
    <col min="2563" max="2563" width="3.6640625" style="148" customWidth="1"/>
    <col min="2564" max="2564" width="32.6640625" style="148" customWidth="1"/>
    <col min="2565" max="2565" width="27" style="148" customWidth="1"/>
    <col min="2566" max="2567" width="9.1328125" style="148" customWidth="1"/>
    <col min="2568" max="2568" width="5" style="148" customWidth="1"/>
    <col min="2569" max="2570" width="9.1328125" style="148" customWidth="1"/>
    <col min="2571" max="2571" width="10.53125" style="148" customWidth="1"/>
    <col min="2572" max="2816" width="9.1328125" style="148"/>
    <col min="2817" max="2817" width="0" style="148" hidden="1" customWidth="1"/>
    <col min="2818" max="2818" width="43.46484375" style="148" customWidth="1"/>
    <col min="2819" max="2819" width="3.6640625" style="148" customWidth="1"/>
    <col min="2820" max="2820" width="32.6640625" style="148" customWidth="1"/>
    <col min="2821" max="2821" width="27" style="148" customWidth="1"/>
    <col min="2822" max="2823" width="9.1328125" style="148" customWidth="1"/>
    <col min="2824" max="2824" width="5" style="148" customWidth="1"/>
    <col min="2825" max="2826" width="9.1328125" style="148" customWidth="1"/>
    <col min="2827" max="2827" width="10.53125" style="148" customWidth="1"/>
    <col min="2828" max="3072" width="9.1328125" style="148"/>
    <col min="3073" max="3073" width="0" style="148" hidden="1" customWidth="1"/>
    <col min="3074" max="3074" width="43.46484375" style="148" customWidth="1"/>
    <col min="3075" max="3075" width="3.6640625" style="148" customWidth="1"/>
    <col min="3076" max="3076" width="32.6640625" style="148" customWidth="1"/>
    <col min="3077" max="3077" width="27" style="148" customWidth="1"/>
    <col min="3078" max="3079" width="9.1328125" style="148" customWidth="1"/>
    <col min="3080" max="3080" width="5" style="148" customWidth="1"/>
    <col min="3081" max="3082" width="9.1328125" style="148" customWidth="1"/>
    <col min="3083" max="3083" width="10.53125" style="148" customWidth="1"/>
    <col min="3084" max="3328" width="9.1328125" style="148"/>
    <col min="3329" max="3329" width="0" style="148" hidden="1" customWidth="1"/>
    <col min="3330" max="3330" width="43.46484375" style="148" customWidth="1"/>
    <col min="3331" max="3331" width="3.6640625" style="148" customWidth="1"/>
    <col min="3332" max="3332" width="32.6640625" style="148" customWidth="1"/>
    <col min="3333" max="3333" width="27" style="148" customWidth="1"/>
    <col min="3334" max="3335" width="9.1328125" style="148" customWidth="1"/>
    <col min="3336" max="3336" width="5" style="148" customWidth="1"/>
    <col min="3337" max="3338" width="9.1328125" style="148" customWidth="1"/>
    <col min="3339" max="3339" width="10.53125" style="148" customWidth="1"/>
    <col min="3340" max="3584" width="9.1328125" style="148"/>
    <col min="3585" max="3585" width="0" style="148" hidden="1" customWidth="1"/>
    <col min="3586" max="3586" width="43.46484375" style="148" customWidth="1"/>
    <col min="3587" max="3587" width="3.6640625" style="148" customWidth="1"/>
    <col min="3588" max="3588" width="32.6640625" style="148" customWidth="1"/>
    <col min="3589" max="3589" width="27" style="148" customWidth="1"/>
    <col min="3590" max="3591" width="9.1328125" style="148" customWidth="1"/>
    <col min="3592" max="3592" width="5" style="148" customWidth="1"/>
    <col min="3593" max="3594" width="9.1328125" style="148" customWidth="1"/>
    <col min="3595" max="3595" width="10.53125" style="148" customWidth="1"/>
    <col min="3596" max="3840" width="9.1328125" style="148"/>
    <col min="3841" max="3841" width="0" style="148" hidden="1" customWidth="1"/>
    <col min="3842" max="3842" width="43.46484375" style="148" customWidth="1"/>
    <col min="3843" max="3843" width="3.6640625" style="148" customWidth="1"/>
    <col min="3844" max="3844" width="32.6640625" style="148" customWidth="1"/>
    <col min="3845" max="3845" width="27" style="148" customWidth="1"/>
    <col min="3846" max="3847" width="9.1328125" style="148" customWidth="1"/>
    <col min="3848" max="3848" width="5" style="148" customWidth="1"/>
    <col min="3849" max="3850" width="9.1328125" style="148" customWidth="1"/>
    <col min="3851" max="3851" width="10.53125" style="148" customWidth="1"/>
    <col min="3852" max="4096" width="9.1328125" style="148"/>
    <col min="4097" max="4097" width="0" style="148" hidden="1" customWidth="1"/>
    <col min="4098" max="4098" width="43.46484375" style="148" customWidth="1"/>
    <col min="4099" max="4099" width="3.6640625" style="148" customWidth="1"/>
    <col min="4100" max="4100" width="32.6640625" style="148" customWidth="1"/>
    <col min="4101" max="4101" width="27" style="148" customWidth="1"/>
    <col min="4102" max="4103" width="9.1328125" style="148" customWidth="1"/>
    <col min="4104" max="4104" width="5" style="148" customWidth="1"/>
    <col min="4105" max="4106" width="9.1328125" style="148" customWidth="1"/>
    <col min="4107" max="4107" width="10.53125" style="148" customWidth="1"/>
    <col min="4108" max="4352" width="9.1328125" style="148"/>
    <col min="4353" max="4353" width="0" style="148" hidden="1" customWidth="1"/>
    <col min="4354" max="4354" width="43.46484375" style="148" customWidth="1"/>
    <col min="4355" max="4355" width="3.6640625" style="148" customWidth="1"/>
    <col min="4356" max="4356" width="32.6640625" style="148" customWidth="1"/>
    <col min="4357" max="4357" width="27" style="148" customWidth="1"/>
    <col min="4358" max="4359" width="9.1328125" style="148" customWidth="1"/>
    <col min="4360" max="4360" width="5" style="148" customWidth="1"/>
    <col min="4361" max="4362" width="9.1328125" style="148" customWidth="1"/>
    <col min="4363" max="4363" width="10.53125" style="148" customWidth="1"/>
    <col min="4364" max="4608" width="9.1328125" style="148"/>
    <col min="4609" max="4609" width="0" style="148" hidden="1" customWidth="1"/>
    <col min="4610" max="4610" width="43.46484375" style="148" customWidth="1"/>
    <col min="4611" max="4611" width="3.6640625" style="148" customWidth="1"/>
    <col min="4612" max="4612" width="32.6640625" style="148" customWidth="1"/>
    <col min="4613" max="4613" width="27" style="148" customWidth="1"/>
    <col min="4614" max="4615" width="9.1328125" style="148" customWidth="1"/>
    <col min="4616" max="4616" width="5" style="148" customWidth="1"/>
    <col min="4617" max="4618" width="9.1328125" style="148" customWidth="1"/>
    <col min="4619" max="4619" width="10.53125" style="148" customWidth="1"/>
    <col min="4620" max="4864" width="9.1328125" style="148"/>
    <col min="4865" max="4865" width="0" style="148" hidden="1" customWidth="1"/>
    <col min="4866" max="4866" width="43.46484375" style="148" customWidth="1"/>
    <col min="4867" max="4867" width="3.6640625" style="148" customWidth="1"/>
    <col min="4868" max="4868" width="32.6640625" style="148" customWidth="1"/>
    <col min="4869" max="4869" width="27" style="148" customWidth="1"/>
    <col min="4870" max="4871" width="9.1328125" style="148" customWidth="1"/>
    <col min="4872" max="4872" width="5" style="148" customWidth="1"/>
    <col min="4873" max="4874" width="9.1328125" style="148" customWidth="1"/>
    <col min="4875" max="4875" width="10.53125" style="148" customWidth="1"/>
    <col min="4876" max="5120" width="9.1328125" style="148"/>
    <col min="5121" max="5121" width="0" style="148" hidden="1" customWidth="1"/>
    <col min="5122" max="5122" width="43.46484375" style="148" customWidth="1"/>
    <col min="5123" max="5123" width="3.6640625" style="148" customWidth="1"/>
    <col min="5124" max="5124" width="32.6640625" style="148" customWidth="1"/>
    <col min="5125" max="5125" width="27" style="148" customWidth="1"/>
    <col min="5126" max="5127" width="9.1328125" style="148" customWidth="1"/>
    <col min="5128" max="5128" width="5" style="148" customWidth="1"/>
    <col min="5129" max="5130" width="9.1328125" style="148" customWidth="1"/>
    <col min="5131" max="5131" width="10.53125" style="148" customWidth="1"/>
    <col min="5132" max="5376" width="9.1328125" style="148"/>
    <col min="5377" max="5377" width="0" style="148" hidden="1" customWidth="1"/>
    <col min="5378" max="5378" width="43.46484375" style="148" customWidth="1"/>
    <col min="5379" max="5379" width="3.6640625" style="148" customWidth="1"/>
    <col min="5380" max="5380" width="32.6640625" style="148" customWidth="1"/>
    <col min="5381" max="5381" width="27" style="148" customWidth="1"/>
    <col min="5382" max="5383" width="9.1328125" style="148" customWidth="1"/>
    <col min="5384" max="5384" width="5" style="148" customWidth="1"/>
    <col min="5385" max="5386" width="9.1328125" style="148" customWidth="1"/>
    <col min="5387" max="5387" width="10.53125" style="148" customWidth="1"/>
    <col min="5388" max="5632" width="9.1328125" style="148"/>
    <col min="5633" max="5633" width="0" style="148" hidden="1" customWidth="1"/>
    <col min="5634" max="5634" width="43.46484375" style="148" customWidth="1"/>
    <col min="5635" max="5635" width="3.6640625" style="148" customWidth="1"/>
    <col min="5636" max="5636" width="32.6640625" style="148" customWidth="1"/>
    <col min="5637" max="5637" width="27" style="148" customWidth="1"/>
    <col min="5638" max="5639" width="9.1328125" style="148" customWidth="1"/>
    <col min="5640" max="5640" width="5" style="148" customWidth="1"/>
    <col min="5641" max="5642" width="9.1328125" style="148" customWidth="1"/>
    <col min="5643" max="5643" width="10.53125" style="148" customWidth="1"/>
    <col min="5644" max="5888" width="9.1328125" style="148"/>
    <col min="5889" max="5889" width="0" style="148" hidden="1" customWidth="1"/>
    <col min="5890" max="5890" width="43.46484375" style="148" customWidth="1"/>
    <col min="5891" max="5891" width="3.6640625" style="148" customWidth="1"/>
    <col min="5892" max="5892" width="32.6640625" style="148" customWidth="1"/>
    <col min="5893" max="5893" width="27" style="148" customWidth="1"/>
    <col min="5894" max="5895" width="9.1328125" style="148" customWidth="1"/>
    <col min="5896" max="5896" width="5" style="148" customWidth="1"/>
    <col min="5897" max="5898" width="9.1328125" style="148" customWidth="1"/>
    <col min="5899" max="5899" width="10.53125" style="148" customWidth="1"/>
    <col min="5900" max="6144" width="9.1328125" style="148"/>
    <col min="6145" max="6145" width="0" style="148" hidden="1" customWidth="1"/>
    <col min="6146" max="6146" width="43.46484375" style="148" customWidth="1"/>
    <col min="6147" max="6147" width="3.6640625" style="148" customWidth="1"/>
    <col min="6148" max="6148" width="32.6640625" style="148" customWidth="1"/>
    <col min="6149" max="6149" width="27" style="148" customWidth="1"/>
    <col min="6150" max="6151" width="9.1328125" style="148" customWidth="1"/>
    <col min="6152" max="6152" width="5" style="148" customWidth="1"/>
    <col min="6153" max="6154" width="9.1328125" style="148" customWidth="1"/>
    <col min="6155" max="6155" width="10.53125" style="148" customWidth="1"/>
    <col min="6156" max="6400" width="9.1328125" style="148"/>
    <col min="6401" max="6401" width="0" style="148" hidden="1" customWidth="1"/>
    <col min="6402" max="6402" width="43.46484375" style="148" customWidth="1"/>
    <col min="6403" max="6403" width="3.6640625" style="148" customWidth="1"/>
    <col min="6404" max="6404" width="32.6640625" style="148" customWidth="1"/>
    <col min="6405" max="6405" width="27" style="148" customWidth="1"/>
    <col min="6406" max="6407" width="9.1328125" style="148" customWidth="1"/>
    <col min="6408" max="6408" width="5" style="148" customWidth="1"/>
    <col min="6409" max="6410" width="9.1328125" style="148" customWidth="1"/>
    <col min="6411" max="6411" width="10.53125" style="148" customWidth="1"/>
    <col min="6412" max="6656" width="9.1328125" style="148"/>
    <col min="6657" max="6657" width="0" style="148" hidden="1" customWidth="1"/>
    <col min="6658" max="6658" width="43.46484375" style="148" customWidth="1"/>
    <col min="6659" max="6659" width="3.6640625" style="148" customWidth="1"/>
    <col min="6660" max="6660" width="32.6640625" style="148" customWidth="1"/>
    <col min="6661" max="6661" width="27" style="148" customWidth="1"/>
    <col min="6662" max="6663" width="9.1328125" style="148" customWidth="1"/>
    <col min="6664" max="6664" width="5" style="148" customWidth="1"/>
    <col min="6665" max="6666" width="9.1328125" style="148" customWidth="1"/>
    <col min="6667" max="6667" width="10.53125" style="148" customWidth="1"/>
    <col min="6668" max="6912" width="9.1328125" style="148"/>
    <col min="6913" max="6913" width="0" style="148" hidden="1" customWidth="1"/>
    <col min="6914" max="6914" width="43.46484375" style="148" customWidth="1"/>
    <col min="6915" max="6915" width="3.6640625" style="148" customWidth="1"/>
    <col min="6916" max="6916" width="32.6640625" style="148" customWidth="1"/>
    <col min="6917" max="6917" width="27" style="148" customWidth="1"/>
    <col min="6918" max="6919" width="9.1328125" style="148" customWidth="1"/>
    <col min="6920" max="6920" width="5" style="148" customWidth="1"/>
    <col min="6921" max="6922" width="9.1328125" style="148" customWidth="1"/>
    <col min="6923" max="6923" width="10.53125" style="148" customWidth="1"/>
    <col min="6924" max="7168" width="9.1328125" style="148"/>
    <col min="7169" max="7169" width="0" style="148" hidden="1" customWidth="1"/>
    <col min="7170" max="7170" width="43.46484375" style="148" customWidth="1"/>
    <col min="7171" max="7171" width="3.6640625" style="148" customWidth="1"/>
    <col min="7172" max="7172" width="32.6640625" style="148" customWidth="1"/>
    <col min="7173" max="7173" width="27" style="148" customWidth="1"/>
    <col min="7174" max="7175" width="9.1328125" style="148" customWidth="1"/>
    <col min="7176" max="7176" width="5" style="148" customWidth="1"/>
    <col min="7177" max="7178" width="9.1328125" style="148" customWidth="1"/>
    <col min="7179" max="7179" width="10.53125" style="148" customWidth="1"/>
    <col min="7180" max="7424" width="9.1328125" style="148"/>
    <col min="7425" max="7425" width="0" style="148" hidden="1" customWidth="1"/>
    <col min="7426" max="7426" width="43.46484375" style="148" customWidth="1"/>
    <col min="7427" max="7427" width="3.6640625" style="148" customWidth="1"/>
    <col min="7428" max="7428" width="32.6640625" style="148" customWidth="1"/>
    <col min="7429" max="7429" width="27" style="148" customWidth="1"/>
    <col min="7430" max="7431" width="9.1328125" style="148" customWidth="1"/>
    <col min="7432" max="7432" width="5" style="148" customWidth="1"/>
    <col min="7433" max="7434" width="9.1328125" style="148" customWidth="1"/>
    <col min="7435" max="7435" width="10.53125" style="148" customWidth="1"/>
    <col min="7436" max="7680" width="9.1328125" style="148"/>
    <col min="7681" max="7681" width="0" style="148" hidden="1" customWidth="1"/>
    <col min="7682" max="7682" width="43.46484375" style="148" customWidth="1"/>
    <col min="7683" max="7683" width="3.6640625" style="148" customWidth="1"/>
    <col min="7684" max="7684" width="32.6640625" style="148" customWidth="1"/>
    <col min="7685" max="7685" width="27" style="148" customWidth="1"/>
    <col min="7686" max="7687" width="9.1328125" style="148" customWidth="1"/>
    <col min="7688" max="7688" width="5" style="148" customWidth="1"/>
    <col min="7689" max="7690" width="9.1328125" style="148" customWidth="1"/>
    <col min="7691" max="7691" width="10.53125" style="148" customWidth="1"/>
    <col min="7692" max="7936" width="9.1328125" style="148"/>
    <col min="7937" max="7937" width="0" style="148" hidden="1" customWidth="1"/>
    <col min="7938" max="7938" width="43.46484375" style="148" customWidth="1"/>
    <col min="7939" max="7939" width="3.6640625" style="148" customWidth="1"/>
    <col min="7940" max="7940" width="32.6640625" style="148" customWidth="1"/>
    <col min="7941" max="7941" width="27" style="148" customWidth="1"/>
    <col min="7942" max="7943" width="9.1328125" style="148" customWidth="1"/>
    <col min="7944" max="7944" width="5" style="148" customWidth="1"/>
    <col min="7945" max="7946" width="9.1328125" style="148" customWidth="1"/>
    <col min="7947" max="7947" width="10.53125" style="148" customWidth="1"/>
    <col min="7948" max="8192" width="9.1328125" style="148"/>
    <col min="8193" max="8193" width="0" style="148" hidden="1" customWidth="1"/>
    <col min="8194" max="8194" width="43.46484375" style="148" customWidth="1"/>
    <col min="8195" max="8195" width="3.6640625" style="148" customWidth="1"/>
    <col min="8196" max="8196" width="32.6640625" style="148" customWidth="1"/>
    <col min="8197" max="8197" width="27" style="148" customWidth="1"/>
    <col min="8198" max="8199" width="9.1328125" style="148" customWidth="1"/>
    <col min="8200" max="8200" width="5" style="148" customWidth="1"/>
    <col min="8201" max="8202" width="9.1328125" style="148" customWidth="1"/>
    <col min="8203" max="8203" width="10.53125" style="148" customWidth="1"/>
    <col min="8204" max="8448" width="9.1328125" style="148"/>
    <col min="8449" max="8449" width="0" style="148" hidden="1" customWidth="1"/>
    <col min="8450" max="8450" width="43.46484375" style="148" customWidth="1"/>
    <col min="8451" max="8451" width="3.6640625" style="148" customWidth="1"/>
    <col min="8452" max="8452" width="32.6640625" style="148" customWidth="1"/>
    <col min="8453" max="8453" width="27" style="148" customWidth="1"/>
    <col min="8454" max="8455" width="9.1328125" style="148" customWidth="1"/>
    <col min="8456" max="8456" width="5" style="148" customWidth="1"/>
    <col min="8457" max="8458" width="9.1328125" style="148" customWidth="1"/>
    <col min="8459" max="8459" width="10.53125" style="148" customWidth="1"/>
    <col min="8460" max="8704" width="9.1328125" style="148"/>
    <col min="8705" max="8705" width="0" style="148" hidden="1" customWidth="1"/>
    <col min="8706" max="8706" width="43.46484375" style="148" customWidth="1"/>
    <col min="8707" max="8707" width="3.6640625" style="148" customWidth="1"/>
    <col min="8708" max="8708" width="32.6640625" style="148" customWidth="1"/>
    <col min="8709" max="8709" width="27" style="148" customWidth="1"/>
    <col min="8710" max="8711" width="9.1328125" style="148" customWidth="1"/>
    <col min="8712" max="8712" width="5" style="148" customWidth="1"/>
    <col min="8713" max="8714" width="9.1328125" style="148" customWidth="1"/>
    <col min="8715" max="8715" width="10.53125" style="148" customWidth="1"/>
    <col min="8716" max="8960" width="9.1328125" style="148"/>
    <col min="8961" max="8961" width="0" style="148" hidden="1" customWidth="1"/>
    <col min="8962" max="8962" width="43.46484375" style="148" customWidth="1"/>
    <col min="8963" max="8963" width="3.6640625" style="148" customWidth="1"/>
    <col min="8964" max="8964" width="32.6640625" style="148" customWidth="1"/>
    <col min="8965" max="8965" width="27" style="148" customWidth="1"/>
    <col min="8966" max="8967" width="9.1328125" style="148" customWidth="1"/>
    <col min="8968" max="8968" width="5" style="148" customWidth="1"/>
    <col min="8969" max="8970" width="9.1328125" style="148" customWidth="1"/>
    <col min="8971" max="8971" width="10.53125" style="148" customWidth="1"/>
    <col min="8972" max="9216" width="9.1328125" style="148"/>
    <col min="9217" max="9217" width="0" style="148" hidden="1" customWidth="1"/>
    <col min="9218" max="9218" width="43.46484375" style="148" customWidth="1"/>
    <col min="9219" max="9219" width="3.6640625" style="148" customWidth="1"/>
    <col min="9220" max="9220" width="32.6640625" style="148" customWidth="1"/>
    <col min="9221" max="9221" width="27" style="148" customWidth="1"/>
    <col min="9222" max="9223" width="9.1328125" style="148" customWidth="1"/>
    <col min="9224" max="9224" width="5" style="148" customWidth="1"/>
    <col min="9225" max="9226" width="9.1328125" style="148" customWidth="1"/>
    <col min="9227" max="9227" width="10.53125" style="148" customWidth="1"/>
    <col min="9228" max="9472" width="9.1328125" style="148"/>
    <col min="9473" max="9473" width="0" style="148" hidden="1" customWidth="1"/>
    <col min="9474" max="9474" width="43.46484375" style="148" customWidth="1"/>
    <col min="9475" max="9475" width="3.6640625" style="148" customWidth="1"/>
    <col min="9476" max="9476" width="32.6640625" style="148" customWidth="1"/>
    <col min="9477" max="9477" width="27" style="148" customWidth="1"/>
    <col min="9478" max="9479" width="9.1328125" style="148" customWidth="1"/>
    <col min="9480" max="9480" width="5" style="148" customWidth="1"/>
    <col min="9481" max="9482" width="9.1328125" style="148" customWidth="1"/>
    <col min="9483" max="9483" width="10.53125" style="148" customWidth="1"/>
    <col min="9484" max="9728" width="9.1328125" style="148"/>
    <col min="9729" max="9729" width="0" style="148" hidden="1" customWidth="1"/>
    <col min="9730" max="9730" width="43.46484375" style="148" customWidth="1"/>
    <col min="9731" max="9731" width="3.6640625" style="148" customWidth="1"/>
    <col min="9732" max="9732" width="32.6640625" style="148" customWidth="1"/>
    <col min="9733" max="9733" width="27" style="148" customWidth="1"/>
    <col min="9734" max="9735" width="9.1328125" style="148" customWidth="1"/>
    <col min="9736" max="9736" width="5" style="148" customWidth="1"/>
    <col min="9737" max="9738" width="9.1328125" style="148" customWidth="1"/>
    <col min="9739" max="9739" width="10.53125" style="148" customWidth="1"/>
    <col min="9740" max="9984" width="9.1328125" style="148"/>
    <col min="9985" max="9985" width="0" style="148" hidden="1" customWidth="1"/>
    <col min="9986" max="9986" width="43.46484375" style="148" customWidth="1"/>
    <col min="9987" max="9987" width="3.6640625" style="148" customWidth="1"/>
    <col min="9988" max="9988" width="32.6640625" style="148" customWidth="1"/>
    <col min="9989" max="9989" width="27" style="148" customWidth="1"/>
    <col min="9990" max="9991" width="9.1328125" style="148" customWidth="1"/>
    <col min="9992" max="9992" width="5" style="148" customWidth="1"/>
    <col min="9993" max="9994" width="9.1328125" style="148" customWidth="1"/>
    <col min="9995" max="9995" width="10.53125" style="148" customWidth="1"/>
    <col min="9996" max="10240" width="9.1328125" style="148"/>
    <col min="10241" max="10241" width="0" style="148" hidden="1" customWidth="1"/>
    <col min="10242" max="10242" width="43.46484375" style="148" customWidth="1"/>
    <col min="10243" max="10243" width="3.6640625" style="148" customWidth="1"/>
    <col min="10244" max="10244" width="32.6640625" style="148" customWidth="1"/>
    <col min="10245" max="10245" width="27" style="148" customWidth="1"/>
    <col min="10246" max="10247" width="9.1328125" style="148" customWidth="1"/>
    <col min="10248" max="10248" width="5" style="148" customWidth="1"/>
    <col min="10249" max="10250" width="9.1328125" style="148" customWidth="1"/>
    <col min="10251" max="10251" width="10.53125" style="148" customWidth="1"/>
    <col min="10252" max="10496" width="9.1328125" style="148"/>
    <col min="10497" max="10497" width="0" style="148" hidden="1" customWidth="1"/>
    <col min="10498" max="10498" width="43.46484375" style="148" customWidth="1"/>
    <col min="10499" max="10499" width="3.6640625" style="148" customWidth="1"/>
    <col min="10500" max="10500" width="32.6640625" style="148" customWidth="1"/>
    <col min="10501" max="10501" width="27" style="148" customWidth="1"/>
    <col min="10502" max="10503" width="9.1328125" style="148" customWidth="1"/>
    <col min="10504" max="10504" width="5" style="148" customWidth="1"/>
    <col min="10505" max="10506" width="9.1328125" style="148" customWidth="1"/>
    <col min="10507" max="10507" width="10.53125" style="148" customWidth="1"/>
    <col min="10508" max="10752" width="9.1328125" style="148"/>
    <col min="10753" max="10753" width="0" style="148" hidden="1" customWidth="1"/>
    <col min="10754" max="10754" width="43.46484375" style="148" customWidth="1"/>
    <col min="10755" max="10755" width="3.6640625" style="148" customWidth="1"/>
    <col min="10756" max="10756" width="32.6640625" style="148" customWidth="1"/>
    <col min="10757" max="10757" width="27" style="148" customWidth="1"/>
    <col min="10758" max="10759" width="9.1328125" style="148" customWidth="1"/>
    <col min="10760" max="10760" width="5" style="148" customWidth="1"/>
    <col min="10761" max="10762" width="9.1328125" style="148" customWidth="1"/>
    <col min="10763" max="10763" width="10.53125" style="148" customWidth="1"/>
    <col min="10764" max="11008" width="9.1328125" style="148"/>
    <col min="11009" max="11009" width="0" style="148" hidden="1" customWidth="1"/>
    <col min="11010" max="11010" width="43.46484375" style="148" customWidth="1"/>
    <col min="11011" max="11011" width="3.6640625" style="148" customWidth="1"/>
    <col min="11012" max="11012" width="32.6640625" style="148" customWidth="1"/>
    <col min="11013" max="11013" width="27" style="148" customWidth="1"/>
    <col min="11014" max="11015" width="9.1328125" style="148" customWidth="1"/>
    <col min="11016" max="11016" width="5" style="148" customWidth="1"/>
    <col min="11017" max="11018" width="9.1328125" style="148" customWidth="1"/>
    <col min="11019" max="11019" width="10.53125" style="148" customWidth="1"/>
    <col min="11020" max="11264" width="9.1328125" style="148"/>
    <col min="11265" max="11265" width="0" style="148" hidden="1" customWidth="1"/>
    <col min="11266" max="11266" width="43.46484375" style="148" customWidth="1"/>
    <col min="11267" max="11267" width="3.6640625" style="148" customWidth="1"/>
    <col min="11268" max="11268" width="32.6640625" style="148" customWidth="1"/>
    <col min="11269" max="11269" width="27" style="148" customWidth="1"/>
    <col min="11270" max="11271" width="9.1328125" style="148" customWidth="1"/>
    <col min="11272" max="11272" width="5" style="148" customWidth="1"/>
    <col min="11273" max="11274" width="9.1328125" style="148" customWidth="1"/>
    <col min="11275" max="11275" width="10.53125" style="148" customWidth="1"/>
    <col min="11276" max="11520" width="9.1328125" style="148"/>
    <col min="11521" max="11521" width="0" style="148" hidden="1" customWidth="1"/>
    <col min="11522" max="11522" width="43.46484375" style="148" customWidth="1"/>
    <col min="11523" max="11523" width="3.6640625" style="148" customWidth="1"/>
    <col min="11524" max="11524" width="32.6640625" style="148" customWidth="1"/>
    <col min="11525" max="11525" width="27" style="148" customWidth="1"/>
    <col min="11526" max="11527" width="9.1328125" style="148" customWidth="1"/>
    <col min="11528" max="11528" width="5" style="148" customWidth="1"/>
    <col min="11529" max="11530" width="9.1328125" style="148" customWidth="1"/>
    <col min="11531" max="11531" width="10.53125" style="148" customWidth="1"/>
    <col min="11532" max="11776" width="9.1328125" style="148"/>
    <col min="11777" max="11777" width="0" style="148" hidden="1" customWidth="1"/>
    <col min="11778" max="11778" width="43.46484375" style="148" customWidth="1"/>
    <col min="11779" max="11779" width="3.6640625" style="148" customWidth="1"/>
    <col min="11780" max="11780" width="32.6640625" style="148" customWidth="1"/>
    <col min="11781" max="11781" width="27" style="148" customWidth="1"/>
    <col min="11782" max="11783" width="9.1328125" style="148" customWidth="1"/>
    <col min="11784" max="11784" width="5" style="148" customWidth="1"/>
    <col min="11785" max="11786" width="9.1328125" style="148" customWidth="1"/>
    <col min="11787" max="11787" width="10.53125" style="148" customWidth="1"/>
    <col min="11788" max="12032" width="9.1328125" style="148"/>
    <col min="12033" max="12033" width="0" style="148" hidden="1" customWidth="1"/>
    <col min="12034" max="12034" width="43.46484375" style="148" customWidth="1"/>
    <col min="12035" max="12035" width="3.6640625" style="148" customWidth="1"/>
    <col min="12036" max="12036" width="32.6640625" style="148" customWidth="1"/>
    <col min="12037" max="12037" width="27" style="148" customWidth="1"/>
    <col min="12038" max="12039" width="9.1328125" style="148" customWidth="1"/>
    <col min="12040" max="12040" width="5" style="148" customWidth="1"/>
    <col min="12041" max="12042" width="9.1328125" style="148" customWidth="1"/>
    <col min="12043" max="12043" width="10.53125" style="148" customWidth="1"/>
    <col min="12044" max="12288" width="9.1328125" style="148"/>
    <col min="12289" max="12289" width="0" style="148" hidden="1" customWidth="1"/>
    <col min="12290" max="12290" width="43.46484375" style="148" customWidth="1"/>
    <col min="12291" max="12291" width="3.6640625" style="148" customWidth="1"/>
    <col min="12292" max="12292" width="32.6640625" style="148" customWidth="1"/>
    <col min="12293" max="12293" width="27" style="148" customWidth="1"/>
    <col min="12294" max="12295" width="9.1328125" style="148" customWidth="1"/>
    <col min="12296" max="12296" width="5" style="148" customWidth="1"/>
    <col min="12297" max="12298" width="9.1328125" style="148" customWidth="1"/>
    <col min="12299" max="12299" width="10.53125" style="148" customWidth="1"/>
    <col min="12300" max="12544" width="9.1328125" style="148"/>
    <col min="12545" max="12545" width="0" style="148" hidden="1" customWidth="1"/>
    <col min="12546" max="12546" width="43.46484375" style="148" customWidth="1"/>
    <col min="12547" max="12547" width="3.6640625" style="148" customWidth="1"/>
    <col min="12548" max="12548" width="32.6640625" style="148" customWidth="1"/>
    <col min="12549" max="12549" width="27" style="148" customWidth="1"/>
    <col min="12550" max="12551" width="9.1328125" style="148" customWidth="1"/>
    <col min="12552" max="12552" width="5" style="148" customWidth="1"/>
    <col min="12553" max="12554" width="9.1328125" style="148" customWidth="1"/>
    <col min="12555" max="12555" width="10.53125" style="148" customWidth="1"/>
    <col min="12556" max="12800" width="9.1328125" style="148"/>
    <col min="12801" max="12801" width="0" style="148" hidden="1" customWidth="1"/>
    <col min="12802" max="12802" width="43.46484375" style="148" customWidth="1"/>
    <col min="12803" max="12803" width="3.6640625" style="148" customWidth="1"/>
    <col min="12804" max="12804" width="32.6640625" style="148" customWidth="1"/>
    <col min="12805" max="12805" width="27" style="148" customWidth="1"/>
    <col min="12806" max="12807" width="9.1328125" style="148" customWidth="1"/>
    <col min="12808" max="12808" width="5" style="148" customWidth="1"/>
    <col min="12809" max="12810" width="9.1328125" style="148" customWidth="1"/>
    <col min="12811" max="12811" width="10.53125" style="148" customWidth="1"/>
    <col min="12812" max="13056" width="9.1328125" style="148"/>
    <col min="13057" max="13057" width="0" style="148" hidden="1" customWidth="1"/>
    <col min="13058" max="13058" width="43.46484375" style="148" customWidth="1"/>
    <col min="13059" max="13059" width="3.6640625" style="148" customWidth="1"/>
    <col min="13060" max="13060" width="32.6640625" style="148" customWidth="1"/>
    <col min="13061" max="13061" width="27" style="148" customWidth="1"/>
    <col min="13062" max="13063" width="9.1328125" style="148" customWidth="1"/>
    <col min="13064" max="13064" width="5" style="148" customWidth="1"/>
    <col min="13065" max="13066" width="9.1328125" style="148" customWidth="1"/>
    <col min="13067" max="13067" width="10.53125" style="148" customWidth="1"/>
    <col min="13068" max="13312" width="9.1328125" style="148"/>
    <col min="13313" max="13313" width="0" style="148" hidden="1" customWidth="1"/>
    <col min="13314" max="13314" width="43.46484375" style="148" customWidth="1"/>
    <col min="13315" max="13315" width="3.6640625" style="148" customWidth="1"/>
    <col min="13316" max="13316" width="32.6640625" style="148" customWidth="1"/>
    <col min="13317" max="13317" width="27" style="148" customWidth="1"/>
    <col min="13318" max="13319" width="9.1328125" style="148" customWidth="1"/>
    <col min="13320" max="13320" width="5" style="148" customWidth="1"/>
    <col min="13321" max="13322" width="9.1328125" style="148" customWidth="1"/>
    <col min="13323" max="13323" width="10.53125" style="148" customWidth="1"/>
    <col min="13324" max="13568" width="9.1328125" style="148"/>
    <col min="13569" max="13569" width="0" style="148" hidden="1" customWidth="1"/>
    <col min="13570" max="13570" width="43.46484375" style="148" customWidth="1"/>
    <col min="13571" max="13571" width="3.6640625" style="148" customWidth="1"/>
    <col min="13572" max="13572" width="32.6640625" style="148" customWidth="1"/>
    <col min="13573" max="13573" width="27" style="148" customWidth="1"/>
    <col min="13574" max="13575" width="9.1328125" style="148" customWidth="1"/>
    <col min="13576" max="13576" width="5" style="148" customWidth="1"/>
    <col min="13577" max="13578" width="9.1328125" style="148" customWidth="1"/>
    <col min="13579" max="13579" width="10.53125" style="148" customWidth="1"/>
    <col min="13580" max="13824" width="9.1328125" style="148"/>
    <col min="13825" max="13825" width="0" style="148" hidden="1" customWidth="1"/>
    <col min="13826" max="13826" width="43.46484375" style="148" customWidth="1"/>
    <col min="13827" max="13827" width="3.6640625" style="148" customWidth="1"/>
    <col min="13828" max="13828" width="32.6640625" style="148" customWidth="1"/>
    <col min="13829" max="13829" width="27" style="148" customWidth="1"/>
    <col min="13830" max="13831" width="9.1328125" style="148" customWidth="1"/>
    <col min="13832" max="13832" width="5" style="148" customWidth="1"/>
    <col min="13833" max="13834" width="9.1328125" style="148" customWidth="1"/>
    <col min="13835" max="13835" width="10.53125" style="148" customWidth="1"/>
    <col min="13836" max="14080" width="9.1328125" style="148"/>
    <col min="14081" max="14081" width="0" style="148" hidden="1" customWidth="1"/>
    <col min="14082" max="14082" width="43.46484375" style="148" customWidth="1"/>
    <col min="14083" max="14083" width="3.6640625" style="148" customWidth="1"/>
    <col min="14084" max="14084" width="32.6640625" style="148" customWidth="1"/>
    <col min="14085" max="14085" width="27" style="148" customWidth="1"/>
    <col min="14086" max="14087" width="9.1328125" style="148" customWidth="1"/>
    <col min="14088" max="14088" width="5" style="148" customWidth="1"/>
    <col min="14089" max="14090" width="9.1328125" style="148" customWidth="1"/>
    <col min="14091" max="14091" width="10.53125" style="148" customWidth="1"/>
    <col min="14092" max="14336" width="9.1328125" style="148"/>
    <col min="14337" max="14337" width="0" style="148" hidden="1" customWidth="1"/>
    <col min="14338" max="14338" width="43.46484375" style="148" customWidth="1"/>
    <col min="14339" max="14339" width="3.6640625" style="148" customWidth="1"/>
    <col min="14340" max="14340" width="32.6640625" style="148" customWidth="1"/>
    <col min="14341" max="14341" width="27" style="148" customWidth="1"/>
    <col min="14342" max="14343" width="9.1328125" style="148" customWidth="1"/>
    <col min="14344" max="14344" width="5" style="148" customWidth="1"/>
    <col min="14345" max="14346" width="9.1328125" style="148" customWidth="1"/>
    <col min="14347" max="14347" width="10.53125" style="148" customWidth="1"/>
    <col min="14348" max="14592" width="9.1328125" style="148"/>
    <col min="14593" max="14593" width="0" style="148" hidden="1" customWidth="1"/>
    <col min="14594" max="14594" width="43.46484375" style="148" customWidth="1"/>
    <col min="14595" max="14595" width="3.6640625" style="148" customWidth="1"/>
    <col min="14596" max="14596" width="32.6640625" style="148" customWidth="1"/>
    <col min="14597" max="14597" width="27" style="148" customWidth="1"/>
    <col min="14598" max="14599" width="9.1328125" style="148" customWidth="1"/>
    <col min="14600" max="14600" width="5" style="148" customWidth="1"/>
    <col min="14601" max="14602" width="9.1328125" style="148" customWidth="1"/>
    <col min="14603" max="14603" width="10.53125" style="148" customWidth="1"/>
    <col min="14604" max="14848" width="9.1328125" style="148"/>
    <col min="14849" max="14849" width="0" style="148" hidden="1" customWidth="1"/>
    <col min="14850" max="14850" width="43.46484375" style="148" customWidth="1"/>
    <col min="14851" max="14851" width="3.6640625" style="148" customWidth="1"/>
    <col min="14852" max="14852" width="32.6640625" style="148" customWidth="1"/>
    <col min="14853" max="14853" width="27" style="148" customWidth="1"/>
    <col min="14854" max="14855" width="9.1328125" style="148" customWidth="1"/>
    <col min="14856" max="14856" width="5" style="148" customWidth="1"/>
    <col min="14857" max="14858" width="9.1328125" style="148" customWidth="1"/>
    <col min="14859" max="14859" width="10.53125" style="148" customWidth="1"/>
    <col min="14860" max="15104" width="9.1328125" style="148"/>
    <col min="15105" max="15105" width="0" style="148" hidden="1" customWidth="1"/>
    <col min="15106" max="15106" width="43.46484375" style="148" customWidth="1"/>
    <col min="15107" max="15107" width="3.6640625" style="148" customWidth="1"/>
    <col min="15108" max="15108" width="32.6640625" style="148" customWidth="1"/>
    <col min="15109" max="15109" width="27" style="148" customWidth="1"/>
    <col min="15110" max="15111" width="9.1328125" style="148" customWidth="1"/>
    <col min="15112" max="15112" width="5" style="148" customWidth="1"/>
    <col min="15113" max="15114" width="9.1328125" style="148" customWidth="1"/>
    <col min="15115" max="15115" width="10.53125" style="148" customWidth="1"/>
    <col min="15116" max="15360" width="9.1328125" style="148"/>
    <col min="15361" max="15361" width="0" style="148" hidden="1" customWidth="1"/>
    <col min="15362" max="15362" width="43.46484375" style="148" customWidth="1"/>
    <col min="15363" max="15363" width="3.6640625" style="148" customWidth="1"/>
    <col min="15364" max="15364" width="32.6640625" style="148" customWidth="1"/>
    <col min="15365" max="15365" width="27" style="148" customWidth="1"/>
    <col min="15366" max="15367" width="9.1328125" style="148" customWidth="1"/>
    <col min="15368" max="15368" width="5" style="148" customWidth="1"/>
    <col min="15369" max="15370" width="9.1328125" style="148" customWidth="1"/>
    <col min="15371" max="15371" width="10.53125" style="148" customWidth="1"/>
    <col min="15372" max="15616" width="9.1328125" style="148"/>
    <col min="15617" max="15617" width="0" style="148" hidden="1" customWidth="1"/>
    <col min="15618" max="15618" width="43.46484375" style="148" customWidth="1"/>
    <col min="15619" max="15619" width="3.6640625" style="148" customWidth="1"/>
    <col min="15620" max="15620" width="32.6640625" style="148" customWidth="1"/>
    <col min="15621" max="15621" width="27" style="148" customWidth="1"/>
    <col min="15622" max="15623" width="9.1328125" style="148" customWidth="1"/>
    <col min="15624" max="15624" width="5" style="148" customWidth="1"/>
    <col min="15625" max="15626" width="9.1328125" style="148" customWidth="1"/>
    <col min="15627" max="15627" width="10.53125" style="148" customWidth="1"/>
    <col min="15628" max="15872" width="9.1328125" style="148"/>
    <col min="15873" max="15873" width="0" style="148" hidden="1" customWidth="1"/>
    <col min="15874" max="15874" width="43.46484375" style="148" customWidth="1"/>
    <col min="15875" max="15875" width="3.6640625" style="148" customWidth="1"/>
    <col min="15876" max="15876" width="32.6640625" style="148" customWidth="1"/>
    <col min="15877" max="15877" width="27" style="148" customWidth="1"/>
    <col min="15878" max="15879" width="9.1328125" style="148" customWidth="1"/>
    <col min="15880" max="15880" width="5" style="148" customWidth="1"/>
    <col min="15881" max="15882" width="9.1328125" style="148" customWidth="1"/>
    <col min="15883" max="15883" width="10.53125" style="148" customWidth="1"/>
    <col min="15884" max="16128" width="9.1328125" style="148"/>
    <col min="16129" max="16129" width="0" style="148" hidden="1" customWidth="1"/>
    <col min="16130" max="16130" width="43.46484375" style="148" customWidth="1"/>
    <col min="16131" max="16131" width="3.6640625" style="148" customWidth="1"/>
    <col min="16132" max="16132" width="32.6640625" style="148" customWidth="1"/>
    <col min="16133" max="16133" width="27" style="148" customWidth="1"/>
    <col min="16134" max="16135" width="9.1328125" style="148" customWidth="1"/>
    <col min="16136" max="16136" width="5" style="148" customWidth="1"/>
    <col min="16137" max="16138" width="9.1328125" style="148" customWidth="1"/>
    <col min="16139" max="16139" width="10.53125" style="148" customWidth="1"/>
    <col min="16140" max="16384" width="9.1328125" style="148"/>
  </cols>
  <sheetData>
    <row r="1" spans="1:256" ht="12.75" customHeight="1">
      <c r="B1" s="63"/>
    </row>
    <row r="2" spans="1:256" s="157" customFormat="1" ht="21" customHeight="1">
      <c r="A2" s="148"/>
      <c r="B2" s="3187" t="s">
        <v>0</v>
      </c>
      <c r="C2" s="149"/>
      <c r="D2" s="3190" t="s">
        <v>554</v>
      </c>
      <c r="E2" s="3190"/>
      <c r="F2" s="3190"/>
      <c r="G2" s="3190"/>
      <c r="H2" s="3190"/>
      <c r="I2" s="3190"/>
      <c r="J2" s="3190"/>
      <c r="K2" s="3190"/>
      <c r="L2" s="155"/>
      <c r="M2" s="155"/>
      <c r="N2" s="155"/>
      <c r="O2" s="155"/>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row>
    <row r="3" spans="1:256" s="157" customFormat="1" ht="21" customHeight="1">
      <c r="A3" s="148"/>
      <c r="B3" s="3187"/>
      <c r="C3" s="149"/>
      <c r="D3" s="3190"/>
      <c r="E3" s="3190"/>
      <c r="F3" s="3190"/>
      <c r="G3" s="3190"/>
      <c r="H3" s="3190"/>
      <c r="I3" s="3190"/>
      <c r="J3" s="3190"/>
      <c r="K3" s="3190"/>
    </row>
    <row r="4" spans="1:256" ht="21" customHeight="1">
      <c r="B4" s="63"/>
      <c r="C4" s="150"/>
      <c r="D4" s="1322" t="s">
        <v>552</v>
      </c>
      <c r="E4" s="150"/>
      <c r="F4" s="150"/>
      <c r="G4" s="150"/>
      <c r="H4" s="150"/>
      <c r="I4" s="150"/>
      <c r="J4" s="150"/>
      <c r="K4" s="150"/>
    </row>
    <row r="5" spans="1:256" ht="21" customHeight="1">
      <c r="B5" s="62" t="s">
        <v>1</v>
      </c>
      <c r="D5" s="152"/>
    </row>
    <row r="6" spans="1:256" ht="21" customHeight="1">
      <c r="B6" s="397" t="s">
        <v>452</v>
      </c>
      <c r="D6" s="153"/>
    </row>
    <row r="7" spans="1:256" ht="21" customHeight="1">
      <c r="B7" s="62" t="s">
        <v>239</v>
      </c>
    </row>
    <row r="8" spans="1:256" ht="21" customHeight="1">
      <c r="B8" s="62" t="s">
        <v>1263</v>
      </c>
    </row>
    <row r="9" spans="1:256" ht="21" customHeight="1">
      <c r="B9" s="62" t="s">
        <v>557</v>
      </c>
      <c r="D9" s="152"/>
    </row>
    <row r="10" spans="1:256" ht="21" customHeight="1">
      <c r="B10" s="62" t="s">
        <v>238</v>
      </c>
      <c r="D10" s="153"/>
    </row>
    <row r="11" spans="1:256" ht="21" customHeight="1">
      <c r="B11" s="62" t="s">
        <v>1652</v>
      </c>
      <c r="D11" s="153"/>
    </row>
    <row r="12" spans="1:256" ht="21" customHeight="1">
      <c r="B12" s="146" t="s">
        <v>1653</v>
      </c>
      <c r="D12" s="153"/>
    </row>
    <row r="13" spans="1:256" ht="21" customHeight="1">
      <c r="B13" s="147" t="s">
        <v>555</v>
      </c>
      <c r="D13" s="153"/>
    </row>
    <row r="14" spans="1:256" ht="21" customHeight="1">
      <c r="B14" s="145" t="s">
        <v>685</v>
      </c>
      <c r="D14" s="153"/>
    </row>
    <row r="15" spans="1:256" ht="21" customHeight="1">
      <c r="B15" s="145" t="s">
        <v>1164</v>
      </c>
      <c r="D15" s="152"/>
    </row>
    <row r="16" spans="1:256" ht="21" customHeight="1">
      <c r="B16" s="145" t="s">
        <v>701</v>
      </c>
      <c r="D16" s="153"/>
    </row>
    <row r="17" spans="2:4" ht="21" customHeight="1">
      <c r="B17" s="145" t="s">
        <v>700</v>
      </c>
      <c r="D17" s="153"/>
    </row>
    <row r="18" spans="2:4" ht="21" customHeight="1">
      <c r="B18" s="145" t="s">
        <v>748</v>
      </c>
      <c r="D18" s="153"/>
    </row>
    <row r="19" spans="2:4" ht="21" customHeight="1">
      <c r="B19" s="145" t="s">
        <v>1157</v>
      </c>
      <c r="D19" s="152"/>
    </row>
    <row r="20" spans="2:4" ht="21" customHeight="1">
      <c r="B20" s="145" t="s">
        <v>1155</v>
      </c>
      <c r="D20" s="153"/>
    </row>
    <row r="21" spans="2:4" ht="21" customHeight="1">
      <c r="B21" s="145" t="s">
        <v>1158</v>
      </c>
      <c r="D21" s="153"/>
    </row>
    <row r="22" spans="2:4" ht="21" customHeight="1">
      <c r="B22" s="145" t="s">
        <v>1324</v>
      </c>
      <c r="D22" s="154"/>
    </row>
    <row r="23" spans="2:4" ht="21" customHeight="1">
      <c r="B23" s="62" t="s">
        <v>40</v>
      </c>
      <c r="D23" s="152"/>
    </row>
    <row r="24" spans="2:4" ht="21" customHeight="1">
      <c r="B24" s="62" t="s">
        <v>238</v>
      </c>
      <c r="D24" s="153"/>
    </row>
    <row r="25" spans="2:4" ht="21" customHeight="1">
      <c r="B25" s="62" t="s">
        <v>39</v>
      </c>
      <c r="D25" s="153"/>
    </row>
    <row r="26" spans="2:4" ht="21" customHeight="1">
      <c r="B26" s="62" t="s">
        <v>38</v>
      </c>
      <c r="D26" s="153"/>
    </row>
    <row r="27" spans="2:4" ht="21" customHeight="1">
      <c r="B27" s="62"/>
      <c r="D27" s="153"/>
    </row>
    <row r="28" spans="2:4" ht="21" customHeight="1">
      <c r="B28" s="63"/>
      <c r="D28" s="153"/>
    </row>
    <row r="29" spans="2:4" ht="21" customHeight="1">
      <c r="B29" s="63"/>
      <c r="D29" s="153"/>
    </row>
    <row r="30" spans="2:4" ht="21" customHeight="1">
      <c r="B30" s="143"/>
      <c r="D30" s="153"/>
    </row>
    <row r="31" spans="2:4" ht="21" customHeight="1">
      <c r="B31" s="143"/>
      <c r="D31" s="153"/>
    </row>
    <row r="32" spans="2:4" ht="21" customHeight="1">
      <c r="B32" s="143"/>
    </row>
    <row r="33" spans="2:2" ht="21" customHeight="1">
      <c r="B33" s="143"/>
    </row>
    <row r="34" spans="2:2" ht="21" customHeight="1">
      <c r="B34" s="143"/>
    </row>
    <row r="35" spans="2:2" ht="21" customHeight="1">
      <c r="B35" s="143"/>
    </row>
    <row r="36" spans="2:2" ht="21" customHeight="1">
      <c r="B36" s="143"/>
    </row>
    <row r="37" spans="2:2" ht="21" customHeight="1">
      <c r="B37" s="143"/>
    </row>
    <row r="38" spans="2:2" ht="18" customHeight="1">
      <c r="B38" s="143"/>
    </row>
    <row r="39" spans="2:2" ht="18" customHeight="1">
      <c r="B39" s="143"/>
    </row>
    <row r="40" spans="2:2" ht="18" customHeight="1">
      <c r="B40" s="143"/>
    </row>
    <row r="41" spans="2:2" ht="18" customHeight="1">
      <c r="B41" s="143"/>
    </row>
    <row r="42" spans="2:2" ht="18" customHeight="1">
      <c r="B42" s="143"/>
    </row>
    <row r="43" spans="2:2" ht="18" customHeight="1">
      <c r="B43" s="143"/>
    </row>
    <row r="44" spans="2:2" ht="18" customHeight="1">
      <c r="B44" s="143"/>
    </row>
    <row r="45" spans="2:2" ht="18" customHeight="1">
      <c r="B45" s="143"/>
    </row>
    <row r="46" spans="2:2" ht="18" customHeight="1">
      <c r="B46" s="143"/>
    </row>
    <row r="47" spans="2:2" ht="18" customHeight="1">
      <c r="B47" s="143"/>
    </row>
    <row r="48" spans="2:2" ht="18" customHeight="1">
      <c r="B48" s="143"/>
    </row>
    <row r="49" spans="2:2" ht="18" customHeight="1">
      <c r="B49" s="143"/>
    </row>
    <row r="50" spans="2:2" ht="18" customHeight="1">
      <c r="B50" s="143"/>
    </row>
    <row r="51" spans="2:2" ht="18" customHeight="1">
      <c r="B51" s="143"/>
    </row>
    <row r="52" spans="2:2" ht="18" customHeight="1">
      <c r="B52" s="143"/>
    </row>
    <row r="53" spans="2:2" ht="18" customHeight="1">
      <c r="B53" s="143"/>
    </row>
    <row r="54" spans="2:2" ht="18" customHeight="1">
      <c r="B54" s="143"/>
    </row>
    <row r="55" spans="2:2">
      <c r="B55" s="143"/>
    </row>
    <row r="56" spans="2:2">
      <c r="B56" s="143"/>
    </row>
    <row r="57" spans="2:2">
      <c r="B57" s="143"/>
    </row>
    <row r="58" spans="2:2">
      <c r="B58" s="143"/>
    </row>
    <row r="59" spans="2:2">
      <c r="B59" s="143"/>
    </row>
    <row r="60" spans="2:2">
      <c r="B60" s="143"/>
    </row>
    <row r="61" spans="2:2">
      <c r="B61" s="143"/>
    </row>
    <row r="62" spans="2:2">
      <c r="B62" s="143"/>
    </row>
    <row r="63" spans="2:2">
      <c r="B63" s="143"/>
    </row>
    <row r="64" spans="2:2">
      <c r="B64" s="143"/>
    </row>
    <row r="65" spans="2:2">
      <c r="B65" s="143"/>
    </row>
    <row r="66" spans="2:2">
      <c r="B66" s="143"/>
    </row>
    <row r="67" spans="2:2">
      <c r="B67" s="143"/>
    </row>
    <row r="68" spans="2:2">
      <c r="B68" s="143"/>
    </row>
    <row r="69" spans="2:2">
      <c r="B69" s="143"/>
    </row>
    <row r="70" spans="2:2">
      <c r="B70" s="143"/>
    </row>
    <row r="71" spans="2:2">
      <c r="B71" s="143"/>
    </row>
    <row r="72" spans="2:2">
      <c r="B72" s="143"/>
    </row>
    <row r="73" spans="2:2">
      <c r="B73" s="143"/>
    </row>
    <row r="74" spans="2:2">
      <c r="B74" s="143"/>
    </row>
    <row r="75" spans="2:2">
      <c r="B75" s="143"/>
    </row>
    <row r="76" spans="2:2">
      <c r="B76" s="143"/>
    </row>
    <row r="77" spans="2:2">
      <c r="B77" s="143"/>
    </row>
    <row r="78" spans="2:2">
      <c r="B78" s="143"/>
    </row>
    <row r="79" spans="2:2">
      <c r="B79" s="143"/>
    </row>
    <row r="80" spans="2:2">
      <c r="B80" s="143"/>
    </row>
    <row r="81" spans="2:2">
      <c r="B81" s="143"/>
    </row>
    <row r="82" spans="2:2">
      <c r="B82" s="143"/>
    </row>
    <row r="83" spans="2:2">
      <c r="B83" s="143"/>
    </row>
    <row r="84" spans="2:2">
      <c r="B84" s="143"/>
    </row>
    <row r="85" spans="2:2">
      <c r="B85" s="143"/>
    </row>
    <row r="86" spans="2:2">
      <c r="B86" s="143"/>
    </row>
    <row r="87" spans="2:2">
      <c r="B87" s="143"/>
    </row>
    <row r="88" spans="2:2">
      <c r="B88" s="143"/>
    </row>
    <row r="89" spans="2:2">
      <c r="B89" s="143"/>
    </row>
    <row r="90" spans="2:2">
      <c r="B90" s="143"/>
    </row>
    <row r="91" spans="2:2">
      <c r="B91" s="143"/>
    </row>
    <row r="92" spans="2:2">
      <c r="B92" s="143"/>
    </row>
    <row r="93" spans="2:2">
      <c r="B93" s="143"/>
    </row>
    <row r="94" spans="2:2">
      <c r="B94" s="143"/>
    </row>
    <row r="95" spans="2:2">
      <c r="B95" s="143"/>
    </row>
    <row r="96" spans="2:2">
      <c r="B96" s="143"/>
    </row>
    <row r="97" spans="2:2">
      <c r="B97" s="143"/>
    </row>
    <row r="98" spans="2:2">
      <c r="B98" s="143"/>
    </row>
    <row r="99" spans="2:2">
      <c r="B99" s="143"/>
    </row>
    <row r="100" spans="2:2">
      <c r="B100" s="143"/>
    </row>
    <row r="101" spans="2:2">
      <c r="B101" s="143"/>
    </row>
    <row r="102" spans="2:2">
      <c r="B102" s="143"/>
    </row>
    <row r="103" spans="2:2">
      <c r="B103" s="143"/>
    </row>
    <row r="104" spans="2:2">
      <c r="B104" s="143"/>
    </row>
    <row r="105" spans="2:2">
      <c r="B105" s="143"/>
    </row>
    <row r="106" spans="2:2">
      <c r="B106" s="143"/>
    </row>
    <row r="107" spans="2:2">
      <c r="B107" s="143"/>
    </row>
    <row r="108" spans="2:2">
      <c r="B108" s="143"/>
    </row>
    <row r="109" spans="2:2">
      <c r="B109" s="143"/>
    </row>
  </sheetData>
  <mergeCells count="2">
    <mergeCell ref="B2:B3"/>
    <mergeCell ref="D2:K3"/>
  </mergeCells>
  <hyperlinks>
    <hyperlink ref="B2:B3" location="Home!A1" display="HOME" xr:uid="{8E9EB69E-7798-426A-93BF-BFD3EC88DBC6}"/>
    <hyperlink ref="B26" location="Disclaimer!A1" display="Disclaimer" xr:uid="{AAC4A6D7-83AA-4AD8-B849-95A2A8A39B5D}"/>
    <hyperlink ref="B25" location="Help!A1" display="Help" xr:uid="{60FD7FCC-BCF1-45F9-A36D-60582DCFA611}"/>
    <hyperlink ref="B23" location="'Source - Links'!A1" display="SOURCE / LINKS" xr:uid="{1B6CCE5B-1301-4658-871C-F7B2F65B5533}"/>
    <hyperlink ref="D4" r:id="rId1" xr:uid="{72C4ABF0-39E9-469C-8F9C-4E0CC7F149C8}"/>
    <hyperlink ref="B13" location="'Guidelines - Bottom Lines'!A1" display="• Calculation of bottom lines" xr:uid="{419540FD-DB63-4A84-AB62-AB47F42121F7}"/>
    <hyperlink ref="B12" location="'Guidelines - Bottom Lines'!A1" display="GUIDELINES - CARGO" xr:uid="{14AD1C29-423F-4476-8F3D-F2852B8D2836}"/>
    <hyperlink ref="B14" location="'Guidelines - ISGOTT-6 '!A1" display="• ISGOTT Sixth Edition" xr:uid="{FF79963A-AC61-4D80-A6BA-5F1E9023ECFC}"/>
    <hyperlink ref="B16" location="'Guidelines - Wedge Forla (1)'!A1" display="• Wedge formula - API MPMS" xr:uid="{2D7B01A4-75E6-448F-BA52-02CE9D637E9B}"/>
    <hyperlink ref="B17" location="'Guidelines - Wedge Forla (2)'!A1" display="• Wedge formula - Saybolt" xr:uid="{A9B216C7-B7B0-4179-BD96-D3166ECDD9C9}"/>
    <hyperlink ref="B18" location="'Guidelines - Wedge Formulas'!A1" display="• Wedge formulas" xr:uid="{FFD9F1AB-AEF1-4151-A5F7-33A0360BB33A}"/>
    <hyperlink ref="B19" location="'Guidelines - Commingling Calc'!A1" display="• Commingling Calculation" xr:uid="{F93C35B0-7160-45DE-BC6E-4856930CEFB5}"/>
    <hyperlink ref="B20" location="'Guidelines - SOLAS'!A1" display="• SOLAS" xr:uid="{89D87464-2977-4A5B-9F42-37CF01875205}"/>
    <hyperlink ref="B21" location="'Guidelines - SOLAS compliance'!A1" display="• SOLAS compliance" xr:uid="{5CBE90CF-3725-4558-8DDF-94C5542211F1}"/>
    <hyperlink ref="B15" location="'Guidelines - Wedge Forla (0)'!A1" display="• Wedge formula - ISO-8697-1999 " xr:uid="{418E7B9E-8E34-48E8-82AC-A4A60F92BC67}"/>
    <hyperlink ref="B5" location="'Documents Manager'!A1" display="DOCUMENTS MANAGER" xr:uid="{40692B72-EEA8-4ACD-905E-4E357AC33A7E}"/>
    <hyperlink ref="B6" location="'ASTM Table Series'!A1" display="ASTM TABLES" xr:uid="{2689F6C6-76BE-452C-A2B8-2EFD49C9A074}"/>
    <hyperlink ref="B7" location="'ASTM Converter (Tab.1)'!A1" display="ASTM - CONVERTERS" xr:uid="{43E36A54-90B0-43E9-86D9-69EE9070ED21}"/>
    <hyperlink ref="B8" location="'ASTM Calculator V.W.'!A1" display="ASTM - CALCULATORS" xr:uid="{3AD4BF97-86FC-4EB8-B1B8-B9C2FAC774A5}"/>
    <hyperlink ref="B9" location="'Initial&amp;Max. Loading Rate'!A1" display="CARGO - CALCULATORS" xr:uid="{D4179D45-2D86-4855-8E49-4B3328BFE1DF}"/>
    <hyperlink ref="B22" location="'Guidelines - IG Pressure'!A1" display="• IG Pressure" xr:uid="{3EC5FA9B-AB5A-4AF5-AAB4-87FF9E3961D9}"/>
    <hyperlink ref="B11" location="'Guidelines - Definitions'!A1" display="GUIDELINES" xr:uid="{659DF838-7475-4B00-A694-4E9D99B22A79}"/>
  </hyperlinks>
  <pageMargins left="0.75" right="0.75" top="1" bottom="1" header="0.5" footer="0.5"/>
  <pageSetup paperSize="9" orientation="portrait" horizontalDpi="4294967294"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E37D-586F-405C-85F2-D6949CE110D6}">
  <sheetPr>
    <tabColor rgb="FF008080"/>
  </sheetPr>
  <dimension ref="A1:IV367"/>
  <sheetViews>
    <sheetView showGridLines="0" showRowColHeaders="0" topLeftCell="B1" workbookViewId="0">
      <selection activeCell="B9" sqref="B9"/>
    </sheetView>
  </sheetViews>
  <sheetFormatPr defaultColWidth="9.1328125" defaultRowHeight="12.75"/>
  <cols>
    <col min="1" max="1" width="0" style="148" hidden="1" customWidth="1"/>
    <col min="2" max="2" width="36.6640625" style="144" customWidth="1"/>
    <col min="3" max="3" width="2.6640625" style="148" customWidth="1"/>
    <col min="4" max="4" width="32.6640625" style="148" customWidth="1"/>
    <col min="5" max="5" width="27" style="148" customWidth="1"/>
    <col min="6" max="7" width="9.1328125" style="148" customWidth="1"/>
    <col min="8" max="8" width="5" style="148" customWidth="1"/>
    <col min="9" max="10" width="9.1328125" style="148" customWidth="1"/>
    <col min="11" max="11" width="10.53125" style="148" customWidth="1"/>
    <col min="12" max="256" width="9.1328125" style="148"/>
    <col min="257" max="257" width="0" style="148" hidden="1" customWidth="1"/>
    <col min="258" max="258" width="43.46484375" style="148" customWidth="1"/>
    <col min="259" max="259" width="3.6640625" style="148" customWidth="1"/>
    <col min="260" max="260" width="32.6640625" style="148" customWidth="1"/>
    <col min="261" max="261" width="27" style="148" customWidth="1"/>
    <col min="262" max="263" width="9.1328125" style="148" customWidth="1"/>
    <col min="264" max="264" width="5" style="148" customWidth="1"/>
    <col min="265" max="266" width="9.1328125" style="148" customWidth="1"/>
    <col min="267" max="267" width="10.53125" style="148" customWidth="1"/>
    <col min="268" max="512" width="9.1328125" style="148"/>
    <col min="513" max="513" width="0" style="148" hidden="1" customWidth="1"/>
    <col min="514" max="514" width="43.46484375" style="148" customWidth="1"/>
    <col min="515" max="515" width="3.6640625" style="148" customWidth="1"/>
    <col min="516" max="516" width="32.6640625" style="148" customWidth="1"/>
    <col min="517" max="517" width="27" style="148" customWidth="1"/>
    <col min="518" max="519" width="9.1328125" style="148" customWidth="1"/>
    <col min="520" max="520" width="5" style="148" customWidth="1"/>
    <col min="521" max="522" width="9.1328125" style="148" customWidth="1"/>
    <col min="523" max="523" width="10.53125" style="148" customWidth="1"/>
    <col min="524" max="768" width="9.1328125" style="148"/>
    <col min="769" max="769" width="0" style="148" hidden="1" customWidth="1"/>
    <col min="770" max="770" width="43.46484375" style="148" customWidth="1"/>
    <col min="771" max="771" width="3.6640625" style="148" customWidth="1"/>
    <col min="772" max="772" width="32.6640625" style="148" customWidth="1"/>
    <col min="773" max="773" width="27" style="148" customWidth="1"/>
    <col min="774" max="775" width="9.1328125" style="148" customWidth="1"/>
    <col min="776" max="776" width="5" style="148" customWidth="1"/>
    <col min="777" max="778" width="9.1328125" style="148" customWidth="1"/>
    <col min="779" max="779" width="10.53125" style="148" customWidth="1"/>
    <col min="780" max="1024" width="9.1328125" style="148"/>
    <col min="1025" max="1025" width="0" style="148" hidden="1" customWidth="1"/>
    <col min="1026" max="1026" width="43.46484375" style="148" customWidth="1"/>
    <col min="1027" max="1027" width="3.6640625" style="148" customWidth="1"/>
    <col min="1028" max="1028" width="32.6640625" style="148" customWidth="1"/>
    <col min="1029" max="1029" width="27" style="148" customWidth="1"/>
    <col min="1030" max="1031" width="9.1328125" style="148" customWidth="1"/>
    <col min="1032" max="1032" width="5" style="148" customWidth="1"/>
    <col min="1033" max="1034" width="9.1328125" style="148" customWidth="1"/>
    <col min="1035" max="1035" width="10.53125" style="148" customWidth="1"/>
    <col min="1036" max="1280" width="9.1328125" style="148"/>
    <col min="1281" max="1281" width="0" style="148" hidden="1" customWidth="1"/>
    <col min="1282" max="1282" width="43.46484375" style="148" customWidth="1"/>
    <col min="1283" max="1283" width="3.6640625" style="148" customWidth="1"/>
    <col min="1284" max="1284" width="32.6640625" style="148" customWidth="1"/>
    <col min="1285" max="1285" width="27" style="148" customWidth="1"/>
    <col min="1286" max="1287" width="9.1328125" style="148" customWidth="1"/>
    <col min="1288" max="1288" width="5" style="148" customWidth="1"/>
    <col min="1289" max="1290" width="9.1328125" style="148" customWidth="1"/>
    <col min="1291" max="1291" width="10.53125" style="148" customWidth="1"/>
    <col min="1292" max="1536" width="9.1328125" style="148"/>
    <col min="1537" max="1537" width="0" style="148" hidden="1" customWidth="1"/>
    <col min="1538" max="1538" width="43.46484375" style="148" customWidth="1"/>
    <col min="1539" max="1539" width="3.6640625" style="148" customWidth="1"/>
    <col min="1540" max="1540" width="32.6640625" style="148" customWidth="1"/>
    <col min="1541" max="1541" width="27" style="148" customWidth="1"/>
    <col min="1542" max="1543" width="9.1328125" style="148" customWidth="1"/>
    <col min="1544" max="1544" width="5" style="148" customWidth="1"/>
    <col min="1545" max="1546" width="9.1328125" style="148" customWidth="1"/>
    <col min="1547" max="1547" width="10.53125" style="148" customWidth="1"/>
    <col min="1548" max="1792" width="9.1328125" style="148"/>
    <col min="1793" max="1793" width="0" style="148" hidden="1" customWidth="1"/>
    <col min="1794" max="1794" width="43.46484375" style="148" customWidth="1"/>
    <col min="1795" max="1795" width="3.6640625" style="148" customWidth="1"/>
    <col min="1796" max="1796" width="32.6640625" style="148" customWidth="1"/>
    <col min="1797" max="1797" width="27" style="148" customWidth="1"/>
    <col min="1798" max="1799" width="9.1328125" style="148" customWidth="1"/>
    <col min="1800" max="1800" width="5" style="148" customWidth="1"/>
    <col min="1801" max="1802" width="9.1328125" style="148" customWidth="1"/>
    <col min="1803" max="1803" width="10.53125" style="148" customWidth="1"/>
    <col min="1804" max="2048" width="9.1328125" style="148"/>
    <col min="2049" max="2049" width="0" style="148" hidden="1" customWidth="1"/>
    <col min="2050" max="2050" width="43.46484375" style="148" customWidth="1"/>
    <col min="2051" max="2051" width="3.6640625" style="148" customWidth="1"/>
    <col min="2052" max="2052" width="32.6640625" style="148" customWidth="1"/>
    <col min="2053" max="2053" width="27" style="148" customWidth="1"/>
    <col min="2054" max="2055" width="9.1328125" style="148" customWidth="1"/>
    <col min="2056" max="2056" width="5" style="148" customWidth="1"/>
    <col min="2057" max="2058" width="9.1328125" style="148" customWidth="1"/>
    <col min="2059" max="2059" width="10.53125" style="148" customWidth="1"/>
    <col min="2060" max="2304" width="9.1328125" style="148"/>
    <col min="2305" max="2305" width="0" style="148" hidden="1" customWidth="1"/>
    <col min="2306" max="2306" width="43.46484375" style="148" customWidth="1"/>
    <col min="2307" max="2307" width="3.6640625" style="148" customWidth="1"/>
    <col min="2308" max="2308" width="32.6640625" style="148" customWidth="1"/>
    <col min="2309" max="2309" width="27" style="148" customWidth="1"/>
    <col min="2310" max="2311" width="9.1328125" style="148" customWidth="1"/>
    <col min="2312" max="2312" width="5" style="148" customWidth="1"/>
    <col min="2313" max="2314" width="9.1328125" style="148" customWidth="1"/>
    <col min="2315" max="2315" width="10.53125" style="148" customWidth="1"/>
    <col min="2316" max="2560" width="9.1328125" style="148"/>
    <col min="2561" max="2561" width="0" style="148" hidden="1" customWidth="1"/>
    <col min="2562" max="2562" width="43.46484375" style="148" customWidth="1"/>
    <col min="2563" max="2563" width="3.6640625" style="148" customWidth="1"/>
    <col min="2564" max="2564" width="32.6640625" style="148" customWidth="1"/>
    <col min="2565" max="2565" width="27" style="148" customWidth="1"/>
    <col min="2566" max="2567" width="9.1328125" style="148" customWidth="1"/>
    <col min="2568" max="2568" width="5" style="148" customWidth="1"/>
    <col min="2569" max="2570" width="9.1328125" style="148" customWidth="1"/>
    <col min="2571" max="2571" width="10.53125" style="148" customWidth="1"/>
    <col min="2572" max="2816" width="9.1328125" style="148"/>
    <col min="2817" max="2817" width="0" style="148" hidden="1" customWidth="1"/>
    <col min="2818" max="2818" width="43.46484375" style="148" customWidth="1"/>
    <col min="2819" max="2819" width="3.6640625" style="148" customWidth="1"/>
    <col min="2820" max="2820" width="32.6640625" style="148" customWidth="1"/>
    <col min="2821" max="2821" width="27" style="148" customWidth="1"/>
    <col min="2822" max="2823" width="9.1328125" style="148" customWidth="1"/>
    <col min="2824" max="2824" width="5" style="148" customWidth="1"/>
    <col min="2825" max="2826" width="9.1328125" style="148" customWidth="1"/>
    <col min="2827" max="2827" width="10.53125" style="148" customWidth="1"/>
    <col min="2828" max="3072" width="9.1328125" style="148"/>
    <col min="3073" max="3073" width="0" style="148" hidden="1" customWidth="1"/>
    <col min="3074" max="3074" width="43.46484375" style="148" customWidth="1"/>
    <col min="3075" max="3075" width="3.6640625" style="148" customWidth="1"/>
    <col min="3076" max="3076" width="32.6640625" style="148" customWidth="1"/>
    <col min="3077" max="3077" width="27" style="148" customWidth="1"/>
    <col min="3078" max="3079" width="9.1328125" style="148" customWidth="1"/>
    <col min="3080" max="3080" width="5" style="148" customWidth="1"/>
    <col min="3081" max="3082" width="9.1328125" style="148" customWidth="1"/>
    <col min="3083" max="3083" width="10.53125" style="148" customWidth="1"/>
    <col min="3084" max="3328" width="9.1328125" style="148"/>
    <col min="3329" max="3329" width="0" style="148" hidden="1" customWidth="1"/>
    <col min="3330" max="3330" width="43.46484375" style="148" customWidth="1"/>
    <col min="3331" max="3331" width="3.6640625" style="148" customWidth="1"/>
    <col min="3332" max="3332" width="32.6640625" style="148" customWidth="1"/>
    <col min="3333" max="3333" width="27" style="148" customWidth="1"/>
    <col min="3334" max="3335" width="9.1328125" style="148" customWidth="1"/>
    <col min="3336" max="3336" width="5" style="148" customWidth="1"/>
    <col min="3337" max="3338" width="9.1328125" style="148" customWidth="1"/>
    <col min="3339" max="3339" width="10.53125" style="148" customWidth="1"/>
    <col min="3340" max="3584" width="9.1328125" style="148"/>
    <col min="3585" max="3585" width="0" style="148" hidden="1" customWidth="1"/>
    <col min="3586" max="3586" width="43.46484375" style="148" customWidth="1"/>
    <col min="3587" max="3587" width="3.6640625" style="148" customWidth="1"/>
    <col min="3588" max="3588" width="32.6640625" style="148" customWidth="1"/>
    <col min="3589" max="3589" width="27" style="148" customWidth="1"/>
    <col min="3590" max="3591" width="9.1328125" style="148" customWidth="1"/>
    <col min="3592" max="3592" width="5" style="148" customWidth="1"/>
    <col min="3593" max="3594" width="9.1328125" style="148" customWidth="1"/>
    <col min="3595" max="3595" width="10.53125" style="148" customWidth="1"/>
    <col min="3596" max="3840" width="9.1328125" style="148"/>
    <col min="3841" max="3841" width="0" style="148" hidden="1" customWidth="1"/>
    <col min="3842" max="3842" width="43.46484375" style="148" customWidth="1"/>
    <col min="3843" max="3843" width="3.6640625" style="148" customWidth="1"/>
    <col min="3844" max="3844" width="32.6640625" style="148" customWidth="1"/>
    <col min="3845" max="3845" width="27" style="148" customWidth="1"/>
    <col min="3846" max="3847" width="9.1328125" style="148" customWidth="1"/>
    <col min="3848" max="3848" width="5" style="148" customWidth="1"/>
    <col min="3849" max="3850" width="9.1328125" style="148" customWidth="1"/>
    <col min="3851" max="3851" width="10.53125" style="148" customWidth="1"/>
    <col min="3852" max="4096" width="9.1328125" style="148"/>
    <col min="4097" max="4097" width="0" style="148" hidden="1" customWidth="1"/>
    <col min="4098" max="4098" width="43.46484375" style="148" customWidth="1"/>
    <col min="4099" max="4099" width="3.6640625" style="148" customWidth="1"/>
    <col min="4100" max="4100" width="32.6640625" style="148" customWidth="1"/>
    <col min="4101" max="4101" width="27" style="148" customWidth="1"/>
    <col min="4102" max="4103" width="9.1328125" style="148" customWidth="1"/>
    <col min="4104" max="4104" width="5" style="148" customWidth="1"/>
    <col min="4105" max="4106" width="9.1328125" style="148" customWidth="1"/>
    <col min="4107" max="4107" width="10.53125" style="148" customWidth="1"/>
    <col min="4108" max="4352" width="9.1328125" style="148"/>
    <col min="4353" max="4353" width="0" style="148" hidden="1" customWidth="1"/>
    <col min="4354" max="4354" width="43.46484375" style="148" customWidth="1"/>
    <col min="4355" max="4355" width="3.6640625" style="148" customWidth="1"/>
    <col min="4356" max="4356" width="32.6640625" style="148" customWidth="1"/>
    <col min="4357" max="4357" width="27" style="148" customWidth="1"/>
    <col min="4358" max="4359" width="9.1328125" style="148" customWidth="1"/>
    <col min="4360" max="4360" width="5" style="148" customWidth="1"/>
    <col min="4361" max="4362" width="9.1328125" style="148" customWidth="1"/>
    <col min="4363" max="4363" width="10.53125" style="148" customWidth="1"/>
    <col min="4364" max="4608" width="9.1328125" style="148"/>
    <col min="4609" max="4609" width="0" style="148" hidden="1" customWidth="1"/>
    <col min="4610" max="4610" width="43.46484375" style="148" customWidth="1"/>
    <col min="4611" max="4611" width="3.6640625" style="148" customWidth="1"/>
    <col min="4612" max="4612" width="32.6640625" style="148" customWidth="1"/>
    <col min="4613" max="4613" width="27" style="148" customWidth="1"/>
    <col min="4614" max="4615" width="9.1328125" style="148" customWidth="1"/>
    <col min="4616" max="4616" width="5" style="148" customWidth="1"/>
    <col min="4617" max="4618" width="9.1328125" style="148" customWidth="1"/>
    <col min="4619" max="4619" width="10.53125" style="148" customWidth="1"/>
    <col min="4620" max="4864" width="9.1328125" style="148"/>
    <col min="4865" max="4865" width="0" style="148" hidden="1" customWidth="1"/>
    <col min="4866" max="4866" width="43.46484375" style="148" customWidth="1"/>
    <col min="4867" max="4867" width="3.6640625" style="148" customWidth="1"/>
    <col min="4868" max="4868" width="32.6640625" style="148" customWidth="1"/>
    <col min="4869" max="4869" width="27" style="148" customWidth="1"/>
    <col min="4870" max="4871" width="9.1328125" style="148" customWidth="1"/>
    <col min="4872" max="4872" width="5" style="148" customWidth="1"/>
    <col min="4873" max="4874" width="9.1328125" style="148" customWidth="1"/>
    <col min="4875" max="4875" width="10.53125" style="148" customWidth="1"/>
    <col min="4876" max="5120" width="9.1328125" style="148"/>
    <col min="5121" max="5121" width="0" style="148" hidden="1" customWidth="1"/>
    <col min="5122" max="5122" width="43.46484375" style="148" customWidth="1"/>
    <col min="5123" max="5123" width="3.6640625" style="148" customWidth="1"/>
    <col min="5124" max="5124" width="32.6640625" style="148" customWidth="1"/>
    <col min="5125" max="5125" width="27" style="148" customWidth="1"/>
    <col min="5126" max="5127" width="9.1328125" style="148" customWidth="1"/>
    <col min="5128" max="5128" width="5" style="148" customWidth="1"/>
    <col min="5129" max="5130" width="9.1328125" style="148" customWidth="1"/>
    <col min="5131" max="5131" width="10.53125" style="148" customWidth="1"/>
    <col min="5132" max="5376" width="9.1328125" style="148"/>
    <col min="5377" max="5377" width="0" style="148" hidden="1" customWidth="1"/>
    <col min="5378" max="5378" width="43.46484375" style="148" customWidth="1"/>
    <col min="5379" max="5379" width="3.6640625" style="148" customWidth="1"/>
    <col min="5380" max="5380" width="32.6640625" style="148" customWidth="1"/>
    <col min="5381" max="5381" width="27" style="148" customWidth="1"/>
    <col min="5382" max="5383" width="9.1328125" style="148" customWidth="1"/>
    <col min="5384" max="5384" width="5" style="148" customWidth="1"/>
    <col min="5385" max="5386" width="9.1328125" style="148" customWidth="1"/>
    <col min="5387" max="5387" width="10.53125" style="148" customWidth="1"/>
    <col min="5388" max="5632" width="9.1328125" style="148"/>
    <col min="5633" max="5633" width="0" style="148" hidden="1" customWidth="1"/>
    <col min="5634" max="5634" width="43.46484375" style="148" customWidth="1"/>
    <col min="5635" max="5635" width="3.6640625" style="148" customWidth="1"/>
    <col min="5636" max="5636" width="32.6640625" style="148" customWidth="1"/>
    <col min="5637" max="5637" width="27" style="148" customWidth="1"/>
    <col min="5638" max="5639" width="9.1328125" style="148" customWidth="1"/>
    <col min="5640" max="5640" width="5" style="148" customWidth="1"/>
    <col min="5641" max="5642" width="9.1328125" style="148" customWidth="1"/>
    <col min="5643" max="5643" width="10.53125" style="148" customWidth="1"/>
    <col min="5644" max="5888" width="9.1328125" style="148"/>
    <col min="5889" max="5889" width="0" style="148" hidden="1" customWidth="1"/>
    <col min="5890" max="5890" width="43.46484375" style="148" customWidth="1"/>
    <col min="5891" max="5891" width="3.6640625" style="148" customWidth="1"/>
    <col min="5892" max="5892" width="32.6640625" style="148" customWidth="1"/>
    <col min="5893" max="5893" width="27" style="148" customWidth="1"/>
    <col min="5894" max="5895" width="9.1328125" style="148" customWidth="1"/>
    <col min="5896" max="5896" width="5" style="148" customWidth="1"/>
    <col min="5897" max="5898" width="9.1328125" style="148" customWidth="1"/>
    <col min="5899" max="5899" width="10.53125" style="148" customWidth="1"/>
    <col min="5900" max="6144" width="9.1328125" style="148"/>
    <col min="6145" max="6145" width="0" style="148" hidden="1" customWidth="1"/>
    <col min="6146" max="6146" width="43.46484375" style="148" customWidth="1"/>
    <col min="6147" max="6147" width="3.6640625" style="148" customWidth="1"/>
    <col min="6148" max="6148" width="32.6640625" style="148" customWidth="1"/>
    <col min="6149" max="6149" width="27" style="148" customWidth="1"/>
    <col min="6150" max="6151" width="9.1328125" style="148" customWidth="1"/>
    <col min="6152" max="6152" width="5" style="148" customWidth="1"/>
    <col min="6153" max="6154" width="9.1328125" style="148" customWidth="1"/>
    <col min="6155" max="6155" width="10.53125" style="148" customWidth="1"/>
    <col min="6156" max="6400" width="9.1328125" style="148"/>
    <col min="6401" max="6401" width="0" style="148" hidden="1" customWidth="1"/>
    <col min="6402" max="6402" width="43.46484375" style="148" customWidth="1"/>
    <col min="6403" max="6403" width="3.6640625" style="148" customWidth="1"/>
    <col min="6404" max="6404" width="32.6640625" style="148" customWidth="1"/>
    <col min="6405" max="6405" width="27" style="148" customWidth="1"/>
    <col min="6406" max="6407" width="9.1328125" style="148" customWidth="1"/>
    <col min="6408" max="6408" width="5" style="148" customWidth="1"/>
    <col min="6409" max="6410" width="9.1328125" style="148" customWidth="1"/>
    <col min="6411" max="6411" width="10.53125" style="148" customWidth="1"/>
    <col min="6412" max="6656" width="9.1328125" style="148"/>
    <col min="6657" max="6657" width="0" style="148" hidden="1" customWidth="1"/>
    <col min="6658" max="6658" width="43.46484375" style="148" customWidth="1"/>
    <col min="6659" max="6659" width="3.6640625" style="148" customWidth="1"/>
    <col min="6660" max="6660" width="32.6640625" style="148" customWidth="1"/>
    <col min="6661" max="6661" width="27" style="148" customWidth="1"/>
    <col min="6662" max="6663" width="9.1328125" style="148" customWidth="1"/>
    <col min="6664" max="6664" width="5" style="148" customWidth="1"/>
    <col min="6665" max="6666" width="9.1328125" style="148" customWidth="1"/>
    <col min="6667" max="6667" width="10.53125" style="148" customWidth="1"/>
    <col min="6668" max="6912" width="9.1328125" style="148"/>
    <col min="6913" max="6913" width="0" style="148" hidden="1" customWidth="1"/>
    <col min="6914" max="6914" width="43.46484375" style="148" customWidth="1"/>
    <col min="6915" max="6915" width="3.6640625" style="148" customWidth="1"/>
    <col min="6916" max="6916" width="32.6640625" style="148" customWidth="1"/>
    <col min="6917" max="6917" width="27" style="148" customWidth="1"/>
    <col min="6918" max="6919" width="9.1328125" style="148" customWidth="1"/>
    <col min="6920" max="6920" width="5" style="148" customWidth="1"/>
    <col min="6921" max="6922" width="9.1328125" style="148" customWidth="1"/>
    <col min="6923" max="6923" width="10.53125" style="148" customWidth="1"/>
    <col min="6924" max="7168" width="9.1328125" style="148"/>
    <col min="7169" max="7169" width="0" style="148" hidden="1" customWidth="1"/>
    <col min="7170" max="7170" width="43.46484375" style="148" customWidth="1"/>
    <col min="7171" max="7171" width="3.6640625" style="148" customWidth="1"/>
    <col min="7172" max="7172" width="32.6640625" style="148" customWidth="1"/>
    <col min="7173" max="7173" width="27" style="148" customWidth="1"/>
    <col min="7174" max="7175" width="9.1328125" style="148" customWidth="1"/>
    <col min="7176" max="7176" width="5" style="148" customWidth="1"/>
    <col min="7177" max="7178" width="9.1328125" style="148" customWidth="1"/>
    <col min="7179" max="7179" width="10.53125" style="148" customWidth="1"/>
    <col min="7180" max="7424" width="9.1328125" style="148"/>
    <col min="7425" max="7425" width="0" style="148" hidden="1" customWidth="1"/>
    <col min="7426" max="7426" width="43.46484375" style="148" customWidth="1"/>
    <col min="7427" max="7427" width="3.6640625" style="148" customWidth="1"/>
    <col min="7428" max="7428" width="32.6640625" style="148" customWidth="1"/>
    <col min="7429" max="7429" width="27" style="148" customWidth="1"/>
    <col min="7430" max="7431" width="9.1328125" style="148" customWidth="1"/>
    <col min="7432" max="7432" width="5" style="148" customWidth="1"/>
    <col min="7433" max="7434" width="9.1328125" style="148" customWidth="1"/>
    <col min="7435" max="7435" width="10.53125" style="148" customWidth="1"/>
    <col min="7436" max="7680" width="9.1328125" style="148"/>
    <col min="7681" max="7681" width="0" style="148" hidden="1" customWidth="1"/>
    <col min="7682" max="7682" width="43.46484375" style="148" customWidth="1"/>
    <col min="7683" max="7683" width="3.6640625" style="148" customWidth="1"/>
    <col min="7684" max="7684" width="32.6640625" style="148" customWidth="1"/>
    <col min="7685" max="7685" width="27" style="148" customWidth="1"/>
    <col min="7686" max="7687" width="9.1328125" style="148" customWidth="1"/>
    <col min="7688" max="7688" width="5" style="148" customWidth="1"/>
    <col min="7689" max="7690" width="9.1328125" style="148" customWidth="1"/>
    <col min="7691" max="7691" width="10.53125" style="148" customWidth="1"/>
    <col min="7692" max="7936" width="9.1328125" style="148"/>
    <col min="7937" max="7937" width="0" style="148" hidden="1" customWidth="1"/>
    <col min="7938" max="7938" width="43.46484375" style="148" customWidth="1"/>
    <col min="7939" max="7939" width="3.6640625" style="148" customWidth="1"/>
    <col min="7940" max="7940" width="32.6640625" style="148" customWidth="1"/>
    <col min="7941" max="7941" width="27" style="148" customWidth="1"/>
    <col min="7942" max="7943" width="9.1328125" style="148" customWidth="1"/>
    <col min="7944" max="7944" width="5" style="148" customWidth="1"/>
    <col min="7945" max="7946" width="9.1328125" style="148" customWidth="1"/>
    <col min="7947" max="7947" width="10.53125" style="148" customWidth="1"/>
    <col min="7948" max="8192" width="9.1328125" style="148"/>
    <col min="8193" max="8193" width="0" style="148" hidden="1" customWidth="1"/>
    <col min="8194" max="8194" width="43.46484375" style="148" customWidth="1"/>
    <col min="8195" max="8195" width="3.6640625" style="148" customWidth="1"/>
    <col min="8196" max="8196" width="32.6640625" style="148" customWidth="1"/>
    <col min="8197" max="8197" width="27" style="148" customWidth="1"/>
    <col min="8198" max="8199" width="9.1328125" style="148" customWidth="1"/>
    <col min="8200" max="8200" width="5" style="148" customWidth="1"/>
    <col min="8201" max="8202" width="9.1328125" style="148" customWidth="1"/>
    <col min="8203" max="8203" width="10.53125" style="148" customWidth="1"/>
    <col min="8204" max="8448" width="9.1328125" style="148"/>
    <col min="8449" max="8449" width="0" style="148" hidden="1" customWidth="1"/>
    <col min="8450" max="8450" width="43.46484375" style="148" customWidth="1"/>
    <col min="8451" max="8451" width="3.6640625" style="148" customWidth="1"/>
    <col min="8452" max="8452" width="32.6640625" style="148" customWidth="1"/>
    <col min="8453" max="8453" width="27" style="148" customWidth="1"/>
    <col min="8454" max="8455" width="9.1328125" style="148" customWidth="1"/>
    <col min="8456" max="8456" width="5" style="148" customWidth="1"/>
    <col min="8457" max="8458" width="9.1328125" style="148" customWidth="1"/>
    <col min="8459" max="8459" width="10.53125" style="148" customWidth="1"/>
    <col min="8460" max="8704" width="9.1328125" style="148"/>
    <col min="8705" max="8705" width="0" style="148" hidden="1" customWidth="1"/>
    <col min="8706" max="8706" width="43.46484375" style="148" customWidth="1"/>
    <col min="8707" max="8707" width="3.6640625" style="148" customWidth="1"/>
    <col min="8708" max="8708" width="32.6640625" style="148" customWidth="1"/>
    <col min="8709" max="8709" width="27" style="148" customWidth="1"/>
    <col min="8710" max="8711" width="9.1328125" style="148" customWidth="1"/>
    <col min="8712" max="8712" width="5" style="148" customWidth="1"/>
    <col min="8713" max="8714" width="9.1328125" style="148" customWidth="1"/>
    <col min="8715" max="8715" width="10.53125" style="148" customWidth="1"/>
    <col min="8716" max="8960" width="9.1328125" style="148"/>
    <col min="8961" max="8961" width="0" style="148" hidden="1" customWidth="1"/>
    <col min="8962" max="8962" width="43.46484375" style="148" customWidth="1"/>
    <col min="8963" max="8963" width="3.6640625" style="148" customWidth="1"/>
    <col min="8964" max="8964" width="32.6640625" style="148" customWidth="1"/>
    <col min="8965" max="8965" width="27" style="148" customWidth="1"/>
    <col min="8966" max="8967" width="9.1328125" style="148" customWidth="1"/>
    <col min="8968" max="8968" width="5" style="148" customWidth="1"/>
    <col min="8969" max="8970" width="9.1328125" style="148" customWidth="1"/>
    <col min="8971" max="8971" width="10.53125" style="148" customWidth="1"/>
    <col min="8972" max="9216" width="9.1328125" style="148"/>
    <col min="9217" max="9217" width="0" style="148" hidden="1" customWidth="1"/>
    <col min="9218" max="9218" width="43.46484375" style="148" customWidth="1"/>
    <col min="9219" max="9219" width="3.6640625" style="148" customWidth="1"/>
    <col min="9220" max="9220" width="32.6640625" style="148" customWidth="1"/>
    <col min="9221" max="9221" width="27" style="148" customWidth="1"/>
    <col min="9222" max="9223" width="9.1328125" style="148" customWidth="1"/>
    <col min="9224" max="9224" width="5" style="148" customWidth="1"/>
    <col min="9225" max="9226" width="9.1328125" style="148" customWidth="1"/>
    <col min="9227" max="9227" width="10.53125" style="148" customWidth="1"/>
    <col min="9228" max="9472" width="9.1328125" style="148"/>
    <col min="9473" max="9473" width="0" style="148" hidden="1" customWidth="1"/>
    <col min="9474" max="9474" width="43.46484375" style="148" customWidth="1"/>
    <col min="9475" max="9475" width="3.6640625" style="148" customWidth="1"/>
    <col min="9476" max="9476" width="32.6640625" style="148" customWidth="1"/>
    <col min="9477" max="9477" width="27" style="148" customWidth="1"/>
    <col min="9478" max="9479" width="9.1328125" style="148" customWidth="1"/>
    <col min="9480" max="9480" width="5" style="148" customWidth="1"/>
    <col min="9481" max="9482" width="9.1328125" style="148" customWidth="1"/>
    <col min="9483" max="9483" width="10.53125" style="148" customWidth="1"/>
    <col min="9484" max="9728" width="9.1328125" style="148"/>
    <col min="9729" max="9729" width="0" style="148" hidden="1" customWidth="1"/>
    <col min="9730" max="9730" width="43.46484375" style="148" customWidth="1"/>
    <col min="9731" max="9731" width="3.6640625" style="148" customWidth="1"/>
    <col min="9732" max="9732" width="32.6640625" style="148" customWidth="1"/>
    <col min="9733" max="9733" width="27" style="148" customWidth="1"/>
    <col min="9734" max="9735" width="9.1328125" style="148" customWidth="1"/>
    <col min="9736" max="9736" width="5" style="148" customWidth="1"/>
    <col min="9737" max="9738" width="9.1328125" style="148" customWidth="1"/>
    <col min="9739" max="9739" width="10.53125" style="148" customWidth="1"/>
    <col min="9740" max="9984" width="9.1328125" style="148"/>
    <col min="9985" max="9985" width="0" style="148" hidden="1" customWidth="1"/>
    <col min="9986" max="9986" width="43.46484375" style="148" customWidth="1"/>
    <col min="9987" max="9987" width="3.6640625" style="148" customWidth="1"/>
    <col min="9988" max="9988" width="32.6640625" style="148" customWidth="1"/>
    <col min="9989" max="9989" width="27" style="148" customWidth="1"/>
    <col min="9990" max="9991" width="9.1328125" style="148" customWidth="1"/>
    <col min="9992" max="9992" width="5" style="148" customWidth="1"/>
    <col min="9993" max="9994" width="9.1328125" style="148" customWidth="1"/>
    <col min="9995" max="9995" width="10.53125" style="148" customWidth="1"/>
    <col min="9996" max="10240" width="9.1328125" style="148"/>
    <col min="10241" max="10241" width="0" style="148" hidden="1" customWidth="1"/>
    <col min="10242" max="10242" width="43.46484375" style="148" customWidth="1"/>
    <col min="10243" max="10243" width="3.6640625" style="148" customWidth="1"/>
    <col min="10244" max="10244" width="32.6640625" style="148" customWidth="1"/>
    <col min="10245" max="10245" width="27" style="148" customWidth="1"/>
    <col min="10246" max="10247" width="9.1328125" style="148" customWidth="1"/>
    <col min="10248" max="10248" width="5" style="148" customWidth="1"/>
    <col min="10249" max="10250" width="9.1328125" style="148" customWidth="1"/>
    <col min="10251" max="10251" width="10.53125" style="148" customWidth="1"/>
    <col min="10252" max="10496" width="9.1328125" style="148"/>
    <col min="10497" max="10497" width="0" style="148" hidden="1" customWidth="1"/>
    <col min="10498" max="10498" width="43.46484375" style="148" customWidth="1"/>
    <col min="10499" max="10499" width="3.6640625" style="148" customWidth="1"/>
    <col min="10500" max="10500" width="32.6640625" style="148" customWidth="1"/>
    <col min="10501" max="10501" width="27" style="148" customWidth="1"/>
    <col min="10502" max="10503" width="9.1328125" style="148" customWidth="1"/>
    <col min="10504" max="10504" width="5" style="148" customWidth="1"/>
    <col min="10505" max="10506" width="9.1328125" style="148" customWidth="1"/>
    <col min="10507" max="10507" width="10.53125" style="148" customWidth="1"/>
    <col min="10508" max="10752" width="9.1328125" style="148"/>
    <col min="10753" max="10753" width="0" style="148" hidden="1" customWidth="1"/>
    <col min="10754" max="10754" width="43.46484375" style="148" customWidth="1"/>
    <col min="10755" max="10755" width="3.6640625" style="148" customWidth="1"/>
    <col min="10756" max="10756" width="32.6640625" style="148" customWidth="1"/>
    <col min="10757" max="10757" width="27" style="148" customWidth="1"/>
    <col min="10758" max="10759" width="9.1328125" style="148" customWidth="1"/>
    <col min="10760" max="10760" width="5" style="148" customWidth="1"/>
    <col min="10761" max="10762" width="9.1328125" style="148" customWidth="1"/>
    <col min="10763" max="10763" width="10.53125" style="148" customWidth="1"/>
    <col min="10764" max="11008" width="9.1328125" style="148"/>
    <col min="11009" max="11009" width="0" style="148" hidden="1" customWidth="1"/>
    <col min="11010" max="11010" width="43.46484375" style="148" customWidth="1"/>
    <col min="11011" max="11011" width="3.6640625" style="148" customWidth="1"/>
    <col min="11012" max="11012" width="32.6640625" style="148" customWidth="1"/>
    <col min="11013" max="11013" width="27" style="148" customWidth="1"/>
    <col min="11014" max="11015" width="9.1328125" style="148" customWidth="1"/>
    <col min="11016" max="11016" width="5" style="148" customWidth="1"/>
    <col min="11017" max="11018" width="9.1328125" style="148" customWidth="1"/>
    <col min="11019" max="11019" width="10.53125" style="148" customWidth="1"/>
    <col min="11020" max="11264" width="9.1328125" style="148"/>
    <col min="11265" max="11265" width="0" style="148" hidden="1" customWidth="1"/>
    <col min="11266" max="11266" width="43.46484375" style="148" customWidth="1"/>
    <col min="11267" max="11267" width="3.6640625" style="148" customWidth="1"/>
    <col min="11268" max="11268" width="32.6640625" style="148" customWidth="1"/>
    <col min="11269" max="11269" width="27" style="148" customWidth="1"/>
    <col min="11270" max="11271" width="9.1328125" style="148" customWidth="1"/>
    <col min="11272" max="11272" width="5" style="148" customWidth="1"/>
    <col min="11273" max="11274" width="9.1328125" style="148" customWidth="1"/>
    <col min="11275" max="11275" width="10.53125" style="148" customWidth="1"/>
    <col min="11276" max="11520" width="9.1328125" style="148"/>
    <col min="11521" max="11521" width="0" style="148" hidden="1" customWidth="1"/>
    <col min="11522" max="11522" width="43.46484375" style="148" customWidth="1"/>
    <col min="11523" max="11523" width="3.6640625" style="148" customWidth="1"/>
    <col min="11524" max="11524" width="32.6640625" style="148" customWidth="1"/>
    <col min="11525" max="11525" width="27" style="148" customWidth="1"/>
    <col min="11526" max="11527" width="9.1328125" style="148" customWidth="1"/>
    <col min="11528" max="11528" width="5" style="148" customWidth="1"/>
    <col min="11529" max="11530" width="9.1328125" style="148" customWidth="1"/>
    <col min="11531" max="11531" width="10.53125" style="148" customWidth="1"/>
    <col min="11532" max="11776" width="9.1328125" style="148"/>
    <col min="11777" max="11777" width="0" style="148" hidden="1" customWidth="1"/>
    <col min="11778" max="11778" width="43.46484375" style="148" customWidth="1"/>
    <col min="11779" max="11779" width="3.6640625" style="148" customWidth="1"/>
    <col min="11780" max="11780" width="32.6640625" style="148" customWidth="1"/>
    <col min="11781" max="11781" width="27" style="148" customWidth="1"/>
    <col min="11782" max="11783" width="9.1328125" style="148" customWidth="1"/>
    <col min="11784" max="11784" width="5" style="148" customWidth="1"/>
    <col min="11785" max="11786" width="9.1328125" style="148" customWidth="1"/>
    <col min="11787" max="11787" width="10.53125" style="148" customWidth="1"/>
    <col min="11788" max="12032" width="9.1328125" style="148"/>
    <col min="12033" max="12033" width="0" style="148" hidden="1" customWidth="1"/>
    <col min="12034" max="12034" width="43.46484375" style="148" customWidth="1"/>
    <col min="12035" max="12035" width="3.6640625" style="148" customWidth="1"/>
    <col min="12036" max="12036" width="32.6640625" style="148" customWidth="1"/>
    <col min="12037" max="12037" width="27" style="148" customWidth="1"/>
    <col min="12038" max="12039" width="9.1328125" style="148" customWidth="1"/>
    <col min="12040" max="12040" width="5" style="148" customWidth="1"/>
    <col min="12041" max="12042" width="9.1328125" style="148" customWidth="1"/>
    <col min="12043" max="12043" width="10.53125" style="148" customWidth="1"/>
    <col min="12044" max="12288" width="9.1328125" style="148"/>
    <col min="12289" max="12289" width="0" style="148" hidden="1" customWidth="1"/>
    <col min="12290" max="12290" width="43.46484375" style="148" customWidth="1"/>
    <col min="12291" max="12291" width="3.6640625" style="148" customWidth="1"/>
    <col min="12292" max="12292" width="32.6640625" style="148" customWidth="1"/>
    <col min="12293" max="12293" width="27" style="148" customWidth="1"/>
    <col min="12294" max="12295" width="9.1328125" style="148" customWidth="1"/>
    <col min="12296" max="12296" width="5" style="148" customWidth="1"/>
    <col min="12297" max="12298" width="9.1328125" style="148" customWidth="1"/>
    <col min="12299" max="12299" width="10.53125" style="148" customWidth="1"/>
    <col min="12300" max="12544" width="9.1328125" style="148"/>
    <col min="12545" max="12545" width="0" style="148" hidden="1" customWidth="1"/>
    <col min="12546" max="12546" width="43.46484375" style="148" customWidth="1"/>
    <col min="12547" max="12547" width="3.6640625" style="148" customWidth="1"/>
    <col min="12548" max="12548" width="32.6640625" style="148" customWidth="1"/>
    <col min="12549" max="12549" width="27" style="148" customWidth="1"/>
    <col min="12550" max="12551" width="9.1328125" style="148" customWidth="1"/>
    <col min="12552" max="12552" width="5" style="148" customWidth="1"/>
    <col min="12553" max="12554" width="9.1328125" style="148" customWidth="1"/>
    <col min="12555" max="12555" width="10.53125" style="148" customWidth="1"/>
    <col min="12556" max="12800" width="9.1328125" style="148"/>
    <col min="12801" max="12801" width="0" style="148" hidden="1" customWidth="1"/>
    <col min="12802" max="12802" width="43.46484375" style="148" customWidth="1"/>
    <col min="12803" max="12803" width="3.6640625" style="148" customWidth="1"/>
    <col min="12804" max="12804" width="32.6640625" style="148" customWidth="1"/>
    <col min="12805" max="12805" width="27" style="148" customWidth="1"/>
    <col min="12806" max="12807" width="9.1328125" style="148" customWidth="1"/>
    <col min="12808" max="12808" width="5" style="148" customWidth="1"/>
    <col min="12809" max="12810" width="9.1328125" style="148" customWidth="1"/>
    <col min="12811" max="12811" width="10.53125" style="148" customWidth="1"/>
    <col min="12812" max="13056" width="9.1328125" style="148"/>
    <col min="13057" max="13057" width="0" style="148" hidden="1" customWidth="1"/>
    <col min="13058" max="13058" width="43.46484375" style="148" customWidth="1"/>
    <col min="13059" max="13059" width="3.6640625" style="148" customWidth="1"/>
    <col min="13060" max="13060" width="32.6640625" style="148" customWidth="1"/>
    <col min="13061" max="13061" width="27" style="148" customWidth="1"/>
    <col min="13062" max="13063" width="9.1328125" style="148" customWidth="1"/>
    <col min="13064" max="13064" width="5" style="148" customWidth="1"/>
    <col min="13065" max="13066" width="9.1328125" style="148" customWidth="1"/>
    <col min="13067" max="13067" width="10.53125" style="148" customWidth="1"/>
    <col min="13068" max="13312" width="9.1328125" style="148"/>
    <col min="13313" max="13313" width="0" style="148" hidden="1" customWidth="1"/>
    <col min="13314" max="13314" width="43.46484375" style="148" customWidth="1"/>
    <col min="13315" max="13315" width="3.6640625" style="148" customWidth="1"/>
    <col min="13316" max="13316" width="32.6640625" style="148" customWidth="1"/>
    <col min="13317" max="13317" width="27" style="148" customWidth="1"/>
    <col min="13318" max="13319" width="9.1328125" style="148" customWidth="1"/>
    <col min="13320" max="13320" width="5" style="148" customWidth="1"/>
    <col min="13321" max="13322" width="9.1328125" style="148" customWidth="1"/>
    <col min="13323" max="13323" width="10.53125" style="148" customWidth="1"/>
    <col min="13324" max="13568" width="9.1328125" style="148"/>
    <col min="13569" max="13569" width="0" style="148" hidden="1" customWidth="1"/>
    <col min="13570" max="13570" width="43.46484375" style="148" customWidth="1"/>
    <col min="13571" max="13571" width="3.6640625" style="148" customWidth="1"/>
    <col min="13572" max="13572" width="32.6640625" style="148" customWidth="1"/>
    <col min="13573" max="13573" width="27" style="148" customWidth="1"/>
    <col min="13574" max="13575" width="9.1328125" style="148" customWidth="1"/>
    <col min="13576" max="13576" width="5" style="148" customWidth="1"/>
    <col min="13577" max="13578" width="9.1328125" style="148" customWidth="1"/>
    <col min="13579" max="13579" width="10.53125" style="148" customWidth="1"/>
    <col min="13580" max="13824" width="9.1328125" style="148"/>
    <col min="13825" max="13825" width="0" style="148" hidden="1" customWidth="1"/>
    <col min="13826" max="13826" width="43.46484375" style="148" customWidth="1"/>
    <col min="13827" max="13827" width="3.6640625" style="148" customWidth="1"/>
    <col min="13828" max="13828" width="32.6640625" style="148" customWidth="1"/>
    <col min="13829" max="13829" width="27" style="148" customWidth="1"/>
    <col min="13830" max="13831" width="9.1328125" style="148" customWidth="1"/>
    <col min="13832" max="13832" width="5" style="148" customWidth="1"/>
    <col min="13833" max="13834" width="9.1328125" style="148" customWidth="1"/>
    <col min="13835" max="13835" width="10.53125" style="148" customWidth="1"/>
    <col min="13836" max="14080" width="9.1328125" style="148"/>
    <col min="14081" max="14081" width="0" style="148" hidden="1" customWidth="1"/>
    <col min="14082" max="14082" width="43.46484375" style="148" customWidth="1"/>
    <col min="14083" max="14083" width="3.6640625" style="148" customWidth="1"/>
    <col min="14084" max="14084" width="32.6640625" style="148" customWidth="1"/>
    <col min="14085" max="14085" width="27" style="148" customWidth="1"/>
    <col min="14086" max="14087" width="9.1328125" style="148" customWidth="1"/>
    <col min="14088" max="14088" width="5" style="148" customWidth="1"/>
    <col min="14089" max="14090" width="9.1328125" style="148" customWidth="1"/>
    <col min="14091" max="14091" width="10.53125" style="148" customWidth="1"/>
    <col min="14092" max="14336" width="9.1328125" style="148"/>
    <col min="14337" max="14337" width="0" style="148" hidden="1" customWidth="1"/>
    <col min="14338" max="14338" width="43.46484375" style="148" customWidth="1"/>
    <col min="14339" max="14339" width="3.6640625" style="148" customWidth="1"/>
    <col min="14340" max="14340" width="32.6640625" style="148" customWidth="1"/>
    <col min="14341" max="14341" width="27" style="148" customWidth="1"/>
    <col min="14342" max="14343" width="9.1328125" style="148" customWidth="1"/>
    <col min="14344" max="14344" width="5" style="148" customWidth="1"/>
    <col min="14345" max="14346" width="9.1328125" style="148" customWidth="1"/>
    <col min="14347" max="14347" width="10.53125" style="148" customWidth="1"/>
    <col min="14348" max="14592" width="9.1328125" style="148"/>
    <col min="14593" max="14593" width="0" style="148" hidden="1" customWidth="1"/>
    <col min="14594" max="14594" width="43.46484375" style="148" customWidth="1"/>
    <col min="14595" max="14595" width="3.6640625" style="148" customWidth="1"/>
    <col min="14596" max="14596" width="32.6640625" style="148" customWidth="1"/>
    <col min="14597" max="14597" width="27" style="148" customWidth="1"/>
    <col min="14598" max="14599" width="9.1328125" style="148" customWidth="1"/>
    <col min="14600" max="14600" width="5" style="148" customWidth="1"/>
    <col min="14601" max="14602" width="9.1328125" style="148" customWidth="1"/>
    <col min="14603" max="14603" width="10.53125" style="148" customWidth="1"/>
    <col min="14604" max="14848" width="9.1328125" style="148"/>
    <col min="14849" max="14849" width="0" style="148" hidden="1" customWidth="1"/>
    <col min="14850" max="14850" width="43.46484375" style="148" customWidth="1"/>
    <col min="14851" max="14851" width="3.6640625" style="148" customWidth="1"/>
    <col min="14852" max="14852" width="32.6640625" style="148" customWidth="1"/>
    <col min="14853" max="14853" width="27" style="148" customWidth="1"/>
    <col min="14854" max="14855" width="9.1328125" style="148" customWidth="1"/>
    <col min="14856" max="14856" width="5" style="148" customWidth="1"/>
    <col min="14857" max="14858" width="9.1328125" style="148" customWidth="1"/>
    <col min="14859" max="14859" width="10.53125" style="148" customWidth="1"/>
    <col min="14860" max="15104" width="9.1328125" style="148"/>
    <col min="15105" max="15105" width="0" style="148" hidden="1" customWidth="1"/>
    <col min="15106" max="15106" width="43.46484375" style="148" customWidth="1"/>
    <col min="15107" max="15107" width="3.6640625" style="148" customWidth="1"/>
    <col min="15108" max="15108" width="32.6640625" style="148" customWidth="1"/>
    <col min="15109" max="15109" width="27" style="148" customWidth="1"/>
    <col min="15110" max="15111" width="9.1328125" style="148" customWidth="1"/>
    <col min="15112" max="15112" width="5" style="148" customWidth="1"/>
    <col min="15113" max="15114" width="9.1328125" style="148" customWidth="1"/>
    <col min="15115" max="15115" width="10.53125" style="148" customWidth="1"/>
    <col min="15116" max="15360" width="9.1328125" style="148"/>
    <col min="15361" max="15361" width="0" style="148" hidden="1" customWidth="1"/>
    <col min="15362" max="15362" width="43.46484375" style="148" customWidth="1"/>
    <col min="15363" max="15363" width="3.6640625" style="148" customWidth="1"/>
    <col min="15364" max="15364" width="32.6640625" style="148" customWidth="1"/>
    <col min="15365" max="15365" width="27" style="148" customWidth="1"/>
    <col min="15366" max="15367" width="9.1328125" style="148" customWidth="1"/>
    <col min="15368" max="15368" width="5" style="148" customWidth="1"/>
    <col min="15369" max="15370" width="9.1328125" style="148" customWidth="1"/>
    <col min="15371" max="15371" width="10.53125" style="148" customWidth="1"/>
    <col min="15372" max="15616" width="9.1328125" style="148"/>
    <col min="15617" max="15617" width="0" style="148" hidden="1" customWidth="1"/>
    <col min="15618" max="15618" width="43.46484375" style="148" customWidth="1"/>
    <col min="15619" max="15619" width="3.6640625" style="148" customWidth="1"/>
    <col min="15620" max="15620" width="32.6640625" style="148" customWidth="1"/>
    <col min="15621" max="15621" width="27" style="148" customWidth="1"/>
    <col min="15622" max="15623" width="9.1328125" style="148" customWidth="1"/>
    <col min="15624" max="15624" width="5" style="148" customWidth="1"/>
    <col min="15625" max="15626" width="9.1328125" style="148" customWidth="1"/>
    <col min="15627" max="15627" width="10.53125" style="148" customWidth="1"/>
    <col min="15628" max="15872" width="9.1328125" style="148"/>
    <col min="15873" max="15873" width="0" style="148" hidden="1" customWidth="1"/>
    <col min="15874" max="15874" width="43.46484375" style="148" customWidth="1"/>
    <col min="15875" max="15875" width="3.6640625" style="148" customWidth="1"/>
    <col min="15876" max="15876" width="32.6640625" style="148" customWidth="1"/>
    <col min="15877" max="15877" width="27" style="148" customWidth="1"/>
    <col min="15878" max="15879" width="9.1328125" style="148" customWidth="1"/>
    <col min="15880" max="15880" width="5" style="148" customWidth="1"/>
    <col min="15881" max="15882" width="9.1328125" style="148" customWidth="1"/>
    <col min="15883" max="15883" width="10.53125" style="148" customWidth="1"/>
    <col min="15884" max="16128" width="9.1328125" style="148"/>
    <col min="16129" max="16129" width="0" style="148" hidden="1" customWidth="1"/>
    <col min="16130" max="16130" width="43.46484375" style="148" customWidth="1"/>
    <col min="16131" max="16131" width="3.6640625" style="148" customWidth="1"/>
    <col min="16132" max="16132" width="32.6640625" style="148" customWidth="1"/>
    <col min="16133" max="16133" width="27" style="148" customWidth="1"/>
    <col min="16134" max="16135" width="9.1328125" style="148" customWidth="1"/>
    <col min="16136" max="16136" width="5" style="148" customWidth="1"/>
    <col min="16137" max="16138" width="9.1328125" style="148" customWidth="1"/>
    <col min="16139" max="16139" width="10.53125" style="148" customWidth="1"/>
    <col min="16140" max="16384" width="9.1328125" style="148"/>
  </cols>
  <sheetData>
    <row r="1" spans="1:256" ht="12.75" customHeight="1">
      <c r="B1" s="63"/>
    </row>
    <row r="2" spans="1:256" s="157" customFormat="1" ht="21" customHeight="1">
      <c r="A2" s="148"/>
      <c r="B2" s="3187" t="s">
        <v>0</v>
      </c>
      <c r="C2" s="149"/>
      <c r="D2" s="3479" t="s">
        <v>1165</v>
      </c>
      <c r="E2" s="3480"/>
      <c r="F2" s="3480"/>
      <c r="G2" s="3480"/>
      <c r="H2" s="3480"/>
      <c r="I2" s="3480"/>
      <c r="J2" s="3480"/>
      <c r="K2" s="3480"/>
      <c r="L2" s="155"/>
      <c r="M2" s="155"/>
      <c r="N2" s="155"/>
      <c r="O2" s="155"/>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c r="GY2" s="156"/>
      <c r="GZ2" s="156"/>
      <c r="HA2" s="156"/>
      <c r="HB2" s="156"/>
      <c r="HC2" s="156"/>
      <c r="HD2" s="156"/>
      <c r="HE2" s="156"/>
      <c r="HF2" s="156"/>
      <c r="HG2" s="156"/>
      <c r="HH2" s="156"/>
      <c r="HI2" s="156"/>
      <c r="HJ2" s="156"/>
      <c r="HK2" s="156"/>
      <c r="HL2" s="156"/>
      <c r="HM2" s="156"/>
      <c r="HN2" s="156"/>
      <c r="HO2" s="156"/>
      <c r="HP2" s="156"/>
      <c r="HQ2" s="156"/>
      <c r="HR2" s="156"/>
      <c r="HS2" s="156"/>
      <c r="HT2" s="156"/>
      <c r="HU2" s="156"/>
      <c r="HV2" s="156"/>
      <c r="HW2" s="156"/>
      <c r="HX2" s="156"/>
      <c r="HY2" s="156"/>
      <c r="HZ2" s="156"/>
      <c r="IA2" s="156"/>
      <c r="IB2" s="156"/>
      <c r="IC2" s="156"/>
      <c r="ID2" s="156"/>
      <c r="IE2" s="156"/>
      <c r="IF2" s="156"/>
      <c r="IG2" s="156"/>
      <c r="IH2" s="156"/>
      <c r="II2" s="156"/>
      <c r="IJ2" s="156"/>
      <c r="IK2" s="156"/>
      <c r="IL2" s="156"/>
      <c r="IM2" s="156"/>
      <c r="IN2" s="156"/>
      <c r="IO2" s="156"/>
      <c r="IP2" s="156"/>
      <c r="IQ2" s="156"/>
      <c r="IR2" s="156"/>
      <c r="IS2" s="156"/>
      <c r="IT2" s="156"/>
      <c r="IU2" s="156"/>
      <c r="IV2" s="156"/>
    </row>
    <row r="3" spans="1:256" s="157" customFormat="1" ht="21" customHeight="1">
      <c r="A3" s="148"/>
      <c r="B3" s="3187"/>
      <c r="C3" s="149"/>
      <c r="D3" s="3480"/>
      <c r="E3" s="3480"/>
      <c r="F3" s="3480"/>
      <c r="G3" s="3480"/>
      <c r="H3" s="3480"/>
      <c r="I3" s="3480"/>
      <c r="J3" s="3480"/>
      <c r="K3" s="3480"/>
    </row>
    <row r="4" spans="1:256" ht="21" customHeight="1">
      <c r="B4" s="63"/>
      <c r="C4" s="150"/>
      <c r="D4" s="151"/>
      <c r="E4" s="150"/>
      <c r="F4" s="150"/>
      <c r="G4" s="150"/>
      <c r="H4" s="150"/>
      <c r="I4" s="150"/>
      <c r="J4" s="150"/>
      <c r="K4" s="150"/>
    </row>
    <row r="5" spans="1:256" ht="21" customHeight="1">
      <c r="B5" s="62" t="s">
        <v>1</v>
      </c>
      <c r="D5" s="152"/>
    </row>
    <row r="6" spans="1:256" ht="21" customHeight="1">
      <c r="B6" s="397" t="s">
        <v>452</v>
      </c>
      <c r="D6" s="153"/>
    </row>
    <row r="7" spans="1:256" ht="21" customHeight="1">
      <c r="B7" s="62" t="s">
        <v>239</v>
      </c>
    </row>
    <row r="8" spans="1:256" ht="21" customHeight="1">
      <c r="B8" s="62" t="s">
        <v>1263</v>
      </c>
    </row>
    <row r="9" spans="1:256" ht="21" customHeight="1">
      <c r="B9" s="62" t="s">
        <v>557</v>
      </c>
      <c r="D9" s="152"/>
    </row>
    <row r="10" spans="1:256" ht="21" customHeight="1">
      <c r="B10" s="62" t="s">
        <v>238</v>
      </c>
      <c r="D10" s="153"/>
    </row>
    <row r="11" spans="1:256" ht="21" customHeight="1">
      <c r="B11" s="62" t="s">
        <v>1652</v>
      </c>
      <c r="D11" s="153"/>
    </row>
    <row r="12" spans="1:256" ht="21" customHeight="1">
      <c r="B12" s="146" t="s">
        <v>1653</v>
      </c>
      <c r="D12" s="153"/>
    </row>
    <row r="13" spans="1:256" ht="21" customHeight="1">
      <c r="B13" s="145" t="s">
        <v>555</v>
      </c>
      <c r="D13" s="153"/>
    </row>
    <row r="14" spans="1:256" ht="21" customHeight="1">
      <c r="B14" s="147" t="s">
        <v>685</v>
      </c>
      <c r="D14" s="153"/>
    </row>
    <row r="15" spans="1:256" ht="21" customHeight="1">
      <c r="B15" s="145" t="s">
        <v>1164</v>
      </c>
      <c r="D15" s="152"/>
    </row>
    <row r="16" spans="1:256" ht="21" customHeight="1">
      <c r="B16" s="145" t="s">
        <v>701</v>
      </c>
      <c r="D16" s="153"/>
    </row>
    <row r="17" spans="2:4" ht="21" customHeight="1">
      <c r="B17" s="145" t="s">
        <v>700</v>
      </c>
      <c r="D17" s="153"/>
    </row>
    <row r="18" spans="2:4" ht="21" customHeight="1">
      <c r="B18" s="145" t="s">
        <v>748</v>
      </c>
      <c r="D18" s="153"/>
    </row>
    <row r="19" spans="2:4" ht="21" customHeight="1">
      <c r="B19" s="145" t="s">
        <v>1157</v>
      </c>
      <c r="D19" s="152"/>
    </row>
    <row r="20" spans="2:4" ht="21" customHeight="1">
      <c r="B20" s="145" t="s">
        <v>1155</v>
      </c>
      <c r="D20" s="153"/>
    </row>
    <row r="21" spans="2:4" ht="21" customHeight="1">
      <c r="B21" s="145" t="s">
        <v>1158</v>
      </c>
      <c r="D21" s="153"/>
    </row>
    <row r="22" spans="2:4" ht="21" customHeight="1">
      <c r="B22" s="145" t="s">
        <v>1324</v>
      </c>
      <c r="D22" s="154"/>
    </row>
    <row r="23" spans="2:4" ht="21" customHeight="1">
      <c r="B23" s="62" t="s">
        <v>40</v>
      </c>
      <c r="D23" s="152"/>
    </row>
    <row r="24" spans="2:4" ht="21" customHeight="1">
      <c r="B24" s="62" t="s">
        <v>238</v>
      </c>
      <c r="D24" s="153"/>
    </row>
    <row r="25" spans="2:4" ht="21" customHeight="1">
      <c r="B25" s="62" t="s">
        <v>39</v>
      </c>
      <c r="D25" s="153"/>
    </row>
    <row r="26" spans="2:4" ht="21" customHeight="1">
      <c r="B26" s="62" t="s">
        <v>38</v>
      </c>
      <c r="D26" s="153"/>
    </row>
    <row r="27" spans="2:4" ht="21" customHeight="1">
      <c r="B27" s="62"/>
      <c r="D27" s="153"/>
    </row>
    <row r="28" spans="2:4" ht="21" customHeight="1">
      <c r="B28" s="63"/>
      <c r="D28" s="153"/>
    </row>
    <row r="29" spans="2:4" ht="21" customHeight="1">
      <c r="B29" s="63"/>
      <c r="D29" s="153"/>
    </row>
    <row r="30" spans="2:4" ht="21" customHeight="1">
      <c r="B30" s="143"/>
      <c r="D30" s="153"/>
    </row>
    <row r="31" spans="2:4" ht="21" customHeight="1">
      <c r="B31" s="143"/>
      <c r="D31" s="153"/>
    </row>
    <row r="32" spans="2:4" ht="21" customHeight="1">
      <c r="B32" s="143"/>
    </row>
    <row r="33" spans="2:2" ht="21" customHeight="1">
      <c r="B33" s="143"/>
    </row>
    <row r="34" spans="2:2" ht="21" customHeight="1">
      <c r="B34" s="1255" t="s">
        <v>550</v>
      </c>
    </row>
    <row r="35" spans="2:2" ht="21" customHeight="1">
      <c r="B35" s="143"/>
    </row>
    <row r="36" spans="2:2" ht="21" customHeight="1">
      <c r="B36" s="143"/>
    </row>
    <row r="37" spans="2:2" ht="21" customHeight="1">
      <c r="B37" s="143"/>
    </row>
    <row r="38" spans="2:2" ht="18" customHeight="1">
      <c r="B38" s="143"/>
    </row>
    <row r="39" spans="2:2" ht="18" customHeight="1">
      <c r="B39" s="143"/>
    </row>
    <row r="40" spans="2:2" ht="18" customHeight="1">
      <c r="B40" s="143"/>
    </row>
    <row r="41" spans="2:2" ht="18" customHeight="1">
      <c r="B41" s="143"/>
    </row>
    <row r="42" spans="2:2" ht="18" customHeight="1">
      <c r="B42" s="143"/>
    </row>
    <row r="43" spans="2:2" ht="18" customHeight="1">
      <c r="B43" s="143"/>
    </row>
    <row r="44" spans="2:2" ht="18" customHeight="1">
      <c r="B44" s="143"/>
    </row>
    <row r="45" spans="2:2" ht="18" customHeight="1">
      <c r="B45" s="143"/>
    </row>
    <row r="46" spans="2:2" ht="18" customHeight="1">
      <c r="B46" s="143"/>
    </row>
    <row r="47" spans="2:2" ht="18" customHeight="1">
      <c r="B47" s="143"/>
    </row>
    <row r="48" spans="2:2" ht="18" customHeight="1">
      <c r="B48" s="143"/>
    </row>
    <row r="49" spans="2:2" ht="18" customHeight="1">
      <c r="B49" s="143"/>
    </row>
    <row r="50" spans="2:2" ht="18" customHeight="1">
      <c r="B50" s="1255" t="s">
        <v>550</v>
      </c>
    </row>
    <row r="51" spans="2:2" ht="18" customHeight="1">
      <c r="B51" s="143"/>
    </row>
    <row r="52" spans="2:2" ht="18" customHeight="1">
      <c r="B52" s="143"/>
    </row>
    <row r="53" spans="2:2" ht="18" customHeight="1">
      <c r="B53" s="143"/>
    </row>
    <row r="54" spans="2:2" ht="18" customHeight="1">
      <c r="B54" s="143"/>
    </row>
    <row r="55" spans="2:2">
      <c r="B55" s="143"/>
    </row>
    <row r="56" spans="2:2">
      <c r="B56" s="143"/>
    </row>
    <row r="57" spans="2:2">
      <c r="B57" s="143"/>
    </row>
    <row r="58" spans="2:2">
      <c r="B58" s="143"/>
    </row>
    <row r="59" spans="2:2">
      <c r="B59" s="143"/>
    </row>
    <row r="60" spans="2:2">
      <c r="B60" s="143"/>
    </row>
    <row r="61" spans="2:2">
      <c r="B61" s="143"/>
    </row>
    <row r="62" spans="2:2">
      <c r="B62" s="143"/>
    </row>
    <row r="63" spans="2:2">
      <c r="B63" s="143"/>
    </row>
    <row r="64" spans="2:2">
      <c r="B64" s="143"/>
    </row>
    <row r="65" spans="2:2">
      <c r="B65" s="143"/>
    </row>
    <row r="66" spans="2:2">
      <c r="B66" s="143"/>
    </row>
    <row r="67" spans="2:2">
      <c r="B67" s="143"/>
    </row>
    <row r="68" spans="2:2">
      <c r="B68" s="143"/>
    </row>
    <row r="69" spans="2:2">
      <c r="B69" s="143"/>
    </row>
    <row r="70" spans="2:2">
      <c r="B70" s="143"/>
    </row>
    <row r="71" spans="2:2">
      <c r="B71" s="143"/>
    </row>
    <row r="72" spans="2:2">
      <c r="B72" s="143"/>
    </row>
    <row r="73" spans="2:2">
      <c r="B73" s="143"/>
    </row>
    <row r="74" spans="2:2">
      <c r="B74" s="143"/>
    </row>
    <row r="75" spans="2:2">
      <c r="B75" s="143"/>
    </row>
    <row r="76" spans="2:2">
      <c r="B76" s="143"/>
    </row>
    <row r="77" spans="2:2">
      <c r="B77" s="143"/>
    </row>
    <row r="78" spans="2:2">
      <c r="B78" s="143"/>
    </row>
    <row r="79" spans="2:2">
      <c r="B79" s="143"/>
    </row>
    <row r="80" spans="2:2">
      <c r="B80" s="143"/>
    </row>
    <row r="81" spans="2:2">
      <c r="B81" s="143"/>
    </row>
    <row r="82" spans="2:2">
      <c r="B82" s="143"/>
    </row>
    <row r="83" spans="2:2">
      <c r="B83" s="143"/>
    </row>
    <row r="84" spans="2:2">
      <c r="B84" s="1255" t="s">
        <v>550</v>
      </c>
    </row>
    <row r="85" spans="2:2">
      <c r="B85" s="143"/>
    </row>
    <row r="86" spans="2:2">
      <c r="B86" s="143"/>
    </row>
    <row r="87" spans="2:2">
      <c r="B87" s="143"/>
    </row>
    <row r="88" spans="2:2">
      <c r="B88" s="143"/>
    </row>
    <row r="89" spans="2:2">
      <c r="B89" s="143"/>
    </row>
    <row r="90" spans="2:2">
      <c r="B90" s="143"/>
    </row>
    <row r="91" spans="2:2">
      <c r="B91" s="143"/>
    </row>
    <row r="92" spans="2:2">
      <c r="B92" s="143"/>
    </row>
    <row r="93" spans="2:2">
      <c r="B93" s="143"/>
    </row>
    <row r="94" spans="2:2">
      <c r="B94" s="143"/>
    </row>
    <row r="95" spans="2:2">
      <c r="B95" s="143"/>
    </row>
    <row r="96" spans="2:2">
      <c r="B96" s="143"/>
    </row>
    <row r="97" spans="2:2">
      <c r="B97" s="143"/>
    </row>
    <row r="98" spans="2:2">
      <c r="B98" s="143"/>
    </row>
    <row r="99" spans="2:2">
      <c r="B99" s="143"/>
    </row>
    <row r="100" spans="2:2">
      <c r="B100" s="143"/>
    </row>
    <row r="101" spans="2:2">
      <c r="B101" s="143"/>
    </row>
    <row r="102" spans="2:2">
      <c r="B102" s="143"/>
    </row>
    <row r="103" spans="2:2">
      <c r="B103" s="143"/>
    </row>
    <row r="104" spans="2:2">
      <c r="B104" s="143"/>
    </row>
    <row r="105" spans="2:2">
      <c r="B105" s="143"/>
    </row>
    <row r="106" spans="2:2">
      <c r="B106" s="143"/>
    </row>
    <row r="107" spans="2:2">
      <c r="B107" s="143"/>
    </row>
    <row r="108" spans="2:2">
      <c r="B108" s="143"/>
    </row>
    <row r="109" spans="2:2">
      <c r="B109" s="143"/>
    </row>
    <row r="118" spans="2:2">
      <c r="B118" s="1255" t="s">
        <v>550</v>
      </c>
    </row>
    <row r="148" spans="2:2">
      <c r="B148" s="1255" t="s">
        <v>550</v>
      </c>
    </row>
    <row r="174" spans="2:2">
      <c r="B174" s="1255" t="s">
        <v>550</v>
      </c>
    </row>
    <row r="201" spans="2:2">
      <c r="B201" s="1255" t="s">
        <v>550</v>
      </c>
    </row>
    <row r="234" spans="2:2">
      <c r="B234" s="1255" t="s">
        <v>550</v>
      </c>
    </row>
    <row r="257" spans="2:2">
      <c r="B257" s="1255" t="s">
        <v>550</v>
      </c>
    </row>
    <row r="288" spans="2:2">
      <c r="B288" s="1255" t="s">
        <v>550</v>
      </c>
    </row>
    <row r="320" spans="2:2">
      <c r="B320" s="1255" t="s">
        <v>550</v>
      </c>
    </row>
    <row r="348" spans="2:2">
      <c r="B348" s="1255" t="s">
        <v>550</v>
      </c>
    </row>
    <row r="367" spans="2:2">
      <c r="B367" s="1255" t="s">
        <v>550</v>
      </c>
    </row>
  </sheetData>
  <mergeCells count="2">
    <mergeCell ref="B2:B3"/>
    <mergeCell ref="D2:K3"/>
  </mergeCells>
  <hyperlinks>
    <hyperlink ref="B2:B3" location="Home!A1" display="HOME" xr:uid="{DB45B007-D1FD-493B-B6B1-EBB3F49FF739}"/>
    <hyperlink ref="B34" location="'Guidelines - ISGOTT-6 '!A1" display="Go to Up" xr:uid="{CF147491-E854-47A2-A081-38C8D636F596}"/>
    <hyperlink ref="B50" location="'Guidelines - ISGOTT-6 '!A1" display="Go to Up" xr:uid="{D0030278-6C9D-4513-8B57-B64094E7C201}"/>
    <hyperlink ref="B84" location="'Guidelines - ISGOTT-6 '!A1" display="Go to Up" xr:uid="{D33CD4B3-B068-4365-A32A-8CB6444C52F3}"/>
    <hyperlink ref="B118" location="'Guidelines - ISGOTT-6 '!A1" display="Go to Up" xr:uid="{2BF5817E-5093-429B-9D37-22A3D6601E63}"/>
    <hyperlink ref="B148" location="'Guidelines - ISGOTT-6 '!A1" display="Go to Up" xr:uid="{5FB94FE3-4459-46B8-A1EE-4BBCAA1424D6}"/>
    <hyperlink ref="B174" location="'Guidelines - ISGOTT-6 '!A1" display="Go to Up" xr:uid="{C667F0B6-2632-403C-84BB-5F90682A8B8A}"/>
    <hyperlink ref="B201" location="'Guidelines - ISGOTT-6 '!A1" display="Go to Up" xr:uid="{CBE2287D-15B1-4C45-831E-A3A7D533F495}"/>
    <hyperlink ref="B234" location="'Guidelines - ISGOTT-6 '!A1" display="Go to Up" xr:uid="{C611F020-CCDC-402F-9411-77FEB3AD7C3F}"/>
    <hyperlink ref="B257" location="'Guidelines - ISGOTT-6 '!A1" display="Go to Up" xr:uid="{6FC5D617-2495-469C-B2E1-5ECA31036041}"/>
    <hyperlink ref="B288" location="'Guidelines - ISGOTT-6 '!A1" display="Go to Up" xr:uid="{AFFB836A-507E-4148-A020-EEF5AE4ADA2F}"/>
    <hyperlink ref="B320" location="'Guidelines - ISGOTT-6 '!A1" display="Go to Up" xr:uid="{72E2CFEF-D7D6-4056-9910-DA3573D25C7F}"/>
    <hyperlink ref="B26" location="Disclaimer!A1" display="Disclaimer" xr:uid="{DC9E6EBB-939A-4385-A933-1AA6FC1917FC}"/>
    <hyperlink ref="B25" location="Help!A1" display="Help" xr:uid="{B09E4634-27F7-4125-9670-219CC167AF3A}"/>
    <hyperlink ref="B23" location="'Source - Links'!A1" display="SOURCE / LINKS" xr:uid="{DC6347F8-D381-4C57-B841-451F97618ADB}"/>
    <hyperlink ref="B13" location="'Guidelines - Bottom Lines'!A1" display="• Calculation of bottom lines" xr:uid="{C3E2589B-C31D-4C51-8AE6-2FA5D865397E}"/>
    <hyperlink ref="B14" location="'Guidelines - ISGOTT-6 '!A1" display="• ISGOTT Sixth Edition" xr:uid="{34D6CD96-A83E-4EDC-81C2-360ED1E05976}"/>
    <hyperlink ref="B16" location="'Guidelines - Wedge Forla (1)'!A1" display="• Wedge formula - API MPMS" xr:uid="{F0A7B988-A198-43FE-A7C1-DDE1E0897E46}"/>
    <hyperlink ref="B17" location="'Guidelines - Wedge Forla (2)'!A1" display="• Wedge formula - Saybolt" xr:uid="{3A9B527F-D439-42C4-BF51-BBAB9FFBAB9C}"/>
    <hyperlink ref="B18" location="'Guidelines - Wedge Formulas'!A1" display="• Wedge formulas" xr:uid="{6A574944-A4BF-4519-B1CF-22CE085857E2}"/>
    <hyperlink ref="B19" location="'Guidelines - Commingling Calc'!A1" display="• Commingling Calculation" xr:uid="{B846E504-4135-42E3-9DFC-95560F75E1CC}"/>
    <hyperlink ref="B20" location="'Guidelines - SOLAS'!A1" display="• SOLAS" xr:uid="{BCA31A5F-0DFF-4BA0-9F1E-6678E5C4DF82}"/>
    <hyperlink ref="B21" location="'Guidelines - SOLAS compliance'!A1" display="• SOLAS compliance" xr:uid="{8AD545F8-2C99-4694-BB52-C3BCA3952B99}"/>
    <hyperlink ref="B15" location="'Guidelines - Wedge Forla (0)'!A1" display="• Wedge formula - ISO-8697-1999 " xr:uid="{D6AD67DB-14C9-4AE7-BC8A-C2B25C0C53BA}"/>
    <hyperlink ref="B348" location="'Guidelines - ISGOTT-6 '!A1" display="Go to Up" xr:uid="{7C7A27D1-C933-4BED-A3D0-9D58AE952183}"/>
    <hyperlink ref="B367" location="'Guidelines - ISGOTT-6 '!A1" display="Go to Up" xr:uid="{B1101868-3B9C-40A4-9333-23079776653A}"/>
    <hyperlink ref="B5" location="'Documents Manager'!A1" display="DOCUMENTS MANAGER" xr:uid="{B1C76AEB-1E56-4888-B37E-99ECE6B8E963}"/>
    <hyperlink ref="B6" location="'ASTM Table Series'!A1" display="ASTM TABLES" xr:uid="{E6F4445A-39B3-4E69-9B40-9C70BAA37AB6}"/>
    <hyperlink ref="B7" location="'ASTM Converter (Tab.1)'!A1" display="ASTM - CONVERTERS" xr:uid="{D6856EB6-3AC3-4A32-B53C-F66754872169}"/>
    <hyperlink ref="B8" location="'ASTM Calculator V.W.'!A1" display="ASTM - CALCULATORS" xr:uid="{5A98A5CD-DF51-449A-8974-6089FF96559F}"/>
    <hyperlink ref="B9" location="'Initial&amp;Max. Loading Rate'!A1" display="CARGO - CALCULATORS" xr:uid="{F320F825-F05F-4857-A555-81A3EEBBAC75}"/>
    <hyperlink ref="B22" location="'Guidelines - IG Pressure'!A1" display="• IG Pressure" xr:uid="{8368FDD8-0541-4E84-AF80-8700DD06E40A}"/>
    <hyperlink ref="B12" location="'Guidelines - Bottom Lines'!A1" display="GUIDELINES - CARGO" xr:uid="{754D94AC-F8AE-4271-9731-2B82C3930C7B}"/>
    <hyperlink ref="B11" location="'Guidelines - Definitions'!A1" display="GUIDELINES" xr:uid="{697362D9-68C1-4BBF-8AC4-8505E2F5DF3E}"/>
  </hyperlinks>
  <pageMargins left="0.75" right="0.75" top="1" bottom="1" header="0.5" footer="0.5"/>
  <pageSetup paperSize="9" orientation="portrait" horizontalDpi="4294967294"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D7F8-5374-41AF-84BF-FC4E2254237F}">
  <sheetPr>
    <tabColor rgb="FF008080"/>
    <pageSetUpPr fitToPage="1"/>
  </sheetPr>
  <dimension ref="A1:R511"/>
  <sheetViews>
    <sheetView showGridLines="0" showRowColHeaders="0" topLeftCell="B1" workbookViewId="0">
      <pane ySplit="3" topLeftCell="A4" activePane="bottomLeft" state="frozen"/>
      <selection activeCell="K24" sqref="K24"/>
      <selection pane="bottomLeft" activeCell="B16" sqref="B16"/>
    </sheetView>
  </sheetViews>
  <sheetFormatPr defaultColWidth="11.46484375" defaultRowHeight="12.75"/>
  <cols>
    <col min="1" max="1" width="0" style="1270" hidden="1" customWidth="1"/>
    <col min="2" max="2" width="36.6640625" style="65" customWidth="1"/>
    <col min="3" max="3" width="2.6640625" style="1274" customWidth="1"/>
    <col min="4" max="4" width="5.86328125" style="1270" customWidth="1"/>
    <col min="5" max="5" width="8.796875" style="1270" customWidth="1"/>
    <col min="6" max="6" width="14.796875" style="1270" customWidth="1"/>
    <col min="7" max="7" width="10.86328125" style="1270" customWidth="1"/>
    <col min="8" max="8" width="2.86328125" style="1270" customWidth="1"/>
    <col min="9" max="9" width="11.1328125" style="1270" customWidth="1"/>
    <col min="10" max="10" width="10" style="1270" customWidth="1"/>
    <col min="11" max="11" width="13.86328125" style="1270" customWidth="1"/>
    <col min="12" max="12" width="13.46484375" style="1270" customWidth="1"/>
    <col min="13" max="13" width="11.53125" style="1270" customWidth="1"/>
    <col min="14" max="14" width="13.86328125" style="1270" customWidth="1"/>
    <col min="15" max="15" width="12.33203125" style="1270" customWidth="1"/>
    <col min="16" max="16" width="11.86328125" style="1270" customWidth="1"/>
    <col min="17" max="17" width="14.46484375" style="1270" customWidth="1"/>
    <col min="18" max="18" width="13.19921875" style="1270" customWidth="1"/>
    <col min="19" max="16384" width="11.46484375" style="1270"/>
  </cols>
  <sheetData>
    <row r="1" spans="1:17" s="1274" customFormat="1" ht="12.75" customHeight="1">
      <c r="A1" s="1270"/>
      <c r="B1" s="1271"/>
      <c r="C1" s="1272"/>
      <c r="D1" s="1273"/>
      <c r="E1" s="1273"/>
      <c r="F1" s="285"/>
      <c r="H1" s="1273"/>
      <c r="I1" s="1275"/>
      <c r="J1" s="1276"/>
      <c r="K1" s="1276"/>
      <c r="L1" s="1276"/>
    </row>
    <row r="2" spans="1:17" ht="21" customHeight="1">
      <c r="B2" s="3284" t="s">
        <v>0</v>
      </c>
      <c r="C2" s="1277"/>
      <c r="D2" s="3493" t="s">
        <v>1163</v>
      </c>
      <c r="E2" s="3493"/>
      <c r="F2" s="3493"/>
      <c r="G2" s="3493"/>
      <c r="H2" s="3493"/>
      <c r="I2" s="3493"/>
      <c r="J2" s="3493"/>
      <c r="K2" s="3493"/>
      <c r="L2" s="3493"/>
      <c r="M2" s="3493"/>
      <c r="N2" s="3493"/>
      <c r="O2" s="1354"/>
      <c r="P2" s="1354"/>
      <c r="Q2" s="1354"/>
    </row>
    <row r="3" spans="1:17" ht="21" customHeight="1">
      <c r="B3" s="3284"/>
      <c r="C3" s="1277"/>
      <c r="D3" s="3493"/>
      <c r="E3" s="3493"/>
      <c r="F3" s="3493"/>
      <c r="G3" s="3493"/>
      <c r="H3" s="3493"/>
      <c r="I3" s="3493"/>
      <c r="J3" s="3493"/>
      <c r="K3" s="3493"/>
      <c r="L3" s="3493"/>
      <c r="M3" s="3493"/>
      <c r="N3" s="3493"/>
      <c r="O3" s="1354"/>
      <c r="P3" s="1354"/>
      <c r="Q3" s="1354"/>
    </row>
    <row r="4" spans="1:17" ht="21" customHeight="1">
      <c r="B4" s="1280"/>
      <c r="C4" s="1281"/>
      <c r="D4" s="1282"/>
      <c r="E4" s="1283"/>
      <c r="F4" s="1283"/>
      <c r="G4" s="1283"/>
      <c r="H4" s="1283"/>
      <c r="I4" s="1283"/>
      <c r="J4" s="1283"/>
      <c r="K4" s="1283"/>
      <c r="L4" s="1284"/>
      <c r="M4" s="1284"/>
      <c r="N4" s="1285"/>
      <c r="O4" s="1286"/>
      <c r="P4" s="1286"/>
    </row>
    <row r="5" spans="1:17" ht="21" customHeight="1">
      <c r="B5" s="62" t="s">
        <v>1</v>
      </c>
      <c r="C5" s="1287"/>
      <c r="D5" s="1283"/>
      <c r="E5" s="1283"/>
      <c r="F5" s="1283"/>
      <c r="G5" s="1283"/>
      <c r="H5" s="1283"/>
      <c r="I5" s="1283"/>
      <c r="J5" s="1283"/>
      <c r="K5" s="1283"/>
      <c r="L5" s="1288"/>
    </row>
    <row r="6" spans="1:17" ht="21" customHeight="1">
      <c r="B6" s="397" t="s">
        <v>452</v>
      </c>
      <c r="C6" s="1289"/>
      <c r="D6" s="1290"/>
      <c r="E6" s="1291"/>
      <c r="F6" s="1291"/>
      <c r="L6" s="1292"/>
      <c r="M6" s="1292"/>
      <c r="N6" s="1292"/>
      <c r="O6" s="1291"/>
    </row>
    <row r="7" spans="1:17" ht="21" customHeight="1">
      <c r="B7" s="62" t="s">
        <v>239</v>
      </c>
      <c r="C7" s="1293"/>
      <c r="D7" s="1290"/>
      <c r="E7" s="1294"/>
      <c r="F7" s="1291"/>
      <c r="G7" s="1291"/>
      <c r="H7" s="1291"/>
      <c r="I7" s="1291"/>
      <c r="J7" s="1290"/>
      <c r="K7" s="1295"/>
      <c r="N7" s="1291"/>
      <c r="O7" s="1291"/>
    </row>
    <row r="8" spans="1:17" ht="21" customHeight="1">
      <c r="B8" s="62" t="s">
        <v>1263</v>
      </c>
      <c r="C8" s="1296"/>
      <c r="D8" s="1297"/>
      <c r="E8" s="1298"/>
      <c r="F8" s="1291"/>
      <c r="G8" s="1291"/>
      <c r="H8" s="1291"/>
      <c r="I8" s="1291"/>
      <c r="J8" s="1290"/>
      <c r="K8" s="1299"/>
      <c r="O8" s="1291"/>
    </row>
    <row r="9" spans="1:17" ht="21" customHeight="1">
      <c r="B9" s="62" t="s">
        <v>557</v>
      </c>
      <c r="C9" s="1287"/>
      <c r="D9" s="1297"/>
      <c r="E9" s="1300"/>
      <c r="F9" s="1291"/>
      <c r="G9" s="1291"/>
      <c r="H9" s="1291"/>
      <c r="I9" s="1301"/>
      <c r="O9" s="1291"/>
    </row>
    <row r="10" spans="1:17" ht="21" customHeight="1">
      <c r="B10" s="62" t="s">
        <v>238</v>
      </c>
      <c r="C10" s="1287"/>
      <c r="D10" s="1302"/>
      <c r="E10" s="1302"/>
      <c r="F10" s="1302"/>
      <c r="G10" s="1302"/>
      <c r="H10" s="1302"/>
      <c r="I10" s="1302"/>
      <c r="J10" s="1302"/>
      <c r="K10" s="1302"/>
    </row>
    <row r="11" spans="1:17" ht="21" customHeight="1">
      <c r="B11" s="62" t="s">
        <v>1652</v>
      </c>
      <c r="C11" s="1287"/>
      <c r="D11" s="1302"/>
      <c r="E11" s="1302"/>
      <c r="F11" s="1302"/>
      <c r="G11" s="1302"/>
      <c r="H11" s="1302"/>
      <c r="I11" s="1302"/>
      <c r="J11" s="1302"/>
      <c r="K11" s="1302"/>
    </row>
    <row r="12" spans="1:17" ht="21" customHeight="1">
      <c r="B12" s="146" t="s">
        <v>1653</v>
      </c>
      <c r="C12" s="1303"/>
      <c r="D12" s="1301"/>
      <c r="E12" s="1301"/>
      <c r="F12" s="1301"/>
      <c r="G12" s="1301"/>
      <c r="H12" s="1301"/>
      <c r="I12" s="1301"/>
      <c r="J12" s="1301"/>
      <c r="K12" s="1301"/>
    </row>
    <row r="13" spans="1:17" ht="21" customHeight="1">
      <c r="B13" s="145" t="s">
        <v>555</v>
      </c>
      <c r="C13" s="1303"/>
      <c r="D13" s="1304"/>
      <c r="E13" s="1304"/>
      <c r="F13" s="1304"/>
      <c r="G13" s="1297"/>
      <c r="H13" s="1301"/>
      <c r="I13" s="1304"/>
      <c r="J13" s="1304"/>
      <c r="K13" s="1304"/>
    </row>
    <row r="14" spans="1:17" ht="21" customHeight="1">
      <c r="B14" s="145" t="s">
        <v>685</v>
      </c>
      <c r="C14" s="1303"/>
      <c r="D14" s="1304"/>
      <c r="E14" s="1304"/>
      <c r="F14" s="1304"/>
      <c r="G14" s="1297"/>
      <c r="H14" s="1301"/>
      <c r="I14" s="1304"/>
      <c r="J14" s="1304"/>
      <c r="K14" s="1304"/>
    </row>
    <row r="15" spans="1:17" ht="21" customHeight="1">
      <c r="B15" s="147" t="s">
        <v>1164</v>
      </c>
      <c r="C15" s="1303"/>
      <c r="D15" s="1304"/>
      <c r="E15" s="1304"/>
      <c r="F15" s="1304"/>
      <c r="G15" s="1297"/>
      <c r="H15" s="1301"/>
      <c r="I15" s="1304"/>
      <c r="J15" s="1304"/>
      <c r="K15" s="1304"/>
    </row>
    <row r="16" spans="1:17" ht="21" customHeight="1">
      <c r="B16" s="145" t="s">
        <v>701</v>
      </c>
      <c r="C16" s="1305"/>
      <c r="D16" s="1304"/>
      <c r="E16" s="1304"/>
      <c r="F16" s="1297"/>
      <c r="G16" s="1301"/>
      <c r="H16" s="1304"/>
      <c r="I16" s="1304"/>
      <c r="J16" s="1304"/>
    </row>
    <row r="17" spans="2:15" ht="21" customHeight="1">
      <c r="B17" s="145" t="s">
        <v>700</v>
      </c>
      <c r="C17" s="1305"/>
      <c r="D17" s="1304"/>
      <c r="E17" s="1304"/>
      <c r="F17" s="1297"/>
      <c r="G17" s="1301"/>
      <c r="H17" s="1304"/>
      <c r="I17" s="1304"/>
      <c r="J17" s="1304"/>
    </row>
    <row r="18" spans="2:15" ht="21" customHeight="1">
      <c r="B18" s="145" t="s">
        <v>748</v>
      </c>
      <c r="C18" s="1305"/>
      <c r="D18" s="1306"/>
      <c r="E18" s="1307"/>
      <c r="F18" s="1308"/>
      <c r="G18" s="1307"/>
      <c r="H18" s="1308"/>
      <c r="I18" s="1307"/>
      <c r="J18" s="1308"/>
    </row>
    <row r="19" spans="2:15" ht="21" customHeight="1">
      <c r="B19" s="145" t="s">
        <v>1157</v>
      </c>
      <c r="C19" s="1309"/>
      <c r="D19" s="1304"/>
      <c r="E19" s="1306"/>
      <c r="F19" s="1307"/>
      <c r="G19" s="1308"/>
      <c r="H19" s="1307"/>
      <c r="I19" s="1308"/>
      <c r="J19" s="1307"/>
      <c r="K19" s="1308"/>
    </row>
    <row r="20" spans="2:15" ht="21" customHeight="1">
      <c r="B20" s="145" t="s">
        <v>1155</v>
      </c>
      <c r="C20" s="1309"/>
      <c r="D20" s="1304"/>
      <c r="E20" s="1306"/>
      <c r="F20" s="1307"/>
      <c r="G20" s="1308"/>
      <c r="H20" s="1307"/>
      <c r="I20" s="1308"/>
      <c r="J20" s="1307"/>
      <c r="K20" s="1308"/>
    </row>
    <row r="21" spans="2:15" ht="21" customHeight="1">
      <c r="B21" s="145" t="s">
        <v>1158</v>
      </c>
      <c r="C21" s="1309"/>
      <c r="D21" s="1304"/>
      <c r="E21" s="1306"/>
      <c r="F21" s="1307"/>
      <c r="G21" s="1308"/>
      <c r="H21" s="1307"/>
      <c r="I21" s="1308"/>
      <c r="J21" s="1307"/>
      <c r="K21" s="1308"/>
    </row>
    <row r="22" spans="2:15" ht="21" customHeight="1">
      <c r="B22" s="145" t="s">
        <v>1324</v>
      </c>
      <c r="C22" s="1272"/>
      <c r="D22" s="1304"/>
      <c r="E22" s="1306"/>
      <c r="F22" s="1307"/>
      <c r="G22" s="1308"/>
      <c r="H22" s="1307"/>
      <c r="I22" s="1308"/>
      <c r="J22" s="1307"/>
      <c r="K22" s="1308"/>
    </row>
    <row r="23" spans="2:15" ht="21" customHeight="1">
      <c r="B23" s="62" t="s">
        <v>40</v>
      </c>
      <c r="C23" s="1272"/>
      <c r="D23" s="1304"/>
      <c r="E23" s="1306"/>
      <c r="F23" s="1307"/>
      <c r="G23" s="1308"/>
      <c r="H23" s="1307"/>
      <c r="I23" s="1308"/>
      <c r="J23" s="1307"/>
      <c r="K23" s="1308"/>
    </row>
    <row r="24" spans="2:15" ht="21" customHeight="1">
      <c r="B24" s="62" t="s">
        <v>238</v>
      </c>
      <c r="C24" s="1272"/>
      <c r="D24" s="1304"/>
      <c r="E24" s="1306"/>
      <c r="F24" s="1307"/>
      <c r="G24" s="1308"/>
      <c r="H24" s="1307"/>
      <c r="I24" s="1308"/>
      <c r="J24" s="1307"/>
      <c r="K24" s="1308"/>
    </row>
    <row r="25" spans="2:15" ht="21" customHeight="1">
      <c r="B25" s="62" t="s">
        <v>39</v>
      </c>
      <c r="C25" s="1272"/>
      <c r="D25" s="1304"/>
      <c r="E25" s="1306"/>
      <c r="F25" s="1307"/>
      <c r="G25" s="1308"/>
      <c r="H25" s="1307"/>
      <c r="I25" s="1308"/>
      <c r="J25" s="1307"/>
      <c r="K25" s="1308"/>
    </row>
    <row r="26" spans="2:15" ht="21" customHeight="1">
      <c r="B26" s="62" t="s">
        <v>38</v>
      </c>
      <c r="C26" s="1272"/>
      <c r="D26" s="1304"/>
      <c r="E26" s="1306"/>
      <c r="F26" s="1307"/>
      <c r="G26" s="1308"/>
      <c r="H26" s="1307"/>
      <c r="I26" s="1308"/>
      <c r="J26" s="1307"/>
      <c r="K26" s="1308"/>
    </row>
    <row r="27" spans="2:15" ht="21" customHeight="1">
      <c r="B27" s="1271"/>
      <c r="C27" s="1272"/>
      <c r="D27" s="1304"/>
      <c r="E27" s="1306"/>
      <c r="F27" s="1307"/>
      <c r="G27" s="1308"/>
      <c r="H27" s="1307"/>
      <c r="I27" s="1308"/>
      <c r="J27" s="1307"/>
      <c r="K27" s="1308"/>
    </row>
    <row r="28" spans="2:15" ht="21" customHeight="1">
      <c r="B28" s="1271"/>
      <c r="C28" s="1272"/>
      <c r="D28" s="1304"/>
      <c r="E28" s="1306"/>
      <c r="F28" s="1307"/>
      <c r="G28" s="1308"/>
      <c r="H28" s="1307"/>
      <c r="I28" s="1308"/>
      <c r="J28" s="1307"/>
      <c r="K28" s="1308"/>
    </row>
    <row r="29" spans="2:15" ht="21" customHeight="1">
      <c r="B29" s="1271"/>
      <c r="C29" s="1272"/>
      <c r="D29" s="1304"/>
      <c r="E29" s="1306"/>
      <c r="F29" s="1307"/>
      <c r="G29" s="1308"/>
      <c r="H29" s="1307"/>
      <c r="I29" s="1308"/>
      <c r="J29" s="1307"/>
      <c r="K29" s="1308"/>
    </row>
    <row r="30" spans="2:15" ht="21" customHeight="1">
      <c r="B30" s="1271"/>
      <c r="C30" s="1272"/>
      <c r="D30" s="1304"/>
      <c r="E30" s="1306"/>
      <c r="F30" s="1307"/>
      <c r="G30" s="1308"/>
      <c r="H30" s="1307"/>
      <c r="I30" s="1308"/>
      <c r="J30" s="1307"/>
      <c r="K30" s="1308"/>
    </row>
    <row r="31" spans="2:15" ht="21" customHeight="1">
      <c r="B31" s="1271"/>
      <c r="C31" s="1272"/>
      <c r="D31" s="1304"/>
      <c r="E31" s="1306"/>
      <c r="F31" s="1307"/>
      <c r="G31" s="1308"/>
      <c r="H31" s="1307"/>
      <c r="I31" s="1308"/>
      <c r="J31" s="1307"/>
      <c r="K31" s="1308"/>
      <c r="O31" s="1310"/>
    </row>
    <row r="32" spans="2:15" ht="21" customHeight="1">
      <c r="B32" s="1271"/>
      <c r="C32" s="1272"/>
      <c r="D32" s="1304"/>
      <c r="E32" s="1306"/>
      <c r="F32" s="1307"/>
      <c r="G32" s="1308"/>
      <c r="H32" s="1307"/>
      <c r="I32" s="1308"/>
      <c r="J32" s="1307"/>
      <c r="K32" s="1308"/>
      <c r="O32" s="1310"/>
    </row>
    <row r="33" spans="2:15" ht="21" customHeight="1">
      <c r="B33" s="1271"/>
      <c r="C33" s="1272"/>
      <c r="D33" s="1304"/>
      <c r="E33" s="1306"/>
      <c r="F33" s="1307"/>
      <c r="G33" s="1308"/>
      <c r="H33" s="1307"/>
      <c r="I33" s="1308"/>
      <c r="J33" s="1307"/>
      <c r="K33" s="1308"/>
      <c r="O33" s="1310"/>
    </row>
    <row r="34" spans="2:15" ht="21" customHeight="1">
      <c r="B34" s="1271"/>
      <c r="C34" s="1272"/>
      <c r="D34" s="1302"/>
      <c r="E34" s="1302"/>
      <c r="F34" s="1311"/>
      <c r="G34" s="1312"/>
      <c r="H34" s="1311"/>
      <c r="I34" s="1312"/>
      <c r="J34" s="1311"/>
      <c r="K34" s="1312"/>
    </row>
    <row r="35" spans="2:15">
      <c r="B35" s="1271"/>
      <c r="C35" s="1272"/>
      <c r="D35" s="1302"/>
      <c r="E35" s="1302"/>
      <c r="F35" s="1311"/>
      <c r="G35" s="1312"/>
      <c r="H35" s="1311"/>
      <c r="I35" s="1312"/>
      <c r="J35" s="1311"/>
      <c r="K35" s="1312"/>
      <c r="N35" s="1313"/>
    </row>
    <row r="36" spans="2:15" ht="18.75" customHeight="1">
      <c r="B36" s="1271"/>
      <c r="C36" s="1272"/>
      <c r="D36" s="1302"/>
      <c r="E36" s="1302"/>
      <c r="F36" s="1311"/>
      <c r="G36" s="1312"/>
      <c r="H36" s="1311"/>
      <c r="I36" s="1312"/>
      <c r="J36" s="1311"/>
      <c r="K36" s="1312"/>
    </row>
    <row r="37" spans="2:15" ht="15.75" customHeight="1">
      <c r="B37" s="1271"/>
      <c r="C37" s="1272"/>
      <c r="D37" s="1302"/>
      <c r="E37" s="1302"/>
      <c r="F37" s="1311"/>
      <c r="G37" s="1312"/>
      <c r="H37" s="1311"/>
      <c r="I37" s="1312"/>
      <c r="J37" s="1311"/>
      <c r="K37" s="1312"/>
    </row>
    <row r="38" spans="2:15">
      <c r="B38" s="1271"/>
      <c r="C38" s="1272"/>
      <c r="D38" s="1302"/>
      <c r="E38" s="1302"/>
      <c r="F38" s="1311"/>
      <c r="G38" s="1312"/>
      <c r="H38" s="1311"/>
      <c r="I38" s="1312"/>
      <c r="J38" s="1311"/>
      <c r="K38" s="1312"/>
    </row>
    <row r="39" spans="2:15">
      <c r="B39" s="1271"/>
      <c r="C39" s="1272"/>
      <c r="D39" s="1302"/>
      <c r="E39" s="1302"/>
      <c r="F39" s="1311"/>
      <c r="G39" s="1312"/>
      <c r="H39" s="1311"/>
      <c r="I39" s="1312"/>
      <c r="J39" s="1311"/>
      <c r="K39" s="1312"/>
    </row>
    <row r="40" spans="2:15">
      <c r="B40" s="2228" t="s">
        <v>550</v>
      </c>
      <c r="C40" s="1272"/>
      <c r="D40" s="1302"/>
      <c r="E40" s="1302"/>
      <c r="F40" s="1311"/>
      <c r="G40" s="1312"/>
      <c r="H40" s="1311"/>
      <c r="I40" s="1312"/>
      <c r="J40" s="1311"/>
      <c r="K40" s="1312"/>
    </row>
    <row r="41" spans="2:15">
      <c r="B41" s="1271"/>
      <c r="C41" s="1272"/>
      <c r="D41" s="1302"/>
      <c r="E41" s="1302"/>
      <c r="F41" s="1311"/>
      <c r="G41" s="1312"/>
      <c r="H41" s="1311"/>
      <c r="I41" s="1312"/>
      <c r="J41" s="1311"/>
      <c r="K41" s="1312"/>
    </row>
    <row r="42" spans="2:15">
      <c r="B42" s="1271"/>
      <c r="C42" s="1272"/>
      <c r="D42" s="1302"/>
      <c r="E42" s="1302"/>
      <c r="F42" s="1311"/>
      <c r="G42" s="1312"/>
      <c r="H42" s="1311"/>
      <c r="I42" s="1312"/>
      <c r="J42" s="1311"/>
      <c r="K42" s="1312"/>
    </row>
    <row r="43" spans="2:15">
      <c r="B43" s="1271"/>
      <c r="C43" s="1272"/>
      <c r="H43" s="1314"/>
      <c r="I43" s="1315"/>
      <c r="K43" s="1316"/>
    </row>
    <row r="44" spans="2:15">
      <c r="B44" s="1271"/>
      <c r="C44" s="1272"/>
    </row>
    <row r="45" spans="2:15">
      <c r="B45" s="1271"/>
      <c r="C45" s="1272"/>
      <c r="G45" s="1317"/>
      <c r="H45" s="1317"/>
    </row>
    <row r="46" spans="2:15">
      <c r="B46" s="1271"/>
      <c r="C46" s="1272"/>
    </row>
    <row r="47" spans="2:15">
      <c r="B47" s="1271"/>
      <c r="C47" s="1272"/>
      <c r="L47" s="1291"/>
    </row>
    <row r="48" spans="2:15">
      <c r="B48" s="1271"/>
      <c r="C48" s="1272"/>
    </row>
    <row r="49" spans="2:11">
      <c r="B49" s="1271"/>
      <c r="C49" s="1272"/>
    </row>
    <row r="50" spans="2:11">
      <c r="B50" s="1271"/>
      <c r="C50" s="1272"/>
      <c r="D50" s="1318"/>
      <c r="G50" s="1317"/>
      <c r="H50" s="1317"/>
      <c r="J50" s="1317"/>
      <c r="K50" s="1317"/>
    </row>
    <row r="51" spans="2:11">
      <c r="B51" s="1271"/>
      <c r="C51" s="1272"/>
    </row>
    <row r="52" spans="2:11">
      <c r="B52" s="1271"/>
      <c r="C52" s="1272"/>
      <c r="D52" s="1291"/>
      <c r="E52" s="1291"/>
      <c r="F52" s="1291"/>
      <c r="G52" s="1291"/>
      <c r="I52" s="1291"/>
      <c r="J52" s="1291"/>
      <c r="K52" s="1290"/>
    </row>
    <row r="53" spans="2:11">
      <c r="B53" s="1271"/>
      <c r="C53" s="1272"/>
    </row>
    <row r="54" spans="2:11">
      <c r="B54" s="1271"/>
      <c r="C54" s="1272"/>
    </row>
    <row r="55" spans="2:11">
      <c r="B55" s="1271"/>
      <c r="C55" s="1272"/>
    </row>
    <row r="56" spans="2:11">
      <c r="B56" s="1271"/>
      <c r="C56" s="1272"/>
    </row>
    <row r="57" spans="2:11">
      <c r="B57" s="1271"/>
      <c r="C57" s="1272"/>
    </row>
    <row r="58" spans="2:11">
      <c r="B58" s="1271"/>
      <c r="C58" s="1272"/>
    </row>
    <row r="59" spans="2:11">
      <c r="B59" s="1271"/>
      <c r="C59" s="1272"/>
    </row>
    <row r="60" spans="2:11">
      <c r="B60" s="2228" t="s">
        <v>550</v>
      </c>
      <c r="C60" s="1272"/>
    </row>
    <row r="61" spans="2:11">
      <c r="B61" s="1271"/>
      <c r="C61" s="1272"/>
    </row>
    <row r="62" spans="2:11">
      <c r="B62" s="1271"/>
      <c r="C62" s="1272"/>
    </row>
    <row r="63" spans="2:11">
      <c r="B63" s="1271"/>
      <c r="C63" s="1272"/>
    </row>
    <row r="64" spans="2:11">
      <c r="B64" s="1271"/>
      <c r="C64" s="1272"/>
    </row>
    <row r="65" spans="2:3">
      <c r="B65" s="1271"/>
      <c r="C65" s="1272"/>
    </row>
    <row r="66" spans="2:3">
      <c r="B66" s="1271"/>
      <c r="C66" s="1272"/>
    </row>
    <row r="67" spans="2:3">
      <c r="B67" s="1271"/>
      <c r="C67" s="1272"/>
    </row>
    <row r="68" spans="2:3">
      <c r="B68" s="1271"/>
      <c r="C68" s="1272"/>
    </row>
    <row r="69" spans="2:3">
      <c r="B69" s="1271"/>
      <c r="C69" s="1272"/>
    </row>
    <row r="70" spans="2:3">
      <c r="B70" s="1271"/>
      <c r="C70" s="1272"/>
    </row>
    <row r="71" spans="2:3">
      <c r="B71" s="1271"/>
      <c r="C71" s="1272"/>
    </row>
    <row r="72" spans="2:3">
      <c r="B72" s="1271"/>
      <c r="C72" s="1272"/>
    </row>
    <row r="73" spans="2:3">
      <c r="B73" s="1271"/>
      <c r="C73" s="1272"/>
    </row>
    <row r="74" spans="2:3">
      <c r="B74" s="1271"/>
      <c r="C74" s="1272"/>
    </row>
    <row r="75" spans="2:3">
      <c r="B75" s="1271"/>
      <c r="C75" s="1272"/>
    </row>
    <row r="76" spans="2:3">
      <c r="B76" s="1271"/>
      <c r="C76" s="1272"/>
    </row>
    <row r="77" spans="2:3">
      <c r="B77" s="1271"/>
      <c r="C77" s="1272"/>
    </row>
    <row r="78" spans="2:3">
      <c r="B78" s="1271"/>
      <c r="C78" s="1272"/>
    </row>
    <row r="79" spans="2:3">
      <c r="B79" s="1271"/>
      <c r="C79" s="1272"/>
    </row>
    <row r="80" spans="2:3">
      <c r="B80" s="2228" t="s">
        <v>550</v>
      </c>
      <c r="C80" s="1272"/>
    </row>
    <row r="81" spans="2:3">
      <c r="B81" s="1271"/>
      <c r="C81" s="1272"/>
    </row>
    <row r="82" spans="2:3">
      <c r="B82" s="1271"/>
      <c r="C82" s="1272"/>
    </row>
    <row r="83" spans="2:3">
      <c r="B83" s="1271"/>
      <c r="C83" s="1272"/>
    </row>
    <row r="84" spans="2:3">
      <c r="B84" s="1271"/>
      <c r="C84" s="1272"/>
    </row>
    <row r="85" spans="2:3">
      <c r="B85" s="1271"/>
      <c r="C85" s="1272"/>
    </row>
    <row r="86" spans="2:3">
      <c r="B86" s="1271"/>
      <c r="C86" s="1272"/>
    </row>
    <row r="87" spans="2:3">
      <c r="B87" s="1271"/>
      <c r="C87" s="1272"/>
    </row>
    <row r="88" spans="2:3">
      <c r="B88" s="1271"/>
      <c r="C88" s="1272"/>
    </row>
    <row r="89" spans="2:3">
      <c r="B89" s="1271"/>
      <c r="C89" s="1272"/>
    </row>
    <row r="90" spans="2:3">
      <c r="B90" s="1271"/>
      <c r="C90" s="1272"/>
    </row>
    <row r="91" spans="2:3">
      <c r="B91" s="1271"/>
      <c r="C91" s="1272"/>
    </row>
    <row r="92" spans="2:3">
      <c r="B92" s="1271"/>
      <c r="C92" s="1272"/>
    </row>
    <row r="93" spans="2:3">
      <c r="B93" s="1271"/>
      <c r="C93" s="1272"/>
    </row>
    <row r="94" spans="2:3">
      <c r="B94" s="1271"/>
      <c r="C94" s="1272"/>
    </row>
    <row r="95" spans="2:3">
      <c r="B95" s="1271"/>
      <c r="C95" s="1272"/>
    </row>
    <row r="96" spans="2:3">
      <c r="B96" s="1271"/>
      <c r="C96" s="1272"/>
    </row>
    <row r="97" spans="2:3">
      <c r="B97" s="1271"/>
      <c r="C97" s="1272"/>
    </row>
    <row r="98" spans="2:3">
      <c r="C98" s="1272"/>
    </row>
    <row r="99" spans="2:3">
      <c r="C99" s="1272"/>
    </row>
    <row r="100" spans="2:3">
      <c r="B100" s="2228" t="s">
        <v>550</v>
      </c>
      <c r="C100" s="1272"/>
    </row>
    <row r="120" spans="2:2">
      <c r="B120" s="2228" t="s">
        <v>550</v>
      </c>
    </row>
    <row r="140" spans="2:2">
      <c r="B140" s="2228" t="s">
        <v>550</v>
      </c>
    </row>
    <row r="160" spans="2:2">
      <c r="B160" s="2228" t="s">
        <v>550</v>
      </c>
    </row>
    <row r="180" spans="2:2">
      <c r="B180" s="2228" t="s">
        <v>550</v>
      </c>
    </row>
    <row r="200" spans="2:2">
      <c r="B200" s="2228" t="s">
        <v>550</v>
      </c>
    </row>
    <row r="220" spans="2:2">
      <c r="B220" s="2228" t="s">
        <v>550</v>
      </c>
    </row>
    <row r="240" spans="2:2">
      <c r="B240" s="2228" t="s">
        <v>550</v>
      </c>
    </row>
    <row r="260" spans="2:2">
      <c r="B260" s="2228" t="s">
        <v>550</v>
      </c>
    </row>
    <row r="280" spans="2:2">
      <c r="B280" s="2228" t="s">
        <v>550</v>
      </c>
    </row>
    <row r="300" spans="2:2">
      <c r="B300" s="2228" t="s">
        <v>550</v>
      </c>
    </row>
    <row r="320" spans="2:2">
      <c r="B320" s="2228" t="s">
        <v>550</v>
      </c>
    </row>
    <row r="482" spans="4:18">
      <c r="D482" s="3494" t="s">
        <v>704</v>
      </c>
      <c r="E482" s="3494"/>
      <c r="F482" s="3494"/>
      <c r="G482" s="3494"/>
      <c r="H482" s="3494"/>
      <c r="I482" s="3494"/>
      <c r="J482" s="3494"/>
      <c r="K482" s="3494"/>
      <c r="L482" s="3494"/>
      <c r="M482" s="3494"/>
      <c r="N482" s="3494"/>
      <c r="O482" s="3494"/>
      <c r="P482" s="3494"/>
      <c r="Q482" s="3494"/>
      <c r="R482" s="3494"/>
    </row>
    <row r="483" spans="4:18">
      <c r="D483" s="3494"/>
      <c r="E483" s="3494"/>
      <c r="F483" s="3494"/>
      <c r="G483" s="3494"/>
      <c r="H483" s="3494"/>
      <c r="I483" s="3494"/>
      <c r="J483" s="3494"/>
      <c r="K483" s="3494"/>
      <c r="L483" s="3494"/>
      <c r="M483" s="3494"/>
      <c r="N483" s="3494"/>
      <c r="O483" s="3494"/>
      <c r="P483" s="3494"/>
      <c r="Q483" s="3494"/>
      <c r="R483" s="3494"/>
    </row>
    <row r="484" spans="4:18">
      <c r="D484" s="3495"/>
      <c r="E484" s="3495"/>
      <c r="F484" s="3495"/>
      <c r="G484" s="3495"/>
      <c r="H484" s="3495"/>
      <c r="I484" s="3495"/>
      <c r="J484" s="3495"/>
      <c r="K484" s="3495"/>
      <c r="L484" s="3495"/>
      <c r="M484" s="3495"/>
      <c r="N484" s="3495"/>
      <c r="O484" s="3495"/>
      <c r="P484" s="3495"/>
      <c r="Q484" s="3495"/>
      <c r="R484" s="3495"/>
    </row>
    <row r="485" spans="4:18" ht="25.8" customHeight="1">
      <c r="D485" s="1342" t="s">
        <v>732</v>
      </c>
      <c r="E485" s="1334"/>
      <c r="F485" s="1334"/>
      <c r="G485" s="1334"/>
      <c r="H485" s="1343" t="s">
        <v>733</v>
      </c>
      <c r="I485" s="1334"/>
      <c r="J485" s="1334"/>
      <c r="K485" s="1334"/>
      <c r="L485" s="1334"/>
      <c r="M485" s="1343" t="s">
        <v>734</v>
      </c>
      <c r="N485" s="1334"/>
      <c r="O485" s="1334"/>
      <c r="P485" s="1334"/>
      <c r="Q485" s="1343" t="s">
        <v>735</v>
      </c>
      <c r="R485" s="1335"/>
    </row>
    <row r="486" spans="4:18" ht="52.8" customHeight="1">
      <c r="D486" s="3496" t="s">
        <v>705</v>
      </c>
      <c r="E486" s="3497"/>
      <c r="F486" s="1345" t="s">
        <v>736</v>
      </c>
      <c r="G486" s="1346" t="s">
        <v>737</v>
      </c>
      <c r="H486" s="3496" t="s">
        <v>738</v>
      </c>
      <c r="I486" s="3497"/>
      <c r="J486" s="1344" t="s">
        <v>729</v>
      </c>
      <c r="K486" s="1347" t="s">
        <v>739</v>
      </c>
      <c r="L486" s="1348" t="s">
        <v>730</v>
      </c>
      <c r="M486" s="1347" t="s">
        <v>740</v>
      </c>
      <c r="N486" s="1348" t="s">
        <v>741</v>
      </c>
      <c r="O486" s="1346" t="s">
        <v>742</v>
      </c>
      <c r="P486" s="1346" t="s">
        <v>743</v>
      </c>
      <c r="Q486" s="1346" t="s">
        <v>744</v>
      </c>
      <c r="R486" s="1348" t="s">
        <v>731</v>
      </c>
    </row>
    <row r="487" spans="4:18">
      <c r="D487" s="1328"/>
      <c r="E487" s="1329"/>
      <c r="F487" s="1323"/>
      <c r="G487" s="1324"/>
      <c r="H487" s="3483"/>
      <c r="I487" s="3484"/>
      <c r="J487" s="1328"/>
      <c r="K487" s="1328"/>
      <c r="L487" s="1323"/>
      <c r="M487" s="1328"/>
      <c r="N487" s="1323"/>
      <c r="O487" s="1323"/>
      <c r="P487" s="1323"/>
      <c r="Q487" s="1323"/>
      <c r="R487" s="1323"/>
    </row>
    <row r="488" spans="4:18">
      <c r="D488" s="1328"/>
      <c r="E488" s="1329"/>
      <c r="F488" s="1323"/>
      <c r="G488" s="1324"/>
      <c r="H488" s="3483"/>
      <c r="I488" s="3484"/>
      <c r="J488" s="1328"/>
      <c r="K488" s="1328"/>
      <c r="L488" s="1323"/>
      <c r="M488" s="1328"/>
      <c r="N488" s="1323"/>
      <c r="O488" s="1323"/>
      <c r="P488" s="1323"/>
      <c r="Q488" s="1323"/>
      <c r="R488" s="1323"/>
    </row>
    <row r="489" spans="4:18">
      <c r="D489" s="1328"/>
      <c r="E489" s="1329"/>
      <c r="F489" s="1323"/>
      <c r="G489" s="1324"/>
      <c r="H489" s="3483"/>
      <c r="I489" s="3484"/>
      <c r="J489" s="1328"/>
      <c r="K489" s="1328"/>
      <c r="L489" s="1323"/>
      <c r="M489" s="1328"/>
      <c r="N489" s="1323"/>
      <c r="O489" s="1323"/>
      <c r="P489" s="1323"/>
      <c r="Q489" s="1323"/>
      <c r="R489" s="1323"/>
    </row>
    <row r="490" spans="4:18">
      <c r="D490" s="1328"/>
      <c r="E490" s="1329"/>
      <c r="F490" s="1323"/>
      <c r="G490" s="1324"/>
      <c r="H490" s="3483"/>
      <c r="I490" s="3484"/>
      <c r="J490" s="1328"/>
      <c r="K490" s="1328"/>
      <c r="L490" s="1323"/>
      <c r="M490" s="1328"/>
      <c r="N490" s="1323"/>
      <c r="O490" s="1323"/>
      <c r="P490" s="1323"/>
      <c r="Q490" s="1323"/>
      <c r="R490" s="1323"/>
    </row>
    <row r="491" spans="4:18">
      <c r="D491" s="1328"/>
      <c r="E491" s="1329"/>
      <c r="F491" s="1323"/>
      <c r="G491" s="1324"/>
      <c r="H491" s="3483"/>
      <c r="I491" s="3484"/>
      <c r="J491" s="1328"/>
      <c r="K491" s="1328"/>
      <c r="L491" s="1323"/>
      <c r="M491" s="1328"/>
      <c r="N491" s="1323"/>
      <c r="O491" s="1323"/>
      <c r="P491" s="1323"/>
      <c r="Q491" s="1323"/>
      <c r="R491" s="1323"/>
    </row>
    <row r="492" spans="4:18">
      <c r="D492" s="1328"/>
      <c r="E492" s="1329"/>
      <c r="F492" s="1323"/>
      <c r="G492" s="1324"/>
      <c r="H492" s="3483"/>
      <c r="I492" s="3484"/>
      <c r="J492" s="1328"/>
      <c r="K492" s="1328"/>
      <c r="L492" s="1323"/>
      <c r="M492" s="1328"/>
      <c r="N492" s="1323"/>
      <c r="O492" s="1323"/>
      <c r="P492" s="1323"/>
      <c r="Q492" s="1323"/>
      <c r="R492" s="1323"/>
    </row>
    <row r="493" spans="4:18">
      <c r="D493" s="1328"/>
      <c r="E493" s="1329"/>
      <c r="F493" s="1323"/>
      <c r="G493" s="1324"/>
      <c r="H493" s="3483"/>
      <c r="I493" s="3484"/>
      <c r="J493" s="1328"/>
      <c r="K493" s="1328"/>
      <c r="L493" s="1323"/>
      <c r="M493" s="1328"/>
      <c r="N493" s="1323"/>
      <c r="O493" s="1323"/>
      <c r="P493" s="1323"/>
      <c r="Q493" s="1323"/>
      <c r="R493" s="1323"/>
    </row>
    <row r="494" spans="4:18">
      <c r="D494" s="1328"/>
      <c r="E494" s="1329"/>
      <c r="F494" s="1323"/>
      <c r="G494" s="1324"/>
      <c r="H494" s="3483"/>
      <c r="I494" s="3484"/>
      <c r="J494" s="1328"/>
      <c r="K494" s="1328"/>
      <c r="L494" s="1323"/>
      <c r="M494" s="1328"/>
      <c r="N494" s="1323"/>
      <c r="O494" s="1323"/>
      <c r="P494" s="1323"/>
      <c r="Q494" s="1323"/>
      <c r="R494" s="1323"/>
    </row>
    <row r="495" spans="4:18">
      <c r="D495" s="1328"/>
      <c r="E495" s="1329"/>
      <c r="F495" s="1323"/>
      <c r="G495" s="1324"/>
      <c r="H495" s="3483"/>
      <c r="I495" s="3484"/>
      <c r="J495" s="1328"/>
      <c r="K495" s="1328"/>
      <c r="L495" s="1323"/>
      <c r="M495" s="1328"/>
      <c r="N495" s="1323"/>
      <c r="O495" s="1323"/>
      <c r="P495" s="1323"/>
      <c r="Q495" s="1323"/>
      <c r="R495" s="1323"/>
    </row>
    <row r="496" spans="4:18">
      <c r="D496" s="1328"/>
      <c r="E496" s="1329"/>
      <c r="F496" s="1323"/>
      <c r="G496" s="1324"/>
      <c r="H496" s="3483"/>
      <c r="I496" s="3484"/>
      <c r="J496" s="1328"/>
      <c r="K496" s="1328"/>
      <c r="L496" s="1323"/>
      <c r="M496" s="1328"/>
      <c r="N496" s="1323"/>
      <c r="O496" s="1323"/>
      <c r="P496" s="1323"/>
      <c r="Q496" s="1323"/>
      <c r="R496" s="1323"/>
    </row>
    <row r="497" spans="4:18">
      <c r="D497" s="1328"/>
      <c r="E497" s="1329"/>
      <c r="F497" s="1323"/>
      <c r="G497" s="1324"/>
      <c r="H497" s="3483"/>
      <c r="I497" s="3484"/>
      <c r="J497" s="1328"/>
      <c r="K497" s="1328"/>
      <c r="L497" s="1323"/>
      <c r="M497" s="1328"/>
      <c r="N497" s="1323"/>
      <c r="O497" s="1323"/>
      <c r="P497" s="1323"/>
      <c r="Q497" s="1323"/>
      <c r="R497" s="1323"/>
    </row>
    <row r="498" spans="4:18">
      <c r="D498" s="1328"/>
      <c r="E498" s="1329"/>
      <c r="F498" s="1323"/>
      <c r="G498" s="1324"/>
      <c r="H498" s="3483"/>
      <c r="I498" s="3484"/>
      <c r="J498" s="1328"/>
      <c r="K498" s="1328"/>
      <c r="L498" s="1323"/>
      <c r="M498" s="1328"/>
      <c r="N498" s="1323"/>
      <c r="O498" s="1323"/>
      <c r="P498" s="1323"/>
      <c r="Q498" s="1323"/>
      <c r="R498" s="1323"/>
    </row>
    <row r="499" spans="4:18">
      <c r="D499" s="1328"/>
      <c r="E499" s="1329"/>
      <c r="F499" s="1323"/>
      <c r="G499" s="1324"/>
      <c r="H499" s="3483"/>
      <c r="I499" s="3484"/>
      <c r="J499" s="1328"/>
      <c r="K499" s="1328"/>
      <c r="L499" s="1323"/>
      <c r="M499" s="1328"/>
      <c r="N499" s="1323"/>
      <c r="O499" s="1323"/>
      <c r="P499" s="1323"/>
      <c r="Q499" s="1323"/>
      <c r="R499" s="1323"/>
    </row>
    <row r="500" spans="4:18">
      <c r="D500" s="1332"/>
      <c r="E500" s="1333"/>
      <c r="F500" s="1333"/>
      <c r="G500" s="1333"/>
      <c r="H500" s="1333"/>
      <c r="I500" s="1333"/>
      <c r="J500" s="1333"/>
      <c r="K500" s="1333"/>
      <c r="L500" s="1333"/>
      <c r="M500" s="1333"/>
      <c r="N500" s="1333"/>
      <c r="O500" s="1333"/>
      <c r="P500" s="1333"/>
      <c r="Q500" s="1339" t="s">
        <v>706</v>
      </c>
      <c r="R500" s="1349"/>
    </row>
    <row r="501" spans="4:18" ht="8.4499999999999993" customHeight="1">
      <c r="D501" s="1325"/>
      <c r="E501" s="3492"/>
      <c r="F501" s="3492"/>
      <c r="G501" s="3492"/>
      <c r="H501" s="3481"/>
      <c r="I501" s="3481"/>
      <c r="J501" s="3481"/>
      <c r="K501" s="1325"/>
      <c r="L501" s="3485"/>
      <c r="M501" s="3486"/>
      <c r="N501" s="3486"/>
      <c r="O501" s="3486"/>
      <c r="P501" s="3486"/>
      <c r="Q501" s="3486"/>
      <c r="R501" s="1340"/>
    </row>
    <row r="502" spans="4:18" ht="15" customHeight="1">
      <c r="D502" s="3487" t="s">
        <v>707</v>
      </c>
      <c r="E502" s="3488"/>
      <c r="F502" s="3488"/>
      <c r="G502" s="3489"/>
      <c r="H502" s="1350"/>
      <c r="I502" s="3487" t="s">
        <v>718</v>
      </c>
      <c r="J502" s="3488"/>
      <c r="K502" s="3488"/>
      <c r="L502" s="3489"/>
      <c r="M502" s="3490" t="s">
        <v>747</v>
      </c>
      <c r="N502" s="3491"/>
      <c r="O502" s="3491"/>
      <c r="P502" s="3491"/>
      <c r="Q502" s="3491"/>
      <c r="R502" s="3491"/>
    </row>
    <row r="503" spans="4:18">
      <c r="D503" s="1338" t="s">
        <v>206</v>
      </c>
      <c r="E503" s="1341" t="s">
        <v>713</v>
      </c>
      <c r="F503" s="1334"/>
      <c r="G503" s="1335"/>
      <c r="H503" s="1350"/>
      <c r="I503" s="1331" t="s">
        <v>719</v>
      </c>
      <c r="J503" s="1334"/>
      <c r="K503" s="1328"/>
      <c r="L503" s="1330"/>
      <c r="M503" s="3490"/>
      <c r="N503" s="3491"/>
      <c r="O503" s="3491"/>
      <c r="P503" s="3491"/>
      <c r="Q503" s="3491"/>
      <c r="R503" s="3491"/>
    </row>
    <row r="504" spans="4:18">
      <c r="D504" s="1338" t="s">
        <v>708</v>
      </c>
      <c r="E504" s="1341" t="s">
        <v>714</v>
      </c>
      <c r="F504" s="1334"/>
      <c r="G504" s="1335"/>
      <c r="H504" s="1350"/>
      <c r="I504" s="1331" t="s">
        <v>724</v>
      </c>
      <c r="J504" s="1353" t="s">
        <v>720</v>
      </c>
      <c r="K504" s="1328"/>
      <c r="L504" s="1330"/>
      <c r="M504" s="3490"/>
      <c r="N504" s="3491"/>
      <c r="O504" s="3491"/>
      <c r="P504" s="3491"/>
      <c r="Q504" s="3491"/>
      <c r="R504" s="3491"/>
    </row>
    <row r="505" spans="4:18">
      <c r="D505" s="1338" t="s">
        <v>709</v>
      </c>
      <c r="E505" s="1341" t="s">
        <v>715</v>
      </c>
      <c r="F505" s="1334"/>
      <c r="G505" s="1335"/>
      <c r="H505" s="1350"/>
      <c r="I505" s="1331" t="s">
        <v>725</v>
      </c>
      <c r="J505" s="1353" t="s">
        <v>721</v>
      </c>
      <c r="K505" s="1328"/>
      <c r="L505" s="1330"/>
      <c r="M505" s="3490"/>
      <c r="N505" s="3491"/>
      <c r="O505" s="3491"/>
      <c r="P505" s="3491"/>
      <c r="Q505" s="3491"/>
      <c r="R505" s="3491"/>
    </row>
    <row r="506" spans="4:18">
      <c r="D506" s="1338" t="s">
        <v>710</v>
      </c>
      <c r="E506" s="1341" t="s">
        <v>716</v>
      </c>
      <c r="F506" s="1334"/>
      <c r="G506" s="1335"/>
      <c r="H506" s="1350"/>
      <c r="I506" s="1331" t="s">
        <v>726</v>
      </c>
      <c r="J506" s="1353" t="s">
        <v>722</v>
      </c>
      <c r="K506" s="1328"/>
      <c r="L506" s="1330"/>
      <c r="M506" s="3490"/>
      <c r="N506" s="3491"/>
      <c r="O506" s="3491"/>
      <c r="P506" s="3491"/>
      <c r="Q506" s="3491"/>
      <c r="R506" s="3491"/>
    </row>
    <row r="507" spans="4:18">
      <c r="D507" s="1338" t="s">
        <v>711</v>
      </c>
      <c r="E507" s="1341" t="s">
        <v>717</v>
      </c>
      <c r="F507" s="1334"/>
      <c r="G507" s="1335"/>
      <c r="H507" s="1350"/>
      <c r="I507" s="1331" t="s">
        <v>727</v>
      </c>
      <c r="J507" s="1353" t="s">
        <v>721</v>
      </c>
      <c r="K507" s="1328"/>
      <c r="L507" s="1330"/>
      <c r="M507" s="3490"/>
      <c r="N507" s="3491"/>
      <c r="O507" s="3491"/>
      <c r="P507" s="3491"/>
      <c r="Q507" s="3491"/>
      <c r="R507" s="3491"/>
    </row>
    <row r="508" spans="4:18">
      <c r="D508" s="1338" t="s">
        <v>712</v>
      </c>
      <c r="E508" s="1341" t="s">
        <v>745</v>
      </c>
      <c r="F508" s="1334"/>
      <c r="G508" s="1335"/>
      <c r="H508" s="1350"/>
      <c r="I508" s="1331" t="s">
        <v>728</v>
      </c>
      <c r="J508" s="1353" t="s">
        <v>723</v>
      </c>
      <c r="K508" s="1328"/>
      <c r="L508" s="1330"/>
      <c r="M508" s="3490"/>
      <c r="N508" s="3491"/>
      <c r="O508" s="3491"/>
      <c r="P508" s="3491"/>
      <c r="Q508" s="3491"/>
      <c r="R508" s="3491"/>
    </row>
    <row r="509" spans="4:18">
      <c r="D509" s="1326"/>
      <c r="E509" s="3481"/>
      <c r="F509" s="3481"/>
      <c r="G509" s="3481"/>
      <c r="H509" s="3482"/>
      <c r="I509" s="3482"/>
      <c r="J509" s="3482"/>
      <c r="K509" s="1326"/>
      <c r="L509" s="1327"/>
      <c r="M509" s="1351"/>
      <c r="N509" s="1351"/>
      <c r="O509" s="1351"/>
      <c r="P509" s="1351"/>
      <c r="Q509" s="1351"/>
    </row>
    <row r="510" spans="4:18">
      <c r="D510" s="1326"/>
      <c r="E510" s="1336"/>
      <c r="F510" s="1336"/>
      <c r="G510" s="1336"/>
      <c r="H510" s="1336"/>
      <c r="I510" s="1336"/>
      <c r="J510" s="1336"/>
      <c r="K510" s="1326"/>
      <c r="L510" s="1337"/>
      <c r="M510" s="1351"/>
      <c r="N510" s="1351"/>
      <c r="O510" s="1351"/>
      <c r="P510" s="1351"/>
      <c r="Q510" s="1351"/>
    </row>
    <row r="511" spans="4:18">
      <c r="M511" s="1352" t="s">
        <v>746</v>
      </c>
      <c r="N511" s="1351"/>
      <c r="O511" s="1351"/>
      <c r="P511" s="1351"/>
      <c r="Q511" s="1351"/>
    </row>
  </sheetData>
  <mergeCells count="24">
    <mergeCell ref="H494:I494"/>
    <mergeCell ref="H495:I495"/>
    <mergeCell ref="H493:I493"/>
    <mergeCell ref="B2:B3"/>
    <mergeCell ref="D2:N3"/>
    <mergeCell ref="D482:R484"/>
    <mergeCell ref="D486:E486"/>
    <mergeCell ref="H486:I486"/>
    <mergeCell ref="H487:I487"/>
    <mergeCell ref="H488:I488"/>
    <mergeCell ref="H489:I489"/>
    <mergeCell ref="H490:I490"/>
    <mergeCell ref="H491:I491"/>
    <mergeCell ref="H492:I492"/>
    <mergeCell ref="E509:J509"/>
    <mergeCell ref="H496:I496"/>
    <mergeCell ref="H497:I497"/>
    <mergeCell ref="H498:I498"/>
    <mergeCell ref="L501:Q501"/>
    <mergeCell ref="D502:G502"/>
    <mergeCell ref="I502:L502"/>
    <mergeCell ref="M502:R508"/>
    <mergeCell ref="H499:I499"/>
    <mergeCell ref="E501:J501"/>
  </mergeCells>
  <hyperlinks>
    <hyperlink ref="B2:B3" location="Home!A1" display="HOME" xr:uid="{1DFA56EC-C354-493C-8EB5-E67D33839BF6}"/>
    <hyperlink ref="B26" location="Disclaimer!A1" display="Disclaimer" xr:uid="{F9B5E562-CF7E-4C0B-BB7B-5BB448B8F8C8}"/>
    <hyperlink ref="B25" location="Help!A1" display="Help" xr:uid="{780092B3-4351-4727-933B-203CB5EE02E5}"/>
    <hyperlink ref="B23" location="'Source - Links'!A1" display="SOURCE / LINKS" xr:uid="{DD992B41-8E83-4DC5-8F96-93CABE328A9B}"/>
    <hyperlink ref="B13" location="'Guidelines - Bottom Lines'!A1" display="• Calculation of bottom lines" xr:uid="{48F0B359-C10D-4028-8C34-5D919BDE066C}"/>
    <hyperlink ref="B14" location="'Guidelines - ISGOTT-6 '!A1" display="• ISGOTT Sixth Edition" xr:uid="{5067A378-078E-4AF2-8B7D-2A8182A45133}"/>
    <hyperlink ref="B16" location="'Guidelines - Wedge Forla (1)'!A1" display="• Wedge formula - API MPMS" xr:uid="{60D3341A-A24A-4278-A4BC-25AD02071F22}"/>
    <hyperlink ref="B17" location="'Guidelines - Wedge Forla (2)'!A1" display="• Wedge formula - Saybolt" xr:uid="{6AC069DD-BE60-4BDF-B202-48EC9E229246}"/>
    <hyperlink ref="B18" location="'Guidelines - Wedge Formulas'!A1" display="• Wedge formulas" xr:uid="{D6EADD7A-593B-4A6D-9079-E9D75DB45E0E}"/>
    <hyperlink ref="B19" location="'Guidelines - Commingling Calc'!A1" display="• Commingling Calculation" xr:uid="{1774109E-22E4-4072-8280-F3BCA800DCD1}"/>
    <hyperlink ref="B20" location="'Guidelines - SOLAS'!A1" display="• SOLAS" xr:uid="{364FE435-D99C-4369-9889-F08092C6476F}"/>
    <hyperlink ref="B21" location="'Guidelines - SOLAS compliance'!A1" display="• SOLAS compliance" xr:uid="{89DD92EA-E0D1-4C6F-992D-FC1C645131DE}"/>
    <hyperlink ref="B15" location="'Guidelines - Wedge Forla (0)'!A1" display="• Wedge formula - ISO-8697-1999 " xr:uid="{F1E2B41C-D996-4167-98A0-C21C7F440A9F}"/>
    <hyperlink ref="B40" location="'Guidelines - Wedge Forla (0)'!A1" display="Go to Up" xr:uid="{C5953E53-B16B-4E7B-BDC1-61356FA05A5B}"/>
    <hyperlink ref="B60" location="'Guidelines - Wedge Forla (0)'!A1" display="Go to Up" xr:uid="{384A7749-A98F-48ED-BD87-DC3B1C977C85}"/>
    <hyperlink ref="B80" location="'Guidelines - Wedge Forla (0)'!A1" display="Go to Up" xr:uid="{D0E9767B-1F36-4FC3-9186-602836A010DB}"/>
    <hyperlink ref="B100" location="'Guidelines - Wedge Forla (0)'!A1" display="Go to Up" xr:uid="{ABD6388D-6271-49E8-8769-CA5C2913A91E}"/>
    <hyperlink ref="B120" location="'Guidelines - Wedge Forla (0)'!A1" display="Go to Up" xr:uid="{14E50EF4-1A7F-4E19-8E49-8F6048797666}"/>
    <hyperlink ref="B140" location="'Guidelines - Wedge Forla (0)'!A1" display="Go to Up" xr:uid="{4BCFB1BB-40AB-45A5-8CED-55F5B642FC06}"/>
    <hyperlink ref="B160" location="'Guidelines - Wedge Forla (0)'!A1" display="Go to Up" xr:uid="{35BC1806-EC26-4911-ACE2-BBA0751240F1}"/>
    <hyperlink ref="B180" location="'Guidelines - Wedge Forla (0)'!A1" display="Go to Up" xr:uid="{55ED693D-5E80-4C56-BD2C-35563C14E9BA}"/>
    <hyperlink ref="B200" location="'Guidelines - Wedge Forla (0)'!A1" display="Go to Up" xr:uid="{339603A3-7D4E-4C22-BBF3-B56F025729D9}"/>
    <hyperlink ref="B220" location="'Guidelines - Wedge Forla (0)'!A1" display="Go to Up" xr:uid="{E6D2D191-AC34-4815-9CB3-D0ED080826E9}"/>
    <hyperlink ref="B240" location="'Guidelines - Wedge Forla (0)'!A1" display="Go to Up" xr:uid="{F0D4EE53-A29C-4A20-8D41-16B9EC6DC7DA}"/>
    <hyperlink ref="B260" location="'Guidelines - Wedge Forla (0)'!A1" display="Go to Up" xr:uid="{3A938B0A-5CEE-4371-ACF7-FA7C823DD645}"/>
    <hyperlink ref="B280" location="'Guidelines - Wedge Forla (0)'!A1" display="Go to Up" xr:uid="{7592156A-E1CA-4C90-ADB4-E6F2E59ABC03}"/>
    <hyperlink ref="B300" location="'Guidelines - Wedge Forla (0)'!A1" display="Go to Up" xr:uid="{E54835C6-7059-4091-B9F4-454DDBCB9579}"/>
    <hyperlink ref="B320" location="'Guidelines - Wedge Forla (0)'!A1" display="Go to Up" xr:uid="{2DBCC437-9143-444A-906E-E5FE2246DD54}"/>
    <hyperlink ref="B5" location="'Documents Manager'!A1" display="DOCUMENTS MANAGER" xr:uid="{525E8AED-03E4-43FA-A9DA-62B486DF753C}"/>
    <hyperlink ref="B6" location="'ASTM Table Series'!A1" display="ASTM TABLES" xr:uid="{CE37DA7C-862B-4E52-981B-B12C313FCEDE}"/>
    <hyperlink ref="B7" location="'ASTM Converter (Tab.1)'!A1" display="ASTM - CONVERTERS" xr:uid="{69BA0434-5848-480C-9365-21319614C758}"/>
    <hyperlink ref="B8" location="'ASTM Calculator V.W.'!A1" display="ASTM - CALCULATORS" xr:uid="{F2A1757A-93E5-464F-92A2-A4985962884A}"/>
    <hyperlink ref="B9" location="'Initial&amp;Max. Loading Rate'!A1" display="CARGO - CALCULATORS" xr:uid="{6F236BC5-AB9C-4E8D-8A80-451C571AFBFF}"/>
    <hyperlink ref="B22" location="'Guidelines - IG Pressure'!A1" display="• IG Pressure" xr:uid="{F26516A3-B729-48A2-A8D7-3241905AFEBF}"/>
    <hyperlink ref="B12" location="'Guidelines - Bottom Lines'!A1" display="GUIDELINES - CARGO" xr:uid="{A3FCBFC6-1287-47D7-B5A8-B9290FE93F37}"/>
    <hyperlink ref="B11" location="'Guidelines - Definitions'!A1" display="GUIDELINES" xr:uid="{26BA8B73-ACBF-4792-B7C3-CAAB136C2D2D}"/>
  </hyperlinks>
  <printOptions horizontalCentered="1"/>
  <pageMargins left="0.39370078740157483" right="0.39370078740157483" top="0.39370078740157483" bottom="0.39370078740157483" header="0.51181102362204722" footer="0.51181102362204722"/>
  <pageSetup paperSize="9" scale="87" orientation="portrait" horizontalDpi="300" r:id="rId1"/>
  <headerFooter alignWithMargins="0"/>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0C267-5E21-4998-AE4B-F927D6A1D407}">
  <sheetPr>
    <tabColor rgb="FF008080"/>
    <pageSetUpPr fitToPage="1"/>
  </sheetPr>
  <dimension ref="A1:R241"/>
  <sheetViews>
    <sheetView showGridLines="0" showRowColHeaders="0" topLeftCell="B1" workbookViewId="0">
      <pane ySplit="3" topLeftCell="A4" activePane="bottomLeft" state="frozen"/>
      <selection activeCell="K24" sqref="K24"/>
      <selection pane="bottomLeft" activeCell="B17" sqref="B17"/>
    </sheetView>
  </sheetViews>
  <sheetFormatPr defaultColWidth="11.46484375" defaultRowHeight="12.75"/>
  <cols>
    <col min="1" max="1" width="0" style="1270" hidden="1" customWidth="1"/>
    <col min="2" max="2" width="36.6640625" style="65" customWidth="1"/>
    <col min="3" max="3" width="2.6640625" style="1274" customWidth="1"/>
    <col min="4" max="4" width="5.86328125" style="1270" customWidth="1"/>
    <col min="5" max="5" width="8.796875" style="1270" customWidth="1"/>
    <col min="6" max="6" width="14.796875" style="1270" customWidth="1"/>
    <col min="7" max="7" width="10.86328125" style="1270" customWidth="1"/>
    <col min="8" max="8" width="2.86328125" style="1270" customWidth="1"/>
    <col min="9" max="9" width="11.1328125" style="1270" customWidth="1"/>
    <col min="10" max="10" width="10" style="1270" customWidth="1"/>
    <col min="11" max="11" width="13.86328125" style="1270" customWidth="1"/>
    <col min="12" max="12" width="13.46484375" style="1270" customWidth="1"/>
    <col min="13" max="13" width="11.53125" style="1270" customWidth="1"/>
    <col min="14" max="14" width="13.86328125" style="1270" customWidth="1"/>
    <col min="15" max="15" width="12.33203125" style="1270" customWidth="1"/>
    <col min="16" max="16" width="11.86328125" style="1270" customWidth="1"/>
    <col min="17" max="17" width="14.46484375" style="1270" customWidth="1"/>
    <col min="18" max="18" width="13.19921875" style="1270" customWidth="1"/>
    <col min="19" max="16384" width="11.46484375" style="1270"/>
  </cols>
  <sheetData>
    <row r="1" spans="1:17" s="1274" customFormat="1" ht="12.75" customHeight="1">
      <c r="A1" s="1270"/>
      <c r="B1" s="1271"/>
      <c r="C1" s="1272"/>
      <c r="D1" s="1273"/>
      <c r="E1" s="1273"/>
      <c r="F1" s="285"/>
      <c r="H1" s="1273"/>
      <c r="I1" s="1275"/>
      <c r="J1" s="1276"/>
      <c r="K1" s="1276"/>
      <c r="L1" s="1276"/>
    </row>
    <row r="2" spans="1:17" ht="21" customHeight="1">
      <c r="B2" s="3284" t="s">
        <v>0</v>
      </c>
      <c r="C2" s="1277"/>
      <c r="D2" s="3493" t="s">
        <v>702</v>
      </c>
      <c r="E2" s="3493"/>
      <c r="F2" s="3493"/>
      <c r="G2" s="3493"/>
      <c r="H2" s="3493"/>
      <c r="I2" s="3493"/>
      <c r="J2" s="3493"/>
      <c r="K2" s="3493"/>
      <c r="L2" s="3493"/>
      <c r="M2" s="3493"/>
      <c r="N2" s="3493"/>
      <c r="O2" s="1354"/>
      <c r="P2" s="1354"/>
      <c r="Q2" s="1354"/>
    </row>
    <row r="3" spans="1:17" ht="21" customHeight="1">
      <c r="B3" s="3284"/>
      <c r="C3" s="1277"/>
      <c r="D3" s="3493"/>
      <c r="E3" s="3493"/>
      <c r="F3" s="3493"/>
      <c r="G3" s="3493"/>
      <c r="H3" s="3493"/>
      <c r="I3" s="3493"/>
      <c r="J3" s="3493"/>
      <c r="K3" s="3493"/>
      <c r="L3" s="3493"/>
      <c r="M3" s="3493"/>
      <c r="N3" s="3493"/>
      <c r="O3" s="1354"/>
      <c r="P3" s="1354"/>
      <c r="Q3" s="1354"/>
    </row>
    <row r="4" spans="1:17" ht="21" customHeight="1">
      <c r="B4" s="1280"/>
      <c r="C4" s="1281"/>
      <c r="D4" s="1282"/>
      <c r="E4" s="1283"/>
      <c r="F4" s="1283"/>
      <c r="G4" s="1283"/>
      <c r="H4" s="1283"/>
      <c r="I4" s="1283"/>
      <c r="J4" s="1283"/>
      <c r="K4" s="1283"/>
      <c r="L4" s="1284"/>
      <c r="M4" s="1284"/>
      <c r="N4" s="1285"/>
      <c r="O4" s="1286"/>
      <c r="P4" s="1286"/>
    </row>
    <row r="5" spans="1:17" ht="21" customHeight="1">
      <c r="B5" s="62" t="s">
        <v>1</v>
      </c>
      <c r="C5" s="1287"/>
      <c r="D5" s="1283"/>
      <c r="E5" s="1283"/>
      <c r="F5" s="1283"/>
      <c r="G5" s="1283"/>
      <c r="H5" s="1283"/>
      <c r="I5" s="1283"/>
      <c r="J5" s="1283"/>
      <c r="K5" s="1283"/>
      <c r="L5" s="1288"/>
    </row>
    <row r="6" spans="1:17" ht="21" customHeight="1">
      <c r="B6" s="397" t="s">
        <v>452</v>
      </c>
      <c r="C6" s="1289"/>
      <c r="D6" s="1290"/>
      <c r="E6" s="1291"/>
      <c r="F6" s="1291"/>
      <c r="L6" s="1292"/>
      <c r="M6" s="1292"/>
      <c r="N6" s="1292"/>
      <c r="O6" s="1291"/>
    </row>
    <row r="7" spans="1:17" ht="21" customHeight="1">
      <c r="B7" s="62" t="s">
        <v>239</v>
      </c>
      <c r="C7" s="1293"/>
      <c r="D7" s="1290"/>
      <c r="E7" s="1294"/>
      <c r="F7" s="1291"/>
      <c r="G7" s="1291"/>
      <c r="H7" s="1291"/>
      <c r="I7" s="1291"/>
      <c r="J7" s="1290"/>
      <c r="K7" s="1295"/>
      <c r="N7" s="1291"/>
      <c r="O7" s="1291"/>
    </row>
    <row r="8" spans="1:17" ht="21" customHeight="1">
      <c r="B8" s="62" t="s">
        <v>1263</v>
      </c>
      <c r="C8" s="1296"/>
      <c r="D8" s="1297"/>
      <c r="E8" s="1298"/>
      <c r="F8" s="1291"/>
      <c r="G8" s="1291"/>
      <c r="H8" s="1291"/>
      <c r="I8" s="1291"/>
      <c r="J8" s="1290"/>
      <c r="K8" s="1299"/>
      <c r="O8" s="1291"/>
    </row>
    <row r="9" spans="1:17" ht="21" customHeight="1">
      <c r="B9" s="62" t="s">
        <v>557</v>
      </c>
      <c r="C9" s="1287"/>
      <c r="D9" s="1297"/>
      <c r="E9" s="1300"/>
      <c r="F9" s="1291"/>
      <c r="G9" s="1291"/>
      <c r="H9" s="1291"/>
      <c r="I9" s="1301"/>
      <c r="O9" s="1291"/>
    </row>
    <row r="10" spans="1:17" ht="21" customHeight="1">
      <c r="B10" s="62" t="s">
        <v>238</v>
      </c>
      <c r="C10" s="1287"/>
      <c r="D10" s="1302"/>
      <c r="E10" s="1302"/>
      <c r="F10" s="1302"/>
      <c r="G10" s="1302"/>
      <c r="H10" s="1302"/>
      <c r="I10" s="1302"/>
      <c r="J10" s="1302"/>
      <c r="K10" s="1302"/>
    </row>
    <row r="11" spans="1:17" ht="21" customHeight="1">
      <c r="B11" s="62" t="s">
        <v>1652</v>
      </c>
      <c r="C11" s="1287"/>
      <c r="D11" s="1302"/>
      <c r="E11" s="1302"/>
      <c r="F11" s="1302"/>
      <c r="G11" s="1302"/>
      <c r="H11" s="1302"/>
      <c r="I11" s="1302"/>
      <c r="J11" s="1302"/>
      <c r="K11" s="1302"/>
    </row>
    <row r="12" spans="1:17" ht="21" customHeight="1">
      <c r="B12" s="146" t="s">
        <v>1653</v>
      </c>
      <c r="C12" s="1303"/>
      <c r="D12" s="1301"/>
      <c r="E12" s="1301"/>
      <c r="F12" s="1301"/>
      <c r="G12" s="1301"/>
      <c r="H12" s="1301"/>
      <c r="I12" s="1301"/>
      <c r="J12" s="1301"/>
      <c r="K12" s="1301"/>
    </row>
    <row r="13" spans="1:17" ht="21" customHeight="1">
      <c r="B13" s="145" t="s">
        <v>555</v>
      </c>
      <c r="C13" s="1303"/>
      <c r="D13" s="1304"/>
      <c r="E13" s="1304"/>
      <c r="F13" s="1304"/>
      <c r="G13" s="1297"/>
      <c r="H13" s="1301"/>
      <c r="I13" s="1304"/>
      <c r="J13" s="1304"/>
      <c r="K13" s="1304"/>
    </row>
    <row r="14" spans="1:17" ht="21" customHeight="1">
      <c r="B14" s="145" t="s">
        <v>685</v>
      </c>
      <c r="C14" s="1303"/>
      <c r="D14" s="1304"/>
      <c r="E14" s="1304"/>
      <c r="F14" s="1304"/>
      <c r="G14" s="1297"/>
      <c r="H14" s="1301"/>
      <c r="I14" s="1304"/>
      <c r="J14" s="1304"/>
      <c r="K14" s="1304"/>
    </row>
    <row r="15" spans="1:17" ht="21" customHeight="1">
      <c r="B15" s="145" t="s">
        <v>1164</v>
      </c>
      <c r="C15" s="1303"/>
      <c r="D15" s="1304"/>
      <c r="E15" s="1304"/>
      <c r="F15" s="1304"/>
      <c r="G15" s="1297"/>
      <c r="H15" s="1301"/>
      <c r="I15" s="1304"/>
      <c r="J15" s="1304"/>
      <c r="K15" s="1304"/>
    </row>
    <row r="16" spans="1:17" ht="21" customHeight="1">
      <c r="B16" s="147" t="s">
        <v>701</v>
      </c>
      <c r="C16" s="1305"/>
      <c r="D16" s="1304"/>
      <c r="E16" s="1304"/>
      <c r="F16" s="1297"/>
      <c r="G16" s="1301"/>
      <c r="H16" s="1304"/>
      <c r="I16" s="1304"/>
      <c r="J16" s="1304"/>
    </row>
    <row r="17" spans="2:15" ht="21" customHeight="1">
      <c r="B17" s="145" t="s">
        <v>700</v>
      </c>
      <c r="C17" s="1305"/>
      <c r="D17" s="1304"/>
      <c r="E17" s="1304"/>
      <c r="F17" s="1297"/>
      <c r="G17" s="1301"/>
      <c r="H17" s="1304"/>
      <c r="I17" s="1304"/>
      <c r="J17" s="1304"/>
    </row>
    <row r="18" spans="2:15" ht="21" customHeight="1">
      <c r="B18" s="145" t="s">
        <v>748</v>
      </c>
      <c r="C18" s="1305"/>
      <c r="D18" s="1306"/>
      <c r="E18" s="1307"/>
      <c r="F18" s="1308"/>
      <c r="G18" s="1307"/>
      <c r="H18" s="1308"/>
      <c r="I18" s="1307"/>
      <c r="J18" s="1308"/>
    </row>
    <row r="19" spans="2:15" ht="21" customHeight="1">
      <c r="B19" s="145" t="s">
        <v>1157</v>
      </c>
      <c r="C19" s="1309"/>
      <c r="D19" s="1304"/>
      <c r="E19" s="1306"/>
      <c r="F19" s="1307"/>
      <c r="G19" s="1308"/>
      <c r="H19" s="1307"/>
      <c r="I19" s="1308"/>
      <c r="J19" s="1307"/>
      <c r="K19" s="1308"/>
    </row>
    <row r="20" spans="2:15" ht="21" customHeight="1">
      <c r="B20" s="145" t="s">
        <v>1155</v>
      </c>
      <c r="C20" s="1309"/>
      <c r="D20" s="1304"/>
      <c r="E20" s="1306"/>
      <c r="F20" s="1307"/>
      <c r="G20" s="1308"/>
      <c r="H20" s="1307"/>
      <c r="I20" s="1308"/>
      <c r="J20" s="1307"/>
      <c r="K20" s="1308"/>
    </row>
    <row r="21" spans="2:15" ht="21" customHeight="1">
      <c r="B21" s="145" t="s">
        <v>1158</v>
      </c>
      <c r="C21" s="1309"/>
      <c r="D21" s="1304"/>
      <c r="E21" s="1306"/>
      <c r="F21" s="1307"/>
      <c r="G21" s="1308"/>
      <c r="H21" s="1307"/>
      <c r="I21" s="1308"/>
      <c r="J21" s="1307"/>
      <c r="K21" s="1308"/>
    </row>
    <row r="22" spans="2:15" ht="21" customHeight="1">
      <c r="B22" s="145" t="s">
        <v>1324</v>
      </c>
      <c r="C22" s="1272"/>
      <c r="D22" s="1304"/>
      <c r="E22" s="1306"/>
      <c r="F22" s="1307"/>
      <c r="G22" s="1308"/>
      <c r="H22" s="1307"/>
      <c r="I22" s="1308"/>
      <c r="J22" s="1307"/>
      <c r="K22" s="1308"/>
    </row>
    <row r="23" spans="2:15" ht="21" customHeight="1">
      <c r="B23" s="62" t="s">
        <v>40</v>
      </c>
      <c r="C23" s="1272"/>
      <c r="D23" s="1304"/>
      <c r="E23" s="1306"/>
      <c r="F23" s="1307"/>
      <c r="G23" s="1308"/>
      <c r="H23" s="1307"/>
      <c r="I23" s="1308"/>
      <c r="J23" s="1307"/>
      <c r="K23" s="1308"/>
    </row>
    <row r="24" spans="2:15" ht="21" customHeight="1">
      <c r="B24" s="62" t="s">
        <v>238</v>
      </c>
      <c r="C24" s="1272"/>
      <c r="D24" s="1304"/>
      <c r="E24" s="1306"/>
      <c r="F24" s="1307"/>
      <c r="G24" s="1308"/>
      <c r="H24" s="1307"/>
      <c r="I24" s="1308"/>
      <c r="J24" s="1307"/>
      <c r="K24" s="1308"/>
    </row>
    <row r="25" spans="2:15" ht="21" customHeight="1">
      <c r="B25" s="62" t="s">
        <v>39</v>
      </c>
      <c r="C25" s="1272"/>
      <c r="D25" s="1304"/>
      <c r="E25" s="1306"/>
      <c r="F25" s="1307"/>
      <c r="G25" s="1308"/>
      <c r="H25" s="1307"/>
      <c r="I25" s="1308"/>
      <c r="J25" s="1307"/>
      <c r="K25" s="1308"/>
    </row>
    <row r="26" spans="2:15" ht="21" customHeight="1">
      <c r="B26" s="62" t="s">
        <v>38</v>
      </c>
      <c r="C26" s="1272"/>
      <c r="D26" s="1304"/>
      <c r="E26" s="1306"/>
      <c r="F26" s="1307"/>
      <c r="G26" s="1308"/>
      <c r="H26" s="1307"/>
      <c r="I26" s="1308"/>
      <c r="J26" s="1307"/>
      <c r="K26" s="1308"/>
    </row>
    <row r="27" spans="2:15" ht="21" customHeight="1">
      <c r="B27" s="1271"/>
      <c r="C27" s="1272"/>
      <c r="D27" s="1304"/>
      <c r="E27" s="1306"/>
      <c r="F27" s="1307"/>
      <c r="G27" s="1308"/>
      <c r="H27" s="1307"/>
      <c r="I27" s="1308"/>
      <c r="J27" s="1307"/>
      <c r="K27" s="1308"/>
    </row>
    <row r="28" spans="2:15" ht="21" customHeight="1">
      <c r="B28" s="1271"/>
      <c r="C28" s="1272"/>
      <c r="D28" s="1304"/>
      <c r="E28" s="1306"/>
      <c r="F28" s="1307"/>
      <c r="G28" s="1308"/>
      <c r="H28" s="1307"/>
      <c r="I28" s="1308"/>
      <c r="J28" s="1307"/>
      <c r="K28" s="1308"/>
    </row>
    <row r="29" spans="2:15" ht="21" customHeight="1">
      <c r="B29" s="1271"/>
      <c r="C29" s="1272"/>
      <c r="D29" s="1304"/>
      <c r="E29" s="1306"/>
      <c r="F29" s="1307"/>
      <c r="G29" s="1308"/>
      <c r="H29" s="1307"/>
      <c r="I29" s="1308"/>
      <c r="J29" s="1307"/>
      <c r="K29" s="1308"/>
    </row>
    <row r="30" spans="2:15" ht="21" customHeight="1">
      <c r="B30" s="1271"/>
      <c r="C30" s="1272"/>
      <c r="D30" s="1304"/>
      <c r="E30" s="1306"/>
      <c r="F30" s="1307"/>
      <c r="G30" s="1308"/>
      <c r="H30" s="1307"/>
      <c r="I30" s="1308"/>
      <c r="J30" s="1307"/>
      <c r="K30" s="1308"/>
    </row>
    <row r="31" spans="2:15" ht="21" customHeight="1">
      <c r="B31" s="1271"/>
      <c r="C31" s="1272"/>
      <c r="D31" s="1304"/>
      <c r="E31" s="1306"/>
      <c r="F31" s="1307"/>
      <c r="G31" s="1308"/>
      <c r="H31" s="1307"/>
      <c r="I31" s="1308"/>
      <c r="J31" s="1307"/>
      <c r="K31" s="1308"/>
      <c r="O31" s="1310"/>
    </row>
    <row r="32" spans="2:15" ht="21" customHeight="1">
      <c r="B32" s="1271"/>
      <c r="C32" s="1272"/>
      <c r="D32" s="1304"/>
      <c r="E32" s="1306"/>
      <c r="F32" s="1307"/>
      <c r="G32" s="1308"/>
      <c r="H32" s="1307"/>
      <c r="I32" s="1308"/>
      <c r="J32" s="1307"/>
      <c r="K32" s="1308"/>
      <c r="O32" s="1310"/>
    </row>
    <row r="33" spans="2:15" ht="21" customHeight="1">
      <c r="B33" s="1271"/>
      <c r="C33" s="1272"/>
      <c r="D33" s="1304"/>
      <c r="E33" s="1306"/>
      <c r="F33" s="1307"/>
      <c r="G33" s="1308"/>
      <c r="H33" s="1307"/>
      <c r="I33" s="1308"/>
      <c r="J33" s="1307"/>
      <c r="K33" s="1308"/>
      <c r="O33" s="1310"/>
    </row>
    <row r="34" spans="2:15" ht="21" customHeight="1">
      <c r="B34" s="1271"/>
      <c r="C34" s="1272"/>
      <c r="D34" s="1302"/>
      <c r="E34" s="1302"/>
      <c r="F34" s="1311"/>
      <c r="G34" s="1312"/>
      <c r="H34" s="1311"/>
      <c r="I34" s="1312"/>
      <c r="J34" s="1311"/>
      <c r="K34" s="1312"/>
    </row>
    <row r="35" spans="2:15">
      <c r="B35" s="1271"/>
      <c r="C35" s="1272"/>
      <c r="D35" s="1302"/>
      <c r="E35" s="1302"/>
      <c r="F35" s="1311"/>
      <c r="G35" s="1312"/>
      <c r="H35" s="1311"/>
      <c r="I35" s="1312"/>
      <c r="J35" s="1311"/>
      <c r="K35" s="1312"/>
      <c r="N35" s="1313"/>
    </row>
    <row r="36" spans="2:15" ht="18.75" customHeight="1">
      <c r="B36" s="1271"/>
      <c r="C36" s="1272"/>
      <c r="D36" s="1302"/>
      <c r="E36" s="1302"/>
      <c r="F36" s="1311"/>
      <c r="G36" s="1312"/>
      <c r="H36" s="1311"/>
      <c r="I36" s="1312"/>
      <c r="J36" s="1311"/>
      <c r="K36" s="1312"/>
    </row>
    <row r="37" spans="2:15" ht="15.75" customHeight="1">
      <c r="B37" s="1271"/>
      <c r="C37" s="1272"/>
      <c r="D37" s="1302"/>
      <c r="E37" s="1302"/>
      <c r="F37" s="1311"/>
      <c r="G37" s="1312"/>
      <c r="H37" s="1311"/>
      <c r="I37" s="1312"/>
      <c r="J37" s="1311"/>
      <c r="K37" s="1312"/>
    </row>
    <row r="38" spans="2:15">
      <c r="B38" s="1271"/>
      <c r="C38" s="1272"/>
      <c r="D38" s="1302"/>
      <c r="E38" s="1302"/>
      <c r="F38" s="1311"/>
      <c r="G38" s="1312"/>
      <c r="H38" s="1311"/>
      <c r="I38" s="1312"/>
      <c r="J38" s="1311"/>
      <c r="K38" s="1312"/>
    </row>
    <row r="39" spans="2:15">
      <c r="B39" s="1271"/>
      <c r="C39" s="1272"/>
      <c r="D39" s="1302"/>
      <c r="E39" s="1302"/>
      <c r="F39" s="1311"/>
      <c r="G39" s="1312"/>
      <c r="H39" s="1311"/>
      <c r="I39" s="1312"/>
      <c r="J39" s="1311"/>
      <c r="K39" s="1312"/>
    </row>
    <row r="40" spans="2:15">
      <c r="B40" s="2228" t="s">
        <v>550</v>
      </c>
      <c r="C40" s="1272"/>
      <c r="D40" s="1302"/>
      <c r="E40" s="1302"/>
      <c r="F40" s="1311"/>
      <c r="G40" s="1312"/>
      <c r="H40" s="1311"/>
      <c r="I40" s="1312"/>
      <c r="J40" s="1311"/>
      <c r="K40" s="1312"/>
    </row>
    <row r="41" spans="2:15">
      <c r="B41" s="1271"/>
      <c r="C41" s="1272"/>
      <c r="D41" s="1302"/>
      <c r="E41" s="1302"/>
      <c r="F41" s="1311"/>
      <c r="G41" s="1312"/>
      <c r="H41" s="1311"/>
      <c r="I41" s="1312"/>
      <c r="J41" s="1311"/>
      <c r="K41" s="1312"/>
    </row>
    <row r="42" spans="2:15">
      <c r="B42" s="1271"/>
      <c r="C42" s="1272"/>
      <c r="D42" s="1302"/>
      <c r="E42" s="1302"/>
      <c r="F42" s="1311"/>
      <c r="G42" s="1312"/>
      <c r="H42" s="1311"/>
      <c r="I42" s="1312"/>
      <c r="J42" s="1311"/>
      <c r="K42" s="1312"/>
    </row>
    <row r="43" spans="2:15">
      <c r="B43" s="1271"/>
      <c r="C43" s="1272"/>
      <c r="H43" s="1314"/>
      <c r="I43" s="1315"/>
      <c r="K43" s="1316"/>
    </row>
    <row r="44" spans="2:15">
      <c r="B44" s="1271"/>
      <c r="C44" s="1272"/>
    </row>
    <row r="45" spans="2:15">
      <c r="B45" s="1271"/>
      <c r="C45" s="1272"/>
      <c r="G45" s="1317"/>
      <c r="H45" s="1317"/>
    </row>
    <row r="46" spans="2:15">
      <c r="B46" s="1271"/>
      <c r="C46" s="1272"/>
    </row>
    <row r="47" spans="2:15">
      <c r="B47" s="1271"/>
      <c r="C47" s="1272"/>
      <c r="L47" s="1291"/>
    </row>
    <row r="48" spans="2:15">
      <c r="B48" s="1271"/>
      <c r="C48" s="1272"/>
    </row>
    <row r="49" spans="2:11">
      <c r="B49" s="1271"/>
      <c r="C49" s="1272"/>
    </row>
    <row r="50" spans="2:11">
      <c r="B50" s="1271"/>
      <c r="C50" s="1272"/>
      <c r="D50" s="1318"/>
      <c r="G50" s="1317"/>
      <c r="H50" s="1317"/>
      <c r="J50" s="1317"/>
      <c r="K50" s="1317"/>
    </row>
    <row r="51" spans="2:11">
      <c r="B51" s="1271"/>
      <c r="C51" s="1272"/>
    </row>
    <row r="52" spans="2:11">
      <c r="B52" s="1271"/>
      <c r="C52" s="1272"/>
      <c r="D52" s="1291"/>
      <c r="E52" s="1291"/>
      <c r="F52" s="1291"/>
      <c r="G52" s="1291"/>
      <c r="I52" s="1291"/>
      <c r="J52" s="1291"/>
      <c r="K52" s="1290"/>
    </row>
    <row r="53" spans="2:11">
      <c r="B53" s="1271"/>
      <c r="C53" s="1272"/>
    </row>
    <row r="54" spans="2:11">
      <c r="B54" s="1271"/>
      <c r="C54" s="1272"/>
    </row>
    <row r="55" spans="2:11">
      <c r="B55" s="1271"/>
      <c r="C55" s="1272"/>
    </row>
    <row r="56" spans="2:11">
      <c r="B56" s="1271"/>
      <c r="C56" s="1272"/>
    </row>
    <row r="57" spans="2:11">
      <c r="B57" s="1271"/>
      <c r="C57" s="1272"/>
    </row>
    <row r="58" spans="2:11">
      <c r="B58" s="1271"/>
      <c r="C58" s="1272"/>
    </row>
    <row r="59" spans="2:11">
      <c r="B59" s="1271"/>
      <c r="C59" s="1272"/>
    </row>
    <row r="60" spans="2:11">
      <c r="B60" s="2228" t="s">
        <v>550</v>
      </c>
      <c r="C60" s="1272"/>
    </row>
    <row r="61" spans="2:11">
      <c r="B61" s="1271"/>
      <c r="C61" s="1272"/>
    </row>
    <row r="62" spans="2:11">
      <c r="B62" s="1271"/>
      <c r="C62" s="1272"/>
    </row>
    <row r="63" spans="2:11">
      <c r="B63" s="1271"/>
      <c r="C63" s="1272"/>
    </row>
    <row r="64" spans="2:11">
      <c r="B64" s="1271"/>
      <c r="C64" s="1272"/>
    </row>
    <row r="65" spans="2:3">
      <c r="B65" s="1271"/>
      <c r="C65" s="1272"/>
    </row>
    <row r="66" spans="2:3">
      <c r="B66" s="1271"/>
      <c r="C66" s="1272"/>
    </row>
    <row r="67" spans="2:3">
      <c r="B67" s="1271"/>
      <c r="C67" s="1272"/>
    </row>
    <row r="68" spans="2:3">
      <c r="B68" s="1271"/>
      <c r="C68" s="1272"/>
    </row>
    <row r="69" spans="2:3">
      <c r="B69" s="1271"/>
      <c r="C69" s="1272"/>
    </row>
    <row r="70" spans="2:3">
      <c r="B70" s="1271"/>
      <c r="C70" s="1272"/>
    </row>
    <row r="71" spans="2:3">
      <c r="B71" s="1271"/>
      <c r="C71" s="1272"/>
    </row>
    <row r="72" spans="2:3">
      <c r="B72" s="1271"/>
      <c r="C72" s="1272"/>
    </row>
    <row r="73" spans="2:3">
      <c r="B73" s="1271"/>
      <c r="C73" s="1272"/>
    </row>
    <row r="74" spans="2:3">
      <c r="B74" s="1271"/>
      <c r="C74" s="1272"/>
    </row>
    <row r="75" spans="2:3">
      <c r="B75" s="1271"/>
      <c r="C75" s="1272"/>
    </row>
    <row r="76" spans="2:3">
      <c r="B76" s="1271"/>
      <c r="C76" s="1272"/>
    </row>
    <row r="77" spans="2:3">
      <c r="B77" s="1271"/>
      <c r="C77" s="1272"/>
    </row>
    <row r="78" spans="2:3">
      <c r="B78" s="1271"/>
      <c r="C78" s="1272"/>
    </row>
    <row r="79" spans="2:3">
      <c r="B79" s="1271"/>
      <c r="C79" s="1272"/>
    </row>
    <row r="80" spans="2:3">
      <c r="B80" s="2228" t="s">
        <v>550</v>
      </c>
      <c r="C80" s="1272"/>
    </row>
    <row r="81" spans="2:3">
      <c r="B81" s="1271"/>
      <c r="C81" s="1272"/>
    </row>
    <row r="82" spans="2:3">
      <c r="B82" s="1271"/>
      <c r="C82" s="1272"/>
    </row>
    <row r="83" spans="2:3">
      <c r="B83" s="1271"/>
      <c r="C83" s="1272"/>
    </row>
    <row r="84" spans="2:3">
      <c r="B84" s="1271"/>
      <c r="C84" s="1272"/>
    </row>
    <row r="85" spans="2:3">
      <c r="B85" s="1271"/>
      <c r="C85" s="1272"/>
    </row>
    <row r="86" spans="2:3">
      <c r="B86" s="1271"/>
      <c r="C86" s="1272"/>
    </row>
    <row r="87" spans="2:3">
      <c r="B87" s="1271"/>
      <c r="C87" s="1272"/>
    </row>
    <row r="88" spans="2:3">
      <c r="B88" s="1271"/>
      <c r="C88" s="1272"/>
    </row>
    <row r="89" spans="2:3">
      <c r="B89" s="1271"/>
      <c r="C89" s="1272"/>
    </row>
    <row r="90" spans="2:3">
      <c r="B90" s="1271"/>
      <c r="C90" s="1272"/>
    </row>
    <row r="91" spans="2:3">
      <c r="B91" s="1271"/>
      <c r="C91" s="1272"/>
    </row>
    <row r="92" spans="2:3">
      <c r="B92" s="1271"/>
      <c r="C92" s="1272"/>
    </row>
    <row r="93" spans="2:3">
      <c r="B93" s="1271"/>
      <c r="C93" s="1272"/>
    </row>
    <row r="94" spans="2:3">
      <c r="B94" s="1271"/>
      <c r="C94" s="1272"/>
    </row>
    <row r="95" spans="2:3">
      <c r="B95" s="1271"/>
      <c r="C95" s="1272"/>
    </row>
    <row r="96" spans="2:3">
      <c r="B96" s="1271"/>
      <c r="C96" s="1272"/>
    </row>
    <row r="97" spans="2:3">
      <c r="B97" s="1271"/>
      <c r="C97" s="1272"/>
    </row>
    <row r="98" spans="2:3">
      <c r="C98" s="1272"/>
    </row>
    <row r="99" spans="2:3">
      <c r="C99" s="1272"/>
    </row>
    <row r="100" spans="2:3">
      <c r="B100" s="2228" t="s">
        <v>550</v>
      </c>
      <c r="C100" s="1272"/>
    </row>
    <row r="120" spans="2:2">
      <c r="B120" s="2228" t="s">
        <v>550</v>
      </c>
    </row>
    <row r="140" spans="2:2">
      <c r="B140" s="2228" t="s">
        <v>550</v>
      </c>
    </row>
    <row r="141" spans="2:2">
      <c r="B141" s="2229"/>
    </row>
    <row r="142" spans="2:2">
      <c r="B142" s="2229"/>
    </row>
    <row r="143" spans="2:2">
      <c r="B143" s="2229"/>
    </row>
    <row r="144" spans="2:2">
      <c r="B144" s="2229"/>
    </row>
    <row r="145" spans="2:2">
      <c r="B145" s="2229"/>
    </row>
    <row r="146" spans="2:2">
      <c r="B146" s="2229"/>
    </row>
    <row r="147" spans="2:2">
      <c r="B147" s="2229"/>
    </row>
    <row r="148" spans="2:2">
      <c r="B148" s="2229"/>
    </row>
    <row r="149" spans="2:2">
      <c r="B149" s="2229"/>
    </row>
    <row r="150" spans="2:2">
      <c r="B150" s="2229"/>
    </row>
    <row r="151" spans="2:2">
      <c r="B151" s="2229"/>
    </row>
    <row r="152" spans="2:2">
      <c r="B152" s="2229"/>
    </row>
    <row r="153" spans="2:2">
      <c r="B153" s="2229"/>
    </row>
    <row r="154" spans="2:2">
      <c r="B154" s="2229"/>
    </row>
    <row r="155" spans="2:2">
      <c r="B155" s="2229"/>
    </row>
    <row r="156" spans="2:2">
      <c r="B156" s="2229"/>
    </row>
    <row r="157" spans="2:2">
      <c r="B157" s="2229"/>
    </row>
    <row r="158" spans="2:2">
      <c r="B158" s="2229"/>
    </row>
    <row r="159" spans="2:2">
      <c r="B159" s="2229"/>
    </row>
    <row r="160" spans="2:2">
      <c r="B160" s="2229"/>
    </row>
    <row r="161" spans="2:2">
      <c r="B161" s="2229"/>
    </row>
    <row r="162" spans="2:2">
      <c r="B162" s="2229"/>
    </row>
    <row r="163" spans="2:2">
      <c r="B163" s="2229"/>
    </row>
    <row r="164" spans="2:2">
      <c r="B164" s="2229"/>
    </row>
    <row r="165" spans="2:2">
      <c r="B165" s="2229"/>
    </row>
    <row r="166" spans="2:2">
      <c r="B166" s="2229"/>
    </row>
    <row r="167" spans="2:2">
      <c r="B167" s="2229"/>
    </row>
    <row r="168" spans="2:2">
      <c r="B168" s="2229"/>
    </row>
    <row r="169" spans="2:2">
      <c r="B169" s="2229"/>
    </row>
    <row r="170" spans="2:2">
      <c r="B170" s="2229"/>
    </row>
    <row r="171" spans="2:2">
      <c r="B171" s="2229"/>
    </row>
    <row r="172" spans="2:2">
      <c r="B172" s="2229"/>
    </row>
    <row r="173" spans="2:2">
      <c r="B173" s="2229"/>
    </row>
    <row r="174" spans="2:2">
      <c r="B174" s="2229"/>
    </row>
    <row r="175" spans="2:2">
      <c r="B175" s="2229"/>
    </row>
    <row r="176" spans="2:2">
      <c r="B176" s="2229"/>
    </row>
    <row r="177" spans="2:2">
      <c r="B177" s="2229"/>
    </row>
    <row r="212" spans="2:18">
      <c r="D212" s="3494" t="s">
        <v>704</v>
      </c>
      <c r="E212" s="3494"/>
      <c r="F212" s="3494"/>
      <c r="G212" s="3494"/>
      <c r="H212" s="3494"/>
      <c r="I212" s="3494"/>
      <c r="J212" s="3494"/>
      <c r="K212" s="3494"/>
      <c r="L212" s="3494"/>
      <c r="M212" s="3494"/>
      <c r="N212" s="3494"/>
      <c r="O212" s="3494"/>
      <c r="P212" s="3494"/>
      <c r="Q212" s="3494"/>
      <c r="R212" s="3494"/>
    </row>
    <row r="213" spans="2:18">
      <c r="D213" s="3494"/>
      <c r="E213" s="3494"/>
      <c r="F213" s="3494"/>
      <c r="G213" s="3494"/>
      <c r="H213" s="3494"/>
      <c r="I213" s="3494"/>
      <c r="J213" s="3494"/>
      <c r="K213" s="3494"/>
      <c r="L213" s="3494"/>
      <c r="M213" s="3494"/>
      <c r="N213" s="3494"/>
      <c r="O213" s="3494"/>
      <c r="P213" s="3494"/>
      <c r="Q213" s="3494"/>
      <c r="R213" s="3494"/>
    </row>
    <row r="214" spans="2:18">
      <c r="B214" s="2228" t="s">
        <v>550</v>
      </c>
      <c r="D214" s="3495"/>
      <c r="E214" s="3495"/>
      <c r="F214" s="3495"/>
      <c r="G214" s="3495"/>
      <c r="H214" s="3495"/>
      <c r="I214" s="3495"/>
      <c r="J214" s="3495"/>
      <c r="K214" s="3495"/>
      <c r="L214" s="3495"/>
      <c r="M214" s="3495"/>
      <c r="N214" s="3495"/>
      <c r="O214" s="3495"/>
      <c r="P214" s="3495"/>
      <c r="Q214" s="3495"/>
      <c r="R214" s="3495"/>
    </row>
    <row r="215" spans="2:18" ht="25.8" customHeight="1">
      <c r="D215" s="1342" t="s">
        <v>732</v>
      </c>
      <c r="E215" s="1334"/>
      <c r="F215" s="1334"/>
      <c r="G215" s="1334"/>
      <c r="H215" s="1343" t="s">
        <v>733</v>
      </c>
      <c r="I215" s="1334"/>
      <c r="J215" s="1334"/>
      <c r="K215" s="1334"/>
      <c r="L215" s="1334"/>
      <c r="M215" s="1343" t="s">
        <v>734</v>
      </c>
      <c r="N215" s="1334"/>
      <c r="O215" s="1334"/>
      <c r="P215" s="1334"/>
      <c r="Q215" s="1343" t="s">
        <v>735</v>
      </c>
      <c r="R215" s="1335"/>
    </row>
    <row r="216" spans="2:18" ht="52.8" customHeight="1">
      <c r="D216" s="3496" t="s">
        <v>705</v>
      </c>
      <c r="E216" s="3497"/>
      <c r="F216" s="1345" t="s">
        <v>736</v>
      </c>
      <c r="G216" s="1346" t="s">
        <v>737</v>
      </c>
      <c r="H216" s="3496" t="s">
        <v>738</v>
      </c>
      <c r="I216" s="3497"/>
      <c r="J216" s="1344" t="s">
        <v>729</v>
      </c>
      <c r="K216" s="1347" t="s">
        <v>739</v>
      </c>
      <c r="L216" s="1348" t="s">
        <v>730</v>
      </c>
      <c r="M216" s="1347" t="s">
        <v>740</v>
      </c>
      <c r="N216" s="1348" t="s">
        <v>741</v>
      </c>
      <c r="O216" s="1346" t="s">
        <v>742</v>
      </c>
      <c r="P216" s="1346" t="s">
        <v>743</v>
      </c>
      <c r="Q216" s="1346" t="s">
        <v>744</v>
      </c>
      <c r="R216" s="1348" t="s">
        <v>731</v>
      </c>
    </row>
    <row r="217" spans="2:18">
      <c r="D217" s="1328"/>
      <c r="E217" s="1329"/>
      <c r="F217" s="1323"/>
      <c r="G217" s="1324"/>
      <c r="H217" s="3483"/>
      <c r="I217" s="3484"/>
      <c r="J217" s="1328"/>
      <c r="K217" s="1328"/>
      <c r="L217" s="1323"/>
      <c r="M217" s="1328"/>
      <c r="N217" s="1323"/>
      <c r="O217" s="1323"/>
      <c r="P217" s="1323"/>
      <c r="Q217" s="1323"/>
      <c r="R217" s="1323"/>
    </row>
    <row r="218" spans="2:18">
      <c r="D218" s="1328"/>
      <c r="E218" s="1329"/>
      <c r="F218" s="1323"/>
      <c r="G218" s="1324"/>
      <c r="H218" s="3483"/>
      <c r="I218" s="3484"/>
      <c r="J218" s="1328"/>
      <c r="K218" s="1328"/>
      <c r="L218" s="1323"/>
      <c r="M218" s="1328"/>
      <c r="N218" s="1323"/>
      <c r="O218" s="1323"/>
      <c r="P218" s="1323"/>
      <c r="Q218" s="1323"/>
      <c r="R218" s="1323"/>
    </row>
    <row r="219" spans="2:18">
      <c r="D219" s="1328"/>
      <c r="E219" s="1329"/>
      <c r="F219" s="1323"/>
      <c r="G219" s="1324"/>
      <c r="H219" s="3483"/>
      <c r="I219" s="3484"/>
      <c r="J219" s="1328"/>
      <c r="K219" s="1328"/>
      <c r="L219" s="1323"/>
      <c r="M219" s="1328"/>
      <c r="N219" s="1323"/>
      <c r="O219" s="1323"/>
      <c r="P219" s="1323"/>
      <c r="Q219" s="1323"/>
      <c r="R219" s="1323"/>
    </row>
    <row r="220" spans="2:18">
      <c r="D220" s="1328"/>
      <c r="E220" s="1329"/>
      <c r="F220" s="1323"/>
      <c r="G220" s="1324"/>
      <c r="H220" s="3483"/>
      <c r="I220" s="3484"/>
      <c r="J220" s="1328"/>
      <c r="K220" s="1328"/>
      <c r="L220" s="1323"/>
      <c r="M220" s="1328"/>
      <c r="N220" s="1323"/>
      <c r="O220" s="1323"/>
      <c r="P220" s="1323"/>
      <c r="Q220" s="1323"/>
      <c r="R220" s="1323"/>
    </row>
    <row r="221" spans="2:18">
      <c r="D221" s="1328"/>
      <c r="E221" s="1329"/>
      <c r="F221" s="1323"/>
      <c r="G221" s="1324"/>
      <c r="H221" s="3483"/>
      <c r="I221" s="3484"/>
      <c r="J221" s="1328"/>
      <c r="K221" s="1328"/>
      <c r="L221" s="1323"/>
      <c r="M221" s="1328"/>
      <c r="N221" s="1323"/>
      <c r="O221" s="1323"/>
      <c r="P221" s="1323"/>
      <c r="Q221" s="1323"/>
      <c r="R221" s="1323"/>
    </row>
    <row r="222" spans="2:18">
      <c r="D222" s="1328"/>
      <c r="E222" s="1329"/>
      <c r="F222" s="1323"/>
      <c r="G222" s="1324"/>
      <c r="H222" s="3483"/>
      <c r="I222" s="3484"/>
      <c r="J222" s="1328"/>
      <c r="K222" s="1328"/>
      <c r="L222" s="1323"/>
      <c r="M222" s="1328"/>
      <c r="N222" s="1323"/>
      <c r="O222" s="1323"/>
      <c r="P222" s="1323"/>
      <c r="Q222" s="1323"/>
      <c r="R222" s="1323"/>
    </row>
    <row r="223" spans="2:18">
      <c r="D223" s="1328"/>
      <c r="E223" s="1329"/>
      <c r="F223" s="1323"/>
      <c r="G223" s="1324"/>
      <c r="H223" s="3483"/>
      <c r="I223" s="3484"/>
      <c r="J223" s="1328"/>
      <c r="K223" s="1328"/>
      <c r="L223" s="1323"/>
      <c r="M223" s="1328"/>
      <c r="N223" s="1323"/>
      <c r="O223" s="1323"/>
      <c r="P223" s="1323"/>
      <c r="Q223" s="1323"/>
      <c r="R223" s="1323"/>
    </row>
    <row r="224" spans="2:18">
      <c r="D224" s="1328"/>
      <c r="E224" s="1329"/>
      <c r="F224" s="1323"/>
      <c r="G224" s="1324"/>
      <c r="H224" s="3483"/>
      <c r="I224" s="3484"/>
      <c r="J224" s="1328"/>
      <c r="K224" s="1328"/>
      <c r="L224" s="1323"/>
      <c r="M224" s="1328"/>
      <c r="N224" s="1323"/>
      <c r="O224" s="1323"/>
      <c r="P224" s="1323"/>
      <c r="Q224" s="1323"/>
      <c r="R224" s="1323"/>
    </row>
    <row r="225" spans="2:18">
      <c r="D225" s="1328"/>
      <c r="E225" s="1329"/>
      <c r="F225" s="1323"/>
      <c r="G225" s="1324"/>
      <c r="H225" s="3483"/>
      <c r="I225" s="3484"/>
      <c r="J225" s="1328"/>
      <c r="K225" s="1328"/>
      <c r="L225" s="1323"/>
      <c r="M225" s="1328"/>
      <c r="N225" s="1323"/>
      <c r="O225" s="1323"/>
      <c r="P225" s="1323"/>
      <c r="Q225" s="1323"/>
      <c r="R225" s="1323"/>
    </row>
    <row r="226" spans="2:18">
      <c r="D226" s="1328"/>
      <c r="E226" s="1329"/>
      <c r="F226" s="1323"/>
      <c r="G226" s="1324"/>
      <c r="H226" s="3483"/>
      <c r="I226" s="3484"/>
      <c r="J226" s="1328"/>
      <c r="K226" s="1328"/>
      <c r="L226" s="1323"/>
      <c r="M226" s="1328"/>
      <c r="N226" s="1323"/>
      <c r="O226" s="1323"/>
      <c r="P226" s="1323"/>
      <c r="Q226" s="1323"/>
      <c r="R226" s="1323"/>
    </row>
    <row r="227" spans="2:18">
      <c r="D227" s="1328"/>
      <c r="E227" s="1329"/>
      <c r="F227" s="1323"/>
      <c r="G227" s="1324"/>
      <c r="H227" s="3483"/>
      <c r="I227" s="3484"/>
      <c r="J227" s="1328"/>
      <c r="K227" s="1328"/>
      <c r="L227" s="1323"/>
      <c r="M227" s="1328"/>
      <c r="N227" s="1323"/>
      <c r="O227" s="1323"/>
      <c r="P227" s="1323"/>
      <c r="Q227" s="1323"/>
      <c r="R227" s="1323"/>
    </row>
    <row r="228" spans="2:18">
      <c r="D228" s="1328"/>
      <c r="E228" s="1329"/>
      <c r="F228" s="1323"/>
      <c r="G228" s="1324"/>
      <c r="H228" s="3483"/>
      <c r="I228" s="3484"/>
      <c r="J228" s="1328"/>
      <c r="K228" s="1328"/>
      <c r="L228" s="1323"/>
      <c r="M228" s="1328"/>
      <c r="N228" s="1323"/>
      <c r="O228" s="1323"/>
      <c r="P228" s="1323"/>
      <c r="Q228" s="1323"/>
      <c r="R228" s="1323"/>
    </row>
    <row r="229" spans="2:18">
      <c r="D229" s="1328"/>
      <c r="E229" s="1329"/>
      <c r="F229" s="1323"/>
      <c r="G229" s="1324"/>
      <c r="H229" s="3483"/>
      <c r="I229" s="3484"/>
      <c r="J229" s="1328"/>
      <c r="K229" s="1328"/>
      <c r="L229" s="1323"/>
      <c r="M229" s="1328"/>
      <c r="N229" s="1323"/>
      <c r="O229" s="1323"/>
      <c r="P229" s="1323"/>
      <c r="Q229" s="1323"/>
      <c r="R229" s="1323"/>
    </row>
    <row r="230" spans="2:18">
      <c r="D230" s="1332"/>
      <c r="E230" s="1333"/>
      <c r="F230" s="1333"/>
      <c r="G230" s="1333"/>
      <c r="H230" s="1333"/>
      <c r="I230" s="1333"/>
      <c r="J230" s="1333"/>
      <c r="K230" s="1333"/>
      <c r="L230" s="1333"/>
      <c r="M230" s="1333"/>
      <c r="N230" s="1333"/>
      <c r="O230" s="1333"/>
      <c r="P230" s="1333"/>
      <c r="Q230" s="1339" t="s">
        <v>706</v>
      </c>
      <c r="R230" s="1349"/>
    </row>
    <row r="231" spans="2:18" ht="8.4499999999999993" customHeight="1">
      <c r="D231" s="1325"/>
      <c r="E231" s="3492"/>
      <c r="F231" s="3492"/>
      <c r="G231" s="3492"/>
      <c r="H231" s="3481"/>
      <c r="I231" s="3481"/>
      <c r="J231" s="3481"/>
      <c r="K231" s="1325"/>
      <c r="L231" s="3485"/>
      <c r="M231" s="3486"/>
      <c r="N231" s="3486"/>
      <c r="O231" s="3486"/>
      <c r="P231" s="3486"/>
      <c r="Q231" s="3486"/>
      <c r="R231" s="1340"/>
    </row>
    <row r="232" spans="2:18" ht="15" customHeight="1">
      <c r="D232" s="3487" t="s">
        <v>707</v>
      </c>
      <c r="E232" s="3488"/>
      <c r="F232" s="3488"/>
      <c r="G232" s="3489"/>
      <c r="H232" s="1350"/>
      <c r="I232" s="3487" t="s">
        <v>718</v>
      </c>
      <c r="J232" s="3488"/>
      <c r="K232" s="3488"/>
      <c r="L232" s="3489"/>
      <c r="M232" s="3490" t="s">
        <v>747</v>
      </c>
      <c r="N232" s="3491"/>
      <c r="O232" s="3491"/>
      <c r="P232" s="3491"/>
      <c r="Q232" s="3491"/>
      <c r="R232" s="3491"/>
    </row>
    <row r="233" spans="2:18">
      <c r="D233" s="1338" t="s">
        <v>206</v>
      </c>
      <c r="E233" s="1341" t="s">
        <v>713</v>
      </c>
      <c r="F233" s="1334"/>
      <c r="G233" s="1335"/>
      <c r="H233" s="1350"/>
      <c r="I233" s="1331" t="s">
        <v>719</v>
      </c>
      <c r="J233" s="1334"/>
      <c r="K233" s="1328"/>
      <c r="L233" s="1330"/>
      <c r="M233" s="3490"/>
      <c r="N233" s="3491"/>
      <c r="O233" s="3491"/>
      <c r="P233" s="3491"/>
      <c r="Q233" s="3491"/>
      <c r="R233" s="3491"/>
    </row>
    <row r="234" spans="2:18">
      <c r="B234" s="2228" t="s">
        <v>550</v>
      </c>
      <c r="D234" s="1338" t="s">
        <v>708</v>
      </c>
      <c r="E234" s="1341" t="s">
        <v>714</v>
      </c>
      <c r="F234" s="1334"/>
      <c r="G234" s="1335"/>
      <c r="H234" s="1350"/>
      <c r="I234" s="1331" t="s">
        <v>724</v>
      </c>
      <c r="J234" s="1353" t="s">
        <v>720</v>
      </c>
      <c r="K234" s="1328"/>
      <c r="L234" s="1330"/>
      <c r="M234" s="3490"/>
      <c r="N234" s="3491"/>
      <c r="O234" s="3491"/>
      <c r="P234" s="3491"/>
      <c r="Q234" s="3491"/>
      <c r="R234" s="3491"/>
    </row>
    <row r="235" spans="2:18">
      <c r="D235" s="1338" t="s">
        <v>709</v>
      </c>
      <c r="E235" s="1341" t="s">
        <v>715</v>
      </c>
      <c r="F235" s="1334"/>
      <c r="G235" s="1335"/>
      <c r="H235" s="1350"/>
      <c r="I235" s="1331" t="s">
        <v>725</v>
      </c>
      <c r="J235" s="1353" t="s">
        <v>721</v>
      </c>
      <c r="K235" s="1328"/>
      <c r="L235" s="1330"/>
      <c r="M235" s="3490"/>
      <c r="N235" s="3491"/>
      <c r="O235" s="3491"/>
      <c r="P235" s="3491"/>
      <c r="Q235" s="3491"/>
      <c r="R235" s="3491"/>
    </row>
    <row r="236" spans="2:18">
      <c r="D236" s="1338" t="s">
        <v>710</v>
      </c>
      <c r="E236" s="1341" t="s">
        <v>716</v>
      </c>
      <c r="F236" s="1334"/>
      <c r="G236" s="1335"/>
      <c r="H236" s="1350"/>
      <c r="I236" s="1331" t="s">
        <v>726</v>
      </c>
      <c r="J236" s="1353" t="s">
        <v>722</v>
      </c>
      <c r="K236" s="1328"/>
      <c r="L236" s="1330"/>
      <c r="M236" s="3490"/>
      <c r="N236" s="3491"/>
      <c r="O236" s="3491"/>
      <c r="P236" s="3491"/>
      <c r="Q236" s="3491"/>
      <c r="R236" s="3491"/>
    </row>
    <row r="237" spans="2:18">
      <c r="D237" s="1338" t="s">
        <v>711</v>
      </c>
      <c r="E237" s="1341" t="s">
        <v>717</v>
      </c>
      <c r="F237" s="1334"/>
      <c r="G237" s="1335"/>
      <c r="H237" s="1350"/>
      <c r="I237" s="1331" t="s">
        <v>727</v>
      </c>
      <c r="J237" s="1353" t="s">
        <v>721</v>
      </c>
      <c r="K237" s="1328"/>
      <c r="L237" s="1330"/>
      <c r="M237" s="3490"/>
      <c r="N237" s="3491"/>
      <c r="O237" s="3491"/>
      <c r="P237" s="3491"/>
      <c r="Q237" s="3491"/>
      <c r="R237" s="3491"/>
    </row>
    <row r="238" spans="2:18">
      <c r="D238" s="1338" t="s">
        <v>712</v>
      </c>
      <c r="E238" s="1341" t="s">
        <v>745</v>
      </c>
      <c r="F238" s="1334"/>
      <c r="G238" s="1335"/>
      <c r="H238" s="1350"/>
      <c r="I238" s="1331" t="s">
        <v>728</v>
      </c>
      <c r="J238" s="1353" t="s">
        <v>723</v>
      </c>
      <c r="K238" s="1328"/>
      <c r="L238" s="1330"/>
      <c r="M238" s="3490"/>
      <c r="N238" s="3491"/>
      <c r="O238" s="3491"/>
      <c r="P238" s="3491"/>
      <c r="Q238" s="3491"/>
      <c r="R238" s="3491"/>
    </row>
    <row r="239" spans="2:18">
      <c r="D239" s="1326"/>
      <c r="E239" s="3481"/>
      <c r="F239" s="3481"/>
      <c r="G239" s="3481"/>
      <c r="H239" s="3482"/>
      <c r="I239" s="3482"/>
      <c r="J239" s="3482"/>
      <c r="K239" s="1326"/>
      <c r="L239" s="1327"/>
      <c r="M239" s="1351"/>
      <c r="N239" s="1351"/>
      <c r="O239" s="1351"/>
      <c r="P239" s="1351"/>
      <c r="Q239" s="1351"/>
    </row>
    <row r="240" spans="2:18">
      <c r="D240" s="1326"/>
      <c r="E240" s="1336"/>
      <c r="F240" s="1336"/>
      <c r="G240" s="1336"/>
      <c r="H240" s="1336"/>
      <c r="I240" s="1336"/>
      <c r="J240" s="1336"/>
      <c r="K240" s="1326"/>
      <c r="L240" s="1337"/>
      <c r="M240" s="1351"/>
      <c r="N240" s="1351"/>
      <c r="O240" s="1351"/>
      <c r="P240" s="1351"/>
      <c r="Q240" s="1351"/>
    </row>
    <row r="241" spans="13:17">
      <c r="M241" s="1352" t="s">
        <v>746</v>
      </c>
      <c r="N241" s="1351"/>
      <c r="O241" s="1351"/>
      <c r="P241" s="1351"/>
      <c r="Q241" s="1351"/>
    </row>
  </sheetData>
  <mergeCells count="24">
    <mergeCell ref="I232:L232"/>
    <mergeCell ref="H226:I226"/>
    <mergeCell ref="B2:B3"/>
    <mergeCell ref="D2:N3"/>
    <mergeCell ref="D216:E216"/>
    <mergeCell ref="D212:R214"/>
    <mergeCell ref="M232:R238"/>
    <mergeCell ref="L231:Q231"/>
    <mergeCell ref="E239:J239"/>
    <mergeCell ref="D232:G232"/>
    <mergeCell ref="H216:I216"/>
    <mergeCell ref="H217:I217"/>
    <mergeCell ref="H218:I218"/>
    <mergeCell ref="H219:I219"/>
    <mergeCell ref="H220:I220"/>
    <mergeCell ref="H221:I221"/>
    <mergeCell ref="H222:I222"/>
    <mergeCell ref="H223:I223"/>
    <mergeCell ref="H224:I224"/>
    <mergeCell ref="E231:J231"/>
    <mergeCell ref="H227:I227"/>
    <mergeCell ref="H228:I228"/>
    <mergeCell ref="H225:I225"/>
    <mergeCell ref="H229:I229"/>
  </mergeCells>
  <hyperlinks>
    <hyperlink ref="B2:B3" location="Home!A1" display="HOME" xr:uid="{DE270392-8758-4FB6-B2F1-6E14BA10606B}"/>
    <hyperlink ref="B26" location="Disclaimer!A1" display="Disclaimer" xr:uid="{5E34C9B9-58CA-48E4-BE9C-4D725F4182A4}"/>
    <hyperlink ref="B25" location="Help!A1" display="Help" xr:uid="{CAB4EFE8-48FA-4497-AF83-BEF1169E74A4}"/>
    <hyperlink ref="B23" location="'Source - Links'!A1" display="SOURCE / LINKS" xr:uid="{2B60DD7C-9F9F-47B5-92BE-B4DB1AF10D05}"/>
    <hyperlink ref="B13" location="'Guidelines - Bottom Lines'!A1" display="• Calculation of bottom lines" xr:uid="{30A18BED-9034-403A-8AA6-0118D1005923}"/>
    <hyperlink ref="B14" location="'Guidelines - ISGOTT-6 '!A1" display="• ISGOTT Sixth Edition" xr:uid="{CD7CB7DB-8894-42F5-8A1A-34E4D9A77E94}"/>
    <hyperlink ref="B16" location="'Guidelines - Wedge Forla (1)'!A1" display="• Wedge formula - API MPMS" xr:uid="{7366B6C0-F66B-4C6F-A63E-10B4208C8214}"/>
    <hyperlink ref="B17" location="'Guidelines - Wedge Forla (2)'!A1" display="• Wedge formula - Saybolt" xr:uid="{F4A9CC26-3B92-4322-88EC-95D0E0C687A4}"/>
    <hyperlink ref="B18" location="'Guidelines - Wedge Formulas'!A1" display="• Wedge formulas" xr:uid="{85D29DAA-AD0A-4F91-B089-10F24C05EB5A}"/>
    <hyperlink ref="B19" location="'Guidelines - Commingling Calc'!A1" display="• Commingling Calculation" xr:uid="{F3AEA10C-CAAE-4E6F-AE92-3A6E75BD3521}"/>
    <hyperlink ref="B20" location="'Guidelines - SOLAS'!A1" display="• SOLAS" xr:uid="{046DFFB1-8BEA-4744-9929-7AA7F8138A61}"/>
    <hyperlink ref="B21" location="'Guidelines - SOLAS compliance'!A1" display="• SOLAS compliance" xr:uid="{BBBBBFE6-A60D-45A0-AFB4-00763A4B910D}"/>
    <hyperlink ref="B15" location="'Guidelines - Wedge Forla (0)'!A1" display="• Wedge formula - ISO-8697-1999 " xr:uid="{8F7DD78F-8A03-4F0B-B42F-2D8B083106F4}"/>
    <hyperlink ref="B40" location="'Guidelines - Wedge Forla (1)'!A1" display="Go to Up" xr:uid="{647AB787-B799-41DE-8B1F-F722E58129F7}"/>
    <hyperlink ref="B60" location="'Guidelines - Wedge Forla (1)'!A1" display="Go to Up" xr:uid="{EAC43FBD-7AC6-4215-9BE0-DF8CCB5FAFA7}"/>
    <hyperlink ref="B80" location="'Guidelines - Wedge Forla (1)'!A1" display="Go to Up" xr:uid="{9175B7DA-2570-49C2-A249-00190F3ADFC9}"/>
    <hyperlink ref="B100" location="'Guidelines - Wedge Forla (1)'!A1" display="Go to Up" xr:uid="{D13E88F1-A4FD-433E-B2F3-819AFF96E18E}"/>
    <hyperlink ref="B120" location="'Guidelines - Wedge Forla (1)'!A1" display="Go to Up" xr:uid="{60DEDB80-584F-44CD-9A4D-3D3D6C19E328}"/>
    <hyperlink ref="B140" location="'Guidelines - Wedge Forla (1)'!A1" display="Go to Up" xr:uid="{99936B78-C95E-4CA3-B1F5-3C00D5E2C8A7}"/>
    <hyperlink ref="B214" location="'Guidelines - Wedge Forla (1)'!A1" display="Go to Up" xr:uid="{A91AE042-23FD-4FF7-98EA-B9E2C41D7EC8}"/>
    <hyperlink ref="B234" location="'Guidelines - Wedge Forla (1)'!A1" display="Go to Up" xr:uid="{E6B4A1EB-9F64-4064-B686-7E4DED6942E2}"/>
    <hyperlink ref="B5" location="'Documents Manager'!A1" display="DOCUMENTS MANAGER" xr:uid="{F9DB93C2-F374-4BA5-8296-88CD56E22BFA}"/>
    <hyperlink ref="B6" location="'ASTM Table Series'!A1" display="ASTM TABLES" xr:uid="{CA069C80-B22C-4DF1-9449-F2C392AE889B}"/>
    <hyperlink ref="B7" location="'ASTM Converter (Tab.1)'!A1" display="ASTM - CONVERTERS" xr:uid="{72EBF1CC-4066-4D88-A080-C0BF9325B4AD}"/>
    <hyperlink ref="B8" location="'ASTM Calculator V.W.'!A1" display="ASTM - CALCULATORS" xr:uid="{042C7687-0AC3-478F-9344-211DE628BD6F}"/>
    <hyperlink ref="B9" location="'Initial&amp;Max. Loading Rate'!A1" display="CARGO - CALCULATORS" xr:uid="{10B56148-178F-4F47-8523-212D0DE3A1B2}"/>
    <hyperlink ref="B22" location="'Guidelines - IG Pressure'!A1" display="• IG Pressure" xr:uid="{31A1988D-7C52-437C-B013-4DF4D36A9C70}"/>
    <hyperlink ref="B12" location="'Guidelines - Bottom Lines'!A1" display="GUIDELINES - CARGO" xr:uid="{E530430B-9FF6-4E72-BEFD-0FFBBC050E84}"/>
    <hyperlink ref="B11" location="'Guidelines - Definitions'!A1" display="GUIDELINES" xr:uid="{960DD64E-8774-4F99-9589-D47AD08506A7}"/>
  </hyperlinks>
  <printOptions horizontalCentered="1"/>
  <pageMargins left="0.39370078740157483" right="0.39370078740157483" top="0.39370078740157483" bottom="0.39370078740157483" header="0.51181102362204722" footer="0.51181102362204722"/>
  <pageSetup paperSize="9" scale="87" orientation="portrait" horizontalDpi="300" r:id="rId1"/>
  <headerFooter alignWithMargins="0"/>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E50CF-F7D2-4A4C-A923-965DACC01BF4}">
  <sheetPr codeName="Лист40">
    <tabColor rgb="FF008080"/>
    <pageSetUpPr fitToPage="1"/>
  </sheetPr>
  <dimension ref="A1:P140"/>
  <sheetViews>
    <sheetView showGridLines="0" showRowColHeaders="0" topLeftCell="B1" workbookViewId="0">
      <pane ySplit="3" topLeftCell="A4" activePane="bottomLeft" state="frozen"/>
      <selection activeCell="K24" sqref="K24"/>
      <selection pane="bottomLeft" activeCell="B18" sqref="B18"/>
    </sheetView>
  </sheetViews>
  <sheetFormatPr defaultColWidth="11.46484375" defaultRowHeight="12.75"/>
  <cols>
    <col min="1" max="1" width="0" style="1270" hidden="1" customWidth="1"/>
    <col min="2" max="2" width="36.6640625" style="65" customWidth="1"/>
    <col min="3" max="3" width="2.6640625" style="1274" customWidth="1"/>
    <col min="4" max="4" width="95.33203125" style="1270" customWidth="1"/>
    <col min="5" max="5" width="21.6640625" style="1270" customWidth="1"/>
    <col min="6" max="10" width="13.46484375" style="1270" customWidth="1"/>
    <col min="11" max="11" width="17.46484375" style="1270" customWidth="1"/>
    <col min="12" max="12" width="2.1328125" style="1270" customWidth="1"/>
    <col min="13" max="13" width="11.46484375" style="1270" customWidth="1"/>
    <col min="14" max="14" width="12.46484375" style="1270" customWidth="1"/>
    <col min="15" max="15" width="7.1328125" style="1270" customWidth="1"/>
    <col min="16" max="16384" width="11.46484375" style="1270"/>
  </cols>
  <sheetData>
    <row r="1" spans="1:16" s="1274" customFormat="1" ht="12.75" customHeight="1">
      <c r="A1" s="1270"/>
      <c r="B1" s="1271"/>
      <c r="C1" s="1272"/>
      <c r="D1" s="1273"/>
      <c r="E1" s="1273"/>
      <c r="F1" s="285"/>
      <c r="H1" s="1273"/>
      <c r="I1" s="1275"/>
      <c r="J1" s="1276"/>
      <c r="K1" s="1276"/>
      <c r="L1" s="1276"/>
    </row>
    <row r="2" spans="1:16" ht="21" customHeight="1">
      <c r="B2" s="3284" t="s">
        <v>0</v>
      </c>
      <c r="C2" s="1277"/>
      <c r="D2" s="3498" t="s">
        <v>698</v>
      </c>
      <c r="E2" s="3498"/>
      <c r="F2" s="3499"/>
      <c r="G2" s="3499"/>
      <c r="I2" s="1278"/>
      <c r="J2" s="1279"/>
      <c r="K2" s="1279"/>
      <c r="L2" s="1279"/>
    </row>
    <row r="3" spans="1:16" ht="21" customHeight="1">
      <c r="B3" s="3284"/>
      <c r="C3" s="1277"/>
      <c r="D3" s="3498"/>
      <c r="E3" s="3498"/>
      <c r="F3" s="3499"/>
      <c r="G3" s="3499"/>
      <c r="H3" s="1278"/>
      <c r="I3" s="1278"/>
      <c r="J3" s="1279"/>
      <c r="K3" s="1279"/>
      <c r="L3" s="1279"/>
    </row>
    <row r="4" spans="1:16" ht="21" customHeight="1">
      <c r="B4" s="1280"/>
      <c r="C4" s="1281"/>
      <c r="D4" s="1282"/>
      <c r="E4" s="1283"/>
      <c r="F4" s="1283"/>
      <c r="G4" s="1283"/>
      <c r="H4" s="1283"/>
      <c r="I4" s="1283"/>
      <c r="J4" s="1283"/>
      <c r="K4" s="1283"/>
      <c r="L4" s="1284"/>
      <c r="M4" s="1284"/>
      <c r="N4" s="1285"/>
      <c r="O4" s="1286"/>
      <c r="P4" s="1286"/>
    </row>
    <row r="5" spans="1:16" ht="21" customHeight="1">
      <c r="B5" s="62" t="s">
        <v>1</v>
      </c>
      <c r="C5" s="1287"/>
      <c r="D5" s="1283"/>
      <c r="E5" s="1283"/>
      <c r="F5" s="1283"/>
      <c r="G5" s="1283"/>
      <c r="H5" s="1283"/>
      <c r="I5" s="1283"/>
      <c r="J5" s="1283"/>
      <c r="K5" s="1283"/>
      <c r="L5" s="1288"/>
    </row>
    <row r="6" spans="1:16" ht="21" customHeight="1">
      <c r="B6" s="397" t="s">
        <v>452</v>
      </c>
      <c r="C6" s="1289"/>
      <c r="D6" s="1290"/>
      <c r="E6" s="1291"/>
      <c r="F6" s="1291"/>
      <c r="L6" s="1292"/>
      <c r="M6" s="1292"/>
      <c r="N6" s="1292"/>
      <c r="O6" s="1291"/>
    </row>
    <row r="7" spans="1:16" ht="21" customHeight="1">
      <c r="B7" s="62" t="s">
        <v>239</v>
      </c>
      <c r="C7" s="1293"/>
      <c r="D7" s="1290"/>
      <c r="E7" s="1294"/>
      <c r="F7" s="1291"/>
      <c r="G7" s="1291"/>
      <c r="H7" s="1291"/>
      <c r="I7" s="1291"/>
      <c r="J7" s="1290"/>
      <c r="K7" s="1295"/>
      <c r="N7" s="1291"/>
      <c r="O7" s="1291"/>
    </row>
    <row r="8" spans="1:16" ht="21" customHeight="1">
      <c r="B8" s="62" t="s">
        <v>1263</v>
      </c>
      <c r="C8" s="1296"/>
      <c r="D8" s="1297"/>
      <c r="E8" s="1298"/>
      <c r="F8" s="1291"/>
      <c r="G8" s="1291"/>
      <c r="H8" s="1291"/>
      <c r="I8" s="1291"/>
      <c r="J8" s="1290"/>
      <c r="K8" s="1299"/>
      <c r="O8" s="1291"/>
    </row>
    <row r="9" spans="1:16" ht="21" customHeight="1">
      <c r="B9" s="62" t="s">
        <v>557</v>
      </c>
      <c r="C9" s="1287"/>
      <c r="D9" s="1297"/>
      <c r="E9" s="1300"/>
      <c r="F9" s="1291"/>
      <c r="G9" s="1291"/>
      <c r="H9" s="1291"/>
      <c r="I9" s="1301"/>
      <c r="O9" s="1291"/>
    </row>
    <row r="10" spans="1:16" ht="21" customHeight="1">
      <c r="B10" s="62" t="s">
        <v>238</v>
      </c>
      <c r="C10" s="1287"/>
      <c r="D10" s="1302"/>
      <c r="E10" s="1302"/>
      <c r="F10" s="1302"/>
      <c r="G10" s="1302"/>
      <c r="H10" s="1302"/>
      <c r="I10" s="1302"/>
      <c r="J10" s="1302"/>
      <c r="K10" s="1302"/>
    </row>
    <row r="11" spans="1:16" ht="21" customHeight="1">
      <c r="B11" s="62" t="s">
        <v>1652</v>
      </c>
      <c r="C11" s="1287"/>
      <c r="D11" s="1302"/>
      <c r="E11" s="1302"/>
      <c r="F11" s="1302"/>
      <c r="G11" s="1302"/>
      <c r="H11" s="1302"/>
      <c r="I11" s="1302"/>
      <c r="J11" s="1302"/>
      <c r="K11" s="1302"/>
    </row>
    <row r="12" spans="1:16" ht="21" customHeight="1">
      <c r="B12" s="146" t="s">
        <v>1653</v>
      </c>
      <c r="C12" s="1303"/>
      <c r="D12" s="1301"/>
      <c r="E12" s="1301"/>
      <c r="F12" s="1301"/>
      <c r="G12" s="1301"/>
      <c r="H12" s="1301"/>
      <c r="I12" s="1301"/>
      <c r="J12" s="1301"/>
      <c r="K12" s="1301"/>
    </row>
    <row r="13" spans="1:16" ht="21" customHeight="1">
      <c r="B13" s="145" t="s">
        <v>555</v>
      </c>
      <c r="C13" s="1303"/>
      <c r="D13" s="1304"/>
      <c r="E13" s="1304"/>
      <c r="F13" s="1304"/>
      <c r="G13" s="1297"/>
      <c r="H13" s="1301"/>
      <c r="I13" s="1304"/>
      <c r="J13" s="1304"/>
      <c r="K13" s="1304"/>
    </row>
    <row r="14" spans="1:16" ht="21" customHeight="1">
      <c r="B14" s="145" t="s">
        <v>685</v>
      </c>
      <c r="C14" s="1303"/>
      <c r="D14" s="1304"/>
      <c r="E14" s="1304"/>
      <c r="F14" s="1304"/>
      <c r="G14" s="1297"/>
      <c r="H14" s="1301"/>
      <c r="I14" s="1304"/>
      <c r="J14" s="1304"/>
      <c r="K14" s="1304"/>
    </row>
    <row r="15" spans="1:16" ht="21" customHeight="1">
      <c r="B15" s="145" t="s">
        <v>1164</v>
      </c>
      <c r="C15" s="1303"/>
      <c r="D15" s="1304"/>
      <c r="E15" s="1304"/>
      <c r="F15" s="1304"/>
      <c r="G15" s="1297"/>
      <c r="H15" s="1301"/>
      <c r="I15" s="1304"/>
      <c r="J15" s="1304"/>
      <c r="K15" s="1304"/>
    </row>
    <row r="16" spans="1:16" ht="21" customHeight="1">
      <c r="B16" s="145" t="s">
        <v>701</v>
      </c>
      <c r="C16" s="1305"/>
      <c r="D16" s="1304"/>
      <c r="E16" s="1304"/>
      <c r="F16" s="1297"/>
      <c r="G16" s="1301"/>
      <c r="H16" s="1304"/>
      <c r="I16" s="1304"/>
      <c r="J16" s="1304"/>
    </row>
    <row r="17" spans="2:15" ht="21" customHeight="1">
      <c r="B17" s="147" t="s">
        <v>700</v>
      </c>
      <c r="C17" s="1305"/>
      <c r="D17" s="1304"/>
      <c r="E17" s="1304"/>
      <c r="F17" s="1297"/>
      <c r="G17" s="1301"/>
      <c r="H17" s="1304"/>
      <c r="I17" s="1304"/>
      <c r="J17" s="1304"/>
    </row>
    <row r="18" spans="2:15" ht="21" customHeight="1">
      <c r="B18" s="145" t="s">
        <v>748</v>
      </c>
      <c r="C18" s="1305"/>
      <c r="D18" s="1306"/>
      <c r="E18" s="1307"/>
      <c r="F18" s="1308"/>
      <c r="G18" s="1307"/>
      <c r="H18" s="1308"/>
      <c r="I18" s="1307"/>
      <c r="J18" s="1308"/>
    </row>
    <row r="19" spans="2:15" ht="21" customHeight="1">
      <c r="B19" s="145" t="s">
        <v>1157</v>
      </c>
      <c r="C19" s="1309"/>
      <c r="D19" s="1304"/>
      <c r="E19" s="1306"/>
      <c r="F19" s="1307"/>
      <c r="G19" s="1308"/>
      <c r="H19" s="1307"/>
      <c r="I19" s="1308"/>
      <c r="J19" s="1307"/>
      <c r="K19" s="1308"/>
    </row>
    <row r="20" spans="2:15" ht="21" customHeight="1">
      <c r="B20" s="145" t="s">
        <v>1155</v>
      </c>
      <c r="C20" s="1309"/>
      <c r="D20" s="1304"/>
      <c r="E20" s="1306"/>
      <c r="F20" s="1307"/>
      <c r="G20" s="1308"/>
      <c r="H20" s="1307"/>
      <c r="I20" s="1308"/>
      <c r="J20" s="1307"/>
      <c r="K20" s="1308"/>
    </row>
    <row r="21" spans="2:15" ht="21" customHeight="1">
      <c r="B21" s="145" t="s">
        <v>1158</v>
      </c>
      <c r="C21" s="1309"/>
      <c r="D21" s="1304"/>
      <c r="E21" s="1306"/>
      <c r="F21" s="1307"/>
      <c r="G21" s="1308"/>
      <c r="H21" s="1307"/>
      <c r="I21" s="1308"/>
      <c r="J21" s="1307"/>
      <c r="K21" s="1308"/>
    </row>
    <row r="22" spans="2:15" ht="21" customHeight="1">
      <c r="B22" s="145" t="s">
        <v>1324</v>
      </c>
      <c r="C22" s="1272"/>
      <c r="D22" s="1304"/>
      <c r="E22" s="1306"/>
      <c r="F22" s="1307"/>
      <c r="G22" s="1308"/>
      <c r="H22" s="1307"/>
      <c r="I22" s="1308"/>
      <c r="J22" s="1307"/>
      <c r="K22" s="1308"/>
    </row>
    <row r="23" spans="2:15" ht="21" customHeight="1">
      <c r="B23" s="62" t="s">
        <v>40</v>
      </c>
      <c r="C23" s="1272"/>
      <c r="D23" s="1304"/>
      <c r="E23" s="1306"/>
      <c r="F23" s="1307"/>
      <c r="G23" s="1308"/>
      <c r="H23" s="1307"/>
      <c r="I23" s="1308"/>
      <c r="J23" s="1307"/>
      <c r="K23" s="1308"/>
    </row>
    <row r="24" spans="2:15" ht="21" customHeight="1">
      <c r="B24" s="62" t="s">
        <v>238</v>
      </c>
      <c r="C24" s="1272"/>
      <c r="D24" s="1304"/>
      <c r="E24" s="1306"/>
      <c r="F24" s="1307"/>
      <c r="G24" s="1308"/>
      <c r="H24" s="1307"/>
      <c r="I24" s="1308"/>
      <c r="J24" s="1307"/>
      <c r="K24" s="1308"/>
    </row>
    <row r="25" spans="2:15" ht="21" customHeight="1">
      <c r="B25" s="62" t="s">
        <v>39</v>
      </c>
      <c r="C25" s="1272"/>
      <c r="D25" s="1304"/>
      <c r="E25" s="1306"/>
      <c r="F25" s="1307"/>
      <c r="G25" s="1308"/>
      <c r="H25" s="1307"/>
      <c r="I25" s="1308"/>
      <c r="J25" s="1307"/>
      <c r="K25" s="1308"/>
    </row>
    <row r="26" spans="2:15" ht="21" customHeight="1">
      <c r="B26" s="62" t="s">
        <v>38</v>
      </c>
      <c r="C26" s="1272"/>
      <c r="D26" s="1304"/>
      <c r="E26" s="1306"/>
      <c r="F26" s="1307"/>
      <c r="G26" s="1308"/>
      <c r="H26" s="1307"/>
      <c r="I26" s="1308"/>
      <c r="J26" s="1307"/>
      <c r="K26" s="1308"/>
    </row>
    <row r="27" spans="2:15" ht="21" customHeight="1">
      <c r="B27" s="1271"/>
      <c r="C27" s="1272"/>
      <c r="D27" s="1304"/>
      <c r="E27" s="1306"/>
      <c r="F27" s="1307"/>
      <c r="G27" s="1308"/>
      <c r="H27" s="1307"/>
      <c r="I27" s="1308"/>
      <c r="J27" s="1307"/>
      <c r="K27" s="1308"/>
    </row>
    <row r="28" spans="2:15" ht="21" customHeight="1">
      <c r="B28" s="1271"/>
      <c r="C28" s="1272"/>
      <c r="D28" s="1304"/>
      <c r="E28" s="1306"/>
      <c r="F28" s="1307"/>
      <c r="G28" s="1308"/>
      <c r="H28" s="1307"/>
      <c r="I28" s="1308"/>
      <c r="J28" s="1307"/>
      <c r="K28" s="1308"/>
    </row>
    <row r="29" spans="2:15" ht="21" customHeight="1">
      <c r="B29" s="1271"/>
      <c r="C29" s="1272"/>
      <c r="D29" s="1304"/>
      <c r="E29" s="1306"/>
      <c r="F29" s="1307"/>
      <c r="G29" s="1308"/>
      <c r="H29" s="1307"/>
      <c r="I29" s="1308"/>
      <c r="J29" s="1307"/>
      <c r="K29" s="1308"/>
    </row>
    <row r="30" spans="2:15" ht="21" customHeight="1">
      <c r="B30" s="1271"/>
      <c r="C30" s="1272"/>
      <c r="D30" s="1304"/>
      <c r="E30" s="1306"/>
      <c r="F30" s="1307"/>
      <c r="G30" s="1308"/>
      <c r="H30" s="1307"/>
      <c r="I30" s="1308"/>
      <c r="J30" s="1307"/>
      <c r="K30" s="1308"/>
    </row>
    <row r="31" spans="2:15" ht="21" customHeight="1">
      <c r="B31" s="1271"/>
      <c r="C31" s="1272"/>
      <c r="D31" s="1304"/>
      <c r="E31" s="1306"/>
      <c r="F31" s="1307"/>
      <c r="G31" s="1308"/>
      <c r="H31" s="1307"/>
      <c r="I31" s="1308"/>
      <c r="J31" s="1307"/>
      <c r="K31" s="1308"/>
      <c r="O31" s="1310"/>
    </row>
    <row r="32" spans="2:15" ht="21" customHeight="1">
      <c r="B32" s="1271"/>
      <c r="C32" s="1272"/>
      <c r="D32" s="1304"/>
      <c r="E32" s="1306"/>
      <c r="F32" s="1307"/>
      <c r="G32" s="1308"/>
      <c r="H32" s="1307"/>
      <c r="I32" s="1308"/>
      <c r="J32" s="1307"/>
      <c r="K32" s="1308"/>
      <c r="O32" s="1310"/>
    </row>
    <row r="33" spans="2:15" ht="21" customHeight="1">
      <c r="B33" s="1271"/>
      <c r="C33" s="1272"/>
      <c r="D33" s="1304"/>
      <c r="E33" s="1306"/>
      <c r="F33" s="1307"/>
      <c r="G33" s="1308"/>
      <c r="H33" s="1307"/>
      <c r="I33" s="1308"/>
      <c r="J33" s="1307"/>
      <c r="K33" s="1308"/>
      <c r="O33" s="1310"/>
    </row>
    <row r="34" spans="2:15" ht="21" customHeight="1">
      <c r="B34" s="1271"/>
      <c r="C34" s="1272"/>
      <c r="D34" s="1302"/>
      <c r="E34" s="1302"/>
      <c r="F34" s="1311"/>
      <c r="G34" s="1312"/>
      <c r="H34" s="1311"/>
      <c r="I34" s="1312"/>
      <c r="J34" s="1311"/>
      <c r="K34" s="1312"/>
    </row>
    <row r="35" spans="2:15">
      <c r="B35" s="1271"/>
      <c r="C35" s="1272"/>
      <c r="D35" s="1302"/>
      <c r="E35" s="1302"/>
      <c r="F35" s="1311"/>
      <c r="G35" s="1312"/>
      <c r="H35" s="1311"/>
      <c r="I35" s="1312"/>
      <c r="J35" s="1311"/>
      <c r="K35" s="1312"/>
      <c r="N35" s="1313"/>
    </row>
    <row r="36" spans="2:15" ht="18.75" customHeight="1">
      <c r="B36" s="1271"/>
      <c r="C36" s="1272"/>
      <c r="D36" s="1302"/>
      <c r="E36" s="1302"/>
      <c r="F36" s="1311"/>
      <c r="G36" s="1312"/>
      <c r="H36" s="1311"/>
      <c r="I36" s="1312"/>
      <c r="J36" s="1311"/>
      <c r="K36" s="1312"/>
    </row>
    <row r="37" spans="2:15" ht="15.75" customHeight="1">
      <c r="B37" s="1271"/>
      <c r="C37" s="1272"/>
      <c r="D37" s="1302"/>
      <c r="E37" s="1302"/>
      <c r="F37" s="1311"/>
      <c r="G37" s="1312"/>
      <c r="H37" s="1311"/>
      <c r="I37" s="1312"/>
      <c r="J37" s="1311"/>
      <c r="K37" s="1312"/>
    </row>
    <row r="38" spans="2:15">
      <c r="B38" s="1271"/>
      <c r="C38" s="1272"/>
      <c r="D38" s="1302"/>
      <c r="E38" s="1302"/>
      <c r="F38" s="1311"/>
      <c r="G38" s="1312"/>
      <c r="H38" s="1311"/>
      <c r="I38" s="1312"/>
      <c r="J38" s="1311"/>
      <c r="K38" s="1312"/>
    </row>
    <row r="39" spans="2:15">
      <c r="B39" s="1271"/>
      <c r="C39" s="1272"/>
      <c r="D39" s="1302"/>
      <c r="E39" s="1302"/>
      <c r="F39" s="1311"/>
      <c r="G39" s="1312"/>
      <c r="H39" s="1311"/>
      <c r="I39" s="1312"/>
      <c r="J39" s="1311"/>
      <c r="K39" s="1312"/>
    </row>
    <row r="40" spans="2:15">
      <c r="B40" s="2228" t="s">
        <v>550</v>
      </c>
      <c r="C40" s="1272"/>
      <c r="D40" s="1302"/>
      <c r="E40" s="1302"/>
      <c r="F40" s="1311"/>
      <c r="G40" s="1312"/>
      <c r="H40" s="1311"/>
      <c r="I40" s="1312"/>
      <c r="J40" s="1311"/>
      <c r="K40" s="1312"/>
    </row>
    <row r="41" spans="2:15">
      <c r="B41" s="1271"/>
      <c r="C41" s="1272"/>
      <c r="D41" s="1302"/>
      <c r="E41" s="1302"/>
      <c r="F41" s="1311"/>
      <c r="G41" s="1312"/>
      <c r="H41" s="1311"/>
      <c r="I41" s="1312"/>
      <c r="J41" s="1311"/>
      <c r="K41" s="1312"/>
    </row>
    <row r="42" spans="2:15">
      <c r="B42" s="1271"/>
      <c r="C42" s="1272"/>
      <c r="D42" s="1302"/>
      <c r="E42" s="1302"/>
      <c r="F42" s="1311"/>
      <c r="G42" s="1312"/>
      <c r="H42" s="1311"/>
      <c r="I42" s="1312"/>
      <c r="J42" s="1311"/>
      <c r="K42" s="1312"/>
    </row>
    <row r="43" spans="2:15">
      <c r="B43" s="1271"/>
      <c r="C43" s="1272"/>
      <c r="H43" s="1314"/>
      <c r="I43" s="1315"/>
      <c r="K43" s="1316"/>
    </row>
    <row r="44" spans="2:15">
      <c r="B44" s="1271"/>
      <c r="C44" s="1272"/>
    </row>
    <row r="45" spans="2:15">
      <c r="B45" s="1271"/>
      <c r="C45" s="1272"/>
      <c r="G45" s="1317"/>
      <c r="H45" s="1317"/>
    </row>
    <row r="46" spans="2:15">
      <c r="B46" s="1271"/>
      <c r="C46" s="1272"/>
    </row>
    <row r="47" spans="2:15">
      <c r="B47" s="1271"/>
      <c r="C47" s="1272"/>
      <c r="L47" s="1291"/>
    </row>
    <row r="48" spans="2:15">
      <c r="B48" s="1271"/>
      <c r="C48" s="1272"/>
    </row>
    <row r="49" spans="2:11">
      <c r="B49" s="1271"/>
      <c r="C49" s="1272"/>
    </row>
    <row r="50" spans="2:11">
      <c r="B50" s="1271"/>
      <c r="C50" s="1272"/>
      <c r="D50" s="1318"/>
      <c r="G50" s="1317"/>
      <c r="H50" s="1317"/>
      <c r="J50" s="1317"/>
      <c r="K50" s="1317"/>
    </row>
    <row r="51" spans="2:11">
      <c r="B51" s="1271"/>
      <c r="C51" s="1272"/>
    </row>
    <row r="52" spans="2:11">
      <c r="B52" s="1271"/>
      <c r="C52" s="1272"/>
      <c r="D52" s="1291"/>
      <c r="E52" s="1291"/>
      <c r="F52" s="1291"/>
      <c r="G52" s="1291"/>
      <c r="I52" s="1291"/>
      <c r="J52" s="1291"/>
      <c r="K52" s="1290"/>
    </row>
    <row r="53" spans="2:11">
      <c r="B53" s="1271"/>
      <c r="C53" s="1272"/>
    </row>
    <row r="54" spans="2:11">
      <c r="B54" s="1271"/>
      <c r="C54" s="1272"/>
    </row>
    <row r="55" spans="2:11">
      <c r="B55" s="1271"/>
      <c r="C55" s="1272"/>
    </row>
    <row r="56" spans="2:11">
      <c r="B56" s="1271"/>
      <c r="C56" s="1272"/>
    </row>
    <row r="57" spans="2:11">
      <c r="B57" s="1271"/>
      <c r="C57" s="1272"/>
    </row>
    <row r="58" spans="2:11">
      <c r="B58" s="1271"/>
      <c r="C58" s="1272"/>
    </row>
    <row r="59" spans="2:11">
      <c r="B59" s="1271"/>
      <c r="C59" s="1272"/>
    </row>
    <row r="60" spans="2:11">
      <c r="B60" s="2228" t="s">
        <v>550</v>
      </c>
      <c r="C60" s="1272"/>
    </row>
    <row r="61" spans="2:11">
      <c r="B61" s="1271"/>
      <c r="C61" s="1272"/>
    </row>
    <row r="62" spans="2:11">
      <c r="B62" s="1271"/>
      <c r="C62" s="1272"/>
    </row>
    <row r="63" spans="2:11">
      <c r="B63" s="1271"/>
      <c r="C63" s="1272"/>
    </row>
    <row r="64" spans="2:11">
      <c r="B64" s="1271"/>
      <c r="C64" s="1272"/>
    </row>
    <row r="65" spans="2:3">
      <c r="B65" s="1271"/>
      <c r="C65" s="1272"/>
    </row>
    <row r="66" spans="2:3">
      <c r="B66" s="1271"/>
      <c r="C66" s="1272"/>
    </row>
    <row r="67" spans="2:3">
      <c r="B67" s="1271"/>
      <c r="C67" s="1272"/>
    </row>
    <row r="68" spans="2:3">
      <c r="B68" s="1271"/>
      <c r="C68" s="1272"/>
    </row>
    <row r="69" spans="2:3">
      <c r="B69" s="1271"/>
      <c r="C69" s="1272"/>
    </row>
    <row r="70" spans="2:3">
      <c r="B70" s="1271"/>
      <c r="C70" s="1272"/>
    </row>
    <row r="71" spans="2:3">
      <c r="B71" s="1271"/>
      <c r="C71" s="1272"/>
    </row>
    <row r="72" spans="2:3">
      <c r="B72" s="1271"/>
      <c r="C72" s="1272"/>
    </row>
    <row r="73" spans="2:3">
      <c r="B73" s="1271"/>
      <c r="C73" s="1272"/>
    </row>
    <row r="74" spans="2:3">
      <c r="B74" s="1271"/>
      <c r="C74" s="1272"/>
    </row>
    <row r="75" spans="2:3">
      <c r="B75" s="1271"/>
      <c r="C75" s="1272"/>
    </row>
    <row r="76" spans="2:3">
      <c r="B76" s="1271"/>
      <c r="C76" s="1272"/>
    </row>
    <row r="77" spans="2:3">
      <c r="B77" s="1271"/>
      <c r="C77" s="1272"/>
    </row>
    <row r="78" spans="2:3">
      <c r="B78" s="1271"/>
      <c r="C78" s="1272"/>
    </row>
    <row r="79" spans="2:3">
      <c r="B79" s="1271"/>
      <c r="C79" s="1272"/>
    </row>
    <row r="80" spans="2:3">
      <c r="B80" s="2228" t="s">
        <v>550</v>
      </c>
      <c r="C80" s="1272"/>
    </row>
    <row r="81" spans="2:3">
      <c r="B81" s="1271"/>
      <c r="C81" s="1272"/>
    </row>
    <row r="82" spans="2:3">
      <c r="B82" s="1271"/>
      <c r="C82" s="1272"/>
    </row>
    <row r="83" spans="2:3">
      <c r="B83" s="1271"/>
      <c r="C83" s="1272"/>
    </row>
    <row r="84" spans="2:3">
      <c r="B84" s="1271"/>
      <c r="C84" s="1272"/>
    </row>
    <row r="85" spans="2:3">
      <c r="B85" s="1271"/>
      <c r="C85" s="1272"/>
    </row>
    <row r="86" spans="2:3">
      <c r="B86" s="1271"/>
      <c r="C86" s="1272"/>
    </row>
    <row r="87" spans="2:3">
      <c r="B87" s="1271"/>
      <c r="C87" s="1272"/>
    </row>
    <row r="88" spans="2:3">
      <c r="B88" s="1271"/>
      <c r="C88" s="1272"/>
    </row>
    <row r="89" spans="2:3">
      <c r="B89" s="1271"/>
      <c r="C89" s="1272"/>
    </row>
    <row r="90" spans="2:3">
      <c r="B90" s="1271"/>
      <c r="C90" s="1272"/>
    </row>
    <row r="91" spans="2:3">
      <c r="B91" s="1271"/>
      <c r="C91" s="1272"/>
    </row>
    <row r="92" spans="2:3">
      <c r="B92" s="1271"/>
      <c r="C92" s="1272"/>
    </row>
    <row r="93" spans="2:3">
      <c r="B93" s="1271"/>
      <c r="C93" s="1272"/>
    </row>
    <row r="94" spans="2:3">
      <c r="B94" s="1271"/>
      <c r="C94" s="1272"/>
    </row>
    <row r="95" spans="2:3">
      <c r="B95" s="1271"/>
      <c r="C95" s="1272"/>
    </row>
    <row r="96" spans="2:3">
      <c r="B96" s="1271"/>
      <c r="C96" s="1272"/>
    </row>
    <row r="97" spans="2:3">
      <c r="B97" s="1271"/>
      <c r="C97" s="1272"/>
    </row>
    <row r="98" spans="2:3">
      <c r="C98" s="1272"/>
    </row>
    <row r="99" spans="2:3">
      <c r="C99" s="1272"/>
    </row>
    <row r="100" spans="2:3">
      <c r="B100" s="2228" t="s">
        <v>550</v>
      </c>
      <c r="C100" s="1272"/>
    </row>
    <row r="120" spans="2:2">
      <c r="B120" s="2228" t="s">
        <v>550</v>
      </c>
    </row>
    <row r="140" spans="2:2">
      <c r="B140" s="2228" t="s">
        <v>550</v>
      </c>
    </row>
  </sheetData>
  <mergeCells count="3">
    <mergeCell ref="B2:B3"/>
    <mergeCell ref="D2:E3"/>
    <mergeCell ref="F2:G3"/>
  </mergeCells>
  <hyperlinks>
    <hyperlink ref="B2:B3" location="Home!A1" display="HOME" xr:uid="{2035356F-8DA6-4FCA-B443-AE4F793C82FD}"/>
    <hyperlink ref="B26" location="Disclaimer!A1" display="Disclaimer" xr:uid="{8396D418-8A9E-4391-BDFE-E3F18085CD7E}"/>
    <hyperlink ref="B25" location="Help!A1" display="Help" xr:uid="{0B26AACD-0E88-423F-B86C-EF9697FABB1D}"/>
    <hyperlink ref="B23" location="'Source - Links'!A1" display="SOURCE / LINKS" xr:uid="{F3733F0A-8243-4840-A644-103A18DE3678}"/>
    <hyperlink ref="B13" location="'Guidelines - Bottom Lines'!A1" display="• Calculation of bottom lines" xr:uid="{9CEC9A44-2D0F-474B-B51E-559B561B9533}"/>
    <hyperlink ref="B14" location="'Guidelines - ISGOTT-6 '!A1" display="• ISGOTT Sixth Edition" xr:uid="{2F27F89A-F03C-46D0-9C25-40C63DACE77D}"/>
    <hyperlink ref="B16" location="'Guidelines - Wedge Forla (1)'!A1" display="• Wedge formula - API MPMS" xr:uid="{3A803CAD-81D0-4D4F-A64A-7E39CA95482C}"/>
    <hyperlink ref="B17" location="'Guidelines - Wedge Forla (2)'!A1" display="• Wedge formula - Saybolt" xr:uid="{0A2739A9-1E2F-447B-81F7-0FF6CFADC528}"/>
    <hyperlink ref="B18" location="'Guidelines - Wedge Formulas'!A1" display="• Wedge formulas" xr:uid="{3FB61FF4-EF17-438A-BF1E-EA17C9320010}"/>
    <hyperlink ref="B19" location="'Guidelines - Commingling Calc'!A1" display="• Commingling Calculation" xr:uid="{4938422E-D7EF-4016-A3BC-D328B92638E7}"/>
    <hyperlink ref="B20" location="'Guidelines - SOLAS'!A1" display="• SOLAS" xr:uid="{47ED83B1-A404-4A54-832D-C2EBCDFB93F1}"/>
    <hyperlink ref="B21" location="'Guidelines - SOLAS compliance'!A1" display="• SOLAS compliance" xr:uid="{457D6A64-77F7-46DA-B889-F81A8DE3D9F0}"/>
    <hyperlink ref="B15" location="'Guidelines - Wedge Forla (0)'!A1" display="• Wedge formula - ISO-8697-1999 " xr:uid="{8A286960-E91D-4A4A-B4A9-F1E6FDCA0CEF}"/>
    <hyperlink ref="B40" location="'Guidelines - Wedge Forla (2)'!A1" display="Go to Up" xr:uid="{FF71258D-1D36-4C5F-9E1A-9AFF036EAAC7}"/>
    <hyperlink ref="B60" location="'Guidelines - Wedge Forla (2)'!A1" display="Go to Up" xr:uid="{36ADC22B-94A9-4B07-AA17-4007659C4818}"/>
    <hyperlink ref="B80" location="'Guidelines - Wedge Forla (2)'!A1" display="Go to Up" xr:uid="{67CEBD02-AA33-41EE-AD9B-33A0F731E2D8}"/>
    <hyperlink ref="B100" location="'Guidelines - Wedge Forla (2)'!A1" display="Go to Up" xr:uid="{6E0FE2F9-5F98-41CA-98E2-E734CA5907AE}"/>
    <hyperlink ref="B120" location="'Guidelines - Wedge Forla (2)'!A1" display="Go to Up" xr:uid="{291E41E5-886B-4639-AC31-CAAEE6C055E5}"/>
    <hyperlink ref="B140" location="'Guidelines - Wedge Forla (2)'!A1" display="Go to Up" xr:uid="{BDD083BD-80AF-4805-8D3E-2E48062A11D7}"/>
    <hyperlink ref="B5" location="'Documents Manager'!A1" display="DOCUMENTS MANAGER" xr:uid="{C4C4EA3E-0A1B-4C81-980D-8A28055FB576}"/>
    <hyperlink ref="B6" location="'ASTM Table Series'!A1" display="ASTM TABLES" xr:uid="{51781D47-24E4-461A-9AEB-45FC46E9FD30}"/>
    <hyperlink ref="B7" location="'ASTM Converter (Tab.1)'!A1" display="ASTM - CONVERTERS" xr:uid="{C7E4676C-51CC-4021-B5DE-E8D1E334AEAE}"/>
    <hyperlink ref="B8" location="'ASTM Calculator V.W.'!A1" display="ASTM - CALCULATORS" xr:uid="{107B8F94-9C54-46A9-B7E8-E12A6320645B}"/>
    <hyperlink ref="B9" location="'Initial&amp;Max. Loading Rate'!A1" display="CARGO - CALCULATORS" xr:uid="{51C20D4F-7576-4B2B-9F52-B10EEC568942}"/>
    <hyperlink ref="B22" location="'Guidelines - IG Pressure'!A1" display="• IG Pressure" xr:uid="{009CBF94-AA36-4FA6-BE65-5A5C02AE304B}"/>
    <hyperlink ref="B12" location="'Guidelines - Bottom Lines'!A1" display="GUIDELINES - CARGO" xr:uid="{9F0EA803-4561-4102-A486-643D7E3A538F}"/>
    <hyperlink ref="B11" location="'Guidelines - Definitions'!A1" display="GUIDELINES" xr:uid="{3BBBB023-121B-4A8D-AF5F-DA04354FABC1}"/>
  </hyperlinks>
  <printOptions horizontalCentered="1"/>
  <pageMargins left="0.39370078740157483" right="0.39370078740157483" top="0.39370078740157483" bottom="0.39370078740157483" header="0.51181102362204722" footer="0.51181102362204722"/>
  <pageSetup paperSize="9" scale="87" orientation="portrait" horizontalDpi="300" r:id="rId1"/>
  <headerFooter alignWithMargins="0"/>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03996-0A38-4DF6-82E2-66191001270D}">
  <sheetPr>
    <tabColor rgb="FF008080"/>
    <pageSetUpPr fitToPage="1"/>
  </sheetPr>
  <dimension ref="A1:P100"/>
  <sheetViews>
    <sheetView showGridLines="0" showRowColHeaders="0" topLeftCell="B1" workbookViewId="0">
      <pane ySplit="3" topLeftCell="A4" activePane="bottomLeft" state="frozen"/>
      <selection activeCell="K24" sqref="K24"/>
      <selection pane="bottomLeft" activeCell="B19" sqref="B19"/>
    </sheetView>
  </sheetViews>
  <sheetFormatPr defaultColWidth="11.46484375" defaultRowHeight="12.75"/>
  <cols>
    <col min="1" max="1" width="0" style="1270" hidden="1" customWidth="1"/>
    <col min="2" max="2" width="36.6640625" style="65" customWidth="1"/>
    <col min="3" max="3" width="2.6640625" style="1274" customWidth="1"/>
    <col min="4" max="4" width="9.1328125" style="1274" customWidth="1"/>
    <col min="5" max="5" width="41.6640625" style="1274" customWidth="1"/>
    <col min="6" max="6" width="9.1328125" style="1274" customWidth="1"/>
    <col min="7" max="7" width="2.796875" style="1274" customWidth="1"/>
    <col min="8" max="8" width="9.1328125" style="1274" customWidth="1"/>
    <col min="9" max="9" width="41.6640625" style="1274" customWidth="1"/>
    <col min="10" max="10" width="9.1328125" style="1274" customWidth="1"/>
    <col min="11" max="11" width="2.796875" style="1274" customWidth="1"/>
    <col min="12" max="12" width="9.1328125" style="1274" customWidth="1"/>
    <col min="13" max="13" width="41.6640625" style="1274" customWidth="1"/>
    <col min="14" max="14" width="9.1328125" style="1274" customWidth="1"/>
    <col min="15" max="15" width="7.1328125" style="1274" customWidth="1"/>
    <col min="16" max="16384" width="11.46484375" style="1274"/>
  </cols>
  <sheetData>
    <row r="1" spans="2:16" ht="12.75" customHeight="1">
      <c r="B1" s="1271"/>
      <c r="C1" s="1272"/>
      <c r="D1" s="1273"/>
      <c r="E1" s="1273"/>
      <c r="F1" s="285"/>
      <c r="H1" s="1273"/>
      <c r="I1" s="1275"/>
      <c r="J1" s="1276"/>
      <c r="K1" s="1276"/>
      <c r="L1" s="1276"/>
    </row>
    <row r="2" spans="2:16" ht="21" customHeight="1">
      <c r="B2" s="3284" t="s">
        <v>0</v>
      </c>
      <c r="C2" s="1277"/>
      <c r="D2" s="3493" t="s">
        <v>749</v>
      </c>
      <c r="E2" s="3493"/>
      <c r="F2" s="3493"/>
      <c r="G2" s="3493"/>
      <c r="H2" s="3493"/>
      <c r="I2" s="3493"/>
      <c r="J2" s="3493"/>
      <c r="K2" s="3493"/>
      <c r="L2" s="3493"/>
      <c r="M2" s="3493"/>
      <c r="N2" s="3493"/>
    </row>
    <row r="3" spans="2:16" ht="21" customHeight="1">
      <c r="B3" s="3284"/>
      <c r="C3" s="1277"/>
      <c r="D3" s="3493"/>
      <c r="E3" s="3493"/>
      <c r="F3" s="3493"/>
      <c r="G3" s="3493"/>
      <c r="H3" s="3493"/>
      <c r="I3" s="3493"/>
      <c r="J3" s="3493"/>
      <c r="K3" s="3493"/>
      <c r="L3" s="3493"/>
      <c r="M3" s="3493"/>
      <c r="N3" s="3493"/>
    </row>
    <row r="4" spans="2:16" ht="21" customHeight="1">
      <c r="B4" s="1280"/>
      <c r="C4" s="1281"/>
      <c r="D4" s="1358"/>
      <c r="E4" s="1359"/>
      <c r="F4" s="1359"/>
      <c r="G4" s="1359"/>
      <c r="H4" s="1359"/>
      <c r="I4" s="1359"/>
      <c r="J4" s="1359"/>
      <c r="K4" s="1359"/>
      <c r="L4" s="1360"/>
      <c r="M4" s="1360"/>
      <c r="N4" s="1361"/>
      <c r="O4" s="1355"/>
      <c r="P4" s="1355"/>
    </row>
    <row r="5" spans="2:16" ht="21" customHeight="1">
      <c r="B5" s="62" t="s">
        <v>1</v>
      </c>
      <c r="C5" s="1287"/>
      <c r="D5" s="1381" t="s">
        <v>805</v>
      </c>
      <c r="E5" s="1382"/>
      <c r="F5" s="1383"/>
      <c r="G5" s="12"/>
      <c r="H5" s="1381" t="s">
        <v>699</v>
      </c>
      <c r="I5" s="1382"/>
      <c r="J5" s="1383"/>
      <c r="K5" s="1359"/>
      <c r="L5" s="1381" t="s">
        <v>806</v>
      </c>
      <c r="M5" s="1382"/>
      <c r="N5" s="1383"/>
    </row>
    <row r="6" spans="2:16" ht="21" customHeight="1">
      <c r="B6" s="397" t="s">
        <v>452</v>
      </c>
      <c r="C6" s="1289"/>
      <c r="D6" s="1375"/>
      <c r="E6" s="12"/>
      <c r="F6" s="1376"/>
      <c r="G6" s="12"/>
      <c r="H6" s="1375"/>
      <c r="I6" s="12"/>
      <c r="J6" s="1376"/>
      <c r="L6" s="1375"/>
      <c r="M6" s="12"/>
      <c r="N6" s="1376"/>
      <c r="O6" s="1356"/>
    </row>
    <row r="7" spans="2:16" ht="21" customHeight="1">
      <c r="B7" s="62" t="s">
        <v>239</v>
      </c>
      <c r="C7" s="1293"/>
      <c r="D7" s="1385" t="s">
        <v>750</v>
      </c>
      <c r="E7" s="1386" t="s">
        <v>751</v>
      </c>
      <c r="F7" s="1376"/>
      <c r="G7" s="12"/>
      <c r="H7" s="1385"/>
      <c r="I7" s="1386" t="s">
        <v>752</v>
      </c>
      <c r="J7" s="1376"/>
      <c r="K7" s="1363"/>
      <c r="L7" s="1385" t="s">
        <v>809</v>
      </c>
      <c r="M7" s="278" t="s">
        <v>816</v>
      </c>
      <c r="N7" s="1376"/>
      <c r="O7" s="1356"/>
    </row>
    <row r="8" spans="2:16" ht="21" customHeight="1">
      <c r="B8" s="62" t="s">
        <v>1263</v>
      </c>
      <c r="C8" s="1296"/>
      <c r="D8" s="1384" t="s">
        <v>753</v>
      </c>
      <c r="E8" s="278" t="s">
        <v>754</v>
      </c>
      <c r="F8" s="1376"/>
      <c r="G8" s="12"/>
      <c r="H8" s="1384"/>
      <c r="I8" s="278"/>
      <c r="J8" s="1376"/>
      <c r="K8" s="1364"/>
      <c r="L8" s="1410" t="s">
        <v>757</v>
      </c>
      <c r="M8" s="1411" t="s">
        <v>808</v>
      </c>
      <c r="N8" s="1376"/>
      <c r="O8" s="1356"/>
    </row>
    <row r="9" spans="2:16" ht="21" customHeight="1">
      <c r="B9" s="62" t="s">
        <v>557</v>
      </c>
      <c r="C9" s="1287"/>
      <c r="D9" s="1384" t="s">
        <v>755</v>
      </c>
      <c r="E9" s="278" t="s">
        <v>756</v>
      </c>
      <c r="F9" s="1376"/>
      <c r="G9" s="12"/>
      <c r="H9" s="1384" t="s">
        <v>757</v>
      </c>
      <c r="I9" s="278" t="s">
        <v>758</v>
      </c>
      <c r="J9" s="1376"/>
      <c r="L9" s="1384" t="s">
        <v>757</v>
      </c>
      <c r="M9" s="278" t="s">
        <v>811</v>
      </c>
      <c r="N9" s="1376"/>
      <c r="O9" s="1356"/>
    </row>
    <row r="10" spans="2:16" ht="21" customHeight="1">
      <c r="B10" s="62" t="s">
        <v>238</v>
      </c>
      <c r="C10" s="1287"/>
      <c r="D10" s="1384" t="s">
        <v>757</v>
      </c>
      <c r="E10" s="278" t="s">
        <v>759</v>
      </c>
      <c r="F10" s="1376"/>
      <c r="G10" s="12"/>
      <c r="H10" s="1384" t="s">
        <v>760</v>
      </c>
      <c r="I10" s="278" t="s">
        <v>761</v>
      </c>
      <c r="J10" s="1376"/>
      <c r="K10" s="1365"/>
      <c r="L10" s="1384" t="s">
        <v>765</v>
      </c>
      <c r="M10" s="278" t="s">
        <v>810</v>
      </c>
      <c r="N10" s="1376"/>
    </row>
    <row r="11" spans="2:16" ht="21" customHeight="1">
      <c r="B11" s="62" t="s">
        <v>1652</v>
      </c>
      <c r="C11" s="1287"/>
      <c r="D11" s="1377"/>
      <c r="E11" s="12"/>
      <c r="F11" s="1376"/>
      <c r="G11" s="12"/>
      <c r="H11" s="1384" t="s">
        <v>762</v>
      </c>
      <c r="I11" s="278" t="s">
        <v>763</v>
      </c>
      <c r="J11" s="1376"/>
      <c r="K11" s="1365"/>
      <c r="L11" s="1384" t="s">
        <v>773</v>
      </c>
      <c r="M11" s="278" t="s">
        <v>812</v>
      </c>
      <c r="N11" s="1376"/>
    </row>
    <row r="12" spans="2:16" ht="21" customHeight="1">
      <c r="B12" s="146" t="s">
        <v>1653</v>
      </c>
      <c r="C12" s="1303"/>
      <c r="D12" s="1384" t="s">
        <v>753</v>
      </c>
      <c r="E12" s="278" t="s">
        <v>764</v>
      </c>
      <c r="F12" s="1376"/>
      <c r="G12" s="12"/>
      <c r="H12" s="1384" t="s">
        <v>765</v>
      </c>
      <c r="I12" s="278" t="s">
        <v>766</v>
      </c>
      <c r="J12" s="1376"/>
      <c r="K12" s="320"/>
      <c r="L12" s="1384" t="s">
        <v>778</v>
      </c>
      <c r="M12" s="278" t="s">
        <v>813</v>
      </c>
      <c r="N12" s="1376"/>
    </row>
    <row r="13" spans="2:16" ht="21" customHeight="1">
      <c r="B13" s="145" t="s">
        <v>555</v>
      </c>
      <c r="C13" s="1303"/>
      <c r="D13" s="1384" t="s">
        <v>767</v>
      </c>
      <c r="E13" s="278" t="s">
        <v>768</v>
      </c>
      <c r="F13" s="1376"/>
      <c r="G13" s="12"/>
      <c r="H13" s="1384" t="s">
        <v>769</v>
      </c>
      <c r="I13" s="278" t="s">
        <v>770</v>
      </c>
      <c r="J13" s="1376"/>
      <c r="K13" s="1305"/>
      <c r="L13" s="1384" t="s">
        <v>762</v>
      </c>
      <c r="M13" s="278" t="s">
        <v>814</v>
      </c>
      <c r="N13" s="1376"/>
    </row>
    <row r="14" spans="2:16" ht="21" customHeight="1">
      <c r="B14" s="145" t="s">
        <v>685</v>
      </c>
      <c r="C14" s="1303"/>
      <c r="D14" s="1384" t="s">
        <v>771</v>
      </c>
      <c r="E14" s="278" t="s">
        <v>772</v>
      </c>
      <c r="F14" s="1376"/>
      <c r="G14" s="12"/>
      <c r="H14" s="1384" t="s">
        <v>773</v>
      </c>
      <c r="I14" s="278" t="s">
        <v>774</v>
      </c>
      <c r="J14" s="1376"/>
      <c r="K14" s="1305"/>
      <c r="L14" s="1385" t="s">
        <v>815</v>
      </c>
      <c r="M14" s="278" t="s">
        <v>817</v>
      </c>
      <c r="N14" s="1376"/>
    </row>
    <row r="15" spans="2:16" ht="21" customHeight="1">
      <c r="B15" s="145" t="s">
        <v>1164</v>
      </c>
      <c r="C15" s="1303"/>
      <c r="D15" s="1384" t="s">
        <v>775</v>
      </c>
      <c r="E15" s="278" t="s">
        <v>725</v>
      </c>
      <c r="F15" s="1376"/>
      <c r="G15" s="12"/>
      <c r="H15" s="1384" t="s">
        <v>767</v>
      </c>
      <c r="I15" s="278" t="s">
        <v>717</v>
      </c>
      <c r="J15" s="1376"/>
      <c r="K15" s="1305"/>
      <c r="L15" s="1412" t="s">
        <v>818</v>
      </c>
      <c r="M15" s="278"/>
      <c r="N15" s="1376"/>
    </row>
    <row r="16" spans="2:16" ht="21" customHeight="1">
      <c r="B16" s="145" t="s">
        <v>701</v>
      </c>
      <c r="C16" s="1305"/>
      <c r="D16" s="1384" t="s">
        <v>776</v>
      </c>
      <c r="E16" s="278" t="s">
        <v>777</v>
      </c>
      <c r="F16" s="1376"/>
      <c r="G16" s="12"/>
      <c r="H16" s="1384" t="s">
        <v>778</v>
      </c>
      <c r="I16" s="278" t="s">
        <v>779</v>
      </c>
      <c r="J16" s="1376"/>
      <c r="L16" s="1387" t="s">
        <v>819</v>
      </c>
      <c r="M16" s="278"/>
      <c r="N16" s="1376"/>
    </row>
    <row r="17" spans="2:15" ht="21" customHeight="1">
      <c r="B17" s="145" t="s">
        <v>700</v>
      </c>
      <c r="C17" s="1305"/>
      <c r="D17" s="1384" t="s">
        <v>757</v>
      </c>
      <c r="E17" s="278" t="s">
        <v>780</v>
      </c>
      <c r="F17" s="1376"/>
      <c r="G17" s="12"/>
      <c r="H17" s="1384"/>
      <c r="I17" s="278"/>
      <c r="J17" s="1376"/>
      <c r="L17" s="1385" t="s">
        <v>820</v>
      </c>
      <c r="M17" s="3503" t="s">
        <v>821</v>
      </c>
      <c r="N17" s="3504"/>
    </row>
    <row r="18" spans="2:15" ht="21" customHeight="1">
      <c r="B18" s="147" t="s">
        <v>748</v>
      </c>
      <c r="C18" s="1305"/>
      <c r="D18" s="1384" t="s">
        <v>781</v>
      </c>
      <c r="E18" s="278" t="s">
        <v>782</v>
      </c>
      <c r="F18" s="1376"/>
      <c r="G18" s="12"/>
      <c r="H18" s="1387" t="s">
        <v>783</v>
      </c>
      <c r="I18" s="278"/>
      <c r="J18" s="1376"/>
      <c r="L18" s="1387"/>
      <c r="M18" s="3503"/>
      <c r="N18" s="3504"/>
    </row>
    <row r="19" spans="2:15" ht="21" customHeight="1">
      <c r="B19" s="145" t="s">
        <v>1157</v>
      </c>
      <c r="C19" s="1309"/>
      <c r="D19" s="1384" t="s">
        <v>750</v>
      </c>
      <c r="E19" s="278" t="s">
        <v>784</v>
      </c>
      <c r="F19" s="1376"/>
      <c r="G19" s="12"/>
      <c r="H19" s="1387" t="s">
        <v>785</v>
      </c>
      <c r="I19" s="278"/>
      <c r="J19" s="1376"/>
      <c r="K19" s="1366"/>
      <c r="L19" s="1377"/>
      <c r="M19" s="3503"/>
      <c r="N19" s="3504"/>
    </row>
    <row r="20" spans="2:15" ht="21" customHeight="1">
      <c r="B20" s="145" t="s">
        <v>1155</v>
      </c>
      <c r="C20" s="1309"/>
      <c r="D20" s="1384" t="s">
        <v>769</v>
      </c>
      <c r="E20" s="278" t="s">
        <v>786</v>
      </c>
      <c r="F20" s="1376"/>
      <c r="G20" s="12"/>
      <c r="H20" s="1377"/>
      <c r="I20" s="12"/>
      <c r="J20" s="1376"/>
      <c r="K20" s="1366"/>
      <c r="L20" s="1385" t="s">
        <v>822</v>
      </c>
      <c r="M20" s="3503" t="s">
        <v>824</v>
      </c>
      <c r="N20" s="3504"/>
    </row>
    <row r="21" spans="2:15" ht="21" customHeight="1">
      <c r="B21" s="145" t="s">
        <v>1158</v>
      </c>
      <c r="C21" s="1309"/>
      <c r="D21" s="1378"/>
      <c r="E21" s="1379"/>
      <c r="F21" s="1380"/>
      <c r="G21" s="12"/>
      <c r="H21" s="1378"/>
      <c r="I21" s="1379"/>
      <c r="J21" s="1380"/>
      <c r="K21" s="1366"/>
      <c r="L21" s="1406"/>
      <c r="M21" s="3503"/>
      <c r="N21" s="3504"/>
    </row>
    <row r="22" spans="2:15" ht="21" customHeight="1">
      <c r="B22" s="145" t="s">
        <v>1324</v>
      </c>
      <c r="C22" s="1272"/>
      <c r="D22" s="12"/>
      <c r="E22" s="12"/>
      <c r="F22" s="12"/>
      <c r="G22" s="12"/>
      <c r="H22" s="12"/>
      <c r="I22" s="12"/>
      <c r="J22" s="12"/>
      <c r="K22" s="1366"/>
      <c r="L22" s="1412" t="s">
        <v>823</v>
      </c>
      <c r="M22" s="1405"/>
      <c r="N22" s="1408"/>
    </row>
    <row r="23" spans="2:15" ht="21" customHeight="1">
      <c r="B23" s="62" t="s">
        <v>40</v>
      </c>
      <c r="C23" s="1272"/>
      <c r="D23" s="1381" t="s">
        <v>699</v>
      </c>
      <c r="E23" s="1382"/>
      <c r="F23" s="1383"/>
      <c r="G23" s="12"/>
      <c r="H23" s="1381" t="s">
        <v>787</v>
      </c>
      <c r="I23" s="1382"/>
      <c r="J23" s="1383"/>
      <c r="K23" s="1366"/>
      <c r="L23" s="1384" t="s">
        <v>825</v>
      </c>
      <c r="M23" s="1407" t="s">
        <v>826</v>
      </c>
      <c r="N23" s="1408"/>
    </row>
    <row r="24" spans="2:15" ht="21" customHeight="1">
      <c r="B24" s="62" t="s">
        <v>238</v>
      </c>
      <c r="C24" s="1272"/>
      <c r="D24" s="1375"/>
      <c r="E24" s="12"/>
      <c r="F24" s="1376"/>
      <c r="G24" s="12"/>
      <c r="H24" s="1375"/>
      <c r="I24" s="12"/>
      <c r="J24" s="1376"/>
      <c r="K24" s="1366"/>
      <c r="L24" s="1384" t="s">
        <v>757</v>
      </c>
      <c r="M24" s="1407" t="s">
        <v>827</v>
      </c>
      <c r="N24" s="1408"/>
    </row>
    <row r="25" spans="2:15" ht="21" customHeight="1">
      <c r="B25" s="62" t="s">
        <v>39</v>
      </c>
      <c r="C25" s="1272"/>
      <c r="D25" s="1385" t="s">
        <v>788</v>
      </c>
      <c r="E25" s="1386" t="s">
        <v>789</v>
      </c>
      <c r="F25" s="1388"/>
      <c r="G25" s="12"/>
      <c r="H25" s="1385"/>
      <c r="I25" s="1386" t="s">
        <v>790</v>
      </c>
      <c r="J25" s="1388"/>
      <c r="K25" s="1366"/>
      <c r="L25" s="1384" t="s">
        <v>767</v>
      </c>
      <c r="M25" s="1407" t="s">
        <v>828</v>
      </c>
      <c r="N25" s="1408"/>
    </row>
    <row r="26" spans="2:15" ht="21" customHeight="1">
      <c r="B26" s="62" t="s">
        <v>38</v>
      </c>
      <c r="C26" s="1272"/>
      <c r="D26" s="1384"/>
      <c r="E26" s="278"/>
      <c r="F26" s="1388"/>
      <c r="G26" s="12"/>
      <c r="H26" s="1384"/>
      <c r="I26" s="278"/>
      <c r="J26" s="1388"/>
      <c r="K26" s="1366"/>
      <c r="L26" s="1384" t="s">
        <v>778</v>
      </c>
      <c r="M26" s="1407" t="s">
        <v>829</v>
      </c>
      <c r="N26" s="1408"/>
    </row>
    <row r="27" spans="2:15" ht="21" customHeight="1">
      <c r="B27" s="1271"/>
      <c r="C27" s="1272"/>
      <c r="D27" s="1384" t="s">
        <v>788</v>
      </c>
      <c r="E27" s="278" t="s">
        <v>784</v>
      </c>
      <c r="F27" s="1388"/>
      <c r="G27" s="12"/>
      <c r="H27" s="1384" t="s">
        <v>750</v>
      </c>
      <c r="I27" s="278" t="s">
        <v>791</v>
      </c>
      <c r="J27" s="1388"/>
      <c r="K27" s="1366"/>
      <c r="L27" s="3500" t="s">
        <v>830</v>
      </c>
      <c r="M27" s="3501"/>
      <c r="N27" s="3502"/>
    </row>
    <row r="28" spans="2:15" ht="21" customHeight="1">
      <c r="B28" s="1271"/>
      <c r="C28" s="1272"/>
      <c r="D28" s="1384" t="s">
        <v>792</v>
      </c>
      <c r="E28" s="278" t="s">
        <v>725</v>
      </c>
      <c r="F28" s="1388"/>
      <c r="G28" s="12"/>
      <c r="H28" s="1384" t="s">
        <v>760</v>
      </c>
      <c r="I28" s="278" t="s">
        <v>793</v>
      </c>
      <c r="J28" s="1388"/>
      <c r="K28" s="1366"/>
      <c r="L28" s="3500"/>
      <c r="M28" s="3501"/>
      <c r="N28" s="3502"/>
    </row>
    <row r="29" spans="2:15" ht="21" customHeight="1">
      <c r="B29" s="1271"/>
      <c r="C29" s="1272"/>
      <c r="D29" s="1384" t="s">
        <v>794</v>
      </c>
      <c r="E29" s="278" t="s">
        <v>772</v>
      </c>
      <c r="F29" s="1388"/>
      <c r="G29" s="12"/>
      <c r="H29" s="1384" t="s">
        <v>795</v>
      </c>
      <c r="I29" s="278" t="s">
        <v>796</v>
      </c>
      <c r="J29" s="1388"/>
      <c r="K29" s="1366"/>
      <c r="L29" s="1409" t="s">
        <v>831</v>
      </c>
      <c r="M29" s="1407"/>
      <c r="N29" s="1408"/>
    </row>
    <row r="30" spans="2:15" ht="21" customHeight="1">
      <c r="B30" s="1271"/>
      <c r="C30" s="1272"/>
      <c r="D30" s="1384" t="s">
        <v>776</v>
      </c>
      <c r="E30" s="278" t="s">
        <v>777</v>
      </c>
      <c r="F30" s="1388"/>
      <c r="G30" s="12"/>
      <c r="H30" s="1384" t="s">
        <v>775</v>
      </c>
      <c r="I30" s="278" t="s">
        <v>797</v>
      </c>
      <c r="J30" s="1388"/>
      <c r="K30" s="1366"/>
      <c r="L30" s="1385" t="s">
        <v>750</v>
      </c>
      <c r="M30" s="1386" t="s">
        <v>807</v>
      </c>
      <c r="N30" s="1408"/>
    </row>
    <row r="31" spans="2:15" ht="21" customHeight="1">
      <c r="B31" s="1271"/>
      <c r="C31" s="1272"/>
      <c r="D31" s="1384" t="s">
        <v>798</v>
      </c>
      <c r="E31" s="278" t="s">
        <v>782</v>
      </c>
      <c r="F31" s="1388"/>
      <c r="G31" s="12"/>
      <c r="H31" s="1384" t="s">
        <v>771</v>
      </c>
      <c r="I31" s="278" t="s">
        <v>799</v>
      </c>
      <c r="J31" s="1388"/>
      <c r="K31" s="1366"/>
      <c r="L31" s="1385"/>
      <c r="M31" s="1386"/>
      <c r="N31" s="1408"/>
      <c r="O31" s="1357"/>
    </row>
    <row r="32" spans="2:15" ht="21" customHeight="1">
      <c r="B32" s="1271"/>
      <c r="C32" s="1272"/>
      <c r="D32" s="1384" t="s">
        <v>800</v>
      </c>
      <c r="E32" s="278" t="s">
        <v>786</v>
      </c>
      <c r="F32" s="1388"/>
      <c r="G32" s="12"/>
      <c r="H32" s="1384" t="s">
        <v>801</v>
      </c>
      <c r="I32" s="278" t="s">
        <v>802</v>
      </c>
      <c r="J32" s="1388"/>
      <c r="K32" s="1366"/>
      <c r="L32" s="1385"/>
      <c r="M32" s="1386"/>
      <c r="N32" s="1408"/>
      <c r="O32" s="1357"/>
    </row>
    <row r="33" spans="2:15" ht="21" customHeight="1">
      <c r="B33" s="1271"/>
      <c r="C33" s="1272"/>
      <c r="D33" s="1377"/>
      <c r="E33" s="12"/>
      <c r="F33" s="1376"/>
      <c r="G33" s="12"/>
      <c r="H33" s="1384" t="s">
        <v>803</v>
      </c>
      <c r="I33" s="278" t="s">
        <v>804</v>
      </c>
      <c r="J33" s="1388"/>
      <c r="K33" s="1366"/>
      <c r="L33" s="1385"/>
      <c r="M33" s="1386"/>
      <c r="N33" s="1408"/>
      <c r="O33" s="1357"/>
    </row>
    <row r="34" spans="2:15" ht="21" customHeight="1">
      <c r="B34" s="1271"/>
      <c r="C34" s="1272"/>
      <c r="D34" s="1389"/>
      <c r="E34" s="1390"/>
      <c r="F34" s="1391"/>
      <c r="G34" s="1368"/>
      <c r="H34" s="1392"/>
      <c r="I34" s="1393"/>
      <c r="J34" s="1391"/>
      <c r="K34" s="1368"/>
      <c r="L34" s="1378"/>
      <c r="M34" s="1379"/>
      <c r="N34" s="1380"/>
    </row>
    <row r="35" spans="2:15">
      <c r="B35" s="1271"/>
      <c r="C35" s="1272"/>
      <c r="D35" s="1365"/>
      <c r="E35" s="1365"/>
      <c r="F35" s="1367"/>
      <c r="G35" s="1368"/>
      <c r="H35" s="1367"/>
      <c r="I35" s="1368"/>
      <c r="J35" s="1367"/>
      <c r="K35" s="1368"/>
    </row>
    <row r="36" spans="2:15" ht="18.75" customHeight="1">
      <c r="B36" s="1271"/>
      <c r="C36" s="1272"/>
      <c r="D36" s="1365"/>
      <c r="E36" s="1365"/>
      <c r="F36" s="1367"/>
      <c r="G36" s="1368"/>
      <c r="H36" s="1367"/>
      <c r="I36" s="1368"/>
      <c r="J36" s="1367"/>
      <c r="K36" s="1368"/>
    </row>
    <row r="37" spans="2:15" ht="15.75" customHeight="1">
      <c r="B37" s="1271"/>
      <c r="C37" s="1272"/>
      <c r="D37" s="1365"/>
      <c r="E37" s="1365"/>
      <c r="F37" s="1367"/>
      <c r="G37" s="1368"/>
      <c r="H37" s="1367"/>
      <c r="I37" s="1368"/>
      <c r="J37" s="1367"/>
      <c r="K37" s="1368"/>
    </row>
    <row r="38" spans="2:15">
      <c r="B38" s="1271"/>
      <c r="C38" s="1272"/>
      <c r="D38" s="1365"/>
      <c r="E38" s="1365"/>
      <c r="F38" s="1367"/>
      <c r="G38" s="1368"/>
      <c r="H38" s="1367"/>
      <c r="I38" s="1368"/>
      <c r="J38" s="1367"/>
      <c r="K38" s="1368"/>
    </row>
    <row r="39" spans="2:15">
      <c r="B39" s="1271"/>
      <c r="C39" s="1272"/>
      <c r="D39" s="1365"/>
      <c r="E39" s="1365"/>
      <c r="F39" s="1367"/>
      <c r="G39" s="1368"/>
      <c r="H39" s="1367"/>
      <c r="I39" s="1368"/>
      <c r="J39" s="1367"/>
      <c r="K39" s="1368"/>
    </row>
    <row r="40" spans="2:15">
      <c r="B40" s="1271"/>
      <c r="C40" s="1272"/>
      <c r="D40" s="1365"/>
      <c r="E40" s="1365"/>
      <c r="F40" s="1367"/>
      <c r="G40" s="1368"/>
      <c r="H40" s="1367"/>
      <c r="I40" s="1368"/>
      <c r="J40" s="1367"/>
      <c r="K40" s="1368"/>
    </row>
    <row r="41" spans="2:15">
      <c r="B41" s="1271"/>
      <c r="C41" s="1272"/>
      <c r="D41" s="1365"/>
      <c r="E41" s="1365"/>
      <c r="F41" s="1367"/>
      <c r="G41" s="1368"/>
      <c r="H41" s="1367"/>
      <c r="I41" s="1368"/>
      <c r="J41" s="1367"/>
      <c r="K41" s="1368"/>
    </row>
    <row r="42" spans="2:15">
      <c r="B42" s="1271"/>
      <c r="C42" s="1272"/>
      <c r="D42" s="1365"/>
      <c r="E42" s="1365"/>
      <c r="F42" s="1367"/>
      <c r="G42" s="1368"/>
      <c r="H42" s="1367"/>
      <c r="I42" s="1368"/>
      <c r="J42" s="1367"/>
      <c r="K42" s="1368"/>
    </row>
    <row r="43" spans="2:15">
      <c r="B43" s="1271"/>
      <c r="C43" s="1272"/>
      <c r="H43" s="1370"/>
      <c r="I43" s="1371"/>
      <c r="K43" s="1372"/>
    </row>
    <row r="44" spans="2:15">
      <c r="B44" s="1271"/>
      <c r="C44" s="1272"/>
    </row>
    <row r="45" spans="2:15">
      <c r="B45" s="1271"/>
      <c r="C45" s="1272"/>
      <c r="G45" s="1373"/>
      <c r="H45" s="1373"/>
    </row>
    <row r="46" spans="2:15">
      <c r="B46" s="1271"/>
      <c r="C46" s="1272"/>
    </row>
    <row r="47" spans="2:15">
      <c r="B47" s="1271"/>
      <c r="C47" s="1272"/>
    </row>
    <row r="48" spans="2:15">
      <c r="B48" s="1271"/>
      <c r="C48" s="1272"/>
      <c r="N48" s="1369"/>
    </row>
    <row r="49" spans="2:12">
      <c r="B49" s="1271"/>
      <c r="C49" s="1272"/>
    </row>
    <row r="50" spans="2:12">
      <c r="B50" s="1271"/>
      <c r="C50" s="1272"/>
      <c r="D50" s="1374"/>
      <c r="G50" s="1373"/>
      <c r="H50" s="1373"/>
      <c r="J50" s="1373"/>
      <c r="K50" s="1373"/>
    </row>
    <row r="51" spans="2:12">
      <c r="B51" s="1271"/>
      <c r="C51" s="1272"/>
    </row>
    <row r="52" spans="2:12">
      <c r="B52" s="1271"/>
      <c r="C52" s="1272"/>
      <c r="D52" s="1356"/>
      <c r="E52" s="1356"/>
      <c r="F52" s="1356"/>
      <c r="G52" s="1356"/>
      <c r="I52" s="1356"/>
      <c r="J52" s="1356"/>
      <c r="K52" s="1362"/>
    </row>
    <row r="53" spans="2:12">
      <c r="B53" s="1271"/>
      <c r="C53" s="1272"/>
    </row>
    <row r="54" spans="2:12">
      <c r="B54" s="1271"/>
      <c r="C54" s="1272"/>
    </row>
    <row r="55" spans="2:12">
      <c r="B55" s="1271"/>
      <c r="C55" s="1272"/>
    </row>
    <row r="56" spans="2:12">
      <c r="B56" s="1271"/>
      <c r="C56" s="1272"/>
    </row>
    <row r="57" spans="2:12">
      <c r="B57" s="1271"/>
      <c r="C57" s="1272"/>
    </row>
    <row r="58" spans="2:12">
      <c r="B58" s="1271"/>
      <c r="C58" s="1272"/>
    </row>
    <row r="59" spans="2:12">
      <c r="B59" s="1271"/>
      <c r="C59" s="1272"/>
    </row>
    <row r="60" spans="2:12">
      <c r="B60" s="1271"/>
      <c r="C60" s="1272"/>
      <c r="L60" s="1356"/>
    </row>
    <row r="61" spans="2:12">
      <c r="B61" s="1271"/>
      <c r="C61" s="1272"/>
    </row>
    <row r="62" spans="2:12">
      <c r="B62" s="1271"/>
      <c r="C62" s="1272"/>
    </row>
    <row r="63" spans="2:12">
      <c r="B63" s="1271"/>
      <c r="C63" s="1272"/>
    </row>
    <row r="64" spans="2:12">
      <c r="B64" s="1271"/>
      <c r="C64" s="1272"/>
    </row>
    <row r="65" spans="2:3">
      <c r="B65" s="1271"/>
      <c r="C65" s="1272"/>
    </row>
    <row r="66" spans="2:3">
      <c r="B66" s="1271"/>
      <c r="C66" s="1272"/>
    </row>
    <row r="67" spans="2:3">
      <c r="B67" s="1271"/>
      <c r="C67" s="1272"/>
    </row>
    <row r="68" spans="2:3">
      <c r="B68" s="1271"/>
      <c r="C68" s="1272"/>
    </row>
    <row r="69" spans="2:3">
      <c r="B69" s="1271"/>
      <c r="C69" s="1272"/>
    </row>
    <row r="70" spans="2:3">
      <c r="B70" s="1271"/>
      <c r="C70" s="1272"/>
    </row>
    <row r="71" spans="2:3">
      <c r="B71" s="1271"/>
      <c r="C71" s="1272"/>
    </row>
    <row r="72" spans="2:3">
      <c r="B72" s="1271"/>
      <c r="C72" s="1272"/>
    </row>
    <row r="73" spans="2:3">
      <c r="B73" s="1271"/>
      <c r="C73" s="1272"/>
    </row>
    <row r="74" spans="2:3">
      <c r="B74" s="1271"/>
      <c r="C74" s="1272"/>
    </row>
    <row r="75" spans="2:3">
      <c r="B75" s="1271"/>
      <c r="C75" s="1272"/>
    </row>
    <row r="76" spans="2:3">
      <c r="B76" s="1271"/>
      <c r="C76" s="1272"/>
    </row>
    <row r="77" spans="2:3">
      <c r="B77" s="1271"/>
      <c r="C77" s="1272"/>
    </row>
    <row r="78" spans="2:3">
      <c r="B78" s="1271"/>
      <c r="C78" s="1272"/>
    </row>
    <row r="79" spans="2:3">
      <c r="B79" s="1271"/>
      <c r="C79" s="1272"/>
    </row>
    <row r="80" spans="2:3">
      <c r="B80" s="1271"/>
      <c r="C80" s="1272"/>
    </row>
    <row r="81" spans="2:3">
      <c r="B81" s="1271"/>
      <c r="C81" s="1272"/>
    </row>
    <row r="82" spans="2:3">
      <c r="B82" s="1271"/>
      <c r="C82" s="1272"/>
    </row>
    <row r="83" spans="2:3">
      <c r="B83" s="1271"/>
      <c r="C83" s="1272"/>
    </row>
    <row r="84" spans="2:3">
      <c r="B84" s="1271"/>
      <c r="C84" s="1272"/>
    </row>
    <row r="85" spans="2:3">
      <c r="B85" s="1271"/>
      <c r="C85" s="1272"/>
    </row>
    <row r="86" spans="2:3">
      <c r="B86" s="1271"/>
      <c r="C86" s="1272"/>
    </row>
    <row r="87" spans="2:3">
      <c r="B87" s="1271"/>
      <c r="C87" s="1272"/>
    </row>
    <row r="88" spans="2:3">
      <c r="B88" s="1271"/>
      <c r="C88" s="1272"/>
    </row>
    <row r="89" spans="2:3">
      <c r="B89" s="1271"/>
      <c r="C89" s="1272"/>
    </row>
    <row r="90" spans="2:3">
      <c r="B90" s="1271"/>
      <c r="C90" s="1272"/>
    </row>
    <row r="91" spans="2:3">
      <c r="B91" s="1271"/>
      <c r="C91" s="1272"/>
    </row>
    <row r="92" spans="2:3">
      <c r="B92" s="1271"/>
      <c r="C92" s="1272"/>
    </row>
    <row r="93" spans="2:3">
      <c r="B93" s="1271"/>
      <c r="C93" s="1272"/>
    </row>
    <row r="94" spans="2:3">
      <c r="B94" s="1271"/>
      <c r="C94" s="1272"/>
    </row>
    <row r="95" spans="2:3">
      <c r="B95" s="1271"/>
      <c r="C95" s="1272"/>
    </row>
    <row r="96" spans="2:3">
      <c r="B96" s="1271"/>
      <c r="C96" s="1272"/>
    </row>
    <row r="97" spans="2:3">
      <c r="B97" s="1271"/>
      <c r="C97" s="1272"/>
    </row>
    <row r="98" spans="2:3">
      <c r="C98" s="1272"/>
    </row>
    <row r="99" spans="2:3">
      <c r="C99" s="1272"/>
    </row>
    <row r="100" spans="2:3">
      <c r="C100" s="1272"/>
    </row>
  </sheetData>
  <mergeCells count="5">
    <mergeCell ref="L27:N28"/>
    <mergeCell ref="B2:B3"/>
    <mergeCell ref="D2:N3"/>
    <mergeCell ref="M17:N19"/>
    <mergeCell ref="M20:N21"/>
  </mergeCells>
  <hyperlinks>
    <hyperlink ref="B2:B3" location="Home!A1" display="HOME" xr:uid="{696F25AA-1915-4954-9914-A806632DCBF4}"/>
    <hyperlink ref="B26" location="Disclaimer!A1" display="Disclaimer" xr:uid="{F0D9951F-3797-44BC-AC17-AC19AAB9749B}"/>
    <hyperlink ref="B25" location="Help!A1" display="Help" xr:uid="{D1DA0BC1-F54F-45C5-A8B4-53E14E6C37E5}"/>
    <hyperlink ref="B23" location="'Source - Links'!A1" display="SOURCE / LINKS" xr:uid="{4D633CB3-A58D-4207-9C70-E9EFE5947E6F}"/>
    <hyperlink ref="B13" location="'Guidelines - Bottom Lines'!A1" display="• Calculation of bottom lines" xr:uid="{91C5B2E9-000B-49E8-B961-8B0D923A1BEE}"/>
    <hyperlink ref="B14" location="'Guidelines - ISGOTT-6 '!A1" display="• ISGOTT Sixth Edition" xr:uid="{91EE9ACA-FDEE-49B5-8B18-F93569C839EB}"/>
    <hyperlink ref="B16" location="'Guidelines - Wedge Forla (1)'!A1" display="• Wedge formula - API MPMS" xr:uid="{D6EC7D23-28FE-4976-8CA5-66BF7C243DE2}"/>
    <hyperlink ref="B17" location="'Guidelines - Wedge Forla (2)'!A1" display="• Wedge formula - Saybolt" xr:uid="{48617544-97AB-4CDA-92B8-288598277937}"/>
    <hyperlink ref="B18" location="'Guidelines - Wedge Formulas'!A1" display="• Wedge formulas" xr:uid="{7F3AF031-C4DA-4285-8BCD-09F9994CBBEB}"/>
    <hyperlink ref="B19" location="'Guidelines - Commingling Calc'!A1" display="• Commingling Calculation" xr:uid="{4A50686A-5763-4E44-B550-2576C0393231}"/>
    <hyperlink ref="B20" location="'Guidelines - SOLAS'!A1" display="• SOLAS" xr:uid="{A43FF7D8-0CC7-4EBA-9DB6-73B7391DE999}"/>
    <hyperlink ref="B21" location="'Guidelines - SOLAS compliance'!A1" display="• SOLAS compliance" xr:uid="{82591641-06AC-4D11-8F72-74B961E04439}"/>
    <hyperlink ref="B15" location="'Guidelines - Wedge Forla (0)'!A1" display="• Wedge formula - ISO-8697-1999 " xr:uid="{290B2D9C-C01C-4552-BEE4-90B8200B52DF}"/>
    <hyperlink ref="B5" location="'Documents Manager'!A1" display="DOCUMENTS MANAGER" xr:uid="{2D8875E9-D8D1-4E2E-A4D0-15C63E619AEF}"/>
    <hyperlink ref="B6" location="'ASTM Table Series'!A1" display="ASTM TABLES" xr:uid="{ADC2CFAA-CDDC-402F-A891-FFFC08622625}"/>
    <hyperlink ref="B7" location="'ASTM Converter (Tab.1)'!A1" display="ASTM - CONVERTERS" xr:uid="{EE4AC689-1D6D-4127-BA9A-3AF460DC1CEC}"/>
    <hyperlink ref="B8" location="'ASTM Calculator V.W.'!A1" display="ASTM - CALCULATORS" xr:uid="{AC472E11-A990-4F5A-B747-D633F081ADCF}"/>
    <hyperlink ref="B9" location="'Initial&amp;Max. Loading Rate'!A1" display="CARGO - CALCULATORS" xr:uid="{1020D62B-D9B7-41F0-998F-EAA0238E8AFD}"/>
    <hyperlink ref="B22" location="'Guidelines - IG Pressure'!A1" display="• IG Pressure" xr:uid="{33722C22-0BB1-41B3-9A86-B114C648E93F}"/>
    <hyperlink ref="B12" location="'Guidelines - Bottom Lines'!A1" display="GUIDELINES - CARGO" xr:uid="{5A8F8D83-1891-4E92-AB6C-139B41759968}"/>
    <hyperlink ref="B11" location="'Guidelines - Definitions'!A1" display="GUIDELINES" xr:uid="{1B771D55-EAC9-48F5-B7DF-7FDFF82C2EFC}"/>
  </hyperlinks>
  <printOptions horizontalCentered="1"/>
  <pageMargins left="0.39370078740157483" right="0.39370078740157483" top="0.39370078740157483" bottom="0.39370078740157483" header="0.51181102362204722" footer="0.51181102362204722"/>
  <pageSetup paperSize="9" scale="87" orientation="portrait" horizontalDpi="300"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AF44-5FA7-46F5-A470-9E355826EB9F}">
  <sheetPr>
    <tabColor rgb="FF008080"/>
  </sheetPr>
  <dimension ref="B1:L39"/>
  <sheetViews>
    <sheetView showGridLines="0" showRowColHeaders="0" topLeftCell="B1" workbookViewId="0">
      <selection activeCell="B20" sqref="B20"/>
    </sheetView>
  </sheetViews>
  <sheetFormatPr defaultColWidth="9.1328125" defaultRowHeight="12.75"/>
  <cols>
    <col min="1" max="1" width="0" style="2166" hidden="1" customWidth="1"/>
    <col min="2" max="2" width="36.6640625" style="2169" customWidth="1"/>
    <col min="3" max="3" width="2.6640625" style="2166" customWidth="1"/>
    <col min="4" max="4" width="116.6640625" style="2166" customWidth="1"/>
    <col min="5" max="5" width="64.1328125" style="2166" bestFit="1" customWidth="1"/>
    <col min="6" max="6" width="12.6640625" style="2166" customWidth="1"/>
    <col min="7" max="7" width="3.86328125" style="2166" customWidth="1"/>
    <col min="8" max="8" width="3.6640625" style="2166" customWidth="1"/>
    <col min="9" max="9" width="5.6640625" style="2166" customWidth="1"/>
    <col min="10" max="10" width="66" style="2166" bestFit="1" customWidth="1"/>
    <col min="11" max="11" width="12.6640625" style="2166" customWidth="1"/>
    <col min="12" max="12" width="3.6640625" style="2166" customWidth="1"/>
    <col min="13" max="16384" width="9.1328125" style="2166"/>
  </cols>
  <sheetData>
    <row r="1" spans="2:12" ht="12.75" customHeight="1">
      <c r="B1" s="2123"/>
    </row>
    <row r="2" spans="2:12" ht="21" customHeight="1">
      <c r="B2" s="3403" t="s">
        <v>0</v>
      </c>
      <c r="D2" s="3493" t="s">
        <v>1154</v>
      </c>
      <c r="E2" s="2215"/>
      <c r="F2" s="2216"/>
      <c r="G2" s="2216"/>
      <c r="H2" s="2216"/>
      <c r="I2" s="2216"/>
      <c r="J2" s="2216"/>
      <c r="K2" s="2216"/>
    </row>
    <row r="3" spans="2:12" ht="21" customHeight="1">
      <c r="B3" s="3403"/>
      <c r="D3" s="3493"/>
      <c r="E3" s="2168"/>
      <c r="F3" s="2168"/>
      <c r="G3" s="2168"/>
    </row>
    <row r="4" spans="2:12" ht="21" customHeight="1">
      <c r="D4" s="2217"/>
      <c r="E4" s="2178"/>
      <c r="F4" s="2170"/>
      <c r="G4" s="2170"/>
      <c r="H4" s="2170"/>
      <c r="I4" s="2170"/>
      <c r="J4" s="2170"/>
      <c r="K4" s="2170"/>
    </row>
    <row r="5" spans="2:12" ht="21" customHeight="1">
      <c r="B5" s="62" t="s">
        <v>1</v>
      </c>
      <c r="D5" s="2218"/>
      <c r="E5" s="2219"/>
      <c r="F5" s="2219"/>
      <c r="G5" s="2219"/>
      <c r="I5" s="2218"/>
      <c r="J5" s="2219"/>
      <c r="K5" s="2219"/>
      <c r="L5" s="2219"/>
    </row>
    <row r="6" spans="2:12" ht="21" customHeight="1">
      <c r="B6" s="397" t="s">
        <v>452</v>
      </c>
      <c r="D6" s="2220"/>
      <c r="E6" s="2220"/>
      <c r="F6" s="2220"/>
      <c r="G6" s="2220"/>
      <c r="I6" s="2220"/>
      <c r="J6" s="2220"/>
      <c r="K6" s="2220"/>
      <c r="L6" s="2220"/>
    </row>
    <row r="7" spans="2:12" ht="21" customHeight="1">
      <c r="B7" s="62" t="s">
        <v>239</v>
      </c>
      <c r="D7" s="2221"/>
      <c r="E7" s="2178"/>
      <c r="F7" s="2222"/>
      <c r="G7" s="2222"/>
      <c r="I7" s="2221"/>
      <c r="J7" s="2178"/>
      <c r="K7" s="2221"/>
    </row>
    <row r="8" spans="2:12" ht="21" customHeight="1">
      <c r="B8" s="62" t="s">
        <v>1263</v>
      </c>
      <c r="D8" s="2221"/>
      <c r="E8" s="2178"/>
      <c r="F8" s="2223"/>
      <c r="G8" s="2223"/>
      <c r="I8" s="2221"/>
      <c r="J8" s="2178"/>
      <c r="K8" s="2222"/>
    </row>
    <row r="9" spans="2:12" ht="21" customHeight="1">
      <c r="B9" s="62" t="s">
        <v>557</v>
      </c>
      <c r="D9" s="2221"/>
      <c r="E9" s="2178"/>
      <c r="F9" s="2222"/>
      <c r="G9" s="2222"/>
      <c r="I9" s="2221"/>
      <c r="J9" s="2178"/>
      <c r="K9" s="2222"/>
    </row>
    <row r="10" spans="2:12" ht="21" customHeight="1">
      <c r="B10" s="62" t="s">
        <v>238</v>
      </c>
      <c r="D10" s="2221"/>
      <c r="E10" s="2178"/>
      <c r="F10" s="2222"/>
      <c r="G10" s="2222"/>
      <c r="I10" s="2221"/>
      <c r="J10" s="2178"/>
      <c r="K10" s="2222"/>
    </row>
    <row r="11" spans="2:12" ht="21" customHeight="1">
      <c r="B11" s="62" t="s">
        <v>1652</v>
      </c>
      <c r="D11" s="2221"/>
      <c r="E11" s="2178"/>
      <c r="F11" s="2222"/>
      <c r="G11" s="2222"/>
      <c r="I11" s="2221"/>
      <c r="J11" s="2178"/>
      <c r="K11" s="2222"/>
    </row>
    <row r="12" spans="2:12" ht="21" customHeight="1">
      <c r="B12" s="146" t="s">
        <v>1653</v>
      </c>
      <c r="D12" s="2221"/>
      <c r="E12" s="2178"/>
      <c r="F12" s="2222"/>
      <c r="G12" s="2222"/>
      <c r="I12" s="2221"/>
      <c r="J12" s="2178"/>
      <c r="K12" s="2221"/>
    </row>
    <row r="13" spans="2:12" ht="21" customHeight="1">
      <c r="B13" s="145" t="s">
        <v>555</v>
      </c>
      <c r="D13" s="2221"/>
      <c r="E13" s="2178"/>
      <c r="F13" s="2223"/>
      <c r="G13" s="2223"/>
      <c r="I13" s="2221"/>
      <c r="J13" s="2178"/>
      <c r="K13" s="2224"/>
    </row>
    <row r="14" spans="2:12" ht="21" customHeight="1">
      <c r="B14" s="145" t="s">
        <v>685</v>
      </c>
      <c r="D14" s="2221"/>
      <c r="E14" s="2178"/>
      <c r="F14" s="2222"/>
      <c r="G14" s="2222"/>
      <c r="I14" s="2221"/>
      <c r="J14" s="2178"/>
      <c r="K14" s="2224"/>
    </row>
    <row r="15" spans="2:12" ht="21" customHeight="1">
      <c r="B15" s="145" t="s">
        <v>1164</v>
      </c>
      <c r="D15" s="2221"/>
      <c r="E15" s="2178"/>
      <c r="F15" s="2222"/>
      <c r="G15" s="2222"/>
      <c r="I15" s="2195"/>
    </row>
    <row r="16" spans="2:12" ht="21" customHeight="1">
      <c r="B16" s="145" t="s">
        <v>701</v>
      </c>
      <c r="D16" s="2221"/>
      <c r="E16" s="2178"/>
      <c r="F16" s="2225"/>
      <c r="G16" s="2225"/>
    </row>
    <row r="17" spans="2:7" ht="21" customHeight="1">
      <c r="B17" s="145" t="s">
        <v>700</v>
      </c>
      <c r="D17" s="2226"/>
    </row>
    <row r="18" spans="2:7" ht="21" customHeight="1">
      <c r="B18" s="145" t="s">
        <v>748</v>
      </c>
      <c r="D18" s="2220"/>
      <c r="E18" s="2220"/>
      <c r="F18" s="2220"/>
      <c r="G18" s="2220"/>
    </row>
    <row r="19" spans="2:7" ht="21" customHeight="1">
      <c r="B19" s="147" t="s">
        <v>1157</v>
      </c>
      <c r="D19" s="2221"/>
      <c r="E19" s="2178"/>
      <c r="F19" s="2222"/>
      <c r="G19" s="2222"/>
    </row>
    <row r="20" spans="2:7" ht="21" customHeight="1">
      <c r="B20" s="145" t="s">
        <v>1155</v>
      </c>
      <c r="D20" s="2221"/>
      <c r="E20" s="2178"/>
      <c r="F20" s="2221"/>
      <c r="G20" s="2221"/>
    </row>
    <row r="21" spans="2:7" ht="21" customHeight="1">
      <c r="B21" s="145" t="s">
        <v>1158</v>
      </c>
      <c r="D21" s="2221"/>
      <c r="E21" s="2178"/>
      <c r="F21" s="2222"/>
      <c r="G21" s="2222"/>
    </row>
    <row r="22" spans="2:7" ht="21" customHeight="1">
      <c r="B22" s="145" t="s">
        <v>1324</v>
      </c>
      <c r="D22" s="2221"/>
      <c r="E22" s="2178"/>
      <c r="F22" s="2222"/>
      <c r="G22" s="2222"/>
    </row>
    <row r="23" spans="2:7" ht="21" customHeight="1">
      <c r="B23" s="62" t="s">
        <v>40</v>
      </c>
      <c r="D23" s="2221"/>
      <c r="E23" s="2178"/>
      <c r="F23" s="2224"/>
      <c r="G23" s="2224"/>
    </row>
    <row r="24" spans="2:7" ht="21" customHeight="1">
      <c r="B24" s="62" t="s">
        <v>238</v>
      </c>
      <c r="D24" s="2195"/>
    </row>
    <row r="25" spans="2:7" ht="21" customHeight="1">
      <c r="B25" s="62" t="s">
        <v>39</v>
      </c>
    </row>
    <row r="26" spans="2:7" ht="21" customHeight="1">
      <c r="B26" s="62" t="s">
        <v>38</v>
      </c>
    </row>
    <row r="27" spans="2:7" ht="21" customHeight="1">
      <c r="B27" s="62"/>
    </row>
    <row r="28" spans="2:7" ht="21" customHeight="1"/>
    <row r="29" spans="2:7" ht="21" customHeight="1"/>
    <row r="30" spans="2:7" ht="21" customHeight="1"/>
    <row r="31" spans="2:7" ht="21" customHeight="1"/>
    <row r="32" spans="2:7" ht="21" customHeight="1"/>
    <row r="33" spans="4:4" ht="21" customHeight="1"/>
    <row r="34" spans="4:4" ht="21" customHeight="1"/>
    <row r="35" spans="4:4" ht="21" customHeight="1"/>
    <row r="36" spans="4:4" ht="21" customHeight="1">
      <c r="D36" s="2195"/>
    </row>
    <row r="37" spans="4:4">
      <c r="D37" s="2195"/>
    </row>
    <row r="38" spans="4:4">
      <c r="D38" s="2195"/>
    </row>
    <row r="39" spans="4:4">
      <c r="D39" s="2195"/>
    </row>
  </sheetData>
  <mergeCells count="2">
    <mergeCell ref="B2:B3"/>
    <mergeCell ref="D2:D3"/>
  </mergeCells>
  <hyperlinks>
    <hyperlink ref="B2:B3" location="Home!A1" display="HOME" xr:uid="{D6D06DF2-1C0F-4C4E-A421-9589FD1454A1}"/>
    <hyperlink ref="B26" location="Disclaimer!A1" display="Disclaimer" xr:uid="{F50D3EE6-01BC-429D-B752-7687DF0D8D7D}"/>
    <hyperlink ref="B25" location="Help!A1" display="Help" xr:uid="{1A007C78-8EFA-464C-9506-1F35A1BFD8FC}"/>
    <hyperlink ref="B23" location="'Source - Links'!A1" display="SOURCE / LINKS" xr:uid="{806BAD71-226A-4C94-ACE3-8254F65922F5}"/>
    <hyperlink ref="B13" location="'Guidelines - Bottom Lines'!A1" display="• Calculation of bottom lines" xr:uid="{0CF81AD6-546A-4EB6-AFA3-DCE9285E7147}"/>
    <hyperlink ref="B14" location="'Guidelines - ISGOTT-6 '!A1" display="• ISGOTT Sixth Edition" xr:uid="{BF2E2E3B-1E15-4F89-B67F-E11AF31FA0B9}"/>
    <hyperlink ref="B16" location="'Guidelines - Wedge Forla (1)'!A1" display="• Wedge formula - API MPMS" xr:uid="{DDA328ED-F224-4DD0-BAD5-703B08EB0BC2}"/>
    <hyperlink ref="B17" location="'Guidelines - Wedge Forla (2)'!A1" display="• Wedge formula - Saybolt" xr:uid="{57A119CC-2E26-4C66-B44B-47A12A5C037F}"/>
    <hyperlink ref="B18" location="'Guidelines - Wedge Formulas'!A1" display="• Wedge formulas" xr:uid="{FB19857E-D286-4ECB-97F9-B9FE15AD5D4F}"/>
    <hyperlink ref="B19" location="'Guidelines - Commingling Calc'!A1" display="• Commingling Calculation" xr:uid="{0A91B00C-A4D1-4A4A-AB8E-85C408CE3F3B}"/>
    <hyperlink ref="B20" location="'Guidelines - SOLAS'!A1" display="• SOLAS" xr:uid="{EA559A9A-4731-437D-BDDA-3311D0966E9E}"/>
    <hyperlink ref="B21" location="'Guidelines - SOLAS compliance'!A1" display="• SOLAS compliance" xr:uid="{7E842535-736A-4B6C-BB9F-C7D022522A19}"/>
    <hyperlink ref="B15" location="'Guidelines - Wedge Forla (0)'!A1" display="• Wedge formula - ISO-8697-1999 " xr:uid="{D627ABDF-B054-4B91-B1C5-730CB5809E5A}"/>
    <hyperlink ref="B5" location="'Documents Manager'!A1" display="DOCUMENTS MANAGER" xr:uid="{B8D93481-949A-4445-ACDB-9CA605E0D7B8}"/>
    <hyperlink ref="B6" location="'ASTM Table Series'!A1" display="ASTM TABLES" xr:uid="{8C433696-4186-4ACE-8125-A99A457131C6}"/>
    <hyperlink ref="B7" location="'ASTM Converter (Tab.1)'!A1" display="ASTM - CONVERTERS" xr:uid="{AC9466F5-634F-4772-ABA2-EFE73383AC54}"/>
    <hyperlink ref="B8" location="'ASTM Calculator V.W.'!A1" display="ASTM - CALCULATORS" xr:uid="{83D0CBF4-80BE-4514-AC48-35655C587B13}"/>
    <hyperlink ref="B9" location="'Initial&amp;Max. Loading Rate'!A1" display="CARGO - CALCULATORS" xr:uid="{47CA7D61-2BDA-4160-8090-8ECDDBE9060E}"/>
    <hyperlink ref="B22" location="'Guidelines - IG Pressure'!A1" display="• IG Pressure" xr:uid="{6D198AA4-3157-4A95-B919-D7AC1DA90880}"/>
    <hyperlink ref="B12" location="'Guidelines - Bottom Lines'!A1" display="GUIDELINES - CARGO" xr:uid="{D3AE7541-06D2-4BC2-9B1E-7C83C3CE846A}"/>
    <hyperlink ref="B11" location="'Guidelines - Definitions'!A1" display="GUIDELINES" xr:uid="{AD05A19A-2BA7-4F9F-9486-E01021A9AA27}"/>
  </hyperlinks>
  <pageMargins left="0.7" right="0.7" top="0.75" bottom="0.75" header="0.3" footer="0.3"/>
  <pageSetup paperSize="9" orientation="portrait" verticalDpi="0" r:id="rId1"/>
  <drawing r:id="rId2"/>
</worksheet>
</file>

<file path=xl/worksheets/sheet56.xml><?xml version="1.0" encoding="UTF-8" standalone="yes"?>
<worksheet xmlns="http://schemas.openxmlformats.org/spreadsheetml/2006/main" xmlns:r="http://schemas.openxmlformats.org/officeDocument/2006/relationships" xmlns:mc="http://schemas.openxmlformats.org/markup-compatibility/2006" mc:Ignorable="x14ac xr xr2 xr3" xmlns:x14ac="http://schemas.microsoft.com/office/spreadsheetml/2009/9/ac" xmlns:xr="http://schemas.microsoft.com/office/spreadsheetml/2014/revision" xmlns:xr2="http://schemas.microsoft.com/office/spreadsheetml/2015/revision2" xmlns:xr3="http://schemas.microsoft.com/office/spreadsheetml/2016/revision3" xr:uid="{DF518BFA-6B2B-40D6-A28D-C16D2BF8CAA2}"><sheetPr><tabColor rgb="FF008080"/></sheetPr><dimension ref="B1:L39"/><sheetViews><sheetView showGridLines="0" showRowColHeaders="0" topLeftCell="B1" workbookViewId="0"/></sheetViews><sheetFormatPr defaultColWidth="9.1328125" defaultRowHeight="12.75"/><cols><col min="1" max="1" width="0" style="2166" hidden="1" customWidth="1"/><col min="2" max="2" width="36.6640625" style="2169" customWidth="1"/><col min="3" max="3" width="2.6640625" style="2166" customWidth="1"/><col min="4" max="4" width="116.6640625" style="2166" customWidth="1"/><col min="5" max="5" width="64.1328125" style="2166" bestFit="1" customWidth="1"/><col min="6" max="6" width="12.6640625" style="2166" customWidth="1"/><col min="7" max="7" width="3.86328125" style="2166" customWidth="1"/><col min="8" max="8" width="3.6640625" style="2166" customWidth="1"/><col min="9" max="9" width="5.6640625" style="2166" customWidth="1"/><col min="10" max="10" width="66" style="2166" bestFit="1" customWidth="1"/><col min="11" max="11" width="12.6640625" style="2166" customWidth="1"/><col min="12" max="12" width="3.6640625" style="2166" customWidth="1"/><col min="13" max="16384" width="9.1328125" style="2166"/></cols><sheetData><row r="1" spans="2:12" ht="12.75" customHeight="1"><c r="B1" s="2123"/></row><row r="2" spans="2:12" ht="21" customHeight="1"><c r="B2" s="3403" t="s"><v>0</v></c><c r="D2" s="3505"/><c r="E2" s="2215"/><c r="F2" s="2216"/><c r="G2" s="2216"/><c r="H2" s="2216"/><c r="I2" s="2216"/><c r="J2" s="2216"/><c r="K2" s="2216"/></row><row r="3" spans="2:12" ht="21" customHeight="1"><c r="B3" s="3403"/><c r="D3" s="3506"/><c r="E3" s="2168"/><c r="F3" s="2168"/><c r="G3" s="2168"/></row><row r="4" spans="2:12" ht="21" customHeight="1"><c r="D4" s="2217"/><c r="E4" s="2178"/><c r="F4" s="2170"/><c r="G4" s="2170"/><c r="H4" s="2170"/><c r="I4" s="2170"/><c r="J4" s="2170"/><c r="K4" s="2170"/></row><row r="5" spans="2:12" ht="21" customHeight="1"><c r="B5" s="62" t="s"><v>1</v></c><c r="D5" s="2218"/><c r="E5" s="2219"/><c r="F5" s="2219"/><c r="G5" s="2219"/><c r="I5" s="2218"/><c r="J5" s="2219"/><c r="K5" s="2219"/><c r="L5" s="2219"/></row><row r="6" spans="2:12" ht="21" customHeight="1"><c r="B6" s="397" t="s"><v>452</v></c><c r="D6" s="2220"/><c r="E6" s="2220"/><c r="F6" s="2220"/><c r="G6" s="2220"/><c r="I6" s="2220"/><c r="J6" s="2220"/><c r="K6" s="2220"/><c r="L6" s="2220"/></row><row r="7" spans="2:12" ht="21" customHeight="1"><c r="B7" s="62" t="s"><v>239</v></c><c r="D7" s="2221"/><c r="E7" s="2178"/><c r="F7" s="2222"/><c r="G7" s="2222"/><c r="I7" s="2221"/><c r="J7" s="2178"/><c r="K7" s="2221"/></row><row r="8" spans="2:12" ht="21" customHeight="1"><c r="B8" s="62" t="s"><v>1263</v></c><c r="D8" s="2221"/><c r="E8" s="2178"/><c r="F8" s="2223"/><c r="G8" s="2223"/><c r="I8" s="2221"/><c r="J8" s="2178"/><c r="K8" s="2222"/></row><row r="9" spans="2:12" ht="21" customHeight="1"><c r="B9" s="62" t="s"><v>557</v></c><c r="D9" s="2221"/><c r="E9" s="2178"/><c r="F9" s="2222"/><c r="G9" s="2222"/><c r="I9" s="2221"/><c r="J9" s="2178"/><c r="K9" s="2222"/></row><row r="10" spans="2:12" ht="21" customHeight="1"><c r="B10" s="62" t="s"><v>238</v></c><c r="D10" s="2221"/><c r="E10" s="2178"/><c r="F10" s="2222"/><c r="G10" s="2222"/><c r="I10" s="2221"/><c r="J10" s="2178"/><c r="K10" s="2222"/></row><row r="11" spans="2:12" ht="21" customHeight="1"><c r="B11" s="62" t="s"><v>1652</v></c><c r="D11" s="2221"/><c r="E11" s="2178"/><c r="F11" s="2222"/><c r="G11" s="2222"/><c r="I11" s="2221"/><c r="J11" s="2178"/><c r="K11" s="2222"/></row><row r="12" spans="2:12" ht="21" customHeight="1"><c r="B12" s="146" t="s"><v>1653</v></c><c r="D12" s="2221"/><c r="E12" s="2178"/><c r="F12" s="2222"/><c r="G12" s="2222"/><c r="I12" s="2221"/><c r="J12" s="2178"/><c r="K12" s="2221"/></row><row r="13" spans="2:12" ht="21" customHeight="1"><c r="B13" s="145" t="s"><v>555</v></c><c r="D13" s="2221"/><c r="E13" s="2178"/><c r="F13" s="2223"/><c r="G13" s="2223"/><c r="I13" s="2221"/><c r="J13" s="2178"/><c r="K13" s="2224"/></row><row r="14" spans="2:12" ht="21" customHeight="1"><c r="B14" s="145" t="s"><v>685</v></c><c r="D14" s="2221"/><c r="E14" s="2178"/><c r="F14" s="2222"/><c r="G14" s="2222"/><c r="I14" s="2221"/><c r="J14" s="2178"/><c r="K14" s="2224"/></row><row r="15" spans="2:12" ht="21" customHeight="1"><c r="B15" s="145" t="s"><v>1164</v></c><c r="D15" s="2221"/><c r="E15" s="2178"/><c r="F15" s="2222"/><c r="G15" s="2222"/><c r="I15" s="2195"/></row><row r="16" spans="2:12" ht="21" customHeight="1"><c r="B16" s="145" t="s"><v>701</v></c><c r="D16" s="2221"/><c r="E16" s="2178"/><c r="F16" s="2225"/><c r="G16" s="2225"/></row><row r="17" spans="2:7" ht="21" customHeight="1"><c r="B17" s="145" t="s"><v>700</v></c><c r="D17" s="2226"/></row><row r="18" spans="2:7" ht="21" customHeight="1"><c r="B18" s="145" t="s"><v>748</v></c><c r="D18" s="2220"/><c r="E18" s="2220"/><c r="F18" s="2220"/><c r="G18" s="2220"/></row><row r="19" spans="2:7" ht="21" customHeight="1"><c r="B19" s="145" t="s"><v>1157</v></c><c r="D19" s="2221"/><c r="E19" s="2178"/><c r="F19" s="2222"/><c r="G19" s="2222"/></row><row r="20" spans="2:7" ht="21" customHeight="1"><c r="B20" s="147" t="s"><v>1155</v></c><c r="D20" s="2221"/><c r="E20" s="2178"/><c r="F20" s="2221"/><c r="G20" s="2221"/></row><row r="21" spans="2:7" ht="21" customHeight="1"><c r="B21" s="145" t="s"><v>1158</v></c><c r="D21" s="2221"/><c r="E21" s="2178"/><c r="F21" s="2222"/><c r="G21" s="2222"/></row><row r="22" spans="2:7" ht="21" customHeight="1"><c r="B22" s="145" t="s"><v>1324</v></c><c r="D22" s="2221"/><c r="E22" s="2178"/><c r="F22" s="2222"/><c r="G22" s="2222"/></row><row r="23" spans="2:7" ht="21" customHeight="1"><c r="B23" s="62" t="s"><v>40</v></c><c r="D23" s="2221"/><c r="E23" s="2178"/><c r="F23" s="2224"/><c r="G23" s="2224"/></row><row r="24" spans="2:7" ht="21" customHeight="1"><c r="B24" s="62" t="s"><v>238</v></c><c r="D24" s="2195"/></row><row r="25" spans="2:7" ht="21" customHeight="1"><c r="B25" s="62" t="s"><v>39</v></c></row><row r="26" spans="2:7" ht="21" customHeight="1"><c r="B26" s="62" t="s"><v>38</v></c></row><row r="27" spans="2:7" ht="21" customHeight="1"><c r="B27" s="62"/></row><row r="28" spans="2:7" ht="21" customHeight="1"/><row r="29" spans="2:7" ht="21" customHeight="1"/><row r="30" spans="2:7" ht="21" customHeight="1"/><row r="31" spans="2:7" ht="21" customHeight="1"/><row r="32" spans="2:7" ht="21" customHeight="1"/><row r="33" spans="4:4" ht="21" customHeight="1"/><row r="34" spans="4:4" ht="21" customHeight="1"/><row r="35" spans="4:4" ht="21" customHeight="1"/><row r="36" spans="4:4" ht="21" customHeight="1"><c r="D36" s="2195"/></row><row r="37" spans="4:4"><c r="D37" s="2195"/></row><c r="D38" s="2195"/></row><row r="39" spans="4:4"><c r="D39" s="2195"/></row></sheetData><sheetProtection sheet="1" objects="1" scenarios="1"/><mergeCells count="2"><mergeCell ref="B2:B3"/><mergeCell ref="D2:D3"/></mergeCells><hyperlinks><hyperlink ref="B2:B3" location="Home!A1" display="HOME" xr:uid="{BC4E395E-7F30-42B7-A13A-A1A07A3AA760}"/><hyperlink ref="B26" location="Disclaimer!A1" display="Disclaimer" xr:uid="{FE3D46CC-C692-41CC-86E1-8F4BB22DC053}"/><hyperlink ref="B25" location="Help!A1" display="Help" xr:uid="{2D7FF500-BFEF-42A4-85CD-80A748780E2E}"/><hyperlink ref="B23" location="'Source - Links'!A1" display="SOURCE / LINKS" xr:uid="{7DC4DA39-8F1C-487E-8AC5-4F0324ADE999}"/><hyperlink ref="B13" location="'Guidelines - Bottom Lines'!A1" display="• Calculation of bottom lines" xr:uid="{0F8CCF60-FFDC-4BB4-A8E6-66AA24B58E49}"/><hyperlink ref="B14" location="'Guidelines - ISGOTT-6 '!A1" display="• ISGOTT Sixth Edition" xr:uid="{955A8E48-833E-48F0-8719-E99FA8731BBE}"/><hyperlink ref="B16" location="'Guidelines - Wedge Forla (1)'!A1" display="• Wedge formula - API MPMS" xr:uid="{A865C941-80D9-4B94-9B74-E63FCDB8E5A0}"/><hyperlink ref="B17" location="'Guidelines - Wedge Forla (2)'!A1" display="• Wedge formula - Saybolt" xr:uid="{C0517010-E750-4668-A05D-61E4F32E061B}"/><hyperlink ref="B18" location="'Guidelines - Wedge Formulas'!A1" display="• Wedge formulas" xr:uid="{7E69B8B9-B2BB-4ECE-A62D-AF87244512C2}"/><hyperlink ref="B19" location="'Guidelines - Commingling Calc'!A1" display="• Commingling Calculation" xr:uid="{3D3ABDE0-3591-4F88-B4B0-4F356D71CACE}"/><hyperlink ref="B20" location="'Guidelines - SOLAS'!A1" display="• SOLAS" xr:uid="{9AF1029D-F605-496A-8CE7-C9513BF4E80C}"/><hyperlink ref="B21" location="'Guidelines - SOLAS compliance'!A1" display="• SOLAS compliance" xr:uid="{F812E47B-BBD1-4B28-B15A-D7E4760C57D6}"/><hyperlink ref="B15" location="'Guidelines - Wedge Forla (0)'!A1" display="• Wedge formula - ISO-8697-1999 " xr:uid="{287405F3-E613-4CB2-A6CD-46ECB8CCDB97}"/><hyperlink ref="B5" location="'Documents Manager'!A1" display="DOCUMENTS MANAGER" xr:uid="{DCE5294F-2D84-403A-90A4-48086C35BB89}"/><hyperlink ref="B6" location="'ASTM Table Series'!A1" display="ASTM TABLES" xr:uid="{6E6BD00E-DBCD-4F61-A2D9-FD5BA8088485}"/><hyperlink ref="B7" location="'ASTM Converter (Tab.1)'!A1" display="ASTM - CONVERTERS" xr:uid="{8C5B2BA0-D455-49E1-B260-E3D75A92B976}"/><hyperlink ref="B8" location="'ASTM Calculator V.W.'!A1" display="ASTM - CALCULATORS" xr:uid="{92A06D00-21CB-4C6A-A7D5-2574653F0FF9}"/><hyperlink ref="B9" location="'Initial&amp;Max. Loading Rate'!A1" display="CARGO - CALCULATORS" xr:uid="{ABA82E38-E528-4F4B-ABC6-FCDA50A53A1A}"/><hyperlink ref="B22" location="'Guidelines - IG Pressure'!A1" display="• IG Pressure" xr:uid="{BD4AE888-85FE-41FB-AFD6-A10A7C08D0EF}"/><hyperlink ref="B12" location="'Guidelines - Bottom Lines'!A1" display="GUIDELINES - CARGO" xr:uid="{909C90BC-F0AC-41B6-BB4C-C514FD076CCC}"/><hyperlink ref="B11" location="'Guidelines - Definitions'!A1" display="GUIDELINES" xr:uid="{9D072777-AAF8-4222-9D6B-F095694AA023}"/></hyperlinks><pageMargins left="0.7" right="0.7" top="0.75" bottom="0.75" header="0.3" footer="0.3"/><pageSetup paperSize="9" orientation="portrait" verticalDpi="0" r:id="rId1"/><drawing r:id="rId2"/></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E99-FB10-418A-A3C6-222DBABE54AD}">
  <sheetPr>
    <tabColor rgb="FF008080"/>
  </sheetPr>
  <dimension ref="B1:L39"/>
  <sheetViews>
    <sheetView showGridLines="0" showRowColHeaders="0" topLeftCell="B1" workbookViewId="0">
      <selection activeCell="B2" sqref="B2:B3"/>
    </sheetView>
  </sheetViews>
  <sheetFormatPr defaultColWidth="9.1328125" defaultRowHeight="12.75"/>
  <cols>
    <col min="1" max="1" width="0" style="2166" hidden="1" customWidth="1"/>
    <col min="2" max="2" width="36.6640625" style="2169" customWidth="1"/>
    <col min="3" max="3" width="2.6640625" style="2166" customWidth="1"/>
    <col min="4" max="4" width="116.6640625" style="2166" customWidth="1"/>
    <col min="5" max="5" width="64.1328125" style="2166" bestFit="1" customWidth="1"/>
    <col min="6" max="6" width="12.6640625" style="2166" customWidth="1"/>
    <col min="7" max="7" width="3.86328125" style="2166" customWidth="1"/>
    <col min="8" max="8" width="3.6640625" style="2166" customWidth="1"/>
    <col min="9" max="9" width="5.6640625" style="2166" customWidth="1"/>
    <col min="10" max="10" width="66" style="2166" bestFit="1" customWidth="1"/>
    <col min="11" max="11" width="12.6640625" style="2166" customWidth="1"/>
    <col min="12" max="12" width="3.6640625" style="2166" customWidth="1"/>
    <col min="13" max="16384" width="9.1328125" style="2166"/>
  </cols>
  <sheetData>
    <row r="1" spans="2:12" ht="12.75" customHeight="1">
      <c r="B1" s="2123"/>
    </row>
    <row r="2" spans="2:12" ht="21" customHeight="1">
      <c r="B2" s="3403" t="s">
        <v>0</v>
      </c>
      <c r="D2" s="3505"/>
      <c r="E2" s="2215"/>
      <c r="F2" s="2216"/>
      <c r="G2" s="2216"/>
      <c r="H2" s="2216"/>
      <c r="I2" s="2216"/>
      <c r="J2" s="2216"/>
      <c r="K2" s="2216"/>
    </row>
    <row r="3" spans="2:12" ht="21" customHeight="1">
      <c r="B3" s="3403"/>
      <c r="D3" s="3506"/>
      <c r="E3" s="2168"/>
      <c r="F3" s="2168"/>
      <c r="G3" s="2168"/>
    </row>
    <row r="4" spans="2:12" ht="21" customHeight="1">
      <c r="D4" s="2217" t="s">
        <v>1156</v>
      </c>
      <c r="E4" s="2178"/>
      <c r="F4" s="2170"/>
      <c r="G4" s="2170"/>
      <c r="H4" s="2170"/>
      <c r="I4" s="2170"/>
      <c r="J4" s="2170"/>
      <c r="K4" s="2170"/>
    </row>
    <row r="5" spans="2:12" ht="21" customHeight="1">
      <c r="B5" s="62" t="s">
        <v>1</v>
      </c>
      <c r="D5" s="2218"/>
      <c r="E5" s="2219"/>
      <c r="F5" s="2219"/>
      <c r="G5" s="2219"/>
      <c r="I5" s="2218"/>
      <c r="J5" s="2219"/>
      <c r="K5" s="2219"/>
      <c r="L5" s="2219"/>
    </row>
    <row r="6" spans="2:12" ht="21" customHeight="1">
      <c r="B6" s="397" t="s">
        <v>452</v>
      </c>
      <c r="D6" s="2220"/>
      <c r="E6" s="2220"/>
      <c r="F6" s="2220"/>
      <c r="G6" s="2220"/>
      <c r="I6" s="2220"/>
      <c r="J6" s="2220"/>
      <c r="K6" s="2220"/>
      <c r="L6" s="2220"/>
    </row>
    <row r="7" spans="2:12" ht="21" customHeight="1">
      <c r="B7" s="62" t="s">
        <v>239</v>
      </c>
      <c r="D7" s="2221"/>
      <c r="E7" s="2178"/>
      <c r="F7" s="2222"/>
      <c r="G7" s="2222"/>
      <c r="I7" s="2221"/>
      <c r="J7" s="2178"/>
      <c r="K7" s="2221"/>
    </row>
    <row r="8" spans="2:12" ht="21" customHeight="1">
      <c r="B8" s="62" t="s">
        <v>1263</v>
      </c>
      <c r="D8" s="2221"/>
      <c r="E8" s="2178"/>
      <c r="F8" s="2223"/>
      <c r="G8" s="2223"/>
      <c r="I8" s="2221"/>
      <c r="J8" s="2178"/>
      <c r="K8" s="2222"/>
    </row>
    <row r="9" spans="2:12" ht="21" customHeight="1">
      <c r="B9" s="62" t="s">
        <v>557</v>
      </c>
      <c r="D9" s="2221"/>
      <c r="E9" s="2178"/>
      <c r="F9" s="2222"/>
      <c r="G9" s="2222"/>
      <c r="I9" s="2221"/>
      <c r="J9" s="2178"/>
      <c r="K9" s="2222"/>
    </row>
    <row r="10" spans="2:12" ht="21" customHeight="1">
      <c r="B10" s="62" t="s">
        <v>238</v>
      </c>
      <c r="D10" s="2221"/>
      <c r="E10" s="2178"/>
      <c r="F10" s="2222"/>
      <c r="G10" s="2222"/>
      <c r="I10" s="2221"/>
      <c r="J10" s="2178"/>
      <c r="K10" s="2222"/>
    </row>
    <row r="11" spans="2:12" ht="21" customHeight="1">
      <c r="B11" s="62" t="s">
        <v>1652</v>
      </c>
      <c r="D11" s="2221"/>
      <c r="E11" s="2178"/>
      <c r="F11" s="2222"/>
      <c r="G11" s="2222"/>
      <c r="I11" s="2221"/>
      <c r="J11" s="2178"/>
      <c r="K11" s="2222"/>
    </row>
    <row r="12" spans="2:12" ht="21" customHeight="1">
      <c r="B12" s="146" t="s">
        <v>1653</v>
      </c>
      <c r="D12" s="2221"/>
      <c r="E12" s="2178"/>
      <c r="F12" s="2222"/>
      <c r="G12" s="2222"/>
      <c r="I12" s="2221"/>
      <c r="J12" s="2178"/>
      <c r="K12" s="2221"/>
    </row>
    <row r="13" spans="2:12" ht="21" customHeight="1">
      <c r="B13" s="145" t="s">
        <v>555</v>
      </c>
      <c r="D13" s="2221"/>
      <c r="E13" s="2178"/>
      <c r="F13" s="2223"/>
      <c r="G13" s="2223"/>
      <c r="I13" s="2221"/>
      <c r="J13" s="2178"/>
      <c r="K13" s="2224"/>
    </row>
    <row r="14" spans="2:12" ht="21" customHeight="1">
      <c r="B14" s="145" t="s">
        <v>685</v>
      </c>
      <c r="D14" s="2221"/>
      <c r="E14" s="2178"/>
      <c r="F14" s="2222"/>
      <c r="G14" s="2222"/>
      <c r="I14" s="2221"/>
      <c r="J14" s="2178"/>
      <c r="K14" s="2224"/>
    </row>
    <row r="15" spans="2:12" ht="21" customHeight="1">
      <c r="B15" s="145" t="s">
        <v>1164</v>
      </c>
      <c r="D15" s="2221"/>
      <c r="E15" s="2178"/>
      <c r="F15" s="2222"/>
      <c r="G15" s="2222"/>
      <c r="I15" s="2195"/>
    </row>
    <row r="16" spans="2:12" ht="21" customHeight="1">
      <c r="B16" s="145" t="s">
        <v>701</v>
      </c>
      <c r="D16" s="2221"/>
      <c r="E16" s="2178"/>
      <c r="F16" s="2225"/>
      <c r="G16" s="2225"/>
    </row>
    <row r="17" spans="2:7" ht="21" customHeight="1">
      <c r="B17" s="145" t="s">
        <v>700</v>
      </c>
      <c r="D17" s="2226"/>
    </row>
    <row r="18" spans="2:7" ht="21" customHeight="1">
      <c r="B18" s="145" t="s">
        <v>748</v>
      </c>
      <c r="D18" s="2220"/>
      <c r="E18" s="2220"/>
      <c r="F18" s="2220"/>
      <c r="G18" s="2220"/>
    </row>
    <row r="19" spans="2:7" ht="21" customHeight="1">
      <c r="B19" s="145" t="s">
        <v>1157</v>
      </c>
      <c r="D19" s="2221"/>
      <c r="E19" s="2178"/>
      <c r="F19" s="2222"/>
      <c r="G19" s="2222"/>
    </row>
    <row r="20" spans="2:7" ht="21" customHeight="1">
      <c r="B20" s="145" t="s">
        <v>1155</v>
      </c>
      <c r="D20" s="2221"/>
      <c r="E20" s="2178"/>
      <c r="F20" s="2221"/>
      <c r="G20" s="2221"/>
    </row>
    <row r="21" spans="2:7" ht="21" customHeight="1">
      <c r="B21" s="147" t="s">
        <v>1158</v>
      </c>
      <c r="D21" s="2221"/>
      <c r="E21" s="2178"/>
      <c r="F21" s="2222"/>
      <c r="G21" s="2222"/>
    </row>
    <row r="22" spans="2:7" ht="21" customHeight="1">
      <c r="B22" s="145" t="s">
        <v>1324</v>
      </c>
      <c r="D22" s="2221"/>
      <c r="E22" s="2178"/>
      <c r="F22" s="2222"/>
      <c r="G22" s="2222"/>
    </row>
    <row r="23" spans="2:7" ht="21" customHeight="1">
      <c r="B23" s="62" t="s">
        <v>40</v>
      </c>
      <c r="D23" s="2221"/>
      <c r="E23" s="2178"/>
      <c r="F23" s="2224"/>
      <c r="G23" s="2224"/>
    </row>
    <row r="24" spans="2:7" ht="21" customHeight="1">
      <c r="B24" s="62" t="s">
        <v>238</v>
      </c>
      <c r="D24" s="2195"/>
    </row>
    <row r="25" spans="2:7" ht="21" customHeight="1">
      <c r="B25" s="62" t="s">
        <v>39</v>
      </c>
    </row>
    <row r="26" spans="2:7" ht="21" customHeight="1">
      <c r="B26" s="62" t="s">
        <v>38</v>
      </c>
    </row>
    <row r="27" spans="2:7" ht="21" customHeight="1">
      <c r="B27" s="62"/>
    </row>
    <row r="28" spans="2:7" ht="21" customHeight="1"/>
    <row r="29" spans="2:7" ht="21" customHeight="1"/>
    <row r="30" spans="2:7" ht="21" customHeight="1"/>
    <row r="31" spans="2:7" ht="21" customHeight="1"/>
    <row r="32" spans="2:7" ht="21" customHeight="1"/>
    <row r="33" spans="4:4" ht="21" customHeight="1"/>
    <row r="34" spans="4:4" ht="21" customHeight="1"/>
    <row r="35" spans="4:4" ht="21" customHeight="1"/>
    <row r="36" spans="4:4" ht="21" customHeight="1">
      <c r="D36" s="2195"/>
    </row>
    <row r="37" spans="4:4">
      <c r="D37" s="2195"/>
    </row>
    <row r="38" spans="4:4">
      <c r="D38" s="2195"/>
    </row>
    <row r="39" spans="4:4">
      <c r="D39" s="2195"/>
    </row>
  </sheetData>
  <mergeCells count="2">
    <mergeCell ref="B2:B3"/>
    <mergeCell ref="D2:D3"/>
  </mergeCells>
  <hyperlinks>
    <hyperlink ref="B2:B3" location="Home!A1" display="HOME" xr:uid="{DA0481C2-7079-435D-AD29-3E15FCC08257}"/>
    <hyperlink ref="D4" r:id="rId1" xr:uid="{DD82DB86-4758-4EF8-A6C6-B00BF9CDF514}"/>
    <hyperlink ref="B26" location="Disclaimer!A1" display="Disclaimer" xr:uid="{25352A1B-A9C0-4BB9-B66B-AA2CABE96213}"/>
    <hyperlink ref="B25" location="Help!A1" display="Help" xr:uid="{50903D68-97E7-44FD-B509-FA8EEA225A5C}"/>
    <hyperlink ref="B23" location="'Source - Links'!A1" display="SOURCE / LINKS" xr:uid="{108A99EB-94DC-4987-ACBF-9458EE6B3B62}"/>
    <hyperlink ref="B13" location="'Guidelines - Bottom Lines'!A1" display="• Calculation of bottom lines" xr:uid="{8D58F48C-5B52-4573-9FAF-9F8329A899C1}"/>
    <hyperlink ref="B14" location="'Guidelines - ISGOTT-6 '!A1" display="• ISGOTT Sixth Edition" xr:uid="{8C6FB5E7-FE93-4A93-A28C-648CBBDD0DF2}"/>
    <hyperlink ref="B16" location="'Guidelines - Wedge Forla (1)'!A1" display="• Wedge formula - API MPMS" xr:uid="{1BC62F0B-F635-41EA-B389-BABAE27AE730}"/>
    <hyperlink ref="B17" location="'Guidelines - Wedge Forla (2)'!A1" display="• Wedge formula - Saybolt" xr:uid="{ED5B9D74-FDE5-4DBB-A017-A4EE11732C13}"/>
    <hyperlink ref="B18" location="'Guidelines - Wedge Formulas'!A1" display="• Wedge formulas" xr:uid="{420314EC-17FB-4978-9A5F-B3D01360BAC8}"/>
    <hyperlink ref="B19" location="'Guidelines - Commingling Calc'!A1" display="• Commingling Calculation" xr:uid="{9AD80057-2291-4C8D-8946-F1DD438CDDE3}"/>
    <hyperlink ref="B20" location="'Guidelines - SOLAS'!A1" display="• SOLAS" xr:uid="{2BB58CDB-2E27-4046-9304-42A25512DE2E}"/>
    <hyperlink ref="B21" location="'Guidelines - SOLAS compliance'!A1" display="• SOLAS compliance" xr:uid="{319A105A-66DB-4E48-AEC7-36B6189BB375}"/>
    <hyperlink ref="B15" location="'Guidelines - Wedge Forla (0)'!A1" display="• Wedge formula - ISO-8697-1999 " xr:uid="{E4AC83E7-527B-4267-AA80-F7E356B65710}"/>
    <hyperlink ref="B22" location="'Guidelines - IG Pressure'!A1" display="• IG Pressure" xr:uid="{9E2C819A-D069-464A-BC70-F6B207509279}"/>
    <hyperlink ref="B5" location="'Documents Manager'!A1" display="DOCUMENTS MANAGER" xr:uid="{6C0EB6B4-A991-4988-AC79-176536BD20E4}"/>
    <hyperlink ref="B6" location="'ASTM Table Series'!A1" display="ASTM TABLES" xr:uid="{BF9EC355-F636-4DBE-9392-59F30D6D3350}"/>
    <hyperlink ref="B7" location="'ASTM Converter (Tab.1)'!A1" display="ASTM - CONVERTERS" xr:uid="{FEDD4EA0-E390-479A-B4F2-19148ED87734}"/>
    <hyperlink ref="B8" location="'ASTM Calculator V.W.'!A1" display="ASTM - CALCULATORS" xr:uid="{89EC5EF8-6E5D-459E-8F86-F64E463DF248}"/>
    <hyperlink ref="B9" location="'Initial&amp;Max. Loading Rate'!A1" display="CARGO - CALCULATORS" xr:uid="{99C19E63-348E-4312-B1BC-3BB98455DC92}"/>
    <hyperlink ref="B12" location="'Guidelines - Bottom Lines'!A1" display="GUIDELINES - CARGO" xr:uid="{DCECB131-DEE8-4EE6-A74B-41348739F5C3}"/>
    <hyperlink ref="B11" location="'Guidelines - Definitions'!A1" display="GUIDELINES" xr:uid="{A4A5F005-CD30-4209-8DC5-65B4B7E9F870}"/>
  </hyperlinks>
  <pageMargins left="0.7" right="0.7" top="0.75" bottom="0.75" header="0.3" footer="0.3"/>
  <pageSetup paperSize="9" orientation="portrait" verticalDpi="0" r:id="rId2"/>
  <drawing r:id="rId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01C14-BBCE-484B-8D33-DA6B2DC72993}">
  <sheetPr>
    <tabColor rgb="FF008080"/>
  </sheetPr>
  <dimension ref="B1:L39"/>
  <sheetViews>
    <sheetView showGridLines="0" showRowColHeaders="0" topLeftCell="B1" workbookViewId="0">
      <selection activeCell="B11" sqref="B11"/>
    </sheetView>
  </sheetViews>
  <sheetFormatPr defaultColWidth="9.1328125" defaultRowHeight="12.75"/>
  <cols>
    <col min="1" max="1" width="0" style="2166" hidden="1" customWidth="1"/>
    <col min="2" max="2" width="36.6640625" style="2169" customWidth="1"/>
    <col min="3" max="3" width="2.6640625" style="2166" customWidth="1"/>
    <col min="4" max="4" width="116.6640625" style="2166" customWidth="1"/>
    <col min="5" max="5" width="64.1328125" style="2166" bestFit="1" customWidth="1"/>
    <col min="6" max="6" width="12.6640625" style="2166" customWidth="1"/>
    <col min="7" max="7" width="3.86328125" style="2166" customWidth="1"/>
    <col min="8" max="8" width="3.6640625" style="2166" customWidth="1"/>
    <col min="9" max="9" width="5.6640625" style="2166" customWidth="1"/>
    <col min="10" max="10" width="66" style="2166" bestFit="1" customWidth="1"/>
    <col min="11" max="11" width="12.6640625" style="2166" customWidth="1"/>
    <col min="12" max="12" width="3.6640625" style="2166" customWidth="1"/>
    <col min="13" max="16384" width="9.1328125" style="2166"/>
  </cols>
  <sheetData>
    <row r="1" spans="2:12" ht="12.75" customHeight="1">
      <c r="B1" s="2123"/>
    </row>
    <row r="2" spans="2:12" ht="21" customHeight="1">
      <c r="B2" s="3403" t="s">
        <v>0</v>
      </c>
      <c r="D2" s="3505" t="s">
        <v>1240</v>
      </c>
      <c r="E2" s="2215"/>
      <c r="F2" s="2216"/>
      <c r="G2" s="2216"/>
      <c r="H2" s="2216"/>
      <c r="I2" s="2216"/>
      <c r="J2" s="2216"/>
      <c r="K2" s="2216"/>
    </row>
    <row r="3" spans="2:12" ht="21" customHeight="1">
      <c r="B3" s="3403"/>
      <c r="D3" s="3506"/>
      <c r="E3" s="2168"/>
      <c r="F3" s="2168"/>
      <c r="G3" s="2168"/>
    </row>
    <row r="4" spans="2:12" ht="21" customHeight="1">
      <c r="D4" s="2217"/>
      <c r="E4" s="2178"/>
      <c r="F4" s="2170"/>
      <c r="G4" s="2170"/>
      <c r="H4" s="2170"/>
      <c r="I4" s="2170"/>
      <c r="J4" s="2170"/>
      <c r="K4" s="2170"/>
    </row>
    <row r="5" spans="2:12" ht="21" customHeight="1">
      <c r="B5" s="62" t="s">
        <v>1</v>
      </c>
      <c r="D5" s="2218"/>
      <c r="E5" s="2219"/>
      <c r="F5" s="2219"/>
      <c r="G5" s="2219"/>
      <c r="I5" s="2218"/>
      <c r="J5" s="2219"/>
      <c r="K5" s="2219"/>
      <c r="L5" s="2219"/>
    </row>
    <row r="6" spans="2:12" ht="21" customHeight="1">
      <c r="B6" s="397" t="s">
        <v>452</v>
      </c>
      <c r="D6" s="2220"/>
      <c r="E6" s="2220"/>
      <c r="F6" s="2220"/>
      <c r="G6" s="2220"/>
      <c r="I6" s="2220"/>
      <c r="J6" s="2220"/>
      <c r="K6" s="2220"/>
      <c r="L6" s="2220"/>
    </row>
    <row r="7" spans="2:12" ht="21" customHeight="1">
      <c r="B7" s="62" t="s">
        <v>239</v>
      </c>
      <c r="D7" s="2221"/>
      <c r="E7" s="2178"/>
      <c r="F7" s="2222"/>
      <c r="G7" s="2222"/>
      <c r="I7" s="2221"/>
      <c r="J7" s="2178"/>
      <c r="K7" s="2221"/>
    </row>
    <row r="8" spans="2:12" ht="21" customHeight="1">
      <c r="B8" s="62" t="s">
        <v>1263</v>
      </c>
      <c r="D8" s="2221"/>
      <c r="E8" s="2178"/>
      <c r="F8" s="2223"/>
      <c r="G8" s="2223"/>
      <c r="I8" s="2221"/>
      <c r="J8" s="2178"/>
      <c r="K8" s="2222"/>
    </row>
    <row r="9" spans="2:12" ht="21" customHeight="1">
      <c r="B9" s="62" t="s">
        <v>557</v>
      </c>
      <c r="D9" s="2221"/>
      <c r="E9" s="2178"/>
      <c r="F9" s="2222"/>
      <c r="G9" s="2222"/>
      <c r="I9" s="2221"/>
      <c r="J9" s="2178"/>
      <c r="K9" s="2222"/>
    </row>
    <row r="10" spans="2:12" ht="21" customHeight="1">
      <c r="B10" s="62" t="s">
        <v>238</v>
      </c>
      <c r="D10" s="2221"/>
      <c r="E10" s="2178"/>
      <c r="F10" s="2222"/>
      <c r="G10" s="2222"/>
      <c r="I10" s="2221"/>
      <c r="J10" s="2178"/>
      <c r="K10" s="2222"/>
    </row>
    <row r="11" spans="2:12" ht="21" customHeight="1">
      <c r="B11" s="62" t="s">
        <v>1652</v>
      </c>
      <c r="D11" s="2221"/>
      <c r="E11" s="2178"/>
      <c r="F11" s="2222"/>
      <c r="G11" s="2222"/>
      <c r="I11" s="2221"/>
      <c r="J11" s="2178"/>
      <c r="K11" s="2222"/>
    </row>
    <row r="12" spans="2:12" ht="21" customHeight="1">
      <c r="B12" s="146" t="s">
        <v>1653</v>
      </c>
      <c r="D12" s="2221"/>
      <c r="E12" s="2178"/>
      <c r="F12" s="2222"/>
      <c r="G12" s="2222"/>
      <c r="I12" s="2221"/>
      <c r="J12" s="2178"/>
      <c r="K12" s="2221"/>
    </row>
    <row r="13" spans="2:12" ht="21" customHeight="1">
      <c r="B13" s="145" t="s">
        <v>555</v>
      </c>
      <c r="D13" s="2221"/>
      <c r="E13" s="2178"/>
      <c r="F13" s="2223"/>
      <c r="G13" s="2223"/>
      <c r="I13" s="2221"/>
      <c r="J13" s="2178"/>
      <c r="K13" s="2224"/>
    </row>
    <row r="14" spans="2:12" ht="21" customHeight="1">
      <c r="B14" s="145" t="s">
        <v>685</v>
      </c>
      <c r="D14" s="2221"/>
      <c r="E14" s="2178"/>
      <c r="F14" s="2222"/>
      <c r="G14" s="2222"/>
      <c r="I14" s="2221"/>
      <c r="J14" s="2178"/>
      <c r="K14" s="2224"/>
    </row>
    <row r="15" spans="2:12" ht="21" customHeight="1">
      <c r="B15" s="145" t="s">
        <v>1164</v>
      </c>
      <c r="D15" s="2221"/>
      <c r="E15" s="2178"/>
      <c r="F15" s="2222"/>
      <c r="G15" s="2222"/>
      <c r="I15" s="2195"/>
    </row>
    <row r="16" spans="2:12" ht="21" customHeight="1">
      <c r="B16" s="145" t="s">
        <v>701</v>
      </c>
      <c r="D16" s="2221"/>
      <c r="E16" s="2178"/>
      <c r="F16" s="2225"/>
      <c r="G16" s="2225"/>
    </row>
    <row r="17" spans="2:7" ht="21" customHeight="1">
      <c r="B17" s="145" t="s">
        <v>700</v>
      </c>
      <c r="D17" s="2226"/>
    </row>
    <row r="18" spans="2:7" ht="21" customHeight="1">
      <c r="B18" s="145" t="s">
        <v>748</v>
      </c>
      <c r="D18" s="2220"/>
      <c r="E18" s="2220"/>
      <c r="F18" s="2220"/>
      <c r="G18" s="2220"/>
    </row>
    <row r="19" spans="2:7" ht="21" customHeight="1">
      <c r="B19" s="145" t="s">
        <v>1157</v>
      </c>
      <c r="D19" s="2221"/>
      <c r="E19" s="2178"/>
      <c r="F19" s="2222"/>
      <c r="G19" s="2222"/>
    </row>
    <row r="20" spans="2:7" ht="21" customHeight="1">
      <c r="B20" s="145" t="s">
        <v>1155</v>
      </c>
      <c r="D20" s="2221"/>
      <c r="E20" s="2178"/>
      <c r="F20" s="2221"/>
      <c r="G20" s="2221"/>
    </row>
    <row r="21" spans="2:7" ht="21" customHeight="1">
      <c r="B21" s="145" t="s">
        <v>1158</v>
      </c>
      <c r="D21" s="2221"/>
      <c r="E21" s="2178"/>
      <c r="F21" s="2222"/>
      <c r="G21" s="2222"/>
    </row>
    <row r="22" spans="2:7" ht="21" customHeight="1">
      <c r="B22" s="147" t="s">
        <v>1324</v>
      </c>
      <c r="D22" s="2221"/>
      <c r="E22" s="2178"/>
      <c r="F22" s="2222"/>
      <c r="G22" s="2222"/>
    </row>
    <row r="23" spans="2:7" ht="21" customHeight="1">
      <c r="B23" s="62" t="s">
        <v>40</v>
      </c>
      <c r="D23" s="2221"/>
      <c r="E23" s="2178"/>
      <c r="F23" s="2224"/>
      <c r="G23" s="2224"/>
    </row>
    <row r="24" spans="2:7" ht="21" customHeight="1">
      <c r="B24" s="62" t="s">
        <v>238</v>
      </c>
      <c r="D24" s="2195"/>
    </row>
    <row r="25" spans="2:7" ht="21" customHeight="1">
      <c r="B25" s="62" t="s">
        <v>39</v>
      </c>
    </row>
    <row r="26" spans="2:7" ht="21" customHeight="1">
      <c r="B26" s="62" t="s">
        <v>38</v>
      </c>
    </row>
    <row r="27" spans="2:7" ht="21" customHeight="1">
      <c r="B27" s="62"/>
    </row>
    <row r="28" spans="2:7" ht="21" customHeight="1"/>
    <row r="29" spans="2:7" ht="21" customHeight="1"/>
    <row r="30" spans="2:7" ht="21" customHeight="1"/>
    <row r="31" spans="2:7" ht="21" customHeight="1"/>
    <row r="32" spans="2:7" ht="21" customHeight="1"/>
    <row r="33" spans="4:4" ht="21" customHeight="1"/>
    <row r="34" spans="4:4" ht="21" customHeight="1"/>
    <row r="35" spans="4:4" ht="21" customHeight="1"/>
    <row r="36" spans="4:4" ht="21" customHeight="1">
      <c r="D36" s="2195"/>
    </row>
    <row r="37" spans="4:4">
      <c r="D37" s="2195"/>
    </row>
    <row r="38" spans="4:4">
      <c r="D38" s="2195"/>
    </row>
    <row r="39" spans="4:4">
      <c r="D39" s="2195"/>
    </row>
  </sheetData>
  <mergeCells count="2">
    <mergeCell ref="B2:B3"/>
    <mergeCell ref="D2:D3"/>
  </mergeCells>
  <hyperlinks>
    <hyperlink ref="B2:B3" location="Home!A1" display="HOME" xr:uid="{BB8BA6BA-DD65-4E54-92F2-BFC138966319}"/>
    <hyperlink ref="B26" location="Disclaimer!A1" display="Disclaimer" xr:uid="{9C8238D0-840D-42B6-B55D-73C9136F667A}"/>
    <hyperlink ref="B25" location="Help!A1" display="Help" xr:uid="{07414DC2-EFFA-4679-A7FB-AC3E07F4FAC6}"/>
    <hyperlink ref="B23" location="'Source - Links'!A1" display="SOURCE / LINKS" xr:uid="{DEFA0FAB-1177-4A24-9B1F-A0941A102471}"/>
    <hyperlink ref="B13" location="'Guidelines - Bottom Lines'!A1" display="• Calculation of bottom lines" xr:uid="{3BA91277-FBB4-4719-B4AE-3B0F9FFCC9BD}"/>
    <hyperlink ref="B14" location="'Guidelines - ISGOTT-6 '!A1" display="• ISGOTT Sixth Edition" xr:uid="{D2C913F4-6E02-4D06-A91B-C0E1A0D93B2D}"/>
    <hyperlink ref="B16" location="'Guidelines - Wedge Forla (1)'!A1" display="• Wedge formula - API MPMS" xr:uid="{8CF506EC-586C-40C2-9B5C-9D49733313AA}"/>
    <hyperlink ref="B17" location="'Guidelines - Wedge Forla (2)'!A1" display="• Wedge formula - Saybolt" xr:uid="{732D3DDE-6101-4AB9-9DDF-55C0D56F4F60}"/>
    <hyperlink ref="B18" location="'Guidelines - Wedge Formulas'!A1" display="• Wedge formulas" xr:uid="{2B1B0326-A9EA-43B1-B9FA-C968CB90E34F}"/>
    <hyperlink ref="B19" location="'Guidelines - Commingling Calc'!A1" display="• Commingling Calculation" xr:uid="{FE7B5311-81D4-4FD1-9AAC-3CAC83D400BC}"/>
    <hyperlink ref="B20" location="'Guidelines - SOLAS'!A1" display="• SOLAS" xr:uid="{A3FF1DBA-2E1F-4B04-AD66-E85E2306B84A}"/>
    <hyperlink ref="B21" location="'Guidelines - SOLAS compliance'!A1" display="• SOLAS compliance" xr:uid="{5793600E-C5DA-465C-B675-5735A74EE650}"/>
    <hyperlink ref="B15" location="'Guidelines - Wedge Forla (0)'!A1" display="• Wedge formula - ISO-8697-1999 " xr:uid="{1B98CFEB-72E6-4E62-AC51-F986D79363D6}"/>
    <hyperlink ref="B22" location="'Guidelines - IG Pressure'!A1" display="• IG Pressure" xr:uid="{D5EA0221-C924-4F2F-B767-2808ED04007E}"/>
    <hyperlink ref="B5" location="'Documents Manager'!A1" display="DOCUMENTS MANAGER" xr:uid="{2702EC14-3FC2-49E3-96A8-42E907D1CCE1}"/>
    <hyperlink ref="B6" location="'ASTM Table Series'!A1" display="ASTM TABLES" xr:uid="{C3F249D6-83B3-4A47-B0AA-B2D5C27DFFCE}"/>
    <hyperlink ref="B7" location="'ASTM Converter (Tab.1)'!A1" display="ASTM - CONVERTERS" xr:uid="{70D56A6F-B3CB-4637-AA2E-8477760D3EFC}"/>
    <hyperlink ref="B8" location="'ASTM Calculator V.W.'!A1" display="ASTM - CALCULATORS" xr:uid="{B1B07F4E-AC82-4085-9AC8-313C6A60D580}"/>
    <hyperlink ref="B9" location="'Initial&amp;Max. Loading Rate'!A1" display="CARGO - CALCULATORS" xr:uid="{D076CD4A-D4F7-4B9D-969D-546B3E8D9D15}"/>
    <hyperlink ref="B12" location="'Guidelines - Bottom Lines'!A1" display="GUIDELINES - CARGO" xr:uid="{B8C515CC-27E3-4227-82F7-ECB12F1E406F}"/>
    <hyperlink ref="B11" location="'Guidelines - Definitions'!A1" display="GUIDELINES" xr:uid="{B26F8199-EA02-484F-AB0D-93585B160928}"/>
  </hyperlink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241665" r:id="rId4">
          <objectPr defaultSize="0" autoPict="0" r:id="rId5">
            <anchor moveWithCells="1" sizeWithCells="1">
              <from>
                <xdr:col>3</xdr:col>
                <xdr:colOff>1076325</xdr:colOff>
                <xdr:row>19</xdr:row>
                <xdr:rowOff>9525</xdr:rowOff>
              </from>
              <to>
                <xdr:col>3</xdr:col>
                <xdr:colOff>1995488</xdr:colOff>
                <xdr:row>21</xdr:row>
                <xdr:rowOff>100013</xdr:rowOff>
              </to>
            </anchor>
          </objectPr>
        </oleObject>
      </mc:Choice>
      <mc:Fallback>
        <oleObject progId="Equation.3" shapeId="241665" r:id="rId4"/>
      </mc:Fallback>
    </mc:AlternateContent>
    <mc:AlternateContent xmlns:mc="http://schemas.openxmlformats.org/markup-compatibility/2006">
      <mc:Choice Requires="x14">
        <oleObject progId="Equation.3" shapeId="241666" r:id="rId6">
          <objectPr defaultSize="0" autoPict="0" r:id="rId7">
            <anchor moveWithCells="1" sizeWithCells="1">
              <from>
                <xdr:col>3</xdr:col>
                <xdr:colOff>1128713</xdr:colOff>
                <xdr:row>25</xdr:row>
                <xdr:rowOff>190500</xdr:rowOff>
              </from>
              <to>
                <xdr:col>3</xdr:col>
                <xdr:colOff>2224088</xdr:colOff>
                <xdr:row>28</xdr:row>
                <xdr:rowOff>9525</xdr:rowOff>
              </to>
            </anchor>
          </objectPr>
        </oleObject>
      </mc:Choice>
      <mc:Fallback>
        <oleObject progId="Equation.3" shapeId="241666" r:id="rId6"/>
      </mc:Fallback>
    </mc:AlternateContent>
    <mc:AlternateContent xmlns:mc="http://schemas.openxmlformats.org/markup-compatibility/2006">
      <mc:Choice Requires="x14">
        <oleObject progId="Equation.3" shapeId="241667" r:id="rId8">
          <objectPr defaultSize="0" autoPict="0" r:id="rId9">
            <anchor moveWithCells="1" sizeWithCells="1">
              <from>
                <xdr:col>3</xdr:col>
                <xdr:colOff>1181100</xdr:colOff>
                <xdr:row>28</xdr:row>
                <xdr:rowOff>128588</xdr:rowOff>
              </from>
              <to>
                <xdr:col>3</xdr:col>
                <xdr:colOff>1457325</xdr:colOff>
                <xdr:row>30</xdr:row>
                <xdr:rowOff>242888</xdr:rowOff>
              </to>
            </anchor>
          </objectPr>
        </oleObject>
      </mc:Choice>
      <mc:Fallback>
        <oleObject progId="Equation.3" shapeId="241667" r:id="rId8"/>
      </mc:Fallback>
    </mc:AlternateContent>
    <mc:AlternateContent xmlns:mc="http://schemas.openxmlformats.org/markup-compatibility/2006">
      <mc:Choice Requires="x14">
        <oleObject progId="Equation.3" shapeId="241668" r:id="rId10">
          <objectPr defaultSize="0" autoPict="0" r:id="rId11">
            <anchor moveWithCells="1" sizeWithCells="1">
              <from>
                <xdr:col>3</xdr:col>
                <xdr:colOff>1266825</xdr:colOff>
                <xdr:row>34</xdr:row>
                <xdr:rowOff>85725</xdr:rowOff>
              </from>
              <to>
                <xdr:col>3</xdr:col>
                <xdr:colOff>2124075</xdr:colOff>
                <xdr:row>37</xdr:row>
                <xdr:rowOff>104775</xdr:rowOff>
              </to>
            </anchor>
          </objectPr>
        </oleObject>
      </mc:Choice>
      <mc:Fallback>
        <oleObject progId="Equation.3" shapeId="241668" r:id="rId10"/>
      </mc:Fallback>
    </mc:AlternateContent>
  </oleObjec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3">
    <tabColor theme="8" tint="-0.249977111117893"/>
  </sheetPr>
  <dimension ref="A1:H54"/>
  <sheetViews>
    <sheetView showGridLines="0" showRowColHeaders="0" topLeftCell="B1" zoomScaleNormal="100" workbookViewId="0">
      <selection activeCell="B9" sqref="B9"/>
    </sheetView>
  </sheetViews>
  <sheetFormatPr defaultColWidth="9.1328125" defaultRowHeight="12.75"/>
  <cols>
    <col min="1" max="1" width="0" style="65" hidden="1" customWidth="1"/>
    <col min="2" max="2" width="36.6640625" style="63" customWidth="1"/>
    <col min="3" max="3" width="2.6640625" style="66" customWidth="1"/>
    <col min="4" max="4" width="21.6640625" style="66" customWidth="1"/>
    <col min="5" max="5" width="43.6640625" style="66" customWidth="1"/>
    <col min="6" max="6" width="99.86328125" style="66" customWidth="1"/>
    <col min="7" max="8" width="9.1328125" style="66" customWidth="1"/>
    <col min="9" max="16384" width="9.1328125" style="66"/>
  </cols>
  <sheetData>
    <row r="1" spans="1:8" ht="12.75" customHeight="1"/>
    <row r="2" spans="1:8" ht="21" customHeight="1">
      <c r="A2" s="66"/>
      <c r="B2" s="3187" t="s">
        <v>0</v>
      </c>
      <c r="C2" s="85"/>
      <c r="D2" s="3507" t="s">
        <v>40</v>
      </c>
      <c r="E2" s="3508"/>
      <c r="F2" s="3509"/>
      <c r="G2" s="86"/>
      <c r="H2" s="87"/>
    </row>
    <row r="3" spans="1:8" ht="21" customHeight="1">
      <c r="A3" s="66"/>
      <c r="B3" s="3187"/>
      <c r="C3" s="85"/>
      <c r="D3" s="3510"/>
      <c r="E3" s="3511"/>
      <c r="F3" s="3512"/>
    </row>
    <row r="4" spans="1:8" ht="21" customHeight="1">
      <c r="D4" s="88"/>
      <c r="E4" s="88" t="s">
        <v>41</v>
      </c>
      <c r="F4" s="88" t="s">
        <v>42</v>
      </c>
    </row>
    <row r="5" spans="1:8" ht="21" customHeight="1">
      <c r="B5" s="62" t="s">
        <v>1</v>
      </c>
      <c r="D5" s="90"/>
      <c r="E5" s="850"/>
      <c r="F5" s="96" t="s">
        <v>43</v>
      </c>
      <c r="G5" s="89"/>
    </row>
    <row r="6" spans="1:8" ht="21" customHeight="1">
      <c r="B6" s="397" t="s">
        <v>452</v>
      </c>
      <c r="D6" s="90"/>
      <c r="E6" s="843"/>
      <c r="F6" s="845" t="s">
        <v>246</v>
      </c>
    </row>
    <row r="7" spans="1:8" ht="21" customHeight="1">
      <c r="B7" s="62" t="s">
        <v>239</v>
      </c>
      <c r="D7" s="90"/>
      <c r="E7" s="843"/>
      <c r="F7" s="845" t="s">
        <v>417</v>
      </c>
    </row>
    <row r="8" spans="1:8" ht="21" customHeight="1">
      <c r="B8" s="62" t="s">
        <v>1263</v>
      </c>
      <c r="D8" s="90"/>
      <c r="E8" s="843"/>
      <c r="F8" s="846" t="s">
        <v>463</v>
      </c>
    </row>
    <row r="9" spans="1:8" ht="21" customHeight="1">
      <c r="B9" s="62" t="s">
        <v>557</v>
      </c>
      <c r="D9" s="90"/>
      <c r="E9" s="843"/>
      <c r="F9" s="846" t="s">
        <v>466</v>
      </c>
    </row>
    <row r="10" spans="1:8" ht="21" customHeight="1">
      <c r="B10" s="62" t="s">
        <v>238</v>
      </c>
      <c r="D10" s="90"/>
      <c r="E10" s="843"/>
      <c r="F10" s="846" t="s">
        <v>461</v>
      </c>
    </row>
    <row r="11" spans="1:8" ht="21" customHeight="1">
      <c r="B11" s="62" t="s">
        <v>1652</v>
      </c>
      <c r="D11" s="90"/>
      <c r="E11" s="843"/>
      <c r="F11" s="846" t="s">
        <v>462</v>
      </c>
      <c r="G11" s="93"/>
    </row>
    <row r="12" spans="1:8" ht="21" customHeight="1">
      <c r="B12" s="62" t="s">
        <v>1653</v>
      </c>
      <c r="D12" s="90"/>
      <c r="E12" s="843"/>
      <c r="F12" s="846" t="s">
        <v>417</v>
      </c>
      <c r="G12" s="93"/>
    </row>
    <row r="13" spans="1:8" ht="21" customHeight="1">
      <c r="B13" s="95" t="s">
        <v>40</v>
      </c>
      <c r="D13" s="90"/>
      <c r="E13" s="843"/>
      <c r="F13" s="846" t="s">
        <v>464</v>
      </c>
      <c r="G13" s="93"/>
    </row>
    <row r="14" spans="1:8" ht="21" customHeight="1">
      <c r="B14" s="62" t="s">
        <v>238</v>
      </c>
      <c r="D14" s="90"/>
      <c r="E14" s="843"/>
      <c r="F14" s="846" t="s">
        <v>465</v>
      </c>
      <c r="G14" s="93"/>
    </row>
    <row r="15" spans="1:8" ht="21" customHeight="1">
      <c r="B15" s="62" t="s">
        <v>39</v>
      </c>
      <c r="D15" s="90"/>
      <c r="E15" s="843"/>
      <c r="F15" s="846" t="s">
        <v>552</v>
      </c>
      <c r="G15" s="93"/>
      <c r="H15" s="94"/>
    </row>
    <row r="16" spans="1:8" ht="21" customHeight="1">
      <c r="B16" s="62" t="s">
        <v>38</v>
      </c>
      <c r="D16" s="90"/>
      <c r="E16" s="843"/>
      <c r="F16" s="846" t="s">
        <v>1288</v>
      </c>
      <c r="G16" s="93"/>
    </row>
    <row r="17" spans="4:7" ht="21" customHeight="1">
      <c r="D17" s="91"/>
      <c r="E17" s="844"/>
      <c r="F17" s="852"/>
      <c r="G17" s="93"/>
    </row>
    <row r="18" spans="4:7" ht="21" customHeight="1">
      <c r="D18" s="90"/>
      <c r="E18" s="1012" t="s">
        <v>1287</v>
      </c>
      <c r="F18" s="851" t="s">
        <v>1286</v>
      </c>
      <c r="G18" s="93"/>
    </row>
    <row r="19" spans="4:7" ht="21" customHeight="1">
      <c r="D19" s="90"/>
      <c r="E19" s="1012" t="s">
        <v>1285</v>
      </c>
      <c r="F19" s="846" t="s">
        <v>1284</v>
      </c>
      <c r="G19" s="93"/>
    </row>
    <row r="20" spans="4:7" ht="21" customHeight="1">
      <c r="D20" s="91"/>
      <c r="E20" s="2848"/>
      <c r="F20" s="852"/>
      <c r="G20" s="93"/>
    </row>
    <row r="21" spans="4:7" ht="21" customHeight="1">
      <c r="D21" s="90"/>
      <c r="E21" s="843" t="s">
        <v>699</v>
      </c>
      <c r="F21" s="851" t="s">
        <v>696</v>
      </c>
      <c r="G21" s="93"/>
    </row>
    <row r="22" spans="4:7" ht="21" customHeight="1">
      <c r="D22" s="90"/>
      <c r="E22" s="843"/>
      <c r="F22" s="846" t="s">
        <v>697</v>
      </c>
      <c r="G22" s="93"/>
    </row>
    <row r="23" spans="4:7" ht="21" customHeight="1">
      <c r="D23" s="90"/>
      <c r="E23" s="843"/>
      <c r="F23" s="846" t="s">
        <v>703</v>
      </c>
    </row>
    <row r="24" spans="4:7" ht="21" customHeight="1">
      <c r="D24" s="91"/>
      <c r="E24" s="844"/>
      <c r="F24" s="852"/>
    </row>
    <row r="25" spans="4:7" ht="21" customHeight="1">
      <c r="D25" s="90"/>
      <c r="E25" s="843"/>
      <c r="F25" s="96" t="s">
        <v>527</v>
      </c>
    </row>
    <row r="26" spans="4:7" ht="21" customHeight="1">
      <c r="D26" s="91"/>
      <c r="E26" s="844"/>
      <c r="F26" s="852"/>
    </row>
    <row r="27" spans="4:7" ht="21" customHeight="1">
      <c r="D27" s="90"/>
      <c r="E27" s="1010" t="s">
        <v>533</v>
      </c>
      <c r="F27" s="851" t="s">
        <v>534</v>
      </c>
    </row>
    <row r="28" spans="4:7" ht="21" customHeight="1">
      <c r="D28" s="853"/>
      <c r="E28" s="1010" t="s">
        <v>535</v>
      </c>
      <c r="F28" s="854" t="s">
        <v>526</v>
      </c>
    </row>
    <row r="29" spans="4:7" ht="21" customHeight="1">
      <c r="D29" s="3518" t="s">
        <v>531</v>
      </c>
      <c r="E29" s="1009" t="s">
        <v>535</v>
      </c>
      <c r="F29" s="96" t="s">
        <v>528</v>
      </c>
    </row>
    <row r="30" spans="4:7" ht="21" customHeight="1">
      <c r="D30" s="3519"/>
      <c r="E30" s="1009" t="s">
        <v>536</v>
      </c>
      <c r="F30" s="845" t="s">
        <v>528</v>
      </c>
    </row>
    <row r="31" spans="4:7" ht="21" customHeight="1">
      <c r="D31" s="3519"/>
      <c r="E31" s="1009" t="s">
        <v>537</v>
      </c>
      <c r="F31" s="845" t="s">
        <v>532</v>
      </c>
    </row>
    <row r="32" spans="4:7" ht="17.25">
      <c r="D32" s="3520"/>
      <c r="E32" s="844"/>
      <c r="F32" s="852"/>
    </row>
    <row r="33" spans="4:6" ht="15">
      <c r="D33" s="3515" t="s">
        <v>477</v>
      </c>
      <c r="E33" s="1011" t="s">
        <v>473</v>
      </c>
      <c r="F33" s="96" t="s">
        <v>474</v>
      </c>
    </row>
    <row r="34" spans="4:6" ht="15">
      <c r="D34" s="3516"/>
      <c r="E34" s="1010" t="s">
        <v>475</v>
      </c>
      <c r="F34" s="852" t="s">
        <v>476</v>
      </c>
    </row>
    <row r="35" spans="4:6" ht="17.25">
      <c r="D35" s="90"/>
      <c r="E35" s="843"/>
      <c r="F35" s="1008"/>
    </row>
    <row r="36" spans="4:6">
      <c r="D36" s="853"/>
      <c r="E36" s="3513" t="s">
        <v>469</v>
      </c>
      <c r="F36" s="854" t="s">
        <v>468</v>
      </c>
    </row>
    <row r="37" spans="4:6">
      <c r="D37" s="91"/>
      <c r="E37" s="3514"/>
      <c r="F37" s="852"/>
    </row>
    <row r="38" spans="4:6" ht="15">
      <c r="D38" s="90"/>
      <c r="E38" s="1012" t="s">
        <v>471</v>
      </c>
      <c r="F38" s="96" t="s">
        <v>470</v>
      </c>
    </row>
    <row r="39" spans="4:6">
      <c r="D39" s="90"/>
      <c r="E39" s="3521" t="s">
        <v>530</v>
      </c>
      <c r="F39" s="3517" t="s">
        <v>529</v>
      </c>
    </row>
    <row r="40" spans="4:6">
      <c r="D40" s="90"/>
      <c r="E40" s="3521"/>
      <c r="F40" s="3517"/>
    </row>
    <row r="41" spans="4:6" ht="17.25">
      <c r="D41" s="90"/>
      <c r="E41" s="843"/>
      <c r="F41" s="845"/>
    </row>
    <row r="42" spans="4:6" ht="17.25">
      <c r="D42" s="91"/>
      <c r="E42" s="844"/>
      <c r="F42" s="852"/>
    </row>
    <row r="43" spans="4:6" ht="15">
      <c r="D43" s="90"/>
      <c r="E43" s="1012" t="s">
        <v>467</v>
      </c>
      <c r="F43" s="851" t="s">
        <v>472</v>
      </c>
    </row>
    <row r="44" spans="4:6" ht="17.25">
      <c r="D44" s="91"/>
      <c r="E44" s="844"/>
      <c r="F44" s="92"/>
    </row>
    <row r="45" spans="4:6">
      <c r="D45" s="90"/>
      <c r="E45" s="849" t="s">
        <v>458</v>
      </c>
      <c r="F45" s="96" t="s">
        <v>453</v>
      </c>
    </row>
    <row r="46" spans="4:6">
      <c r="D46" s="90"/>
      <c r="E46" s="848" t="s">
        <v>456</v>
      </c>
      <c r="F46" s="845" t="s">
        <v>454</v>
      </c>
    </row>
    <row r="47" spans="4:6">
      <c r="D47" s="90"/>
      <c r="E47" s="848" t="s">
        <v>455</v>
      </c>
      <c r="F47" s="845" t="s">
        <v>457</v>
      </c>
    </row>
    <row r="48" spans="4:6">
      <c r="D48" s="90"/>
      <c r="E48" s="848" t="s">
        <v>459</v>
      </c>
      <c r="F48" s="846" t="s">
        <v>460</v>
      </c>
    </row>
    <row r="49" spans="4:6" ht="22.5">
      <c r="D49" s="91"/>
      <c r="E49" s="847"/>
      <c r="F49" s="1037"/>
    </row>
    <row r="50" spans="4:6" ht="17.25">
      <c r="D50" s="1264"/>
      <c r="E50" s="1265"/>
      <c r="F50" s="96"/>
    </row>
    <row r="51" spans="4:6" ht="17.25">
      <c r="D51" s="1268"/>
      <c r="E51" s="1319"/>
      <c r="F51" s="1320"/>
    </row>
    <row r="52" spans="4:6" ht="17.25">
      <c r="D52" s="1266"/>
      <c r="E52" s="1267"/>
      <c r="F52" s="1321"/>
    </row>
    <row r="53" spans="4:6" ht="17.25">
      <c r="D53" s="1268"/>
      <c r="E53" s="1269"/>
      <c r="F53" s="96"/>
    </row>
    <row r="54" spans="4:6" ht="17.25">
      <c r="D54" s="1268"/>
      <c r="E54" s="1269"/>
      <c r="F54" s="845"/>
    </row>
  </sheetData>
  <mergeCells count="7">
    <mergeCell ref="B2:B3"/>
    <mergeCell ref="D2:F3"/>
    <mergeCell ref="E36:E37"/>
    <mergeCell ref="D33:D34"/>
    <mergeCell ref="F39:F40"/>
    <mergeCell ref="D29:D32"/>
    <mergeCell ref="E39:E40"/>
  </mergeCells>
  <hyperlinks>
    <hyperlink ref="B2:B3" location="Home!A1" display="HOME" xr:uid="{00000000-0004-0000-1000-000001000000}"/>
    <hyperlink ref="B16" location="Disclaimer!A1" display="Disclaimer" xr:uid="{00000000-0004-0000-1000-000002000000}"/>
    <hyperlink ref="B15" location="Help!A1" display="Help" xr:uid="{00000000-0004-0000-1000-000003000000}"/>
    <hyperlink ref="B13" location="'Source - Links'!A1" display="SOURCE / LINKS" xr:uid="{00000000-0004-0000-1000-000004000000}"/>
    <hyperlink ref="F5" r:id="rId1" xr:uid="{00000000-0004-0000-1000-000006000000}"/>
    <hyperlink ref="F6" r:id="rId2" xr:uid="{00000000-0004-0000-1000-00000B000000}"/>
    <hyperlink ref="F7" r:id="rId3" xr:uid="{2F8E628E-519C-4E30-ADB8-289F6F6624DB}"/>
    <hyperlink ref="F45" r:id="rId4" xr:uid="{67C52A19-53A5-401A-B4B5-ADCD7C0CF99C}"/>
    <hyperlink ref="F46" r:id="rId5" xr:uid="{C8A96E02-358A-4835-9579-B6BC9386E828}"/>
    <hyperlink ref="F47" r:id="rId6" xr:uid="{9F3900BB-C604-4E54-9ADF-90620E3AF179}"/>
    <hyperlink ref="F48" r:id="rId7" xr:uid="{D6A05C60-4BF5-4790-AC2D-9A6D342B3F67}"/>
    <hyperlink ref="F10" r:id="rId8" xr:uid="{BFDA0509-6CA4-4457-848F-6BD968C23BCF}"/>
    <hyperlink ref="F11" r:id="rId9" xr:uid="{3A8651A1-9AF2-4EA5-8BCA-8F45BF2D3C05}"/>
    <hyperlink ref="F8" r:id="rId10" xr:uid="{0297BEA6-2265-4B91-B234-E0693EF1A5C4}"/>
    <hyperlink ref="F12" r:id="rId11" xr:uid="{B2EBC82D-B4DE-42C1-962A-06D7EAC18E4D}"/>
    <hyperlink ref="F13" r:id="rId12" xr:uid="{D7054652-FF96-412C-8D89-AD8A908B95EB}"/>
    <hyperlink ref="F14" r:id="rId13" xr:uid="{12068137-ADBE-4BDB-8CAE-EEF1C99D5E3D}"/>
    <hyperlink ref="F9" r:id="rId14" xr:uid="{706C480A-C98B-4620-AA2E-1FAE154DAA90}"/>
    <hyperlink ref="F36" r:id="rId15" xr:uid="{4DC400E2-CDAA-476C-9AFD-16BDF3D353BE}"/>
    <hyperlink ref="F38" r:id="rId16" xr:uid="{7892D00E-F195-49CC-9123-D3E42EC36838}"/>
    <hyperlink ref="F43" r:id="rId17" xr:uid="{3A23F2D9-5A09-461C-9317-B781CA01BFB4}"/>
    <hyperlink ref="F33" r:id="rId18" xr:uid="{201DC957-501E-4EA6-AB94-326A4AB6201E}"/>
    <hyperlink ref="F34" r:id="rId19" xr:uid="{D4E3AA0A-D326-408E-A2A8-6DAE980E0E59}"/>
    <hyperlink ref="F28" r:id="rId20" xr:uid="{53694DF5-3C05-440B-A11E-6C692822EF05}"/>
    <hyperlink ref="F27" r:id="rId21" xr:uid="{D19B24A0-E439-4F1C-9D71-CD26F2878DBA}"/>
    <hyperlink ref="F29" r:id="rId22" xr:uid="{58F338FB-865E-4853-960B-926B6DE57A44}"/>
    <hyperlink ref="F15" r:id="rId23" xr:uid="{02E01963-D526-4EBD-B43C-4A872084DA47}"/>
    <hyperlink ref="F25" r:id="rId24" xr:uid="{DBC6E84D-09A5-403A-99EF-75303104A466}"/>
    <hyperlink ref="F21" r:id="rId25" xr:uid="{43852A34-A539-49FB-A8A7-F46658B8B374}"/>
    <hyperlink ref="F23" r:id="rId26" xr:uid="{DB3D5B70-BAC0-4E8D-9299-D827E7F52E8D}"/>
    <hyperlink ref="B5" location="'Documents Manager'!A1" display="DOCUMENTS MANAGER" xr:uid="{CE5EF236-EA9A-4A6E-81FA-F8E7FE57046B}"/>
    <hyperlink ref="B6" location="'ASTM Table Series'!A1" display="ASTM TABLES" xr:uid="{6744568A-2F1B-41AF-9AA2-E5D3863F8CB9}"/>
    <hyperlink ref="B7" location="'ASTM Converter (Tab.1)'!A1" display="ASTM - CONVERTERS" xr:uid="{CD4F3F26-4245-4536-A8A2-8EE975D37401}"/>
    <hyperlink ref="B8" location="'ASTM Calculator V.W.'!A1" display="ASTM - CALCULATORS" xr:uid="{D1D86B34-4046-4355-B026-43A14EA0E5AC}"/>
    <hyperlink ref="B9" location="'Initial&amp;Max. Loading Rate'!A1" display="CARGO - CALCULATORS" xr:uid="{E01FC050-FBED-47EC-8F6D-56582058D07A}"/>
    <hyperlink ref="F19" r:id="rId27" xr:uid="{6E57123C-8FFC-4671-A78C-A6F5F34E9019}"/>
    <hyperlink ref="F18" r:id="rId28" xr:uid="{894131ED-AAEB-47DA-A4B1-2EA7C2083655}"/>
    <hyperlink ref="F16" r:id="rId29" xr:uid="{B39FF8FF-ACF1-42D6-97AF-23C8807377DD}"/>
    <hyperlink ref="B12" location="'Guidelines - Bottom Lines'!A1" display="GUIDELINES - CARGO" xr:uid="{69BBDB84-FDE5-4BB8-BE49-19E91A1EA34A}"/>
    <hyperlink ref="B11" location="'Guidelines - Definitions'!A1" display="GUIDELINES" xr:uid="{47242FAB-DEF1-498E-9E68-DB5DE508DB60}"/>
  </hyperlinks>
  <pageMargins left="0.7" right="0.7" top="0.75" bottom="0.75" header="0.3" footer="0.3"/>
  <pageSetup paperSize="9" orientation="portrait" r:id="rId30"/>
  <drawing r:id="rId3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4"/>
  <dimension ref="O10:U34"/>
  <sheetViews>
    <sheetView showGridLines="0" showRowColHeaders="0" topLeftCell="B1" workbookViewId="0"/>
  </sheetViews>
  <sheetFormatPr defaultColWidth="8.86328125" defaultRowHeight="12.75"/>
  <cols>
    <col min="1" max="1" width="0" style="83" hidden="1" customWidth="1"/>
    <col min="2" max="20" width="8.86328125" style="83"/>
    <col min="21" max="21" width="39.46484375" style="83" bestFit="1" customWidth="1"/>
    <col min="22" max="16384" width="8.86328125" style="83"/>
  </cols>
  <sheetData>
    <row r="10" spans="21:21">
      <c r="U10" s="82"/>
    </row>
    <row r="32" spans="21:21">
      <c r="U32" s="84"/>
    </row>
    <row r="34" spans="15:15">
      <c r="O34" s="82"/>
    </row>
  </sheetData>
  <hyperlinks>
    <hyperlink ref="U26" location="'How to take measurements PB'!A1" display="How to take me" xr:uid="{00000000-0004-0000-1100-000000000000}"/>
    <hyperlink ref="U30" location="'How to take measurements PB'!A1" display="How to take measurements of Parallel body" xr:uid="{00000000-0004-0000-1100-000001000000}"/>
  </hyperlinks>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dimension ref="A1"/>
  <sheetViews>
    <sheetView showGridLines="0" showRowColHeaders="0" topLeftCell="B1" zoomScaleNormal="100" workbookViewId="0">
      <selection activeCell="S12" sqref="S12"/>
    </sheetView>
  </sheetViews>
  <sheetFormatPr defaultRowHeight="12.75"/>
  <cols>
    <col min="1" max="1" width="0" style="64" hidden="1" customWidth="1"/>
    <col min="2" max="256" width="9.1328125" style="64"/>
    <col min="257" max="257" width="0" style="64" hidden="1" customWidth="1"/>
    <col min="258" max="512" width="9.1328125" style="64"/>
    <col min="513" max="513" width="0" style="64" hidden="1" customWidth="1"/>
    <col min="514" max="768" width="9.1328125" style="64"/>
    <col min="769" max="769" width="0" style="64" hidden="1" customWidth="1"/>
    <col min="770" max="1024" width="9.1328125" style="64"/>
    <col min="1025" max="1025" width="0" style="64" hidden="1" customWidth="1"/>
    <col min="1026" max="1280" width="9.1328125" style="64"/>
    <col min="1281" max="1281" width="0" style="64" hidden="1" customWidth="1"/>
    <col min="1282" max="1536" width="9.1328125" style="64"/>
    <col min="1537" max="1537" width="0" style="64" hidden="1" customWidth="1"/>
    <col min="1538" max="1792" width="9.1328125" style="64"/>
    <col min="1793" max="1793" width="0" style="64" hidden="1" customWidth="1"/>
    <col min="1794" max="2048" width="9.1328125" style="64"/>
    <col min="2049" max="2049" width="0" style="64" hidden="1" customWidth="1"/>
    <col min="2050" max="2304" width="9.1328125" style="64"/>
    <col min="2305" max="2305" width="0" style="64" hidden="1" customWidth="1"/>
    <col min="2306" max="2560" width="9.1328125" style="64"/>
    <col min="2561" max="2561" width="0" style="64" hidden="1" customWidth="1"/>
    <col min="2562" max="2816" width="9.1328125" style="64"/>
    <col min="2817" max="2817" width="0" style="64" hidden="1" customWidth="1"/>
    <col min="2818" max="3072" width="9.1328125" style="64"/>
    <col min="3073" max="3073" width="0" style="64" hidden="1" customWidth="1"/>
    <col min="3074" max="3328" width="9.1328125" style="64"/>
    <col min="3329" max="3329" width="0" style="64" hidden="1" customWidth="1"/>
    <col min="3330" max="3584" width="9.1328125" style="64"/>
    <col min="3585" max="3585" width="0" style="64" hidden="1" customWidth="1"/>
    <col min="3586" max="3840" width="9.1328125" style="64"/>
    <col min="3841" max="3841" width="0" style="64" hidden="1" customWidth="1"/>
    <col min="3842" max="4096" width="9.1328125" style="64"/>
    <col min="4097" max="4097" width="0" style="64" hidden="1" customWidth="1"/>
    <col min="4098" max="4352" width="9.1328125" style="64"/>
    <col min="4353" max="4353" width="0" style="64" hidden="1" customWidth="1"/>
    <col min="4354" max="4608" width="9.1328125" style="64"/>
    <col min="4609" max="4609" width="0" style="64" hidden="1" customWidth="1"/>
    <col min="4610" max="4864" width="9.1328125" style="64"/>
    <col min="4865" max="4865" width="0" style="64" hidden="1" customWidth="1"/>
    <col min="4866" max="5120" width="9.1328125" style="64"/>
    <col min="5121" max="5121" width="0" style="64" hidden="1" customWidth="1"/>
    <col min="5122" max="5376" width="9.1328125" style="64"/>
    <col min="5377" max="5377" width="0" style="64" hidden="1" customWidth="1"/>
    <col min="5378" max="5632" width="9.1328125" style="64"/>
    <col min="5633" max="5633" width="0" style="64" hidden="1" customWidth="1"/>
    <col min="5634" max="5888" width="9.1328125" style="64"/>
    <col min="5889" max="5889" width="0" style="64" hidden="1" customWidth="1"/>
    <col min="5890" max="6144" width="9.1328125" style="64"/>
    <col min="6145" max="6145" width="0" style="64" hidden="1" customWidth="1"/>
    <col min="6146" max="6400" width="9.1328125" style="64"/>
    <col min="6401" max="6401" width="0" style="64" hidden="1" customWidth="1"/>
    <col min="6402" max="6656" width="9.1328125" style="64"/>
    <col min="6657" max="6657" width="0" style="64" hidden="1" customWidth="1"/>
    <col min="6658" max="6912" width="9.1328125" style="64"/>
    <col min="6913" max="6913" width="0" style="64" hidden="1" customWidth="1"/>
    <col min="6914" max="7168" width="9.1328125" style="64"/>
    <col min="7169" max="7169" width="0" style="64" hidden="1" customWidth="1"/>
    <col min="7170" max="7424" width="9.1328125" style="64"/>
    <col min="7425" max="7425" width="0" style="64" hidden="1" customWidth="1"/>
    <col min="7426" max="7680" width="9.1328125" style="64"/>
    <col min="7681" max="7681" width="0" style="64" hidden="1" customWidth="1"/>
    <col min="7682" max="7936" width="9.1328125" style="64"/>
    <col min="7937" max="7937" width="0" style="64" hidden="1" customWidth="1"/>
    <col min="7938" max="8192" width="9.1328125" style="64"/>
    <col min="8193" max="8193" width="0" style="64" hidden="1" customWidth="1"/>
    <col min="8194" max="8448" width="9.1328125" style="64"/>
    <col min="8449" max="8449" width="0" style="64" hidden="1" customWidth="1"/>
    <col min="8450" max="8704" width="9.1328125" style="64"/>
    <col min="8705" max="8705" width="0" style="64" hidden="1" customWidth="1"/>
    <col min="8706" max="8960" width="9.1328125" style="64"/>
    <col min="8961" max="8961" width="0" style="64" hidden="1" customWidth="1"/>
    <col min="8962" max="9216" width="9.1328125" style="64"/>
    <col min="9217" max="9217" width="0" style="64" hidden="1" customWidth="1"/>
    <col min="9218" max="9472" width="9.1328125" style="64"/>
    <col min="9473" max="9473" width="0" style="64" hidden="1" customWidth="1"/>
    <col min="9474" max="9728" width="9.1328125" style="64"/>
    <col min="9729" max="9729" width="0" style="64" hidden="1" customWidth="1"/>
    <col min="9730" max="9984" width="9.1328125" style="64"/>
    <col min="9985" max="9985" width="0" style="64" hidden="1" customWidth="1"/>
    <col min="9986" max="10240" width="9.1328125" style="64"/>
    <col min="10241" max="10241" width="0" style="64" hidden="1" customWidth="1"/>
    <col min="10242" max="10496" width="9.1328125" style="64"/>
    <col min="10497" max="10497" width="0" style="64" hidden="1" customWidth="1"/>
    <col min="10498" max="10752" width="9.1328125" style="64"/>
    <col min="10753" max="10753" width="0" style="64" hidden="1" customWidth="1"/>
    <col min="10754" max="11008" width="9.1328125" style="64"/>
    <col min="11009" max="11009" width="0" style="64" hidden="1" customWidth="1"/>
    <col min="11010" max="11264" width="9.1328125" style="64"/>
    <col min="11265" max="11265" width="0" style="64" hidden="1" customWidth="1"/>
    <col min="11266" max="11520" width="9.1328125" style="64"/>
    <col min="11521" max="11521" width="0" style="64" hidden="1" customWidth="1"/>
    <col min="11522" max="11776" width="9.1328125" style="64"/>
    <col min="11777" max="11777" width="0" style="64" hidden="1" customWidth="1"/>
    <col min="11778" max="12032" width="9.1328125" style="64"/>
    <col min="12033" max="12033" width="0" style="64" hidden="1" customWidth="1"/>
    <col min="12034" max="12288" width="9.1328125" style="64"/>
    <col min="12289" max="12289" width="0" style="64" hidden="1" customWidth="1"/>
    <col min="12290" max="12544" width="9.1328125" style="64"/>
    <col min="12545" max="12545" width="0" style="64" hidden="1" customWidth="1"/>
    <col min="12546" max="12800" width="9.1328125" style="64"/>
    <col min="12801" max="12801" width="0" style="64" hidden="1" customWidth="1"/>
    <col min="12802" max="13056" width="9.1328125" style="64"/>
    <col min="13057" max="13057" width="0" style="64" hidden="1" customWidth="1"/>
    <col min="13058" max="13312" width="9.1328125" style="64"/>
    <col min="13313" max="13313" width="0" style="64" hidden="1" customWidth="1"/>
    <col min="13314" max="13568" width="9.1328125" style="64"/>
    <col min="13569" max="13569" width="0" style="64" hidden="1" customWidth="1"/>
    <col min="13570" max="13824" width="9.1328125" style="64"/>
    <col min="13825" max="13825" width="0" style="64" hidden="1" customWidth="1"/>
    <col min="13826" max="14080" width="9.1328125" style="64"/>
    <col min="14081" max="14081" width="0" style="64" hidden="1" customWidth="1"/>
    <col min="14082" max="14336" width="9.1328125" style="64"/>
    <col min="14337" max="14337" width="0" style="64" hidden="1" customWidth="1"/>
    <col min="14338" max="14592" width="9.1328125" style="64"/>
    <col min="14593" max="14593" width="0" style="64" hidden="1" customWidth="1"/>
    <col min="14594" max="14848" width="9.1328125" style="64"/>
    <col min="14849" max="14849" width="0" style="64" hidden="1" customWidth="1"/>
    <col min="14850" max="15104" width="9.1328125" style="64"/>
    <col min="15105" max="15105" width="0" style="64" hidden="1" customWidth="1"/>
    <col min="15106" max="15360" width="9.1328125" style="64"/>
    <col min="15361" max="15361" width="0" style="64" hidden="1" customWidth="1"/>
    <col min="15362" max="15616" width="9.1328125" style="64"/>
    <col min="15617" max="15617" width="0" style="64" hidden="1" customWidth="1"/>
    <col min="15618" max="15872" width="9.1328125" style="64"/>
    <col min="15873" max="15873" width="0" style="64" hidden="1" customWidth="1"/>
    <col min="15874" max="16128" width="9.1328125" style="64"/>
    <col min="16129" max="16129" width="0" style="64" hidden="1" customWidth="1"/>
    <col min="16130" max="16384" width="9.1328125" style="64"/>
  </cols>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60B7-B5D6-4271-B194-CD9229385B22}">
  <dimension ref="B1:DQ72"/>
  <sheetViews>
    <sheetView showGridLines="0" topLeftCell="B1" workbookViewId="0">
      <selection activeCell="D3" sqref="D3"/>
    </sheetView>
  </sheetViews>
  <sheetFormatPr defaultColWidth="8.86328125" defaultRowHeight="12.75"/>
  <cols>
    <col min="1" max="1" width="0" style="5" hidden="1" customWidth="1"/>
    <col min="2" max="2" width="2.6640625" style="5" customWidth="1"/>
    <col min="3" max="3" width="16" style="5" customWidth="1"/>
    <col min="4" max="4" width="19.86328125" style="5" customWidth="1"/>
    <col min="5" max="5" width="11.796875" style="5" customWidth="1"/>
    <col min="6" max="6" width="4.46484375" style="5" customWidth="1"/>
    <col min="7" max="7" width="10" style="5" customWidth="1"/>
    <col min="8" max="8" width="11.1328125" style="5" bestFit="1" customWidth="1"/>
    <col min="9" max="9" width="2.6640625" style="5" customWidth="1"/>
    <col min="10" max="10" width="10.53125" style="5" customWidth="1"/>
    <col min="11" max="12" width="8.86328125" style="5" customWidth="1"/>
    <col min="13" max="13" width="2.6640625" style="5" customWidth="1"/>
    <col min="14" max="14" width="8.86328125" style="5" customWidth="1"/>
    <col min="15" max="15" width="10" style="5" customWidth="1"/>
    <col min="16" max="16" width="10.53125" style="5" customWidth="1"/>
    <col min="17" max="17" width="2.6640625" style="5" customWidth="1"/>
    <col min="18" max="18" width="8.86328125" style="5"/>
    <col min="19" max="20" width="10" style="5" customWidth="1"/>
    <col min="21" max="21" width="2.6640625" style="5" customWidth="1"/>
    <col min="22" max="22" width="8.86328125" style="5" customWidth="1"/>
    <col min="23" max="24" width="10" style="5" customWidth="1"/>
    <col min="25" max="25" width="2.6640625" style="5" customWidth="1"/>
    <col min="26" max="26" width="8.86328125" style="5" customWidth="1"/>
    <col min="27" max="28" width="10" style="5" customWidth="1"/>
    <col min="29" max="29" width="2.6640625" style="5" customWidth="1"/>
    <col min="30" max="30" width="8.86328125" style="5" customWidth="1"/>
    <col min="31" max="32" width="10" style="5" customWidth="1"/>
    <col min="33" max="33" width="2.6640625" style="5" customWidth="1"/>
    <col min="34" max="34" width="8.86328125" style="5" customWidth="1"/>
    <col min="35" max="36" width="10" style="5" customWidth="1"/>
    <col min="37" max="37" width="2.6640625" style="5" customWidth="1"/>
    <col min="38" max="38" width="8.86328125" style="5" customWidth="1"/>
    <col min="39" max="40" width="10" style="5" customWidth="1"/>
    <col min="41" max="41" width="2.6640625" style="5" customWidth="1"/>
    <col min="42" max="42" width="8.86328125" style="5" customWidth="1"/>
    <col min="43" max="44" width="10" style="5" customWidth="1"/>
    <col min="45" max="45" width="11.6640625" style="5" customWidth="1"/>
    <col min="46" max="46" width="10" style="5" bestFit="1" customWidth="1"/>
    <col min="47" max="47" width="2.6640625" style="5" customWidth="1"/>
    <col min="48" max="48" width="8.86328125" style="5"/>
    <col min="49" max="49" width="11.6640625" style="5" customWidth="1"/>
    <col min="50" max="50" width="10" style="5" bestFit="1" customWidth="1"/>
    <col min="51" max="51" width="2.6640625" style="5" customWidth="1"/>
    <col min="52" max="54" width="8.86328125" style="5"/>
    <col min="55" max="55" width="2.6640625" style="5" customWidth="1"/>
    <col min="56" max="56" width="8.86328125" style="5"/>
    <col min="57" max="57" width="15.86328125" style="5" bestFit="1" customWidth="1"/>
    <col min="58" max="58" width="8.33203125" style="5" bestFit="1" customWidth="1"/>
    <col min="59" max="59" width="16.53125" style="5" bestFit="1" customWidth="1"/>
    <col min="60" max="60" width="2.6640625" style="5" customWidth="1"/>
    <col min="61" max="62" width="8.86328125" style="5"/>
    <col min="63" max="63" width="10.46484375" style="5" bestFit="1" customWidth="1"/>
    <col min="64" max="64" width="2.6640625" style="5" customWidth="1"/>
    <col min="65" max="65" width="8.86328125" style="5"/>
    <col min="66" max="66" width="10.46484375" style="5" bestFit="1" customWidth="1"/>
    <col min="67" max="67" width="10" style="5" bestFit="1" customWidth="1"/>
    <col min="68" max="68" width="2.6640625" style="5" customWidth="1"/>
    <col min="69" max="69" width="8.33203125" style="5" bestFit="1" customWidth="1"/>
    <col min="70" max="70" width="10.46484375" style="5" bestFit="1" customWidth="1"/>
    <col min="71" max="71" width="9" style="5" bestFit="1" customWidth="1"/>
    <col min="72" max="72" width="2.6640625" style="5" customWidth="1"/>
    <col min="73" max="73" width="8.86328125" style="5"/>
    <col min="74" max="74" width="10.46484375" style="5" bestFit="1" customWidth="1"/>
    <col min="75" max="75" width="9.53125" style="5" bestFit="1" customWidth="1"/>
    <col min="76" max="76" width="2.6640625" style="5" customWidth="1"/>
    <col min="77" max="77" width="8.33203125" style="5" bestFit="1" customWidth="1"/>
    <col min="78" max="78" width="10.46484375" style="5" bestFit="1" customWidth="1"/>
    <col min="79" max="79" width="8.53125" style="5" bestFit="1" customWidth="1"/>
    <col min="80" max="80" width="2.6640625" style="5" customWidth="1"/>
    <col min="81" max="81" width="8.33203125" style="5" bestFit="1" customWidth="1"/>
    <col min="82" max="83" width="10" style="5" bestFit="1" customWidth="1"/>
    <col min="84" max="84" width="2.6640625" style="5" customWidth="1"/>
    <col min="85" max="87" width="8.86328125" style="5"/>
    <col min="88" max="88" width="2.6640625" style="5" customWidth="1"/>
    <col min="89" max="89" width="8.86328125" style="5"/>
    <col min="90" max="90" width="9.6640625" style="5" bestFit="1" customWidth="1"/>
    <col min="91" max="91" width="8.86328125" style="5"/>
    <col min="92" max="92" width="2.6640625" style="5" customWidth="1"/>
    <col min="93" max="93" width="8.86328125" style="5"/>
    <col min="94" max="94" width="18.33203125" style="5" bestFit="1" customWidth="1"/>
    <col min="95" max="95" width="2.6640625" style="5" customWidth="1"/>
    <col min="96" max="96" width="8.86328125" style="5"/>
    <col min="97" max="97" width="18.33203125" style="5" bestFit="1" customWidth="1"/>
    <col min="98" max="98" width="2.6640625" style="5" customWidth="1"/>
    <col min="99" max="99" width="8.86328125" style="5"/>
    <col min="100" max="100" width="9.33203125" style="5" bestFit="1" customWidth="1"/>
    <col min="101" max="101" width="10" style="5" bestFit="1" customWidth="1"/>
    <col min="102" max="102" width="2.6640625" style="5" customWidth="1"/>
    <col min="103" max="103" width="7.33203125" style="5" bestFit="1" customWidth="1"/>
    <col min="104" max="104" width="10" style="5" bestFit="1" customWidth="1"/>
    <col min="105" max="105" width="9.53125" style="5" bestFit="1" customWidth="1"/>
    <col min="106" max="106" width="2.6640625" style="5" customWidth="1"/>
    <col min="107" max="107" width="7.33203125" style="5" bestFit="1" customWidth="1"/>
    <col min="108" max="108" width="10.46484375" style="5" bestFit="1" customWidth="1"/>
    <col min="109" max="109" width="6.86328125" style="5" bestFit="1" customWidth="1"/>
    <col min="110" max="16384" width="8.86328125" style="5"/>
  </cols>
  <sheetData>
    <row r="1" spans="2:121" ht="12.75" customHeight="1">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row>
    <row r="2" spans="2:121" s="159" customFormat="1" ht="13.15">
      <c r="B2" s="5"/>
      <c r="C2" s="3579" t="s">
        <v>0</v>
      </c>
      <c r="D2" s="13" t="s">
        <v>2</v>
      </c>
      <c r="E2" s="3581" t="s">
        <v>3</v>
      </c>
      <c r="F2" s="3578"/>
      <c r="G2" s="3578"/>
      <c r="H2" s="3578"/>
      <c r="I2" s="3578"/>
      <c r="J2" s="3578"/>
      <c r="K2" s="3578"/>
      <c r="L2" s="3578"/>
      <c r="M2" s="3578"/>
      <c r="N2" s="3578"/>
      <c r="O2" s="256"/>
      <c r="P2" s="3578" t="s">
        <v>3</v>
      </c>
      <c r="Q2" s="3578"/>
      <c r="R2" s="3578"/>
      <c r="S2" s="3578"/>
      <c r="T2" s="3578"/>
      <c r="U2" s="3578"/>
      <c r="V2" s="3578"/>
      <c r="W2" s="3578"/>
      <c r="X2" s="3578"/>
      <c r="Y2" s="3578"/>
      <c r="Z2" s="3578"/>
      <c r="AA2" s="240"/>
      <c r="AB2" s="3578" t="s">
        <v>3</v>
      </c>
      <c r="AC2" s="3578"/>
      <c r="AD2" s="3578"/>
      <c r="AE2" s="3578"/>
      <c r="AF2" s="3578"/>
      <c r="AG2" s="3578"/>
      <c r="AH2" s="3578"/>
      <c r="AI2" s="3578"/>
      <c r="AJ2" s="3578"/>
      <c r="AK2" s="3578"/>
      <c r="AL2" s="3578"/>
      <c r="AM2" s="256"/>
      <c r="AN2" s="3578" t="s">
        <v>3</v>
      </c>
      <c r="AO2" s="3578"/>
      <c r="AP2" s="3578"/>
      <c r="AQ2" s="3578"/>
      <c r="AR2" s="3578"/>
      <c r="AS2" s="3578"/>
      <c r="AT2" s="3578"/>
      <c r="AU2" s="3578"/>
      <c r="AV2" s="3578"/>
      <c r="AW2" s="3578"/>
      <c r="AX2" s="3578"/>
      <c r="AY2" s="256"/>
      <c r="AZ2" s="256"/>
      <c r="BA2" s="256"/>
      <c r="BB2" s="256"/>
      <c r="BC2" s="256"/>
      <c r="BD2" s="256"/>
      <c r="BE2" s="256"/>
      <c r="BF2" s="256"/>
      <c r="BG2" s="256"/>
      <c r="BH2" s="256"/>
      <c r="BI2" s="256"/>
      <c r="BJ2" s="256"/>
      <c r="BK2" s="256"/>
      <c r="BL2" s="256"/>
      <c r="BM2" s="256"/>
      <c r="BN2" s="256"/>
      <c r="BO2" s="256"/>
      <c r="BP2" s="256"/>
      <c r="BQ2" s="256"/>
      <c r="BR2" s="256"/>
      <c r="BS2" s="256"/>
      <c r="BT2" s="256"/>
      <c r="BU2" s="256"/>
      <c r="BV2" s="256"/>
      <c r="BW2" s="256"/>
      <c r="BX2" s="256"/>
      <c r="BY2" s="256"/>
      <c r="BZ2" s="256"/>
      <c r="CA2" s="256"/>
      <c r="CB2" s="256"/>
      <c r="CC2" s="256"/>
      <c r="CD2" s="256"/>
      <c r="CE2" s="256"/>
      <c r="CF2" s="256"/>
      <c r="CG2" s="256"/>
      <c r="CH2" s="256"/>
      <c r="CI2" s="3578" t="s">
        <v>3</v>
      </c>
      <c r="CJ2" s="3578"/>
      <c r="CK2" s="3578"/>
      <c r="CL2" s="3578"/>
      <c r="CM2" s="3578"/>
      <c r="CN2" s="3578"/>
      <c r="CO2" s="3578"/>
      <c r="CP2" s="3578"/>
      <c r="CQ2" s="256"/>
      <c r="CR2" s="256"/>
      <c r="CS2" s="256"/>
      <c r="CT2" s="256"/>
      <c r="CU2" s="256"/>
      <c r="CV2" s="14"/>
      <c r="CW2" s="3578" t="s">
        <v>3</v>
      </c>
      <c r="CX2" s="3578"/>
      <c r="CY2" s="3578"/>
      <c r="CZ2" s="3578"/>
      <c r="DA2" s="3578"/>
      <c r="DB2" s="3578"/>
      <c r="DC2" s="3578"/>
      <c r="DD2" s="3578"/>
      <c r="DE2" s="3578"/>
      <c r="DF2" s="3578"/>
      <c r="DG2" s="3578" t="s">
        <v>3</v>
      </c>
      <c r="DH2" s="3578"/>
      <c r="DI2" s="3578"/>
      <c r="DJ2" s="3578"/>
      <c r="DK2" s="3578"/>
      <c r="DL2" s="3578"/>
      <c r="DM2" s="3578"/>
      <c r="DN2" s="3578"/>
      <c r="DO2" s="3578"/>
      <c r="DP2" s="3578"/>
    </row>
    <row r="3" spans="2:121" ht="13.15">
      <c r="C3" s="3580"/>
      <c r="D3" s="3181" t="s">
        <v>975</v>
      </c>
      <c r="E3" s="3581"/>
      <c r="F3" s="3578"/>
      <c r="G3" s="3578"/>
      <c r="H3" s="3578"/>
      <c r="I3" s="3578"/>
      <c r="J3" s="3578"/>
      <c r="K3" s="3578"/>
      <c r="L3" s="3578"/>
      <c r="M3" s="3578"/>
      <c r="N3" s="3578"/>
      <c r="O3" s="256"/>
      <c r="P3" s="3578"/>
      <c r="Q3" s="3578"/>
      <c r="R3" s="3578"/>
      <c r="S3" s="3578"/>
      <c r="T3" s="3578"/>
      <c r="U3" s="3578"/>
      <c r="V3" s="3578"/>
      <c r="W3" s="3578"/>
      <c r="X3" s="3578"/>
      <c r="Y3" s="3578"/>
      <c r="Z3" s="3578"/>
      <c r="AA3" s="240"/>
      <c r="AB3" s="3578"/>
      <c r="AC3" s="3578"/>
      <c r="AD3" s="3578"/>
      <c r="AE3" s="3578"/>
      <c r="AF3" s="3578"/>
      <c r="AG3" s="3578"/>
      <c r="AH3" s="3578"/>
      <c r="AI3" s="3578"/>
      <c r="AJ3" s="3578"/>
      <c r="AK3" s="3578"/>
      <c r="AL3" s="3578"/>
      <c r="AM3" s="256"/>
      <c r="AN3" s="3578"/>
      <c r="AO3" s="3578"/>
      <c r="AP3" s="3578"/>
      <c r="AQ3" s="3578"/>
      <c r="AR3" s="3578"/>
      <c r="AS3" s="3578"/>
      <c r="AT3" s="3578"/>
      <c r="AU3" s="3578"/>
      <c r="AV3" s="3578"/>
      <c r="AW3" s="3578"/>
      <c r="AX3" s="3578"/>
      <c r="AY3" s="256"/>
      <c r="AZ3" s="256"/>
      <c r="BA3" s="256"/>
      <c r="BB3" s="256"/>
      <c r="BC3" s="256"/>
      <c r="BD3" s="256"/>
      <c r="BE3" s="256"/>
      <c r="BF3" s="256"/>
      <c r="BG3" s="256"/>
      <c r="BH3" s="256"/>
      <c r="BI3" s="256"/>
      <c r="BJ3" s="256"/>
      <c r="BK3" s="256"/>
      <c r="BL3" s="256"/>
      <c r="BM3" s="256"/>
      <c r="BN3" s="256"/>
      <c r="BO3" s="256"/>
      <c r="BP3" s="256"/>
      <c r="BQ3" s="256"/>
      <c r="BR3" s="256"/>
      <c r="BS3" s="256"/>
      <c r="BT3" s="256"/>
      <c r="BU3" s="256"/>
      <c r="BV3" s="256"/>
      <c r="BW3" s="256"/>
      <c r="BX3" s="256"/>
      <c r="BY3" s="256"/>
      <c r="BZ3" s="256"/>
      <c r="CA3" s="256"/>
      <c r="CB3" s="256"/>
      <c r="CC3" s="256"/>
      <c r="CD3" s="256"/>
      <c r="CE3" s="256"/>
      <c r="CF3" s="256"/>
      <c r="CG3" s="256"/>
      <c r="CH3" s="256"/>
      <c r="CI3" s="3578"/>
      <c r="CJ3" s="3578"/>
      <c r="CK3" s="3578"/>
      <c r="CL3" s="3578"/>
      <c r="CM3" s="3578"/>
      <c r="CN3" s="3578"/>
      <c r="CO3" s="3578"/>
      <c r="CP3" s="3578"/>
      <c r="CQ3" s="256"/>
      <c r="CR3" s="256"/>
      <c r="CS3" s="256"/>
      <c r="CT3" s="256"/>
      <c r="CU3" s="256"/>
      <c r="CV3" s="14"/>
      <c r="CW3" s="3578"/>
      <c r="CX3" s="3578"/>
      <c r="CY3" s="3578"/>
      <c r="CZ3" s="3578"/>
      <c r="DA3" s="3578"/>
      <c r="DB3" s="3578"/>
      <c r="DC3" s="3578"/>
      <c r="DD3" s="3578"/>
      <c r="DE3" s="3578"/>
      <c r="DF3" s="3578"/>
      <c r="DG3" s="3578"/>
      <c r="DH3" s="3578"/>
      <c r="DI3" s="3578"/>
      <c r="DJ3" s="3578"/>
      <c r="DK3" s="3578"/>
      <c r="DL3" s="3578"/>
      <c r="DM3" s="3578"/>
      <c r="DN3" s="3578"/>
      <c r="DO3" s="3578"/>
      <c r="DP3" s="3578"/>
    </row>
    <row r="4" spans="2:121">
      <c r="D4" s="16"/>
      <c r="E4" s="16"/>
      <c r="F4" s="16"/>
      <c r="G4" s="16"/>
      <c r="H4" s="16"/>
      <c r="I4" s="16"/>
      <c r="J4" s="17"/>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row>
    <row r="5" spans="2:121" ht="15.75" customHeight="1">
      <c r="C5" s="2957" t="s">
        <v>1387</v>
      </c>
      <c r="D5" s="2958"/>
      <c r="E5" s="2958"/>
      <c r="F5" s="2958"/>
      <c r="G5" s="2958"/>
      <c r="H5" s="2959"/>
      <c r="I5" s="18"/>
      <c r="J5" s="2960" t="s">
        <v>99</v>
      </c>
      <c r="K5" s="2292"/>
      <c r="L5" s="2292"/>
      <c r="M5" s="2434"/>
      <c r="N5" s="2292"/>
      <c r="O5" s="2292"/>
      <c r="P5" s="2292"/>
      <c r="Q5" s="2434"/>
      <c r="R5" s="2434"/>
      <c r="S5" s="2434"/>
      <c r="T5" s="2434"/>
      <c r="U5" s="2961"/>
      <c r="V5" s="2962" t="s">
        <v>99</v>
      </c>
      <c r="W5" s="2434"/>
      <c r="X5" s="2434"/>
      <c r="Y5" s="2434"/>
      <c r="Z5" s="2434"/>
      <c r="AA5" s="2434"/>
      <c r="AB5" s="2434"/>
      <c r="AC5" s="2434"/>
      <c r="AD5" s="2963"/>
      <c r="AE5" s="2963"/>
      <c r="AF5" s="2292"/>
      <c r="AG5" s="2964"/>
      <c r="AH5" s="2963" t="s">
        <v>99</v>
      </c>
      <c r="AI5" s="2292"/>
      <c r="AJ5" s="2292"/>
      <c r="AK5" s="2292"/>
      <c r="AL5" s="2292"/>
      <c r="AM5" s="2292"/>
      <c r="AN5" s="2292"/>
      <c r="AO5" s="2434"/>
      <c r="AP5" s="2434"/>
      <c r="AQ5" s="2434"/>
      <c r="AR5" s="2530"/>
      <c r="AS5" s="12"/>
      <c r="CZ5" s="171"/>
      <c r="DA5" s="171"/>
      <c r="DB5" s="171"/>
      <c r="DC5" s="12"/>
      <c r="DD5" s="12"/>
      <c r="DE5" s="12"/>
      <c r="DF5" s="12"/>
      <c r="DG5" s="12"/>
      <c r="DH5" s="12"/>
      <c r="DI5" s="12"/>
      <c r="DJ5" s="12"/>
      <c r="DK5" s="12"/>
    </row>
    <row r="6" spans="2:121" ht="13.25" customHeight="1">
      <c r="C6" s="2774"/>
      <c r="H6" s="274"/>
      <c r="I6" s="171"/>
      <c r="J6" s="253" t="s">
        <v>11</v>
      </c>
      <c r="K6" s="254"/>
      <c r="L6" s="255"/>
      <c r="M6" s="2965"/>
      <c r="N6" s="253" t="s">
        <v>4</v>
      </c>
      <c r="O6" s="254"/>
      <c r="P6" s="255"/>
      <c r="Q6" s="2966"/>
      <c r="R6" s="253" t="str">
        <f>'ASTM Vol. XI-XII'!L5</f>
        <v>ASTM Table 8</v>
      </c>
      <c r="S6" s="254"/>
      <c r="T6" s="255"/>
      <c r="U6" s="2967"/>
      <c r="V6" s="253" t="str">
        <f>'ASTM Vol. XI-XII'!P5</f>
        <v>ASTM Table 9</v>
      </c>
      <c r="W6" s="254"/>
      <c r="X6" s="255"/>
      <c r="Y6" s="2967"/>
      <c r="Z6" s="253" t="str">
        <f>'ASTM Vol. XI-XII'!T5</f>
        <v>ASTM Table 10</v>
      </c>
      <c r="AA6" s="254"/>
      <c r="AB6" s="255"/>
      <c r="AC6" s="2967"/>
      <c r="AD6" s="253" t="s">
        <v>5</v>
      </c>
      <c r="AE6" s="254"/>
      <c r="AF6" s="255"/>
      <c r="AG6" s="2965"/>
      <c r="AH6" s="253" t="str">
        <f>'ASTM Vol. XI-XII'!AB5</f>
        <v>ASTM Table 12</v>
      </c>
      <c r="AI6" s="254"/>
      <c r="AJ6" s="255"/>
      <c r="AK6" s="2967"/>
      <c r="AL6" s="253" t="s">
        <v>6</v>
      </c>
      <c r="AM6" s="254"/>
      <c r="AN6" s="255"/>
      <c r="AO6" s="2965"/>
      <c r="AP6" s="253" t="str">
        <f>'ASTM Vol. XI-XII'!AM5</f>
        <v>ASTM Table 14</v>
      </c>
      <c r="AQ6" s="254"/>
      <c r="AR6" s="255"/>
      <c r="AS6" s="2927"/>
      <c r="CZ6" s="12"/>
      <c r="DA6" s="12"/>
      <c r="DB6" s="12"/>
      <c r="DC6" s="171"/>
      <c r="DD6" s="171"/>
      <c r="DE6" s="171"/>
      <c r="DF6" s="171"/>
      <c r="DG6" s="171"/>
      <c r="DH6" s="171"/>
      <c r="DI6" s="171"/>
      <c r="DJ6" s="171"/>
      <c r="DK6" s="171"/>
    </row>
    <row r="7" spans="2:121" ht="13.25" customHeight="1">
      <c r="C7" s="2775"/>
      <c r="D7" s="285" t="s">
        <v>136</v>
      </c>
      <c r="E7" s="2968">
        <f>'ASTM Tables'!E6</f>
        <v>38.33</v>
      </c>
      <c r="F7" s="392" t="s">
        <v>166</v>
      </c>
      <c r="G7" s="6"/>
      <c r="H7" s="277"/>
      <c r="I7" s="12"/>
      <c r="J7" s="229" t="s">
        <v>18</v>
      </c>
      <c r="K7" s="230" t="s">
        <v>19</v>
      </c>
      <c r="L7" s="231" t="s">
        <v>20</v>
      </c>
      <c r="M7" s="2969"/>
      <c r="N7" s="229" t="s">
        <v>18</v>
      </c>
      <c r="O7" s="230" t="s">
        <v>21</v>
      </c>
      <c r="P7" s="231" t="s">
        <v>13</v>
      </c>
      <c r="Q7" s="259"/>
      <c r="R7" s="229" t="str">
        <f>'ASTM Vol. XI-XII'!L6</f>
        <v>API</v>
      </c>
      <c r="S7" s="230" t="str">
        <f>'ASTM Vol. XI-XII'!M6</f>
        <v>Pounds</v>
      </c>
      <c r="T7" s="231" t="str">
        <f>'ASTM Vol. XI-XII'!N6</f>
        <v>US Gallons</v>
      </c>
      <c r="U7" s="2970"/>
      <c r="V7" s="229" t="str">
        <f>'ASTM Vol. XI-XII'!P6</f>
        <v>API</v>
      </c>
      <c r="W7" s="230" t="str">
        <f>'ASTM Vol. XI-XII'!Q6</f>
        <v>Short Tons</v>
      </c>
      <c r="X7" s="231" t="str">
        <f>'ASTM Vol. XI-XII'!R6</f>
        <v>Short Tons</v>
      </c>
      <c r="Y7" s="2970"/>
      <c r="Z7" s="229" t="str">
        <f>'ASTM Vol. XI-XII'!T6</f>
        <v>API</v>
      </c>
      <c r="AA7" s="230" t="str">
        <f>'ASTM Vol. XI-XII'!U6</f>
        <v>US Gallons</v>
      </c>
      <c r="AB7" s="231" t="str">
        <f>'ASTM Vol. XI-XII'!V6</f>
        <v>Barrels</v>
      </c>
      <c r="AC7" s="2970"/>
      <c r="AD7" s="229" t="s">
        <v>18</v>
      </c>
      <c r="AE7" s="230" t="s">
        <v>14</v>
      </c>
      <c r="AF7" s="231" t="s">
        <v>14</v>
      </c>
      <c r="AG7" s="2969"/>
      <c r="AH7" s="229" t="str">
        <f>'ASTM Vol. XI-XII'!AB6</f>
        <v>API</v>
      </c>
      <c r="AI7" s="230" t="str">
        <f>'ASTM Vol. XI-XII'!AC6</f>
        <v>US Gallons</v>
      </c>
      <c r="AJ7" s="231" t="str">
        <f>'ASTM Vol. XI-XII'!AD6</f>
        <v>Barrels</v>
      </c>
      <c r="AK7" s="2970"/>
      <c r="AL7" s="229" t="s">
        <v>18</v>
      </c>
      <c r="AM7" s="230" t="s">
        <v>15</v>
      </c>
      <c r="AN7" s="231" t="s">
        <v>15</v>
      </c>
      <c r="AO7" s="2969"/>
      <c r="AP7" s="229" t="str">
        <f>'ASTM Vol. XI-XII'!AM6</f>
        <v>API</v>
      </c>
      <c r="AQ7" s="230" t="str">
        <f>'ASTM Vol. XI-XII'!AN6</f>
        <v>Cubic Mtrs</v>
      </c>
      <c r="AR7" s="231" t="str">
        <f>'ASTM Vol. XI-XII'!AO6</f>
        <v>Cubic Mtrs</v>
      </c>
      <c r="AS7" s="2970"/>
      <c r="CZ7" s="171"/>
      <c r="DA7" s="171"/>
      <c r="DB7" s="171"/>
      <c r="DC7" s="12"/>
      <c r="DD7" s="12"/>
      <c r="DE7" s="12"/>
      <c r="DF7" s="12"/>
      <c r="DG7" s="12"/>
      <c r="DH7" s="12"/>
      <c r="DI7" s="12"/>
      <c r="DJ7" s="12"/>
      <c r="DK7" s="12"/>
    </row>
    <row r="8" spans="2:121" ht="13.25" customHeight="1">
      <c r="C8" s="2768" t="s">
        <v>11</v>
      </c>
      <c r="D8" s="287" t="s">
        <v>132</v>
      </c>
      <c r="E8" s="290">
        <f>K12</f>
        <v>0.83315000000000006</v>
      </c>
      <c r="F8" s="289" t="s">
        <v>167</v>
      </c>
      <c r="G8" s="6"/>
      <c r="H8" s="277"/>
      <c r="I8" s="171"/>
      <c r="J8" s="180" t="s">
        <v>26</v>
      </c>
      <c r="K8" s="181" t="s">
        <v>20</v>
      </c>
      <c r="L8" s="182"/>
      <c r="M8" s="2971"/>
      <c r="N8" s="180" t="s">
        <v>26</v>
      </c>
      <c r="O8" s="181" t="s">
        <v>25</v>
      </c>
      <c r="P8" s="182" t="s">
        <v>25</v>
      </c>
      <c r="Q8" s="260"/>
      <c r="R8" s="180" t="str">
        <f>'ASTM Vol. XI-XII'!L7</f>
        <v>Gravity</v>
      </c>
      <c r="S8" s="181" t="str">
        <f>'ASTM Vol. XI-XII'!M7</f>
        <v>per</v>
      </c>
      <c r="T8" s="182" t="str">
        <f>'ASTM Vol. XI-XII'!N7</f>
        <v>per</v>
      </c>
      <c r="U8" s="2927"/>
      <c r="V8" s="180" t="str">
        <f>'ASTM Vol. XI-XII'!P7</f>
        <v>Gravity</v>
      </c>
      <c r="W8" s="181" t="str">
        <f>'ASTM Vol. XI-XII'!Q7</f>
        <v>per 1000</v>
      </c>
      <c r="X8" s="182" t="str">
        <f>'ASTM Vol. XI-XII'!R7</f>
        <v>per</v>
      </c>
      <c r="Y8" s="2927"/>
      <c r="Z8" s="180" t="str">
        <f>'ASTM Vol. XI-XII'!T7</f>
        <v>Gravity</v>
      </c>
      <c r="AA8" s="181" t="str">
        <f>'ASTM Vol. XI-XII'!U7</f>
        <v>per</v>
      </c>
      <c r="AB8" s="182" t="str">
        <f>'ASTM Vol. XI-XII'!V7</f>
        <v>per</v>
      </c>
      <c r="AC8" s="2927"/>
      <c r="AD8" s="180" t="s">
        <v>26</v>
      </c>
      <c r="AE8" s="181" t="s">
        <v>98</v>
      </c>
      <c r="AF8" s="182" t="s">
        <v>25</v>
      </c>
      <c r="AG8" s="2971"/>
      <c r="AH8" s="180" t="str">
        <f>'ASTM Vol. XI-XII'!AB7</f>
        <v>Gravity</v>
      </c>
      <c r="AI8" s="181" t="str">
        <f>'ASTM Vol. XI-XII'!AC7</f>
        <v>per</v>
      </c>
      <c r="AJ8" s="182" t="str">
        <f>'ASTM Vol. XI-XII'!AD7</f>
        <v>per</v>
      </c>
      <c r="AK8" s="2927"/>
      <c r="AL8" s="180" t="s">
        <v>26</v>
      </c>
      <c r="AM8" s="181" t="s">
        <v>98</v>
      </c>
      <c r="AN8" s="182" t="s">
        <v>25</v>
      </c>
      <c r="AO8" s="2971"/>
      <c r="AP8" s="180" t="str">
        <f>'ASTM Vol. XI-XII'!AM7</f>
        <v>Gravity</v>
      </c>
      <c r="AQ8" s="181" t="str">
        <f>'ASTM Vol. XI-XII'!AN7</f>
        <v>per</v>
      </c>
      <c r="AR8" s="182" t="str">
        <f>'ASTM Vol. XI-XII'!AO7</f>
        <v>per</v>
      </c>
      <c r="AS8" s="2927"/>
      <c r="CZ8" s="12"/>
      <c r="DA8" s="12"/>
      <c r="DB8" s="12"/>
      <c r="DC8" s="171"/>
      <c r="DD8" s="171"/>
      <c r="DE8" s="171"/>
      <c r="DF8" s="171"/>
      <c r="DG8" s="171"/>
      <c r="DH8" s="171"/>
      <c r="DI8" s="171"/>
      <c r="DJ8" s="171"/>
      <c r="DK8" s="171"/>
    </row>
    <row r="9" spans="2:121" ht="13.25" customHeight="1">
      <c r="C9" s="2768" t="s">
        <v>11</v>
      </c>
      <c r="D9" s="287" t="s">
        <v>131</v>
      </c>
      <c r="E9" s="336">
        <f>L12</f>
        <v>832.75</v>
      </c>
      <c r="F9" s="393" t="s">
        <v>168</v>
      </c>
      <c r="G9" s="278"/>
      <c r="H9" s="279"/>
      <c r="I9" s="12"/>
      <c r="J9" s="233"/>
      <c r="K9" s="234"/>
      <c r="L9" s="235"/>
      <c r="M9" s="2969"/>
      <c r="N9" s="233" t="s">
        <v>27</v>
      </c>
      <c r="O9" s="234" t="s">
        <v>30</v>
      </c>
      <c r="P9" s="235" t="s">
        <v>28</v>
      </c>
      <c r="Q9" s="259"/>
      <c r="R9" s="233"/>
      <c r="S9" s="234" t="str">
        <f>'ASTM Vol. XI-XII'!M8</f>
        <v>US Gallon</v>
      </c>
      <c r="T9" s="235" t="str">
        <f>'ASTM Vol. XI-XII'!N8</f>
        <v>Pound</v>
      </c>
      <c r="U9" s="2970"/>
      <c r="V9" s="233"/>
      <c r="W9" s="234" t="str">
        <f>'ASTM Vol. XI-XII'!Q8</f>
        <v>US Gallons</v>
      </c>
      <c r="X9" s="235" t="str">
        <f>'ASTM Vol. XI-XII'!R8</f>
        <v>Barrel</v>
      </c>
      <c r="Y9" s="2970"/>
      <c r="Z9" s="233"/>
      <c r="AA9" s="234" t="str">
        <f>'ASTM Vol. XI-XII'!U8</f>
        <v>Short Ton</v>
      </c>
      <c r="AB9" s="235" t="str">
        <f>'ASTM Vol. XI-XII'!V8</f>
        <v>Short Ton</v>
      </c>
      <c r="AC9" s="2970"/>
      <c r="AD9" s="233"/>
      <c r="AE9" s="234" t="s">
        <v>24</v>
      </c>
      <c r="AF9" s="235" t="s">
        <v>28</v>
      </c>
      <c r="AG9" s="2969"/>
      <c r="AH9" s="233"/>
      <c r="AI9" s="234" t="str">
        <f>'ASTM Vol. XI-XII'!AC8</f>
        <v>Long Ton</v>
      </c>
      <c r="AJ9" s="235" t="str">
        <f>'ASTM Vol. XI-XII'!AD8</f>
        <v>Long Ton</v>
      </c>
      <c r="AK9" s="2970"/>
      <c r="AL9" s="233"/>
      <c r="AM9" s="234" t="s">
        <v>24</v>
      </c>
      <c r="AN9" s="235" t="s">
        <v>28</v>
      </c>
      <c r="AO9" s="2969"/>
      <c r="AP9" s="233"/>
      <c r="AQ9" s="234" t="str">
        <f>'ASTM Vol. XI-XII'!AN8</f>
        <v>Short Ton</v>
      </c>
      <c r="AR9" s="235" t="str">
        <f>'ASTM Vol. XI-XII'!AO8</f>
        <v xml:space="preserve">Long Ton </v>
      </c>
      <c r="AS9" s="2970"/>
      <c r="CZ9" s="12"/>
      <c r="DA9" s="24"/>
      <c r="DB9" s="12"/>
      <c r="DC9" s="12"/>
      <c r="DD9" s="12"/>
      <c r="DE9" s="12"/>
      <c r="DF9" s="12"/>
      <c r="DG9" s="12"/>
      <c r="DH9" s="12"/>
      <c r="DI9" s="12"/>
      <c r="DJ9" s="12"/>
      <c r="DK9" s="12"/>
    </row>
    <row r="10" spans="2:121" ht="13.25" customHeight="1">
      <c r="C10" s="2768"/>
      <c r="D10" s="287" t="s">
        <v>1388</v>
      </c>
      <c r="E10" s="2972">
        <f>'ASTM Tables'!E7</f>
        <v>93.4</v>
      </c>
      <c r="F10" s="393"/>
      <c r="G10" s="278"/>
      <c r="H10" s="279"/>
      <c r="I10" s="12"/>
      <c r="J10" s="2571" t="s">
        <v>32</v>
      </c>
      <c r="K10" s="2572" t="s">
        <v>33</v>
      </c>
      <c r="L10" s="2573" t="s">
        <v>31</v>
      </c>
      <c r="M10" s="2971"/>
      <c r="N10" s="2571" t="s">
        <v>32</v>
      </c>
      <c r="O10" s="2572" t="s">
        <v>31</v>
      </c>
      <c r="P10" s="2573" t="s">
        <v>31</v>
      </c>
      <c r="Q10" s="260"/>
      <c r="R10" s="2571" t="str">
        <f>'ASTM Vol. XI-XII'!L9</f>
        <v>(60°F)</v>
      </c>
      <c r="S10" s="2572" t="str">
        <f>'ASTM Vol. XI-XII'!M9</f>
        <v>(60°F)</v>
      </c>
      <c r="T10" s="2573" t="str">
        <f>'ASTM Vol. XI-XII'!N9</f>
        <v>(60°F)</v>
      </c>
      <c r="U10" s="2927"/>
      <c r="V10" s="2571" t="str">
        <f>'ASTM Vol. XI-XII'!P9</f>
        <v>(60°F)</v>
      </c>
      <c r="W10" s="2572" t="str">
        <f>'ASTM Vol. XI-XII'!Q9</f>
        <v>(60°F)</v>
      </c>
      <c r="X10" s="2573" t="str">
        <f>'ASTM Vol. XI-XII'!R9</f>
        <v>(60°F)</v>
      </c>
      <c r="Y10" s="2927"/>
      <c r="Z10" s="2571" t="str">
        <f>'ASTM Vol. XI-XII'!T9</f>
        <v>(60°F)</v>
      </c>
      <c r="AA10" s="2572" t="str">
        <f>'ASTM Vol. XI-XII'!U9</f>
        <v>(60°F)</v>
      </c>
      <c r="AB10" s="2573" t="str">
        <f>'ASTM Vol. XI-XII'!V9</f>
        <v>(60°F)</v>
      </c>
      <c r="AC10" s="2927"/>
      <c r="AD10" s="2571" t="s">
        <v>32</v>
      </c>
      <c r="AE10" s="2572" t="s">
        <v>32</v>
      </c>
      <c r="AF10" s="2573" t="s">
        <v>32</v>
      </c>
      <c r="AG10" s="2971"/>
      <c r="AH10" s="2571" t="str">
        <f>'ASTM Vol. XI-XII'!AB9</f>
        <v>(60°F)</v>
      </c>
      <c r="AI10" s="2572" t="str">
        <f>'ASTM Vol. XI-XII'!AC9</f>
        <v>(60°F)</v>
      </c>
      <c r="AJ10" s="2573" t="str">
        <f>'ASTM Vol. XI-XII'!AD9</f>
        <v>(60°F)</v>
      </c>
      <c r="AK10" s="2927"/>
      <c r="AL10" s="2571" t="s">
        <v>32</v>
      </c>
      <c r="AM10" s="2572" t="s">
        <v>32</v>
      </c>
      <c r="AN10" s="2573" t="s">
        <v>32</v>
      </c>
      <c r="AO10" s="2971"/>
      <c r="AP10" s="2571" t="str">
        <f>'ASTM Vol. XI-XII'!AM9</f>
        <v>(60°F)</v>
      </c>
      <c r="AQ10" s="2572" t="str">
        <f>'ASTM Vol. XI-XII'!AN9</f>
        <v>(15°C)</v>
      </c>
      <c r="AR10" s="2573" t="str">
        <f>'ASTM Vol. XI-XII'!AO9</f>
        <v>(15°C)</v>
      </c>
      <c r="AS10" s="2927"/>
      <c r="CZ10" s="12"/>
      <c r="DA10" s="12"/>
      <c r="DB10" s="12"/>
      <c r="DC10" s="12"/>
      <c r="DD10" s="12"/>
      <c r="DE10" s="12"/>
      <c r="DF10" s="12"/>
      <c r="DG10" s="12"/>
      <c r="DH10" s="12"/>
      <c r="DI10" s="12"/>
      <c r="DJ10" s="12"/>
      <c r="DK10" s="12"/>
    </row>
    <row r="11" spans="2:121" ht="13.25" customHeight="1">
      <c r="C11" s="2973"/>
      <c r="D11" s="2974"/>
      <c r="E11" s="2975"/>
      <c r="F11" s="2975"/>
      <c r="G11" s="2714"/>
      <c r="H11" s="2976"/>
      <c r="I11" s="12"/>
      <c r="J11" s="2977">
        <f>VLOOKUP(J12,'ASTM Vol. XI-XII'!D$10:D$860,TRUE)</f>
        <v>38.299999999999997</v>
      </c>
      <c r="K11" s="2978">
        <f>VLOOKUP(J11,'ASTM Vol. XI-XII'!D$10:E$860,2)</f>
        <v>0.83330000000000004</v>
      </c>
      <c r="L11" s="2979">
        <f>VLOOKUP(J11,'ASTM Vol. XI-XII'!D$10:F$860,3)</f>
        <v>832.9</v>
      </c>
      <c r="M11" s="2980"/>
      <c r="N11" s="2977">
        <f>VLOOKUP(N12,'ASTM Vol. XI-XII'!H$10:H$860,TRUE)</f>
        <v>38.299999999999997</v>
      </c>
      <c r="O11" s="2978">
        <f>VLOOKUP(N11,'ASTM Vol. XI-XII'!H$10:I$860,2)</f>
        <v>3.7835999999999999</v>
      </c>
      <c r="P11" s="2981">
        <f>VLOOKUP(N11,'ASTM Vol. XI-XII'!H$10:J$860,3)</f>
        <v>0.15891</v>
      </c>
      <c r="Q11" s="352"/>
      <c r="R11" s="2977">
        <f>VLOOKUP(R12,'ASTM Vol. XI-XII'!L$10:L$860,TRUE)</f>
        <v>38.299999999999997</v>
      </c>
      <c r="S11" s="2978">
        <f>VLOOKUP(R11,'ASTM Vol. XI-XII'!L$10:M$860,2)</f>
        <v>6.9379999999999997</v>
      </c>
      <c r="T11" s="2981">
        <f>VLOOKUP(R11,'ASTM Vol. XI-XII'!L$10:N$860,3)</f>
        <v>0.14412</v>
      </c>
      <c r="U11" s="2980"/>
      <c r="V11" s="2977">
        <f>VLOOKUP(V12,'ASTM Vol. XI-XII'!P$10:P$860,TRUE)</f>
        <v>38.299999999999997</v>
      </c>
      <c r="W11" s="2978">
        <f>VLOOKUP(V11,'ASTM Vol. XI-XII'!P$10:Q$860,2)</f>
        <v>3.4691999999999998</v>
      </c>
      <c r="X11" s="2981">
        <f>VLOOKUP(V11,'ASTM Vol. XI-XII'!P$10:R$860,3)</f>
        <v>0.14571000000000001</v>
      </c>
      <c r="Y11" s="2980"/>
      <c r="Z11" s="2977">
        <f>VLOOKUP(Z12,'ASTM Vol. XI-XII'!T$10:T$860,TRUE)</f>
        <v>38.299999999999997</v>
      </c>
      <c r="AA11" s="2982">
        <f>VLOOKUP(Z11,'ASTM Vol. XI-XII'!T$10:U$860,2)</f>
        <v>288.25000000000199</v>
      </c>
      <c r="AB11" s="2983">
        <f>VLOOKUP(Z11,'ASTM Vol. XI-XII'!T$10:V$860,3)</f>
        <v>6.8630000000000004</v>
      </c>
      <c r="AC11" s="2980"/>
      <c r="AD11" s="2977">
        <f>VLOOKUP(AD12,'ASTM Vol. XI-XII'!X$10:X$860,TRUE)</f>
        <v>38.299999999999997</v>
      </c>
      <c r="AE11" s="2978">
        <f>VLOOKUP(AD11,'ASTM Vol. XI-XII'!X$10:Y$860,2)</f>
        <v>3.0975000000000001</v>
      </c>
      <c r="AF11" s="2981">
        <f>VLOOKUP(AD11,'ASTM Vol. XI-XII'!X$10:Z$860,3)</f>
        <v>0.13009999999999999</v>
      </c>
      <c r="AG11" s="2980"/>
      <c r="AH11" s="2977">
        <f>VLOOKUP(AH12,'ASTM Vol. XI-XII'!AB$10:AB$860,TRUE)</f>
        <v>38.299999999999997</v>
      </c>
      <c r="AI11" s="2982">
        <f>VLOOKUP(AH11,'ASTM Vol. XI-XII'!AB$10:AC$860,2)</f>
        <v>322.83999999999997</v>
      </c>
      <c r="AJ11" s="2983">
        <f>VLOOKUP(AH11,'ASTM Vol. XI-XII'!AB$10:AD$860,3)</f>
        <v>7.6870000000000003</v>
      </c>
      <c r="AK11" s="2980"/>
      <c r="AL11" s="2977">
        <f>VLOOKUP(AL12,'ASTM Vol. XI-XII'!AF$10:AF$860,TRUE)</f>
        <v>38.299999999999997</v>
      </c>
      <c r="AM11" s="2978">
        <f>VLOOKUP(AL11,'ASTM Vol. XI-XII'!AF$10:AG$860,2)</f>
        <v>3.1472000000000002</v>
      </c>
      <c r="AN11" s="2981">
        <f>VLOOKUP(AL11,'ASTM Vol. XI-XII'!AF$10:AH$860,3)</f>
        <v>0.13217999999999999</v>
      </c>
      <c r="AO11" s="2980"/>
      <c r="AP11" s="2977">
        <f>VLOOKUP(AP12,'ASTM Vol. XI-XII'!AM$10:AM$860,TRUE)</f>
        <v>38.299999999999997</v>
      </c>
      <c r="AQ11" s="2978">
        <f>VLOOKUP(AP11,'ASTM Vol. XI-XII'!AM$10:AN$860,2)</f>
        <v>1.0906</v>
      </c>
      <c r="AR11" s="2978">
        <f>VLOOKUP(AP11,'ASTM Vol. XI-XII'!AM$10:AO$860,3)</f>
        <v>1.2215</v>
      </c>
      <c r="AS11" s="2493"/>
      <c r="CZ11" s="12"/>
      <c r="DA11" s="12"/>
      <c r="DB11" s="12"/>
      <c r="DC11" s="12"/>
      <c r="DD11" s="12"/>
      <c r="DE11" s="12"/>
      <c r="DF11" s="12"/>
      <c r="DG11" s="12"/>
      <c r="DH11" s="12"/>
      <c r="DI11" s="12"/>
      <c r="DJ11" s="12"/>
      <c r="DK11" s="12"/>
    </row>
    <row r="12" spans="2:121" ht="13.25" customHeight="1">
      <c r="C12" s="2768" t="s">
        <v>4</v>
      </c>
      <c r="D12" s="241" t="s">
        <v>137</v>
      </c>
      <c r="E12" s="293">
        <f>O12</f>
        <v>3.7835999999999999</v>
      </c>
      <c r="F12" s="293" t="s">
        <v>25</v>
      </c>
      <c r="G12" s="319" t="s">
        <v>142</v>
      </c>
      <c r="H12" s="280"/>
      <c r="I12" s="12"/>
      <c r="J12" s="2984">
        <f>$E$7</f>
        <v>38.33</v>
      </c>
      <c r="K12" s="2985">
        <f>K11+((J12-J11)/(J13-J11))*(K13-K11)</f>
        <v>0.83315000000000006</v>
      </c>
      <c r="L12" s="2986">
        <f>L11+((J12-J11)/(J13-J11))*(L13-L11)</f>
        <v>832.75</v>
      </c>
      <c r="M12" s="2980"/>
      <c r="N12" s="2984">
        <f>$E$7</f>
        <v>38.33</v>
      </c>
      <c r="O12" s="2985">
        <f>O11+((N12-N11)/(N13-N11))*(O13-O11)</f>
        <v>3.7835999999999999</v>
      </c>
      <c r="P12" s="2987">
        <f>P11+((N12-N11)/(N13-N11))*(P13-P11)</f>
        <v>0.15891</v>
      </c>
      <c r="Q12" s="352"/>
      <c r="R12" s="2984">
        <f>$E$7</f>
        <v>38.33</v>
      </c>
      <c r="S12" s="2985">
        <f>S11+((R12-R11)/(R13-R11))*(S13-S11)</f>
        <v>6.9367999999999999</v>
      </c>
      <c r="T12" s="2987">
        <f>T11+((R12-R11)/(R13-R11))*(T13-T11)</f>
        <v>0.144147</v>
      </c>
      <c r="U12" s="2980"/>
      <c r="V12" s="2984">
        <f>$E$7</f>
        <v>38.33</v>
      </c>
      <c r="W12" s="2985">
        <f>W11+((V12-V11)/(V13-V11))*(W13-W11)</f>
        <v>3.4685999999999999</v>
      </c>
      <c r="X12" s="2987">
        <f>X11+((V12-V11)/(V13-V11))*(X13-X11)</f>
        <v>0.14568300000000001</v>
      </c>
      <c r="Y12" s="2980"/>
      <c r="Z12" s="2984">
        <f>$E$7</f>
        <v>38.33</v>
      </c>
      <c r="AA12" s="2988">
        <f>AA11+((Z12-Z11)/(Z13-Z11))*(AA13-AA11)</f>
        <v>288.30100000000226</v>
      </c>
      <c r="AB12" s="2989">
        <f>AB11+((Z12-Z11)/(Z13-Z11))*(AB13-AB11)</f>
        <v>6.8642000000000003</v>
      </c>
      <c r="AC12" s="2980"/>
      <c r="AD12" s="2984">
        <f>$E$7</f>
        <v>38.33</v>
      </c>
      <c r="AE12" s="2985">
        <f>AE11+((AD12-AD11)/(AD13-AD11))*(AE13-AE11)</f>
        <v>3.0969600000000002</v>
      </c>
      <c r="AF12" s="2987">
        <f>AF11+((AD12-AD11)/(AD13-AD11))*(AF13-AF11)</f>
        <v>0.130076</v>
      </c>
      <c r="AG12" s="2980"/>
      <c r="AH12" s="2984">
        <f>$E$7</f>
        <v>38.33</v>
      </c>
      <c r="AI12" s="2988">
        <f>AI11+((AH12-AH11)/(AH13-AH11))*(AI13-AI11)</f>
        <v>322.89699999999999</v>
      </c>
      <c r="AJ12" s="2987">
        <f>AJ11+((AH12-AH11)/(AH13-AH11))*(AJ13-AJ11)</f>
        <v>7.6882000000000001</v>
      </c>
      <c r="AK12" s="2980"/>
      <c r="AL12" s="2984">
        <f>$E$7</f>
        <v>38.33</v>
      </c>
      <c r="AM12" s="2985">
        <f>AM11+((AL12-AL11)/(AL13-AL11))*(AM13-AM11)</f>
        <v>3.1466600000000002</v>
      </c>
      <c r="AN12" s="2987">
        <f>AN11+((AL12-AL11)/(AL13-AL11))*(AN13-AN11)</f>
        <v>0.132159</v>
      </c>
      <c r="AO12" s="2980"/>
      <c r="AP12" s="2984">
        <f>$E$7</f>
        <v>38.33</v>
      </c>
      <c r="AQ12" s="2985">
        <f>AQ11+((AP12-AP11)/(AP13-AP11))*(AQ13-AQ11)</f>
        <v>1.0908100000000001</v>
      </c>
      <c r="AR12" s="2985">
        <f>AR11+((AP12-AP11)/(AP13-AP11))*(AR13-AR11)</f>
        <v>1.2217100000000001</v>
      </c>
      <c r="AS12" s="2493"/>
      <c r="CZ12" s="12"/>
      <c r="DA12" s="12"/>
      <c r="DB12" s="12"/>
      <c r="DC12" s="12"/>
      <c r="DD12" s="12"/>
      <c r="DE12" s="12"/>
      <c r="DF12" s="12"/>
      <c r="DG12" s="12"/>
      <c r="DH12" s="12"/>
      <c r="DI12" s="12"/>
      <c r="DJ12" s="12"/>
      <c r="DK12" s="12"/>
    </row>
    <row r="13" spans="2:121" ht="13.25" customHeight="1">
      <c r="C13" s="2768" t="s">
        <v>4</v>
      </c>
      <c r="D13" s="241" t="s">
        <v>138</v>
      </c>
      <c r="E13" s="294">
        <f>P12</f>
        <v>0.15891</v>
      </c>
      <c r="F13" s="294" t="s">
        <v>25</v>
      </c>
      <c r="G13" s="319" t="s">
        <v>143</v>
      </c>
      <c r="H13" s="280"/>
      <c r="I13" s="12"/>
      <c r="J13" s="2977">
        <f>INDEX('ASTM Vol. XI-XII'!D$10:D$860,(MATCH(J11,'ASTM Vol. XI-XII'!D$10:D$860,1)+1))</f>
        <v>38.4</v>
      </c>
      <c r="K13" s="2978">
        <f>VLOOKUP(J13,'ASTM Vol. XI-XII'!D$10:E$860,2)</f>
        <v>0.83279999999999998</v>
      </c>
      <c r="L13" s="2979">
        <f>VLOOKUP(J13,'ASTM Vol. XI-XII'!D$10:F$860,3)</f>
        <v>832.4</v>
      </c>
      <c r="M13" s="2990"/>
      <c r="N13" s="2977">
        <f>INDEX('ASTM Vol. XI-XII'!H$10:H$860,(MATCH(N11,'ASTM Vol. XI-XII'!H$10:H$860,1)+1))</f>
        <v>38.4</v>
      </c>
      <c r="O13" s="2978">
        <f>VLOOKUP(N13,'ASTM Vol. XI-XII'!H$10:I$860,2)</f>
        <v>3.7835999999999999</v>
      </c>
      <c r="P13" s="2981">
        <f>VLOOKUP(N13,'ASTM Vol. XI-XII'!H$10:J$860,3)</f>
        <v>0.15891</v>
      </c>
      <c r="Q13" s="2991"/>
      <c r="R13" s="2977">
        <f>INDEX('ASTM Vol. XI-XII'!L$10:L$860,(MATCH(R11,'ASTM Vol. XI-XII'!L$10:L$860,1)+1))</f>
        <v>38.4</v>
      </c>
      <c r="S13" s="2978">
        <f>VLOOKUP(R13,'ASTM Vol. XI-XII'!L$10:M$860,2)</f>
        <v>6.9340000000000002</v>
      </c>
      <c r="T13" s="2981">
        <f>VLOOKUP(R13,'ASTM Vol. XI-XII'!L$10:N$860,3)</f>
        <v>0.14421</v>
      </c>
      <c r="U13" s="2990"/>
      <c r="V13" s="2977">
        <f>INDEX('ASTM Vol. XI-XII'!P$10:P$860,(MATCH(V11,'ASTM Vol. XI-XII'!P$10:P$860,1)+1))</f>
        <v>38.4</v>
      </c>
      <c r="W13" s="2978">
        <f>VLOOKUP(V13,'ASTM Vol. XI-XII'!P$10:Q$860,2)</f>
        <v>3.4672000000000001</v>
      </c>
      <c r="X13" s="2981">
        <f>VLOOKUP(V13,'ASTM Vol. XI-XII'!P$10:R$860,3)</f>
        <v>0.14562</v>
      </c>
      <c r="Y13" s="2990"/>
      <c r="Z13" s="2977">
        <f>INDEX('ASTM Vol. XI-XII'!T$10:T$860,(MATCH(Z11,'ASTM Vol. XI-XII'!T$10:T$860,1)+1))</f>
        <v>38.4</v>
      </c>
      <c r="AA13" s="2982">
        <f>VLOOKUP(Z13,'ASTM Vol. XI-XII'!T$10:U$860,2)</f>
        <v>288.42000000000297</v>
      </c>
      <c r="AB13" s="2983">
        <f>VLOOKUP(Z13,'ASTM Vol. XI-XII'!T$10:V$860,3)</f>
        <v>6.867</v>
      </c>
      <c r="AC13" s="2990"/>
      <c r="AD13" s="2977">
        <f>INDEX('ASTM Vol. XI-XII'!X$10:X$860,(MATCH(AD11,'ASTM Vol. XI-XII'!X$10:X$860,1)+1))</f>
        <v>38.4</v>
      </c>
      <c r="AE13" s="2978">
        <f>VLOOKUP(AD13,'ASTM Vol. XI-XII'!X$10:Y$860,2)</f>
        <v>3.0956999999999999</v>
      </c>
      <c r="AF13" s="2981">
        <f>VLOOKUP(AD13,'ASTM Vol. XI-XII'!X$10:Z$860,3)</f>
        <v>0.13002</v>
      </c>
      <c r="AG13" s="2990"/>
      <c r="AH13" s="2977">
        <f>INDEX('ASTM Vol. XI-XII'!AB$10:AB$860,(MATCH(AH11,'ASTM Vol. XI-XII'!AB$10:AB$860,1)+1))</f>
        <v>38.4</v>
      </c>
      <c r="AI13" s="2982">
        <f>VLOOKUP(AH13,'ASTM Vol. XI-XII'!AB$10:AC$860,2)</f>
        <v>323.02999999999997</v>
      </c>
      <c r="AJ13" s="2983">
        <f>VLOOKUP(AH13,'ASTM Vol. XI-XII'!AB$10:AD$860,3)</f>
        <v>7.6909999999999998</v>
      </c>
      <c r="AK13" s="2990"/>
      <c r="AL13" s="2977">
        <f>INDEX('ASTM Vol. XI-XII'!AF$10:AF$860,(MATCH(AL11,'ASTM Vol. XI-XII'!AF$10:AF$860,1)+1))</f>
        <v>38.4</v>
      </c>
      <c r="AM13" s="2978">
        <f>VLOOKUP(AL13,'ASTM Vol. XI-XII'!AF$10:AG$860,2)</f>
        <v>3.1454</v>
      </c>
      <c r="AN13" s="2981">
        <f>VLOOKUP(AL13,'ASTM Vol. XI-XII'!AF$10:AH$860,3)</f>
        <v>0.13211000000000001</v>
      </c>
      <c r="AO13" s="2990"/>
      <c r="AP13" s="2977">
        <f>INDEX('ASTM Vol. XI-XII'!AM$10:AM$860,(MATCH(AP11,'ASTM Vol. XI-XII'!AM$10:AM$860,1)+1))</f>
        <v>38.4</v>
      </c>
      <c r="AQ13" s="2978">
        <f>VLOOKUP(AP13,'ASTM Vol. XI-XII'!AM$10:AN$860,2)</f>
        <v>1.0912999999999999</v>
      </c>
      <c r="AR13" s="2978">
        <f>VLOOKUP(AP13,'ASTM Vol. XI-XII'!AM$10:AO$860,3)</f>
        <v>1.2222</v>
      </c>
      <c r="AS13" s="2493"/>
      <c r="CZ13" s="171"/>
      <c r="DA13" s="171"/>
      <c r="DB13" s="171"/>
      <c r="DC13" s="12"/>
      <c r="DD13" s="12"/>
      <c r="DE13" s="12"/>
      <c r="DF13" s="12"/>
      <c r="DG13" s="12"/>
      <c r="DH13" s="12"/>
      <c r="DI13" s="12"/>
      <c r="DJ13" s="12"/>
      <c r="DK13" s="12"/>
    </row>
    <row r="14" spans="2:121" ht="13.25" customHeight="1">
      <c r="C14" s="2768" t="s">
        <v>101</v>
      </c>
      <c r="D14" s="285" t="s">
        <v>102</v>
      </c>
      <c r="E14" s="295">
        <f>S12</f>
        <v>6.9367999999999999</v>
      </c>
      <c r="F14" s="294" t="s">
        <v>25</v>
      </c>
      <c r="G14" s="319" t="s">
        <v>142</v>
      </c>
      <c r="H14" s="280"/>
      <c r="I14" s="171"/>
      <c r="CZ14" s="12"/>
      <c r="DA14" s="12"/>
      <c r="DB14" s="12"/>
      <c r="DC14" s="171"/>
      <c r="DD14" s="171"/>
      <c r="DE14" s="171"/>
      <c r="DF14" s="171"/>
      <c r="DG14" s="171"/>
      <c r="DH14" s="171"/>
      <c r="DI14" s="171"/>
      <c r="DJ14" s="171"/>
      <c r="DK14" s="171"/>
    </row>
    <row r="15" spans="2:121" ht="13.25" customHeight="1">
      <c r="C15" s="2768" t="s">
        <v>101</v>
      </c>
      <c r="D15" s="292" t="s">
        <v>139</v>
      </c>
      <c r="E15" s="296">
        <f>T12</f>
        <v>0.144147</v>
      </c>
      <c r="F15" s="294" t="s">
        <v>25</v>
      </c>
      <c r="G15" s="320" t="s">
        <v>103</v>
      </c>
      <c r="H15" s="280"/>
      <c r="I15" s="171"/>
      <c r="J15" s="2529" t="s">
        <v>324</v>
      </c>
      <c r="K15" s="2434"/>
      <c r="L15" s="2434"/>
      <c r="M15" s="2434"/>
      <c r="N15" s="2434"/>
      <c r="O15" s="2434"/>
      <c r="P15" s="2434"/>
      <c r="Q15" s="2434"/>
      <c r="R15" s="2434"/>
      <c r="S15" s="2434"/>
      <c r="T15" s="2434"/>
      <c r="U15" s="2434"/>
      <c r="V15" s="2434"/>
      <c r="W15" s="2434"/>
      <c r="X15" s="2530"/>
      <c r="DC15" s="12"/>
      <c r="DD15" s="12"/>
      <c r="DE15" s="12"/>
      <c r="DF15" s="171"/>
      <c r="DG15" s="171"/>
      <c r="DH15" s="171"/>
      <c r="DI15" s="171"/>
      <c r="DJ15" s="171"/>
      <c r="DK15" s="171"/>
      <c r="DL15" s="171"/>
      <c r="DM15" s="171"/>
      <c r="DN15" s="171"/>
    </row>
    <row r="16" spans="2:121" ht="13.25" customHeight="1">
      <c r="C16" s="2768" t="s">
        <v>104</v>
      </c>
      <c r="D16" s="292" t="s">
        <v>23</v>
      </c>
      <c r="E16" s="295">
        <f>W12</f>
        <v>3.4685999999999999</v>
      </c>
      <c r="F16" s="294" t="s">
        <v>25</v>
      </c>
      <c r="G16" s="319" t="s">
        <v>144</v>
      </c>
      <c r="H16" s="279"/>
      <c r="I16" s="171"/>
      <c r="J16" s="2992"/>
      <c r="K16" s="2993"/>
      <c r="L16" s="2529" t="s">
        <v>203</v>
      </c>
      <c r="M16" s="2434"/>
      <c r="N16" s="2434"/>
      <c r="O16" s="2994"/>
      <c r="P16" s="2490"/>
      <c r="Q16" s="2581"/>
      <c r="R16" s="2772"/>
      <c r="S16" s="2582"/>
      <c r="T16" s="2582"/>
      <c r="U16" s="2582"/>
      <c r="V16" s="2582"/>
      <c r="W16" s="2583"/>
      <c r="X16" s="2540" t="s">
        <v>204</v>
      </c>
      <c r="DC16" s="12"/>
      <c r="DD16" s="12"/>
      <c r="DE16" s="12"/>
      <c r="DF16" s="171"/>
      <c r="DG16" s="171"/>
      <c r="DH16" s="171"/>
      <c r="DI16" s="171"/>
      <c r="DJ16" s="171"/>
      <c r="DK16" s="171"/>
      <c r="DL16" s="171"/>
      <c r="DM16" s="171"/>
      <c r="DN16" s="171"/>
    </row>
    <row r="17" spans="3:118" ht="13.25" customHeight="1">
      <c r="C17" s="2768" t="s">
        <v>104</v>
      </c>
      <c r="D17" s="292" t="s">
        <v>23</v>
      </c>
      <c r="E17" s="296">
        <f>X12</f>
        <v>0.14568300000000001</v>
      </c>
      <c r="F17" s="294" t="s">
        <v>25</v>
      </c>
      <c r="G17" s="319" t="s">
        <v>143</v>
      </c>
      <c r="H17" s="279"/>
      <c r="I17" s="171"/>
      <c r="J17" s="1607" t="s">
        <v>18</v>
      </c>
      <c r="K17" s="1607" t="s">
        <v>205</v>
      </c>
      <c r="L17" s="2529" t="s">
        <v>18</v>
      </c>
      <c r="M17" s="2529" t="s">
        <v>205</v>
      </c>
      <c r="N17" s="2529"/>
      <c r="O17" s="1607" t="s">
        <v>206</v>
      </c>
      <c r="P17" s="1607" t="s">
        <v>207</v>
      </c>
      <c r="Q17" s="2581"/>
      <c r="R17" s="2772"/>
      <c r="S17" s="2582"/>
      <c r="T17" s="2582"/>
      <c r="U17" s="2582"/>
      <c r="V17" s="2582"/>
      <c r="W17" s="2583"/>
      <c r="X17" s="1092" t="s">
        <v>208</v>
      </c>
      <c r="DC17" s="12"/>
      <c r="DD17" s="12"/>
      <c r="DE17" s="12"/>
      <c r="DF17" s="171"/>
      <c r="DG17" s="171"/>
      <c r="DH17" s="171"/>
      <c r="DI17" s="171"/>
      <c r="DJ17" s="171"/>
      <c r="DK17" s="171"/>
      <c r="DL17" s="171"/>
      <c r="DM17" s="171"/>
      <c r="DN17" s="171"/>
    </row>
    <row r="18" spans="3:118" ht="13.25" customHeight="1">
      <c r="C18" s="2768" t="s">
        <v>105</v>
      </c>
      <c r="D18" s="292" t="s">
        <v>139</v>
      </c>
      <c r="E18" s="297">
        <f>AA12</f>
        <v>288.30100000000226</v>
      </c>
      <c r="F18" s="294" t="s">
        <v>25</v>
      </c>
      <c r="G18" s="319" t="s">
        <v>106</v>
      </c>
      <c r="H18" s="279"/>
      <c r="I18" s="171"/>
      <c r="J18" s="1616">
        <f>E7</f>
        <v>38.33</v>
      </c>
      <c r="K18" s="1617">
        <f>E10</f>
        <v>93.4</v>
      </c>
      <c r="L18" s="1686">
        <f>FLOOR(J18,1)+IF(MOD(J18,1)&lt;0.26,0,IF(MOD(J18,1)&lt;0.76,0.5,1))</f>
        <v>38.5</v>
      </c>
      <c r="M18" s="2995">
        <f>FLOOR(K18,1)+IF(MOD(K18,1)&lt;0.26,0,IF(MOD(K18,1)&lt;0.76,0.5,1))</f>
        <v>93.5</v>
      </c>
      <c r="N18" s="2995"/>
      <c r="O18" s="1847">
        <f>341.0957/(141.5*999.012/(L18+131.5))^2</f>
        <v>4.9330986193167072E-4</v>
      </c>
      <c r="P18" s="1847">
        <f>1+0.8*O18*(M18-60)</f>
        <v>1.0132207042997687</v>
      </c>
      <c r="Q18" s="2581"/>
      <c r="R18" s="2772"/>
      <c r="S18" s="2582"/>
      <c r="T18" s="2582"/>
      <c r="U18" s="2582"/>
      <c r="V18" s="2582"/>
      <c r="W18" s="2583"/>
      <c r="X18" s="1623">
        <f>ROUND(EXP(O18*(M18-60)*P18*-1),4)</f>
        <v>0.98340000000000005</v>
      </c>
      <c r="DC18" s="12"/>
      <c r="DD18" s="12"/>
      <c r="DE18" s="12"/>
      <c r="DF18" s="171"/>
      <c r="DG18" s="171"/>
      <c r="DH18" s="171"/>
      <c r="DI18" s="171"/>
      <c r="DJ18" s="171"/>
      <c r="DK18" s="171"/>
      <c r="DL18" s="171"/>
      <c r="DM18" s="171"/>
      <c r="DN18" s="171"/>
    </row>
    <row r="19" spans="3:118" ht="13.25" customHeight="1">
      <c r="C19" s="2768" t="s">
        <v>105</v>
      </c>
      <c r="D19" s="292" t="s">
        <v>140</v>
      </c>
      <c r="E19" s="298">
        <f>AB12</f>
        <v>6.8642000000000003</v>
      </c>
      <c r="F19" s="294" t="s">
        <v>25</v>
      </c>
      <c r="G19" s="319" t="s">
        <v>106</v>
      </c>
      <c r="H19" s="279"/>
      <c r="I19" s="171"/>
      <c r="J19" s="2551"/>
      <c r="K19" s="541"/>
      <c r="L19" s="541"/>
      <c r="M19" s="541"/>
      <c r="N19" s="541"/>
      <c r="O19" s="541"/>
      <c r="P19" s="541"/>
      <c r="Q19" s="541"/>
      <c r="R19" s="541"/>
      <c r="S19" s="541"/>
      <c r="T19" s="541"/>
      <c r="U19" s="541"/>
      <c r="V19" s="541"/>
      <c r="W19" s="541"/>
      <c r="X19" s="2552"/>
      <c r="DC19" s="12"/>
      <c r="DD19" s="12"/>
      <c r="DE19" s="12"/>
      <c r="DF19" s="171"/>
      <c r="DG19" s="171"/>
      <c r="DH19" s="171"/>
      <c r="DI19" s="171"/>
      <c r="DJ19" s="171"/>
      <c r="DK19" s="171"/>
      <c r="DL19" s="171"/>
      <c r="DM19" s="171"/>
      <c r="DN19" s="171"/>
    </row>
    <row r="20" spans="3:118" ht="13.25" customHeight="1">
      <c r="C20" s="2768" t="s">
        <v>5</v>
      </c>
      <c r="D20" s="292" t="s">
        <v>14</v>
      </c>
      <c r="E20" s="295">
        <f>AE12</f>
        <v>3.0969600000000002</v>
      </c>
      <c r="F20" s="294" t="s">
        <v>25</v>
      </c>
      <c r="G20" s="319" t="s">
        <v>144</v>
      </c>
      <c r="H20" s="279"/>
      <c r="I20" s="171"/>
      <c r="J20" s="2992"/>
      <c r="K20" s="2993"/>
      <c r="L20" s="2529" t="s">
        <v>209</v>
      </c>
      <c r="M20" s="2996"/>
      <c r="N20" s="2996"/>
      <c r="O20" s="2997" t="s">
        <v>210</v>
      </c>
      <c r="P20" s="1665" t="s">
        <v>211</v>
      </c>
      <c r="Q20" s="2998"/>
      <c r="R20" s="2998"/>
      <c r="S20" s="2998"/>
      <c r="T20" s="1666"/>
      <c r="U20" s="3528" t="s">
        <v>211</v>
      </c>
      <c r="V20" s="3529"/>
      <c r="W20" s="2999" t="s">
        <v>212</v>
      </c>
      <c r="X20" s="2540" t="s">
        <v>204</v>
      </c>
      <c r="DC20" s="12"/>
      <c r="DD20" s="12"/>
      <c r="DE20" s="12"/>
      <c r="DF20" s="171"/>
      <c r="DG20" s="171"/>
      <c r="DH20" s="171"/>
      <c r="DI20" s="171"/>
      <c r="DJ20" s="171"/>
      <c r="DK20" s="171"/>
      <c r="DL20" s="171"/>
      <c r="DM20" s="171"/>
      <c r="DN20" s="171"/>
    </row>
    <row r="21" spans="3:118" ht="13.25" customHeight="1">
      <c r="C21" s="2768" t="s">
        <v>5</v>
      </c>
      <c r="D21" s="292" t="s">
        <v>14</v>
      </c>
      <c r="E21" s="296">
        <f>AF12</f>
        <v>0.130076</v>
      </c>
      <c r="F21" s="294" t="s">
        <v>25</v>
      </c>
      <c r="G21" s="319" t="s">
        <v>143</v>
      </c>
      <c r="H21" s="279"/>
      <c r="I21" s="171"/>
      <c r="J21" s="1607" t="s">
        <v>18</v>
      </c>
      <c r="K21" s="1607" t="s">
        <v>205</v>
      </c>
      <c r="L21" s="2529" t="s">
        <v>18</v>
      </c>
      <c r="M21" s="2529" t="s">
        <v>205</v>
      </c>
      <c r="N21" s="3000"/>
      <c r="O21" s="3001"/>
      <c r="P21" s="1607" t="s">
        <v>213</v>
      </c>
      <c r="Q21" s="3532" t="s">
        <v>214</v>
      </c>
      <c r="R21" s="3533"/>
      <c r="S21" s="3002" t="s">
        <v>215</v>
      </c>
      <c r="T21" s="3002" t="s">
        <v>216</v>
      </c>
      <c r="U21" s="3534"/>
      <c r="V21" s="3535"/>
      <c r="W21" s="3003"/>
      <c r="X21" s="1092" t="s">
        <v>217</v>
      </c>
      <c r="DC21" s="12"/>
      <c r="DD21" s="12"/>
      <c r="DE21" s="12"/>
      <c r="DF21" s="171"/>
      <c r="DG21" s="171"/>
      <c r="DH21" s="171"/>
      <c r="DI21" s="171"/>
      <c r="DJ21" s="171"/>
      <c r="DK21" s="171"/>
      <c r="DL21" s="171"/>
      <c r="DM21" s="171"/>
      <c r="DN21" s="171"/>
    </row>
    <row r="22" spans="3:118" ht="13.25" customHeight="1">
      <c r="C22" s="2768" t="s">
        <v>107</v>
      </c>
      <c r="D22" s="292" t="s">
        <v>139</v>
      </c>
      <c r="E22" s="297">
        <f>AI12</f>
        <v>322.89699999999999</v>
      </c>
      <c r="F22" s="294" t="s">
        <v>25</v>
      </c>
      <c r="G22" s="319" t="s">
        <v>108</v>
      </c>
      <c r="H22" s="279"/>
      <c r="I22" s="171"/>
      <c r="J22" s="1616">
        <f>E7</f>
        <v>38.33</v>
      </c>
      <c r="K22" s="1617">
        <f>E10</f>
        <v>93.4</v>
      </c>
      <c r="L22" s="1686">
        <f>FLOOR(J22,1)+IF(MOD(J22,1)&lt;0.26,0,IF(MOD(J22,1)&lt;0.76,0.5,1))</f>
        <v>38.5</v>
      </c>
      <c r="M22" s="2995">
        <f>FLOOR(K22,1)+IF(MOD(K22,1)&lt;0.26,0,IF(MOD(K22,1)&lt;0.76,0.5,1))</f>
        <v>93.5</v>
      </c>
      <c r="N22" s="2995"/>
      <c r="O22" s="1607">
        <f>(141.5*999.012 )/(L22+131.5)</f>
        <v>831.53057647058824</v>
      </c>
      <c r="P22" s="1607">
        <f>IF(L22&lt;37,(103.872/O22^2)+(0.2701/O22),0)</f>
        <v>0</v>
      </c>
      <c r="Q22" s="3524">
        <f>IF(AND(L22&gt;=37,L22&lt;48),330.301/O22^2,0)</f>
        <v>4.776980205434802E-4</v>
      </c>
      <c r="R22" s="3525"/>
      <c r="S22" s="1607">
        <f>IF(AND(L22&gt;=48,L22&lt;52),((1489.067/O22^2)-0.0018684),0)</f>
        <v>0</v>
      </c>
      <c r="T22" s="1607">
        <f>IF(AND(L22&gt;=52,L22&lt;85),(192.4571/O22^2)+(0.2438/O22),0)</f>
        <v>0</v>
      </c>
      <c r="U22" s="3526">
        <f>MAX(P22:T22)</f>
        <v>4.776980205434802E-4</v>
      </c>
      <c r="V22" s="3527"/>
      <c r="W22" s="1607">
        <f>1+0.8*U22*(M22-60)</f>
        <v>1.0128023069505652</v>
      </c>
      <c r="X22" s="1688">
        <f>ROUND(EXP(U22*(M22-60)*W22*-1),4)</f>
        <v>0.9839</v>
      </c>
      <c r="DC22" s="12"/>
      <c r="DD22" s="12"/>
      <c r="DE22" s="12"/>
      <c r="DF22" s="171"/>
      <c r="DG22" s="171"/>
      <c r="DH22" s="171"/>
      <c r="DI22" s="171"/>
      <c r="DJ22" s="171"/>
      <c r="DK22" s="171"/>
      <c r="DL22" s="171"/>
      <c r="DM22" s="171"/>
      <c r="DN22" s="171"/>
    </row>
    <row r="23" spans="3:118" ht="13.25" customHeight="1">
      <c r="C23" s="2768" t="s">
        <v>107</v>
      </c>
      <c r="D23" s="292" t="s">
        <v>140</v>
      </c>
      <c r="E23" s="298">
        <f>AJ12</f>
        <v>7.6882000000000001</v>
      </c>
      <c r="F23" s="294" t="s">
        <v>25</v>
      </c>
      <c r="G23" s="319" t="s">
        <v>108</v>
      </c>
      <c r="H23" s="279"/>
      <c r="I23" s="12"/>
      <c r="J23" s="3004"/>
      <c r="K23" s="3005"/>
      <c r="L23" s="3005"/>
      <c r="M23" s="3005"/>
      <c r="N23" s="3005"/>
      <c r="O23" s="3005"/>
      <c r="P23" s="3005"/>
      <c r="Q23" s="3005"/>
      <c r="R23" s="3005"/>
      <c r="S23" s="3006"/>
      <c r="T23" s="3006"/>
      <c r="U23" s="3006"/>
      <c r="V23" s="3006"/>
      <c r="W23" s="3006"/>
      <c r="X23" s="3007"/>
      <c r="DC23" s="171"/>
      <c r="DD23" s="171"/>
      <c r="DE23" s="171"/>
      <c r="DF23" s="12"/>
      <c r="DG23" s="12"/>
      <c r="DH23" s="12"/>
      <c r="DI23" s="12"/>
      <c r="DJ23" s="12"/>
      <c r="DK23" s="12"/>
      <c r="DL23" s="12"/>
      <c r="DM23" s="12"/>
      <c r="DN23" s="12"/>
    </row>
    <row r="24" spans="3:118" ht="13.25" customHeight="1">
      <c r="C24" s="2768" t="s">
        <v>6</v>
      </c>
      <c r="D24" s="292" t="s">
        <v>15</v>
      </c>
      <c r="E24" s="298">
        <f>AM12</f>
        <v>3.1466600000000002</v>
      </c>
      <c r="F24" s="294" t="s">
        <v>25</v>
      </c>
      <c r="G24" s="319" t="s">
        <v>144</v>
      </c>
      <c r="H24" s="279"/>
      <c r="I24" s="12"/>
      <c r="CZ24" s="171"/>
      <c r="DA24" s="171"/>
      <c r="DB24" s="171"/>
      <c r="DC24" s="12"/>
      <c r="DD24" s="12"/>
      <c r="DE24" s="12"/>
      <c r="DF24" s="12"/>
      <c r="DG24" s="12"/>
      <c r="DH24" s="12"/>
      <c r="DI24" s="12"/>
      <c r="DJ24" s="12"/>
      <c r="DK24" s="12"/>
    </row>
    <row r="25" spans="3:118" ht="13.25" customHeight="1">
      <c r="C25" s="2768" t="s">
        <v>6</v>
      </c>
      <c r="D25" s="292" t="s">
        <v>15</v>
      </c>
      <c r="E25" s="299">
        <f>AN12</f>
        <v>0.132159</v>
      </c>
      <c r="F25" s="294" t="s">
        <v>25</v>
      </c>
      <c r="G25" s="319" t="s">
        <v>143</v>
      </c>
      <c r="H25" s="277"/>
      <c r="I25" s="12"/>
      <c r="CZ25" s="171"/>
      <c r="DA25" s="171"/>
      <c r="DB25" s="171"/>
      <c r="DC25" s="12"/>
      <c r="DD25" s="12"/>
      <c r="DE25" s="12"/>
      <c r="DF25" s="12"/>
      <c r="DG25" s="12"/>
      <c r="DH25" s="12"/>
      <c r="DI25" s="12"/>
      <c r="DJ25" s="12"/>
      <c r="DK25" s="12"/>
    </row>
    <row r="26" spans="3:118">
      <c r="C26" s="2768" t="s">
        <v>109</v>
      </c>
      <c r="D26" s="241" t="s">
        <v>138</v>
      </c>
      <c r="E26" s="299">
        <f>AQ12</f>
        <v>1.0908100000000001</v>
      </c>
      <c r="F26" s="294" t="s">
        <v>25</v>
      </c>
      <c r="G26" s="319" t="s">
        <v>106</v>
      </c>
      <c r="H26" s="277"/>
    </row>
    <row r="27" spans="3:118">
      <c r="C27" s="2768" t="s">
        <v>109</v>
      </c>
      <c r="D27" s="241" t="s">
        <v>138</v>
      </c>
      <c r="E27" s="299">
        <f>AR12</f>
        <v>1.2217100000000001</v>
      </c>
      <c r="F27" s="294" t="s">
        <v>25</v>
      </c>
      <c r="G27" s="319" t="s">
        <v>108</v>
      </c>
      <c r="H27" s="277"/>
    </row>
    <row r="28" spans="3:118">
      <c r="C28" s="2773"/>
      <c r="D28" s="2769"/>
      <c r="E28" s="2769"/>
      <c r="F28" s="2769"/>
      <c r="G28" s="2769"/>
      <c r="H28" s="2770"/>
    </row>
    <row r="29" spans="3:118" ht="15.75" customHeight="1">
      <c r="D29" s="6"/>
      <c r="E29" s="6"/>
      <c r="F29" s="6"/>
      <c r="G29" s="6"/>
      <c r="H29" s="6"/>
    </row>
    <row r="30" spans="3:118" ht="15">
      <c r="C30" s="2957" t="s">
        <v>1389</v>
      </c>
      <c r="D30" s="2958"/>
      <c r="E30" s="2958"/>
      <c r="F30" s="2958"/>
      <c r="G30" s="2958"/>
      <c r="H30" s="2959"/>
      <c r="J30" s="2529" t="s">
        <v>100</v>
      </c>
      <c r="K30" s="2434"/>
      <c r="L30" s="2434"/>
      <c r="M30" s="2434"/>
      <c r="N30" s="2434"/>
      <c r="O30" s="2434"/>
      <c r="P30" s="2434"/>
      <c r="Q30" s="2434"/>
      <c r="R30" s="2434"/>
      <c r="S30" s="2434"/>
      <c r="T30" s="2434"/>
      <c r="U30" s="2961"/>
      <c r="V30" s="2962" t="s">
        <v>100</v>
      </c>
      <c r="W30" s="2434"/>
      <c r="X30" s="2962"/>
      <c r="Y30" s="2434"/>
      <c r="Z30" s="2434"/>
      <c r="AA30" s="2434"/>
      <c r="AB30" s="2434"/>
      <c r="AC30" s="2434"/>
      <c r="AD30" s="2434"/>
      <c r="AE30" s="2434"/>
      <c r="AF30" s="2434"/>
      <c r="AG30" s="2961"/>
      <c r="AH30" s="2962" t="s">
        <v>100</v>
      </c>
      <c r="AI30" s="2962"/>
      <c r="AJ30" s="2962"/>
      <c r="AK30" s="2434"/>
      <c r="AL30" s="2434"/>
      <c r="AM30" s="2434"/>
      <c r="AN30" s="2434"/>
      <c r="AO30" s="2434"/>
      <c r="AP30" s="2434"/>
      <c r="AQ30" s="2434"/>
      <c r="AR30" s="2530"/>
    </row>
    <row r="31" spans="3:118" ht="13.15">
      <c r="C31" s="2766"/>
      <c r="H31" s="274"/>
      <c r="J31" s="253" t="str">
        <f>'ASTM Vol. XI-XII'!AQ5</f>
        <v>ASTM Table 21</v>
      </c>
      <c r="K31" s="254"/>
      <c r="L31" s="255"/>
      <c r="M31" s="2967"/>
      <c r="N31" s="3549" t="str">
        <f>'ASTM Vol. XI-XII'!AU5</f>
        <v>ASTM Table 22</v>
      </c>
      <c r="O31" s="3550"/>
      <c r="P31" s="3551"/>
      <c r="Q31" s="3008"/>
      <c r="R31" s="3575" t="str">
        <f>'ASTM Vol. XI-XII'!AU5</f>
        <v>ASTM Table 22</v>
      </c>
      <c r="S31" s="3576"/>
      <c r="T31" s="3577"/>
      <c r="U31" s="2967"/>
      <c r="V31" s="253" t="str">
        <f>'ASTM Vol. XI-XII'!AZ5</f>
        <v>ASTM Table 26</v>
      </c>
      <c r="W31" s="254"/>
      <c r="X31" s="255"/>
      <c r="Y31" s="2967"/>
      <c r="Z31" s="253" t="str">
        <f>'ASTM Vol. XI-XII'!BD5</f>
        <v>ASTM Table 27</v>
      </c>
      <c r="AA31" s="254"/>
      <c r="AB31" s="255"/>
      <c r="AC31" s="2967"/>
      <c r="AD31" s="253" t="str">
        <f>'ASTM Vol. XI-XII'!BH5</f>
        <v>ASTM Table 28</v>
      </c>
      <c r="AE31" s="254"/>
      <c r="AF31" s="255"/>
      <c r="AG31" s="2967"/>
      <c r="AH31" s="253" t="str">
        <f>'ASTM Vol. XI-XII'!BL5</f>
        <v>ASTM Table 29</v>
      </c>
      <c r="AI31" s="254"/>
      <c r="AJ31" s="255"/>
      <c r="AK31" s="2967"/>
      <c r="AL31" s="253" t="str">
        <f>'ASTM Vol. XI-XII'!BP5</f>
        <v>ASTM Table 30</v>
      </c>
      <c r="AM31" s="254"/>
      <c r="AN31" s="255"/>
      <c r="AO31" s="2967"/>
      <c r="AP31" s="253" t="str">
        <f>'ASTM Vol. XI-XII'!BT5</f>
        <v>ASTM Table 31</v>
      </c>
      <c r="AQ31" s="254"/>
      <c r="AR31" s="255"/>
      <c r="AS31" s="22"/>
    </row>
    <row r="32" spans="3:118">
      <c r="C32" s="2767"/>
      <c r="D32" s="287" t="s">
        <v>132</v>
      </c>
      <c r="E32" s="2563">
        <f>'ASTM Tables'!I6</f>
        <v>0.78649999999999998</v>
      </c>
      <c r="F32" s="392" t="s">
        <v>167</v>
      </c>
      <c r="G32" s="6"/>
      <c r="H32" s="277"/>
      <c r="J32" s="229" t="str">
        <f>'ASTM Vol. XI-XII'!AQ6</f>
        <v>Relative</v>
      </c>
      <c r="K32" s="230" t="str">
        <f>'ASTM Vol. XI-XII'!AR6</f>
        <v>API</v>
      </c>
      <c r="L32" s="231" t="str">
        <f>'ASTM Vol. XI-XII'!AS6</f>
        <v>Density</v>
      </c>
      <c r="M32" s="2970"/>
      <c r="N32" s="229" t="str">
        <f>'ASTM Vol. XI-XII'!AU6</f>
        <v>Relative</v>
      </c>
      <c r="O32" s="3552" t="str">
        <f>'ASTM Vol. XI-XII'!AV6</f>
        <v>Litres @15°C</v>
      </c>
      <c r="P32" s="3553"/>
      <c r="Q32" s="265"/>
      <c r="R32" s="229" t="str">
        <f>'ASTM Vol. XI-XII'!AW6</f>
        <v>Relative</v>
      </c>
      <c r="S32" s="3552" t="str">
        <f>'ASTM Vol. XI-XII'!AX6</f>
        <v>Cubic Mtrs @15°C</v>
      </c>
      <c r="T32" s="3553"/>
      <c r="U32" s="2970"/>
      <c r="V32" s="229" t="str">
        <f>'ASTM Vol. XI-XII'!AZ6</f>
        <v>Relative</v>
      </c>
      <c r="W32" s="230" t="str">
        <f>'ASTM Vol. XI-XII'!BA6</f>
        <v>Pounds</v>
      </c>
      <c r="X32" s="231" t="str">
        <f>'ASTM Vol. XI-XII'!BB6</f>
        <v>US Gallons</v>
      </c>
      <c r="Y32" s="2970"/>
      <c r="Z32" s="229" t="str">
        <f>'ASTM Vol. XI-XII'!BD6</f>
        <v>Relative</v>
      </c>
      <c r="AA32" s="230" t="str">
        <f>'ASTM Vol. XI-XII'!BE6</f>
        <v>Short Tons</v>
      </c>
      <c r="AB32" s="231" t="str">
        <f>'ASTM Vol. XI-XII'!BF6</f>
        <v>Short Tons</v>
      </c>
      <c r="AC32" s="2970"/>
      <c r="AD32" s="229" t="str">
        <f>'ASTM Vol. XI-XII'!BH6</f>
        <v>Relative</v>
      </c>
      <c r="AE32" s="230" t="str">
        <f>'ASTM Vol. XI-XII'!BI6</f>
        <v>US Gallons</v>
      </c>
      <c r="AF32" s="231" t="str">
        <f>'ASTM Vol. XI-XII'!BJ6</f>
        <v>Barrels</v>
      </c>
      <c r="AG32" s="2970"/>
      <c r="AH32" s="229" t="str">
        <f>'ASTM Vol. XI-XII'!BL6</f>
        <v>Relative</v>
      </c>
      <c r="AI32" s="230" t="str">
        <f>'ASTM Vol. XI-XII'!BM6</f>
        <v>Long Tons</v>
      </c>
      <c r="AJ32" s="231" t="str">
        <f>'ASTM Vol. XI-XII'!BN6</f>
        <v>Long Tons</v>
      </c>
      <c r="AK32" s="2970"/>
      <c r="AL32" s="229" t="str">
        <f>'ASTM Vol. XI-XII'!BP6</f>
        <v>Relative</v>
      </c>
      <c r="AM32" s="230" t="str">
        <f>'ASTM Vol. XI-XII'!BQ6</f>
        <v>US Gallons</v>
      </c>
      <c r="AN32" s="231" t="str">
        <f>'ASTM Vol. XI-XII'!BR6</f>
        <v>Barrels</v>
      </c>
      <c r="AO32" s="2970"/>
      <c r="AP32" s="229" t="str">
        <f>'ASTM Vol. XI-XII'!BT6</f>
        <v>Relative</v>
      </c>
      <c r="AQ32" s="230" t="str">
        <f>'ASTM Vol. XI-XII'!BU6</f>
        <v>Cubic Mtrs</v>
      </c>
      <c r="AR32" s="231" t="str">
        <f>'ASTM Vol. XI-XII'!BV6</f>
        <v>Cubic Mtrs</v>
      </c>
      <c r="AS32" s="232"/>
    </row>
    <row r="33" spans="3:45">
      <c r="C33" s="2768" t="s">
        <v>111</v>
      </c>
      <c r="D33" s="285" t="s">
        <v>136</v>
      </c>
      <c r="E33" s="301">
        <f>K37</f>
        <v>48.415000000000013</v>
      </c>
      <c r="F33" s="289" t="s">
        <v>166</v>
      </c>
      <c r="G33" s="6"/>
      <c r="H33" s="277"/>
      <c r="J33" s="180" t="str">
        <f>'ASTM Vol. XI-XII'!AQ7</f>
        <v>Density</v>
      </c>
      <c r="K33" s="181" t="str">
        <f>'ASTM Vol. XI-XII'!AR7</f>
        <v>Gravity</v>
      </c>
      <c r="L33" s="182"/>
      <c r="M33" s="2927"/>
      <c r="N33" s="180" t="str">
        <f>'ASTM Vol. XI-XII'!AU7</f>
        <v>Density</v>
      </c>
      <c r="O33" s="3554" t="str">
        <f>'ASTM Vol. XI-XII'!AV7</f>
        <v>per</v>
      </c>
      <c r="P33" s="3555"/>
      <c r="Q33" s="266"/>
      <c r="R33" s="180" t="str">
        <f>'ASTM Vol. XI-XII'!AW7</f>
        <v>Density</v>
      </c>
      <c r="S33" s="3554" t="str">
        <f>'ASTM Vol. XI-XII'!AX7</f>
        <v>per</v>
      </c>
      <c r="T33" s="3555"/>
      <c r="U33" s="2927"/>
      <c r="V33" s="180" t="str">
        <f>'ASTM Vol. XI-XII'!AZ7</f>
        <v>Density</v>
      </c>
      <c r="W33" s="181" t="str">
        <f>'ASTM Vol. XI-XII'!BA7</f>
        <v>per</v>
      </c>
      <c r="X33" s="182" t="str">
        <f>'ASTM Vol. XI-XII'!BB7</f>
        <v>per</v>
      </c>
      <c r="Y33" s="2927"/>
      <c r="Z33" s="180" t="str">
        <f>'ASTM Vol. XI-XII'!BD7</f>
        <v>Density</v>
      </c>
      <c r="AA33" s="181" t="str">
        <f>'ASTM Vol. XI-XII'!BE7</f>
        <v>per 1000</v>
      </c>
      <c r="AB33" s="182" t="str">
        <f>'ASTM Vol. XI-XII'!BF7</f>
        <v>per</v>
      </c>
      <c r="AC33" s="2927"/>
      <c r="AD33" s="180" t="str">
        <f>'ASTM Vol. XI-XII'!BH7</f>
        <v>Density</v>
      </c>
      <c r="AE33" s="181" t="str">
        <f>'ASTM Vol. XI-XII'!BI7</f>
        <v>per</v>
      </c>
      <c r="AF33" s="182" t="str">
        <f>'ASTM Vol. XI-XII'!BJ7</f>
        <v>per</v>
      </c>
      <c r="AG33" s="2927"/>
      <c r="AH33" s="180" t="str">
        <f>'ASTM Vol. XI-XII'!BL7</f>
        <v>Density</v>
      </c>
      <c r="AI33" s="181" t="str">
        <f>'ASTM Vol. XI-XII'!BM7</f>
        <v>per 1000</v>
      </c>
      <c r="AJ33" s="182" t="str">
        <f>'ASTM Vol. XI-XII'!BN7</f>
        <v>per</v>
      </c>
      <c r="AK33" s="2927"/>
      <c r="AL33" s="180" t="str">
        <f>'ASTM Vol. XI-XII'!BP7</f>
        <v>Density</v>
      </c>
      <c r="AM33" s="181" t="str">
        <f>'ASTM Vol. XI-XII'!BQ7</f>
        <v>per</v>
      </c>
      <c r="AN33" s="182" t="str">
        <f>'ASTM Vol. XI-XII'!BR7</f>
        <v>per</v>
      </c>
      <c r="AO33" s="2927"/>
      <c r="AP33" s="180" t="str">
        <f>'ASTM Vol. XI-XII'!BT7</f>
        <v>Density</v>
      </c>
      <c r="AQ33" s="181" t="str">
        <f>'ASTM Vol. XI-XII'!BU7</f>
        <v>per</v>
      </c>
      <c r="AR33" s="182" t="str">
        <f>'ASTM Vol. XI-XII'!BV7</f>
        <v>per</v>
      </c>
      <c r="AS33" s="22"/>
    </row>
    <row r="34" spans="3:45">
      <c r="C34" s="2768" t="s">
        <v>111</v>
      </c>
      <c r="D34" s="287" t="s">
        <v>131</v>
      </c>
      <c r="E34" s="318">
        <f>L37</f>
        <v>786.15</v>
      </c>
      <c r="F34" s="393" t="s">
        <v>168</v>
      </c>
      <c r="G34" s="6"/>
      <c r="H34" s="277"/>
      <c r="J34" s="233"/>
      <c r="K34" s="234"/>
      <c r="L34" s="235"/>
      <c r="M34" s="2970"/>
      <c r="N34" s="233"/>
      <c r="O34" s="3554" t="str">
        <f>'ASTM Vol. XI-XII'!AV8</f>
        <v>US Gallon @60°F</v>
      </c>
      <c r="P34" s="3555"/>
      <c r="Q34" s="266"/>
      <c r="R34" s="180"/>
      <c r="S34" s="3554" t="str">
        <f>'ASTM Vol. XI-XII'!AX8</f>
        <v>Barrel @60°F</v>
      </c>
      <c r="T34" s="3555"/>
      <c r="U34" s="2970"/>
      <c r="V34" s="233"/>
      <c r="W34" s="234" t="str">
        <f>'ASTM Vol. XI-XII'!BA8</f>
        <v>US Gallon</v>
      </c>
      <c r="X34" s="235" t="str">
        <f>'ASTM Vol. XI-XII'!BB8</f>
        <v>Pound</v>
      </c>
      <c r="Y34" s="2970"/>
      <c r="Z34" s="233"/>
      <c r="AA34" s="234" t="str">
        <f>'ASTM Vol. XI-XII'!BE8</f>
        <v>US Gallons</v>
      </c>
      <c r="AB34" s="235" t="str">
        <f>'ASTM Vol. XI-XII'!BF8</f>
        <v>Barrel</v>
      </c>
      <c r="AC34" s="2970"/>
      <c r="AD34" s="233"/>
      <c r="AE34" s="234" t="str">
        <f>'ASTM Vol. XI-XII'!BI8</f>
        <v>Short Ton</v>
      </c>
      <c r="AF34" s="235" t="str">
        <f>'ASTM Vol. XI-XII'!BJ8</f>
        <v>Short Ton</v>
      </c>
      <c r="AG34" s="2970"/>
      <c r="AH34" s="233"/>
      <c r="AI34" s="234" t="str">
        <f>'ASTM Vol. XI-XII'!BM8</f>
        <v>US Gallons</v>
      </c>
      <c r="AJ34" s="235" t="str">
        <f>'ASTM Vol. XI-XII'!BN8</f>
        <v>Barrel</v>
      </c>
      <c r="AK34" s="2970"/>
      <c r="AL34" s="233"/>
      <c r="AM34" s="234" t="str">
        <f>'ASTM Vol. XI-XII'!BQ8</f>
        <v>Long Ton</v>
      </c>
      <c r="AN34" s="235" t="str">
        <f>'ASTM Vol. XI-XII'!BR8</f>
        <v>Long Ton</v>
      </c>
      <c r="AO34" s="2970"/>
      <c r="AP34" s="233"/>
      <c r="AQ34" s="234" t="str">
        <f>'ASTM Vol. XI-XII'!BU8</f>
        <v>Short Ton</v>
      </c>
      <c r="AR34" s="235" t="str">
        <f>'ASTM Vol. XI-XII'!BV8</f>
        <v xml:space="preserve">Long Ton </v>
      </c>
      <c r="AS34" s="232"/>
    </row>
    <row r="35" spans="3:45">
      <c r="C35" s="2768"/>
      <c r="D35" s="287" t="s">
        <v>1388</v>
      </c>
      <c r="E35" s="2972">
        <f>'ASTM Tables'!I7</f>
        <v>93</v>
      </c>
      <c r="F35" s="393"/>
      <c r="G35" s="6"/>
      <c r="H35" s="277"/>
      <c r="J35" s="2571" t="str">
        <f>'ASTM Vol. XI-XII'!AQ9</f>
        <v>( 60/60°F )</v>
      </c>
      <c r="K35" s="2572" t="str">
        <f>'ASTM Vol. XI-XII'!AR9</f>
        <v>(60°F)</v>
      </c>
      <c r="L35" s="2573" t="str">
        <f>'ASTM Vol. XI-XII'!AS9</f>
        <v>(15°C)</v>
      </c>
      <c r="M35" s="2927"/>
      <c r="N35" s="2571" t="str">
        <f>'ASTM Vol. XI-XII'!AU9</f>
        <v>( 60/60°F )</v>
      </c>
      <c r="O35" s="3542"/>
      <c r="P35" s="3543"/>
      <c r="Q35" s="267"/>
      <c r="R35" s="2571" t="str">
        <f>'ASTM Vol. XI-XII'!AW9</f>
        <v>( 60/60°F )</v>
      </c>
      <c r="S35" s="3542"/>
      <c r="T35" s="3543"/>
      <c r="U35" s="2927"/>
      <c r="V35" s="2571" t="str">
        <f>'ASTM Vol. XI-XII'!AZ9</f>
        <v>( 60/60°F )</v>
      </c>
      <c r="W35" s="2572"/>
      <c r="X35" s="2573"/>
      <c r="Y35" s="2927"/>
      <c r="Z35" s="2571" t="str">
        <f>'ASTM Vol. XI-XII'!BD9</f>
        <v>( 60/60°F )</v>
      </c>
      <c r="AA35" s="2572" t="str">
        <f>'ASTM Vol. XI-XII'!BE9</f>
        <v>(60°F)</v>
      </c>
      <c r="AB35" s="2573" t="str">
        <f>'ASTM Vol. XI-XII'!BF9</f>
        <v>(60°F)</v>
      </c>
      <c r="AC35" s="2927"/>
      <c r="AD35" s="2571" t="str">
        <f>'ASTM Vol. XI-XII'!BH9</f>
        <v>( 60/60°F )</v>
      </c>
      <c r="AE35" s="2572" t="str">
        <f>'ASTM Vol. XI-XII'!BI9</f>
        <v>(60°F)</v>
      </c>
      <c r="AF35" s="2573" t="str">
        <f>'ASTM Vol. XI-XII'!BJ9</f>
        <v>(60°F)</v>
      </c>
      <c r="AG35" s="2927"/>
      <c r="AH35" s="2571" t="str">
        <f>'ASTM Vol. XI-XII'!BL9</f>
        <v>( 60/60°F )</v>
      </c>
      <c r="AI35" s="2572" t="str">
        <f>'ASTM Vol. XI-XII'!BM9</f>
        <v>(60°F)</v>
      </c>
      <c r="AJ35" s="2573" t="str">
        <f>'ASTM Vol. XI-XII'!BN9</f>
        <v>(60°F)</v>
      </c>
      <c r="AK35" s="2927"/>
      <c r="AL35" s="2571" t="str">
        <f>'ASTM Vol. XI-XII'!BP9</f>
        <v>( 60/60°F )</v>
      </c>
      <c r="AM35" s="2572"/>
      <c r="AN35" s="2573"/>
      <c r="AO35" s="2927"/>
      <c r="AP35" s="2571" t="str">
        <f>'ASTM Vol. XI-XII'!BT9</f>
        <v>( 60/60°F )</v>
      </c>
      <c r="AQ35" s="2572"/>
      <c r="AR35" s="2573"/>
      <c r="AS35" s="22"/>
    </row>
    <row r="36" spans="3:45" ht="13.15">
      <c r="C36" s="3009"/>
      <c r="D36" s="2974"/>
      <c r="E36" s="3010"/>
      <c r="F36" s="3010"/>
      <c r="G36" s="2769"/>
      <c r="H36" s="2770"/>
      <c r="J36" s="3011">
        <f>VLOOKUP(J37,'ASTM Vol. XI-XII'!AQ$10:AQ$860,TRUE)</f>
        <v>0.78600000000000003</v>
      </c>
      <c r="K36" s="3012">
        <f>VLOOKUP(J36,'ASTM Vol. XI-XII'!AQ$10:AR$860,2)</f>
        <v>48.53</v>
      </c>
      <c r="L36" s="3013">
        <f>VLOOKUP(J36,'ASTM Vol. XI-XII'!AQ$10:AS$860,3)</f>
        <v>785.7</v>
      </c>
      <c r="M36" s="2980"/>
      <c r="N36" s="3011">
        <f>VLOOKUP(N37,'ASTM Vol. XI-XII'!AU$10:AU$860,TRUE)</f>
        <v>0.78600000000000014</v>
      </c>
      <c r="O36" s="3572">
        <f>VLOOKUP(N36,'ASTM Vol. XI-XII'!AU$10:AV$860,2)</f>
        <v>3.7833000000000001</v>
      </c>
      <c r="P36" s="3573"/>
      <c r="Q36" s="361"/>
      <c r="R36" s="3014">
        <f>VLOOKUP(R37,'ASTM Vol. XI-XII'!AW$10:AW$860,TRUE)</f>
        <v>0.78100000000000014</v>
      </c>
      <c r="S36" s="3574">
        <f>VLOOKUP(R36,'ASTM Vol. XI-XII'!AW$10:AX$860,2)</f>
        <v>0.15890000000000001</v>
      </c>
      <c r="T36" s="3574"/>
      <c r="U36" s="2980"/>
      <c r="V36" s="3011">
        <f>VLOOKUP(V37,'ASTM Vol. XI-XII'!AZ$10:AZ$860,TRUE)</f>
        <v>0.78600000000000003</v>
      </c>
      <c r="W36" s="3016">
        <f>VLOOKUP(V36,'ASTM Vol. XI-XII'!AZ$10:BA$860,2)</f>
        <v>6.5438000000000001</v>
      </c>
      <c r="X36" s="3015">
        <f>VLOOKUP(V36,'ASTM Vol. XI-XII'!AZ$10:BB$860,3)</f>
        <v>0.15282000000000001</v>
      </c>
      <c r="Y36" s="2980"/>
      <c r="Z36" s="3011">
        <f>VLOOKUP(Z37,'ASTM Vol. XI-XII'!BD$10:BD$860,TRUE)</f>
        <v>0.78600000000000003</v>
      </c>
      <c r="AA36" s="3016">
        <f>VLOOKUP(Z36,'ASTM Vol. XI-XII'!BD$10:BE$860,2)</f>
        <v>3.2719</v>
      </c>
      <c r="AB36" s="3015">
        <f>VLOOKUP(Z36,'ASTM Vol. XI-XII'!BD$10:BF$860,3)</f>
        <v>0.13741999999999999</v>
      </c>
      <c r="AC36" s="2980"/>
      <c r="AD36" s="3011">
        <f>VLOOKUP(AD37,'ASTM Vol. XI-XII'!BH$10:BH$860,TRUE)</f>
        <v>0.78600000000000003</v>
      </c>
      <c r="AE36" s="3012">
        <f>VLOOKUP(AD36,'ASTM Vol. XI-XII'!BH$10:BI$860,2)</f>
        <v>305.63</v>
      </c>
      <c r="AF36" s="3017">
        <f>VLOOKUP(AD36,'ASTM Vol. XI-XII'!BH$10:BJ$860,3)</f>
        <v>7.2770000000000001</v>
      </c>
      <c r="AG36" s="2980"/>
      <c r="AH36" s="3011">
        <f>VLOOKUP(AH37,'ASTM Vol. XI-XII'!BL$10:BL$860,TRUE)</f>
        <v>0.78600000000000003</v>
      </c>
      <c r="AI36" s="3016">
        <f>VLOOKUP(AH36,'ASTM Vol. XI-XII'!BL$10:BM$860,2)</f>
        <v>2.9213</v>
      </c>
      <c r="AJ36" s="3015">
        <f>VLOOKUP(AH36,'ASTM Vol. XI-XII'!BL$10:BN$860,3)</f>
        <v>0.1227</v>
      </c>
      <c r="AK36" s="2980"/>
      <c r="AL36" s="3011">
        <f>VLOOKUP(AL37,'ASTM Vol. XI-XII'!BP$10:BP$860,TRUE)</f>
        <v>0.78600000000000003</v>
      </c>
      <c r="AM36" s="3012">
        <f>VLOOKUP(AL36,'ASTM Vol. XI-XII'!BP$10:BQ$860,2)</f>
        <v>342.31</v>
      </c>
      <c r="AN36" s="3017">
        <f>VLOOKUP(AL36,'ASTM Vol. XI-XII'!BP$10:BR$860,3)</f>
        <v>8.15</v>
      </c>
      <c r="AO36" s="2980"/>
      <c r="AP36" s="3011">
        <f>VLOOKUP(AP37,'ASTM Vol. XI-XII'!BT$10:BT$860,TRUE)</f>
        <v>0.78600000000000003</v>
      </c>
      <c r="AQ36" s="3016">
        <f>VLOOKUP(AP36,'ASTM Vol. XI-XII'!BT$10:BU$860,2)</f>
        <v>1.1563000000000001</v>
      </c>
      <c r="AR36" s="3016">
        <f>VLOOKUP(AP36,'ASTM Vol. XI-XII'!BT$10:BV$860,3)</f>
        <v>1.2950999999999999</v>
      </c>
      <c r="AS36" s="12"/>
    </row>
    <row r="37" spans="3:45" ht="13.15">
      <c r="C37" s="2768" t="s">
        <v>112</v>
      </c>
      <c r="D37" s="287" t="s">
        <v>137</v>
      </c>
      <c r="E37" s="302">
        <f>O37</f>
        <v>3.78335</v>
      </c>
      <c r="F37" s="293" t="s">
        <v>25</v>
      </c>
      <c r="G37" s="319" t="s">
        <v>142</v>
      </c>
      <c r="H37" s="277"/>
      <c r="J37" s="3018">
        <f>E32</f>
        <v>0.78649999999999998</v>
      </c>
      <c r="K37" s="3019">
        <f>K36+((J37-J36)/(J38-J36))*(K38-K36)</f>
        <v>48.415000000000013</v>
      </c>
      <c r="L37" s="3020">
        <f>L36+((J37-J36)/(J38-J36))*(L38-L36)</f>
        <v>786.15</v>
      </c>
      <c r="M37" s="2980"/>
      <c r="N37" s="3018">
        <f>$E$32</f>
        <v>0.78649999999999998</v>
      </c>
      <c r="O37" s="3569">
        <f>O36+((N37-N36)/(N38-N36))*(O38-O36)</f>
        <v>3.78335</v>
      </c>
      <c r="P37" s="3570"/>
      <c r="Q37" s="367"/>
      <c r="R37" s="3021">
        <f>$E$32</f>
        <v>0.78649999999999998</v>
      </c>
      <c r="S37" s="3571">
        <f>S36+((R37-R36)/(R38-R36))*(S38-S36)</f>
        <v>0.15890000000000001</v>
      </c>
      <c r="T37" s="3571"/>
      <c r="U37" s="2980"/>
      <c r="V37" s="3018">
        <f>$E$32</f>
        <v>0.78649999999999998</v>
      </c>
      <c r="W37" s="3023">
        <f>W36+((V37-V36)/(V38-V36))*(W38-W36)</f>
        <v>6.5479499999999993</v>
      </c>
      <c r="X37" s="3022">
        <f>X36+((V37-V36)/(V38-V36))*(X38-X36)</f>
        <v>0.15272000000000002</v>
      </c>
      <c r="Y37" s="2980"/>
      <c r="Z37" s="3018">
        <f>$E$32</f>
        <v>0.78649999999999998</v>
      </c>
      <c r="AA37" s="3023">
        <f>AA36+((Z37-Z36)/(Z38-Z36))*(AA38-AA36)</f>
        <v>3.2739999999999996</v>
      </c>
      <c r="AB37" s="3022">
        <f>AB36+((Z37-Z36)/(Z38-Z36))*(AB38-AB36)</f>
        <v>0.13750499999999999</v>
      </c>
      <c r="AC37" s="2980"/>
      <c r="AD37" s="3018">
        <f>$E$32</f>
        <v>0.78649999999999998</v>
      </c>
      <c r="AE37" s="3019">
        <f>AE36+((AD37-AD36)/(AD38-AD36))*(AE38-AE36)</f>
        <v>305.435</v>
      </c>
      <c r="AF37" s="3024">
        <f>AF36+((AD37-AD36)/(AD38-AD36))*(AF38-AF36)</f>
        <v>7.2725000000000009</v>
      </c>
      <c r="AG37" s="2980"/>
      <c r="AH37" s="3018">
        <f>$E$32</f>
        <v>0.78649999999999998</v>
      </c>
      <c r="AI37" s="3023">
        <f>AI36+((AH37-AH36)/(AH38-AH36))*(AI38-AI36)</f>
        <v>2.9232</v>
      </c>
      <c r="AJ37" s="3022">
        <f>AJ36+((AH37-AH36)/(AH38-AH36))*(AJ38-AJ36)</f>
        <v>0.122775</v>
      </c>
      <c r="AK37" s="2980"/>
      <c r="AL37" s="3018">
        <f>$E$32</f>
        <v>0.78649999999999998</v>
      </c>
      <c r="AM37" s="3019">
        <f>AM36+((AL37-AL36)/(AL38-AL36))*(AM38-AM36)</f>
        <v>342.09000000000003</v>
      </c>
      <c r="AN37" s="3024">
        <f>AN36+((AL37-AL36)/(AL38-AL36))*(AN38-AN36)</f>
        <v>8.1450000000000014</v>
      </c>
      <c r="AO37" s="2980"/>
      <c r="AP37" s="3018">
        <f>$E$32</f>
        <v>0.78649999999999998</v>
      </c>
      <c r="AQ37" s="3023">
        <f>AQ36+((AP37-AP36)/(AP38-AP36))*(AQ38-AQ36)</f>
        <v>1.1555500000000001</v>
      </c>
      <c r="AR37" s="3023">
        <f>AR36+((AP37-AP36)/(AP38-AP36))*(AR38-AR36)</f>
        <v>1.2942500000000001</v>
      </c>
      <c r="AS37" s="12"/>
    </row>
    <row r="38" spans="3:45">
      <c r="C38" s="2768" t="s">
        <v>112</v>
      </c>
      <c r="D38" s="287" t="s">
        <v>138</v>
      </c>
      <c r="E38" s="303">
        <f>S37</f>
        <v>0.15890000000000001</v>
      </c>
      <c r="F38" s="294" t="s">
        <v>25</v>
      </c>
      <c r="G38" s="319" t="s">
        <v>142</v>
      </c>
      <c r="H38" s="277"/>
      <c r="J38" s="3011">
        <f>INDEX('ASTM Vol. XI-XII'!AQ$10:AQ$860,(MATCH(J36,'ASTM Vol. XI-XII'!AQ$10:AQ$860,1)+1))</f>
        <v>0.78700000000000003</v>
      </c>
      <c r="K38" s="3012">
        <f>VLOOKUP(J38,'ASTM Vol. XI-XII'!AQ$10:AR$860,2)</f>
        <v>48.3</v>
      </c>
      <c r="L38" s="3013">
        <f>VLOOKUP(J38,'ASTM Vol. XI-XII'!AQ$10:AS$860,3)</f>
        <v>786.6</v>
      </c>
      <c r="M38" s="2990"/>
      <c r="N38" s="3011">
        <f>INDEX('ASTM Vol. XI-XII'!AU$10:AU$860,(MATCH(N36,'ASTM Vol. XI-XII'!AU$10:AU$860,1)+1))</f>
        <v>0.78700000000000014</v>
      </c>
      <c r="O38" s="3572">
        <f>VLOOKUP(N38,'ASTM Vol. XI-XII'!AU$10:AV$860,2)</f>
        <v>3.7833999999999999</v>
      </c>
      <c r="P38" s="3573"/>
      <c r="Q38" s="3025"/>
      <c r="R38" s="3014">
        <f>INDEX('ASTM Vol. XI-XII'!AW$10:AW$860,(MATCH(R36,'ASTM Vol. XI-XII'!AW$10:AW$860,1)+1))</f>
        <v>0.79900000000000015</v>
      </c>
      <c r="S38" s="3574">
        <f>VLOOKUP(R38,'ASTM Vol. XI-XII'!AW$10:AX$860,2)</f>
        <v>0.15890000000000001</v>
      </c>
      <c r="T38" s="3574"/>
      <c r="U38" s="2990"/>
      <c r="V38" s="3011">
        <f>INDEX('ASTM Vol. XI-XII'!AZ$10:AZ$860,(MATCH(V36,'ASTM Vol. XI-XII'!AZ$10:AZ$860,1)+1))</f>
        <v>0.78700000000000003</v>
      </c>
      <c r="W38" s="3016">
        <f>VLOOKUP(V38,'ASTM Vol. XI-XII'!AZ$10:BA$860,2)</f>
        <v>6.5521000000000003</v>
      </c>
      <c r="X38" s="3015">
        <f>VLOOKUP(V38,'ASTM Vol. XI-XII'!AZ$10:BB$860,3)</f>
        <v>0.15262000000000001</v>
      </c>
      <c r="Y38" s="2990"/>
      <c r="Z38" s="3011">
        <f>INDEX('ASTM Vol. XI-XII'!BD$10:BD$860,(MATCH(Z36,'ASTM Vol. XI-XII'!BD$10:BD$860,1)+1))</f>
        <v>0.78700000000000003</v>
      </c>
      <c r="AA38" s="3016">
        <f>VLOOKUP(Z38,'ASTM Vol. XI-XII'!BD$10:BE$860,2)</f>
        <v>3.2761</v>
      </c>
      <c r="AB38" s="3015">
        <f>VLOOKUP(Z38,'ASTM Vol. XI-XII'!BD$10:BF$860,3)</f>
        <v>0.13758999999999999</v>
      </c>
      <c r="AC38" s="2990"/>
      <c r="AD38" s="3011">
        <f>INDEX('ASTM Vol. XI-XII'!BH$10:BH$860,(MATCH(AD36,'ASTM Vol. XI-XII'!BH$10:BH$860,1)+1))</f>
        <v>0.78700000000000003</v>
      </c>
      <c r="AE38" s="3012">
        <f>VLOOKUP(AD38,'ASTM Vol. XI-XII'!BH$10:BI$860,2)</f>
        <v>305.24</v>
      </c>
      <c r="AF38" s="3017">
        <f>VLOOKUP(AD38,'ASTM Vol. XI-XII'!BH$10:BJ$860,3)</f>
        <v>7.2679999999999998</v>
      </c>
      <c r="AG38" s="2990"/>
      <c r="AH38" s="3011">
        <f>INDEX('ASTM Vol. XI-XII'!BL$10:BL$860,(MATCH(AH36,'ASTM Vol. XI-XII'!BL$10:BL$860,1)+1))</f>
        <v>0.78700000000000003</v>
      </c>
      <c r="AI38" s="3016">
        <f>VLOOKUP(AH38,'ASTM Vol. XI-XII'!BL$10:BM$860,2)</f>
        <v>2.9251</v>
      </c>
      <c r="AJ38" s="3015">
        <f>VLOOKUP(AH38,'ASTM Vol. XI-XII'!BL$10:BN$860,3)</f>
        <v>0.12285</v>
      </c>
      <c r="AK38" s="2990"/>
      <c r="AL38" s="3011">
        <f>INDEX('ASTM Vol. XI-XII'!BP$10:BP$860,(MATCH(AL36,'ASTM Vol. XI-XII'!BP$10:BP$860,1)+1))</f>
        <v>0.78700000000000003</v>
      </c>
      <c r="AM38" s="3012">
        <f>VLOOKUP(AL38,'ASTM Vol. XI-XII'!BP$10:BQ$860,2)</f>
        <v>341.87</v>
      </c>
      <c r="AN38" s="3017">
        <f>VLOOKUP(AL38,'ASTM Vol. XI-XII'!BP$10:BR$860,3)</f>
        <v>8.14</v>
      </c>
      <c r="AO38" s="2990"/>
      <c r="AP38" s="3011">
        <f>INDEX('ASTM Vol. XI-XII'!BT$10:BT$860,(MATCH(AP36,'ASTM Vol. XI-XII'!BT$10:BT$860,1)+1))</f>
        <v>0.78700000000000003</v>
      </c>
      <c r="AQ38" s="3016">
        <f>VLOOKUP(AP38,'ASTM Vol. XI-XII'!BT$10:BU$860,2)</f>
        <v>1.1548</v>
      </c>
      <c r="AR38" s="3016">
        <f>VLOOKUP(AP38,'ASTM Vol. XI-XII'!BT$10:BV$860,3)</f>
        <v>1.2934000000000001</v>
      </c>
      <c r="AS38" s="12"/>
    </row>
    <row r="39" spans="3:45">
      <c r="C39" s="2768" t="s">
        <v>117</v>
      </c>
      <c r="D39" s="285" t="s">
        <v>102</v>
      </c>
      <c r="E39" s="302">
        <f>W37</f>
        <v>6.5479499999999993</v>
      </c>
      <c r="F39" s="294" t="s">
        <v>25</v>
      </c>
      <c r="G39" s="319" t="s">
        <v>142</v>
      </c>
      <c r="H39" s="277"/>
    </row>
    <row r="40" spans="3:45">
      <c r="C40" s="2768" t="s">
        <v>117</v>
      </c>
      <c r="D40" s="292" t="s">
        <v>139</v>
      </c>
      <c r="E40" s="303">
        <f>X37</f>
        <v>0.15272000000000002</v>
      </c>
      <c r="F40" s="294" t="s">
        <v>25</v>
      </c>
      <c r="G40" s="320" t="s">
        <v>103</v>
      </c>
      <c r="H40" s="277"/>
      <c r="J40" s="2529" t="s">
        <v>325</v>
      </c>
      <c r="K40" s="2434"/>
      <c r="L40" s="2434"/>
      <c r="M40" s="2434"/>
      <c r="N40" s="2434"/>
      <c r="O40" s="2434"/>
      <c r="P40" s="2434"/>
      <c r="Q40" s="2434"/>
      <c r="R40" s="2434"/>
      <c r="S40" s="2434"/>
      <c r="T40" s="2434"/>
      <c r="U40" s="2434"/>
      <c r="V40" s="2434"/>
      <c r="W40" s="2434"/>
      <c r="X40" s="2434"/>
      <c r="Y40" s="2434"/>
      <c r="Z40" s="2434"/>
      <c r="AA40" s="2434"/>
      <c r="AB40" s="2434"/>
      <c r="AC40" s="2434"/>
      <c r="AD40" s="2434"/>
      <c r="AE40" s="2434"/>
      <c r="AF40" s="2530"/>
    </row>
    <row r="41" spans="3:45">
      <c r="C41" s="2768" t="s">
        <v>118</v>
      </c>
      <c r="D41" s="292" t="s">
        <v>23</v>
      </c>
      <c r="E41" s="302">
        <f>AA37</f>
        <v>3.2739999999999996</v>
      </c>
      <c r="F41" s="294" t="s">
        <v>25</v>
      </c>
      <c r="G41" s="319" t="s">
        <v>144</v>
      </c>
      <c r="H41" s="277"/>
      <c r="J41" s="2992"/>
      <c r="K41" s="2993"/>
      <c r="L41" s="2529" t="s">
        <v>302</v>
      </c>
      <c r="M41" s="2962"/>
      <c r="N41" s="2434"/>
      <c r="O41" s="1606" t="s">
        <v>307</v>
      </c>
      <c r="P41" s="3232" t="s">
        <v>308</v>
      </c>
      <c r="Q41" s="3566"/>
      <c r="R41" s="3233"/>
      <c r="S41" s="3234" t="s">
        <v>311</v>
      </c>
      <c r="T41" s="3235"/>
      <c r="U41" s="3235"/>
      <c r="V41" s="3235"/>
      <c r="W41" s="3236"/>
      <c r="X41" s="1606" t="s">
        <v>316</v>
      </c>
      <c r="Y41" s="3026" t="s">
        <v>322</v>
      </c>
      <c r="Z41" s="2582"/>
      <c r="AA41" s="2582"/>
      <c r="AB41" s="2582"/>
      <c r="AC41" s="2582"/>
      <c r="AD41" s="2582"/>
      <c r="AE41" s="2583"/>
      <c r="AF41" s="2540" t="s">
        <v>204</v>
      </c>
    </row>
    <row r="42" spans="3:45" ht="15">
      <c r="C42" s="2768" t="s">
        <v>118</v>
      </c>
      <c r="D42" s="292" t="s">
        <v>23</v>
      </c>
      <c r="E42" s="303">
        <f>AB37</f>
        <v>0.13750499999999999</v>
      </c>
      <c r="F42" s="294" t="s">
        <v>25</v>
      </c>
      <c r="G42" s="319" t="s">
        <v>143</v>
      </c>
      <c r="H42" s="277"/>
      <c r="J42" s="1607" t="s">
        <v>251</v>
      </c>
      <c r="K42" s="1607" t="s">
        <v>301</v>
      </c>
      <c r="L42" s="3530" t="s">
        <v>251</v>
      </c>
      <c r="M42" s="3531"/>
      <c r="N42" s="2529" t="s">
        <v>205</v>
      </c>
      <c r="O42" s="1607" t="s">
        <v>306</v>
      </c>
      <c r="P42" s="1607" t="s">
        <v>309</v>
      </c>
      <c r="Q42" s="3524" t="s">
        <v>310</v>
      </c>
      <c r="R42" s="3525"/>
      <c r="S42" s="1607" t="s">
        <v>312</v>
      </c>
      <c r="T42" s="3524" t="s">
        <v>313</v>
      </c>
      <c r="U42" s="3525"/>
      <c r="V42" s="1607" t="s">
        <v>314</v>
      </c>
      <c r="W42" s="2563" t="s">
        <v>315</v>
      </c>
      <c r="X42" s="2563" t="s">
        <v>317</v>
      </c>
      <c r="Y42" s="3560" t="s">
        <v>319</v>
      </c>
      <c r="Z42" s="3561"/>
      <c r="AA42" s="3027" t="s">
        <v>318</v>
      </c>
      <c r="AB42" s="3027" t="s">
        <v>320</v>
      </c>
      <c r="AC42" s="3556" t="s">
        <v>321</v>
      </c>
      <c r="AD42" s="3557"/>
      <c r="AE42" s="5" t="s">
        <v>323</v>
      </c>
      <c r="AF42" s="1092" t="s">
        <v>304</v>
      </c>
    </row>
    <row r="43" spans="3:45" ht="13.15">
      <c r="C43" s="2768" t="s">
        <v>119</v>
      </c>
      <c r="D43" s="292" t="s">
        <v>139</v>
      </c>
      <c r="E43" s="300">
        <f>AE37</f>
        <v>305.435</v>
      </c>
      <c r="F43" s="294" t="s">
        <v>25</v>
      </c>
      <c r="G43" s="319" t="s">
        <v>106</v>
      </c>
      <c r="H43" s="277"/>
      <c r="J43" s="2561">
        <f>E32</f>
        <v>0.78649999999999998</v>
      </c>
      <c r="K43" s="1786">
        <f>E35</f>
        <v>93</v>
      </c>
      <c r="L43" s="3028">
        <f>MROUND(J43,0.002)</f>
        <v>0.78600000000000003</v>
      </c>
      <c r="M43" s="3028"/>
      <c r="N43" s="1686">
        <f>FLOOR(K43,1)+IF(MOD(K43,1)&lt;0.26,0,IF(MOD(K43,1)&lt;0.76,0.5,1))</f>
        <v>93</v>
      </c>
      <c r="O43" s="1607">
        <f>MROUND(L43*999.012,0.01)</f>
        <v>785.22</v>
      </c>
      <c r="P43" s="1607">
        <v>341.09570000000002</v>
      </c>
      <c r="Q43" s="3560">
        <v>0</v>
      </c>
      <c r="R43" s="3561"/>
      <c r="S43" s="2564">
        <f>TRUNC(P43/O43,8)</f>
        <v>0.43439506999999999</v>
      </c>
      <c r="T43" s="3567">
        <f>TRUNC(S43/O43,10)</f>
        <v>5.5321440000000003E-4</v>
      </c>
      <c r="U43" s="3568"/>
      <c r="V43" s="2566">
        <f>Q43/O43</f>
        <v>0</v>
      </c>
      <c r="W43" s="2567">
        <f>MROUND(T43+V43,0.0000001)</f>
        <v>5.532E-4</v>
      </c>
      <c r="X43" s="2568">
        <f>N43-60</f>
        <v>33</v>
      </c>
      <c r="Y43" s="3564">
        <f>W43*X43</f>
        <v>1.82556E-2</v>
      </c>
      <c r="Z43" s="3565"/>
      <c r="AA43" s="3029">
        <f>0.8*Y43</f>
        <v>1.4604480000000001E-2</v>
      </c>
      <c r="AB43" s="3029">
        <f>0.8*W43^2*X43^2</f>
        <v>2.6661354508799998E-4</v>
      </c>
      <c r="AC43" s="3564">
        <f>-Y43-AB43</f>
        <v>-1.8522213545088002E-2</v>
      </c>
      <c r="AD43" s="3565"/>
      <c r="AE43" s="2563">
        <f>TRUNC(EXP(AC43),6)</f>
        <v>0.98164799999999997</v>
      </c>
      <c r="AF43" s="2570">
        <f>ROUND(MROUND(AE43,0.00001),4)</f>
        <v>0.98170000000000002</v>
      </c>
    </row>
    <row r="44" spans="3:45">
      <c r="C44" s="2768" t="s">
        <v>119</v>
      </c>
      <c r="D44" s="292" t="s">
        <v>140</v>
      </c>
      <c r="E44" s="305">
        <f>AF37</f>
        <v>7.2725000000000009</v>
      </c>
      <c r="F44" s="294" t="s">
        <v>25</v>
      </c>
      <c r="G44" s="319" t="s">
        <v>106</v>
      </c>
      <c r="H44" s="277"/>
      <c r="J44" s="2551"/>
      <c r="K44" s="541"/>
      <c r="L44" s="561"/>
      <c r="M44" s="561"/>
      <c r="N44" s="561"/>
      <c r="O44" s="561"/>
      <c r="P44" s="541"/>
      <c r="Q44" s="541"/>
      <c r="R44" s="541"/>
      <c r="S44" s="541"/>
      <c r="T44" s="541"/>
      <c r="U44" s="541"/>
      <c r="V44" s="541"/>
      <c r="AF44" s="542"/>
    </row>
    <row r="45" spans="3:45">
      <c r="C45" s="2768" t="s">
        <v>120</v>
      </c>
      <c r="D45" s="292" t="s">
        <v>14</v>
      </c>
      <c r="E45" s="302">
        <f>AI37</f>
        <v>2.9232</v>
      </c>
      <c r="F45" s="294" t="s">
        <v>25</v>
      </c>
      <c r="G45" s="319" t="s">
        <v>144</v>
      </c>
      <c r="H45" s="277"/>
      <c r="J45" s="2992"/>
      <c r="K45" s="2993"/>
      <c r="L45" s="2529" t="s">
        <v>303</v>
      </c>
      <c r="M45" s="2962"/>
      <c r="N45" s="2434"/>
      <c r="O45" s="1606" t="s">
        <v>307</v>
      </c>
      <c r="P45" s="3232" t="s">
        <v>308</v>
      </c>
      <c r="Q45" s="3566"/>
      <c r="R45" s="3233"/>
      <c r="S45" s="3234" t="s">
        <v>311</v>
      </c>
      <c r="T45" s="3235"/>
      <c r="U45" s="3235"/>
      <c r="V45" s="3235"/>
      <c r="W45" s="3236"/>
      <c r="X45" s="1606" t="s">
        <v>316</v>
      </c>
      <c r="Y45" s="3026" t="s">
        <v>322</v>
      </c>
      <c r="Z45" s="2582"/>
      <c r="AA45" s="2582"/>
      <c r="AB45" s="2582"/>
      <c r="AC45" s="2582"/>
      <c r="AD45" s="2582"/>
      <c r="AE45" s="2583"/>
      <c r="AF45" s="2540" t="s">
        <v>204</v>
      </c>
    </row>
    <row r="46" spans="3:45">
      <c r="C46" s="2768" t="s">
        <v>120</v>
      </c>
      <c r="D46" s="292" t="s">
        <v>14</v>
      </c>
      <c r="E46" s="303">
        <f>AJ37</f>
        <v>0.122775</v>
      </c>
      <c r="F46" s="294" t="s">
        <v>25</v>
      </c>
      <c r="G46" s="319" t="s">
        <v>143</v>
      </c>
      <c r="H46" s="277"/>
      <c r="J46" s="1607" t="s">
        <v>251</v>
      </c>
      <c r="K46" s="1607" t="s">
        <v>301</v>
      </c>
      <c r="L46" s="3530" t="s">
        <v>251</v>
      </c>
      <c r="M46" s="3531"/>
      <c r="N46" s="2529" t="s">
        <v>205</v>
      </c>
      <c r="O46" s="1607" t="s">
        <v>306</v>
      </c>
      <c r="P46" s="1607" t="str">
        <f>IF(L47&gt;=0.839,"Kₒ",IF(L47&gt;=0.789,"Kₒ",IF(L47&gt;=0.771,"B","Kₒ")))</f>
        <v>B</v>
      </c>
      <c r="Q46" s="3524" t="str">
        <f>IF(L47&gt;=0.839,"K1",IF(L47&gt;=0.789,"K1",IF(L47&gt;=0.771,"A","K1")))</f>
        <v>A</v>
      </c>
      <c r="R46" s="3525"/>
      <c r="S46" s="1607" t="str">
        <f>IF(L47&gt;=0.839,"Kₒ/ρ",IF(L47&gt;=0.789,"Kₒ/ρ",IF(L47&gt;=0.771,"B/ρ","Kₒ/ρ")))</f>
        <v>B/ρ</v>
      </c>
      <c r="T46" s="3524" t="str">
        <f>IF(L47&gt;=0.839,"Kₒ/ρ/ρ",IF(L47&gt;=0.789,"Kₒ/ρ/ρ",IF(L47&gt;=0.771,"B/ρ/ρ","Kₒ/ρ/ρ")))</f>
        <v>B/ρ/ρ</v>
      </c>
      <c r="U46" s="3525"/>
      <c r="V46" s="1607" t="str">
        <f>IF(L47&gt;=0.839,"K1/ρ",IF(L47&gt;=0.789,"K1/ρ",IF(L47&gt;=0.771,"A","K1/ρ")))</f>
        <v>A</v>
      </c>
      <c r="W46" s="2563" t="s">
        <v>315</v>
      </c>
      <c r="X46" s="2563" t="s">
        <v>317</v>
      </c>
      <c r="Y46" s="3560" t="s">
        <v>319</v>
      </c>
      <c r="Z46" s="3561"/>
      <c r="AA46" s="3027" t="s">
        <v>318</v>
      </c>
      <c r="AB46" s="3027" t="s">
        <v>320</v>
      </c>
      <c r="AC46" s="3556" t="s">
        <v>321</v>
      </c>
      <c r="AD46" s="3557"/>
      <c r="AE46" s="5" t="s">
        <v>323</v>
      </c>
      <c r="AF46" s="1092" t="s">
        <v>305</v>
      </c>
    </row>
    <row r="47" spans="3:45" ht="13.15">
      <c r="C47" s="2768" t="s">
        <v>121</v>
      </c>
      <c r="D47" s="292" t="s">
        <v>139</v>
      </c>
      <c r="E47" s="300">
        <f>AM37</f>
        <v>342.09000000000003</v>
      </c>
      <c r="F47" s="294" t="s">
        <v>25</v>
      </c>
      <c r="G47" s="319" t="s">
        <v>108</v>
      </c>
      <c r="H47" s="277"/>
      <c r="J47" s="2561">
        <f>E32</f>
        <v>0.78649999999999998</v>
      </c>
      <c r="K47" s="1786">
        <f>E35</f>
        <v>93</v>
      </c>
      <c r="L47" s="3558">
        <f>MROUND(J47,0.002)</f>
        <v>0.78600000000000003</v>
      </c>
      <c r="M47" s="3559"/>
      <c r="N47" s="1686">
        <f>FLOOR(K47,1)+IF(MOD(K47,1)&lt;0.26,0,IF(MOD(K47,1)&lt;0.76,0.5,1))</f>
        <v>93</v>
      </c>
      <c r="O47" s="1607">
        <f>MROUND(L47*999.012,0.01)</f>
        <v>785.22</v>
      </c>
      <c r="P47" s="1607">
        <f>IF(L47&gt;=0.839,103.872,IF(L47&gt;=0.789,330.301,IF(L47&gt;=0.771,1489.067,192.4571)))</f>
        <v>1489.067</v>
      </c>
      <c r="Q47" s="3560">
        <f>IF(L47&gt;=0.839,0.2701,IF(L47&gt;=0.789,0,IF(L47&gt;=0.771,-0.0018684,0.2438)))</f>
        <v>-1.8684000000000001E-3</v>
      </c>
      <c r="R47" s="3561"/>
      <c r="S47" s="2564">
        <f>TRUNC(P47/O47,8)</f>
        <v>1.89636917</v>
      </c>
      <c r="T47" s="3562">
        <f>TRUNC(S47/O47,10)</f>
        <v>2.41508E-3</v>
      </c>
      <c r="U47" s="3563"/>
      <c r="V47" s="3030">
        <f>IF(L47&gt;=0.839,Q47/O47,IF(L47&gt;=0.789,Q47/O47,IF(L47&gt;=0.771,Q47,Q47/O47)))</f>
        <v>-1.8684000000000001E-3</v>
      </c>
      <c r="W47" s="2567">
        <f>MROUND(T47+V47,0.0000001)</f>
        <v>5.4670000000000001E-4</v>
      </c>
      <c r="X47" s="2568">
        <f>N47-60</f>
        <v>33</v>
      </c>
      <c r="Y47" s="3564">
        <f>W47*X47</f>
        <v>1.8041100000000001E-2</v>
      </c>
      <c r="Z47" s="3565"/>
      <c r="AA47" s="3029">
        <f>0.8*Y47</f>
        <v>1.4432880000000002E-2</v>
      </c>
      <c r="AB47" s="3029">
        <f>0.8*W47^2*X47^2</f>
        <v>2.6038503136800002E-4</v>
      </c>
      <c r="AC47" s="3564">
        <f>-Y47-AB47</f>
        <v>-1.8301485031368001E-2</v>
      </c>
      <c r="AD47" s="3565"/>
      <c r="AE47" s="2563">
        <f>TRUNC(EXP(AC47),6)</f>
        <v>0.98186399999999996</v>
      </c>
      <c r="AF47" s="2570">
        <f>ROUND(MROUND(AE47,0.00001),4)</f>
        <v>0.9819</v>
      </c>
    </row>
    <row r="48" spans="3:45">
      <c r="C48" s="2768" t="s">
        <v>121</v>
      </c>
      <c r="D48" s="292" t="s">
        <v>140</v>
      </c>
      <c r="E48" s="305">
        <f>AN37</f>
        <v>8.1450000000000014</v>
      </c>
      <c r="F48" s="294" t="s">
        <v>25</v>
      </c>
      <c r="G48" s="319" t="s">
        <v>108</v>
      </c>
      <c r="H48" s="277"/>
      <c r="J48" s="2581"/>
      <c r="K48" s="2772"/>
      <c r="L48" s="2772"/>
      <c r="M48" s="2772"/>
      <c r="N48" s="2772"/>
      <c r="O48" s="2772"/>
      <c r="P48" s="2772"/>
      <c r="Q48" s="2772"/>
      <c r="R48" s="2772"/>
      <c r="S48" s="2772"/>
      <c r="T48" s="2772"/>
      <c r="U48" s="2772"/>
      <c r="V48" s="2772"/>
      <c r="W48" s="2771"/>
      <c r="X48" s="2771"/>
      <c r="Y48" s="2771"/>
      <c r="Z48" s="2771"/>
      <c r="AA48" s="2771"/>
      <c r="AB48" s="2771"/>
      <c r="AC48" s="2771"/>
      <c r="AD48" s="2771"/>
      <c r="AE48" s="2771"/>
      <c r="AF48" s="3031"/>
    </row>
    <row r="49" spans="3:36">
      <c r="C49" s="2768" t="s">
        <v>122</v>
      </c>
      <c r="D49" s="241" t="s">
        <v>138</v>
      </c>
      <c r="E49" s="302">
        <f>AQ37</f>
        <v>1.1555500000000001</v>
      </c>
      <c r="F49" s="294" t="s">
        <v>25</v>
      </c>
      <c r="G49" s="319" t="s">
        <v>106</v>
      </c>
      <c r="H49" s="277"/>
    </row>
    <row r="50" spans="3:36">
      <c r="C50" s="2768" t="s">
        <v>122</v>
      </c>
      <c r="D50" s="241" t="s">
        <v>138</v>
      </c>
      <c r="E50" s="302">
        <f>AR37</f>
        <v>1.2942500000000001</v>
      </c>
      <c r="F50" s="294" t="s">
        <v>25</v>
      </c>
      <c r="G50" s="319" t="s">
        <v>108</v>
      </c>
      <c r="H50" s="277"/>
    </row>
    <row r="51" spans="3:36" ht="15.75" customHeight="1">
      <c r="C51" s="2773"/>
      <c r="D51" s="2974"/>
      <c r="E51" s="2769"/>
      <c r="F51" s="2769"/>
      <c r="G51" s="2769"/>
      <c r="H51" s="2770"/>
    </row>
    <row r="53" spans="3:36" ht="15">
      <c r="C53" s="2957" t="s">
        <v>1390</v>
      </c>
      <c r="D53" s="2958"/>
      <c r="E53" s="2958"/>
      <c r="F53" s="2958"/>
      <c r="G53" s="2958"/>
      <c r="H53" s="2959"/>
      <c r="J53" s="2529" t="s">
        <v>100</v>
      </c>
      <c r="K53" s="2434"/>
      <c r="L53" s="2434"/>
      <c r="M53" s="2434"/>
      <c r="N53" s="2434"/>
      <c r="O53" s="2434"/>
      <c r="P53" s="2434"/>
      <c r="Q53" s="2434"/>
      <c r="R53" s="2434"/>
      <c r="S53" s="2434"/>
      <c r="T53" s="2434"/>
      <c r="U53" s="3032"/>
      <c r="V53" s="2962" t="s">
        <v>100</v>
      </c>
      <c r="W53" s="2434"/>
      <c r="X53" s="2962"/>
      <c r="Y53" s="2434"/>
      <c r="Z53" s="2434"/>
      <c r="AA53" s="2434"/>
      <c r="AB53" s="2434"/>
      <c r="AC53" s="2434"/>
      <c r="AD53" s="2434"/>
      <c r="AE53" s="2434"/>
      <c r="AF53" s="2434"/>
      <c r="AG53" s="3033"/>
      <c r="AH53" s="2963"/>
      <c r="AI53" s="2963"/>
      <c r="AJ53" s="3034"/>
    </row>
    <row r="54" spans="3:36" ht="13.15">
      <c r="C54" s="3035"/>
      <c r="E54" s="6"/>
      <c r="F54" s="6"/>
      <c r="G54" s="6"/>
      <c r="H54" s="277"/>
      <c r="J54" s="253" t="s">
        <v>12</v>
      </c>
      <c r="K54" s="254"/>
      <c r="L54" s="255"/>
      <c r="M54" s="2965"/>
      <c r="N54" s="253" t="s">
        <v>7</v>
      </c>
      <c r="O54" s="254"/>
      <c r="P54" s="255"/>
      <c r="Q54" s="2966"/>
      <c r="R54" s="3549" t="str">
        <f>'ASTM Vol. XI-XII'!CF5</f>
        <v>ASTM Table 56</v>
      </c>
      <c r="S54" s="3550"/>
      <c r="T54" s="3551"/>
      <c r="U54" s="2966"/>
      <c r="V54" s="3549" t="str">
        <f>'ASTM Vol. XI-XII'!CI5</f>
        <v>ASTM Table 56</v>
      </c>
      <c r="W54" s="3550"/>
      <c r="X54" s="3551"/>
      <c r="Y54" s="2966"/>
      <c r="Z54" s="253" t="s">
        <v>8</v>
      </c>
      <c r="AA54" s="254"/>
      <c r="AB54" s="255"/>
      <c r="AC54" s="2965"/>
      <c r="AD54" s="253" t="s">
        <v>9</v>
      </c>
      <c r="AE54" s="254"/>
      <c r="AF54" s="255"/>
      <c r="AG54" s="2965"/>
      <c r="AH54" s="253" t="s">
        <v>10</v>
      </c>
      <c r="AI54" s="254"/>
      <c r="AJ54" s="255"/>
    </row>
    <row r="55" spans="3:36">
      <c r="C55" s="2767"/>
      <c r="D55" s="288" t="s">
        <v>131</v>
      </c>
      <c r="E55" s="3036">
        <f>'ASTM Tables'!M6</f>
        <v>0.77759999999999996</v>
      </c>
      <c r="F55" s="394" t="s">
        <v>168</v>
      </c>
      <c r="G55" s="6"/>
      <c r="H55" s="277"/>
      <c r="J55" s="229" t="s">
        <v>20</v>
      </c>
      <c r="K55" s="230" t="s">
        <v>19</v>
      </c>
      <c r="L55" s="231" t="s">
        <v>18</v>
      </c>
      <c r="M55" s="2969"/>
      <c r="N55" s="229" t="s">
        <v>20</v>
      </c>
      <c r="O55" s="230" t="s">
        <v>13</v>
      </c>
      <c r="P55" s="231" t="s">
        <v>16</v>
      </c>
      <c r="Q55" s="259"/>
      <c r="R55" s="229" t="str">
        <f>'ASTM Vol. XI-XII'!CF6</f>
        <v>DENSITY</v>
      </c>
      <c r="S55" s="3552" t="str">
        <f>'ASTM Vol. XI-XII'!CG6</f>
        <v>Factor for Converting</v>
      </c>
      <c r="T55" s="3553"/>
      <c r="U55" s="259"/>
      <c r="V55" s="229" t="str">
        <f>'ASTM Vol. XI-XII'!CI6</f>
        <v>DENSITY</v>
      </c>
      <c r="W55" s="3552" t="str">
        <f>'ASTM Vol. XI-XII'!CJ6</f>
        <v>Factor for Converting</v>
      </c>
      <c r="X55" s="3553"/>
      <c r="Y55" s="259"/>
      <c r="Z55" s="229" t="s">
        <v>20</v>
      </c>
      <c r="AA55" s="230" t="s">
        <v>17</v>
      </c>
      <c r="AB55" s="231" t="s">
        <v>13</v>
      </c>
      <c r="AC55" s="2969"/>
      <c r="AD55" s="229" t="s">
        <v>20</v>
      </c>
      <c r="AE55" s="230" t="s">
        <v>23</v>
      </c>
      <c r="AF55" s="231" t="s">
        <v>14</v>
      </c>
      <c r="AG55" s="2969"/>
      <c r="AH55" s="229" t="s">
        <v>20</v>
      </c>
      <c r="AI55" s="230" t="s">
        <v>24</v>
      </c>
      <c r="AJ55" s="231" t="s">
        <v>16</v>
      </c>
    </row>
    <row r="56" spans="3:36">
      <c r="C56" s="2768"/>
      <c r="D56" s="287" t="s">
        <v>131</v>
      </c>
      <c r="E56" s="3037">
        <f>IF(E55&gt;2,E55,E55*1000)</f>
        <v>777.59999999999991</v>
      </c>
      <c r="F56" s="395" t="s">
        <v>168</v>
      </c>
      <c r="G56" s="6"/>
      <c r="H56" s="277"/>
      <c r="J56" s="180"/>
      <c r="K56" s="181" t="s">
        <v>20</v>
      </c>
      <c r="L56" s="182" t="s">
        <v>26</v>
      </c>
      <c r="M56" s="2971"/>
      <c r="N56" s="180" t="s">
        <v>27</v>
      </c>
      <c r="O56" s="181" t="s">
        <v>25</v>
      </c>
      <c r="P56" s="182" t="s">
        <v>25</v>
      </c>
      <c r="Q56" s="260"/>
      <c r="R56" s="180" t="str">
        <f>'ASTM Vol. XI-XII'!CF7</f>
        <v>(kg/L)</v>
      </c>
      <c r="S56" s="3538" t="str">
        <f>'ASTM Vol. XI-XII'!CG7</f>
        <v>Weight in Vacuo</v>
      </c>
      <c r="T56" s="3539"/>
      <c r="U56" s="260"/>
      <c r="V56" s="180" t="str">
        <f>'ASTM Vol. XI-XII'!CI7</f>
        <v>(kg/L)</v>
      </c>
      <c r="W56" s="3554" t="str">
        <f>'ASTM Vol. XI-XII'!CJ7</f>
        <v>Weight in Air</v>
      </c>
      <c r="X56" s="3555"/>
      <c r="Y56" s="260"/>
      <c r="Z56" s="180" t="s">
        <v>27</v>
      </c>
      <c r="AA56" s="181" t="s">
        <v>25</v>
      </c>
      <c r="AB56" s="182" t="s">
        <v>25</v>
      </c>
      <c r="AC56" s="2971"/>
      <c r="AD56" s="180"/>
      <c r="AE56" s="181" t="s">
        <v>25</v>
      </c>
      <c r="AF56" s="182" t="s">
        <v>25</v>
      </c>
      <c r="AG56" s="2971"/>
      <c r="AH56" s="180" t="s">
        <v>27</v>
      </c>
      <c r="AI56" s="181" t="s">
        <v>25</v>
      </c>
      <c r="AJ56" s="182" t="s">
        <v>25</v>
      </c>
    </row>
    <row r="57" spans="3:36">
      <c r="C57" s="2768"/>
      <c r="D57" s="287" t="s">
        <v>131</v>
      </c>
      <c r="E57" s="725">
        <f>IF(E55&lt;2,E55,E55/1000)</f>
        <v>0.77759999999999996</v>
      </c>
      <c r="F57" s="395" t="s">
        <v>168</v>
      </c>
      <c r="G57" s="6"/>
      <c r="H57" s="277"/>
      <c r="J57" s="233"/>
      <c r="K57" s="234"/>
      <c r="L57" s="235"/>
      <c r="M57" s="2969"/>
      <c r="N57" s="233" t="s">
        <v>27</v>
      </c>
      <c r="O57" s="234" t="s">
        <v>28</v>
      </c>
      <c r="P57" s="235" t="s">
        <v>22</v>
      </c>
      <c r="Q57" s="259"/>
      <c r="R57" s="233"/>
      <c r="S57" s="3536" t="str">
        <f>'ASTM Vol. XI-XII'!CG8</f>
        <v>to Weight in Air</v>
      </c>
      <c r="T57" s="3537"/>
      <c r="U57" s="259"/>
      <c r="V57" s="233"/>
      <c r="W57" s="3538" t="str">
        <f>'ASTM Vol. XI-XII'!CJ8</f>
        <v>to Weight in Vacuo</v>
      </c>
      <c r="X57" s="3539"/>
      <c r="Y57" s="259"/>
      <c r="Z57" s="233" t="s">
        <v>27</v>
      </c>
      <c r="AA57" s="234" t="s">
        <v>22</v>
      </c>
      <c r="AB57" s="235" t="s">
        <v>29</v>
      </c>
      <c r="AC57" s="2969"/>
      <c r="AD57" s="233"/>
      <c r="AE57" s="234" t="s">
        <v>22</v>
      </c>
      <c r="AF57" s="235" t="s">
        <v>22</v>
      </c>
      <c r="AG57" s="2969"/>
      <c r="AH57" s="233" t="s">
        <v>27</v>
      </c>
      <c r="AI57" s="234" t="s">
        <v>29</v>
      </c>
      <c r="AJ57" s="235" t="s">
        <v>29</v>
      </c>
    </row>
    <row r="58" spans="3:36">
      <c r="C58" s="2768" t="s">
        <v>12</v>
      </c>
      <c r="D58" s="287" t="s">
        <v>132</v>
      </c>
      <c r="E58" s="289">
        <f>K60</f>
        <v>0.77789999999999992</v>
      </c>
      <c r="F58" s="392" t="s">
        <v>167</v>
      </c>
      <c r="G58" s="6"/>
      <c r="H58" s="277"/>
      <c r="J58" s="2571" t="s">
        <v>34</v>
      </c>
      <c r="K58" s="2572" t="s">
        <v>35</v>
      </c>
      <c r="L58" s="2573" t="s">
        <v>32</v>
      </c>
      <c r="M58" s="2971"/>
      <c r="N58" s="2571" t="s">
        <v>34</v>
      </c>
      <c r="O58" s="2572"/>
      <c r="P58" s="2573"/>
      <c r="Q58" s="260"/>
      <c r="R58" s="263" t="str">
        <f>'ASTM Vol. XI-XII'!CF9</f>
        <v>( 15°C )</v>
      </c>
      <c r="S58" s="3540"/>
      <c r="T58" s="3541"/>
      <c r="U58" s="260"/>
      <c r="V58" s="2571" t="str">
        <f>'ASTM Vol. XI-XII'!CI9</f>
        <v>( 15°C )</v>
      </c>
      <c r="W58" s="3542"/>
      <c r="X58" s="3543"/>
      <c r="Y58" s="260"/>
      <c r="Z58" s="2571" t="s">
        <v>34</v>
      </c>
      <c r="AA58" s="2572" t="s">
        <v>34</v>
      </c>
      <c r="AB58" s="2573" t="s">
        <v>34</v>
      </c>
      <c r="AC58" s="2971"/>
      <c r="AD58" s="2571" t="s">
        <v>34</v>
      </c>
      <c r="AE58" s="2572" t="s">
        <v>34</v>
      </c>
      <c r="AF58" s="2573" t="s">
        <v>34</v>
      </c>
      <c r="AG58" s="2971"/>
      <c r="AH58" s="2571" t="s">
        <v>34</v>
      </c>
      <c r="AI58" s="2572" t="s">
        <v>34</v>
      </c>
      <c r="AJ58" s="2573" t="s">
        <v>34</v>
      </c>
    </row>
    <row r="59" spans="3:36">
      <c r="C59" s="2768" t="s">
        <v>12</v>
      </c>
      <c r="D59" s="285" t="s">
        <v>136</v>
      </c>
      <c r="E59" s="308">
        <f>L60</f>
        <v>50.396000000000022</v>
      </c>
      <c r="F59" s="289" t="s">
        <v>166</v>
      </c>
      <c r="G59" s="6"/>
      <c r="H59" s="277"/>
      <c r="J59" s="2977">
        <f>VLOOKUP(J60,'ASTM Vol. XI-XII'!BX$10:BX$860,TRUE)</f>
        <v>777</v>
      </c>
      <c r="K59" s="2978">
        <f>VLOOKUP(J59,'ASTM Vol. XI-XII'!BX$10:BY$860,2)</f>
        <v>0.77729999999999999</v>
      </c>
      <c r="L59" s="2982">
        <f>VLOOKUP(J59,'ASTM Vol. XI-XII'!BX$10:BZ$860,3)</f>
        <v>50.54</v>
      </c>
      <c r="M59" s="2980"/>
      <c r="N59" s="2977">
        <f>VLOOKUP(N60,'ASTM Vol. XI-XII'!CB$10:CB$860,TRUE)</f>
        <v>777</v>
      </c>
      <c r="O59" s="2981">
        <f>VLOOKUP(N59,'ASTM Vol. XI-XII'!CB$10:CC$860,2)</f>
        <v>0.15889</v>
      </c>
      <c r="P59" s="2983">
        <f>VLOOKUP(N59,'ASTM Vol. XI-XII'!CB$10:CD$860,3)</f>
        <v>6.2939999999999996</v>
      </c>
      <c r="Q59" s="352"/>
      <c r="R59" s="2977">
        <f>VLOOKUP(R60,'ASTM Vol. XI-XII'!CF10:CF37,TRUE)</f>
        <v>0.73929999999999996</v>
      </c>
      <c r="S59" s="3544">
        <f>VLOOKUP(R59,'ASTM Vol. XI-XII'!CF$10:CG$860,2)</f>
        <v>0.99855000000000005</v>
      </c>
      <c r="T59" s="3544"/>
      <c r="U59" s="352"/>
      <c r="V59" s="2977">
        <f>VLOOKUP(V60,'ASTM Vol. XI-XII'!CI$10:CI$860,TRUE)</f>
        <v>0.74029999999999996</v>
      </c>
      <c r="W59" s="3544">
        <f>VLOOKUP(V59,'ASTM Vol. XI-XII'!CI$10:CJ$860,2)</f>
        <v>1.00145</v>
      </c>
      <c r="X59" s="3544"/>
      <c r="Y59" s="352"/>
      <c r="Z59" s="2977">
        <f>VLOOKUP(Z60,'ASTM Vol. XI-XII'!CL$10:CL$860,TRUE)</f>
        <v>777</v>
      </c>
      <c r="AA59" s="2979">
        <f>VLOOKUP(Z59,'ASTM Vol. XI-XII'!CL$10:CM$860,2)</f>
        <v>775.9</v>
      </c>
      <c r="AB59" s="2978">
        <f>VLOOKUP(Z59,'ASTM Vol. XI-XII'!CL$10:CN$860,3)</f>
        <v>1.2887999999999999</v>
      </c>
      <c r="AC59" s="2980"/>
      <c r="AD59" s="2977">
        <f>VLOOKUP(AD60,'ASTM Vol. XI-XII'!CP$10:CP$860,TRUE)</f>
        <v>777</v>
      </c>
      <c r="AE59" s="2978">
        <f>VLOOKUP(AD59,'ASTM Vol. XI-XII'!CP$10:CQ$860,2)</f>
        <v>0.85529999999999995</v>
      </c>
      <c r="AF59" s="2978">
        <f>VLOOKUP(AD59,'ASTM Vol. XI-XII'!CP$10:CR$860,3)</f>
        <v>0.76359999999999995</v>
      </c>
      <c r="AG59" s="2980"/>
      <c r="AH59" s="2977">
        <f>VLOOKUP(AH60,'ASTM Vol. XI-XII'!CT$10:CT$860,TRUE)</f>
        <v>777</v>
      </c>
      <c r="AI59" s="2982">
        <f>VLOOKUP(AH59,'ASTM Vol. XI-XII'!CT$10:CU$860,2)</f>
        <v>340.68</v>
      </c>
      <c r="AJ59" s="2983">
        <f>VLOOKUP(AH59,'ASTM Vol. XI-XII'!CT$10:CV$860,3)</f>
        <v>8.1110000000000007</v>
      </c>
    </row>
    <row r="60" spans="3:36" ht="13.15">
      <c r="C60" s="2768"/>
      <c r="D60" s="287" t="s">
        <v>1388</v>
      </c>
      <c r="E60" s="1859">
        <f>'ASTM Tables'!M7</f>
        <v>30.2</v>
      </c>
      <c r="F60" s="289"/>
      <c r="G60" s="6"/>
      <c r="H60" s="277"/>
      <c r="J60" s="2984">
        <f>$E$56</f>
        <v>777.59999999999991</v>
      </c>
      <c r="K60" s="2985">
        <f>K59+((J60-J59)/(J61-J59))*(K61-K59)</f>
        <v>0.77789999999999992</v>
      </c>
      <c r="L60" s="2988">
        <f>L59+((J60-J59)/(J61-J59))*(L61-L59)</f>
        <v>50.396000000000022</v>
      </c>
      <c r="M60" s="2980"/>
      <c r="N60" s="2984">
        <f>$E$56</f>
        <v>777.59999999999991</v>
      </c>
      <c r="O60" s="2987">
        <f>O59+((N60-N59)/(N61-N59))*(O61-O59)</f>
        <v>0.15889</v>
      </c>
      <c r="P60" s="2989">
        <f>P59+((N60-N59)/(N61-N59))*(P61-P59)</f>
        <v>6.2939999999999996</v>
      </c>
      <c r="Q60" s="352"/>
      <c r="R60" s="3018">
        <f>$E$57</f>
        <v>0.77759999999999996</v>
      </c>
      <c r="S60" s="3545">
        <f>S59+((R60-R59)/(R61-R59))*(S61-S59)</f>
        <v>0.99855000000000005</v>
      </c>
      <c r="T60" s="3545"/>
      <c r="U60" s="352"/>
      <c r="V60" s="3018">
        <f>$E$57</f>
        <v>0.77759999999999996</v>
      </c>
      <c r="W60" s="3545">
        <f>W59+((V60-V59)/(V61-V59))*(W61-W59)</f>
        <v>1.00145</v>
      </c>
      <c r="X60" s="3545"/>
      <c r="Y60" s="352"/>
      <c r="Z60" s="2984">
        <f>$E$56</f>
        <v>777.59999999999991</v>
      </c>
      <c r="AA60" s="2986">
        <f>AA59+((Z60-Z59)/(Z61-Z59))*(AA61-AA59)</f>
        <v>776.49999999999989</v>
      </c>
      <c r="AB60" s="2985">
        <f>AB59+((Z60-Z59)/(Z61-Z59))*(AB61-AB59)</f>
        <v>1.2878400000000001</v>
      </c>
      <c r="AC60" s="2980"/>
      <c r="AD60" s="2984">
        <f>$E$56</f>
        <v>777.59999999999991</v>
      </c>
      <c r="AE60" s="2985">
        <f>AE59+((AD60-AD59)/(AD61-AD59))*(AE61-AE59)</f>
        <v>0.85595999999999994</v>
      </c>
      <c r="AF60" s="2985">
        <f>AF59+((AD60-AD59)/(AD61-AD59))*(AF61-AF59)</f>
        <v>0.76419999999999988</v>
      </c>
      <c r="AG60" s="2980"/>
      <c r="AH60" s="2984">
        <f>$E$56</f>
        <v>777.59999999999991</v>
      </c>
      <c r="AI60" s="2988">
        <f>AI59+((AH60-AH59)/(AH61-AH59))*(AI61-AI59)</f>
        <v>340.41000000000008</v>
      </c>
      <c r="AJ60" s="2989">
        <f>AJ59+((AH60-AH59)/(AH61-AH59))*(AJ61-AJ59)</f>
        <v>8.1050000000000022</v>
      </c>
    </row>
    <row r="61" spans="3:36" ht="13.15">
      <c r="C61" s="3009"/>
      <c r="D61" s="3038"/>
      <c r="E61" s="3039"/>
      <c r="F61" s="3039"/>
      <c r="G61" s="2769"/>
      <c r="H61" s="2770"/>
      <c r="J61" s="2977">
        <f>INDEX('ASTM Vol. XI-XII'!BX$10:BX$860,(MATCH(J59,'ASTM Vol. XI-XII'!BX$10:BX$860,1)+1))</f>
        <v>778</v>
      </c>
      <c r="K61" s="2978">
        <f>VLOOKUP(J61,'ASTM Vol. XI-XII'!BX$10:BY$860,2)</f>
        <v>0.77829999999999999</v>
      </c>
      <c r="L61" s="2982">
        <f>VLOOKUP(J61,'ASTM Vol. XI-XII'!BX$10:BZ$860,3)</f>
        <v>50.3</v>
      </c>
      <c r="M61" s="2990"/>
      <c r="N61" s="2977">
        <f>INDEX('ASTM Vol. XI-XII'!CB$10:CB$860,(MATCH(N59,'ASTM Vol. XI-XII'!CB$10:CB$860,1)+1))</f>
        <v>778</v>
      </c>
      <c r="O61" s="2981">
        <f>VLOOKUP(N61,'ASTM Vol. XI-XII'!CB$10:CC$860,2)</f>
        <v>0.15889</v>
      </c>
      <c r="P61" s="2983">
        <f>VLOOKUP(N61,'ASTM Vol. XI-XII'!CB$10:CD$860,3)</f>
        <v>6.2939999999999996</v>
      </c>
      <c r="Q61" s="2991"/>
      <c r="R61" s="2977">
        <f>INDEX('ASTM Vol. XI-XII'!CF$10:CF$860,(MATCH(R59,'ASTM Vol. XI-XII'!CF$10:CF$860,1)+1))</f>
        <v>0.78690000000000004</v>
      </c>
      <c r="S61" s="3544">
        <f>VLOOKUP(R61,'ASTM Vol. XI-XII'!CF$10:CG$37,2)</f>
        <v>0.99855000000000005</v>
      </c>
      <c r="T61" s="3544"/>
      <c r="U61" s="2991"/>
      <c r="V61" s="2977">
        <f>INDEX('ASTM Vol. XI-XII'!CI$10:CI$860,(MATCH(V59,'ASTM Vol. XI-XII'!CI$10:CI$860,1)+1))</f>
        <v>0.78790000000000004</v>
      </c>
      <c r="W61" s="3544">
        <f>VLOOKUP(V61,'ASTM Vol. XI-XII'!CI$10:CJ$860,2)</f>
        <v>1.00145</v>
      </c>
      <c r="X61" s="3544"/>
      <c r="Y61" s="2991"/>
      <c r="Z61" s="2977">
        <f>INDEX('ASTM Vol. XI-XII'!CL$10:CL$860,(MATCH(Z59,'ASTM Vol. XI-XII'!CL$10:CL$860,1)+1))</f>
        <v>778</v>
      </c>
      <c r="AA61" s="2979">
        <f>VLOOKUP(Z61,'ASTM Vol. XI-XII'!CL$10:CM$860,2)</f>
        <v>776.9</v>
      </c>
      <c r="AB61" s="2978">
        <f>VLOOKUP(Z61,'ASTM Vol. XI-XII'!CL$10:CN$860,3)</f>
        <v>1.2871999999999999</v>
      </c>
      <c r="AC61" s="2990"/>
      <c r="AD61" s="2977">
        <f>INDEX('ASTM Vol. XI-XII'!CP$10:CP$860,(MATCH(AD59,'ASTM Vol. XI-XII'!CP$10:CP$860,1)+1))</f>
        <v>778</v>
      </c>
      <c r="AE61" s="2978">
        <f>VLOOKUP(AD61,'ASTM Vol. XI-XII'!CP$10:CQ$860,2)</f>
        <v>0.85640000000000005</v>
      </c>
      <c r="AF61" s="2978">
        <f>VLOOKUP(AD61,'ASTM Vol. XI-XII'!CP$10:CR$860,3)</f>
        <v>0.76459999999999995</v>
      </c>
      <c r="AG61" s="2990"/>
      <c r="AH61" s="2977">
        <f>INDEX('ASTM Vol. XI-XII'!CT$10:CT$860,(MATCH(AH59,'ASTM Vol. XI-XII'!CT$10:CT$860,1)+1))</f>
        <v>778</v>
      </c>
      <c r="AI61" s="2982">
        <f>VLOOKUP(AH61,'ASTM Vol. XI-XII'!CT$10:CU$860,2)</f>
        <v>340.23</v>
      </c>
      <c r="AJ61" s="2983">
        <f>VLOOKUP(AH61,'ASTM Vol. XI-XII'!CT$10:CV$860,3)</f>
        <v>8.1010000000000009</v>
      </c>
    </row>
    <row r="62" spans="3:36">
      <c r="C62" s="2768" t="s">
        <v>7</v>
      </c>
      <c r="D62" s="241" t="s">
        <v>138</v>
      </c>
      <c r="E62" s="299">
        <f>O60</f>
        <v>0.15889</v>
      </c>
      <c r="F62" s="293" t="s">
        <v>25</v>
      </c>
      <c r="G62" s="319" t="s">
        <v>143</v>
      </c>
      <c r="H62" s="277"/>
    </row>
    <row r="63" spans="3:36">
      <c r="C63" s="2768" t="s">
        <v>7</v>
      </c>
      <c r="D63" s="292" t="s">
        <v>140</v>
      </c>
      <c r="E63" s="306">
        <f>P60</f>
        <v>6.2939999999999996</v>
      </c>
      <c r="F63" s="294" t="s">
        <v>25</v>
      </c>
      <c r="G63" s="342" t="s">
        <v>146</v>
      </c>
      <c r="H63" s="277"/>
      <c r="J63" s="2529" t="s">
        <v>326</v>
      </c>
      <c r="K63" s="2434"/>
      <c r="L63" s="2434"/>
      <c r="M63" s="2434"/>
      <c r="N63" s="2434"/>
      <c r="O63" s="2434"/>
      <c r="P63" s="2434"/>
      <c r="Q63" s="2434"/>
      <c r="R63" s="2434"/>
      <c r="S63" s="2434"/>
      <c r="T63" s="2434"/>
      <c r="U63" s="2434"/>
      <c r="V63" s="2434"/>
      <c r="W63" s="2434"/>
      <c r="X63" s="2530"/>
    </row>
    <row r="64" spans="3:36" ht="13.15">
      <c r="C64" s="2768" t="s">
        <v>8</v>
      </c>
      <c r="D64" s="309" t="s">
        <v>159</v>
      </c>
      <c r="E64" s="299">
        <f>S60</f>
        <v>0.99855000000000005</v>
      </c>
      <c r="F64" s="6"/>
      <c r="G64" s="6" t="s">
        <v>127</v>
      </c>
      <c r="H64" s="277"/>
      <c r="J64" s="2992"/>
      <c r="K64" s="2993"/>
      <c r="L64" s="2529" t="s">
        <v>218</v>
      </c>
      <c r="M64" s="2962"/>
      <c r="N64" s="2434"/>
      <c r="O64" s="3546"/>
      <c r="P64" s="3547"/>
      <c r="Q64" s="3548"/>
      <c r="R64" s="2581"/>
      <c r="S64" s="2582"/>
      <c r="T64" s="2582"/>
      <c r="U64" s="2582"/>
      <c r="V64" s="2583"/>
      <c r="W64" s="2540" t="s">
        <v>204</v>
      </c>
      <c r="X64" s="3040"/>
    </row>
    <row r="65" spans="3:24">
      <c r="C65" s="2768" t="s">
        <v>8</v>
      </c>
      <c r="D65" s="287" t="s">
        <v>126</v>
      </c>
      <c r="E65" s="299">
        <f>W60</f>
        <v>1.00145</v>
      </c>
      <c r="F65" s="6"/>
      <c r="G65" s="389" t="s">
        <v>141</v>
      </c>
      <c r="H65" s="277"/>
      <c r="J65" s="1607" t="s">
        <v>219</v>
      </c>
      <c r="K65" s="1607" t="s">
        <v>220</v>
      </c>
      <c r="L65" s="3530" t="s">
        <v>219</v>
      </c>
      <c r="M65" s="3531"/>
      <c r="N65" s="2529" t="s">
        <v>220</v>
      </c>
      <c r="O65" s="1607" t="s">
        <v>206</v>
      </c>
      <c r="P65" s="3524" t="s">
        <v>207</v>
      </c>
      <c r="Q65" s="3525"/>
      <c r="R65" s="2581"/>
      <c r="S65" s="2582"/>
      <c r="T65" s="2582"/>
      <c r="U65" s="2582"/>
      <c r="V65" s="2583"/>
      <c r="W65" s="1092" t="s">
        <v>221</v>
      </c>
      <c r="X65" s="542"/>
    </row>
    <row r="66" spans="3:24" ht="13.15">
      <c r="C66" s="2768" t="s">
        <v>8</v>
      </c>
      <c r="D66" s="287" t="s">
        <v>17</v>
      </c>
      <c r="E66" s="307">
        <f>AA60</f>
        <v>776.49999999999989</v>
      </c>
      <c r="F66" s="294" t="s">
        <v>25</v>
      </c>
      <c r="G66" s="342" t="s">
        <v>146</v>
      </c>
      <c r="H66" s="277"/>
      <c r="J66" s="1858">
        <f>E56</f>
        <v>777.59999999999991</v>
      </c>
      <c r="K66" s="1709">
        <f>E60</f>
        <v>30.2</v>
      </c>
      <c r="L66" s="3522">
        <f>IF((EVEN(J66)-J66)&lt;1,EVEN(J66),EVEN(J66)-2)</f>
        <v>778</v>
      </c>
      <c r="M66" s="3523"/>
      <c r="N66" s="1710">
        <f>FLOOR(K66,1)+IF(MOD(K66,1)&lt;0.125,0,IF(MOD(K66,1)&lt;0.375,0.25,IF(MOD(K66,1)&lt;0.625,0.5,IF(MOD(K66,1)&lt;0.875,0.75,1))))</f>
        <v>30.25</v>
      </c>
      <c r="O66" s="1847">
        <f>613.9723/L66^2</f>
        <v>1.0143540883287845E-3</v>
      </c>
      <c r="P66" s="3232">
        <f>1+0.8*O66*(N66-15)</f>
        <v>1.0123751198776112</v>
      </c>
      <c r="Q66" s="3233"/>
      <c r="R66" s="2581"/>
      <c r="S66" s="2582"/>
      <c r="T66" s="2582"/>
      <c r="U66" s="2582"/>
      <c r="V66" s="2583"/>
      <c r="W66" s="1623">
        <f>ROUND(EXP(O66*P66*(N66-15)*-1),4)</f>
        <v>0.98450000000000004</v>
      </c>
      <c r="X66" s="2552"/>
    </row>
    <row r="67" spans="3:24">
      <c r="C67" s="2768" t="s">
        <v>8</v>
      </c>
      <c r="D67" s="241" t="s">
        <v>138</v>
      </c>
      <c r="E67" s="289">
        <f>AB60</f>
        <v>1.2878400000000001</v>
      </c>
      <c r="F67" s="294" t="s">
        <v>25</v>
      </c>
      <c r="G67" s="6" t="s">
        <v>29</v>
      </c>
      <c r="H67" s="277"/>
      <c r="J67" s="2551"/>
      <c r="K67" s="541"/>
      <c r="L67" s="561"/>
      <c r="M67" s="561"/>
      <c r="N67" s="561"/>
      <c r="O67" s="561"/>
      <c r="P67" s="541"/>
      <c r="Q67" s="541"/>
      <c r="R67" s="541"/>
      <c r="S67" s="541"/>
      <c r="T67" s="541"/>
      <c r="U67" s="541"/>
      <c r="V67" s="541"/>
      <c r="W67" s="541"/>
      <c r="X67" s="542"/>
    </row>
    <row r="68" spans="3:24">
      <c r="C68" s="2768" t="s">
        <v>9</v>
      </c>
      <c r="D68" s="292" t="s">
        <v>23</v>
      </c>
      <c r="E68" s="289">
        <f>AE60</f>
        <v>0.85595999999999994</v>
      </c>
      <c r="F68" s="294" t="s">
        <v>25</v>
      </c>
      <c r="G68" s="342" t="s">
        <v>146</v>
      </c>
      <c r="H68" s="277"/>
      <c r="J68" s="2992"/>
      <c r="K68" s="2993"/>
      <c r="L68" s="2529" t="s">
        <v>222</v>
      </c>
      <c r="M68" s="2962"/>
      <c r="N68" s="2434"/>
      <c r="O68" s="1665" t="s">
        <v>210</v>
      </c>
      <c r="P68" s="2998"/>
      <c r="Q68" s="2998"/>
      <c r="R68" s="2998"/>
      <c r="S68" s="1666"/>
      <c r="T68" s="3528" t="s">
        <v>210</v>
      </c>
      <c r="U68" s="3529"/>
      <c r="V68" s="3041" t="s">
        <v>211</v>
      </c>
      <c r="W68" s="2540" t="s">
        <v>204</v>
      </c>
      <c r="X68" s="3042"/>
    </row>
    <row r="69" spans="3:24">
      <c r="C69" s="2768" t="s">
        <v>9</v>
      </c>
      <c r="D69" s="292" t="s">
        <v>14</v>
      </c>
      <c r="E69" s="289">
        <f>AF60</f>
        <v>0.76419999999999988</v>
      </c>
      <c r="F69" s="294" t="s">
        <v>25</v>
      </c>
      <c r="G69" s="342" t="s">
        <v>146</v>
      </c>
      <c r="H69" s="277"/>
      <c r="J69" s="1607" t="s">
        <v>219</v>
      </c>
      <c r="K69" s="1607" t="s">
        <v>220</v>
      </c>
      <c r="L69" s="3530" t="s">
        <v>219</v>
      </c>
      <c r="M69" s="3531"/>
      <c r="N69" s="2529" t="s">
        <v>220</v>
      </c>
      <c r="O69" s="1607" t="s">
        <v>223</v>
      </c>
      <c r="P69" s="3532" t="s">
        <v>224</v>
      </c>
      <c r="Q69" s="3533"/>
      <c r="R69" s="3002" t="s">
        <v>225</v>
      </c>
      <c r="S69" s="3002" t="s">
        <v>226</v>
      </c>
      <c r="T69" s="3534"/>
      <c r="U69" s="3535"/>
      <c r="V69" s="2723"/>
      <c r="W69" s="1092" t="s">
        <v>227</v>
      </c>
      <c r="X69" s="3043"/>
    </row>
    <row r="70" spans="3:24" ht="13.15">
      <c r="C70" s="2768" t="s">
        <v>10</v>
      </c>
      <c r="D70" s="292" t="s">
        <v>139</v>
      </c>
      <c r="E70" s="308">
        <f>AI60</f>
        <v>340.41000000000008</v>
      </c>
      <c r="F70" s="294" t="s">
        <v>25</v>
      </c>
      <c r="G70" s="6" t="s">
        <v>29</v>
      </c>
      <c r="H70" s="277"/>
      <c r="J70" s="1858">
        <f>E56</f>
        <v>777.59999999999991</v>
      </c>
      <c r="K70" s="1709">
        <f>E60</f>
        <v>30.2</v>
      </c>
      <c r="L70" s="3522">
        <f>IF((EVEN(J70)-J70)&lt;1,EVEN(J70),EVEN(J70)-2)</f>
        <v>778</v>
      </c>
      <c r="M70" s="3523"/>
      <c r="N70" s="1710">
        <f>FLOOR(K70,1)+IF(MOD(K70,1)&lt;0.125,0,IF(MOD(K70,1)&lt;0.375,0.25,IF(MOD(K70,1)&lt;0.625,0.5,IF(MOD(K70,1)&lt;0.875,0.75,1))))</f>
        <v>30.25</v>
      </c>
      <c r="O70" s="1607">
        <f>IF(L70&lt;770,(192.4571/L70^2)+(0.2438/L70),0)</f>
        <v>0</v>
      </c>
      <c r="P70" s="3524">
        <f>IF(AND(L70&gt;=770,L70&lt;787.5),(1489.0671/(L70^2))-0.0018684,0)</f>
        <v>5.9171310393137761E-4</v>
      </c>
      <c r="Q70" s="3525"/>
      <c r="R70" s="1607">
        <f>IF(AND(L70&gt;=787.5,L70&lt;838.5),330.301/L70^2,0)</f>
        <v>0</v>
      </c>
      <c r="S70" s="1607">
        <f>IF(AND(L70&gt;=838.5,L70&lt;1075),(0.2701/L70)+(103.873/L70^2),0)</f>
        <v>0</v>
      </c>
      <c r="T70" s="3526">
        <f>MAX(O70:S70)</f>
        <v>5.9171310393137761E-4</v>
      </c>
      <c r="U70" s="3527"/>
      <c r="V70" s="1607">
        <f>((N70+40)*1.8)-99</f>
        <v>27.450000000000003</v>
      </c>
      <c r="W70" s="1854">
        <f>ROUND(EXP(-1*T70*V70*(1+0.8*T70*V70)),4)</f>
        <v>0.98370000000000002</v>
      </c>
      <c r="X70" s="3044"/>
    </row>
    <row r="71" spans="3:24">
      <c r="C71" s="2768" t="s">
        <v>10</v>
      </c>
      <c r="D71" s="292" t="s">
        <v>140</v>
      </c>
      <c r="E71" s="306">
        <f>AJ60</f>
        <v>8.1050000000000022</v>
      </c>
      <c r="F71" s="294" t="s">
        <v>25</v>
      </c>
      <c r="G71" s="6" t="s">
        <v>29</v>
      </c>
      <c r="H71" s="277"/>
      <c r="J71" s="2581"/>
      <c r="K71" s="2772"/>
      <c r="L71" s="2772"/>
      <c r="M71" s="2772"/>
      <c r="N71" s="2772"/>
      <c r="O71" s="2772"/>
      <c r="P71" s="2772"/>
      <c r="Q71" s="2772"/>
      <c r="R71" s="2772"/>
      <c r="S71" s="2772"/>
      <c r="T71" s="2772"/>
      <c r="U71" s="2772"/>
      <c r="V71" s="2772"/>
      <c r="W71" s="2772"/>
      <c r="X71" s="3031"/>
    </row>
    <row r="72" spans="3:24">
      <c r="C72" s="2773"/>
      <c r="D72" s="2974"/>
      <c r="E72" s="2769"/>
      <c r="F72" s="2769"/>
      <c r="G72" s="2974"/>
      <c r="H72" s="2770"/>
    </row>
  </sheetData>
  <mergeCells count="80">
    <mergeCell ref="Q22:R22"/>
    <mergeCell ref="U22:V22"/>
    <mergeCell ref="C2:C3"/>
    <mergeCell ref="E2:N3"/>
    <mergeCell ref="P2:Z3"/>
    <mergeCell ref="CW2:DF3"/>
    <mergeCell ref="DG2:DP3"/>
    <mergeCell ref="U20:V20"/>
    <mergeCell ref="Q21:R21"/>
    <mergeCell ref="U21:V21"/>
    <mergeCell ref="AB2:AL3"/>
    <mergeCell ref="AN2:AX3"/>
    <mergeCell ref="CI2:CP3"/>
    <mergeCell ref="N31:P31"/>
    <mergeCell ref="R31:T31"/>
    <mergeCell ref="O32:P32"/>
    <mergeCell ref="S32:T32"/>
    <mergeCell ref="O33:P33"/>
    <mergeCell ref="S33:T33"/>
    <mergeCell ref="O34:P34"/>
    <mergeCell ref="S34:T34"/>
    <mergeCell ref="O35:P35"/>
    <mergeCell ref="S35:T35"/>
    <mergeCell ref="O36:P36"/>
    <mergeCell ref="S36:T36"/>
    <mergeCell ref="Q43:R43"/>
    <mergeCell ref="T43:U43"/>
    <mergeCell ref="Y43:Z43"/>
    <mergeCell ref="AC43:AD43"/>
    <mergeCell ref="O37:P37"/>
    <mergeCell ref="S37:T37"/>
    <mergeCell ref="O38:P38"/>
    <mergeCell ref="S38:T38"/>
    <mergeCell ref="P41:R41"/>
    <mergeCell ref="S41:W41"/>
    <mergeCell ref="L42:M42"/>
    <mergeCell ref="Q42:R42"/>
    <mergeCell ref="T42:U42"/>
    <mergeCell ref="Y42:Z42"/>
    <mergeCell ref="AC42:AD42"/>
    <mergeCell ref="P45:R45"/>
    <mergeCell ref="S45:W45"/>
    <mergeCell ref="L46:M46"/>
    <mergeCell ref="Q46:R46"/>
    <mergeCell ref="T46:U46"/>
    <mergeCell ref="AC46:AD46"/>
    <mergeCell ref="L47:M47"/>
    <mergeCell ref="Q47:R47"/>
    <mergeCell ref="T47:U47"/>
    <mergeCell ref="Y47:Z47"/>
    <mergeCell ref="AC47:AD47"/>
    <mergeCell ref="Y46:Z46"/>
    <mergeCell ref="R54:T54"/>
    <mergeCell ref="V54:X54"/>
    <mergeCell ref="S55:T55"/>
    <mergeCell ref="W55:X55"/>
    <mergeCell ref="S56:T56"/>
    <mergeCell ref="W56:X56"/>
    <mergeCell ref="L65:M65"/>
    <mergeCell ref="P65:Q65"/>
    <mergeCell ref="S57:T57"/>
    <mergeCell ref="W57:X57"/>
    <mergeCell ref="S58:T58"/>
    <mergeCell ref="W58:X58"/>
    <mergeCell ref="S59:T59"/>
    <mergeCell ref="W59:X59"/>
    <mergeCell ref="S60:T60"/>
    <mergeCell ref="W60:X60"/>
    <mergeCell ref="S61:T61"/>
    <mergeCell ref="W61:X61"/>
    <mergeCell ref="O64:Q64"/>
    <mergeCell ref="L70:M70"/>
    <mergeCell ref="P70:Q70"/>
    <mergeCell ref="T70:U70"/>
    <mergeCell ref="L66:M66"/>
    <mergeCell ref="P66:Q66"/>
    <mergeCell ref="T68:U68"/>
    <mergeCell ref="L69:M69"/>
    <mergeCell ref="P69:Q69"/>
    <mergeCell ref="T69:U69"/>
  </mergeCells>
  <hyperlinks>
    <hyperlink ref="D2" location="'Documents Manager'!A1" display="Documents Manager" xr:uid="{038EDB48-51A0-4C9F-815D-E3CF605F6199}"/>
    <hyperlink ref="C2:C3" location="Home!A1" display="HOME" xr:uid="{3402A0B2-F788-4DE1-8EC8-657ECEA516BB}"/>
    <hyperlink ref="D3" location="'ASTM Tables'!A1" display="ASTM Tables" xr:uid="{C96257A6-1ED9-48EC-86DC-F227E051F5E1}"/>
  </hyperlink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6"/>
  <dimension ref="B1:DQ87"/>
  <sheetViews>
    <sheetView showGridLines="0" topLeftCell="B1" workbookViewId="0">
      <selection activeCell="D2" sqref="D2"/>
    </sheetView>
  </sheetViews>
  <sheetFormatPr defaultColWidth="8.86328125" defaultRowHeight="12.75"/>
  <cols>
    <col min="1" max="1" width="0" style="5" hidden="1" customWidth="1"/>
    <col min="2" max="2" width="2.6640625" style="5" customWidth="1"/>
    <col min="3" max="3" width="7.6640625" style="5" customWidth="1"/>
    <col min="4" max="4" width="55.6640625" style="5" bestFit="1" customWidth="1"/>
    <col min="5" max="5" width="22" style="5" bestFit="1" customWidth="1"/>
    <col min="6" max="6" width="19" style="5" bestFit="1" customWidth="1"/>
    <col min="7" max="7" width="10" style="5" customWidth="1"/>
    <col min="8" max="8" width="11.1328125" style="5" bestFit="1" customWidth="1"/>
    <col min="9" max="9" width="16.86328125" style="5" customWidth="1"/>
    <col min="10" max="10" width="20.86328125" style="5" customWidth="1"/>
    <col min="11" max="11" width="12" style="5" customWidth="1"/>
    <col min="12" max="12" width="3.6640625" style="5" bestFit="1" customWidth="1"/>
    <col min="13" max="13" width="22" style="5" bestFit="1" customWidth="1"/>
    <col min="14" max="15" width="2.6640625" style="5" customWidth="1"/>
    <col min="16" max="18" width="8.86328125" style="5"/>
    <col min="19" max="19" width="2.6640625" style="5" customWidth="1"/>
    <col min="20" max="20" width="8.86328125" style="5"/>
    <col min="21" max="21" width="10" style="5" bestFit="1" customWidth="1"/>
    <col min="22" max="22" width="9.6640625" style="5" bestFit="1" customWidth="1"/>
    <col min="23" max="23" width="2.6640625" style="5" customWidth="1"/>
    <col min="24" max="24" width="8.86328125" style="5"/>
    <col min="25" max="25" width="9.46484375" style="5" bestFit="1" customWidth="1"/>
    <col min="26" max="26" width="10.46484375" style="5" bestFit="1" customWidth="1"/>
    <col min="27" max="27" width="2.6640625" style="5" customWidth="1"/>
    <col min="28" max="28" width="8.86328125" style="5"/>
    <col min="29" max="30" width="10.46484375" style="5" bestFit="1" customWidth="1"/>
    <col min="31" max="31" width="2.6640625" style="5" customWidth="1"/>
    <col min="32" max="32" width="8.86328125" style="5"/>
    <col min="33" max="33" width="12.33203125" style="5" customWidth="1"/>
    <col min="34" max="34" width="9.46484375" style="5" bestFit="1" customWidth="1"/>
    <col min="35" max="35" width="2.6640625" style="5" customWidth="1"/>
    <col min="36" max="36" width="8.86328125" style="5"/>
    <col min="37" max="37" width="12.33203125" style="5" customWidth="1"/>
    <col min="38" max="38" width="9.46484375" style="5" bestFit="1" customWidth="1"/>
    <col min="39" max="39" width="2.6640625" style="5" customWidth="1"/>
    <col min="40" max="40" width="8.86328125" style="5"/>
    <col min="41" max="41" width="11.6640625" style="5" customWidth="1"/>
    <col min="42" max="42" width="9.53125" style="5" bestFit="1" customWidth="1"/>
    <col min="43" max="43" width="2.6640625" style="5" customWidth="1"/>
    <col min="44" max="44" width="8.86328125" style="5"/>
    <col min="45" max="45" width="11.6640625" style="5" customWidth="1"/>
    <col min="46" max="46" width="10" style="5" bestFit="1" customWidth="1"/>
    <col min="47" max="47" width="2.6640625" style="5" customWidth="1"/>
    <col min="48" max="48" width="8.86328125" style="5"/>
    <col min="49" max="49" width="11.6640625" style="5" customWidth="1"/>
    <col min="50" max="50" width="10" style="5" bestFit="1" customWidth="1"/>
    <col min="51" max="51" width="2.6640625" style="5" customWidth="1"/>
    <col min="52" max="54" width="8.86328125" style="5"/>
    <col min="55" max="55" width="2.6640625" style="5" customWidth="1"/>
    <col min="56" max="56" width="8.86328125" style="5"/>
    <col min="57" max="57" width="15.86328125" style="5" bestFit="1" customWidth="1"/>
    <col min="58" max="58" width="8.33203125" style="5" bestFit="1" customWidth="1"/>
    <col min="59" max="59" width="16.53125" style="5" bestFit="1" customWidth="1"/>
    <col min="60" max="60" width="2.6640625" style="5" customWidth="1"/>
    <col min="61" max="62" width="8.86328125" style="5"/>
    <col min="63" max="63" width="10.46484375" style="5" bestFit="1" customWidth="1"/>
    <col min="64" max="64" width="2.6640625" style="5" customWidth="1"/>
    <col min="65" max="65" width="8.86328125" style="5"/>
    <col min="66" max="66" width="10.46484375" style="5" bestFit="1" customWidth="1"/>
    <col min="67" max="67" width="10" style="5" bestFit="1" customWidth="1"/>
    <col min="68" max="68" width="2.6640625" style="5" customWidth="1"/>
    <col min="69" max="69" width="8.33203125" style="5" bestFit="1" customWidth="1"/>
    <col min="70" max="70" width="10.46484375" style="5" bestFit="1" customWidth="1"/>
    <col min="71" max="71" width="9" style="5" bestFit="1" customWidth="1"/>
    <col min="72" max="72" width="2.6640625" style="5" customWidth="1"/>
    <col min="73" max="73" width="8.86328125" style="5"/>
    <col min="74" max="74" width="10.46484375" style="5" bestFit="1" customWidth="1"/>
    <col min="75" max="75" width="9.53125" style="5" bestFit="1" customWidth="1"/>
    <col min="76" max="76" width="2.6640625" style="5" customWidth="1"/>
    <col min="77" max="77" width="8.33203125" style="5" bestFit="1" customWidth="1"/>
    <col min="78" max="78" width="10.46484375" style="5" bestFit="1" customWidth="1"/>
    <col min="79" max="79" width="8.53125" style="5" bestFit="1" customWidth="1"/>
    <col min="80" max="80" width="2.6640625" style="5" customWidth="1"/>
    <col min="81" max="81" width="8.33203125" style="5" bestFit="1" customWidth="1"/>
    <col min="82" max="83" width="10" style="5" bestFit="1" customWidth="1"/>
    <col min="84" max="84" width="2.6640625" style="5" customWidth="1"/>
    <col min="85" max="87" width="8.86328125" style="5"/>
    <col min="88" max="88" width="2.6640625" style="5" customWidth="1"/>
    <col min="89" max="89" width="8.86328125" style="5"/>
    <col min="90" max="90" width="9.6640625" style="5" bestFit="1" customWidth="1"/>
    <col min="91" max="91" width="8.86328125" style="5"/>
    <col min="92" max="92" width="2.6640625" style="5" customWidth="1"/>
    <col min="93" max="93" width="8.86328125" style="5"/>
    <col min="94" max="94" width="18.33203125" style="5" bestFit="1" customWidth="1"/>
    <col min="95" max="95" width="2.6640625" style="5" customWidth="1"/>
    <col min="96" max="96" width="8.86328125" style="5"/>
    <col min="97" max="97" width="18.33203125" style="5" bestFit="1" customWidth="1"/>
    <col min="98" max="98" width="2.6640625" style="5" customWidth="1"/>
    <col min="99" max="99" width="8.86328125" style="5"/>
    <col min="100" max="100" width="9.33203125" style="5" bestFit="1" customWidth="1"/>
    <col min="101" max="101" width="10" style="5" bestFit="1" customWidth="1"/>
    <col min="102" max="102" width="2.6640625" style="5" customWidth="1"/>
    <col min="103" max="103" width="7.33203125" style="5" bestFit="1" customWidth="1"/>
    <col min="104" max="104" width="10" style="5" bestFit="1" customWidth="1"/>
    <col min="105" max="105" width="9.53125" style="5" bestFit="1" customWidth="1"/>
    <col min="106" max="106" width="2.6640625" style="5" customWidth="1"/>
    <col min="107" max="107" width="7.33203125" style="5" bestFit="1" customWidth="1"/>
    <col min="108" max="108" width="10.46484375" style="5" bestFit="1" customWidth="1"/>
    <col min="109" max="109" width="6.86328125" style="5" bestFit="1" customWidth="1"/>
    <col min="110" max="16384" width="8.86328125" style="5"/>
  </cols>
  <sheetData>
    <row r="1" spans="2:121" ht="12.75" customHeight="1">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row>
    <row r="2" spans="2:121" s="159" customFormat="1" ht="13.15">
      <c r="B2" s="5"/>
      <c r="C2" s="3579" t="s">
        <v>0</v>
      </c>
      <c r="D2" s="13" t="s">
        <v>2</v>
      </c>
      <c r="E2" s="3581" t="s">
        <v>3</v>
      </c>
      <c r="F2" s="3578"/>
      <c r="G2" s="3578"/>
      <c r="H2" s="3578"/>
      <c r="I2" s="3578"/>
      <c r="J2" s="3578"/>
      <c r="K2" s="3578"/>
      <c r="L2" s="3578"/>
      <c r="M2" s="3578"/>
      <c r="N2" s="3578"/>
      <c r="O2" s="256"/>
      <c r="P2" s="3578" t="s">
        <v>3</v>
      </c>
      <c r="Q2" s="3578"/>
      <c r="R2" s="3578"/>
      <c r="S2" s="3578"/>
      <c r="T2" s="3578"/>
      <c r="U2" s="3578"/>
      <c r="V2" s="3578"/>
      <c r="W2" s="3578"/>
      <c r="X2" s="3578"/>
      <c r="Y2" s="3578"/>
      <c r="Z2" s="3578"/>
      <c r="AA2" s="240"/>
      <c r="AB2" s="3578" t="s">
        <v>3</v>
      </c>
      <c r="AC2" s="3578"/>
      <c r="AD2" s="3578"/>
      <c r="AE2" s="3578"/>
      <c r="AF2" s="3578"/>
      <c r="AG2" s="3578"/>
      <c r="AH2" s="3578"/>
      <c r="AI2" s="3578"/>
      <c r="AJ2" s="3578"/>
      <c r="AK2" s="3578"/>
      <c r="AL2" s="3578"/>
      <c r="AM2" s="256"/>
      <c r="AN2" s="3578" t="s">
        <v>3</v>
      </c>
      <c r="AO2" s="3578"/>
      <c r="AP2" s="3578"/>
      <c r="AQ2" s="3578"/>
      <c r="AR2" s="3578"/>
      <c r="AS2" s="3578"/>
      <c r="AT2" s="3578"/>
      <c r="AU2" s="3578"/>
      <c r="AV2" s="3578"/>
      <c r="AW2" s="3578"/>
      <c r="AX2" s="3578"/>
      <c r="AY2" s="256"/>
      <c r="AZ2" s="256"/>
      <c r="BA2" s="256"/>
      <c r="BB2" s="256"/>
      <c r="BC2" s="256"/>
      <c r="BD2" s="256"/>
      <c r="BE2" s="256"/>
      <c r="BF2" s="256"/>
      <c r="BG2" s="256"/>
      <c r="BH2" s="256"/>
      <c r="BI2" s="256"/>
      <c r="BJ2" s="256"/>
      <c r="BK2" s="256"/>
      <c r="BL2" s="256"/>
      <c r="BM2" s="256"/>
      <c r="BN2" s="256"/>
      <c r="BO2" s="256"/>
      <c r="BP2" s="256"/>
      <c r="BQ2" s="256"/>
      <c r="BR2" s="256"/>
      <c r="BS2" s="256"/>
      <c r="BT2" s="256"/>
      <c r="BU2" s="256"/>
      <c r="BV2" s="256"/>
      <c r="BW2" s="256"/>
      <c r="BX2" s="256"/>
      <c r="BY2" s="256"/>
      <c r="BZ2" s="256"/>
      <c r="CA2" s="256"/>
      <c r="CB2" s="256"/>
      <c r="CC2" s="256"/>
      <c r="CD2" s="256"/>
      <c r="CE2" s="256"/>
      <c r="CF2" s="256"/>
      <c r="CG2" s="256"/>
      <c r="CH2" s="256"/>
      <c r="CI2" s="3578" t="s">
        <v>3</v>
      </c>
      <c r="CJ2" s="3578"/>
      <c r="CK2" s="3578"/>
      <c r="CL2" s="3578"/>
      <c r="CM2" s="3578"/>
      <c r="CN2" s="3578"/>
      <c r="CO2" s="3578"/>
      <c r="CP2" s="3578"/>
      <c r="CQ2" s="256"/>
      <c r="CR2" s="256"/>
      <c r="CS2" s="256"/>
      <c r="CT2" s="256"/>
      <c r="CU2" s="256"/>
      <c r="CV2" s="14"/>
      <c r="CW2" s="3578" t="s">
        <v>3</v>
      </c>
      <c r="CX2" s="3578"/>
      <c r="CY2" s="3578"/>
      <c r="CZ2" s="3578"/>
      <c r="DA2" s="3578"/>
      <c r="DB2" s="3578"/>
      <c r="DC2" s="3578"/>
      <c r="DD2" s="3578"/>
      <c r="DE2" s="3578"/>
      <c r="DF2" s="3578"/>
      <c r="DG2" s="3578" t="s">
        <v>3</v>
      </c>
      <c r="DH2" s="3578"/>
      <c r="DI2" s="3578"/>
      <c r="DJ2" s="3578"/>
      <c r="DK2" s="3578"/>
      <c r="DL2" s="3578"/>
      <c r="DM2" s="3578"/>
      <c r="DN2" s="3578"/>
      <c r="DO2" s="3578"/>
      <c r="DP2" s="3578"/>
    </row>
    <row r="3" spans="2:121" ht="13.15">
      <c r="C3" s="3580"/>
      <c r="D3" s="15"/>
      <c r="E3" s="3581"/>
      <c r="F3" s="3578"/>
      <c r="G3" s="3578"/>
      <c r="H3" s="3578"/>
      <c r="I3" s="3578"/>
      <c r="J3" s="3578"/>
      <c r="K3" s="3578"/>
      <c r="L3" s="3578"/>
      <c r="M3" s="3578"/>
      <c r="N3" s="3578"/>
      <c r="O3" s="256"/>
      <c r="P3" s="3578"/>
      <c r="Q3" s="3578"/>
      <c r="R3" s="3578"/>
      <c r="S3" s="3578"/>
      <c r="T3" s="3578"/>
      <c r="U3" s="3578"/>
      <c r="V3" s="3578"/>
      <c r="W3" s="3578"/>
      <c r="X3" s="3578"/>
      <c r="Y3" s="3578"/>
      <c r="Z3" s="3578"/>
      <c r="AA3" s="240"/>
      <c r="AB3" s="3578"/>
      <c r="AC3" s="3578"/>
      <c r="AD3" s="3578"/>
      <c r="AE3" s="3578"/>
      <c r="AF3" s="3578"/>
      <c r="AG3" s="3578"/>
      <c r="AH3" s="3578"/>
      <c r="AI3" s="3578"/>
      <c r="AJ3" s="3578"/>
      <c r="AK3" s="3578"/>
      <c r="AL3" s="3578"/>
      <c r="AM3" s="256"/>
      <c r="AN3" s="3578"/>
      <c r="AO3" s="3578"/>
      <c r="AP3" s="3578"/>
      <c r="AQ3" s="3578"/>
      <c r="AR3" s="3578"/>
      <c r="AS3" s="3578"/>
      <c r="AT3" s="3578"/>
      <c r="AU3" s="3578"/>
      <c r="AV3" s="3578"/>
      <c r="AW3" s="3578"/>
      <c r="AX3" s="3578"/>
      <c r="AY3" s="256"/>
      <c r="AZ3" s="256"/>
      <c r="BA3" s="256"/>
      <c r="BB3" s="256"/>
      <c r="BC3" s="256"/>
      <c r="BD3" s="256"/>
      <c r="BE3" s="256"/>
      <c r="BF3" s="256"/>
      <c r="BG3" s="256"/>
      <c r="BH3" s="256"/>
      <c r="BI3" s="256"/>
      <c r="BJ3" s="256"/>
      <c r="BK3" s="256"/>
      <c r="BL3" s="256"/>
      <c r="BM3" s="256"/>
      <c r="BN3" s="256"/>
      <c r="BO3" s="256"/>
      <c r="BP3" s="256"/>
      <c r="BQ3" s="256"/>
      <c r="BR3" s="256"/>
      <c r="BS3" s="256"/>
      <c r="BT3" s="256"/>
      <c r="BU3" s="256"/>
      <c r="BV3" s="256"/>
      <c r="BW3" s="256"/>
      <c r="BX3" s="256"/>
      <c r="BY3" s="256"/>
      <c r="BZ3" s="256"/>
      <c r="CA3" s="256"/>
      <c r="CB3" s="256"/>
      <c r="CC3" s="256"/>
      <c r="CD3" s="256"/>
      <c r="CE3" s="256"/>
      <c r="CF3" s="256"/>
      <c r="CG3" s="256"/>
      <c r="CH3" s="256"/>
      <c r="CI3" s="3578"/>
      <c r="CJ3" s="3578"/>
      <c r="CK3" s="3578"/>
      <c r="CL3" s="3578"/>
      <c r="CM3" s="3578"/>
      <c r="CN3" s="3578"/>
      <c r="CO3" s="3578"/>
      <c r="CP3" s="3578"/>
      <c r="CQ3" s="256"/>
      <c r="CR3" s="256"/>
      <c r="CS3" s="256"/>
      <c r="CT3" s="256"/>
      <c r="CU3" s="256"/>
      <c r="CV3" s="14"/>
      <c r="CW3" s="3578"/>
      <c r="CX3" s="3578"/>
      <c r="CY3" s="3578"/>
      <c r="CZ3" s="3578"/>
      <c r="DA3" s="3578"/>
      <c r="DB3" s="3578"/>
      <c r="DC3" s="3578"/>
      <c r="DD3" s="3578"/>
      <c r="DE3" s="3578"/>
      <c r="DF3" s="3578"/>
      <c r="DG3" s="3578"/>
      <c r="DH3" s="3578"/>
      <c r="DI3" s="3578"/>
      <c r="DJ3" s="3578"/>
      <c r="DK3" s="3578"/>
      <c r="DL3" s="3578"/>
      <c r="DM3" s="3578"/>
      <c r="DN3" s="3578"/>
      <c r="DO3" s="3578"/>
      <c r="DP3" s="3578"/>
    </row>
    <row r="4" spans="2:121">
      <c r="D4" s="16"/>
      <c r="E4" s="16"/>
      <c r="F4" s="16"/>
      <c r="G4" s="16"/>
      <c r="H4" s="16"/>
      <c r="I4" s="16"/>
      <c r="J4" s="17"/>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row>
    <row r="5" spans="2:121" ht="15">
      <c r="C5" s="3595" t="s">
        <v>512</v>
      </c>
      <c r="D5" s="3596"/>
      <c r="E5" s="3596"/>
      <c r="F5" s="3596"/>
      <c r="G5" s="3596"/>
      <c r="H5" s="3596"/>
      <c r="I5" s="3596"/>
      <c r="J5" s="3596"/>
      <c r="K5" s="3596"/>
      <c r="L5" s="3596"/>
      <c r="M5" s="3596"/>
      <c r="N5" s="3597"/>
      <c r="O5" s="12"/>
      <c r="P5" s="163" t="s">
        <v>99</v>
      </c>
      <c r="Q5" s="28"/>
      <c r="R5" s="28"/>
      <c r="S5" s="29"/>
      <c r="T5" s="28"/>
      <c r="U5" s="28"/>
      <c r="V5" s="28"/>
      <c r="W5" s="29"/>
      <c r="X5" s="29"/>
      <c r="Y5" s="29"/>
      <c r="Z5" s="29"/>
      <c r="AA5" s="165"/>
      <c r="AB5" s="166" t="s">
        <v>99</v>
      </c>
      <c r="AC5" s="29"/>
      <c r="AD5" s="29"/>
      <c r="AE5" s="29"/>
      <c r="AF5" s="29"/>
      <c r="AG5" s="29"/>
      <c r="AH5" s="214"/>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row>
    <row r="6" spans="2:121" ht="15">
      <c r="C6" s="326"/>
      <c r="D6" s="284" t="s">
        <v>510</v>
      </c>
      <c r="E6" s="991"/>
      <c r="F6" s="991"/>
      <c r="G6" s="991"/>
      <c r="H6" s="991"/>
      <c r="I6" s="991"/>
      <c r="J6" s="992"/>
      <c r="K6" s="992"/>
      <c r="L6" s="992"/>
      <c r="M6" s="992"/>
      <c r="N6" s="993"/>
      <c r="O6" s="12"/>
      <c r="P6" s="253" t="s">
        <v>11</v>
      </c>
      <c r="Q6" s="254"/>
      <c r="R6" s="255"/>
      <c r="S6" s="12"/>
      <c r="T6" s="253" t="s">
        <v>6</v>
      </c>
      <c r="U6" s="254"/>
      <c r="V6" s="255"/>
      <c r="W6" s="12"/>
      <c r="X6" s="253" t="s">
        <v>111</v>
      </c>
      <c r="Y6" s="254"/>
      <c r="Z6" s="255"/>
      <c r="AA6" s="12"/>
      <c r="AB6" s="253" t="s">
        <v>12</v>
      </c>
      <c r="AC6" s="254"/>
      <c r="AD6" s="255"/>
      <c r="AE6" s="12"/>
      <c r="AF6" s="12"/>
      <c r="AG6" s="12"/>
      <c r="AH6" s="398"/>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row>
    <row r="7" spans="2:121" ht="13.15">
      <c r="C7" s="672">
        <f>MATCH(D7,D8:D21,0)</f>
        <v>1</v>
      </c>
      <c r="D7" s="989" t="str">
        <f>'ASTM Converter API-RD-SG-Dens.'!F6</f>
        <v>ASTM Table 3 - API @60°F  to  Rel.Density @60/60°F</v>
      </c>
      <c r="E7" s="990"/>
      <c r="F7" s="673" t="s">
        <v>160</v>
      </c>
      <c r="G7" s="673" t="s">
        <v>161</v>
      </c>
      <c r="H7" s="672" t="s">
        <v>160</v>
      </c>
      <c r="I7" s="674" t="s">
        <v>161</v>
      </c>
      <c r="J7" s="1006" t="s">
        <v>525</v>
      </c>
      <c r="K7" s="593"/>
      <c r="L7" s="1007"/>
      <c r="M7" s="1007"/>
      <c r="N7" s="595"/>
      <c r="O7" s="12"/>
      <c r="P7" s="229" t="s">
        <v>18</v>
      </c>
      <c r="Q7" s="230" t="s">
        <v>19</v>
      </c>
      <c r="R7" s="231" t="s">
        <v>20</v>
      </c>
      <c r="S7" s="12"/>
      <c r="T7" s="231" t="s">
        <v>15</v>
      </c>
      <c r="U7" s="230" t="s">
        <v>18</v>
      </c>
      <c r="V7" s="231"/>
      <c r="W7" s="12"/>
      <c r="X7" s="229" t="s">
        <v>19</v>
      </c>
      <c r="Y7" s="230" t="s">
        <v>18</v>
      </c>
      <c r="Z7" s="231" t="s">
        <v>20</v>
      </c>
      <c r="AA7" s="12"/>
      <c r="AB7" s="229" t="s">
        <v>20</v>
      </c>
      <c r="AC7" s="230" t="s">
        <v>19</v>
      </c>
      <c r="AD7" s="231" t="s">
        <v>18</v>
      </c>
      <c r="AE7" s="12"/>
      <c r="AF7" s="12"/>
      <c r="AG7" s="12"/>
      <c r="AH7" s="398"/>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row>
    <row r="8" spans="2:121">
      <c r="C8" s="528">
        <v>1</v>
      </c>
      <c r="D8" s="530" t="s">
        <v>513</v>
      </c>
      <c r="E8" s="988"/>
      <c r="F8" s="675" t="s">
        <v>18</v>
      </c>
      <c r="G8" s="677" t="s">
        <v>251</v>
      </c>
      <c r="H8" s="679">
        <f>IF($C$7=C8,'ASTM Converter API-RD-SG-Dens.'!$F$8,"")</f>
        <v>21</v>
      </c>
      <c r="I8" s="678">
        <f>IF($C$7=C8,Q12,"")</f>
        <v>0.92789999999999995</v>
      </c>
      <c r="J8" s="454"/>
      <c r="K8" s="12"/>
      <c r="L8" s="12"/>
      <c r="M8" s="12"/>
      <c r="N8" s="398"/>
      <c r="O8" s="12"/>
      <c r="P8" s="180" t="s">
        <v>26</v>
      </c>
      <c r="Q8" s="181" t="s">
        <v>20</v>
      </c>
      <c r="R8" s="182"/>
      <c r="S8" s="12"/>
      <c r="T8" s="182" t="s">
        <v>25</v>
      </c>
      <c r="U8" s="181" t="s">
        <v>26</v>
      </c>
      <c r="V8" s="182"/>
      <c r="W8" s="12"/>
      <c r="X8" s="180" t="s">
        <v>20</v>
      </c>
      <c r="Y8" s="181" t="s">
        <v>26</v>
      </c>
      <c r="Z8" s="182"/>
      <c r="AA8" s="12"/>
      <c r="AB8" s="180"/>
      <c r="AC8" s="181" t="s">
        <v>20</v>
      </c>
      <c r="AD8" s="182" t="s">
        <v>26</v>
      </c>
      <c r="AE8" s="12"/>
      <c r="AF8" s="12"/>
      <c r="AG8" s="12"/>
      <c r="AH8" s="398"/>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row>
    <row r="9" spans="2:121">
      <c r="C9" s="528">
        <v>2</v>
      </c>
      <c r="D9" s="530" t="s">
        <v>514</v>
      </c>
      <c r="E9" s="529"/>
      <c r="F9" s="675" t="s">
        <v>18</v>
      </c>
      <c r="G9" s="532" t="s">
        <v>20</v>
      </c>
      <c r="H9" s="679" t="str">
        <f>IF($C$7=C9,'ASTM Converter API-RD-SG-Dens.'!$F$8,"")</f>
        <v/>
      </c>
      <c r="I9" s="678" t="str">
        <f>IF($C$7=C9,R12,"")</f>
        <v/>
      </c>
      <c r="J9" s="454"/>
      <c r="K9" s="12" t="str">
        <f>IF($C$7=C9," kg/m³","")</f>
        <v/>
      </c>
      <c r="L9" s="12"/>
      <c r="M9" s="12"/>
      <c r="N9" s="398"/>
      <c r="O9" s="12"/>
      <c r="P9" s="233"/>
      <c r="Q9" s="234"/>
      <c r="R9" s="235"/>
      <c r="S9" s="12"/>
      <c r="T9" s="235" t="s">
        <v>28</v>
      </c>
      <c r="U9" s="234"/>
      <c r="V9" s="235"/>
      <c r="W9" s="12"/>
      <c r="X9" s="233"/>
      <c r="Y9" s="234"/>
      <c r="Z9" s="235"/>
      <c r="AA9" s="12"/>
      <c r="AB9" s="233"/>
      <c r="AC9" s="234"/>
      <c r="AD9" s="235"/>
      <c r="AE9" s="12"/>
      <c r="AF9" s="12"/>
      <c r="AG9" s="12"/>
      <c r="AH9" s="398"/>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row>
    <row r="10" spans="2:121">
      <c r="C10" s="528">
        <v>3</v>
      </c>
      <c r="D10" s="530" t="s">
        <v>515</v>
      </c>
      <c r="E10" s="529"/>
      <c r="F10" s="675" t="s">
        <v>18</v>
      </c>
      <c r="G10" s="532" t="s">
        <v>478</v>
      </c>
      <c r="H10" s="679" t="str">
        <f>IF($C$7=C10,'ASTM Converter API-RD-SG-Dens.'!$F$8,"")</f>
        <v/>
      </c>
      <c r="I10" s="678" t="str">
        <f>IF($C$7=C10,Q12,"")</f>
        <v/>
      </c>
      <c r="J10" s="454"/>
      <c r="K10" s="12"/>
      <c r="L10" s="12"/>
      <c r="M10" s="12"/>
      <c r="N10" s="398"/>
      <c r="O10" s="12"/>
      <c r="P10" s="23" t="s">
        <v>32</v>
      </c>
      <c r="Q10" s="183" t="s">
        <v>33</v>
      </c>
      <c r="R10" s="184" t="s">
        <v>31</v>
      </c>
      <c r="S10" s="12"/>
      <c r="T10" s="184" t="s">
        <v>32</v>
      </c>
      <c r="U10" s="183" t="s">
        <v>32</v>
      </c>
      <c r="V10" s="184"/>
      <c r="W10" s="12"/>
      <c r="X10" s="23" t="s">
        <v>35</v>
      </c>
      <c r="Y10" s="183" t="s">
        <v>32</v>
      </c>
      <c r="Z10" s="184" t="s">
        <v>31</v>
      </c>
      <c r="AA10" s="12"/>
      <c r="AB10" s="23" t="s">
        <v>34</v>
      </c>
      <c r="AC10" s="183" t="s">
        <v>35</v>
      </c>
      <c r="AD10" s="184" t="s">
        <v>32</v>
      </c>
      <c r="AE10" s="12"/>
      <c r="AF10" s="12"/>
      <c r="AG10" s="12"/>
      <c r="AH10" s="398"/>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row>
    <row r="11" spans="2:121">
      <c r="C11" s="528">
        <v>4</v>
      </c>
      <c r="D11" s="530" t="s">
        <v>516</v>
      </c>
      <c r="E11" s="529"/>
      <c r="F11" s="530" t="s">
        <v>251</v>
      </c>
      <c r="G11" s="532" t="s">
        <v>18</v>
      </c>
      <c r="H11" s="856" t="str">
        <f>IF($C$7=C11,'ASTM Converter API-RD-SG-Dens.'!$F$8,"")</f>
        <v/>
      </c>
      <c r="I11" s="678" t="str">
        <f>IF($C$7=C11,Y12,"")</f>
        <v/>
      </c>
      <c r="J11" s="454"/>
      <c r="K11" s="12"/>
      <c r="L11" s="12"/>
      <c r="M11" s="12"/>
      <c r="N11" s="398"/>
      <c r="O11" s="12"/>
      <c r="P11" s="347">
        <f>VLOOKUP(P12,'ASTM Vol. XI-XII'!D$10:D$860,TRUE)</f>
        <v>21</v>
      </c>
      <c r="Q11" s="270">
        <f>VLOOKUP(P11,'ASTM Vol. XI-XII'!D$10:E$860,2)</f>
        <v>0.92789999999999995</v>
      </c>
      <c r="R11" s="344">
        <f>VLOOKUP(P11,'ASTM Vol. XI-XII'!D$10:F$860,3)</f>
        <v>927.3</v>
      </c>
      <c r="S11" s="12"/>
      <c r="T11" s="347" t="e">
        <f>VLOOKUP(T12,'ASTM Vol. XI-XII'!AJ10:AJ860,TRUE)</f>
        <v>#N/A</v>
      </c>
      <c r="U11" s="359" t="e">
        <f>VLOOKUP(T11,'ASTM Vol. XI-XII'!AJ$10:AK$860,2)</f>
        <v>#N/A</v>
      </c>
      <c r="V11" s="268"/>
      <c r="W11" s="12"/>
      <c r="X11" s="358" t="e">
        <f>VLOOKUP(X12,'ASTM Vol. XI-XII'!AQ$10:AQ$860,TRUE)</f>
        <v>#N/A</v>
      </c>
      <c r="Y11" s="359" t="e">
        <f>VLOOKUP(X11,'ASTM Vol. XI-XII'!AQ$10:AR$860,2)</f>
        <v>#N/A</v>
      </c>
      <c r="Z11" s="360" t="e">
        <f>VLOOKUP(X11,'ASTM Vol. XI-XII'!AQ$10:AS$860,3)</f>
        <v>#N/A</v>
      </c>
      <c r="AA11" s="12"/>
      <c r="AB11" s="347" t="e">
        <f>VLOOKUP(AB12,'ASTM Vol. XI-XII'!BX$10:BX$860,TRUE)</f>
        <v>#N/A</v>
      </c>
      <c r="AC11" s="270" t="e">
        <f>VLOOKUP(AB11,'ASTM Vol. XI-XII'!BX$10:BY$860,2)</f>
        <v>#N/A</v>
      </c>
      <c r="AD11" s="349" t="e">
        <f>VLOOKUP(AB11,'ASTM Vol. XI-XII'!BX$10:BZ$860,3)</f>
        <v>#N/A</v>
      </c>
      <c r="AE11" s="12"/>
      <c r="AF11" s="12"/>
      <c r="AG11" s="12"/>
      <c r="AH11" s="398"/>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row>
    <row r="12" spans="2:121" ht="13.15">
      <c r="C12" s="528">
        <v>5</v>
      </c>
      <c r="D12" s="530" t="s">
        <v>517</v>
      </c>
      <c r="E12" s="529"/>
      <c r="F12" s="530" t="s">
        <v>251</v>
      </c>
      <c r="G12" s="532" t="s">
        <v>20</v>
      </c>
      <c r="H12" s="856" t="str">
        <f>IF($C$7=C12,'ASTM Converter API-RD-SG-Dens.'!$F$8,"")</f>
        <v/>
      </c>
      <c r="I12" s="678" t="str">
        <f>IF($C$7=C12,Z12,"")</f>
        <v/>
      </c>
      <c r="J12" s="454"/>
      <c r="K12" s="12" t="str">
        <f>IF($C$7=C12," kg/m³","")</f>
        <v/>
      </c>
      <c r="L12" s="12"/>
      <c r="M12" s="12"/>
      <c r="N12" s="398"/>
      <c r="O12" s="12"/>
      <c r="P12" s="353">
        <f>IF($C$7=1,H8,IF($C$7=2,H9,IF($C$7=3,H10,"")))</f>
        <v>21</v>
      </c>
      <c r="Q12" s="271">
        <f>ROUND(Q11+((P12-P11)/(P13-P11))*(Q13-Q11),4)</f>
        <v>0.92789999999999995</v>
      </c>
      <c r="R12" s="343">
        <f>ROUND(R11+((P12-P11)/(P13-P11))*(R13-R11),1)</f>
        <v>927.3</v>
      </c>
      <c r="S12" s="12"/>
      <c r="T12" s="269" t="str">
        <f>IF($C$7=13,$H$20,"")</f>
        <v/>
      </c>
      <c r="U12" s="365" t="e">
        <f>U11+((T12-T11)/(T13-T11))*(U13-U11)</f>
        <v>#N/A</v>
      </c>
      <c r="V12" s="269"/>
      <c r="W12" s="12"/>
      <c r="X12" s="348" t="str">
        <f>IF(OR($C$7=4,$C$7=10),'ASTM Converter API-RD-SG-Dens.'!F8,IF(OR($C$7=5,$C$7=11),'ASTM Converter API-RD-SG-Dens.'!F8,IF(OR($C$7=5,$C$7=12),'ASTM Converter API-RD-SG-Dens.'!F8,"")))</f>
        <v/>
      </c>
      <c r="Y12" s="365" t="e">
        <f>ROUND(Y11+((X12-X11)/(X13-X11))*(Y13-Y11),2)</f>
        <v>#N/A</v>
      </c>
      <c r="Z12" s="366" t="e">
        <f>ROUND(Z11+((X12-X11)/(X13-X11))*(Z13-Z11),1)</f>
        <v>#N/A</v>
      </c>
      <c r="AA12" s="12"/>
      <c r="AB12" s="353" t="str">
        <f>IF($C$7=7,H14,IF($C$7=8,H15,IF($C$7=9,H16,"")))</f>
        <v/>
      </c>
      <c r="AC12" s="271" t="e">
        <f>ROUND(AC11+((AB12-AB11)/(AB13-AB11))*(AC13-AC11),4)</f>
        <v>#N/A</v>
      </c>
      <c r="AD12" s="354" t="e">
        <f>ROUND(AD11+((AB12-AB11)/(AB13-AB11))*(AD13-AD11),2)</f>
        <v>#N/A</v>
      </c>
      <c r="AE12" s="12"/>
      <c r="AF12" s="12"/>
      <c r="AG12" s="12"/>
      <c r="AH12" s="398"/>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row>
    <row r="13" spans="2:121">
      <c r="C13" s="528">
        <v>6</v>
      </c>
      <c r="D13" s="530" t="s">
        <v>479</v>
      </c>
      <c r="E13" s="529"/>
      <c r="F13" s="530" t="s">
        <v>251</v>
      </c>
      <c r="G13" s="532" t="s">
        <v>478</v>
      </c>
      <c r="H13" s="856" t="str">
        <f>IF($C$7=C13,'ASTM Converter API-RD-SG-Dens.'!$F$8,"")</f>
        <v/>
      </c>
      <c r="I13" s="678" t="str">
        <f>IF($C$7=C13,'ASTM Converter API-RD-SG-Dens.'!$F$8,"")</f>
        <v/>
      </c>
      <c r="J13" s="454"/>
      <c r="K13" s="12"/>
      <c r="L13" s="12"/>
      <c r="M13" s="12"/>
      <c r="N13" s="398"/>
      <c r="O13" s="12"/>
      <c r="P13" s="347">
        <f>INDEX('ASTM Vol. XI-XII'!D$10:D$860,(MATCH(P11,'ASTM Vol. XI-XII'!D$10:D$860,1)+1))</f>
        <v>21.1</v>
      </c>
      <c r="Q13" s="270">
        <f>VLOOKUP(P13,'ASTM Vol. XI-XII'!D$10:E$860,2)</f>
        <v>0.92730000000000001</v>
      </c>
      <c r="R13" s="344">
        <f>VLOOKUP(P13,'ASTM Vol. XI-XII'!D$10:F$860,3)</f>
        <v>926.7</v>
      </c>
      <c r="S13" s="399"/>
      <c r="T13" s="268" t="e">
        <f>INDEX('ASTM Vol. XI-XII'!AJ$10:AJ$860,(MATCH(T11,'ASTM Vol. XI-XII'!AJ$10:AJ$860,1)+1))</f>
        <v>#N/A</v>
      </c>
      <c r="U13" s="359" t="e">
        <f>VLOOKUP(T13,'ASTM Vol. XI-XII'!AJ$10:AK$860,2)</f>
        <v>#N/A</v>
      </c>
      <c r="V13" s="268"/>
      <c r="W13" s="399"/>
      <c r="X13" s="358" t="e">
        <f>INDEX('ASTM Vol. XI-XII'!AQ$10:AQ$860,(MATCH(X11,'ASTM Vol. XI-XII'!AQ$10:AQ$860,1)+1))</f>
        <v>#N/A</v>
      </c>
      <c r="Y13" s="359" t="e">
        <f>VLOOKUP(X13,'ASTM Vol. XI-XII'!AQ$10:AR$860,2)</f>
        <v>#N/A</v>
      </c>
      <c r="Z13" s="360" t="e">
        <f>VLOOKUP(X13,'ASTM Vol. XI-XII'!AQ$10:AS$860,3)</f>
        <v>#N/A</v>
      </c>
      <c r="AA13" s="399"/>
      <c r="AB13" s="347" t="e">
        <f>INDEX('ASTM Vol. XI-XII'!BX$10:BX$860,(MATCH(AB11,'ASTM Vol. XI-XII'!BX$10:BX$860,1)+1))</f>
        <v>#N/A</v>
      </c>
      <c r="AC13" s="270" t="e">
        <f>VLOOKUP(AB13,'ASTM Vol. XI-XII'!BX$10:BY$860,2)</f>
        <v>#N/A</v>
      </c>
      <c r="AD13" s="349" t="e">
        <f>VLOOKUP(AB13,'ASTM Vol. XI-XII'!BX$10:BZ$860,3)</f>
        <v>#N/A</v>
      </c>
      <c r="AE13" s="399"/>
      <c r="AF13" s="399"/>
      <c r="AG13" s="399"/>
      <c r="AH13" s="400"/>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row>
    <row r="14" spans="2:121">
      <c r="C14" s="528">
        <v>7</v>
      </c>
      <c r="D14" s="530" t="s">
        <v>518</v>
      </c>
      <c r="E14" s="529"/>
      <c r="F14" s="532" t="s">
        <v>20</v>
      </c>
      <c r="G14" s="530" t="s">
        <v>251</v>
      </c>
      <c r="H14" s="679" t="str">
        <f>IF($C$7=C14,'ASTM Converter API-RD-SG-Dens.'!$F$8,"")</f>
        <v/>
      </c>
      <c r="I14" s="678" t="str">
        <f>IF($C$7=C14,AC12,"")</f>
        <v/>
      </c>
      <c r="J14" s="454"/>
      <c r="K14" s="12"/>
      <c r="L14" s="12"/>
      <c r="M14" s="12"/>
      <c r="N14" s="398"/>
      <c r="O14" s="12"/>
      <c r="S14" s="12"/>
      <c r="T14" s="12"/>
      <c r="U14" s="12"/>
      <c r="V14" s="12"/>
      <c r="W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row>
    <row r="15" spans="2:121">
      <c r="C15" s="528">
        <v>8</v>
      </c>
      <c r="D15" s="530" t="s">
        <v>519</v>
      </c>
      <c r="E15" s="529"/>
      <c r="F15" s="532" t="s">
        <v>20</v>
      </c>
      <c r="G15" s="532" t="s">
        <v>18</v>
      </c>
      <c r="H15" s="679" t="str">
        <f>IF($C$7=C15,'ASTM Converter API-RD-SG-Dens.'!$F$8,"")</f>
        <v/>
      </c>
      <c r="I15" s="678" t="str">
        <f>IF($C$7=C15,AD12,"")</f>
        <v/>
      </c>
      <c r="J15" s="454"/>
      <c r="K15" s="12"/>
      <c r="L15" s="12"/>
      <c r="M15" s="12"/>
      <c r="N15" s="398"/>
      <c r="O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row>
    <row r="16" spans="2:121">
      <c r="C16" s="528">
        <v>9</v>
      </c>
      <c r="D16" s="530" t="s">
        <v>520</v>
      </c>
      <c r="E16" s="529"/>
      <c r="F16" s="532" t="s">
        <v>20</v>
      </c>
      <c r="G16" s="532" t="s">
        <v>478</v>
      </c>
      <c r="H16" s="679" t="str">
        <f>IF($C$7=C16,'ASTM Converter API-RD-SG-Dens.'!$F$8,"")</f>
        <v/>
      </c>
      <c r="I16" s="678" t="str">
        <f>IF($C$7=C16,AC12,"")</f>
        <v/>
      </c>
      <c r="J16" s="454"/>
      <c r="K16" s="12"/>
      <c r="L16" s="12"/>
      <c r="M16" s="12"/>
      <c r="N16" s="398"/>
      <c r="O16" s="12"/>
      <c r="S16" s="12"/>
      <c r="T16" s="12"/>
      <c r="U16" s="12"/>
      <c r="V16" s="12"/>
      <c r="W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row>
    <row r="17" spans="3:121">
      <c r="C17" s="528">
        <v>10</v>
      </c>
      <c r="D17" s="530" t="s">
        <v>521</v>
      </c>
      <c r="E17" s="529"/>
      <c r="F17" s="530" t="s">
        <v>478</v>
      </c>
      <c r="G17" s="532" t="s">
        <v>18</v>
      </c>
      <c r="H17" s="679" t="str">
        <f>IF($C$7=C17,'ASTM Converter API-RD-SG-Dens.'!$F$8,"")</f>
        <v/>
      </c>
      <c r="I17" s="678" t="str">
        <f>IF($C$7=C17,Y12,"")</f>
        <v/>
      </c>
      <c r="J17" s="454"/>
      <c r="K17" s="12"/>
      <c r="L17" s="12"/>
      <c r="M17" s="12"/>
      <c r="N17" s="398"/>
      <c r="O17" s="12"/>
      <c r="S17" s="12"/>
      <c r="T17" s="12"/>
      <c r="U17" s="12"/>
      <c r="V17" s="12"/>
      <c r="W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row>
    <row r="18" spans="3:121">
      <c r="C18" s="528">
        <v>11</v>
      </c>
      <c r="D18" s="530" t="s">
        <v>480</v>
      </c>
      <c r="E18" s="529"/>
      <c r="F18" s="530" t="s">
        <v>478</v>
      </c>
      <c r="G18" s="530" t="s">
        <v>251</v>
      </c>
      <c r="H18" s="679" t="str">
        <f>IF($C$7=C18,'ASTM Converter API-RD-SG-Dens.'!$F$8,"")</f>
        <v/>
      </c>
      <c r="I18" s="678" t="str">
        <f>IF($C$7=C18,X12,"")</f>
        <v/>
      </c>
      <c r="J18" s="454"/>
      <c r="K18" s="12"/>
      <c r="L18" s="12"/>
      <c r="M18" s="12"/>
      <c r="N18" s="398"/>
      <c r="O18" s="12"/>
      <c r="S18" s="12"/>
      <c r="T18" s="12"/>
      <c r="U18" s="12"/>
      <c r="V18" s="12"/>
      <c r="W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row>
    <row r="19" spans="3:121">
      <c r="C19" s="528">
        <v>12</v>
      </c>
      <c r="D19" s="530" t="s">
        <v>522</v>
      </c>
      <c r="E19" s="529"/>
      <c r="F19" s="530" t="s">
        <v>478</v>
      </c>
      <c r="G19" s="532" t="s">
        <v>20</v>
      </c>
      <c r="H19" s="679" t="str">
        <f>IF($C$7=C19,'ASTM Converter API-RD-SG-Dens.'!$F$8,"")</f>
        <v/>
      </c>
      <c r="I19" s="678" t="str">
        <f>IF($C$7=C19,Z12,"")</f>
        <v/>
      </c>
      <c r="J19" s="454"/>
      <c r="K19" s="12" t="str">
        <f>IF($C$7=C19," kg/m³","")</f>
        <v/>
      </c>
      <c r="L19" s="12"/>
      <c r="M19" s="12"/>
      <c r="N19" s="398"/>
      <c r="O19" s="12"/>
      <c r="S19" s="12"/>
      <c r="T19" s="12"/>
      <c r="U19" s="12"/>
      <c r="V19" s="12"/>
      <c r="W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row>
    <row r="20" spans="3:121">
      <c r="C20" s="528">
        <v>13</v>
      </c>
      <c r="D20" s="530" t="s">
        <v>523</v>
      </c>
      <c r="E20" s="520"/>
      <c r="F20" s="534" t="s">
        <v>249</v>
      </c>
      <c r="G20" s="532" t="s">
        <v>18</v>
      </c>
      <c r="H20" s="679" t="str">
        <f>IF($C$7=C20,'ASTM Converter API-RD-SG-Dens.'!$F$8,"")</f>
        <v/>
      </c>
      <c r="I20" s="678" t="str">
        <f>IF($C$7=C20,U12,"")</f>
        <v/>
      </c>
      <c r="J20" s="454" t="str">
        <f>IF($C$7=C20,ROUND((535.1911/((H20/0.042)+0.0046189))-131.5,1),"")</f>
        <v/>
      </c>
      <c r="K20" s="12"/>
      <c r="L20" s="12"/>
      <c r="M20" s="12"/>
      <c r="N20" s="398"/>
      <c r="O20" s="12"/>
      <c r="S20" s="12"/>
      <c r="T20" s="12"/>
      <c r="U20" s="12"/>
      <c r="V20" s="12"/>
      <c r="W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row>
    <row r="21" spans="3:121">
      <c r="C21" s="528">
        <v>14</v>
      </c>
      <c r="D21" s="530" t="s">
        <v>524</v>
      </c>
      <c r="E21" s="537"/>
      <c r="F21" s="534" t="s">
        <v>250</v>
      </c>
      <c r="G21" s="532" t="s">
        <v>18</v>
      </c>
      <c r="H21" s="679" t="str">
        <f>IF($C$7=C21,'ASTM Converter API-RD-SG-Dens.'!$F$8,"")</f>
        <v/>
      </c>
      <c r="I21" s="678" t="str">
        <f>J21</f>
        <v/>
      </c>
      <c r="J21" s="602" t="str">
        <f>IF($C$7=C21,ROUND((535.1911/(((1/H21)/0.042)+0.0046189))-131.5,1),"")</f>
        <v/>
      </c>
      <c r="K21" s="399"/>
      <c r="L21" s="399"/>
      <c r="M21" s="399"/>
      <c r="N21" s="400"/>
      <c r="O21" s="12"/>
      <c r="S21" s="12"/>
      <c r="T21" s="12"/>
      <c r="U21" s="12"/>
      <c r="V21" s="12"/>
      <c r="W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row>
    <row r="22" spans="3:121">
      <c r="C22" s="484"/>
      <c r="D22" s="484"/>
      <c r="E22" s="484"/>
      <c r="F22" s="484"/>
      <c r="G22" s="484"/>
      <c r="H22" s="484"/>
      <c r="I22" s="484"/>
      <c r="J22" s="17"/>
      <c r="K22" s="12"/>
      <c r="L22" s="12"/>
      <c r="M22" s="12"/>
      <c r="N22" s="12"/>
      <c r="O22" s="12"/>
      <c r="S22" s="12"/>
      <c r="T22" s="12"/>
      <c r="U22" s="12"/>
      <c r="V22" s="12"/>
      <c r="W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row>
    <row r="23" spans="3:121" ht="15.75" customHeight="1">
      <c r="C23" s="3595" t="s">
        <v>134</v>
      </c>
      <c r="D23" s="3596"/>
      <c r="E23" s="3596"/>
      <c r="F23" s="3596"/>
      <c r="G23" s="3596"/>
      <c r="H23" s="3596"/>
      <c r="I23" s="3596"/>
      <c r="J23" s="3596"/>
      <c r="K23" s="3596"/>
      <c r="L23" s="3596"/>
      <c r="M23" s="3596"/>
      <c r="N23" s="3597"/>
      <c r="O23" s="18"/>
      <c r="P23" s="163" t="s">
        <v>99</v>
      </c>
      <c r="Q23" s="28"/>
      <c r="R23" s="28"/>
      <c r="S23" s="29"/>
      <c r="T23" s="28"/>
      <c r="U23" s="28"/>
      <c r="V23" s="28"/>
      <c r="W23" s="29"/>
      <c r="X23" s="29"/>
      <c r="Y23" s="29"/>
      <c r="Z23" s="29"/>
      <c r="AA23" s="165"/>
      <c r="AB23" s="166" t="s">
        <v>99</v>
      </c>
      <c r="AC23" s="29"/>
      <c r="AD23" s="29"/>
      <c r="AE23" s="29"/>
      <c r="AF23" s="29"/>
      <c r="AG23" s="29"/>
      <c r="AH23" s="29"/>
      <c r="AI23" s="29"/>
      <c r="AJ23" s="164"/>
      <c r="AK23" s="164"/>
      <c r="AL23" s="28"/>
      <c r="AM23" s="272"/>
      <c r="AN23" s="164" t="s">
        <v>99</v>
      </c>
      <c r="AO23" s="28"/>
      <c r="AP23" s="28"/>
      <c r="AQ23" s="28"/>
      <c r="AR23" s="28"/>
      <c r="AS23" s="28"/>
      <c r="AT23" s="28"/>
      <c r="AU23" s="29"/>
      <c r="AV23" s="29"/>
      <c r="AW23" s="29"/>
      <c r="AX23" s="214"/>
      <c r="AY23" s="12"/>
      <c r="DF23" s="171"/>
      <c r="DG23" s="171"/>
      <c r="DH23" s="171"/>
      <c r="DI23" s="12"/>
      <c r="DJ23" s="12"/>
      <c r="DK23" s="12"/>
      <c r="DL23" s="12"/>
      <c r="DM23" s="12"/>
      <c r="DN23" s="12"/>
      <c r="DO23" s="12"/>
      <c r="DP23" s="12"/>
      <c r="DQ23" s="12"/>
    </row>
    <row r="24" spans="3:121" ht="13.25" customHeight="1">
      <c r="C24" s="326"/>
      <c r="D24" s="17" t="s">
        <v>152</v>
      </c>
      <c r="G24" s="17"/>
      <c r="H24" s="377"/>
      <c r="I24" s="17"/>
      <c r="N24" s="274"/>
      <c r="O24" s="171"/>
      <c r="P24" s="253" t="s">
        <v>11</v>
      </c>
      <c r="Q24" s="254"/>
      <c r="R24" s="255"/>
      <c r="S24" s="249"/>
      <c r="T24" s="253" t="s">
        <v>4</v>
      </c>
      <c r="U24" s="254"/>
      <c r="V24" s="255"/>
      <c r="W24" s="258"/>
      <c r="X24" s="253" t="str">
        <f>'ASTM Vol. XI-XII'!L5</f>
        <v>ASTM Table 8</v>
      </c>
      <c r="Y24" s="254"/>
      <c r="Z24" s="255"/>
      <c r="AA24" s="251"/>
      <c r="AB24" s="253" t="str">
        <f>'ASTM Vol. XI-XII'!P5</f>
        <v>ASTM Table 9</v>
      </c>
      <c r="AC24" s="254"/>
      <c r="AD24" s="255"/>
      <c r="AE24" s="251"/>
      <c r="AF24" s="253" t="str">
        <f>'ASTM Vol. XI-XII'!T5</f>
        <v>ASTM Table 10</v>
      </c>
      <c r="AG24" s="254"/>
      <c r="AH24" s="255"/>
      <c r="AI24" s="251"/>
      <c r="AJ24" s="253" t="s">
        <v>5</v>
      </c>
      <c r="AK24" s="254"/>
      <c r="AL24" s="255"/>
      <c r="AM24" s="249"/>
      <c r="AN24" s="253" t="str">
        <f>'ASTM Vol. XI-XII'!AB5</f>
        <v>ASTM Table 12</v>
      </c>
      <c r="AO24" s="254"/>
      <c r="AP24" s="255"/>
      <c r="AQ24" s="251"/>
      <c r="AR24" s="253" t="s">
        <v>6</v>
      </c>
      <c r="AS24" s="254"/>
      <c r="AT24" s="255"/>
      <c r="AU24" s="249"/>
      <c r="AV24" s="253" t="str">
        <f>'ASTM Vol. XI-XII'!AM5</f>
        <v>ASTM Table 14</v>
      </c>
      <c r="AW24" s="254"/>
      <c r="AX24" s="255"/>
      <c r="AY24" s="186"/>
      <c r="DF24" s="12"/>
      <c r="DG24" s="12"/>
      <c r="DH24" s="12"/>
      <c r="DI24" s="171"/>
      <c r="DJ24" s="171"/>
      <c r="DK24" s="171"/>
      <c r="DL24" s="171"/>
      <c r="DM24" s="171"/>
      <c r="DN24" s="171"/>
      <c r="DO24" s="171"/>
      <c r="DP24" s="171"/>
      <c r="DQ24" s="171"/>
    </row>
    <row r="25" spans="3:121" ht="13.25" customHeight="1">
      <c r="C25" s="275"/>
      <c r="D25" s="310"/>
      <c r="E25" s="310"/>
      <c r="F25" s="310"/>
      <c r="G25" s="310"/>
      <c r="H25" s="378"/>
      <c r="I25" s="310"/>
      <c r="J25" s="285" t="s">
        <v>136</v>
      </c>
      <c r="K25" s="257">
        <f>'ASTM Converter (API)'!F6</f>
        <v>32</v>
      </c>
      <c r="L25" s="392" t="s">
        <v>166</v>
      </c>
      <c r="M25" s="6"/>
      <c r="N25" s="277"/>
      <c r="O25" s="12"/>
      <c r="P25" s="229" t="s">
        <v>18</v>
      </c>
      <c r="Q25" s="230" t="s">
        <v>19</v>
      </c>
      <c r="R25" s="231" t="s">
        <v>20</v>
      </c>
      <c r="S25" s="250"/>
      <c r="T25" s="229" t="s">
        <v>18</v>
      </c>
      <c r="U25" s="230" t="s">
        <v>21</v>
      </c>
      <c r="V25" s="231" t="s">
        <v>13</v>
      </c>
      <c r="W25" s="259"/>
      <c r="X25" s="229" t="str">
        <f>'ASTM Vol. XI-XII'!L6</f>
        <v>API</v>
      </c>
      <c r="Y25" s="230" t="str">
        <f>'ASTM Vol. XI-XII'!M6</f>
        <v>Pounds</v>
      </c>
      <c r="Z25" s="231" t="str">
        <f>'ASTM Vol. XI-XII'!N6</f>
        <v>US Gallons</v>
      </c>
      <c r="AA25" s="252"/>
      <c r="AB25" s="229" t="str">
        <f>'ASTM Vol. XI-XII'!P6</f>
        <v>API</v>
      </c>
      <c r="AC25" s="230" t="str">
        <f>'ASTM Vol. XI-XII'!Q6</f>
        <v>Short Tons</v>
      </c>
      <c r="AD25" s="231" t="str">
        <f>'ASTM Vol. XI-XII'!R6</f>
        <v>Short Tons</v>
      </c>
      <c r="AE25" s="252"/>
      <c r="AF25" s="229" t="str">
        <f>'ASTM Vol. XI-XII'!T6</f>
        <v>API</v>
      </c>
      <c r="AG25" s="230" t="str">
        <f>'ASTM Vol. XI-XII'!U6</f>
        <v>US Gallons</v>
      </c>
      <c r="AH25" s="231" t="str">
        <f>'ASTM Vol. XI-XII'!V6</f>
        <v>Barrels</v>
      </c>
      <c r="AI25" s="252"/>
      <c r="AJ25" s="229" t="s">
        <v>18</v>
      </c>
      <c r="AK25" s="230" t="s">
        <v>14</v>
      </c>
      <c r="AL25" s="231" t="s">
        <v>14</v>
      </c>
      <c r="AM25" s="250"/>
      <c r="AN25" s="229" t="str">
        <f>'ASTM Vol. XI-XII'!AB6</f>
        <v>API</v>
      </c>
      <c r="AO25" s="230" t="str">
        <f>'ASTM Vol. XI-XII'!AC6</f>
        <v>US Gallons</v>
      </c>
      <c r="AP25" s="231" t="str">
        <f>'ASTM Vol. XI-XII'!AD6</f>
        <v>Barrels</v>
      </c>
      <c r="AQ25" s="252"/>
      <c r="AR25" s="229" t="s">
        <v>18</v>
      </c>
      <c r="AS25" s="230" t="s">
        <v>15</v>
      </c>
      <c r="AT25" s="231" t="s">
        <v>15</v>
      </c>
      <c r="AU25" s="250"/>
      <c r="AV25" s="229" t="str">
        <f>'ASTM Vol. XI-XII'!AM6</f>
        <v>API</v>
      </c>
      <c r="AW25" s="230" t="str">
        <f>'ASTM Vol. XI-XII'!AN6</f>
        <v>Cubic Mtrs</v>
      </c>
      <c r="AX25" s="231" t="str">
        <f>'ASTM Vol. XI-XII'!AO6</f>
        <v>Cubic Mtrs</v>
      </c>
      <c r="AY25" s="252"/>
      <c r="DF25" s="171"/>
      <c r="DG25" s="171"/>
      <c r="DH25" s="171"/>
      <c r="DI25" s="12"/>
      <c r="DJ25" s="12"/>
      <c r="DK25" s="12"/>
      <c r="DL25" s="12"/>
      <c r="DM25" s="12"/>
      <c r="DN25" s="12"/>
      <c r="DO25" s="12"/>
      <c r="DP25" s="12"/>
      <c r="DQ25" s="12"/>
    </row>
    <row r="26" spans="3:121" ht="13.25" customHeight="1">
      <c r="C26" s="275"/>
      <c r="E26" s="311"/>
      <c r="F26" s="311"/>
      <c r="G26" s="311"/>
      <c r="H26" s="379"/>
      <c r="I26" s="311" t="s">
        <v>11</v>
      </c>
      <c r="J26" s="287" t="s">
        <v>132</v>
      </c>
      <c r="K26" s="290">
        <f>Q30</f>
        <v>0.86539999999999995</v>
      </c>
      <c r="L26" s="289" t="s">
        <v>167</v>
      </c>
      <c r="M26" s="6"/>
      <c r="N26" s="277"/>
      <c r="O26" s="171"/>
      <c r="P26" s="180" t="s">
        <v>26</v>
      </c>
      <c r="Q26" s="181" t="s">
        <v>20</v>
      </c>
      <c r="R26" s="182"/>
      <c r="S26" s="185"/>
      <c r="T26" s="180" t="s">
        <v>26</v>
      </c>
      <c r="U26" s="181" t="s">
        <v>25</v>
      </c>
      <c r="V26" s="182" t="s">
        <v>25</v>
      </c>
      <c r="W26" s="260"/>
      <c r="X26" s="180" t="str">
        <f>'ASTM Vol. XI-XII'!L7</f>
        <v>Gravity</v>
      </c>
      <c r="Y26" s="181" t="str">
        <f>'ASTM Vol. XI-XII'!M7</f>
        <v>per</v>
      </c>
      <c r="Z26" s="182" t="str">
        <f>'ASTM Vol. XI-XII'!N7</f>
        <v>per</v>
      </c>
      <c r="AA26" s="186"/>
      <c r="AB26" s="180" t="str">
        <f>'ASTM Vol. XI-XII'!P7</f>
        <v>Gravity</v>
      </c>
      <c r="AC26" s="181" t="str">
        <f>'ASTM Vol. XI-XII'!Q7</f>
        <v>per 1000</v>
      </c>
      <c r="AD26" s="182" t="str">
        <f>'ASTM Vol. XI-XII'!R7</f>
        <v>per</v>
      </c>
      <c r="AE26" s="186"/>
      <c r="AF26" s="180" t="str">
        <f>'ASTM Vol. XI-XII'!T7</f>
        <v>Gravity</v>
      </c>
      <c r="AG26" s="181" t="str">
        <f>'ASTM Vol. XI-XII'!U7</f>
        <v>per</v>
      </c>
      <c r="AH26" s="182" t="str">
        <f>'ASTM Vol. XI-XII'!V7</f>
        <v>per</v>
      </c>
      <c r="AI26" s="186"/>
      <c r="AJ26" s="180" t="s">
        <v>26</v>
      </c>
      <c r="AK26" s="181" t="s">
        <v>98</v>
      </c>
      <c r="AL26" s="182" t="s">
        <v>25</v>
      </c>
      <c r="AM26" s="185"/>
      <c r="AN26" s="180" t="str">
        <f>'ASTM Vol. XI-XII'!AB7</f>
        <v>Gravity</v>
      </c>
      <c r="AO26" s="181" t="str">
        <f>'ASTM Vol. XI-XII'!AC7</f>
        <v>per</v>
      </c>
      <c r="AP26" s="182" t="str">
        <f>'ASTM Vol. XI-XII'!AD7</f>
        <v>per</v>
      </c>
      <c r="AQ26" s="186"/>
      <c r="AR26" s="180" t="s">
        <v>26</v>
      </c>
      <c r="AS26" s="181" t="s">
        <v>98</v>
      </c>
      <c r="AT26" s="182" t="s">
        <v>25</v>
      </c>
      <c r="AU26" s="185"/>
      <c r="AV26" s="180" t="str">
        <f>'ASTM Vol. XI-XII'!AM7</f>
        <v>Gravity</v>
      </c>
      <c r="AW26" s="181" t="str">
        <f>'ASTM Vol. XI-XII'!AN7</f>
        <v>per</v>
      </c>
      <c r="AX26" s="182" t="str">
        <f>'ASTM Vol. XI-XII'!AO7</f>
        <v>per</v>
      </c>
      <c r="AY26" s="186"/>
      <c r="DF26" s="12"/>
      <c r="DG26" s="12"/>
      <c r="DH26" s="12"/>
      <c r="DI26" s="171"/>
      <c r="DJ26" s="171"/>
      <c r="DK26" s="171"/>
      <c r="DL26" s="171"/>
      <c r="DM26" s="171"/>
      <c r="DN26" s="171"/>
      <c r="DO26" s="171"/>
      <c r="DP26" s="171"/>
      <c r="DQ26" s="171"/>
    </row>
    <row r="27" spans="3:121" ht="13.25" customHeight="1">
      <c r="C27" s="275"/>
      <c r="E27" s="311"/>
      <c r="F27" s="311"/>
      <c r="G27" s="311"/>
      <c r="H27" s="379"/>
      <c r="I27" s="311" t="s">
        <v>11</v>
      </c>
      <c r="J27" s="287" t="s">
        <v>131</v>
      </c>
      <c r="K27" s="336">
        <f>R30</f>
        <v>865</v>
      </c>
      <c r="L27" s="393" t="s">
        <v>168</v>
      </c>
      <c r="M27" s="278"/>
      <c r="N27" s="279"/>
      <c r="O27" s="12"/>
      <c r="P27" s="233"/>
      <c r="Q27" s="234"/>
      <c r="R27" s="235"/>
      <c r="S27" s="250"/>
      <c r="T27" s="233" t="s">
        <v>27</v>
      </c>
      <c r="U27" s="234" t="s">
        <v>30</v>
      </c>
      <c r="V27" s="235" t="s">
        <v>28</v>
      </c>
      <c r="W27" s="259"/>
      <c r="X27" s="233"/>
      <c r="Y27" s="234" t="str">
        <f>'ASTM Vol. XI-XII'!M8</f>
        <v>US Gallon</v>
      </c>
      <c r="Z27" s="235" t="str">
        <f>'ASTM Vol. XI-XII'!N8</f>
        <v>Pound</v>
      </c>
      <c r="AA27" s="252"/>
      <c r="AB27" s="233"/>
      <c r="AC27" s="234" t="str">
        <f>'ASTM Vol. XI-XII'!Q8</f>
        <v>US Gallons</v>
      </c>
      <c r="AD27" s="235" t="str">
        <f>'ASTM Vol. XI-XII'!R8</f>
        <v>Barrel</v>
      </c>
      <c r="AE27" s="252"/>
      <c r="AF27" s="233"/>
      <c r="AG27" s="234" t="str">
        <f>'ASTM Vol. XI-XII'!U8</f>
        <v>Short Ton</v>
      </c>
      <c r="AH27" s="235" t="str">
        <f>'ASTM Vol. XI-XII'!V8</f>
        <v>Short Ton</v>
      </c>
      <c r="AI27" s="252"/>
      <c r="AJ27" s="233"/>
      <c r="AK27" s="234" t="s">
        <v>24</v>
      </c>
      <c r="AL27" s="235" t="s">
        <v>28</v>
      </c>
      <c r="AM27" s="250"/>
      <c r="AN27" s="233"/>
      <c r="AO27" s="234" t="str">
        <f>'ASTM Vol. XI-XII'!AC8</f>
        <v>Long Ton</v>
      </c>
      <c r="AP27" s="235" t="str">
        <f>'ASTM Vol. XI-XII'!AD8</f>
        <v>Long Ton</v>
      </c>
      <c r="AQ27" s="252"/>
      <c r="AR27" s="233"/>
      <c r="AS27" s="234" t="s">
        <v>24</v>
      </c>
      <c r="AT27" s="235" t="s">
        <v>28</v>
      </c>
      <c r="AU27" s="250"/>
      <c r="AV27" s="233"/>
      <c r="AW27" s="234" t="str">
        <f>'ASTM Vol. XI-XII'!AN8</f>
        <v>Short Ton</v>
      </c>
      <c r="AX27" s="235" t="str">
        <f>'ASTM Vol. XI-XII'!AO8</f>
        <v xml:space="preserve">Long Ton </v>
      </c>
      <c r="AY27" s="252"/>
      <c r="DF27" s="12"/>
      <c r="DG27" s="24"/>
      <c r="DH27" s="12"/>
      <c r="DI27" s="12"/>
      <c r="DJ27" s="12"/>
      <c r="DK27" s="12"/>
      <c r="DL27" s="12"/>
      <c r="DM27" s="12"/>
      <c r="DN27" s="12"/>
      <c r="DO27" s="12"/>
      <c r="DP27" s="12"/>
      <c r="DQ27" s="12"/>
    </row>
    <row r="28" spans="3:121" ht="13.25" customHeight="1">
      <c r="C28" s="328"/>
      <c r="D28" s="317" t="s">
        <v>145</v>
      </c>
      <c r="E28" s="388" t="s">
        <v>160</v>
      </c>
      <c r="F28" s="388" t="s">
        <v>161</v>
      </c>
      <c r="G28" s="317" t="s">
        <v>160</v>
      </c>
      <c r="H28" s="380" t="s">
        <v>161</v>
      </c>
      <c r="I28" s="376"/>
      <c r="J28" s="313"/>
      <c r="K28" s="314"/>
      <c r="L28" s="314"/>
      <c r="M28" s="315"/>
      <c r="N28" s="316"/>
      <c r="O28" s="12"/>
      <c r="P28" s="23" t="s">
        <v>32</v>
      </c>
      <c r="Q28" s="183" t="s">
        <v>33</v>
      </c>
      <c r="R28" s="184" t="s">
        <v>31</v>
      </c>
      <c r="S28" s="185"/>
      <c r="T28" s="23" t="s">
        <v>32</v>
      </c>
      <c r="U28" s="183" t="s">
        <v>31</v>
      </c>
      <c r="V28" s="184" t="s">
        <v>31</v>
      </c>
      <c r="W28" s="260"/>
      <c r="X28" s="23" t="str">
        <f>'ASTM Vol. XI-XII'!L9</f>
        <v>(60°F)</v>
      </c>
      <c r="Y28" s="183" t="str">
        <f>'ASTM Vol. XI-XII'!M9</f>
        <v>(60°F)</v>
      </c>
      <c r="Z28" s="184" t="str">
        <f>'ASTM Vol. XI-XII'!N9</f>
        <v>(60°F)</v>
      </c>
      <c r="AA28" s="186"/>
      <c r="AB28" s="23" t="str">
        <f>'ASTM Vol. XI-XII'!P9</f>
        <v>(60°F)</v>
      </c>
      <c r="AC28" s="183" t="str">
        <f>'ASTM Vol. XI-XII'!Q9</f>
        <v>(60°F)</v>
      </c>
      <c r="AD28" s="184" t="str">
        <f>'ASTM Vol. XI-XII'!R9</f>
        <v>(60°F)</v>
      </c>
      <c r="AE28" s="186"/>
      <c r="AF28" s="23" t="str">
        <f>'ASTM Vol. XI-XII'!T9</f>
        <v>(60°F)</v>
      </c>
      <c r="AG28" s="183" t="str">
        <f>'ASTM Vol. XI-XII'!U9</f>
        <v>(60°F)</v>
      </c>
      <c r="AH28" s="184" t="str">
        <f>'ASTM Vol. XI-XII'!V9</f>
        <v>(60°F)</v>
      </c>
      <c r="AI28" s="186"/>
      <c r="AJ28" s="23" t="s">
        <v>32</v>
      </c>
      <c r="AK28" s="183" t="s">
        <v>32</v>
      </c>
      <c r="AL28" s="184" t="s">
        <v>32</v>
      </c>
      <c r="AM28" s="185"/>
      <c r="AN28" s="23" t="str">
        <f>'ASTM Vol. XI-XII'!AB9</f>
        <v>(60°F)</v>
      </c>
      <c r="AO28" s="183" t="str">
        <f>'ASTM Vol. XI-XII'!AC9</f>
        <v>(60°F)</v>
      </c>
      <c r="AP28" s="184" t="str">
        <f>'ASTM Vol. XI-XII'!AD9</f>
        <v>(60°F)</v>
      </c>
      <c r="AQ28" s="186"/>
      <c r="AR28" s="23" t="s">
        <v>32</v>
      </c>
      <c r="AS28" s="183" t="s">
        <v>32</v>
      </c>
      <c r="AT28" s="184" t="s">
        <v>32</v>
      </c>
      <c r="AU28" s="185"/>
      <c r="AV28" s="23" t="str">
        <f>'ASTM Vol. XI-XII'!AM9</f>
        <v>(60°F)</v>
      </c>
      <c r="AW28" s="183" t="str">
        <f>'ASTM Vol. XI-XII'!AN9</f>
        <v>(15°C)</v>
      </c>
      <c r="AX28" s="184" t="str">
        <f>'ASTM Vol. XI-XII'!AO9</f>
        <v>(15°C)</v>
      </c>
      <c r="AY28" s="186"/>
      <c r="DF28" s="12"/>
      <c r="DG28" s="12"/>
      <c r="DH28" s="12"/>
      <c r="DI28" s="12"/>
      <c r="DJ28" s="12"/>
      <c r="DK28" s="12"/>
      <c r="DL28" s="12"/>
      <c r="DM28" s="12"/>
      <c r="DN28" s="12"/>
      <c r="DO28" s="12"/>
      <c r="DP28" s="12"/>
      <c r="DQ28" s="12"/>
    </row>
    <row r="29" spans="3:121" ht="13.25" customHeight="1">
      <c r="C29" s="327">
        <v>1</v>
      </c>
      <c r="D29" s="319" t="str">
        <f>CONCATENATE(I29," - ",E29," to ",F29)</f>
        <v>ASTM Table 4 - US Gallons at 60°F to Litres at 15°C</v>
      </c>
      <c r="E29" s="5" t="s">
        <v>139</v>
      </c>
      <c r="F29" s="5" t="s">
        <v>137</v>
      </c>
      <c r="G29" s="390">
        <f>'ASTM Converter (API)'!$F$14</f>
        <v>296900</v>
      </c>
      <c r="H29" s="381">
        <f>ROUND(G29*K29,0)</f>
        <v>1123381</v>
      </c>
      <c r="I29" s="311" t="s">
        <v>4</v>
      </c>
      <c r="J29" s="241" t="s">
        <v>137</v>
      </c>
      <c r="K29" s="293">
        <f>U30</f>
        <v>3.7837000000000001</v>
      </c>
      <c r="L29" s="293" t="s">
        <v>25</v>
      </c>
      <c r="M29" s="319" t="s">
        <v>142</v>
      </c>
      <c r="N29" s="280"/>
      <c r="O29" s="12"/>
      <c r="P29" s="347">
        <f>VLOOKUP(P30,'ASTM Vol. XI-XII'!D$10:D$860,TRUE)</f>
        <v>32</v>
      </c>
      <c r="Q29" s="270">
        <f>VLOOKUP(P29,'ASTM Vol. XI-XII'!D$10:E$860,2)</f>
        <v>0.86539999999999995</v>
      </c>
      <c r="R29" s="344">
        <f>VLOOKUP(P29,'ASTM Vol. XI-XII'!D$10:F$860,3)</f>
        <v>865</v>
      </c>
      <c r="S29" s="350"/>
      <c r="T29" s="347">
        <f>VLOOKUP(T30,'ASTM Vol. XI-XII'!H$10:H$860,TRUE)</f>
        <v>32</v>
      </c>
      <c r="U29" s="270">
        <f>VLOOKUP(T29,'ASTM Vol. XI-XII'!H$10:I$860,2)</f>
        <v>3.7837000000000001</v>
      </c>
      <c r="V29" s="268">
        <f>VLOOKUP(T29,'ASTM Vol. XI-XII'!H$10:J$860,3)</f>
        <v>0.15892000000000001</v>
      </c>
      <c r="W29" s="352"/>
      <c r="X29" s="347">
        <f>VLOOKUP(X30,'ASTM Vol. XI-XII'!L$10:L$860,TRUE)</f>
        <v>32</v>
      </c>
      <c r="Y29" s="270">
        <f>VLOOKUP(X29,'ASTM Vol. XI-XII'!L$10:M$860,2)</f>
        <v>7.2060000000000004</v>
      </c>
      <c r="Z29" s="268">
        <f>VLOOKUP(X29,'ASTM Vol. XI-XII'!L$10:N$860,3)</f>
        <v>0.13877</v>
      </c>
      <c r="AA29" s="350"/>
      <c r="AB29" s="347">
        <f>VLOOKUP(AB30,'ASTM Vol. XI-XII'!P$10:P$860,TRUE)</f>
        <v>32</v>
      </c>
      <c r="AC29" s="270">
        <f>VLOOKUP(AB29,'ASTM Vol. XI-XII'!P$10:Q$860,2)</f>
        <v>3.6031</v>
      </c>
      <c r="AD29" s="268">
        <f>VLOOKUP(AB29,'ASTM Vol. XI-XII'!P$10:R$860,3)</f>
        <v>0.15132999999999999</v>
      </c>
      <c r="AE29" s="350"/>
      <c r="AF29" s="347">
        <f>VLOOKUP(AF30,'ASTM Vol. XI-XII'!T$10:T$860,TRUE)</f>
        <v>32</v>
      </c>
      <c r="AG29" s="349">
        <f>VLOOKUP(AF29,'ASTM Vol. XI-XII'!T$10:U$860,2)</f>
        <v>277.54000000000099</v>
      </c>
      <c r="AH29" s="351">
        <f>VLOOKUP(AF29,'ASTM Vol. XI-XII'!T$10:V$860,3)</f>
        <v>6.6079999999999997</v>
      </c>
      <c r="AI29" s="350"/>
      <c r="AJ29" s="347">
        <f>VLOOKUP(AJ30,'ASTM Vol. XI-XII'!X$10:X$860,TRUE)</f>
        <v>32</v>
      </c>
      <c r="AK29" s="270">
        <f>VLOOKUP(AJ29,'ASTM Vol. XI-XII'!X$10:Y$860,2)</f>
        <v>3.2170999999999998</v>
      </c>
      <c r="AL29" s="268">
        <f>VLOOKUP(AJ29,'ASTM Vol. XI-XII'!X$10:Z$860,3)</f>
        <v>0.13511999999999999</v>
      </c>
      <c r="AM29" s="350"/>
      <c r="AN29" s="347">
        <f>VLOOKUP(AN30,'ASTM Vol. XI-XII'!AB$10:AB$860,TRUE)</f>
        <v>32</v>
      </c>
      <c r="AO29" s="349">
        <f>VLOOKUP(AN29,'ASTM Vol. XI-XII'!AB$10:AC$860,2)</f>
        <v>310.83999999999997</v>
      </c>
      <c r="AP29" s="351">
        <f>VLOOKUP(AN29,'ASTM Vol. XI-XII'!AB$10:AD$860,3)</f>
        <v>7.4009999999999998</v>
      </c>
      <c r="AQ29" s="350"/>
      <c r="AR29" s="347">
        <f>VLOOKUP(AR30,'ASTM Vol. XI-XII'!AF$10:AF$860,TRUE)</f>
        <v>32</v>
      </c>
      <c r="AS29" s="270">
        <f>VLOOKUP(AR29,'ASTM Vol. XI-XII'!AF$10:AG$860,2)</f>
        <v>3.2686999999999999</v>
      </c>
      <c r="AT29" s="268">
        <f>VLOOKUP(AR29,'ASTM Vol. XI-XII'!AF$10:AH$860,3)</f>
        <v>0.13728000000000001</v>
      </c>
      <c r="AU29" s="350"/>
      <c r="AV29" s="347">
        <f>VLOOKUP(AV30,'ASTM Vol. XI-XII'!AM$10:AM$860,TRUE)</f>
        <v>32</v>
      </c>
      <c r="AW29" s="270">
        <f>VLOOKUP(AV29,'ASTM Vol. XI-XII'!AM$10:AN$860,2)</f>
        <v>1.0501</v>
      </c>
      <c r="AX29" s="270">
        <f>VLOOKUP(AV29,'ASTM Vol. XI-XII'!AM$10:AO$860,3)</f>
        <v>1.1760999999999999</v>
      </c>
      <c r="AY29" s="261"/>
      <c r="DF29" s="12"/>
      <c r="DG29" s="12"/>
      <c r="DH29" s="12"/>
      <c r="DI29" s="12"/>
      <c r="DJ29" s="12"/>
      <c r="DK29" s="12"/>
      <c r="DL29" s="12"/>
      <c r="DM29" s="12"/>
      <c r="DN29" s="12"/>
      <c r="DO29" s="12"/>
      <c r="DP29" s="12"/>
      <c r="DQ29" s="12"/>
    </row>
    <row r="30" spans="3:121" ht="13.25" customHeight="1">
      <c r="C30" s="327">
        <v>2</v>
      </c>
      <c r="D30" s="319" t="str">
        <f t="shared" ref="D30:D44" si="0">CONCATENATE(I30," - ",E30," to ",F30)</f>
        <v>ASTM Table 4 - US Barrels at 60°F to Cubic Metres at 15°C</v>
      </c>
      <c r="E30" s="5" t="s">
        <v>140</v>
      </c>
      <c r="F30" s="5" t="s">
        <v>138</v>
      </c>
      <c r="G30" s="390">
        <f>'ASTM Converter (API)'!$F$14</f>
        <v>296900</v>
      </c>
      <c r="H30" s="382">
        <f>ROUND(G30*K30,3)</f>
        <v>47183.347999999998</v>
      </c>
      <c r="I30" s="311" t="s">
        <v>4</v>
      </c>
      <c r="J30" s="241" t="s">
        <v>138</v>
      </c>
      <c r="K30" s="294">
        <f>V30</f>
        <v>0.15892000000000001</v>
      </c>
      <c r="L30" s="294" t="s">
        <v>25</v>
      </c>
      <c r="M30" s="319" t="s">
        <v>143</v>
      </c>
      <c r="N30" s="280"/>
      <c r="O30" s="12"/>
      <c r="P30" s="353">
        <f>$K$25</f>
        <v>32</v>
      </c>
      <c r="Q30" s="271">
        <f>Q29+((P30-P29)/(P31-P29))*(Q31-Q29)</f>
        <v>0.86539999999999995</v>
      </c>
      <c r="R30" s="343">
        <f>R29+((P30-P29)/(P31-P29))*(R31-R29)</f>
        <v>865</v>
      </c>
      <c r="S30" s="350"/>
      <c r="T30" s="353">
        <f>$K$25</f>
        <v>32</v>
      </c>
      <c r="U30" s="271">
        <f>U29+((T30-T29)/(T31-T29))*(U31-U29)</f>
        <v>3.7837000000000001</v>
      </c>
      <c r="V30" s="269">
        <f>V29+((T30-T29)/(T31-T29))*(V31-V29)</f>
        <v>0.15892000000000001</v>
      </c>
      <c r="W30" s="352"/>
      <c r="X30" s="353">
        <f>$K$25</f>
        <v>32</v>
      </c>
      <c r="Y30" s="271">
        <f>Y29+((X30-X29)/(X31-X29))*(Y31-Y29)</f>
        <v>7.2060000000000004</v>
      </c>
      <c r="Z30" s="269">
        <f>Z29+((X30-X29)/(X31-X29))*(Z31-Z29)</f>
        <v>0.13877</v>
      </c>
      <c r="AA30" s="350"/>
      <c r="AB30" s="353">
        <f>$K$25</f>
        <v>32</v>
      </c>
      <c r="AC30" s="271">
        <f>AC29+((AB30-AB29)/(AB31-AB29))*(AC31-AC29)</f>
        <v>3.6031</v>
      </c>
      <c r="AD30" s="269">
        <f>AD29+((AB30-AB29)/(AB31-AB29))*(AD31-AD29)</f>
        <v>0.15132999999999999</v>
      </c>
      <c r="AE30" s="350"/>
      <c r="AF30" s="353">
        <f>$K$25</f>
        <v>32</v>
      </c>
      <c r="AG30" s="354">
        <f>AG29+((AF30-AF29)/(AF31-AF29))*(AG31-AG29)</f>
        <v>277.54000000000099</v>
      </c>
      <c r="AH30" s="355">
        <f>AH29+((AF30-AF29)/(AF31-AF29))*(AH31-AH29)</f>
        <v>6.6079999999999997</v>
      </c>
      <c r="AI30" s="350"/>
      <c r="AJ30" s="353">
        <f>$K$25</f>
        <v>32</v>
      </c>
      <c r="AK30" s="271">
        <f>AK29+((AJ30-AJ29)/(AJ31-AJ29))*(AK31-AK29)</f>
        <v>3.2170999999999998</v>
      </c>
      <c r="AL30" s="269">
        <f>AL29+((AJ30-AJ29)/(AJ31-AJ29))*(AL31-AL29)</f>
        <v>0.13511999999999999</v>
      </c>
      <c r="AM30" s="350"/>
      <c r="AN30" s="353">
        <f>$K$25</f>
        <v>32</v>
      </c>
      <c r="AO30" s="354">
        <f>AO29+((AN30-AN29)/(AN31-AN29))*(AO31-AO29)</f>
        <v>310.83999999999997</v>
      </c>
      <c r="AP30" s="355">
        <f>AP29+((AN30-AN29)/(AN31-AN29))*(AP31-AP29)</f>
        <v>7.4009999999999998</v>
      </c>
      <c r="AQ30" s="350"/>
      <c r="AR30" s="353">
        <f>$K$25</f>
        <v>32</v>
      </c>
      <c r="AS30" s="271">
        <f>AS29+((AR30-AR29)/(AR31-AR29))*(AS31-AS29)</f>
        <v>3.2686999999999999</v>
      </c>
      <c r="AT30" s="269">
        <f>AT29+((AR30-AR29)/(AR31-AR29))*(AT31-AT29)</f>
        <v>0.13728000000000001</v>
      </c>
      <c r="AU30" s="350"/>
      <c r="AV30" s="353">
        <f>$K$25</f>
        <v>32</v>
      </c>
      <c r="AW30" s="271">
        <f>AW29+((AV30-AV29)/(AV31-AV29))*(AW31-AW29)</f>
        <v>1.0501</v>
      </c>
      <c r="AX30" s="271">
        <f>AX29+((AV30-AV29)/(AV31-AV29))*(AX31-AX29)</f>
        <v>1.1760999999999999</v>
      </c>
      <c r="AY30" s="261"/>
      <c r="DF30" s="12"/>
      <c r="DG30" s="12"/>
      <c r="DH30" s="12"/>
      <c r="DI30" s="12"/>
      <c r="DJ30" s="12"/>
      <c r="DK30" s="12"/>
      <c r="DL30" s="12"/>
      <c r="DM30" s="12"/>
      <c r="DN30" s="12"/>
      <c r="DO30" s="12"/>
      <c r="DP30" s="12"/>
      <c r="DQ30" s="12"/>
    </row>
    <row r="31" spans="3:121" ht="13.25" customHeight="1">
      <c r="C31" s="327">
        <v>3</v>
      </c>
      <c r="D31" s="319" t="str">
        <f t="shared" si="0"/>
        <v>ASTM Table 8 - US Gallons at 60°F to Pounds  (in AIR)</v>
      </c>
      <c r="E31" s="5" t="s">
        <v>139</v>
      </c>
      <c r="F31" s="5" t="s">
        <v>169</v>
      </c>
      <c r="G31" s="390">
        <f>'ASTM Converter (API)'!$F$14</f>
        <v>296900</v>
      </c>
      <c r="H31" s="381">
        <f t="shared" ref="H31:H40" si="1">ROUND(G31*K31,0)</f>
        <v>2139461</v>
      </c>
      <c r="I31" s="311" t="s">
        <v>101</v>
      </c>
      <c r="J31" s="285" t="s">
        <v>102</v>
      </c>
      <c r="K31" s="295">
        <f>Y30</f>
        <v>7.2060000000000004</v>
      </c>
      <c r="L31" s="294" t="s">
        <v>25</v>
      </c>
      <c r="M31" s="319" t="s">
        <v>142</v>
      </c>
      <c r="N31" s="280"/>
      <c r="O31" s="12"/>
      <c r="P31" s="347">
        <f>INDEX('ASTM Vol. XI-XII'!D$10:D$860,(MATCH(P29,'ASTM Vol. XI-XII'!D$10:D$860,1)+1))</f>
        <v>32.1</v>
      </c>
      <c r="Q31" s="270">
        <f>VLOOKUP(P31,'ASTM Vol. XI-XII'!D$10:E$860,2)</f>
        <v>0.8649</v>
      </c>
      <c r="R31" s="344">
        <f>VLOOKUP(P31,'ASTM Vol. XI-XII'!D$10:F$860,3)</f>
        <v>864.5</v>
      </c>
      <c r="S31" s="356"/>
      <c r="T31" s="347">
        <f>INDEX('ASTM Vol. XI-XII'!H$10:H$860,(MATCH(T29,'ASTM Vol. XI-XII'!H$10:H$860,1)+1))</f>
        <v>32.1</v>
      </c>
      <c r="U31" s="270">
        <f>VLOOKUP(T31,'ASTM Vol. XI-XII'!H$10:I$860,2)</f>
        <v>3.7837000000000001</v>
      </c>
      <c r="V31" s="268">
        <f>VLOOKUP(T31,'ASTM Vol. XI-XII'!H$10:J$860,3)</f>
        <v>0.15892000000000001</v>
      </c>
      <c r="W31" s="357"/>
      <c r="X31" s="347">
        <f>INDEX('ASTM Vol. XI-XII'!L$10:L$860,(MATCH(X29,'ASTM Vol. XI-XII'!L$10:L$860,1)+1))</f>
        <v>32.1</v>
      </c>
      <c r="Y31" s="270">
        <f>VLOOKUP(X31,'ASTM Vol. XI-XII'!L$10:M$860,2)</f>
        <v>7.202</v>
      </c>
      <c r="Z31" s="268">
        <f>VLOOKUP(X31,'ASTM Vol. XI-XII'!L$10:N$860,3)</f>
        <v>0.13885</v>
      </c>
      <c r="AA31" s="356"/>
      <c r="AB31" s="347">
        <f>INDEX('ASTM Vol. XI-XII'!P$10:P$860,(MATCH(AB29,'ASTM Vol. XI-XII'!P$10:P$860,1)+1))</f>
        <v>32.1</v>
      </c>
      <c r="AC31" s="270">
        <f>VLOOKUP(AB31,'ASTM Vol. XI-XII'!P$10:Q$860,2)</f>
        <v>3.6009000000000002</v>
      </c>
      <c r="AD31" s="268">
        <f>VLOOKUP(AB31,'ASTM Vol. XI-XII'!P$10:R$860,3)</f>
        <v>0.15124000000000001</v>
      </c>
      <c r="AE31" s="356"/>
      <c r="AF31" s="347">
        <f>INDEX('ASTM Vol. XI-XII'!T$10:T$860,(MATCH(AF29,'ASTM Vol. XI-XII'!T$10:T$860,1)+1))</f>
        <v>32.1</v>
      </c>
      <c r="AG31" s="349">
        <f>VLOOKUP(AF31,'ASTM Vol. XI-XII'!T$10:U$860,2)</f>
        <v>277.710000000001</v>
      </c>
      <c r="AH31" s="351">
        <f>VLOOKUP(AF31,'ASTM Vol. XI-XII'!T$10:V$860,3)</f>
        <v>6.6120000000000001</v>
      </c>
      <c r="AI31" s="356"/>
      <c r="AJ31" s="347">
        <f>INDEX('ASTM Vol. XI-XII'!X$10:X$860,(MATCH(AJ29,'ASTM Vol. XI-XII'!X$10:X$860,1)+1))</f>
        <v>32.1</v>
      </c>
      <c r="AK31" s="270">
        <f>VLOOKUP(AJ31,'ASTM Vol. XI-XII'!X$10:Y$860,2)</f>
        <v>3.2151000000000001</v>
      </c>
      <c r="AL31" s="268">
        <f>VLOOKUP(AJ31,'ASTM Vol. XI-XII'!X$10:Z$860,3)</f>
        <v>0.13503000000000001</v>
      </c>
      <c r="AM31" s="356"/>
      <c r="AN31" s="347">
        <f>INDEX('ASTM Vol. XI-XII'!AB$10:AB$860,(MATCH(AN29,'ASTM Vol. XI-XII'!AB$10:AB$860,1)+1))</f>
        <v>32.1</v>
      </c>
      <c r="AO31" s="349">
        <f>VLOOKUP(AN31,'ASTM Vol. XI-XII'!AB$10:AC$860,2)</f>
        <v>311.02999999999997</v>
      </c>
      <c r="AP31" s="351">
        <f>VLOOKUP(AN31,'ASTM Vol. XI-XII'!AB$10:AD$860,3)</f>
        <v>7.4059999999999997</v>
      </c>
      <c r="AQ31" s="356"/>
      <c r="AR31" s="347">
        <f>INDEX('ASTM Vol. XI-XII'!AF$10:AF$860,(MATCH(AR29,'ASTM Vol. XI-XII'!AF$10:AF$860,1)+1))</f>
        <v>32.1</v>
      </c>
      <c r="AS31" s="270">
        <f>VLOOKUP(AR31,'ASTM Vol. XI-XII'!AF$10:AG$860,2)</f>
        <v>3.2667000000000002</v>
      </c>
      <c r="AT31" s="268">
        <f>VLOOKUP(AR31,'ASTM Vol. XI-XII'!AF$10:AH$860,3)</f>
        <v>0.13719999999999999</v>
      </c>
      <c r="AU31" s="356"/>
      <c r="AV31" s="347">
        <f>INDEX('ASTM Vol. XI-XII'!AM$10:AM$860,(MATCH(AV29,'ASTM Vol. XI-XII'!AM$10:AM$860,1)+1))</f>
        <v>32.1</v>
      </c>
      <c r="AW31" s="270">
        <f>VLOOKUP(AV31,'ASTM Vol. XI-XII'!AM$10:AN$860,2)</f>
        <v>1.0508</v>
      </c>
      <c r="AX31" s="270">
        <f>VLOOKUP(AV31,'ASTM Vol. XI-XII'!AM$10:AO$860,3)</f>
        <v>1.1769000000000001</v>
      </c>
      <c r="AY31" s="261"/>
      <c r="DF31" s="171"/>
      <c r="DG31" s="171"/>
      <c r="DH31" s="171"/>
      <c r="DI31" s="12"/>
      <c r="DJ31" s="12"/>
      <c r="DK31" s="12"/>
      <c r="DL31" s="12"/>
      <c r="DM31" s="12"/>
      <c r="DN31" s="12"/>
      <c r="DO31" s="12"/>
      <c r="DP31" s="12"/>
      <c r="DQ31" s="12"/>
    </row>
    <row r="32" spans="3:121" ht="13.25" customHeight="1">
      <c r="C32" s="327">
        <v>4</v>
      </c>
      <c r="D32" s="319" t="str">
        <f t="shared" si="0"/>
        <v>ASTM Table 8 - Pounds  (in AIR) to US Gallons at 60°F</v>
      </c>
      <c r="E32" s="5" t="s">
        <v>169</v>
      </c>
      <c r="F32" s="5" t="s">
        <v>139</v>
      </c>
      <c r="G32" s="390">
        <f>'ASTM Converter (API)'!$F$14</f>
        <v>296900</v>
      </c>
      <c r="H32" s="381">
        <f t="shared" si="1"/>
        <v>41201</v>
      </c>
      <c r="I32" s="311" t="s">
        <v>101</v>
      </c>
      <c r="J32" s="292" t="s">
        <v>139</v>
      </c>
      <c r="K32" s="296">
        <f>Z30</f>
        <v>0.13877</v>
      </c>
      <c r="L32" s="294" t="s">
        <v>25</v>
      </c>
      <c r="M32" s="320" t="s">
        <v>103</v>
      </c>
      <c r="N32" s="280"/>
      <c r="O32" s="171"/>
      <c r="DF32" s="12"/>
      <c r="DG32" s="12"/>
      <c r="DH32" s="12"/>
      <c r="DI32" s="171"/>
      <c r="DJ32" s="171"/>
      <c r="DK32" s="171"/>
      <c r="DL32" s="171"/>
      <c r="DM32" s="171"/>
      <c r="DN32" s="171"/>
      <c r="DO32" s="171"/>
      <c r="DP32" s="171"/>
      <c r="DQ32" s="171"/>
    </row>
    <row r="33" spans="3:121" ht="13.25" customHeight="1">
      <c r="C33" s="327">
        <v>5</v>
      </c>
      <c r="D33" s="319" t="str">
        <f t="shared" si="0"/>
        <v>ASTM Table 9 - 1000 US Gallons at 60°F to Short Tons (in AIR)</v>
      </c>
      <c r="E33" s="5" t="s">
        <v>144</v>
      </c>
      <c r="F33" s="5" t="s">
        <v>164</v>
      </c>
      <c r="G33" s="390">
        <f>'ASTM Converter (API)'!$F$14</f>
        <v>296900</v>
      </c>
      <c r="H33" s="382">
        <f>ROUND(G33/1000*K33,3)</f>
        <v>1069.76</v>
      </c>
      <c r="I33" s="311" t="s">
        <v>104</v>
      </c>
      <c r="J33" s="292" t="s">
        <v>23</v>
      </c>
      <c r="K33" s="295">
        <f>AC30</f>
        <v>3.6031</v>
      </c>
      <c r="L33" s="294" t="s">
        <v>25</v>
      </c>
      <c r="M33" s="319" t="s">
        <v>144</v>
      </c>
      <c r="N33" s="279"/>
      <c r="O33" s="171"/>
      <c r="DF33" s="12"/>
      <c r="DG33" s="12"/>
      <c r="DH33" s="12"/>
      <c r="DI33" s="171"/>
      <c r="DJ33" s="171"/>
      <c r="DK33" s="171"/>
      <c r="DL33" s="171"/>
      <c r="DM33" s="171"/>
      <c r="DN33" s="171"/>
      <c r="DO33" s="171"/>
      <c r="DP33" s="171"/>
      <c r="DQ33" s="171"/>
    </row>
    <row r="34" spans="3:121" ht="13.25" customHeight="1">
      <c r="C34" s="327">
        <v>6</v>
      </c>
      <c r="D34" s="319" t="str">
        <f t="shared" si="0"/>
        <v>ASTM Table 9 - US Barrels at 60°F to Short Tons (in AIR)</v>
      </c>
      <c r="E34" s="5" t="s">
        <v>140</v>
      </c>
      <c r="F34" s="5" t="s">
        <v>164</v>
      </c>
      <c r="G34" s="390">
        <f>'ASTM Converter (API)'!$F$14</f>
        <v>296900</v>
      </c>
      <c r="H34" s="382">
        <f>ROUND(G34*K34,3)</f>
        <v>44929.877</v>
      </c>
      <c r="I34" s="311" t="s">
        <v>104</v>
      </c>
      <c r="J34" s="292" t="s">
        <v>23</v>
      </c>
      <c r="K34" s="296">
        <f>AD30</f>
        <v>0.15132999999999999</v>
      </c>
      <c r="L34" s="294" t="s">
        <v>25</v>
      </c>
      <c r="M34" s="319" t="s">
        <v>143</v>
      </c>
      <c r="N34" s="279"/>
      <c r="O34" s="171"/>
      <c r="DF34" s="12"/>
      <c r="DG34" s="12"/>
      <c r="DH34" s="12"/>
      <c r="DI34" s="171"/>
      <c r="DJ34" s="171"/>
      <c r="DK34" s="171"/>
      <c r="DL34" s="171"/>
      <c r="DM34" s="171"/>
      <c r="DN34" s="171"/>
      <c r="DO34" s="171"/>
      <c r="DP34" s="171"/>
      <c r="DQ34" s="171"/>
    </row>
    <row r="35" spans="3:121" ht="13.25" customHeight="1">
      <c r="C35" s="327">
        <v>7</v>
      </c>
      <c r="D35" s="319" t="str">
        <f t="shared" si="0"/>
        <v>ASTM Table 10 - Short Tons (in AIR) to US Gallons at 60°F</v>
      </c>
      <c r="E35" s="5" t="s">
        <v>164</v>
      </c>
      <c r="F35" s="5" t="s">
        <v>139</v>
      </c>
      <c r="G35" s="390">
        <f>'ASTM Converter (API)'!$F$14</f>
        <v>296900</v>
      </c>
      <c r="H35" s="381">
        <f t="shared" si="1"/>
        <v>82401626</v>
      </c>
      <c r="I35" s="311" t="s">
        <v>105</v>
      </c>
      <c r="J35" s="292" t="s">
        <v>139</v>
      </c>
      <c r="K35" s="297">
        <f>AG30</f>
        <v>277.54000000000099</v>
      </c>
      <c r="L35" s="294" t="s">
        <v>25</v>
      </c>
      <c r="M35" s="319" t="s">
        <v>106</v>
      </c>
      <c r="N35" s="279"/>
      <c r="O35" s="171"/>
      <c r="DF35" s="12"/>
      <c r="DG35" s="12"/>
      <c r="DH35" s="12"/>
      <c r="DI35" s="171"/>
      <c r="DJ35" s="171"/>
      <c r="DK35" s="171"/>
      <c r="DL35" s="171"/>
      <c r="DM35" s="171"/>
      <c r="DN35" s="171"/>
      <c r="DO35" s="171"/>
      <c r="DP35" s="171"/>
      <c r="DQ35" s="171"/>
    </row>
    <row r="36" spans="3:121" ht="13.25" customHeight="1">
      <c r="C36" s="327">
        <v>8</v>
      </c>
      <c r="D36" s="319" t="str">
        <f t="shared" si="0"/>
        <v>ASTM Table 10 - Short Tons (in AIR) to US Barrels at 60°F</v>
      </c>
      <c r="E36" s="5" t="s">
        <v>164</v>
      </c>
      <c r="F36" s="5" t="s">
        <v>140</v>
      </c>
      <c r="G36" s="390">
        <f>'ASTM Converter (API)'!$F$14</f>
        <v>296900</v>
      </c>
      <c r="H36" s="381">
        <f t="shared" si="1"/>
        <v>1961915</v>
      </c>
      <c r="I36" s="311" t="s">
        <v>105</v>
      </c>
      <c r="J36" s="292" t="s">
        <v>140</v>
      </c>
      <c r="K36" s="298">
        <f>AH30</f>
        <v>6.6079999999999997</v>
      </c>
      <c r="L36" s="294" t="s">
        <v>25</v>
      </c>
      <c r="M36" s="319" t="s">
        <v>106</v>
      </c>
      <c r="N36" s="279"/>
      <c r="O36" s="171"/>
      <c r="DF36" s="12"/>
      <c r="DG36" s="12"/>
      <c r="DH36" s="12"/>
      <c r="DI36" s="171"/>
      <c r="DJ36" s="171"/>
      <c r="DK36" s="171"/>
      <c r="DL36" s="171"/>
      <c r="DM36" s="171"/>
      <c r="DN36" s="171"/>
      <c r="DO36" s="171"/>
      <c r="DP36" s="171"/>
      <c r="DQ36" s="171"/>
    </row>
    <row r="37" spans="3:121" ht="13.25" customHeight="1">
      <c r="C37" s="327">
        <v>9</v>
      </c>
      <c r="D37" s="319" t="str">
        <f t="shared" si="0"/>
        <v>ASTM Table 11 - 1000 US Gallons at 60°F to Long Tons (in AIR)</v>
      </c>
      <c r="E37" s="5" t="s">
        <v>144</v>
      </c>
      <c r="F37" s="5" t="s">
        <v>165</v>
      </c>
      <c r="G37" s="390">
        <f>'ASTM Converter (API)'!$F$14</f>
        <v>296900</v>
      </c>
      <c r="H37" s="382">
        <f>ROUND(G37/1000*K37,3)</f>
        <v>955.15700000000004</v>
      </c>
      <c r="I37" s="311" t="s">
        <v>5</v>
      </c>
      <c r="J37" s="292" t="s">
        <v>14</v>
      </c>
      <c r="K37" s="295">
        <f>AK30</f>
        <v>3.2170999999999998</v>
      </c>
      <c r="L37" s="294" t="s">
        <v>25</v>
      </c>
      <c r="M37" s="319" t="s">
        <v>144</v>
      </c>
      <c r="N37" s="279"/>
      <c r="O37" s="171"/>
      <c r="DF37" s="12"/>
      <c r="DG37" s="12"/>
      <c r="DH37" s="12"/>
      <c r="DI37" s="171"/>
      <c r="DJ37" s="171"/>
      <c r="DK37" s="171"/>
      <c r="DL37" s="171"/>
      <c r="DM37" s="171"/>
      <c r="DN37" s="171"/>
      <c r="DO37" s="171"/>
      <c r="DP37" s="171"/>
      <c r="DQ37" s="171"/>
    </row>
    <row r="38" spans="3:121" ht="13.25" customHeight="1">
      <c r="C38" s="327">
        <v>10</v>
      </c>
      <c r="D38" s="319" t="str">
        <f t="shared" si="0"/>
        <v>ASTM Table 11 - US Barrels at 60°F to Long Tons (in AIR)</v>
      </c>
      <c r="E38" s="5" t="s">
        <v>140</v>
      </c>
      <c r="F38" s="5" t="s">
        <v>165</v>
      </c>
      <c r="G38" s="390">
        <f>'ASTM Converter (API)'!$F$14</f>
        <v>296900</v>
      </c>
      <c r="H38" s="382">
        <f>ROUND(G38*K38,3)</f>
        <v>40117.127999999997</v>
      </c>
      <c r="I38" s="311" t="s">
        <v>5</v>
      </c>
      <c r="J38" s="292" t="s">
        <v>14</v>
      </c>
      <c r="K38" s="296">
        <f>AL30</f>
        <v>0.13511999999999999</v>
      </c>
      <c r="L38" s="294" t="s">
        <v>25</v>
      </c>
      <c r="M38" s="319" t="s">
        <v>143</v>
      </c>
      <c r="N38" s="279"/>
      <c r="O38" s="171"/>
      <c r="DF38" s="12"/>
      <c r="DG38" s="12"/>
      <c r="DH38" s="12"/>
      <c r="DI38" s="171"/>
      <c r="DJ38" s="171"/>
      <c r="DK38" s="171"/>
      <c r="DL38" s="171"/>
      <c r="DM38" s="171"/>
      <c r="DN38" s="171"/>
      <c r="DO38" s="171"/>
      <c r="DP38" s="171"/>
      <c r="DQ38" s="171"/>
    </row>
    <row r="39" spans="3:121" ht="13.25" customHeight="1">
      <c r="C39" s="327">
        <v>11</v>
      </c>
      <c r="D39" s="319" t="str">
        <f t="shared" si="0"/>
        <v>ASTM Table 12 - Long Tons (in AIR) to US Gallons at 60°F</v>
      </c>
      <c r="E39" s="5" t="s">
        <v>165</v>
      </c>
      <c r="F39" s="5" t="s">
        <v>139</v>
      </c>
      <c r="G39" s="390">
        <f>'ASTM Converter (API)'!$F$14</f>
        <v>296900</v>
      </c>
      <c r="H39" s="381">
        <f t="shared" si="1"/>
        <v>92288396</v>
      </c>
      <c r="I39" s="311" t="s">
        <v>107</v>
      </c>
      <c r="J39" s="292" t="s">
        <v>139</v>
      </c>
      <c r="K39" s="297">
        <f>AO30</f>
        <v>310.83999999999997</v>
      </c>
      <c r="L39" s="294" t="s">
        <v>25</v>
      </c>
      <c r="M39" s="319" t="s">
        <v>108</v>
      </c>
      <c r="N39" s="279"/>
      <c r="O39" s="171"/>
      <c r="DF39" s="12"/>
      <c r="DG39" s="12"/>
      <c r="DH39" s="12"/>
      <c r="DI39" s="171"/>
      <c r="DJ39" s="171"/>
      <c r="DK39" s="171"/>
      <c r="DL39" s="171"/>
      <c r="DM39" s="171"/>
      <c r="DN39" s="171"/>
      <c r="DO39" s="171"/>
      <c r="DP39" s="171"/>
      <c r="DQ39" s="171"/>
    </row>
    <row r="40" spans="3:121" ht="13.25" customHeight="1">
      <c r="C40" s="327">
        <v>12</v>
      </c>
      <c r="D40" s="319" t="str">
        <f t="shared" si="0"/>
        <v>ASTM Table 12 - Long Tons (in AIR) to US Barrels at 60°F</v>
      </c>
      <c r="E40" s="5" t="s">
        <v>165</v>
      </c>
      <c r="F40" s="5" t="s">
        <v>140</v>
      </c>
      <c r="G40" s="390">
        <f>'ASTM Converter (API)'!$F$14</f>
        <v>296900</v>
      </c>
      <c r="H40" s="381">
        <f t="shared" si="1"/>
        <v>2197357</v>
      </c>
      <c r="I40" s="311" t="s">
        <v>107</v>
      </c>
      <c r="J40" s="292" t="s">
        <v>140</v>
      </c>
      <c r="K40" s="298">
        <f>AP30</f>
        <v>7.4009999999999998</v>
      </c>
      <c r="L40" s="294" t="s">
        <v>25</v>
      </c>
      <c r="M40" s="319" t="s">
        <v>108</v>
      </c>
      <c r="N40" s="279"/>
      <c r="O40" s="171"/>
      <c r="DF40" s="12"/>
      <c r="DG40" s="12"/>
      <c r="DH40" s="12"/>
      <c r="DI40" s="171"/>
      <c r="DJ40" s="171"/>
      <c r="DK40" s="171"/>
      <c r="DL40" s="171"/>
      <c r="DM40" s="171"/>
      <c r="DN40" s="171"/>
      <c r="DO40" s="171"/>
      <c r="DP40" s="171"/>
      <c r="DQ40" s="171"/>
    </row>
    <row r="41" spans="3:121" ht="13.25" customHeight="1">
      <c r="C41" s="327">
        <v>13</v>
      </c>
      <c r="D41" s="319" t="str">
        <f t="shared" si="0"/>
        <v xml:space="preserve">ASTM Table 13 - 1000 US Gallons at 60°F to Metric Tons (in AIR) </v>
      </c>
      <c r="E41" s="5" t="s">
        <v>144</v>
      </c>
      <c r="F41" s="5" t="s">
        <v>170</v>
      </c>
      <c r="G41" s="390">
        <f>'ASTM Converter (API)'!$F$14</f>
        <v>296900</v>
      </c>
      <c r="H41" s="382">
        <f>ROUND(G41/1000*K41,3)</f>
        <v>970.47699999999998</v>
      </c>
      <c r="I41" s="311" t="s">
        <v>6</v>
      </c>
      <c r="J41" s="292" t="s">
        <v>15</v>
      </c>
      <c r="K41" s="298">
        <f>AS30</f>
        <v>3.2686999999999999</v>
      </c>
      <c r="L41" s="294" t="s">
        <v>25</v>
      </c>
      <c r="M41" s="319" t="s">
        <v>144</v>
      </c>
      <c r="N41" s="279"/>
      <c r="O41" s="12"/>
      <c r="DF41" s="171"/>
      <c r="DG41" s="171"/>
      <c r="DH41" s="171"/>
      <c r="DI41" s="12"/>
      <c r="DJ41" s="12"/>
      <c r="DK41" s="12"/>
      <c r="DL41" s="12"/>
      <c r="DM41" s="12"/>
      <c r="DN41" s="12"/>
      <c r="DO41" s="12"/>
      <c r="DP41" s="12"/>
      <c r="DQ41" s="12"/>
    </row>
    <row r="42" spans="3:121" ht="13.25" customHeight="1">
      <c r="C42" s="327">
        <v>14</v>
      </c>
      <c r="D42" s="319" t="str">
        <f t="shared" si="0"/>
        <v xml:space="preserve">ASTM Table 13 - US Barrels at 60°F to Metric Tons (in AIR) </v>
      </c>
      <c r="E42" s="5" t="s">
        <v>140</v>
      </c>
      <c r="F42" s="5" t="s">
        <v>170</v>
      </c>
      <c r="G42" s="390">
        <f>'ASTM Converter (API)'!$F$14</f>
        <v>296900</v>
      </c>
      <c r="H42" s="382">
        <f>ROUND(G42*K42,3)</f>
        <v>40758.432000000001</v>
      </c>
      <c r="I42" s="311" t="s">
        <v>6</v>
      </c>
      <c r="J42" s="292" t="s">
        <v>15</v>
      </c>
      <c r="K42" s="299">
        <f>AT30</f>
        <v>0.13728000000000001</v>
      </c>
      <c r="L42" s="294" t="s">
        <v>25</v>
      </c>
      <c r="M42" s="319" t="s">
        <v>143</v>
      </c>
      <c r="N42" s="277"/>
      <c r="O42" s="12"/>
      <c r="DF42" s="171"/>
      <c r="DG42" s="171"/>
      <c r="DH42" s="171"/>
      <c r="DI42" s="12"/>
      <c r="DJ42" s="12"/>
      <c r="DK42" s="12"/>
      <c r="DL42" s="12"/>
      <c r="DM42" s="12"/>
      <c r="DN42" s="12"/>
      <c r="DO42" s="12"/>
      <c r="DP42" s="12"/>
      <c r="DQ42" s="12"/>
    </row>
    <row r="43" spans="3:121" ht="13.25" customHeight="1">
      <c r="C43" s="327">
        <v>15</v>
      </c>
      <c r="D43" s="319" t="str">
        <f t="shared" si="0"/>
        <v>ASTM Table 14 - Short Tons (in AIR) to Cubic Metres at 15°C</v>
      </c>
      <c r="E43" s="5" t="s">
        <v>164</v>
      </c>
      <c r="F43" s="5" t="s">
        <v>138</v>
      </c>
      <c r="G43" s="390">
        <f>'ASTM Converter (API)'!$F$14</f>
        <v>296900</v>
      </c>
      <c r="H43" s="382">
        <f t="shared" ref="H43:H44" si="2">ROUND(G43*K43,3)</f>
        <v>311774.69</v>
      </c>
      <c r="I43" s="311" t="s">
        <v>109</v>
      </c>
      <c r="J43" s="241" t="s">
        <v>138</v>
      </c>
      <c r="K43" s="299">
        <f>AW30</f>
        <v>1.0501</v>
      </c>
      <c r="L43" s="294" t="s">
        <v>25</v>
      </c>
      <c r="M43" s="319" t="s">
        <v>106</v>
      </c>
      <c r="N43" s="277"/>
      <c r="O43" s="12"/>
      <c r="DF43" s="171"/>
      <c r="DG43" s="171"/>
      <c r="DH43" s="171"/>
      <c r="DI43" s="12"/>
      <c r="DJ43" s="12"/>
      <c r="DK43" s="12"/>
      <c r="DL43" s="12"/>
      <c r="DM43" s="12"/>
      <c r="DN43" s="12"/>
      <c r="DO43" s="12"/>
      <c r="DP43" s="12"/>
      <c r="DQ43" s="12"/>
    </row>
    <row r="44" spans="3:121">
      <c r="C44" s="327">
        <v>16</v>
      </c>
      <c r="D44" s="319" t="str">
        <f t="shared" si="0"/>
        <v>ASTM Table 14 - Long Tons (in AIR) to Cubic Metres at 15°C</v>
      </c>
      <c r="E44" s="5" t="s">
        <v>165</v>
      </c>
      <c r="F44" s="5" t="s">
        <v>138</v>
      </c>
      <c r="G44" s="390">
        <f>'ASTM Converter (API)'!$F$14</f>
        <v>296900</v>
      </c>
      <c r="H44" s="382">
        <f t="shared" si="2"/>
        <v>349184.09</v>
      </c>
      <c r="I44" s="311" t="s">
        <v>109</v>
      </c>
      <c r="J44" s="241" t="s">
        <v>138</v>
      </c>
      <c r="K44" s="299">
        <f>AX30</f>
        <v>1.1760999999999999</v>
      </c>
      <c r="L44" s="294" t="s">
        <v>25</v>
      </c>
      <c r="M44" s="319" t="s">
        <v>108</v>
      </c>
      <c r="N44" s="277"/>
    </row>
    <row r="45" spans="3:121">
      <c r="C45" s="276"/>
      <c r="D45" s="312"/>
      <c r="E45" s="312"/>
      <c r="F45" s="312"/>
      <c r="G45" s="312"/>
      <c r="H45" s="383"/>
      <c r="I45" s="312"/>
      <c r="J45" s="281"/>
      <c r="K45" s="281"/>
      <c r="L45" s="281"/>
      <c r="M45" s="281"/>
      <c r="N45" s="282"/>
    </row>
    <row r="46" spans="3:121">
      <c r="J46" s="6"/>
      <c r="K46" s="6"/>
      <c r="L46" s="6"/>
      <c r="M46" s="6"/>
      <c r="N46" s="6"/>
    </row>
    <row r="47" spans="3:121" ht="15.75" customHeight="1">
      <c r="C47" s="3595" t="s">
        <v>133</v>
      </c>
      <c r="D47" s="3596"/>
      <c r="E47" s="3596"/>
      <c r="F47" s="3596"/>
      <c r="G47" s="3596"/>
      <c r="H47" s="3596"/>
      <c r="I47" s="3596"/>
      <c r="J47" s="3596"/>
      <c r="K47" s="3596"/>
      <c r="L47" s="3596"/>
      <c r="M47" s="3596"/>
      <c r="N47" s="3597"/>
      <c r="P47" s="262" t="s">
        <v>100</v>
      </c>
      <c r="Q47" s="29"/>
      <c r="R47" s="29"/>
      <c r="S47" s="29"/>
      <c r="T47" s="29"/>
      <c r="U47" s="29"/>
      <c r="V47" s="29"/>
      <c r="W47" s="29"/>
      <c r="X47" s="29"/>
      <c r="Y47" s="29"/>
      <c r="Z47" s="29"/>
      <c r="AA47" s="165"/>
      <c r="AB47" s="166" t="s">
        <v>100</v>
      </c>
      <c r="AC47" s="29"/>
      <c r="AD47" s="166"/>
      <c r="AE47" s="29"/>
      <c r="AF47" s="29"/>
      <c r="AG47" s="29"/>
      <c r="AH47" s="29"/>
      <c r="AI47" s="29"/>
      <c r="AJ47" s="29"/>
      <c r="AK47" s="29"/>
      <c r="AL47" s="29"/>
      <c r="AM47" s="165"/>
      <c r="AN47" s="166" t="s">
        <v>100</v>
      </c>
      <c r="AO47" s="166"/>
      <c r="AP47" s="166"/>
      <c r="AQ47" s="29"/>
      <c r="AR47" s="29"/>
      <c r="AS47" s="29"/>
      <c r="AT47" s="29"/>
      <c r="AU47" s="29"/>
      <c r="AV47" s="29"/>
      <c r="AW47" s="29"/>
      <c r="AX47" s="214"/>
    </row>
    <row r="48" spans="3:121" ht="13.15">
      <c r="C48" s="326"/>
      <c r="D48" s="341" t="s">
        <v>153</v>
      </c>
      <c r="G48" s="286"/>
      <c r="H48" s="384"/>
      <c r="I48" s="286"/>
      <c r="N48" s="274"/>
      <c r="P48" s="253" t="str">
        <f>'ASTM Vol. XI-XII'!AQ5</f>
        <v>ASTM Table 21</v>
      </c>
      <c r="Q48" s="254"/>
      <c r="R48" s="255"/>
      <c r="S48" s="251"/>
      <c r="T48" s="3549" t="str">
        <f>'ASTM Vol. XI-XII'!AU5</f>
        <v>ASTM Table 22</v>
      </c>
      <c r="U48" s="3550"/>
      <c r="V48" s="3551"/>
      <c r="W48" s="264"/>
      <c r="X48" s="3586" t="str">
        <f>'ASTM Vol. XI-XII'!AU5</f>
        <v>ASTM Table 22</v>
      </c>
      <c r="Y48" s="3587"/>
      <c r="Z48" s="3588"/>
      <c r="AA48" s="251"/>
      <c r="AB48" s="253" t="str">
        <f>'ASTM Vol. XI-XII'!AZ5</f>
        <v>ASTM Table 26</v>
      </c>
      <c r="AC48" s="254"/>
      <c r="AD48" s="255"/>
      <c r="AE48" s="251"/>
      <c r="AF48" s="253" t="str">
        <f>'ASTM Vol. XI-XII'!BD5</f>
        <v>ASTM Table 27</v>
      </c>
      <c r="AG48" s="254"/>
      <c r="AH48" s="255"/>
      <c r="AI48" s="251"/>
      <c r="AJ48" s="253" t="str">
        <f>'ASTM Vol. XI-XII'!BH5</f>
        <v>ASTM Table 28</v>
      </c>
      <c r="AK48" s="254"/>
      <c r="AL48" s="255"/>
      <c r="AM48" s="251"/>
      <c r="AN48" s="253" t="str">
        <f>'ASTM Vol. XI-XII'!BL5</f>
        <v>ASTM Table 29</v>
      </c>
      <c r="AO48" s="254"/>
      <c r="AP48" s="255"/>
      <c r="AQ48" s="251"/>
      <c r="AR48" s="253" t="str">
        <f>'ASTM Vol. XI-XII'!BP5</f>
        <v>ASTM Table 30</v>
      </c>
      <c r="AS48" s="254"/>
      <c r="AT48" s="255"/>
      <c r="AU48" s="251"/>
      <c r="AV48" s="253" t="str">
        <f>'ASTM Vol. XI-XII'!BT5</f>
        <v>ASTM Table 31</v>
      </c>
      <c r="AW48" s="254"/>
      <c r="AX48" s="255"/>
      <c r="AY48" s="22"/>
    </row>
    <row r="49" spans="3:51">
      <c r="C49" s="275"/>
      <c r="H49" s="274"/>
      <c r="J49" s="287" t="s">
        <v>132</v>
      </c>
      <c r="K49" s="283">
        <f>'ASTM Converter (R.Density)'!F6</f>
        <v>0.87419999999999998</v>
      </c>
      <c r="L49" s="392" t="s">
        <v>167</v>
      </c>
      <c r="M49" s="6"/>
      <c r="N49" s="277"/>
      <c r="P49" s="229" t="str">
        <f>'ASTM Vol. XI-XII'!AQ6</f>
        <v>Relative</v>
      </c>
      <c r="Q49" s="230" t="str">
        <f>'ASTM Vol. XI-XII'!AR6</f>
        <v>API</v>
      </c>
      <c r="R49" s="231" t="str">
        <f>'ASTM Vol. XI-XII'!AS6</f>
        <v>Density</v>
      </c>
      <c r="S49" s="252"/>
      <c r="T49" s="229" t="str">
        <f>'ASTM Vol. XI-XII'!AU6</f>
        <v>Relative</v>
      </c>
      <c r="U49" s="3552" t="str">
        <f>'ASTM Vol. XI-XII'!AV6</f>
        <v>Litres @15°C</v>
      </c>
      <c r="V49" s="3553"/>
      <c r="W49" s="265"/>
      <c r="X49" s="229" t="str">
        <f>'ASTM Vol. XI-XII'!AW6</f>
        <v>Relative</v>
      </c>
      <c r="Y49" s="3552" t="str">
        <f>'ASTM Vol. XI-XII'!AX6</f>
        <v>Cubic Mtrs @15°C</v>
      </c>
      <c r="Z49" s="3553"/>
      <c r="AA49" s="252"/>
      <c r="AB49" s="229" t="str">
        <f>'ASTM Vol. XI-XII'!AZ6</f>
        <v>Relative</v>
      </c>
      <c r="AC49" s="230" t="str">
        <f>'ASTM Vol. XI-XII'!BA6</f>
        <v>Pounds</v>
      </c>
      <c r="AD49" s="231" t="str">
        <f>'ASTM Vol. XI-XII'!BB6</f>
        <v>US Gallons</v>
      </c>
      <c r="AE49" s="252"/>
      <c r="AF49" s="229" t="str">
        <f>'ASTM Vol. XI-XII'!BD6</f>
        <v>Relative</v>
      </c>
      <c r="AG49" s="230" t="str">
        <f>'ASTM Vol. XI-XII'!BE6</f>
        <v>Short Tons</v>
      </c>
      <c r="AH49" s="231" t="str">
        <f>'ASTM Vol. XI-XII'!BF6</f>
        <v>Short Tons</v>
      </c>
      <c r="AI49" s="252"/>
      <c r="AJ49" s="229" t="str">
        <f>'ASTM Vol. XI-XII'!BH6</f>
        <v>Relative</v>
      </c>
      <c r="AK49" s="230" t="str">
        <f>'ASTM Vol. XI-XII'!BI6</f>
        <v>US Gallons</v>
      </c>
      <c r="AL49" s="231" t="str">
        <f>'ASTM Vol. XI-XII'!BJ6</f>
        <v>Barrels</v>
      </c>
      <c r="AM49" s="252"/>
      <c r="AN49" s="229" t="str">
        <f>'ASTM Vol. XI-XII'!BL6</f>
        <v>Relative</v>
      </c>
      <c r="AO49" s="230" t="str">
        <f>'ASTM Vol. XI-XII'!BM6</f>
        <v>Long Tons</v>
      </c>
      <c r="AP49" s="231" t="str">
        <f>'ASTM Vol. XI-XII'!BN6</f>
        <v>Long Tons</v>
      </c>
      <c r="AQ49" s="252"/>
      <c r="AR49" s="229" t="str">
        <f>'ASTM Vol. XI-XII'!BP6</f>
        <v>Relative</v>
      </c>
      <c r="AS49" s="230" t="str">
        <f>'ASTM Vol. XI-XII'!BQ6</f>
        <v>US Gallons</v>
      </c>
      <c r="AT49" s="231" t="str">
        <f>'ASTM Vol. XI-XII'!BR6</f>
        <v>Barrels</v>
      </c>
      <c r="AU49" s="252"/>
      <c r="AV49" s="229" t="str">
        <f>'ASTM Vol. XI-XII'!BT6</f>
        <v>Relative</v>
      </c>
      <c r="AW49" s="230" t="str">
        <f>'ASTM Vol. XI-XII'!BU6</f>
        <v>Cubic Mtrs</v>
      </c>
      <c r="AX49" s="231" t="str">
        <f>'ASTM Vol. XI-XII'!BV6</f>
        <v>Cubic Mtrs</v>
      </c>
      <c r="AY49" s="232"/>
    </row>
    <row r="50" spans="3:51">
      <c r="C50" s="275"/>
      <c r="D50" s="311"/>
      <c r="G50" s="311"/>
      <c r="H50" s="379"/>
      <c r="I50" s="311" t="s">
        <v>111</v>
      </c>
      <c r="J50" s="285" t="s">
        <v>136</v>
      </c>
      <c r="K50" s="301">
        <f>Q54</f>
        <v>30.362000000000002</v>
      </c>
      <c r="L50" s="289" t="s">
        <v>166</v>
      </c>
      <c r="M50" s="6"/>
      <c r="N50" s="277"/>
      <c r="P50" s="180" t="str">
        <f>'ASTM Vol. XI-XII'!AQ7</f>
        <v>Density</v>
      </c>
      <c r="Q50" s="181" t="str">
        <f>'ASTM Vol. XI-XII'!AR7</f>
        <v>Gravity</v>
      </c>
      <c r="R50" s="182"/>
      <c r="S50" s="186"/>
      <c r="T50" s="180" t="str">
        <f>'ASTM Vol. XI-XII'!AU7</f>
        <v>Density</v>
      </c>
      <c r="U50" s="3554" t="str">
        <f>'ASTM Vol. XI-XII'!AV7</f>
        <v>per</v>
      </c>
      <c r="V50" s="3555"/>
      <c r="W50" s="266"/>
      <c r="X50" s="180" t="str">
        <f>'ASTM Vol. XI-XII'!AW7</f>
        <v>Density</v>
      </c>
      <c r="Y50" s="3554" t="str">
        <f>'ASTM Vol. XI-XII'!AX7</f>
        <v>per</v>
      </c>
      <c r="Z50" s="3555"/>
      <c r="AA50" s="186"/>
      <c r="AB50" s="180" t="str">
        <f>'ASTM Vol. XI-XII'!AZ7</f>
        <v>Density</v>
      </c>
      <c r="AC50" s="181" t="str">
        <f>'ASTM Vol. XI-XII'!BA7</f>
        <v>per</v>
      </c>
      <c r="AD50" s="182" t="str">
        <f>'ASTM Vol. XI-XII'!BB7</f>
        <v>per</v>
      </c>
      <c r="AE50" s="186"/>
      <c r="AF50" s="180" t="str">
        <f>'ASTM Vol. XI-XII'!BD7</f>
        <v>Density</v>
      </c>
      <c r="AG50" s="181" t="str">
        <f>'ASTM Vol. XI-XII'!BE7</f>
        <v>per 1000</v>
      </c>
      <c r="AH50" s="182" t="str">
        <f>'ASTM Vol. XI-XII'!BF7</f>
        <v>per</v>
      </c>
      <c r="AI50" s="186"/>
      <c r="AJ50" s="180" t="str">
        <f>'ASTM Vol. XI-XII'!BH7</f>
        <v>Density</v>
      </c>
      <c r="AK50" s="181" t="str">
        <f>'ASTM Vol. XI-XII'!BI7</f>
        <v>per</v>
      </c>
      <c r="AL50" s="182" t="str">
        <f>'ASTM Vol. XI-XII'!BJ7</f>
        <v>per</v>
      </c>
      <c r="AM50" s="186"/>
      <c r="AN50" s="180" t="str">
        <f>'ASTM Vol. XI-XII'!BL7</f>
        <v>Density</v>
      </c>
      <c r="AO50" s="181" t="str">
        <f>'ASTM Vol. XI-XII'!BM7</f>
        <v>per 1000</v>
      </c>
      <c r="AP50" s="182" t="str">
        <f>'ASTM Vol. XI-XII'!BN7</f>
        <v>per</v>
      </c>
      <c r="AQ50" s="186"/>
      <c r="AR50" s="180" t="str">
        <f>'ASTM Vol. XI-XII'!BP7</f>
        <v>Density</v>
      </c>
      <c r="AS50" s="181" t="str">
        <f>'ASTM Vol. XI-XII'!BQ7</f>
        <v>per</v>
      </c>
      <c r="AT50" s="182" t="str">
        <f>'ASTM Vol. XI-XII'!BR7</f>
        <v>per</v>
      </c>
      <c r="AU50" s="186"/>
      <c r="AV50" s="180" t="str">
        <f>'ASTM Vol. XI-XII'!BT7</f>
        <v>Density</v>
      </c>
      <c r="AW50" s="181" t="str">
        <f>'ASTM Vol. XI-XII'!BU7</f>
        <v>per</v>
      </c>
      <c r="AX50" s="182" t="str">
        <f>'ASTM Vol. XI-XII'!BV7</f>
        <v>per</v>
      </c>
      <c r="AY50" s="22"/>
    </row>
    <row r="51" spans="3:51">
      <c r="C51" s="275"/>
      <c r="D51" s="311"/>
      <c r="G51" s="311"/>
      <c r="H51" s="379"/>
      <c r="I51" s="311" t="s">
        <v>111</v>
      </c>
      <c r="J51" s="287" t="s">
        <v>131</v>
      </c>
      <c r="K51" s="318">
        <f>R54</f>
        <v>873.69999999999993</v>
      </c>
      <c r="L51" s="393" t="s">
        <v>168</v>
      </c>
      <c r="M51" s="6"/>
      <c r="N51" s="277"/>
      <c r="P51" s="233"/>
      <c r="Q51" s="234"/>
      <c r="R51" s="235"/>
      <c r="S51" s="252"/>
      <c r="T51" s="233"/>
      <c r="U51" s="3554" t="str">
        <f>'ASTM Vol. XI-XII'!AV8</f>
        <v>US Gallon @60°F</v>
      </c>
      <c r="V51" s="3555"/>
      <c r="W51" s="266"/>
      <c r="X51" s="180"/>
      <c r="Y51" s="3554" t="str">
        <f>'ASTM Vol. XI-XII'!AX8</f>
        <v>Barrel @60°F</v>
      </c>
      <c r="Z51" s="3555"/>
      <c r="AA51" s="252"/>
      <c r="AB51" s="233"/>
      <c r="AC51" s="234" t="str">
        <f>'ASTM Vol. XI-XII'!BA8</f>
        <v>US Gallon</v>
      </c>
      <c r="AD51" s="235" t="str">
        <f>'ASTM Vol. XI-XII'!BB8</f>
        <v>Pound</v>
      </c>
      <c r="AE51" s="252"/>
      <c r="AF51" s="233"/>
      <c r="AG51" s="234" t="str">
        <f>'ASTM Vol. XI-XII'!BE8</f>
        <v>US Gallons</v>
      </c>
      <c r="AH51" s="235" t="str">
        <f>'ASTM Vol. XI-XII'!BF8</f>
        <v>Barrel</v>
      </c>
      <c r="AI51" s="252"/>
      <c r="AJ51" s="233"/>
      <c r="AK51" s="234" t="str">
        <f>'ASTM Vol. XI-XII'!BI8</f>
        <v>Short Ton</v>
      </c>
      <c r="AL51" s="235" t="str">
        <f>'ASTM Vol. XI-XII'!BJ8</f>
        <v>Short Ton</v>
      </c>
      <c r="AM51" s="252"/>
      <c r="AN51" s="233"/>
      <c r="AO51" s="234" t="str">
        <f>'ASTM Vol. XI-XII'!BM8</f>
        <v>US Gallons</v>
      </c>
      <c r="AP51" s="235" t="str">
        <f>'ASTM Vol. XI-XII'!BN8</f>
        <v>Barrel</v>
      </c>
      <c r="AQ51" s="252"/>
      <c r="AR51" s="233"/>
      <c r="AS51" s="234" t="str">
        <f>'ASTM Vol. XI-XII'!BQ8</f>
        <v>Long Ton</v>
      </c>
      <c r="AT51" s="235" t="str">
        <f>'ASTM Vol. XI-XII'!BR8</f>
        <v>Long Ton</v>
      </c>
      <c r="AU51" s="252"/>
      <c r="AV51" s="233"/>
      <c r="AW51" s="234" t="str">
        <f>'ASTM Vol. XI-XII'!BU8</f>
        <v>Short Ton</v>
      </c>
      <c r="AX51" s="235" t="str">
        <f>'ASTM Vol. XI-XII'!BV8</f>
        <v xml:space="preserve">Long Ton </v>
      </c>
      <c r="AY51" s="232"/>
    </row>
    <row r="52" spans="3:51" ht="13.15">
      <c r="C52" s="328"/>
      <c r="D52" s="317" t="s">
        <v>145</v>
      </c>
      <c r="E52" s="388" t="s">
        <v>160</v>
      </c>
      <c r="F52" s="388" t="s">
        <v>161</v>
      </c>
      <c r="G52" s="317" t="s">
        <v>160</v>
      </c>
      <c r="H52" s="380" t="s">
        <v>161</v>
      </c>
      <c r="I52" s="317"/>
      <c r="J52" s="313"/>
      <c r="K52" s="321"/>
      <c r="L52" s="321"/>
      <c r="M52" s="322"/>
      <c r="N52" s="323"/>
      <c r="P52" s="23" t="str">
        <f>'ASTM Vol. XI-XII'!AQ9</f>
        <v>( 60/60°F )</v>
      </c>
      <c r="Q52" s="183" t="str">
        <f>'ASTM Vol. XI-XII'!AR9</f>
        <v>(60°F)</v>
      </c>
      <c r="R52" s="184" t="str">
        <f>'ASTM Vol. XI-XII'!AS9</f>
        <v>(15°C)</v>
      </c>
      <c r="S52" s="186"/>
      <c r="T52" s="23" t="str">
        <f>'ASTM Vol. XI-XII'!AU9</f>
        <v>( 60/60°F )</v>
      </c>
      <c r="U52" s="3584"/>
      <c r="V52" s="3585"/>
      <c r="W52" s="267"/>
      <c r="X52" s="23" t="str">
        <f>'ASTM Vol. XI-XII'!AW9</f>
        <v>( 60/60°F )</v>
      </c>
      <c r="Y52" s="3584"/>
      <c r="Z52" s="3585"/>
      <c r="AA52" s="186"/>
      <c r="AB52" s="23" t="str">
        <f>'ASTM Vol. XI-XII'!AZ9</f>
        <v>( 60/60°F )</v>
      </c>
      <c r="AC52" s="183"/>
      <c r="AD52" s="184"/>
      <c r="AE52" s="186"/>
      <c r="AF52" s="23" t="str">
        <f>'ASTM Vol. XI-XII'!BD9</f>
        <v>( 60/60°F )</v>
      </c>
      <c r="AG52" s="183" t="str">
        <f>'ASTM Vol. XI-XII'!BE9</f>
        <v>(60°F)</v>
      </c>
      <c r="AH52" s="184" t="str">
        <f>'ASTM Vol. XI-XII'!BF9</f>
        <v>(60°F)</v>
      </c>
      <c r="AI52" s="186"/>
      <c r="AJ52" s="23" t="str">
        <f>'ASTM Vol. XI-XII'!BH9</f>
        <v>( 60/60°F )</v>
      </c>
      <c r="AK52" s="183" t="str">
        <f>'ASTM Vol. XI-XII'!BI9</f>
        <v>(60°F)</v>
      </c>
      <c r="AL52" s="184" t="str">
        <f>'ASTM Vol. XI-XII'!BJ9</f>
        <v>(60°F)</v>
      </c>
      <c r="AM52" s="186"/>
      <c r="AN52" s="23" t="str">
        <f>'ASTM Vol. XI-XII'!BL9</f>
        <v>( 60/60°F )</v>
      </c>
      <c r="AO52" s="183" t="str">
        <f>'ASTM Vol. XI-XII'!BM9</f>
        <v>(60°F)</v>
      </c>
      <c r="AP52" s="184" t="str">
        <f>'ASTM Vol. XI-XII'!BN9</f>
        <v>(60°F)</v>
      </c>
      <c r="AQ52" s="186"/>
      <c r="AR52" s="23" t="str">
        <f>'ASTM Vol. XI-XII'!BP9</f>
        <v>( 60/60°F )</v>
      </c>
      <c r="AS52" s="183"/>
      <c r="AT52" s="184"/>
      <c r="AU52" s="186"/>
      <c r="AV52" s="23" t="str">
        <f>'ASTM Vol. XI-XII'!BT9</f>
        <v>( 60/60°F )</v>
      </c>
      <c r="AW52" s="183"/>
      <c r="AX52" s="184"/>
      <c r="AY52" s="22"/>
    </row>
    <row r="53" spans="3:51">
      <c r="C53" s="327">
        <v>1</v>
      </c>
      <c r="D53" s="319" t="str">
        <f t="shared" ref="D53:D66" si="3">CONCATENATE(I53," - ",E53," to ",F53)</f>
        <v>ASTM Table 22 - US Gallons at 60°F to Litres at 15°C</v>
      </c>
      <c r="E53" s="5" t="s">
        <v>139</v>
      </c>
      <c r="F53" s="5" t="s">
        <v>137</v>
      </c>
      <c r="G53" s="390">
        <f>'ASTM Converter (R.Density)'!$F$14</f>
        <v>1000</v>
      </c>
      <c r="H53" s="381">
        <f>ROUND(G53*K53,0)</f>
        <v>3784</v>
      </c>
      <c r="I53" s="311" t="s">
        <v>112</v>
      </c>
      <c r="J53" s="287" t="s">
        <v>137</v>
      </c>
      <c r="K53" s="302">
        <f>U54</f>
        <v>3.7837000000000001</v>
      </c>
      <c r="L53" s="293" t="s">
        <v>25</v>
      </c>
      <c r="M53" s="319" t="s">
        <v>142</v>
      </c>
      <c r="N53" s="277"/>
      <c r="P53" s="358">
        <f>VLOOKUP(P54,'ASTM Vol. XI-XII'!AQ$10:AQ$860,TRUE)</f>
        <v>0.874</v>
      </c>
      <c r="Q53" s="359">
        <f>VLOOKUP(P53,'ASTM Vol. XI-XII'!AQ$10:AR$860,2)</f>
        <v>30.4</v>
      </c>
      <c r="R53" s="360">
        <f>VLOOKUP(P53,'ASTM Vol. XI-XII'!AQ$10:AS$860,3)</f>
        <v>873.5</v>
      </c>
      <c r="S53" s="350"/>
      <c r="T53" s="358">
        <f>VLOOKUP(T54,'ASTM Vol. XI-XII'!AU$10:AU$860,TRUE)</f>
        <v>0.84499999999999997</v>
      </c>
      <c r="U53" s="3591">
        <f>VLOOKUP(T53,'ASTM Vol. XI-XII'!AU$10:AV$860,2)</f>
        <v>3.7837000000000001</v>
      </c>
      <c r="V53" s="3592"/>
      <c r="W53" s="361"/>
      <c r="X53" s="362">
        <f>VLOOKUP(X54,'ASTM Vol. XI-XII'!AW$10:AW$860,TRUE)</f>
        <v>0.86499999999999999</v>
      </c>
      <c r="Y53" s="3590">
        <f>VLOOKUP(X53,'ASTM Vol. XI-XII'!AW$10:AX$860,2)</f>
        <v>0.15892999999999999</v>
      </c>
      <c r="Z53" s="3590"/>
      <c r="AA53" s="350"/>
      <c r="AB53" s="358">
        <f>VLOOKUP(AB54,'ASTM Vol. XI-XII'!AZ$10:AZ$860,TRUE)</f>
        <v>0.874</v>
      </c>
      <c r="AC53" s="363">
        <f>VLOOKUP(AB53,'ASTM Vol. XI-XII'!AZ$10:BA$860,2)</f>
        <v>7.2775999999999996</v>
      </c>
      <c r="AD53" s="345">
        <f>VLOOKUP(AB53,'ASTM Vol. XI-XII'!AZ$10:BB$860,3)</f>
        <v>0.13741</v>
      </c>
      <c r="AE53" s="350"/>
      <c r="AF53" s="358">
        <f>VLOOKUP(AF54,'ASTM Vol. XI-XII'!BD$10:BD$860,TRUE)</f>
        <v>0.874</v>
      </c>
      <c r="AG53" s="363">
        <f>VLOOKUP(AF53,'ASTM Vol. XI-XII'!BD$10:BE$860,2)</f>
        <v>3.6387999999999998</v>
      </c>
      <c r="AH53" s="345">
        <f>VLOOKUP(AF53,'ASTM Vol. XI-XII'!BD$10:BF$860,3)</f>
        <v>0.15282999999999999</v>
      </c>
      <c r="AI53" s="350"/>
      <c r="AJ53" s="358">
        <f>VLOOKUP(AJ54,'ASTM Vol. XI-XII'!BH$10:BH$860,TRUE)</f>
        <v>0.874</v>
      </c>
      <c r="AK53" s="359">
        <f>VLOOKUP(AJ53,'ASTM Vol. XI-XII'!BH$10:BI$860,2)</f>
        <v>274.82</v>
      </c>
      <c r="AL53" s="364">
        <f>VLOOKUP(AJ53,'ASTM Vol. XI-XII'!BH$10:BJ$860,3)</f>
        <v>6.5430000000000001</v>
      </c>
      <c r="AM53" s="350"/>
      <c r="AN53" s="358">
        <f>VLOOKUP(AN54,'ASTM Vol. XI-XII'!BL$10:BL$860,TRUE)</f>
        <v>0.874</v>
      </c>
      <c r="AO53" s="363">
        <f>VLOOKUP(AN53,'ASTM Vol. XI-XII'!BL$10:BM$860,2)</f>
        <v>3.2488999999999999</v>
      </c>
      <c r="AP53" s="345">
        <f>VLOOKUP(AN53,'ASTM Vol. XI-XII'!BL$10:BN$860,3)</f>
        <v>0.13644999999999999</v>
      </c>
      <c r="AQ53" s="350"/>
      <c r="AR53" s="358">
        <f>VLOOKUP(AR54,'ASTM Vol. XI-XII'!BP$10:BP$860,TRUE)</f>
        <v>0.874</v>
      </c>
      <c r="AS53" s="359">
        <f>VLOOKUP(AR53,'ASTM Vol. XI-XII'!BP$10:BQ$860,2)</f>
        <v>307.79000000000002</v>
      </c>
      <c r="AT53" s="364">
        <f>VLOOKUP(AR53,'ASTM Vol. XI-XII'!BP$10:BR$860,3)</f>
        <v>7.3280000000000003</v>
      </c>
      <c r="AU53" s="350"/>
      <c r="AV53" s="358">
        <f>VLOOKUP(AV54,'ASTM Vol. XI-XII'!BT$10:BT$860,TRUE)</f>
        <v>0.874</v>
      </c>
      <c r="AW53" s="363">
        <f>VLOOKUP(AV53,'ASTM Vol. XI-XII'!BT$10:BU$860,2)</f>
        <v>1.0398000000000001</v>
      </c>
      <c r="AX53" s="363">
        <f>VLOOKUP(AV53,'ASTM Vol. XI-XII'!BT$10:BV$860,3)</f>
        <v>1.1646000000000001</v>
      </c>
      <c r="AY53" s="12"/>
    </row>
    <row r="54" spans="3:51" ht="13.15">
      <c r="C54" s="327">
        <v>2</v>
      </c>
      <c r="D54" s="319" t="str">
        <f t="shared" si="3"/>
        <v>ASTM Table 22 - US Gallons at 60°F to Cubic Metres at 15°C</v>
      </c>
      <c r="E54" s="5" t="s">
        <v>139</v>
      </c>
      <c r="F54" s="5" t="s">
        <v>138</v>
      </c>
      <c r="G54" s="390">
        <f>'ASTM Converter (R.Density)'!$F$14</f>
        <v>1000</v>
      </c>
      <c r="H54" s="382">
        <f>ROUND(G54*K54,3)</f>
        <v>158.93</v>
      </c>
      <c r="I54" s="311" t="s">
        <v>112</v>
      </c>
      <c r="J54" s="287" t="s">
        <v>138</v>
      </c>
      <c r="K54" s="303">
        <f>Y54</f>
        <v>0.15892999999999999</v>
      </c>
      <c r="L54" s="294" t="s">
        <v>25</v>
      </c>
      <c r="M54" s="319" t="s">
        <v>142</v>
      </c>
      <c r="N54" s="277"/>
      <c r="P54" s="348">
        <f>$K$49</f>
        <v>0.87419999999999998</v>
      </c>
      <c r="Q54" s="365">
        <f>Q53+((P54-P53)/(P55-P53))*(Q55-Q53)</f>
        <v>30.362000000000002</v>
      </c>
      <c r="R54" s="366">
        <f>R53+((P54-P53)/(P55-P53))*(R55-R53)</f>
        <v>873.69999999999993</v>
      </c>
      <c r="S54" s="350"/>
      <c r="T54" s="348">
        <f>$K$49</f>
        <v>0.87419999999999998</v>
      </c>
      <c r="U54" s="3593">
        <f>U53+((T54-T53)/(T55-T53))*(U55-U53)</f>
        <v>3.7837000000000001</v>
      </c>
      <c r="V54" s="3594"/>
      <c r="W54" s="367"/>
      <c r="X54" s="368">
        <f>$K$49</f>
        <v>0.87419999999999998</v>
      </c>
      <c r="Y54" s="3589">
        <f>Y53+((X54-X53)/(X55-X53))*(Y55-Y53)</f>
        <v>0.15892999999999999</v>
      </c>
      <c r="Z54" s="3589"/>
      <c r="AA54" s="350"/>
      <c r="AB54" s="348">
        <f>$K$49</f>
        <v>0.87419999999999998</v>
      </c>
      <c r="AC54" s="369">
        <f>AC53+((AB54-AB53)/(AB55-AB53))*(AC55-AC53)</f>
        <v>7.2792599999999998</v>
      </c>
      <c r="AD54" s="346">
        <f>AD53+((AB54-AB53)/(AB55-AB53))*(AD55-AD53)</f>
        <v>0.137378</v>
      </c>
      <c r="AE54" s="350"/>
      <c r="AF54" s="348">
        <f>$K$49</f>
        <v>0.87419999999999998</v>
      </c>
      <c r="AG54" s="369">
        <f>AG53+((AF54-AF53)/(AF55-AF53))*(AG55-AG53)</f>
        <v>3.6396399999999995</v>
      </c>
      <c r="AH54" s="346">
        <f>AH53+((AF54-AF53)/(AF55-AF53))*(AH55-AH53)</f>
        <v>0.152864</v>
      </c>
      <c r="AI54" s="350"/>
      <c r="AJ54" s="348">
        <f>$K$49</f>
        <v>0.87419999999999998</v>
      </c>
      <c r="AK54" s="365">
        <f>AK53+((AJ54-AJ53)/(AJ55-AJ53))*(AK55-AK53)</f>
        <v>274.75600000000003</v>
      </c>
      <c r="AL54" s="370">
        <f>AL53+((AJ54-AJ53)/(AJ55-AJ53))*(AL55-AL53)</f>
        <v>6.5415999999999999</v>
      </c>
      <c r="AM54" s="350"/>
      <c r="AN54" s="348">
        <f>$K$49</f>
        <v>0.87419999999999998</v>
      </c>
      <c r="AO54" s="369">
        <f>AO53+((AN54-AN53)/(AN55-AN53))*(AO55-AO53)</f>
        <v>3.2496399999999999</v>
      </c>
      <c r="AP54" s="346">
        <f>AP53+((AN54-AN53)/(AN55-AN53))*(AP55-AP53)</f>
        <v>0.13648199999999999</v>
      </c>
      <c r="AQ54" s="350"/>
      <c r="AR54" s="348">
        <f>$K$49</f>
        <v>0.87419999999999998</v>
      </c>
      <c r="AS54" s="365">
        <f>AS53+((AR54-AR53)/(AR55-AR53))*(AS55-AS53)</f>
        <v>307.72000000000003</v>
      </c>
      <c r="AT54" s="370">
        <f>AT53+((AR54-AR53)/(AR55-AR53))*(AT55-AT53)</f>
        <v>7.3264000000000005</v>
      </c>
      <c r="AU54" s="350"/>
      <c r="AV54" s="348">
        <f>$K$49</f>
        <v>0.87419999999999998</v>
      </c>
      <c r="AW54" s="369">
        <f>AW53+((AV54-AV53)/(AV55-AV53))*(AW55-AW53)</f>
        <v>1.03956</v>
      </c>
      <c r="AX54" s="369">
        <f>AX53+((AV54-AV53)/(AV55-AV53))*(AX55-AX53)</f>
        <v>1.1643400000000002</v>
      </c>
      <c r="AY54" s="12"/>
    </row>
    <row r="55" spans="3:51">
      <c r="C55" s="327">
        <v>3</v>
      </c>
      <c r="D55" s="319" t="str">
        <f t="shared" si="3"/>
        <v>ASTM Table 26 - US Gallons at 60°F to Pounds</v>
      </c>
      <c r="E55" s="5" t="s">
        <v>139</v>
      </c>
      <c r="F55" s="5" t="s">
        <v>102</v>
      </c>
      <c r="G55" s="390">
        <f>'ASTM Converter (R.Density)'!$F$14</f>
        <v>1000</v>
      </c>
      <c r="H55" s="381">
        <f t="shared" ref="H55:H64" si="4">ROUND(G55*K55,0)</f>
        <v>7279</v>
      </c>
      <c r="I55" s="311" t="s">
        <v>117</v>
      </c>
      <c r="J55" s="285" t="s">
        <v>102</v>
      </c>
      <c r="K55" s="302">
        <f>AC54</f>
        <v>7.2792599999999998</v>
      </c>
      <c r="L55" s="294" t="s">
        <v>25</v>
      </c>
      <c r="M55" s="319" t="s">
        <v>142</v>
      </c>
      <c r="N55" s="277"/>
      <c r="P55" s="358">
        <f>INDEX('ASTM Vol. XI-XII'!AQ$10:AQ$860,(MATCH(P53,'ASTM Vol. XI-XII'!AQ$10:AQ$860,1)+1))</f>
        <v>0.875</v>
      </c>
      <c r="Q55" s="359">
        <f>VLOOKUP(P55,'ASTM Vol. XI-XII'!AQ$10:AR$860,2)</f>
        <v>30.21</v>
      </c>
      <c r="R55" s="360">
        <f>VLOOKUP(P55,'ASTM Vol. XI-XII'!AQ$10:AS$860,3)</f>
        <v>874.5</v>
      </c>
      <c r="S55" s="356"/>
      <c r="T55" s="358">
        <f>INDEX('ASTM Vol. XI-XII'!AU$10:AU$860,(MATCH(T53,'ASTM Vol. XI-XII'!AU$10:AU$860,1)+1))</f>
        <v>0.88300000000000023</v>
      </c>
      <c r="U55" s="3591">
        <f>VLOOKUP(T55,'ASTM Vol. XI-XII'!AU$10:AV$860,2)</f>
        <v>3.7837000000000001</v>
      </c>
      <c r="V55" s="3592"/>
      <c r="W55" s="371"/>
      <c r="X55" s="362">
        <f>INDEX('ASTM Vol. XI-XII'!AW$10:AW$860,(MATCH(X53,'ASTM Vol. XI-XII'!AW$10:AW$860,1)+1))</f>
        <v>1.074999999999992</v>
      </c>
      <c r="Y55" s="3590">
        <f>VLOOKUP(X55,'ASTM Vol. XI-XII'!AW$10:AX$860,2)</f>
        <v>0.15892999999999999</v>
      </c>
      <c r="Z55" s="3590"/>
      <c r="AA55" s="356"/>
      <c r="AB55" s="358">
        <f>INDEX('ASTM Vol. XI-XII'!AZ$10:AZ$860,(MATCH(AB53,'ASTM Vol. XI-XII'!AZ$10:AZ$860,1)+1))</f>
        <v>0.875</v>
      </c>
      <c r="AC55" s="363">
        <f>VLOOKUP(AB55,'ASTM Vol. XI-XII'!AZ$10:BA$860,2)</f>
        <v>7.2858999999999998</v>
      </c>
      <c r="AD55" s="345">
        <f>VLOOKUP(AB55,'ASTM Vol. XI-XII'!AZ$10:BB$860,3)</f>
        <v>0.13725000000000001</v>
      </c>
      <c r="AE55" s="356"/>
      <c r="AF55" s="358">
        <f>INDEX('ASTM Vol. XI-XII'!BD$10:BD$860,(MATCH(AF53,'ASTM Vol. XI-XII'!BD$10:BD$860,1)+1))</f>
        <v>0.875</v>
      </c>
      <c r="AG55" s="363">
        <f>VLOOKUP(AF55,'ASTM Vol. XI-XII'!BD$10:BE$860,2)</f>
        <v>3.6429999999999998</v>
      </c>
      <c r="AH55" s="345">
        <f>VLOOKUP(AF55,'ASTM Vol. XI-XII'!BD$10:BF$860,3)</f>
        <v>0.153</v>
      </c>
      <c r="AI55" s="356"/>
      <c r="AJ55" s="358">
        <f>INDEX('ASTM Vol. XI-XII'!BH$10:BH$860,(MATCH(AJ53,'ASTM Vol. XI-XII'!BH$10:BH$860,1)+1))</f>
        <v>0.875</v>
      </c>
      <c r="AK55" s="359">
        <f>VLOOKUP(AJ55,'ASTM Vol. XI-XII'!BH$10:BI$860,2)</f>
        <v>274.5</v>
      </c>
      <c r="AL55" s="364">
        <f>VLOOKUP(AJ55,'ASTM Vol. XI-XII'!BH$10:BJ$860,3)</f>
        <v>6.5359999999999996</v>
      </c>
      <c r="AM55" s="356"/>
      <c r="AN55" s="358">
        <f>INDEX('ASTM Vol. XI-XII'!BL$10:BL$860,(MATCH(AN53,'ASTM Vol. XI-XII'!BL$10:BL$860,1)+1))</f>
        <v>0.875</v>
      </c>
      <c r="AO55" s="363">
        <f>VLOOKUP(AN55,'ASTM Vol. XI-XII'!BL$10:BM$860,2)</f>
        <v>3.2526000000000002</v>
      </c>
      <c r="AP55" s="345">
        <f>VLOOKUP(AN55,'ASTM Vol. XI-XII'!BL$10:BN$860,3)</f>
        <v>0.13661000000000001</v>
      </c>
      <c r="AQ55" s="356"/>
      <c r="AR55" s="358">
        <f>INDEX('ASTM Vol. XI-XII'!BP$10:BP$860,(MATCH(AR53,'ASTM Vol. XI-XII'!BP$10:BP$860,1)+1))</f>
        <v>0.875</v>
      </c>
      <c r="AS55" s="359">
        <f>VLOOKUP(AR55,'ASTM Vol. XI-XII'!BP$10:BQ$860,2)</f>
        <v>307.44</v>
      </c>
      <c r="AT55" s="364">
        <f>VLOOKUP(AR55,'ASTM Vol. XI-XII'!BP$10:BR$860,3)</f>
        <v>7.32</v>
      </c>
      <c r="AU55" s="356"/>
      <c r="AV55" s="358">
        <f>INDEX('ASTM Vol. XI-XII'!BT$10:BT$860,(MATCH(AV53,'ASTM Vol. XI-XII'!BT$10:BT$860,1)+1))</f>
        <v>0.875</v>
      </c>
      <c r="AW55" s="363">
        <f>VLOOKUP(AV55,'ASTM Vol. XI-XII'!BT$10:BU$860,2)</f>
        <v>1.0386</v>
      </c>
      <c r="AX55" s="363">
        <f>VLOOKUP(AV55,'ASTM Vol. XI-XII'!BT$10:BV$860,3)</f>
        <v>1.1633</v>
      </c>
      <c r="AY55" s="12"/>
    </row>
    <row r="56" spans="3:51">
      <c r="C56" s="327">
        <v>4</v>
      </c>
      <c r="D56" s="319" t="str">
        <f t="shared" si="3"/>
        <v>ASTM Table 26 - Pounds to US Gallons at 60°F</v>
      </c>
      <c r="E56" s="5" t="s">
        <v>102</v>
      </c>
      <c r="F56" s="5" t="s">
        <v>139</v>
      </c>
      <c r="G56" s="390">
        <f>'ASTM Converter (R.Density)'!$F$14</f>
        <v>1000</v>
      </c>
      <c r="H56" s="381">
        <f t="shared" si="4"/>
        <v>137</v>
      </c>
      <c r="I56" s="311" t="s">
        <v>117</v>
      </c>
      <c r="J56" s="292" t="s">
        <v>139</v>
      </c>
      <c r="K56" s="303">
        <f>AD54</f>
        <v>0.137378</v>
      </c>
      <c r="L56" s="294" t="s">
        <v>25</v>
      </c>
      <c r="M56" s="320" t="s">
        <v>103</v>
      </c>
      <c r="N56" s="277"/>
    </row>
    <row r="57" spans="3:51">
      <c r="C57" s="327">
        <v>5</v>
      </c>
      <c r="D57" s="319" t="str">
        <f t="shared" si="3"/>
        <v>ASTM Table 27 - 1000 US Gallons at 60°F to Short Tons (in AIR)</v>
      </c>
      <c r="E57" s="5" t="s">
        <v>144</v>
      </c>
      <c r="F57" s="5" t="s">
        <v>164</v>
      </c>
      <c r="G57" s="390">
        <f>'ASTM Converter (R.Density)'!$F$14</f>
        <v>1000</v>
      </c>
      <c r="H57" s="382">
        <f>ROUND(G57/1000*K57,3)</f>
        <v>3.64</v>
      </c>
      <c r="I57" s="311" t="s">
        <v>118</v>
      </c>
      <c r="J57" s="292" t="s">
        <v>23</v>
      </c>
      <c r="K57" s="302">
        <f>AG54</f>
        <v>3.6396399999999995</v>
      </c>
      <c r="L57" s="294" t="s">
        <v>25</v>
      </c>
      <c r="M57" s="319" t="s">
        <v>144</v>
      </c>
      <c r="N57" s="277"/>
    </row>
    <row r="58" spans="3:51">
      <c r="C58" s="327">
        <v>6</v>
      </c>
      <c r="D58" s="319" t="str">
        <f t="shared" si="3"/>
        <v>ASTM Table 27 - US Barrels at 60°F to Short Tons (in AIR)</v>
      </c>
      <c r="E58" s="5" t="s">
        <v>140</v>
      </c>
      <c r="F58" s="5" t="s">
        <v>164</v>
      </c>
      <c r="G58" s="390">
        <f>'ASTM Converter (R.Density)'!$F$14</f>
        <v>1000</v>
      </c>
      <c r="H58" s="382">
        <f t="shared" ref="H58" si="5">ROUND(G58*K58,3)</f>
        <v>152.864</v>
      </c>
      <c r="I58" s="311" t="s">
        <v>118</v>
      </c>
      <c r="J58" s="292" t="s">
        <v>23</v>
      </c>
      <c r="K58" s="303">
        <f>AH54</f>
        <v>0.152864</v>
      </c>
      <c r="L58" s="294" t="s">
        <v>25</v>
      </c>
      <c r="M58" s="319" t="s">
        <v>143</v>
      </c>
      <c r="N58" s="277"/>
    </row>
    <row r="59" spans="3:51">
      <c r="C59" s="327">
        <v>7</v>
      </c>
      <c r="D59" s="319" t="str">
        <f t="shared" si="3"/>
        <v>ASTM Table 28 - Short Tons (in AIR) to US Gallons at 60°F</v>
      </c>
      <c r="E59" s="5" t="s">
        <v>164</v>
      </c>
      <c r="F59" s="5" t="s">
        <v>139</v>
      </c>
      <c r="G59" s="390">
        <f>'ASTM Converter (R.Density)'!$F$14</f>
        <v>1000</v>
      </c>
      <c r="H59" s="381">
        <f t="shared" si="4"/>
        <v>274756</v>
      </c>
      <c r="I59" s="311" t="s">
        <v>119</v>
      </c>
      <c r="J59" s="292" t="s">
        <v>139</v>
      </c>
      <c r="K59" s="300">
        <f>AK54</f>
        <v>274.75600000000003</v>
      </c>
      <c r="L59" s="294" t="s">
        <v>25</v>
      </c>
      <c r="M59" s="319" t="s">
        <v>106</v>
      </c>
      <c r="N59" s="277"/>
    </row>
    <row r="60" spans="3:51">
      <c r="C60" s="327">
        <v>8</v>
      </c>
      <c r="D60" s="319" t="str">
        <f t="shared" si="3"/>
        <v>ASTM Table 28 - Short Tons (in AIR) to US Barrels at 60°F</v>
      </c>
      <c r="E60" s="5" t="s">
        <v>164</v>
      </c>
      <c r="F60" s="5" t="s">
        <v>140</v>
      </c>
      <c r="G60" s="390">
        <f>'ASTM Converter (R.Density)'!$F$14</f>
        <v>1000</v>
      </c>
      <c r="H60" s="381">
        <f t="shared" si="4"/>
        <v>6542</v>
      </c>
      <c r="I60" s="311" t="s">
        <v>119</v>
      </c>
      <c r="J60" s="292" t="s">
        <v>140</v>
      </c>
      <c r="K60" s="305">
        <f>AL54</f>
        <v>6.5415999999999999</v>
      </c>
      <c r="L60" s="294" t="s">
        <v>25</v>
      </c>
      <c r="M60" s="319" t="s">
        <v>106</v>
      </c>
      <c r="N60" s="277"/>
    </row>
    <row r="61" spans="3:51">
      <c r="C61" s="327">
        <v>9</v>
      </c>
      <c r="D61" s="319" t="str">
        <f t="shared" si="3"/>
        <v>ASTM Table 29 - 1000 US Gallons at 60°F to Long Tons (in AIR)</v>
      </c>
      <c r="E61" s="5" t="s">
        <v>144</v>
      </c>
      <c r="F61" s="5" t="s">
        <v>165</v>
      </c>
      <c r="G61" s="390">
        <f>'ASTM Converter (R.Density)'!$F$14</f>
        <v>1000</v>
      </c>
      <c r="H61" s="382">
        <f>ROUND(G61/1000*K61,3)</f>
        <v>3.25</v>
      </c>
      <c r="I61" s="311" t="s">
        <v>120</v>
      </c>
      <c r="J61" s="292" t="s">
        <v>14</v>
      </c>
      <c r="K61" s="302">
        <f>AO54</f>
        <v>3.2496399999999999</v>
      </c>
      <c r="L61" s="294" t="s">
        <v>25</v>
      </c>
      <c r="M61" s="319" t="s">
        <v>144</v>
      </c>
      <c r="N61" s="277"/>
    </row>
    <row r="62" spans="3:51">
      <c r="C62" s="327">
        <v>10</v>
      </c>
      <c r="D62" s="319" t="str">
        <f t="shared" si="3"/>
        <v>ASTM Table 29 - US Barrels at 60°F to Long Tons (in AIR)</v>
      </c>
      <c r="E62" s="5" t="s">
        <v>140</v>
      </c>
      <c r="F62" s="5" t="s">
        <v>165</v>
      </c>
      <c r="G62" s="390">
        <f>'ASTM Converter (R.Density)'!$F$14</f>
        <v>1000</v>
      </c>
      <c r="H62" s="382">
        <f t="shared" ref="H62" si="6">ROUND(G62*K62,3)</f>
        <v>136.482</v>
      </c>
      <c r="I62" s="311" t="s">
        <v>120</v>
      </c>
      <c r="J62" s="292" t="s">
        <v>14</v>
      </c>
      <c r="K62" s="303">
        <f>AP54</f>
        <v>0.13648199999999999</v>
      </c>
      <c r="L62" s="294" t="s">
        <v>25</v>
      </c>
      <c r="M62" s="319" t="s">
        <v>143</v>
      </c>
      <c r="N62" s="277"/>
    </row>
    <row r="63" spans="3:51">
      <c r="C63" s="327">
        <v>11</v>
      </c>
      <c r="D63" s="319" t="str">
        <f t="shared" si="3"/>
        <v>ASTM Table 30 - Long Tons (in AIR) to US Gallons at 60°F</v>
      </c>
      <c r="E63" s="5" t="s">
        <v>165</v>
      </c>
      <c r="F63" s="5" t="s">
        <v>139</v>
      </c>
      <c r="G63" s="390">
        <f>'ASTM Converter (R.Density)'!$F$14</f>
        <v>1000</v>
      </c>
      <c r="H63" s="381">
        <f t="shared" si="4"/>
        <v>307720</v>
      </c>
      <c r="I63" s="311" t="s">
        <v>121</v>
      </c>
      <c r="J63" s="292" t="s">
        <v>139</v>
      </c>
      <c r="K63" s="300">
        <f>AS54</f>
        <v>307.72000000000003</v>
      </c>
      <c r="L63" s="294" t="s">
        <v>25</v>
      </c>
      <c r="M63" s="319" t="s">
        <v>108</v>
      </c>
      <c r="N63" s="277"/>
    </row>
    <row r="64" spans="3:51">
      <c r="C64" s="327">
        <v>12</v>
      </c>
      <c r="D64" s="319" t="str">
        <f t="shared" si="3"/>
        <v>ASTM Table 30 - Long Tons (in AIR) to US Barrels at 60°F</v>
      </c>
      <c r="E64" s="5" t="s">
        <v>165</v>
      </c>
      <c r="F64" s="5" t="s">
        <v>140</v>
      </c>
      <c r="G64" s="390">
        <f>'ASTM Converter (R.Density)'!$F$14</f>
        <v>1000</v>
      </c>
      <c r="H64" s="381">
        <f t="shared" si="4"/>
        <v>7326</v>
      </c>
      <c r="I64" s="311" t="s">
        <v>121</v>
      </c>
      <c r="J64" s="292" t="s">
        <v>140</v>
      </c>
      <c r="K64" s="305">
        <f>AT54</f>
        <v>7.3264000000000005</v>
      </c>
      <c r="L64" s="294" t="s">
        <v>25</v>
      </c>
      <c r="M64" s="319" t="s">
        <v>108</v>
      </c>
      <c r="N64" s="277"/>
    </row>
    <row r="65" spans="3:42">
      <c r="C65" s="327">
        <v>13</v>
      </c>
      <c r="D65" s="319" t="str">
        <f t="shared" si="3"/>
        <v>ASTM Table 31 - Short Tons (in AIR) to Cubic Metres at 15°C</v>
      </c>
      <c r="E65" s="5" t="s">
        <v>164</v>
      </c>
      <c r="F65" s="5" t="s">
        <v>138</v>
      </c>
      <c r="G65" s="390">
        <f>'ASTM Converter (R.Density)'!$F$14</f>
        <v>1000</v>
      </c>
      <c r="H65" s="382">
        <f t="shared" ref="H65:H66" si="7">ROUND(G65*K65,3)</f>
        <v>1039.56</v>
      </c>
      <c r="I65" s="311" t="s">
        <v>122</v>
      </c>
      <c r="J65" s="241" t="s">
        <v>138</v>
      </c>
      <c r="K65" s="302">
        <f>AW54</f>
        <v>1.03956</v>
      </c>
      <c r="L65" s="294" t="s">
        <v>25</v>
      </c>
      <c r="M65" s="319" t="s">
        <v>106</v>
      </c>
      <c r="N65" s="277"/>
    </row>
    <row r="66" spans="3:42">
      <c r="C66" s="327">
        <v>14</v>
      </c>
      <c r="D66" s="319" t="str">
        <f t="shared" si="3"/>
        <v>ASTM Table 31 - Long Tons (in AIR) to Cubic Metres at 15°C</v>
      </c>
      <c r="E66" s="5" t="s">
        <v>165</v>
      </c>
      <c r="F66" s="5" t="s">
        <v>138</v>
      </c>
      <c r="G66" s="390">
        <f>'ASTM Converter (R.Density)'!$F$14</f>
        <v>1000</v>
      </c>
      <c r="H66" s="382">
        <f t="shared" si="7"/>
        <v>1164.3399999999999</v>
      </c>
      <c r="I66" s="311" t="s">
        <v>122</v>
      </c>
      <c r="J66" s="241" t="s">
        <v>138</v>
      </c>
      <c r="K66" s="302">
        <f>AX54</f>
        <v>1.1643400000000002</v>
      </c>
      <c r="L66" s="294" t="s">
        <v>25</v>
      </c>
      <c r="M66" s="319" t="s">
        <v>108</v>
      </c>
      <c r="N66" s="277"/>
    </row>
    <row r="67" spans="3:42">
      <c r="C67" s="329"/>
      <c r="D67" s="312"/>
      <c r="E67" s="312"/>
      <c r="F67" s="312"/>
      <c r="G67" s="312"/>
      <c r="H67" s="383"/>
      <c r="I67" s="312"/>
      <c r="J67" s="304"/>
      <c r="K67" s="281"/>
      <c r="L67" s="281"/>
      <c r="M67" s="281"/>
      <c r="N67" s="282"/>
    </row>
    <row r="69" spans="3:42" ht="15.75" customHeight="1">
      <c r="C69" s="3595" t="s">
        <v>135</v>
      </c>
      <c r="D69" s="3596"/>
      <c r="E69" s="3596"/>
      <c r="F69" s="3596"/>
      <c r="G69" s="3596"/>
      <c r="H69" s="3596"/>
      <c r="I69" s="3596"/>
      <c r="J69" s="3596"/>
      <c r="K69" s="3596"/>
      <c r="L69" s="3596"/>
      <c r="M69" s="3596"/>
      <c r="N69" s="3597"/>
      <c r="P69" s="262" t="s">
        <v>100</v>
      </c>
      <c r="Q69" s="29"/>
      <c r="R69" s="29"/>
      <c r="S69" s="29"/>
      <c r="T69" s="29"/>
      <c r="U69" s="29"/>
      <c r="V69" s="29"/>
      <c r="W69" s="29"/>
      <c r="X69" s="29"/>
      <c r="Y69" s="29"/>
      <c r="Z69" s="29"/>
      <c r="AA69" s="216"/>
      <c r="AB69" s="166" t="s">
        <v>100</v>
      </c>
      <c r="AC69" s="29"/>
      <c r="AD69" s="166"/>
      <c r="AE69" s="29"/>
      <c r="AF69" s="29"/>
      <c r="AG69" s="29"/>
      <c r="AH69" s="29"/>
      <c r="AI69" s="29"/>
      <c r="AJ69" s="29"/>
      <c r="AK69" s="29"/>
      <c r="AL69" s="29"/>
      <c r="AM69" s="273"/>
      <c r="AN69" s="164"/>
      <c r="AO69" s="164"/>
      <c r="AP69" s="167"/>
    </row>
    <row r="70" spans="3:42" ht="13.15">
      <c r="C70" s="326"/>
      <c r="D70" s="17" t="s">
        <v>154</v>
      </c>
      <c r="G70" s="284"/>
      <c r="H70" s="385"/>
      <c r="I70" s="284"/>
      <c r="K70" s="6"/>
      <c r="L70" s="6"/>
      <c r="M70" s="6"/>
      <c r="N70" s="277"/>
      <c r="P70" s="253" t="s">
        <v>12</v>
      </c>
      <c r="Q70" s="254"/>
      <c r="R70" s="255"/>
      <c r="S70" s="249"/>
      <c r="T70" s="253" t="s">
        <v>7</v>
      </c>
      <c r="U70" s="254"/>
      <c r="V70" s="255"/>
      <c r="W70" s="258"/>
      <c r="X70" s="3549" t="str">
        <f>'ASTM Vol. XI-XII'!CF5</f>
        <v>ASTM Table 56</v>
      </c>
      <c r="Y70" s="3550"/>
      <c r="Z70" s="3551"/>
      <c r="AA70" s="258"/>
      <c r="AB70" s="3549" t="str">
        <f>'ASTM Vol. XI-XII'!CI5</f>
        <v>ASTM Table 56</v>
      </c>
      <c r="AC70" s="3550"/>
      <c r="AD70" s="3551"/>
      <c r="AE70" s="258"/>
      <c r="AF70" s="253" t="s">
        <v>8</v>
      </c>
      <c r="AG70" s="254"/>
      <c r="AH70" s="255"/>
      <c r="AI70" s="249"/>
      <c r="AJ70" s="253" t="s">
        <v>9</v>
      </c>
      <c r="AK70" s="254"/>
      <c r="AL70" s="255"/>
      <c r="AM70" s="249"/>
      <c r="AN70" s="253" t="s">
        <v>10</v>
      </c>
      <c r="AO70" s="254"/>
      <c r="AP70" s="255"/>
    </row>
    <row r="71" spans="3:42">
      <c r="C71" s="275"/>
      <c r="H71" s="274"/>
      <c r="J71" s="288" t="s">
        <v>131</v>
      </c>
      <c r="K71" s="726">
        <f>'ASTM Converter (Density)'!F6</f>
        <v>865</v>
      </c>
      <c r="L71" s="394" t="s">
        <v>168</v>
      </c>
      <c r="M71" s="6"/>
      <c r="N71" s="277"/>
      <c r="P71" s="229" t="s">
        <v>20</v>
      </c>
      <c r="Q71" s="230" t="s">
        <v>19</v>
      </c>
      <c r="R71" s="231" t="s">
        <v>18</v>
      </c>
      <c r="S71" s="250"/>
      <c r="T71" s="229" t="s">
        <v>20</v>
      </c>
      <c r="U71" s="230" t="s">
        <v>13</v>
      </c>
      <c r="V71" s="231" t="s">
        <v>16</v>
      </c>
      <c r="W71" s="259"/>
      <c r="X71" s="229" t="str">
        <f>'ASTM Vol. XI-XII'!CF6</f>
        <v>DENSITY</v>
      </c>
      <c r="Y71" s="3552" t="str">
        <f>'ASTM Vol. XI-XII'!CG6</f>
        <v>Factor for Converting</v>
      </c>
      <c r="Z71" s="3553"/>
      <c r="AA71" s="259"/>
      <c r="AB71" s="229" t="str">
        <f>'ASTM Vol. XI-XII'!CI6</f>
        <v>DENSITY</v>
      </c>
      <c r="AC71" s="3552" t="str">
        <f>'ASTM Vol. XI-XII'!CJ6</f>
        <v>Factor for Converting</v>
      </c>
      <c r="AD71" s="3553"/>
      <c r="AE71" s="259"/>
      <c r="AF71" s="229" t="s">
        <v>20</v>
      </c>
      <c r="AG71" s="230" t="s">
        <v>17</v>
      </c>
      <c r="AH71" s="231" t="s">
        <v>13</v>
      </c>
      <c r="AI71" s="250"/>
      <c r="AJ71" s="229" t="s">
        <v>20</v>
      </c>
      <c r="AK71" s="230" t="s">
        <v>23</v>
      </c>
      <c r="AL71" s="231" t="s">
        <v>14</v>
      </c>
      <c r="AM71" s="250"/>
      <c r="AN71" s="229" t="s">
        <v>20</v>
      </c>
      <c r="AO71" s="230" t="s">
        <v>24</v>
      </c>
      <c r="AP71" s="231" t="s">
        <v>16</v>
      </c>
    </row>
    <row r="72" spans="3:42">
      <c r="C72" s="275"/>
      <c r="D72" s="311"/>
      <c r="G72" s="311"/>
      <c r="H72" s="379"/>
      <c r="I72" s="311"/>
      <c r="J72" s="287" t="s">
        <v>131</v>
      </c>
      <c r="K72" s="335">
        <f>IF(K71&gt;2,K71,K71*1000)</f>
        <v>865</v>
      </c>
      <c r="L72" s="395" t="s">
        <v>168</v>
      </c>
      <c r="M72" s="6"/>
      <c r="N72" s="277"/>
      <c r="P72" s="180"/>
      <c r="Q72" s="181" t="s">
        <v>20</v>
      </c>
      <c r="R72" s="182" t="s">
        <v>26</v>
      </c>
      <c r="S72" s="185"/>
      <c r="T72" s="180" t="s">
        <v>27</v>
      </c>
      <c r="U72" s="181" t="s">
        <v>25</v>
      </c>
      <c r="V72" s="182" t="s">
        <v>25</v>
      </c>
      <c r="W72" s="260"/>
      <c r="X72" s="180" t="str">
        <f>'ASTM Vol. XI-XII'!CF7</f>
        <v>(kg/L)</v>
      </c>
      <c r="Y72" s="3538" t="str">
        <f>'ASTM Vol. XI-XII'!CG7</f>
        <v>Weight in Vacuo</v>
      </c>
      <c r="Z72" s="3539"/>
      <c r="AA72" s="260"/>
      <c r="AB72" s="180" t="str">
        <f>'ASTM Vol. XI-XII'!CI7</f>
        <v>(kg/L)</v>
      </c>
      <c r="AC72" s="3554" t="str">
        <f>'ASTM Vol. XI-XII'!CJ7</f>
        <v>Weight in Air</v>
      </c>
      <c r="AD72" s="3555"/>
      <c r="AE72" s="260"/>
      <c r="AF72" s="180" t="s">
        <v>27</v>
      </c>
      <c r="AG72" s="181" t="s">
        <v>25</v>
      </c>
      <c r="AH72" s="182" t="s">
        <v>25</v>
      </c>
      <c r="AI72" s="185"/>
      <c r="AJ72" s="180"/>
      <c r="AK72" s="181" t="s">
        <v>25</v>
      </c>
      <c r="AL72" s="182" t="s">
        <v>25</v>
      </c>
      <c r="AM72" s="185"/>
      <c r="AN72" s="180" t="s">
        <v>27</v>
      </c>
      <c r="AO72" s="181" t="s">
        <v>25</v>
      </c>
      <c r="AP72" s="182" t="s">
        <v>25</v>
      </c>
    </row>
    <row r="73" spans="3:42">
      <c r="C73" s="275"/>
      <c r="D73" s="311"/>
      <c r="G73" s="311"/>
      <c r="H73" s="379"/>
      <c r="I73" s="311"/>
      <c r="J73" s="287" t="s">
        <v>131</v>
      </c>
      <c r="K73" s="725">
        <f>IF(K71&lt;2,K71,K71/1000)</f>
        <v>0.86499999999999999</v>
      </c>
      <c r="L73" s="395" t="s">
        <v>168</v>
      </c>
      <c r="M73" s="6"/>
      <c r="N73" s="277"/>
      <c r="P73" s="233"/>
      <c r="Q73" s="234"/>
      <c r="R73" s="235"/>
      <c r="S73" s="250"/>
      <c r="T73" s="233" t="s">
        <v>27</v>
      </c>
      <c r="U73" s="234" t="s">
        <v>28</v>
      </c>
      <c r="V73" s="235" t="s">
        <v>22</v>
      </c>
      <c r="W73" s="259"/>
      <c r="X73" s="233"/>
      <c r="Y73" s="3536" t="str">
        <f>'ASTM Vol. XI-XII'!CG8</f>
        <v>to Weight in Air</v>
      </c>
      <c r="Z73" s="3537"/>
      <c r="AA73" s="259"/>
      <c r="AB73" s="233"/>
      <c r="AC73" s="3538" t="str">
        <f>'ASTM Vol. XI-XII'!CJ8</f>
        <v>to Weight in Vacuo</v>
      </c>
      <c r="AD73" s="3539"/>
      <c r="AE73" s="259"/>
      <c r="AF73" s="233" t="s">
        <v>27</v>
      </c>
      <c r="AG73" s="234" t="s">
        <v>22</v>
      </c>
      <c r="AH73" s="235" t="s">
        <v>29</v>
      </c>
      <c r="AI73" s="250"/>
      <c r="AJ73" s="233"/>
      <c r="AK73" s="234" t="s">
        <v>22</v>
      </c>
      <c r="AL73" s="235" t="s">
        <v>22</v>
      </c>
      <c r="AM73" s="250"/>
      <c r="AN73" s="233" t="s">
        <v>27</v>
      </c>
      <c r="AO73" s="234" t="s">
        <v>29</v>
      </c>
      <c r="AP73" s="235" t="s">
        <v>29</v>
      </c>
    </row>
    <row r="74" spans="3:42">
      <c r="C74" s="275"/>
      <c r="D74" s="311"/>
      <c r="G74" s="311"/>
      <c r="H74" s="379"/>
      <c r="I74" s="311" t="s">
        <v>12</v>
      </c>
      <c r="J74" s="287" t="s">
        <v>132</v>
      </c>
      <c r="K74" s="289">
        <f>Q76</f>
        <v>0.86550000000000005</v>
      </c>
      <c r="L74" s="392" t="s">
        <v>167</v>
      </c>
      <c r="M74" s="6"/>
      <c r="N74" s="277"/>
      <c r="P74" s="23" t="s">
        <v>34</v>
      </c>
      <c r="Q74" s="183" t="s">
        <v>35</v>
      </c>
      <c r="R74" s="184" t="s">
        <v>32</v>
      </c>
      <c r="S74" s="185"/>
      <c r="T74" s="23" t="s">
        <v>34</v>
      </c>
      <c r="U74" s="183"/>
      <c r="V74" s="184"/>
      <c r="W74" s="260"/>
      <c r="X74" s="263" t="str">
        <f>'ASTM Vol. XI-XII'!CF9</f>
        <v>( 15°C )</v>
      </c>
      <c r="Y74" s="3540"/>
      <c r="Z74" s="3541"/>
      <c r="AA74" s="260"/>
      <c r="AB74" s="23" t="str">
        <f>'ASTM Vol. XI-XII'!CI9</f>
        <v>( 15°C )</v>
      </c>
      <c r="AC74" s="3584"/>
      <c r="AD74" s="3585"/>
      <c r="AE74" s="260"/>
      <c r="AF74" s="23" t="s">
        <v>34</v>
      </c>
      <c r="AG74" s="183" t="s">
        <v>34</v>
      </c>
      <c r="AH74" s="184" t="s">
        <v>34</v>
      </c>
      <c r="AI74" s="185"/>
      <c r="AJ74" s="23" t="s">
        <v>34</v>
      </c>
      <c r="AK74" s="183" t="s">
        <v>34</v>
      </c>
      <c r="AL74" s="184" t="s">
        <v>34</v>
      </c>
      <c r="AM74" s="185"/>
      <c r="AN74" s="23" t="s">
        <v>34</v>
      </c>
      <c r="AO74" s="183" t="s">
        <v>34</v>
      </c>
      <c r="AP74" s="184" t="s">
        <v>34</v>
      </c>
    </row>
    <row r="75" spans="3:42">
      <c r="C75" s="275"/>
      <c r="D75" s="311"/>
      <c r="G75" s="311"/>
      <c r="H75" s="379"/>
      <c r="I75" s="311" t="s">
        <v>12</v>
      </c>
      <c r="J75" s="285" t="s">
        <v>136</v>
      </c>
      <c r="K75" s="308">
        <f>R76</f>
        <v>32</v>
      </c>
      <c r="L75" s="289" t="s">
        <v>166</v>
      </c>
      <c r="M75" s="6"/>
      <c r="N75" s="277"/>
      <c r="P75" s="347">
        <f>VLOOKUP(P76,'ASTM Vol. XI-XII'!BX$10:BX$860,TRUE)</f>
        <v>865</v>
      </c>
      <c r="Q75" s="270">
        <f>VLOOKUP(P75,'ASTM Vol. XI-XII'!BX$10:BY$860,2)</f>
        <v>0.86550000000000005</v>
      </c>
      <c r="R75" s="349">
        <f>VLOOKUP(P75,'ASTM Vol. XI-XII'!BX$10:BZ$860,3)</f>
        <v>32</v>
      </c>
      <c r="S75" s="350"/>
      <c r="T75" s="347">
        <f>VLOOKUP(T76,'ASTM Vol. XI-XII'!CB$10:CB$860,TRUE)</f>
        <v>865</v>
      </c>
      <c r="U75" s="268">
        <f>VLOOKUP(T75,'ASTM Vol. XI-XII'!CB$10:CC$860,2)</f>
        <v>0.15892000000000001</v>
      </c>
      <c r="V75" s="351">
        <f>VLOOKUP(T75,'ASTM Vol. XI-XII'!CB$10:CD$860,3)</f>
        <v>6.2930000000000001</v>
      </c>
      <c r="W75" s="352"/>
      <c r="X75" s="347">
        <f>VLOOKUP(X76,'ASTM Vol. XI-XII'!CF10:CF37,TRUE)</f>
        <v>1.1000000000000001</v>
      </c>
      <c r="Y75" s="3583">
        <f>VLOOKUP(X75,'ASTM Vol. XI-XII'!CF$10:CG$860,2)</f>
        <v>0.99904999999999999</v>
      </c>
      <c r="Z75" s="3583"/>
      <c r="AA75" s="352"/>
      <c r="AB75" s="347">
        <f>VLOOKUP(AB76,'ASTM Vol. XI-XII'!CI$10:CI$860,TRUE)</f>
        <v>1.1000000000000001</v>
      </c>
      <c r="AC75" s="3583">
        <f>VLOOKUP(AB75,'ASTM Vol. XI-XII'!CI$10:CJ$860,2)</f>
        <v>1.00095</v>
      </c>
      <c r="AD75" s="3583"/>
      <c r="AE75" s="352"/>
      <c r="AF75" s="347">
        <f>VLOOKUP(AF76,'ASTM Vol. XI-XII'!CL$10:CL$860,TRUE)</f>
        <v>865</v>
      </c>
      <c r="AG75" s="344">
        <f>VLOOKUP(AF75,'ASTM Vol. XI-XII'!CL$10:CM$860,2)</f>
        <v>863.9</v>
      </c>
      <c r="AH75" s="270">
        <f>VLOOKUP(AF75,'ASTM Vol. XI-XII'!CL$10:CN$860,3)</f>
        <v>1.1575</v>
      </c>
      <c r="AI75" s="350"/>
      <c r="AJ75" s="347">
        <f>VLOOKUP(AJ76,'ASTM Vol. XI-XII'!CP$10:CP$860,TRUE)</f>
        <v>865</v>
      </c>
      <c r="AK75" s="270">
        <f>VLOOKUP(AJ75,'ASTM Vol. XI-XII'!CP$10:CQ$860,2)</f>
        <v>0.95230000000000004</v>
      </c>
      <c r="AL75" s="270">
        <f>VLOOKUP(AJ75,'ASTM Vol. XI-XII'!CP$10:CR$860,3)</f>
        <v>0.85029999999999994</v>
      </c>
      <c r="AM75" s="350"/>
      <c r="AN75" s="347">
        <f>VLOOKUP(AN76,'ASTM Vol. XI-XII'!CT$10:CT$860,TRUE)</f>
        <v>865</v>
      </c>
      <c r="AO75" s="349">
        <f>VLOOKUP(AN75,'ASTM Vol. XI-XII'!CT$10:CU$860,2)</f>
        <v>305.92</v>
      </c>
      <c r="AP75" s="351">
        <f>VLOOKUP(AN75,'ASTM Vol. XI-XII'!CT$10:CV$860,3)</f>
        <v>7.2839999999999998</v>
      </c>
    </row>
    <row r="76" spans="3:42" ht="13.15">
      <c r="C76" s="328"/>
      <c r="D76" s="317" t="s">
        <v>145</v>
      </c>
      <c r="E76" s="388" t="s">
        <v>160</v>
      </c>
      <c r="F76" s="388" t="s">
        <v>161</v>
      </c>
      <c r="G76" s="317" t="s">
        <v>160</v>
      </c>
      <c r="H76" s="380" t="s">
        <v>161</v>
      </c>
      <c r="I76" s="317"/>
      <c r="J76" s="324"/>
      <c r="K76" s="325"/>
      <c r="L76" s="325"/>
      <c r="M76" s="322"/>
      <c r="N76" s="323"/>
      <c r="P76" s="353">
        <f>$K$72</f>
        <v>865</v>
      </c>
      <c r="Q76" s="271">
        <f>Q75+((P76-P75)/(P77-P75))*(Q77-Q75)</f>
        <v>0.86550000000000005</v>
      </c>
      <c r="R76" s="354">
        <f>R75+((P76-P75)/(P77-P75))*(R77-R75)</f>
        <v>32</v>
      </c>
      <c r="S76" s="350"/>
      <c r="T76" s="353">
        <f>$K$72</f>
        <v>865</v>
      </c>
      <c r="U76" s="269">
        <f>U75+((T76-T75)/(T77-T75))*(U77-U75)</f>
        <v>0.15892000000000001</v>
      </c>
      <c r="V76" s="355">
        <f>V75+((T76-T75)/(T77-T75))*(V77-V75)</f>
        <v>6.2930000000000001</v>
      </c>
      <c r="W76" s="352"/>
      <c r="X76" s="348">
        <f>$K$71</f>
        <v>865</v>
      </c>
      <c r="Y76" s="3582" t="e">
        <f>Y75+((X76-X75)/(X77-X75))*(Y77-Y75)</f>
        <v>#N/A</v>
      </c>
      <c r="Z76" s="3582"/>
      <c r="AA76" s="352"/>
      <c r="AB76" s="348">
        <f>$K$71</f>
        <v>865</v>
      </c>
      <c r="AC76" s="3582" t="e">
        <f>AC75+((AB76-AB75)/(AB77-AB75))*(AC77-AC75)</f>
        <v>#N/A</v>
      </c>
      <c r="AD76" s="3582"/>
      <c r="AE76" s="352"/>
      <c r="AF76" s="353">
        <f>$K$72</f>
        <v>865</v>
      </c>
      <c r="AG76" s="343">
        <f>AG75+((AF76-AF75)/(AF77-AF75))*(AG77-AG75)</f>
        <v>863.9</v>
      </c>
      <c r="AH76" s="271">
        <f>AH75+((AF76-AF75)/(AF77-AF75))*(AH77-AH75)</f>
        <v>1.1575</v>
      </c>
      <c r="AI76" s="350"/>
      <c r="AJ76" s="353">
        <f>$K$72</f>
        <v>865</v>
      </c>
      <c r="AK76" s="271">
        <f>AK75+((AJ76-AJ75)/(AJ77-AJ75))*(AK77-AK75)</f>
        <v>0.95230000000000004</v>
      </c>
      <c r="AL76" s="271">
        <f>AL75+((AJ76-AJ75)/(AJ77-AJ75))*(AL77-AL75)</f>
        <v>0.85029999999999994</v>
      </c>
      <c r="AM76" s="350"/>
      <c r="AN76" s="353">
        <f>$K$72</f>
        <v>865</v>
      </c>
      <c r="AO76" s="354">
        <f>AO75+((AN76-AN75)/(AN77-AN75))*(AO77-AO75)</f>
        <v>305.92</v>
      </c>
      <c r="AP76" s="355">
        <f>AP75+((AN76-AN75)/(AN77-AN75))*(AP77-AP75)</f>
        <v>7.2839999999999998</v>
      </c>
    </row>
    <row r="77" spans="3:42">
      <c r="C77" s="327">
        <v>1</v>
      </c>
      <c r="D77" s="319" t="str">
        <f>CONCATENATE(I77," - ",E77," to ",F77)</f>
        <v>ASTM Table 52 - US Barrels at 60°F to Cubic Metres at 15°C</v>
      </c>
      <c r="E77" s="319" t="s">
        <v>140</v>
      </c>
      <c r="F77" s="5" t="s">
        <v>138</v>
      </c>
      <c r="G77" s="390">
        <f>'ASTM Converter (Density)'!$F$14</f>
        <v>36590</v>
      </c>
      <c r="H77" s="382">
        <f>ROUND(G77*K77,3)</f>
        <v>5814.8829999999998</v>
      </c>
      <c r="I77" s="311" t="s">
        <v>7</v>
      </c>
      <c r="J77" s="241" t="s">
        <v>138</v>
      </c>
      <c r="K77" s="299">
        <f>U76</f>
        <v>0.15892000000000001</v>
      </c>
      <c r="L77" s="293" t="s">
        <v>25</v>
      </c>
      <c r="M77" s="319" t="s">
        <v>143</v>
      </c>
      <c r="N77" s="277"/>
      <c r="P77" s="347">
        <f>INDEX('ASTM Vol. XI-XII'!BX$10:BX$860,(MATCH(P75,'ASTM Vol. XI-XII'!BX$10:BX$860,1)+1))</f>
        <v>866</v>
      </c>
      <c r="Q77" s="270">
        <f>VLOOKUP(P77,'ASTM Vol. XI-XII'!BX$10:BY$860,2)</f>
        <v>0.86650000000000005</v>
      </c>
      <c r="R77" s="349">
        <f>VLOOKUP(P77,'ASTM Vol. XI-XII'!BX$10:BZ$860,3)</f>
        <v>31.81</v>
      </c>
      <c r="S77" s="356"/>
      <c r="T77" s="347">
        <f>INDEX('ASTM Vol. XI-XII'!CB$10:CB$860,(MATCH(T75,'ASTM Vol. XI-XII'!CB$10:CB$860,1)+1))</f>
        <v>866</v>
      </c>
      <c r="U77" s="268">
        <f>VLOOKUP(T77,'ASTM Vol. XI-XII'!CB$10:CC$860,2)</f>
        <v>0.15892000000000001</v>
      </c>
      <c r="V77" s="351">
        <f>VLOOKUP(T77,'ASTM Vol. XI-XII'!CB$10:CD$860,3)</f>
        <v>6.2930000000000001</v>
      </c>
      <c r="W77" s="357"/>
      <c r="X77" s="347">
        <f>INDEX('ASTM Vol. XI-XII'!CF$10:CF$860,(MATCH(X75,'ASTM Vol. XI-XII'!CF$10:CF$860,1)+1))</f>
        <v>0</v>
      </c>
      <c r="Y77" s="3583" t="e">
        <f>VLOOKUP(X77,'ASTM Vol. XI-XII'!CF$10:CG$37,2)</f>
        <v>#N/A</v>
      </c>
      <c r="Z77" s="3583"/>
      <c r="AA77" s="357"/>
      <c r="AB77" s="347">
        <f>INDEX('ASTM Vol. XI-XII'!CI$10:CI$860,(MATCH(AB75,'ASTM Vol. XI-XII'!CI$10:CI$860,1)+1))</f>
        <v>0</v>
      </c>
      <c r="AC77" s="3583" t="e">
        <f>VLOOKUP(AB77,'ASTM Vol. XI-XII'!CI$10:CJ$860,2)</f>
        <v>#N/A</v>
      </c>
      <c r="AD77" s="3583"/>
      <c r="AE77" s="357"/>
      <c r="AF77" s="347">
        <f>INDEX('ASTM Vol. XI-XII'!CL$10:CL$860,(MATCH(AF75,'ASTM Vol. XI-XII'!CL$10:CL$860,1)+1))</f>
        <v>866</v>
      </c>
      <c r="AG77" s="344">
        <f>VLOOKUP(AF77,'ASTM Vol. XI-XII'!CL$10:CM$860,2)</f>
        <v>864.9</v>
      </c>
      <c r="AH77" s="270">
        <f>VLOOKUP(AF77,'ASTM Vol. XI-XII'!CL$10:CN$860,3)</f>
        <v>1.1561999999999999</v>
      </c>
      <c r="AI77" s="356"/>
      <c r="AJ77" s="347">
        <f>INDEX('ASTM Vol. XI-XII'!CP$10:CP$860,(MATCH(AJ75,'ASTM Vol. XI-XII'!CP$10:CP$860,1)+1))</f>
        <v>866</v>
      </c>
      <c r="AK77" s="270">
        <f>VLOOKUP(AJ77,'ASTM Vol. XI-XII'!CP$10:CQ$860,2)</f>
        <v>0.95340000000000003</v>
      </c>
      <c r="AL77" s="270">
        <f>VLOOKUP(AJ77,'ASTM Vol. XI-XII'!CP$10:CR$860,3)</f>
        <v>0.85129999999999995</v>
      </c>
      <c r="AM77" s="356"/>
      <c r="AN77" s="347">
        <f>INDEX('ASTM Vol. XI-XII'!CT$10:CT$860,(MATCH(AN75,'ASTM Vol. XI-XII'!CT$10:CT$860,1)+1))</f>
        <v>866</v>
      </c>
      <c r="AO77" s="349">
        <f>VLOOKUP(AN77,'ASTM Vol. XI-XII'!CT$10:CU$860,2)</f>
        <v>305.57</v>
      </c>
      <c r="AP77" s="351">
        <f>VLOOKUP(AN77,'ASTM Vol. XI-XII'!CT$10:CV$860,3)</f>
        <v>7.2750000000000004</v>
      </c>
    </row>
    <row r="78" spans="3:42">
      <c r="C78" s="327">
        <v>2</v>
      </c>
      <c r="D78" s="319" t="str">
        <f t="shared" ref="D78:D86" si="8">CONCATENATE(I78," - ",E78," to ",F78)</f>
        <v>ASTM Table 52 - Cubic Metres at 15°C to US Barrels at 60°F</v>
      </c>
      <c r="E78" s="319" t="s">
        <v>138</v>
      </c>
      <c r="F78" s="5" t="s">
        <v>140</v>
      </c>
      <c r="G78" s="390">
        <f>'ASTM Converter (Density)'!$F$14</f>
        <v>36590</v>
      </c>
      <c r="H78" s="381">
        <f t="shared" ref="H78" si="9">ROUND(G78*K78,0)</f>
        <v>230261</v>
      </c>
      <c r="I78" s="311" t="s">
        <v>7</v>
      </c>
      <c r="J78" s="292" t="s">
        <v>140</v>
      </c>
      <c r="K78" s="306">
        <f>V76</f>
        <v>6.2930000000000001</v>
      </c>
      <c r="L78" s="294" t="s">
        <v>25</v>
      </c>
      <c r="M78" s="342" t="s">
        <v>146</v>
      </c>
      <c r="N78" s="277"/>
    </row>
    <row r="79" spans="3:42">
      <c r="C79" s="327">
        <v>3</v>
      </c>
      <c r="D79" s="319" t="str">
        <f t="shared" si="8"/>
        <v>ASTM Table 56 - Weight in Vacuo to Weight in Air</v>
      </c>
      <c r="E79" s="387" t="s">
        <v>159</v>
      </c>
      <c r="F79" s="5" t="s">
        <v>126</v>
      </c>
      <c r="G79" s="390">
        <f>'ASTM Converter (Density)'!$F$14</f>
        <v>36590</v>
      </c>
      <c r="H79" s="382" t="e">
        <f t="shared" ref="H79:H84" si="10">ROUND(G79*K79,3)</f>
        <v>#N/A</v>
      </c>
      <c r="I79" s="311" t="s">
        <v>8</v>
      </c>
      <c r="J79" s="309" t="s">
        <v>159</v>
      </c>
      <c r="K79" s="299" t="e">
        <f>Y76</f>
        <v>#N/A</v>
      </c>
      <c r="L79" s="6"/>
      <c r="M79" s="6" t="s">
        <v>127</v>
      </c>
      <c r="N79" s="277"/>
    </row>
    <row r="80" spans="3:42">
      <c r="C80" s="327">
        <v>4</v>
      </c>
      <c r="D80" s="319" t="str">
        <f t="shared" si="8"/>
        <v>ASTM Table 56 - Weight in Air to Weight in Vacuo</v>
      </c>
      <c r="E80" s="319" t="s">
        <v>126</v>
      </c>
      <c r="F80" s="386" t="s">
        <v>159</v>
      </c>
      <c r="G80" s="390">
        <f>'ASTM Converter (Density)'!$F$14</f>
        <v>36590</v>
      </c>
      <c r="H80" s="382" t="e">
        <f t="shared" si="10"/>
        <v>#N/A</v>
      </c>
      <c r="I80" s="311" t="s">
        <v>8</v>
      </c>
      <c r="J80" s="287" t="s">
        <v>126</v>
      </c>
      <c r="K80" s="299" t="e">
        <f>AC76</f>
        <v>#N/A</v>
      </c>
      <c r="L80" s="6"/>
      <c r="M80" s="389" t="s">
        <v>141</v>
      </c>
      <c r="N80" s="277"/>
    </row>
    <row r="81" spans="3:14">
      <c r="C81" s="327">
        <v>5</v>
      </c>
      <c r="D81" s="319" t="str">
        <f t="shared" si="8"/>
        <v>ASTM Table 56 - Cubic Metres at 15°C to Kilograms (in AIR)</v>
      </c>
      <c r="E81" s="319" t="s">
        <v>138</v>
      </c>
      <c r="F81" s="5" t="s">
        <v>162</v>
      </c>
      <c r="G81" s="390">
        <f>'ASTM Converter (Density)'!$F$14</f>
        <v>36590</v>
      </c>
      <c r="H81" s="381">
        <f t="shared" ref="H81" si="11">ROUND(G81*K81,0)</f>
        <v>31610101</v>
      </c>
      <c r="I81" s="311" t="s">
        <v>8</v>
      </c>
      <c r="J81" s="287" t="s">
        <v>17</v>
      </c>
      <c r="K81" s="307">
        <f>AG76</f>
        <v>863.9</v>
      </c>
      <c r="L81" s="294" t="s">
        <v>25</v>
      </c>
      <c r="M81" s="342" t="s">
        <v>146</v>
      </c>
      <c r="N81" s="277"/>
    </row>
    <row r="82" spans="3:14">
      <c r="C82" s="327">
        <v>6</v>
      </c>
      <c r="D82" s="319" t="str">
        <f t="shared" si="8"/>
        <v>ASTM Table 56 - Metric Tons (in AIR) to Cubic Metres at 15°C</v>
      </c>
      <c r="E82" s="319" t="s">
        <v>163</v>
      </c>
      <c r="F82" s="5" t="s">
        <v>138</v>
      </c>
      <c r="G82" s="390">
        <f>'ASTM Converter (Density)'!$F$14</f>
        <v>36590</v>
      </c>
      <c r="H82" s="382">
        <f t="shared" si="10"/>
        <v>42352.925000000003</v>
      </c>
      <c r="I82" s="311" t="s">
        <v>8</v>
      </c>
      <c r="J82" s="241" t="s">
        <v>138</v>
      </c>
      <c r="K82" s="289">
        <f>AH76</f>
        <v>1.1575</v>
      </c>
      <c r="L82" s="294" t="s">
        <v>25</v>
      </c>
      <c r="M82" s="6" t="s">
        <v>29</v>
      </c>
      <c r="N82" s="277"/>
    </row>
    <row r="83" spans="3:14">
      <c r="C83" s="327">
        <v>7</v>
      </c>
      <c r="D83" s="319" t="str">
        <f t="shared" si="8"/>
        <v>ASTM Table 57 - Cubic Metres at 15°C to Short Tons (in AIR)</v>
      </c>
      <c r="E83" s="319" t="s">
        <v>138</v>
      </c>
      <c r="F83" s="5" t="s">
        <v>164</v>
      </c>
      <c r="G83" s="390">
        <f>'ASTM Converter (Density)'!$F$14</f>
        <v>36590</v>
      </c>
      <c r="H83" s="382">
        <f t="shared" si="10"/>
        <v>34844.656999999999</v>
      </c>
      <c r="I83" s="311" t="s">
        <v>9</v>
      </c>
      <c r="J83" s="292" t="s">
        <v>23</v>
      </c>
      <c r="K83" s="289">
        <f>AK76</f>
        <v>0.95230000000000004</v>
      </c>
      <c r="L83" s="294" t="s">
        <v>25</v>
      </c>
      <c r="M83" s="342" t="s">
        <v>146</v>
      </c>
      <c r="N83" s="277"/>
    </row>
    <row r="84" spans="3:14">
      <c r="C84" s="327">
        <v>8</v>
      </c>
      <c r="D84" s="319" t="str">
        <f t="shared" si="8"/>
        <v>ASTM Table 57 - Cubic Metres at 15°C to Long Tons (in AIR)</v>
      </c>
      <c r="E84" s="319" t="s">
        <v>138</v>
      </c>
      <c r="F84" s="5" t="s">
        <v>165</v>
      </c>
      <c r="G84" s="390">
        <f>'ASTM Converter (Density)'!$F$14</f>
        <v>36590</v>
      </c>
      <c r="H84" s="382">
        <f t="shared" si="10"/>
        <v>31112.476999999999</v>
      </c>
      <c r="I84" s="311" t="s">
        <v>9</v>
      </c>
      <c r="J84" s="292" t="s">
        <v>14</v>
      </c>
      <c r="K84" s="289">
        <f>AL76</f>
        <v>0.85029999999999994</v>
      </c>
      <c r="L84" s="294" t="s">
        <v>25</v>
      </c>
      <c r="M84" s="342" t="s">
        <v>146</v>
      </c>
      <c r="N84" s="277"/>
    </row>
    <row r="85" spans="3:14">
      <c r="C85" s="327">
        <v>9</v>
      </c>
      <c r="D85" s="319" t="str">
        <f t="shared" si="8"/>
        <v>ASTM Table 58 - Metric Tons (in AIR) to US Gallons at 60°F</v>
      </c>
      <c r="E85" s="319" t="s">
        <v>163</v>
      </c>
      <c r="F85" s="5" t="s">
        <v>139</v>
      </c>
      <c r="G85" s="390">
        <f>'ASTM Converter (Density)'!$F$14</f>
        <v>36590</v>
      </c>
      <c r="H85" s="381">
        <f t="shared" ref="H85:H86" si="12">ROUND(G85*K85,0)</f>
        <v>11193613</v>
      </c>
      <c r="I85" s="311" t="s">
        <v>10</v>
      </c>
      <c r="J85" s="292" t="s">
        <v>139</v>
      </c>
      <c r="K85" s="308">
        <f>AO76</f>
        <v>305.92</v>
      </c>
      <c r="L85" s="294" t="s">
        <v>25</v>
      </c>
      <c r="M85" s="6" t="s">
        <v>29</v>
      </c>
      <c r="N85" s="277"/>
    </row>
    <row r="86" spans="3:14">
      <c r="C86" s="327">
        <v>10</v>
      </c>
      <c r="D86" s="319" t="str">
        <f t="shared" si="8"/>
        <v>ASTM Table 58 - Metric Tons (in AIR) to US Barrels at 60°F</v>
      </c>
      <c r="E86" s="319" t="s">
        <v>163</v>
      </c>
      <c r="F86" s="5" t="s">
        <v>140</v>
      </c>
      <c r="G86" s="390">
        <f>'ASTM Converter (Density)'!$F$14</f>
        <v>36590</v>
      </c>
      <c r="H86" s="381">
        <f t="shared" si="12"/>
        <v>266522</v>
      </c>
      <c r="I86" s="311" t="s">
        <v>10</v>
      </c>
      <c r="J86" s="292" t="s">
        <v>140</v>
      </c>
      <c r="K86" s="306">
        <f>AP76</f>
        <v>7.2839999999999998</v>
      </c>
      <c r="L86" s="294" t="s">
        <v>25</v>
      </c>
      <c r="M86" s="6" t="s">
        <v>29</v>
      </c>
      <c r="N86" s="277"/>
    </row>
    <row r="87" spans="3:14">
      <c r="C87" s="276"/>
      <c r="D87" s="312"/>
      <c r="E87" s="312"/>
      <c r="F87" s="312"/>
      <c r="G87" s="312"/>
      <c r="H87" s="383"/>
      <c r="I87" s="312"/>
      <c r="J87" s="304"/>
      <c r="K87" s="281"/>
      <c r="L87" s="281"/>
      <c r="M87" s="304"/>
      <c r="N87" s="282"/>
    </row>
  </sheetData>
  <mergeCells count="44">
    <mergeCell ref="C69:N69"/>
    <mergeCell ref="C23:N23"/>
    <mergeCell ref="C47:N47"/>
    <mergeCell ref="C2:C3"/>
    <mergeCell ref="E2:N3"/>
    <mergeCell ref="C5:N5"/>
    <mergeCell ref="U54:V54"/>
    <mergeCell ref="U55:V55"/>
    <mergeCell ref="Y75:Z75"/>
    <mergeCell ref="Y74:Z74"/>
    <mergeCell ref="Y71:Z71"/>
    <mergeCell ref="Y72:Z72"/>
    <mergeCell ref="AC75:AD75"/>
    <mergeCell ref="CW2:DF3"/>
    <mergeCell ref="DG2:DP3"/>
    <mergeCell ref="Y54:Z54"/>
    <mergeCell ref="Y55:Z55"/>
    <mergeCell ref="X70:Z70"/>
    <mergeCell ref="Y49:Z49"/>
    <mergeCell ref="Y50:Z50"/>
    <mergeCell ref="Y51:Z51"/>
    <mergeCell ref="Y52:Z52"/>
    <mergeCell ref="Y53:Z53"/>
    <mergeCell ref="CI2:CP3"/>
    <mergeCell ref="AN2:AX3"/>
    <mergeCell ref="P2:Z3"/>
    <mergeCell ref="AB2:AL3"/>
    <mergeCell ref="U53:V53"/>
    <mergeCell ref="AC76:AD76"/>
    <mergeCell ref="AC77:AD77"/>
    <mergeCell ref="T48:V48"/>
    <mergeCell ref="U49:V49"/>
    <mergeCell ref="U50:V50"/>
    <mergeCell ref="U51:V51"/>
    <mergeCell ref="U52:V52"/>
    <mergeCell ref="AB70:AD70"/>
    <mergeCell ref="AC71:AD71"/>
    <mergeCell ref="AC72:AD72"/>
    <mergeCell ref="AC73:AD73"/>
    <mergeCell ref="AC74:AD74"/>
    <mergeCell ref="Y76:Z76"/>
    <mergeCell ref="Y77:Z77"/>
    <mergeCell ref="X48:Z48"/>
    <mergeCell ref="Y73:Z73"/>
  </mergeCells>
  <hyperlinks>
    <hyperlink ref="D2" location="'Documents Manager'!A1" display="Documents Manager" xr:uid="{00000000-0004-0000-1300-000000000000}"/>
    <hyperlink ref="D24" location="'ASTM Converter (API)'!A1" display="ASTM Converter (API)" xr:uid="{00000000-0004-0000-1300-000001000000}"/>
    <hyperlink ref="D48" location="'ASTM Converter (R.Density)'!A1" display="ASTM Converter (R.Density)" xr:uid="{00000000-0004-0000-1300-000002000000}"/>
    <hyperlink ref="D70" location="'ASTM Converter (Density)'!A1" display="ASTM Converter (Density)" xr:uid="{00000000-0004-0000-1300-000003000000}"/>
    <hyperlink ref="C2:C3" location="Home!A1" display="HOME" xr:uid="{00000000-0004-0000-1300-000004000000}"/>
    <hyperlink ref="D6" location="'ASTM Converter API-RD-SG-Dens.'!A1" display="ASTM Converter - API-RD-SG-DENSITY" xr:uid="{D81AF40B-FAB5-408B-88CF-4C430FE6A75C}"/>
  </hyperlinks>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8"/>
  <dimension ref="A1:ES219"/>
  <sheetViews>
    <sheetView showGridLines="0" zoomScaleNormal="100" workbookViewId="0">
      <selection activeCell="C3" sqref="C3:D3"/>
    </sheetView>
  </sheetViews>
  <sheetFormatPr defaultColWidth="8.86328125" defaultRowHeight="12.75"/>
  <cols>
    <col min="1" max="1" width="2.6640625" style="5" customWidth="1"/>
    <col min="2" max="2" width="8.86328125" style="5" customWidth="1"/>
    <col min="3" max="3" width="10.46484375" style="5" customWidth="1"/>
    <col min="4" max="4" width="41.33203125" style="5" customWidth="1"/>
    <col min="5" max="5" width="15.86328125" style="5" bestFit="1" customWidth="1"/>
    <col min="6" max="6" width="11.53125" style="5" bestFit="1" customWidth="1"/>
    <col min="7" max="7" width="7.796875" style="5" customWidth="1"/>
    <col min="8" max="8" width="6.86328125" style="5" customWidth="1"/>
    <col min="9" max="9" width="2.6640625" style="5" customWidth="1"/>
    <col min="10" max="10" width="8.86328125" style="5" bestFit="1" customWidth="1"/>
    <col min="11" max="11" width="56.33203125" style="5" bestFit="1" customWidth="1"/>
    <col min="12" max="12" width="22.6640625" style="5" customWidth="1"/>
    <col min="13" max="13" width="20.33203125" style="5" bestFit="1" customWidth="1"/>
    <col min="14" max="20" width="17.46484375" style="5" customWidth="1"/>
    <col min="21" max="21" width="5" style="5" customWidth="1"/>
    <col min="22" max="22" width="22" style="5" bestFit="1" customWidth="1"/>
    <col min="23" max="24" width="2.6640625" style="5" customWidth="1"/>
    <col min="25" max="25" width="11.6640625" style="5" bestFit="1" customWidth="1"/>
    <col min="26" max="26" width="9.33203125" style="5" bestFit="1" customWidth="1"/>
    <col min="27" max="27" width="12.33203125" style="5" bestFit="1" customWidth="1"/>
    <col min="28" max="28" width="7.46484375" style="5" customWidth="1"/>
    <col min="29" max="29" width="12" style="5" bestFit="1" customWidth="1"/>
    <col min="30" max="30" width="14.46484375" style="5" bestFit="1" customWidth="1"/>
    <col min="31" max="31" width="16" style="5" bestFit="1" customWidth="1"/>
    <col min="32" max="33" width="15.6640625" style="5" bestFit="1" customWidth="1"/>
    <col min="34" max="34" width="13.33203125" style="5" bestFit="1" customWidth="1"/>
    <col min="35" max="35" width="12" style="5" bestFit="1" customWidth="1"/>
    <col min="36" max="36" width="8.1328125" style="5" customWidth="1"/>
    <col min="37" max="38" width="11.33203125" style="5" bestFit="1" customWidth="1"/>
    <col min="39" max="39" width="12.6640625" style="5" bestFit="1" customWidth="1"/>
    <col min="40" max="40" width="18.1328125" style="5" bestFit="1" customWidth="1"/>
    <col min="41" max="41" width="12" style="5" bestFit="1" customWidth="1"/>
    <col min="42" max="42" width="9.46484375" style="5" customWidth="1"/>
    <col min="43" max="43" width="2.6640625" style="5" customWidth="1"/>
    <col min="44" max="46" width="8.86328125" style="5"/>
    <col min="47" max="47" width="2.6640625" style="5" customWidth="1"/>
    <col min="48" max="48" width="8.86328125" style="5"/>
    <col min="49" max="49" width="10" style="5" bestFit="1" customWidth="1"/>
    <col min="50" max="50" width="15.6640625" style="5" bestFit="1" customWidth="1"/>
    <col min="51" max="51" width="2.6640625" style="5" customWidth="1"/>
    <col min="52" max="52" width="15.6640625" style="5" bestFit="1" customWidth="1"/>
    <col min="53" max="53" width="9.46484375" style="5" bestFit="1" customWidth="1"/>
    <col min="54" max="54" width="10.46484375" style="5" bestFit="1" customWidth="1"/>
    <col min="55" max="55" width="2.6640625" style="5" customWidth="1"/>
    <col min="56" max="56" width="8.86328125" style="5"/>
    <col min="57" max="58" width="10.46484375" style="5" bestFit="1" customWidth="1"/>
    <col min="59" max="59" width="2.6640625" style="5" customWidth="1"/>
    <col min="60" max="60" width="8.86328125" style="5"/>
    <col min="61" max="61" width="12.33203125" style="5" customWidth="1"/>
    <col min="62" max="62" width="9.46484375" style="5" bestFit="1" customWidth="1"/>
    <col min="63" max="63" width="2.6640625" style="5" customWidth="1"/>
    <col min="64" max="64" width="8.86328125" style="5"/>
    <col min="65" max="65" width="12.33203125" style="5" customWidth="1"/>
    <col min="66" max="66" width="9.46484375" style="5" bestFit="1" customWidth="1"/>
    <col min="67" max="67" width="2.6640625" style="5" customWidth="1"/>
    <col min="68" max="68" width="8.86328125" style="5"/>
    <col min="69" max="69" width="11.6640625" style="5" customWidth="1"/>
    <col min="70" max="70" width="9.53125" style="5" bestFit="1" customWidth="1"/>
    <col min="71" max="71" width="2.6640625" style="5" customWidth="1"/>
    <col min="72" max="72" width="8.86328125" style="5"/>
    <col min="73" max="73" width="11.6640625" style="5" customWidth="1"/>
    <col min="74" max="74" width="10" style="5" bestFit="1" customWidth="1"/>
    <col min="75" max="75" width="2.6640625" style="5" customWidth="1"/>
    <col min="76" max="76" width="8.86328125" style="5"/>
    <col min="77" max="77" width="11.6640625" style="5" customWidth="1"/>
    <col min="78" max="78" width="10" style="5" bestFit="1" customWidth="1"/>
    <col min="79" max="79" width="2.6640625" style="5" customWidth="1"/>
    <col min="80" max="82" width="8.86328125" style="5"/>
    <col min="83" max="83" width="2.6640625" style="5" customWidth="1"/>
    <col min="84" max="84" width="8.86328125" style="5"/>
    <col min="85" max="85" width="15.86328125" style="5" bestFit="1" customWidth="1"/>
    <col min="86" max="86" width="8.33203125" style="5" bestFit="1" customWidth="1"/>
    <col min="87" max="87" width="16.53125" style="5" bestFit="1" customWidth="1"/>
    <col min="88" max="88" width="2.6640625" style="5" customWidth="1"/>
    <col min="89" max="90" width="8.86328125" style="5"/>
    <col min="91" max="91" width="10.46484375" style="5" bestFit="1" customWidth="1"/>
    <col min="92" max="92" width="2.6640625" style="5" customWidth="1"/>
    <col min="93" max="93" width="8.86328125" style="5"/>
    <col min="94" max="94" width="10.46484375" style="5" bestFit="1" customWidth="1"/>
    <col min="95" max="95" width="10" style="5" bestFit="1" customWidth="1"/>
    <col min="96" max="96" width="2.6640625" style="5" customWidth="1"/>
    <col min="97" max="97" width="8.33203125" style="5" bestFit="1" customWidth="1"/>
    <col min="98" max="98" width="10.46484375" style="5" bestFit="1" customWidth="1"/>
    <col min="99" max="99" width="9" style="5" bestFit="1" customWidth="1"/>
    <col min="100" max="100" width="2.6640625" style="5" customWidth="1"/>
    <col min="101" max="101" width="8.86328125" style="5"/>
    <col min="102" max="102" width="10.46484375" style="5" bestFit="1" customWidth="1"/>
    <col min="103" max="103" width="9.53125" style="5" bestFit="1" customWidth="1"/>
    <col min="104" max="104" width="2.6640625" style="5" customWidth="1"/>
    <col min="105" max="105" width="8.33203125" style="5" bestFit="1" customWidth="1"/>
    <col min="106" max="106" width="10.46484375" style="5" bestFit="1" customWidth="1"/>
    <col min="107" max="107" width="8.53125" style="5" bestFit="1" customWidth="1"/>
    <col min="108" max="108" width="2.6640625" style="5" customWidth="1"/>
    <col min="109" max="109" width="8.33203125" style="5" bestFit="1" customWidth="1"/>
    <col min="110" max="111" width="10" style="5" bestFit="1" customWidth="1"/>
    <col min="112" max="112" width="2.6640625" style="5" customWidth="1"/>
    <col min="113" max="115" width="8.86328125" style="5"/>
    <col min="116" max="116" width="2.6640625" style="5" customWidth="1"/>
    <col min="117" max="117" width="8.86328125" style="5"/>
    <col min="118" max="118" width="9.6640625" style="5" bestFit="1" customWidth="1"/>
    <col min="119" max="119" width="8.86328125" style="5"/>
    <col min="120" max="120" width="2.6640625" style="5" customWidth="1"/>
    <col min="121" max="121" width="8.86328125" style="5"/>
    <col min="122" max="122" width="18.33203125" style="5" bestFit="1" customWidth="1"/>
    <col min="123" max="123" width="2.6640625" style="5" customWidth="1"/>
    <col min="124" max="124" width="8.86328125" style="5"/>
    <col min="125" max="125" width="18.33203125" style="5" bestFit="1" customWidth="1"/>
    <col min="126" max="126" width="2.6640625" style="5" customWidth="1"/>
    <col min="127" max="127" width="8.86328125" style="5"/>
    <col min="128" max="128" width="9.33203125" style="5" bestFit="1" customWidth="1"/>
    <col min="129" max="129" width="10" style="5" bestFit="1" customWidth="1"/>
    <col min="130" max="130" width="2.6640625" style="5" customWidth="1"/>
    <col min="131" max="131" width="7.33203125" style="5" bestFit="1" customWidth="1"/>
    <col min="132" max="132" width="10" style="5" bestFit="1" customWidth="1"/>
    <col min="133" max="133" width="9.53125" style="5" bestFit="1" customWidth="1"/>
    <col min="134" max="134" width="2.6640625" style="5" customWidth="1"/>
    <col min="135" max="135" width="7.33203125" style="5" bestFit="1" customWidth="1"/>
    <col min="136" max="136" width="10.46484375" style="5" bestFit="1" customWidth="1"/>
    <col min="137" max="137" width="6.86328125" style="5" bestFit="1" customWidth="1"/>
    <col min="138" max="16384" width="8.86328125" style="5"/>
  </cols>
  <sheetData>
    <row r="1" spans="1:149" ht="12.75" customHeight="1">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row>
    <row r="2" spans="1:149" s="340" customFormat="1" ht="13.15">
      <c r="A2" s="5"/>
      <c r="B2" s="3606" t="s">
        <v>0</v>
      </c>
      <c r="C2" s="3608" t="s">
        <v>2</v>
      </c>
      <c r="D2" s="3609"/>
      <c r="E2" s="3612" t="s">
        <v>3</v>
      </c>
      <c r="F2" s="3613"/>
      <c r="G2" s="3613"/>
      <c r="H2" s="3613"/>
      <c r="I2" s="3613"/>
      <c r="J2" s="3605" t="s">
        <v>3</v>
      </c>
      <c r="K2" s="3604"/>
      <c r="L2" s="3604"/>
      <c r="M2" s="3604"/>
      <c r="N2" s="3604"/>
      <c r="O2" s="3604"/>
      <c r="P2" s="3604"/>
      <c r="Q2" s="3604"/>
      <c r="R2" s="3604"/>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AR2" s="3604" t="s">
        <v>3</v>
      </c>
      <c r="AS2" s="3604"/>
      <c r="AT2" s="3604"/>
      <c r="AU2" s="3604"/>
      <c r="AV2" s="3604"/>
      <c r="AW2" s="3604"/>
      <c r="AX2" s="3604"/>
      <c r="AY2" s="3604"/>
      <c r="AZ2" s="3604"/>
      <c r="BA2" s="3604"/>
      <c r="BB2" s="3604"/>
      <c r="BC2" s="338"/>
      <c r="BD2" s="3604" t="s">
        <v>3</v>
      </c>
      <c r="BE2" s="3604"/>
      <c r="BF2" s="3604"/>
      <c r="BG2" s="3604"/>
      <c r="BH2" s="3604"/>
      <c r="BI2" s="3604"/>
      <c r="BJ2" s="3604"/>
      <c r="BK2" s="3604"/>
      <c r="BL2" s="3604"/>
      <c r="BM2" s="3604"/>
      <c r="BN2" s="3604"/>
      <c r="BO2" s="337"/>
      <c r="BP2" s="3604" t="s">
        <v>3</v>
      </c>
      <c r="BQ2" s="3604"/>
      <c r="BR2" s="3604"/>
      <c r="BS2" s="3604"/>
      <c r="BT2" s="3604"/>
      <c r="BU2" s="3604"/>
      <c r="BV2" s="3604"/>
      <c r="BW2" s="3604"/>
      <c r="BX2" s="3604"/>
      <c r="BY2" s="3604"/>
      <c r="BZ2" s="3604"/>
      <c r="CA2" s="337"/>
      <c r="CB2" s="337"/>
      <c r="CC2" s="337"/>
      <c r="CD2" s="337"/>
      <c r="CE2" s="337"/>
      <c r="CF2" s="337"/>
      <c r="CG2" s="337"/>
      <c r="CH2" s="337"/>
      <c r="CI2" s="337"/>
      <c r="CJ2" s="337"/>
      <c r="CK2" s="337"/>
      <c r="CL2" s="337"/>
      <c r="CM2" s="337"/>
      <c r="CN2" s="337"/>
      <c r="CO2" s="337"/>
      <c r="CP2" s="337"/>
      <c r="CQ2" s="337"/>
      <c r="CR2" s="337"/>
      <c r="CS2" s="337"/>
      <c r="CT2" s="337"/>
      <c r="CU2" s="337"/>
      <c r="CV2" s="337"/>
      <c r="CW2" s="337"/>
      <c r="CX2" s="337"/>
      <c r="CY2" s="337"/>
      <c r="CZ2" s="337"/>
      <c r="DA2" s="337"/>
      <c r="DB2" s="337"/>
      <c r="DC2" s="337"/>
      <c r="DD2" s="337"/>
      <c r="DE2" s="337"/>
      <c r="DF2" s="337"/>
      <c r="DG2" s="337"/>
      <c r="DH2" s="337"/>
      <c r="DI2" s="337"/>
      <c r="DJ2" s="337"/>
      <c r="DK2" s="3604" t="s">
        <v>3</v>
      </c>
      <c r="DL2" s="3604"/>
      <c r="DM2" s="3604"/>
      <c r="DN2" s="3604"/>
      <c r="DO2" s="3604"/>
      <c r="DP2" s="3604"/>
      <c r="DQ2" s="3604"/>
      <c r="DR2" s="3604"/>
      <c r="DS2" s="337"/>
      <c r="DT2" s="337"/>
      <c r="DU2" s="337"/>
      <c r="DV2" s="337"/>
      <c r="DW2" s="337"/>
      <c r="DX2" s="339"/>
      <c r="DY2" s="3604" t="s">
        <v>3</v>
      </c>
      <c r="DZ2" s="3604"/>
      <c r="EA2" s="3604"/>
      <c r="EB2" s="3604"/>
      <c r="EC2" s="3604"/>
      <c r="ED2" s="3604"/>
      <c r="EE2" s="3604"/>
      <c r="EF2" s="3604"/>
      <c r="EG2" s="3604"/>
      <c r="EH2" s="3604"/>
      <c r="EI2" s="3604" t="s">
        <v>3</v>
      </c>
      <c r="EJ2" s="3604"/>
      <c r="EK2" s="3604"/>
      <c r="EL2" s="3604"/>
      <c r="EM2" s="3604"/>
      <c r="EN2" s="3604"/>
      <c r="EO2" s="3604"/>
      <c r="EP2" s="3604"/>
      <c r="EQ2" s="3604"/>
      <c r="ER2" s="3604"/>
    </row>
    <row r="3" spans="1:149" s="340" customFormat="1" ht="13.15">
      <c r="A3" s="5"/>
      <c r="B3" s="3607"/>
      <c r="C3" s="3610" t="s">
        <v>244</v>
      </c>
      <c r="D3" s="3611"/>
      <c r="E3" s="3612"/>
      <c r="F3" s="3613"/>
      <c r="G3" s="3613"/>
      <c r="H3" s="3613"/>
      <c r="I3" s="3613"/>
      <c r="J3" s="3604"/>
      <c r="K3" s="3604"/>
      <c r="L3" s="3604"/>
      <c r="M3" s="3604"/>
      <c r="N3" s="3604"/>
      <c r="O3" s="3604"/>
      <c r="P3" s="3604"/>
      <c r="Q3" s="3604"/>
      <c r="R3" s="3604"/>
      <c r="S3" s="337"/>
      <c r="T3" s="337"/>
      <c r="U3" s="337"/>
      <c r="V3" s="337"/>
      <c r="W3" s="337"/>
      <c r="X3" s="337"/>
      <c r="Y3" s="337"/>
      <c r="Z3" s="337"/>
      <c r="AA3" s="337"/>
      <c r="AB3" s="337"/>
      <c r="AC3" s="337"/>
      <c r="AD3" s="337"/>
      <c r="AE3" s="337"/>
      <c r="AF3" s="337"/>
      <c r="AG3" s="337"/>
      <c r="AH3" s="337"/>
      <c r="AI3" s="337"/>
      <c r="AJ3" s="337"/>
      <c r="AK3" s="337"/>
      <c r="AL3" s="337"/>
      <c r="AM3" s="337"/>
      <c r="AN3" s="337"/>
      <c r="AO3" s="337"/>
      <c r="AP3" s="337"/>
      <c r="AQ3" s="337"/>
      <c r="AR3" s="3604"/>
      <c r="AS3" s="3604"/>
      <c r="AT3" s="3604"/>
      <c r="AU3" s="3604"/>
      <c r="AV3" s="3604"/>
      <c r="AW3" s="3604"/>
      <c r="AX3" s="3604"/>
      <c r="AY3" s="3604"/>
      <c r="AZ3" s="3604"/>
      <c r="BA3" s="3604"/>
      <c r="BB3" s="3604"/>
      <c r="BC3" s="338"/>
      <c r="BD3" s="3604"/>
      <c r="BE3" s="3604"/>
      <c r="BF3" s="3604"/>
      <c r="BG3" s="3604"/>
      <c r="BH3" s="3604"/>
      <c r="BI3" s="3604"/>
      <c r="BJ3" s="3604"/>
      <c r="BK3" s="3604"/>
      <c r="BL3" s="3604"/>
      <c r="BM3" s="3604"/>
      <c r="BN3" s="3604"/>
      <c r="BO3" s="337"/>
      <c r="BP3" s="3604"/>
      <c r="BQ3" s="3604"/>
      <c r="BR3" s="3604"/>
      <c r="BS3" s="3604"/>
      <c r="BT3" s="3604"/>
      <c r="BU3" s="3604"/>
      <c r="BV3" s="3604"/>
      <c r="BW3" s="3604"/>
      <c r="BX3" s="3604"/>
      <c r="BY3" s="3604"/>
      <c r="BZ3" s="3604"/>
      <c r="CA3" s="337"/>
      <c r="CB3" s="337"/>
      <c r="CC3" s="337"/>
      <c r="CD3" s="337"/>
      <c r="CE3" s="337"/>
      <c r="CF3" s="337"/>
      <c r="CG3" s="337"/>
      <c r="CH3" s="337"/>
      <c r="CI3" s="337"/>
      <c r="CJ3" s="337"/>
      <c r="CK3" s="337"/>
      <c r="CL3" s="337"/>
      <c r="CM3" s="337"/>
      <c r="CN3" s="337"/>
      <c r="CO3" s="337"/>
      <c r="CP3" s="337"/>
      <c r="CQ3" s="337"/>
      <c r="CR3" s="337"/>
      <c r="CS3" s="337"/>
      <c r="CT3" s="337"/>
      <c r="CU3" s="337"/>
      <c r="CV3" s="337"/>
      <c r="CW3" s="337"/>
      <c r="CX3" s="337"/>
      <c r="CY3" s="337"/>
      <c r="CZ3" s="337"/>
      <c r="DA3" s="337"/>
      <c r="DB3" s="337"/>
      <c r="DC3" s="337"/>
      <c r="DD3" s="337"/>
      <c r="DE3" s="337"/>
      <c r="DF3" s="337"/>
      <c r="DG3" s="337"/>
      <c r="DH3" s="337"/>
      <c r="DI3" s="337"/>
      <c r="DJ3" s="337"/>
      <c r="DK3" s="3604"/>
      <c r="DL3" s="3604"/>
      <c r="DM3" s="3604"/>
      <c r="DN3" s="3604"/>
      <c r="DO3" s="3604"/>
      <c r="DP3" s="3604"/>
      <c r="DQ3" s="3604"/>
      <c r="DR3" s="3604"/>
      <c r="DS3" s="337"/>
      <c r="DT3" s="337"/>
      <c r="DU3" s="337"/>
      <c r="DV3" s="337"/>
      <c r="DW3" s="337"/>
      <c r="DX3" s="339"/>
      <c r="DY3" s="3604"/>
      <c r="DZ3" s="3604"/>
      <c r="EA3" s="3604"/>
      <c r="EB3" s="3604"/>
      <c r="EC3" s="3604"/>
      <c r="ED3" s="3604"/>
      <c r="EE3" s="3604"/>
      <c r="EF3" s="3604"/>
      <c r="EG3" s="3604"/>
      <c r="EH3" s="3604"/>
      <c r="EI3" s="3604"/>
      <c r="EJ3" s="3604"/>
      <c r="EK3" s="3604"/>
      <c r="EL3" s="3604"/>
      <c r="EM3" s="3604"/>
      <c r="EN3" s="3604"/>
      <c r="EO3" s="3604"/>
      <c r="EP3" s="3604"/>
      <c r="EQ3" s="3604"/>
      <c r="ER3" s="3604"/>
    </row>
    <row r="4" spans="1:149">
      <c r="B4" s="566"/>
      <c r="C4" s="514"/>
      <c r="D4" s="514"/>
      <c r="E4" s="514"/>
      <c r="F4" s="514"/>
      <c r="G4" s="514"/>
      <c r="H4" s="514"/>
      <c r="K4" s="16"/>
      <c r="L4" s="16"/>
      <c r="M4" s="16"/>
      <c r="N4" s="16"/>
      <c r="O4" s="16"/>
      <c r="P4" s="16"/>
      <c r="Q4" s="16"/>
      <c r="R4" s="16"/>
      <c r="S4" s="17"/>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row>
    <row r="5" spans="1:149" ht="15.75" customHeight="1">
      <c r="B5" s="517" t="s">
        <v>192</v>
      </c>
      <c r="C5" s="518"/>
      <c r="D5" s="518"/>
      <c r="E5" s="518"/>
      <c r="F5" s="518"/>
      <c r="G5" s="518"/>
      <c r="H5" s="519"/>
      <c r="J5" s="3601" t="s">
        <v>228</v>
      </c>
      <c r="K5" s="3602"/>
      <c r="L5" s="3602"/>
      <c r="M5" s="3602"/>
      <c r="N5" s="3602"/>
      <c r="O5" s="3602"/>
      <c r="P5" s="3602"/>
      <c r="Q5" s="3602"/>
      <c r="R5" s="3602"/>
      <c r="S5" s="3602"/>
      <c r="T5" s="3602"/>
      <c r="U5" s="3602"/>
      <c r="V5" s="3602"/>
      <c r="W5" s="3603"/>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row>
    <row r="6" spans="1:149" ht="13.15">
      <c r="B6" s="586" t="s">
        <v>191</v>
      </c>
      <c r="C6" s="587"/>
      <c r="D6" s="731"/>
      <c r="E6" s="734" t="s">
        <v>337</v>
      </c>
      <c r="F6" s="735" t="s">
        <v>336</v>
      </c>
      <c r="G6" s="3621" t="s">
        <v>204</v>
      </c>
      <c r="H6" s="3622"/>
      <c r="J6" s="326"/>
      <c r="K6" s="16"/>
      <c r="L6" s="16"/>
      <c r="M6" s="16"/>
      <c r="N6" s="16"/>
      <c r="O6" s="16"/>
      <c r="P6" s="16"/>
      <c r="Q6" s="16"/>
      <c r="R6" s="16"/>
      <c r="S6" s="17"/>
      <c r="T6" s="12"/>
      <c r="U6" s="12"/>
      <c r="V6" s="12"/>
      <c r="W6" s="398"/>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row>
    <row r="7" spans="1:149" ht="13.15">
      <c r="B7" s="521">
        <f>MATCH(C7,C8:C13,0)</f>
        <v>1</v>
      </c>
      <c r="C7" s="522" t="str">
        <f>'ASTM Calculator V.W.'!F5</f>
        <v>Tab. 6A</v>
      </c>
      <c r="D7" s="522" t="str">
        <f>VLOOKUP(B7,B8:D14,3)</f>
        <v>API @60°F</v>
      </c>
      <c r="E7" s="733">
        <f>VLOOKUP(B7,B8:G14,4)</f>
        <v>35</v>
      </c>
      <c r="F7" s="732">
        <f>VLOOKUP(B7,B8:G14,5)</f>
        <v>96</v>
      </c>
      <c r="G7" s="3623">
        <f>VLOOKUP(B7,B8:G14,6)</f>
        <v>0.9829</v>
      </c>
      <c r="H7" s="3624"/>
      <c r="J7" s="275"/>
      <c r="K7" s="407" t="s">
        <v>182</v>
      </c>
      <c r="L7" s="467" t="str">
        <f>'ASTM Calculator V.W.'!E6</f>
        <v>A.P.I.</v>
      </c>
      <c r="M7" s="442" t="s">
        <v>160</v>
      </c>
      <c r="N7" s="443" t="s">
        <v>161</v>
      </c>
      <c r="O7" s="443" t="s">
        <v>185</v>
      </c>
      <c r="P7" s="443" t="s">
        <v>186</v>
      </c>
      <c r="Q7" s="420"/>
      <c r="R7" s="407" t="s">
        <v>182</v>
      </c>
      <c r="S7" s="452" t="str">
        <f>'ASTM Calculator V.W.'!E6</f>
        <v>A.P.I.</v>
      </c>
      <c r="T7" s="453">
        <f>'ASTM Calculator V.W.'!F6</f>
        <v>35.200000000000003</v>
      </c>
      <c r="U7" s="12"/>
      <c r="V7" s="407" t="s">
        <v>195</v>
      </c>
      <c r="W7" s="398"/>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row>
    <row r="8" spans="1:149">
      <c r="B8" s="525">
        <v>1</v>
      </c>
      <c r="C8" s="526" t="s">
        <v>194</v>
      </c>
      <c r="D8" s="608" t="s">
        <v>229</v>
      </c>
      <c r="E8" s="736">
        <f>AA32</f>
        <v>35</v>
      </c>
      <c r="F8" s="736">
        <f>AB32</f>
        <v>96</v>
      </c>
      <c r="G8" s="3625">
        <f>AJ32</f>
        <v>0.9829</v>
      </c>
      <c r="H8" s="3626"/>
      <c r="J8" s="275"/>
      <c r="K8" s="449" t="s">
        <v>178</v>
      </c>
      <c r="L8" s="408">
        <f>IF($L$7=K8,'ASTM Calculator V.W.'!$F$6,"")</f>
        <v>35.200000000000003</v>
      </c>
      <c r="M8" s="444" t="s">
        <v>240</v>
      </c>
      <c r="N8" s="448" t="s">
        <v>16</v>
      </c>
      <c r="O8" s="445">
        <v>1</v>
      </c>
      <c r="P8" s="421">
        <v>6.2898100000000001</v>
      </c>
      <c r="Q8" s="16"/>
      <c r="R8" s="601" t="str">
        <f>IF(S8=$S$7,"",IF(S9=$S$7,"ASTM Table 21","ASTM Table 51"))</f>
        <v/>
      </c>
      <c r="S8" s="401" t="s">
        <v>178</v>
      </c>
      <c r="T8" s="404">
        <f>IF(S8=$S$7,T7,IF(S9=$S$7,T78,T113))</f>
        <v>35.200000000000003</v>
      </c>
      <c r="U8" s="12"/>
      <c r="V8" s="588">
        <f>IF(B16=1,'ASTM Calculator V.W.'!F7,ROUND((9/5)*'ASTM Calculator V.W.'!F7+32,1))</f>
        <v>96</v>
      </c>
      <c r="W8" s="398"/>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row>
    <row r="9" spans="1:149">
      <c r="B9" s="528">
        <v>2</v>
      </c>
      <c r="C9" s="529" t="s">
        <v>196</v>
      </c>
      <c r="D9" s="532" t="s">
        <v>229</v>
      </c>
      <c r="E9" s="736">
        <f>AA36</f>
        <v>35</v>
      </c>
      <c r="F9" s="736">
        <f>AB36</f>
        <v>96</v>
      </c>
      <c r="G9" s="3619">
        <f>AJ36</f>
        <v>0.98329999999999995</v>
      </c>
      <c r="H9" s="3620"/>
      <c r="J9" s="275"/>
      <c r="K9" s="450" t="s">
        <v>179</v>
      </c>
      <c r="L9" s="409" t="str">
        <f>IF($L$7=K9,'ASTM Calculator V.W.'!$F$6,"")</f>
        <v/>
      </c>
      <c r="M9" s="446" t="s">
        <v>187</v>
      </c>
      <c r="N9" s="468" t="s">
        <v>188</v>
      </c>
      <c r="O9" s="447">
        <v>1</v>
      </c>
      <c r="P9" s="447">
        <v>42</v>
      </c>
      <c r="Q9" s="16"/>
      <c r="R9" s="454" t="str">
        <f>IF(S9=$S$7,"",IF(S8=$S$7,"ASTM Table 3","ASTM Table 51"))</f>
        <v>ASTM Table 3</v>
      </c>
      <c r="S9" s="402" t="s">
        <v>179</v>
      </c>
      <c r="T9" s="405">
        <f>IF(S9=$S$7,T7,IF(S8=$S$7,T43,T112))</f>
        <v>0.8488</v>
      </c>
      <c r="U9" s="12"/>
      <c r="V9" s="605"/>
      <c r="W9" s="398"/>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row>
    <row r="10" spans="1:149">
      <c r="B10" s="528">
        <v>3</v>
      </c>
      <c r="C10" s="529" t="s">
        <v>329</v>
      </c>
      <c r="D10" s="532" t="s">
        <v>331</v>
      </c>
      <c r="E10" s="737">
        <f>AA67</f>
        <v>0.84799999999999998</v>
      </c>
      <c r="F10" s="738">
        <f>AB67</f>
        <v>96</v>
      </c>
      <c r="G10" s="3619">
        <f>AP67</f>
        <v>0.98280000000000001</v>
      </c>
      <c r="H10" s="3620"/>
      <c r="J10" s="275"/>
      <c r="K10" s="450" t="s">
        <v>20</v>
      </c>
      <c r="L10" s="409" t="str">
        <f>IF($L$7=K10,T10,"")</f>
        <v/>
      </c>
      <c r="M10" s="446" t="s">
        <v>163</v>
      </c>
      <c r="N10" s="446" t="s">
        <v>165</v>
      </c>
      <c r="O10" s="447">
        <v>1</v>
      </c>
      <c r="P10" s="447">
        <v>0.98420600000000003</v>
      </c>
      <c r="Q10" s="16"/>
      <c r="R10" s="454" t="str">
        <f>IF(OR(S10=$S$7,S11=$S$7),"",IF(S8=$S$7,"ASTM Table 3","ASTM Table 21"))</f>
        <v>ASTM Table 3</v>
      </c>
      <c r="S10" s="402" t="s">
        <v>20</v>
      </c>
      <c r="T10" s="712">
        <f>IF(AND(S10=$S$7,T7&gt;2),T7,IF(S8=$S$7,T44,IF(S9=$S$7,T79,T7*1000)))</f>
        <v>848.4</v>
      </c>
      <c r="U10" s="12"/>
      <c r="V10" s="606">
        <f>IF(B16=2,'ASTM Calculator V.W.'!F7,ROUND(('ASTM Calculator V.W.'!F7-32)/9*5,2))</f>
        <v>35.56</v>
      </c>
      <c r="W10" s="398"/>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row>
    <row r="11" spans="1:149">
      <c r="B11" s="528">
        <v>4</v>
      </c>
      <c r="C11" s="529" t="s">
        <v>330</v>
      </c>
      <c r="D11" s="532" t="s">
        <v>331</v>
      </c>
      <c r="E11" s="737">
        <f>AA71</f>
        <v>0.84799999999999998</v>
      </c>
      <c r="F11" s="738">
        <f>AB71</f>
        <v>96</v>
      </c>
      <c r="G11" s="3619">
        <f>AP71</f>
        <v>0.98319999999999996</v>
      </c>
      <c r="H11" s="3620"/>
      <c r="J11" s="275"/>
      <c r="K11" s="450" t="s">
        <v>20</v>
      </c>
      <c r="L11" s="409" t="str">
        <f>IF($L$7=K11,T11,"")</f>
        <v/>
      </c>
      <c r="M11" s="446" t="s">
        <v>165</v>
      </c>
      <c r="N11" s="446" t="s">
        <v>163</v>
      </c>
      <c r="O11" s="447">
        <v>1</v>
      </c>
      <c r="P11" s="447">
        <v>1.0160499999999999</v>
      </c>
      <c r="Q11" s="16"/>
      <c r="R11" s="602" t="str">
        <f>IF(OR(S10=$S$7,S11=$S$7),"",IF(S8=$S$7,"","ASTM Table 21"))</f>
        <v/>
      </c>
      <c r="S11" s="403" t="s">
        <v>20</v>
      </c>
      <c r="T11" s="713">
        <f>IF(AND(S11=$S$7,T7&lt;2),T7,IF(S8=$S$7,T44/1000,IF(S9=$S$7,T79/1000,T10/1000)))</f>
        <v>0.84839999999999993</v>
      </c>
      <c r="U11" s="12"/>
      <c r="V11" s="563"/>
      <c r="W11" s="398"/>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row>
    <row r="12" spans="1:149">
      <c r="B12" s="528">
        <v>5</v>
      </c>
      <c r="C12" s="529" t="s">
        <v>197</v>
      </c>
      <c r="D12" s="532" t="s">
        <v>230</v>
      </c>
      <c r="E12" s="524">
        <f>AA100</f>
        <v>848</v>
      </c>
      <c r="F12" s="524">
        <f>AB100</f>
        <v>35.5</v>
      </c>
      <c r="G12" s="3619">
        <f>AI100</f>
        <v>0.98240000000000005</v>
      </c>
      <c r="H12" s="3620"/>
      <c r="J12" s="419"/>
      <c r="K12" s="567"/>
      <c r="L12" s="409" t="str">
        <f>IF($L$7=K12,'ASTM Calculator V.W.'!$F$6,"")</f>
        <v/>
      </c>
      <c r="M12" s="446" t="s">
        <v>165</v>
      </c>
      <c r="N12" s="468" t="s">
        <v>102</v>
      </c>
      <c r="O12" s="447">
        <v>1</v>
      </c>
      <c r="P12" s="455">
        <v>2240</v>
      </c>
      <c r="Q12" s="16"/>
      <c r="R12" s="601" t="str">
        <f>IF(OR(B7=1,B7=3,B7=5),"ASTM Table 6A","ASTM Table 6B")</f>
        <v>ASTM Table 6A</v>
      </c>
      <c r="S12" s="603"/>
      <c r="T12" s="404">
        <f>IF(OR(B7=1,B7=3,B7=5),AJ32,AJ36)</f>
        <v>0.9829</v>
      </c>
      <c r="U12" s="12"/>
      <c r="V12" s="12"/>
      <c r="W12" s="398"/>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row>
    <row r="13" spans="1:149">
      <c r="B13" s="528">
        <v>6</v>
      </c>
      <c r="C13" s="529" t="s">
        <v>198</v>
      </c>
      <c r="D13" s="532" t="s">
        <v>230</v>
      </c>
      <c r="E13" s="524">
        <f>AA104</f>
        <v>848</v>
      </c>
      <c r="F13" s="524">
        <f>AB104</f>
        <v>35.5</v>
      </c>
      <c r="G13" s="3619">
        <f>AI104</f>
        <v>0.98280000000000001</v>
      </c>
      <c r="H13" s="3620"/>
      <c r="J13" s="419"/>
      <c r="K13" s="567"/>
      <c r="L13" s="409"/>
      <c r="M13" s="446" t="s">
        <v>17</v>
      </c>
      <c r="N13" s="468" t="s">
        <v>189</v>
      </c>
      <c r="O13" s="447">
        <v>1</v>
      </c>
      <c r="P13" s="447">
        <v>2.2046199999999998</v>
      </c>
      <c r="Q13" s="16"/>
      <c r="R13" s="714" t="str">
        <f>IF(OR(B7=1,B7=3,B7=5),"ASTM Table 24A","ASTM Table 24B")</f>
        <v>ASTM Table 24A</v>
      </c>
      <c r="S13" s="605"/>
      <c r="T13" s="455">
        <f>IF(OR(B7=1,B7=3,B7=5),AP67,AP71)</f>
        <v>0.98280000000000001</v>
      </c>
      <c r="U13" s="12"/>
      <c r="V13" s="12"/>
      <c r="W13" s="398"/>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row>
    <row r="14" spans="1:149">
      <c r="B14" s="535"/>
      <c r="C14" s="535"/>
      <c r="D14" s="583"/>
      <c r="E14" s="535"/>
      <c r="F14" s="537"/>
      <c r="G14" s="276"/>
      <c r="H14" s="383"/>
      <c r="J14" s="419"/>
      <c r="K14" s="708"/>
      <c r="L14" s="410"/>
      <c r="M14" s="709"/>
      <c r="N14" s="710"/>
      <c r="O14" s="711"/>
      <c r="P14" s="711"/>
      <c r="Q14" s="16"/>
      <c r="R14" s="602" t="str">
        <f>IF(OR(B7=1,B7=3,B7=5),"ASTM Table 54A","ASTM Table 54B")</f>
        <v>ASTM Table 54A</v>
      </c>
      <c r="S14" s="604"/>
      <c r="T14" s="406">
        <f>IF(OR(B7=1,B7=3,B7=5),AI100,AI104)</f>
        <v>0.98240000000000005</v>
      </c>
      <c r="U14" s="12"/>
      <c r="V14" s="12"/>
      <c r="W14" s="398"/>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row>
    <row r="15" spans="1:149" ht="13.15">
      <c r="B15" s="586" t="s">
        <v>193</v>
      </c>
      <c r="C15" s="731"/>
      <c r="D15" s="407" t="s">
        <v>182</v>
      </c>
      <c r="E15" s="484"/>
      <c r="F15" s="484"/>
      <c r="G15" s="609"/>
      <c r="H15" s="610"/>
      <c r="J15" s="419"/>
      <c r="K15" s="568"/>
      <c r="L15" s="568"/>
      <c r="M15" s="569"/>
      <c r="N15" s="569"/>
      <c r="O15" s="569"/>
      <c r="P15" s="569"/>
      <c r="Q15" s="16"/>
      <c r="R15" s="16"/>
      <c r="S15" s="17"/>
      <c r="T15" s="12"/>
      <c r="U15" s="12"/>
      <c r="V15" s="12"/>
      <c r="W15" s="398"/>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row>
    <row r="16" spans="1:149" ht="13.15">
      <c r="B16" s="521">
        <f>MATCH(C16,C17:C18,0)</f>
        <v>1</v>
      </c>
      <c r="C16" s="523" t="str">
        <f>'ASTM Calculator V.W.'!G7</f>
        <v xml:space="preserve"> °F</v>
      </c>
      <c r="D16" s="582" t="str">
        <f>IF(B7&gt;4,"Density (kg/m3)",IF(B7&gt;2,"Rel.Density","A.P.I."))</f>
        <v>A.P.I.</v>
      </c>
      <c r="G16" s="514"/>
      <c r="H16" s="520"/>
      <c r="J16" s="857"/>
      <c r="K16" s="858"/>
      <c r="L16" s="451"/>
      <c r="M16" s="480"/>
      <c r="N16" s="480"/>
      <c r="O16" s="480"/>
      <c r="P16" s="480"/>
      <c r="Q16" s="480"/>
      <c r="R16" s="480"/>
      <c r="S16" s="480"/>
      <c r="T16" s="480"/>
      <c r="U16" s="326"/>
      <c r="V16" s="495"/>
      <c r="W16" s="496"/>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row>
    <row r="17" spans="2:149" ht="13.15">
      <c r="B17" s="527">
        <v>1</v>
      </c>
      <c r="C17" s="608" t="s">
        <v>334</v>
      </c>
      <c r="D17" s="605" t="str">
        <f>IF(B7&gt;4,"Density (kg/L)","")</f>
        <v/>
      </c>
      <c r="G17" s="514"/>
      <c r="H17" s="520"/>
      <c r="J17" s="859"/>
      <c r="K17" s="860"/>
      <c r="L17" s="585" t="str">
        <f>'ASTM Calculator V.W.'!G8</f>
        <v>BBLS @ Temp.</v>
      </c>
      <c r="M17" s="477" t="str">
        <f>K19</f>
        <v>BBLS @ Temp.</v>
      </c>
      <c r="N17" s="477" t="str">
        <f>K20</f>
        <v>BBLS @ 60°F</v>
      </c>
      <c r="O17" s="477" t="str">
        <f>K21</f>
        <v>M3 @ Temp.</v>
      </c>
      <c r="P17" s="477" t="str">
        <f>K22</f>
        <v>M3 @ 15°C</v>
      </c>
      <c r="Q17" s="477" t="str">
        <f>K23</f>
        <v>MT (in Vac)</v>
      </c>
      <c r="R17" s="477" t="str">
        <f>K24</f>
        <v>MT (in Air)</v>
      </c>
      <c r="S17" s="477" t="str">
        <f>K25</f>
        <v>LT</v>
      </c>
      <c r="T17" s="477">
        <f>K26</f>
        <v>0</v>
      </c>
      <c r="U17" s="275"/>
      <c r="V17" s="441"/>
      <c r="W17" s="398"/>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row>
    <row r="18" spans="2:149" ht="13.15">
      <c r="B18" s="531">
        <v>2</v>
      </c>
      <c r="C18" s="533" t="s">
        <v>333</v>
      </c>
      <c r="D18" s="583"/>
      <c r="G18" s="514"/>
      <c r="H18" s="520"/>
      <c r="J18" s="861"/>
      <c r="K18" s="862"/>
      <c r="L18" s="482">
        <f>'ASTM Calculator V.W.'!F8</f>
        <v>62900</v>
      </c>
      <c r="M18" s="478">
        <f>IF(M17=$L17,$L18,"")</f>
        <v>62900</v>
      </c>
      <c r="N18" s="479" t="str">
        <f t="shared" ref="N18:T18" si="0">IF(N17=$L$17,$L$18,"")</f>
        <v/>
      </c>
      <c r="O18" s="479" t="str">
        <f t="shared" si="0"/>
        <v/>
      </c>
      <c r="P18" s="479" t="str">
        <f t="shared" si="0"/>
        <v/>
      </c>
      <c r="Q18" s="479" t="str">
        <f t="shared" si="0"/>
        <v/>
      </c>
      <c r="R18" s="478" t="str">
        <f t="shared" si="0"/>
        <v/>
      </c>
      <c r="S18" s="478" t="str">
        <f t="shared" si="0"/>
        <v/>
      </c>
      <c r="T18" s="478" t="str">
        <f t="shared" si="0"/>
        <v/>
      </c>
      <c r="U18" s="276"/>
      <c r="V18" s="428"/>
      <c r="W18" s="400"/>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row>
    <row r="19" spans="2:149">
      <c r="B19" s="534"/>
      <c r="C19" s="514"/>
      <c r="D19" s="484"/>
      <c r="G19" s="514"/>
      <c r="H19" s="520"/>
      <c r="J19" s="421">
        <v>1</v>
      </c>
      <c r="K19" s="490" t="s">
        <v>199</v>
      </c>
      <c r="L19" s="457">
        <f t="shared" ref="L19:T26" si="1">IF($L$7=$K$8,L33,IF($L$7=$K$9,L68,L101))</f>
        <v>62900</v>
      </c>
      <c r="M19" s="457">
        <f t="shared" si="1"/>
        <v>62900</v>
      </c>
      <c r="N19" s="457" t="str">
        <f t="shared" si="1"/>
        <v/>
      </c>
      <c r="O19" s="457" t="str">
        <f t="shared" si="1"/>
        <v/>
      </c>
      <c r="P19" s="457" t="str">
        <f t="shared" si="1"/>
        <v/>
      </c>
      <c r="Q19" s="457" t="str">
        <f t="shared" si="1"/>
        <v/>
      </c>
      <c r="R19" s="457" t="str">
        <f t="shared" si="1"/>
        <v/>
      </c>
      <c r="S19" s="457" t="str">
        <f t="shared" si="1"/>
        <v/>
      </c>
      <c r="T19" s="457">
        <f t="shared" si="1"/>
        <v>0</v>
      </c>
      <c r="U19" s="275"/>
      <c r="V19" s="12"/>
      <c r="W19" s="398"/>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row>
    <row r="20" spans="2:149" ht="13.15">
      <c r="B20" s="275"/>
      <c r="E20" s="676"/>
      <c r="F20" s="676"/>
      <c r="H20" s="274"/>
      <c r="J20" s="455">
        <v>2</v>
      </c>
      <c r="K20" s="491" t="s">
        <v>200</v>
      </c>
      <c r="L20" s="599">
        <f t="shared" si="1"/>
        <v>61824</v>
      </c>
      <c r="M20" s="599">
        <f t="shared" si="1"/>
        <v>61824</v>
      </c>
      <c r="N20" s="599" t="str">
        <f>IF($L$7=$K$8,N34,IF($L$7=$K$9,N69,N102))</f>
        <v/>
      </c>
      <c r="O20" s="599" t="str">
        <f t="shared" si="1"/>
        <v/>
      </c>
      <c r="P20" s="599" t="str">
        <f t="shared" si="1"/>
        <v/>
      </c>
      <c r="Q20" s="599" t="str">
        <f t="shared" si="1"/>
        <v/>
      </c>
      <c r="R20" s="599" t="str">
        <f t="shared" si="1"/>
        <v/>
      </c>
      <c r="S20" s="599" t="str">
        <f t="shared" si="1"/>
        <v/>
      </c>
      <c r="T20" s="456">
        <f t="shared" si="1"/>
        <v>0</v>
      </c>
      <c r="U20" s="275"/>
      <c r="V20" s="12"/>
      <c r="W20" s="398"/>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row>
    <row r="21" spans="2:149" ht="13.15">
      <c r="B21" s="275"/>
      <c r="E21" s="676"/>
      <c r="F21" s="676"/>
      <c r="H21" s="274"/>
      <c r="J21" s="455">
        <v>3</v>
      </c>
      <c r="K21" s="491" t="s">
        <v>201</v>
      </c>
      <c r="L21" s="456">
        <f t="shared" si="1"/>
        <v>10000.302</v>
      </c>
      <c r="M21" s="456">
        <f t="shared" si="1"/>
        <v>10000.302</v>
      </c>
      <c r="N21" s="456" t="str">
        <f t="shared" si="1"/>
        <v/>
      </c>
      <c r="O21" s="456" t="str">
        <f t="shared" si="1"/>
        <v/>
      </c>
      <c r="P21" s="456" t="str">
        <f t="shared" si="1"/>
        <v/>
      </c>
      <c r="Q21" s="456" t="str">
        <f t="shared" si="1"/>
        <v/>
      </c>
      <c r="R21" s="456" t="str">
        <f t="shared" si="1"/>
        <v/>
      </c>
      <c r="S21" s="456" t="str">
        <f t="shared" si="1"/>
        <v/>
      </c>
      <c r="T21" s="456">
        <f t="shared" si="1"/>
        <v>0</v>
      </c>
      <c r="U21" s="275"/>
      <c r="V21" s="12"/>
      <c r="W21" s="398"/>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row>
    <row r="22" spans="2:149" ht="13.15">
      <c r="B22" s="275"/>
      <c r="E22" s="676"/>
      <c r="F22" s="676"/>
      <c r="H22" s="274"/>
      <c r="J22" s="455">
        <v>4</v>
      </c>
      <c r="K22" s="491" t="s">
        <v>202</v>
      </c>
      <c r="L22" s="456">
        <f t="shared" si="1"/>
        <v>9824.4519999999993</v>
      </c>
      <c r="M22" s="456">
        <f t="shared" si="1"/>
        <v>9824.4519999999993</v>
      </c>
      <c r="N22" s="456" t="str">
        <f t="shared" si="1"/>
        <v/>
      </c>
      <c r="O22" s="456" t="str">
        <f t="shared" si="1"/>
        <v/>
      </c>
      <c r="P22" s="456" t="str">
        <f t="shared" si="1"/>
        <v/>
      </c>
      <c r="Q22" s="456" t="str">
        <f t="shared" si="1"/>
        <v/>
      </c>
      <c r="R22" s="456" t="str">
        <f t="shared" si="1"/>
        <v/>
      </c>
      <c r="S22" s="456" t="str">
        <f t="shared" si="1"/>
        <v/>
      </c>
      <c r="T22" s="456">
        <f t="shared" si="1"/>
        <v>0</v>
      </c>
      <c r="U22" s="275"/>
      <c r="V22" s="12"/>
      <c r="W22" s="398"/>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row>
    <row r="23" spans="2:149" ht="13.15">
      <c r="B23" s="275"/>
      <c r="E23" s="676"/>
      <c r="F23" s="676"/>
      <c r="H23" s="274"/>
      <c r="J23" s="455">
        <v>5</v>
      </c>
      <c r="K23" s="491" t="s">
        <v>233</v>
      </c>
      <c r="L23" s="456">
        <f t="shared" si="1"/>
        <v>8335.0079999999998</v>
      </c>
      <c r="M23" s="456">
        <f t="shared" si="1"/>
        <v>8335.0079999999998</v>
      </c>
      <c r="N23" s="456" t="str">
        <f t="shared" si="1"/>
        <v/>
      </c>
      <c r="O23" s="456" t="str">
        <f t="shared" si="1"/>
        <v/>
      </c>
      <c r="P23" s="456" t="str">
        <f t="shared" si="1"/>
        <v/>
      </c>
      <c r="Q23" s="456" t="str">
        <f t="shared" si="1"/>
        <v/>
      </c>
      <c r="R23" s="456" t="str">
        <f t="shared" si="1"/>
        <v/>
      </c>
      <c r="S23" s="456" t="str">
        <f t="shared" si="1"/>
        <v/>
      </c>
      <c r="T23" s="456">
        <f t="shared" si="1"/>
        <v>0</v>
      </c>
      <c r="U23" s="275"/>
      <c r="V23" s="12"/>
      <c r="W23" s="398"/>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row>
    <row r="24" spans="2:149">
      <c r="B24" s="275"/>
      <c r="E24" s="514"/>
      <c r="F24" s="514"/>
      <c r="H24" s="274"/>
      <c r="J24" s="455">
        <v>6</v>
      </c>
      <c r="K24" s="491" t="s">
        <v>232</v>
      </c>
      <c r="L24" s="600">
        <f t="shared" si="1"/>
        <v>8324.6020000000008</v>
      </c>
      <c r="M24" s="600">
        <f t="shared" si="1"/>
        <v>8324.6020000000008</v>
      </c>
      <c r="N24" s="600" t="str">
        <f t="shared" si="1"/>
        <v/>
      </c>
      <c r="O24" s="600" t="str">
        <f t="shared" si="1"/>
        <v/>
      </c>
      <c r="P24" s="600" t="str">
        <f t="shared" si="1"/>
        <v/>
      </c>
      <c r="Q24" s="600" t="str">
        <f t="shared" si="1"/>
        <v/>
      </c>
      <c r="R24" s="600" t="str">
        <f t="shared" si="1"/>
        <v/>
      </c>
      <c r="S24" s="600" t="str">
        <f t="shared" si="1"/>
        <v/>
      </c>
      <c r="T24" s="457">
        <f t="shared" si="1"/>
        <v>0</v>
      </c>
      <c r="U24" s="275"/>
      <c r="V24" s="12"/>
      <c r="W24" s="398"/>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row>
    <row r="25" spans="2:149">
      <c r="B25" s="275"/>
      <c r="H25" s="274"/>
      <c r="J25" s="455">
        <v>7</v>
      </c>
      <c r="K25" s="491" t="s">
        <v>234</v>
      </c>
      <c r="L25" s="600">
        <f t="shared" si="1"/>
        <v>8192.9159999999993</v>
      </c>
      <c r="M25" s="600">
        <f t="shared" si="1"/>
        <v>8192.9159999999993</v>
      </c>
      <c r="N25" s="600" t="str">
        <f t="shared" si="1"/>
        <v/>
      </c>
      <c r="O25" s="600" t="str">
        <f t="shared" si="1"/>
        <v/>
      </c>
      <c r="P25" s="600" t="str">
        <f t="shared" si="1"/>
        <v/>
      </c>
      <c r="Q25" s="600" t="str">
        <f t="shared" si="1"/>
        <v/>
      </c>
      <c r="R25" s="600" t="str">
        <f t="shared" si="1"/>
        <v/>
      </c>
      <c r="S25" s="600" t="str">
        <f t="shared" si="1"/>
        <v/>
      </c>
      <c r="T25" s="457">
        <f>IF($L$7=$K$8,T39,IF($L$7=$K$9,T74,T107))</f>
        <v>0</v>
      </c>
      <c r="U25" s="275"/>
      <c r="V25" s="12"/>
      <c r="W25" s="398"/>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row>
    <row r="26" spans="2:149">
      <c r="B26" s="536"/>
      <c r="C26" s="538"/>
      <c r="D26" s="538"/>
      <c r="E26" s="538"/>
      <c r="F26" s="538"/>
      <c r="G26" s="538"/>
      <c r="H26" s="537"/>
      <c r="J26" s="422">
        <v>8</v>
      </c>
      <c r="K26" s="492"/>
      <c r="L26" s="512">
        <f t="shared" si="1"/>
        <v>0</v>
      </c>
      <c r="M26" s="512">
        <f t="shared" si="1"/>
        <v>0</v>
      </c>
      <c r="N26" s="512">
        <f t="shared" si="1"/>
        <v>0</v>
      </c>
      <c r="O26" s="512">
        <f t="shared" si="1"/>
        <v>0</v>
      </c>
      <c r="P26" s="512">
        <f t="shared" si="1"/>
        <v>0</v>
      </c>
      <c r="Q26" s="512">
        <f t="shared" si="1"/>
        <v>0</v>
      </c>
      <c r="R26" s="512">
        <f t="shared" si="1"/>
        <v>0</v>
      </c>
      <c r="S26" s="512">
        <f t="shared" si="1"/>
        <v>0</v>
      </c>
      <c r="T26" s="512">
        <f t="shared" si="1"/>
        <v>0</v>
      </c>
      <c r="U26" s="276"/>
      <c r="V26" s="399"/>
      <c r="W26" s="400"/>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EH26" s="171"/>
      <c r="EI26" s="171"/>
      <c r="EJ26" s="171"/>
      <c r="EK26" s="12"/>
      <c r="EL26" s="12"/>
      <c r="EM26" s="12"/>
      <c r="EN26" s="12"/>
      <c r="EO26" s="12"/>
      <c r="EP26" s="12"/>
      <c r="EQ26" s="12"/>
      <c r="ER26" s="12"/>
      <c r="ES26" s="12"/>
    </row>
    <row r="27" spans="2:149">
      <c r="J27" s="484"/>
      <c r="K27" s="459"/>
      <c r="L27" s="459"/>
      <c r="M27" s="459"/>
      <c r="N27" s="459"/>
      <c r="O27" s="459"/>
      <c r="P27" s="459"/>
      <c r="Q27" s="459"/>
      <c r="R27" s="459"/>
      <c r="S27" s="485"/>
      <c r="T27" s="25"/>
      <c r="U27" s="25"/>
      <c r="V27" s="25"/>
      <c r="W27" s="25"/>
      <c r="X27" s="18"/>
      <c r="Y27" s="18"/>
      <c r="Z27" s="18"/>
      <c r="AA27" s="18"/>
      <c r="AB27" s="18"/>
      <c r="AC27" s="18"/>
      <c r="AD27" s="18"/>
      <c r="AE27" s="18"/>
      <c r="AF27" s="18"/>
      <c r="AG27" s="18"/>
      <c r="AH27" s="18"/>
      <c r="AI27" s="18"/>
      <c r="AJ27" s="18"/>
      <c r="AK27" s="18"/>
      <c r="AL27" s="18"/>
      <c r="AM27" s="18"/>
      <c r="AN27" s="18"/>
      <c r="AO27" s="18"/>
      <c r="AP27" s="18"/>
      <c r="AQ27" s="18"/>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EH27" s="171"/>
      <c r="EI27" s="171"/>
      <c r="EJ27" s="171"/>
      <c r="EK27" s="12"/>
      <c r="EL27" s="12"/>
      <c r="EM27" s="12"/>
      <c r="EN27" s="12"/>
      <c r="EO27" s="12"/>
      <c r="EP27" s="12"/>
      <c r="EQ27" s="12"/>
      <c r="ER27" s="12"/>
      <c r="ES27" s="12"/>
    </row>
    <row r="28" spans="2:149" ht="13.25" customHeight="1">
      <c r="K28" s="16"/>
      <c r="L28" s="16"/>
      <c r="M28" s="16"/>
      <c r="N28" s="16"/>
      <c r="O28" s="16"/>
      <c r="P28" s="16"/>
      <c r="Q28" s="16"/>
      <c r="R28" s="16"/>
      <c r="S28" s="17"/>
      <c r="T28" s="12"/>
      <c r="U28" s="12"/>
      <c r="V28" s="12"/>
      <c r="W28" s="12"/>
      <c r="X28" s="18"/>
      <c r="Y28" s="18"/>
      <c r="Z28" s="18"/>
      <c r="AA28" s="18"/>
      <c r="AB28" s="18"/>
      <c r="AC28" s="18"/>
      <c r="AD28" s="18"/>
      <c r="AE28" s="18"/>
      <c r="AF28" s="18"/>
      <c r="AG28" s="18"/>
      <c r="AH28" s="18"/>
      <c r="AI28" s="18"/>
      <c r="AJ28" s="18"/>
      <c r="AK28" s="18"/>
      <c r="AL28" s="18"/>
      <c r="AM28" s="18"/>
      <c r="AN28" s="18"/>
      <c r="AO28" s="18"/>
      <c r="AP28" s="18"/>
      <c r="AQ28" s="18"/>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EH28" s="12"/>
      <c r="EI28" s="12"/>
      <c r="EJ28" s="12"/>
      <c r="EK28" s="171"/>
      <c r="EL28" s="171"/>
      <c r="EM28" s="171"/>
      <c r="EN28" s="171"/>
      <c r="EO28" s="171"/>
      <c r="EP28" s="171"/>
      <c r="EQ28" s="171"/>
      <c r="ER28" s="171"/>
      <c r="ES28" s="171"/>
    </row>
    <row r="29" spans="2:149" ht="15.75" customHeight="1">
      <c r="J29" s="3601" t="s">
        <v>235</v>
      </c>
      <c r="K29" s="3602"/>
      <c r="L29" s="3602"/>
      <c r="M29" s="3602"/>
      <c r="N29" s="3602"/>
      <c r="O29" s="3602"/>
      <c r="P29" s="3602"/>
      <c r="Q29" s="3602"/>
      <c r="R29" s="3602"/>
      <c r="S29" s="3602"/>
      <c r="T29" s="3602"/>
      <c r="U29" s="3602"/>
      <c r="V29" s="3602"/>
      <c r="W29" s="3603"/>
      <c r="X29" s="171"/>
      <c r="Y29" s="262" t="s">
        <v>324</v>
      </c>
      <c r="Z29" s="29"/>
      <c r="AA29" s="29"/>
      <c r="AB29" s="29"/>
      <c r="AC29" s="29"/>
      <c r="AD29" s="29"/>
      <c r="AE29" s="29"/>
      <c r="AF29" s="29"/>
      <c r="AG29" s="29"/>
      <c r="AH29" s="29"/>
      <c r="AI29" s="29"/>
      <c r="AJ29" s="214"/>
      <c r="AK29" s="171"/>
      <c r="AL29" s="171"/>
      <c r="AM29" s="171"/>
      <c r="AN29" s="171"/>
      <c r="AO29" s="171"/>
      <c r="AP29" s="171"/>
      <c r="AQ29" s="171"/>
      <c r="AR29" s="163" t="s">
        <v>99</v>
      </c>
      <c r="AS29" s="28"/>
      <c r="AT29" s="28"/>
      <c r="AU29" s="29"/>
      <c r="AV29" s="28"/>
      <c r="AW29" s="28"/>
      <c r="AX29" s="28"/>
      <c r="AY29" s="29"/>
      <c r="AZ29" s="29"/>
      <c r="BA29" s="29"/>
      <c r="BB29" s="29"/>
      <c r="BC29" s="165"/>
      <c r="BD29" s="166" t="s">
        <v>99</v>
      </c>
      <c r="BE29" s="29"/>
      <c r="BF29" s="29"/>
      <c r="BG29" s="29"/>
      <c r="BH29" s="29"/>
      <c r="BI29" s="29"/>
      <c r="BJ29" s="29"/>
      <c r="BK29" s="29"/>
      <c r="BL29" s="164"/>
      <c r="BM29" s="164"/>
      <c r="BN29" s="28"/>
      <c r="BO29" s="272"/>
      <c r="BP29" s="164" t="s">
        <v>99</v>
      </c>
      <c r="BQ29" s="28"/>
      <c r="BR29" s="28"/>
      <c r="BS29" s="28"/>
      <c r="BT29" s="28"/>
      <c r="BU29" s="28"/>
      <c r="BV29" s="28"/>
      <c r="BW29" s="29"/>
      <c r="BX29" s="29"/>
      <c r="BY29" s="29"/>
      <c r="BZ29" s="214"/>
      <c r="CA29" s="12"/>
      <c r="EH29" s="171"/>
      <c r="EI29" s="171"/>
      <c r="EJ29" s="171"/>
      <c r="EK29" s="12"/>
      <c r="EL29" s="12"/>
      <c r="EM29" s="12"/>
      <c r="EN29" s="12"/>
      <c r="EO29" s="12"/>
      <c r="EP29" s="12"/>
      <c r="EQ29" s="12"/>
      <c r="ER29" s="12"/>
      <c r="ES29" s="12"/>
    </row>
    <row r="30" spans="2:149" ht="13.25" customHeight="1">
      <c r="J30" s="419"/>
      <c r="K30" s="284"/>
      <c r="L30" s="451"/>
      <c r="M30" s="480"/>
      <c r="N30" s="480"/>
      <c r="O30" s="480"/>
      <c r="P30" s="480"/>
      <c r="Q30" s="480"/>
      <c r="R30" s="480"/>
      <c r="S30" s="480"/>
      <c r="T30" s="480"/>
      <c r="V30" s="441"/>
      <c r="W30" s="398"/>
      <c r="X30" s="12"/>
      <c r="Y30" s="571"/>
      <c r="Z30" s="572"/>
      <c r="AA30" s="262" t="s">
        <v>203</v>
      </c>
      <c r="AB30" s="29"/>
      <c r="AC30" s="593"/>
      <c r="AD30" s="25"/>
      <c r="AE30" s="328"/>
      <c r="AF30" s="591"/>
      <c r="AG30" s="591"/>
      <c r="AH30" s="591"/>
      <c r="AI30" s="592"/>
      <c r="AJ30" s="573" t="s">
        <v>204</v>
      </c>
      <c r="AK30" s="12"/>
      <c r="AL30" s="12"/>
      <c r="AM30" s="12"/>
      <c r="AN30" s="12"/>
      <c r="AO30" s="12"/>
      <c r="AP30" s="12"/>
      <c r="AQ30" s="12"/>
      <c r="AR30" s="253" t="s">
        <v>11</v>
      </c>
      <c r="AS30" s="254"/>
      <c r="AT30" s="255"/>
      <c r="AU30" s="249"/>
      <c r="AV30" s="253" t="s">
        <v>4</v>
      </c>
      <c r="AW30" s="254"/>
      <c r="AX30" s="255"/>
      <c r="AY30" s="258"/>
      <c r="AZ30" s="253" t="str">
        <f>'ASTM Vol. XI-XII'!L5</f>
        <v>ASTM Table 8</v>
      </c>
      <c r="BA30" s="254"/>
      <c r="BB30" s="255"/>
      <c r="BC30" s="251"/>
      <c r="BD30" s="253" t="str">
        <f>'ASTM Vol. XI-XII'!P5</f>
        <v>ASTM Table 9</v>
      </c>
      <c r="BE30" s="254"/>
      <c r="BF30" s="255"/>
      <c r="BG30" s="251"/>
      <c r="BH30" s="253" t="str">
        <f>'ASTM Vol. XI-XII'!T5</f>
        <v>ASTM Table 10</v>
      </c>
      <c r="BI30" s="254"/>
      <c r="BJ30" s="255"/>
      <c r="BK30" s="251"/>
      <c r="BL30" s="253" t="s">
        <v>5</v>
      </c>
      <c r="BM30" s="254"/>
      <c r="BN30" s="255"/>
      <c r="BO30" s="249"/>
      <c r="BP30" s="253" t="str">
        <f>'ASTM Vol. XI-XII'!AB5</f>
        <v>ASTM Table 12</v>
      </c>
      <c r="BQ30" s="254"/>
      <c r="BR30" s="255"/>
      <c r="BS30" s="251"/>
      <c r="BT30" s="253" t="s">
        <v>6</v>
      </c>
      <c r="BU30" s="254"/>
      <c r="BV30" s="255"/>
      <c r="BW30" s="249"/>
      <c r="BX30" s="253" t="str">
        <f>'ASTM Vol. XI-XII'!AM5</f>
        <v>ASTM Table 14</v>
      </c>
      <c r="BY30" s="254"/>
      <c r="BZ30" s="255"/>
      <c r="CA30" s="186"/>
      <c r="EH30" s="12"/>
      <c r="EI30" s="12"/>
      <c r="EJ30" s="12"/>
      <c r="EK30" s="171"/>
      <c r="EL30" s="171"/>
      <c r="EM30" s="171"/>
      <c r="EN30" s="171"/>
      <c r="EO30" s="171"/>
      <c r="EP30" s="171"/>
      <c r="EQ30" s="171"/>
      <c r="ER30" s="171"/>
      <c r="ES30" s="171"/>
    </row>
    <row r="31" spans="2:149" ht="13.25" customHeight="1">
      <c r="J31" s="275"/>
      <c r="K31" s="681" t="s">
        <v>252</v>
      </c>
      <c r="L31" s="585" t="str">
        <f>$L$17</f>
        <v>BBLS @ Temp.</v>
      </c>
      <c r="M31" s="508" t="str">
        <f>K33</f>
        <v>BBLS @ Temp.</v>
      </c>
      <c r="N31" s="477" t="str">
        <f>K34</f>
        <v>BBLS @ 60°F</v>
      </c>
      <c r="O31" s="477" t="str">
        <f>K35</f>
        <v>M3 @ Temp.</v>
      </c>
      <c r="P31" s="477" t="str">
        <f>K36</f>
        <v>M3 @ 15°C</v>
      </c>
      <c r="Q31" s="477" t="str">
        <f>K37</f>
        <v>MT (in Vac)</v>
      </c>
      <c r="R31" s="477" t="str">
        <f>K38</f>
        <v>MT (in Air)</v>
      </c>
      <c r="S31" s="477" t="str">
        <f>K39</f>
        <v>LT</v>
      </c>
      <c r="T31" s="477">
        <f>K40</f>
        <v>0</v>
      </c>
      <c r="V31" s="426"/>
      <c r="W31" s="398"/>
      <c r="X31" s="171"/>
      <c r="Y31" s="543" t="s">
        <v>18</v>
      </c>
      <c r="Z31" s="543" t="s">
        <v>205</v>
      </c>
      <c r="AA31" s="262" t="s">
        <v>18</v>
      </c>
      <c r="AB31" s="262" t="s">
        <v>205</v>
      </c>
      <c r="AC31" s="543" t="s">
        <v>206</v>
      </c>
      <c r="AD31" s="543" t="s">
        <v>207</v>
      </c>
      <c r="AE31" s="328"/>
      <c r="AF31" s="591"/>
      <c r="AG31" s="591"/>
      <c r="AH31" s="591"/>
      <c r="AI31" s="592"/>
      <c r="AJ31" s="574" t="s">
        <v>208</v>
      </c>
      <c r="AK31" s="171"/>
      <c r="AL31" s="171"/>
      <c r="AM31" s="171"/>
      <c r="AN31" s="171"/>
      <c r="AO31" s="171"/>
      <c r="AP31" s="171"/>
      <c r="AQ31" s="171"/>
      <c r="AR31" s="229" t="s">
        <v>18</v>
      </c>
      <c r="AS31" s="230" t="s">
        <v>19</v>
      </c>
      <c r="AT31" s="231" t="s">
        <v>20</v>
      </c>
      <c r="AU31" s="250"/>
      <c r="AV31" s="229" t="s">
        <v>18</v>
      </c>
      <c r="AW31" s="230" t="s">
        <v>21</v>
      </c>
      <c r="AX31" s="231" t="s">
        <v>13</v>
      </c>
      <c r="AY31" s="259"/>
      <c r="AZ31" s="229" t="s">
        <v>18</v>
      </c>
      <c r="BA31" s="230" t="s">
        <v>102</v>
      </c>
      <c r="BB31" s="231" t="s">
        <v>24</v>
      </c>
      <c r="BC31" s="252"/>
      <c r="BD31" s="229" t="s">
        <v>18</v>
      </c>
      <c r="BE31" s="230" t="s">
        <v>23</v>
      </c>
      <c r="BF31" s="231" t="s">
        <v>23</v>
      </c>
      <c r="BG31" s="252"/>
      <c r="BH31" s="229" t="s">
        <v>18</v>
      </c>
      <c r="BI31" s="230" t="s">
        <v>24</v>
      </c>
      <c r="BJ31" s="231" t="s">
        <v>16</v>
      </c>
      <c r="BK31" s="252"/>
      <c r="BL31" s="229" t="s">
        <v>18</v>
      </c>
      <c r="BM31" s="230" t="s">
        <v>14</v>
      </c>
      <c r="BN31" s="231" t="s">
        <v>14</v>
      </c>
      <c r="BO31" s="250"/>
      <c r="BP31" s="229" t="s">
        <v>18</v>
      </c>
      <c r="BQ31" s="230" t="s">
        <v>24</v>
      </c>
      <c r="BR31" s="231" t="s">
        <v>16</v>
      </c>
      <c r="BS31" s="252"/>
      <c r="BT31" s="229" t="s">
        <v>18</v>
      </c>
      <c r="BU31" s="230" t="s">
        <v>15</v>
      </c>
      <c r="BV31" s="231" t="s">
        <v>15</v>
      </c>
      <c r="BW31" s="250"/>
      <c r="BX31" s="229" t="s">
        <v>18</v>
      </c>
      <c r="BY31" s="230" t="s">
        <v>13</v>
      </c>
      <c r="BZ31" s="231" t="s">
        <v>13</v>
      </c>
      <c r="CA31" s="252"/>
      <c r="EH31" s="12"/>
      <c r="EI31" s="24"/>
      <c r="EJ31" s="12"/>
      <c r="EK31" s="12"/>
      <c r="EL31" s="12"/>
      <c r="EM31" s="12"/>
      <c r="EN31" s="12"/>
      <c r="EO31" s="12"/>
      <c r="EP31" s="12"/>
      <c r="EQ31" s="12"/>
      <c r="ER31" s="12"/>
      <c r="ES31" s="12"/>
    </row>
    <row r="32" spans="2:149" ht="13.25" customHeight="1">
      <c r="J32" s="276"/>
      <c r="K32" s="383"/>
      <c r="L32" s="482">
        <f>$L$18</f>
        <v>62900</v>
      </c>
      <c r="M32" s="478">
        <f>IF(M31=$L31,$L32,"")</f>
        <v>62900</v>
      </c>
      <c r="N32" s="479" t="str">
        <f>IF(N31=$L31,$L32,"")</f>
        <v/>
      </c>
      <c r="O32" s="479" t="str">
        <f t="shared" ref="O32:T32" si="2">IF(O31=$L31,$L32,"")</f>
        <v/>
      </c>
      <c r="P32" s="479" t="str">
        <f t="shared" si="2"/>
        <v/>
      </c>
      <c r="Q32" s="479" t="str">
        <f t="shared" si="2"/>
        <v/>
      </c>
      <c r="R32" s="478" t="str">
        <f t="shared" si="2"/>
        <v/>
      </c>
      <c r="S32" s="478" t="str">
        <f t="shared" si="2"/>
        <v/>
      </c>
      <c r="T32" s="478" t="str">
        <f t="shared" si="2"/>
        <v/>
      </c>
      <c r="U32" s="276"/>
      <c r="V32" s="428"/>
      <c r="W32" s="400"/>
      <c r="X32" s="12"/>
      <c r="Y32" s="545">
        <f>T8</f>
        <v>35.200000000000003</v>
      </c>
      <c r="Z32" s="546">
        <f>V8</f>
        <v>96</v>
      </c>
      <c r="AA32" s="547">
        <f>FLOOR(Y32,1)+IF(MOD(Y32,1)&lt;0.26,0,IF(MOD(Y32,1)&lt;0.76,0.5,1))</f>
        <v>35</v>
      </c>
      <c r="AB32" s="547">
        <f>FLOOR(Z32,1)+IF(MOD(Z32,1)&lt;0.26,0,IF(MOD(Z32,1)&lt;0.76,0.5,1))</f>
        <v>96</v>
      </c>
      <c r="AC32" s="548">
        <f>341.0957/(141.5*999.012/(AA32+131.5))^2</f>
        <v>4.7320620484205054E-4</v>
      </c>
      <c r="AD32" s="548">
        <f>1+0.8*AC32*(AB32-60)</f>
        <v>1.0136283386994511</v>
      </c>
      <c r="AE32" s="328"/>
      <c r="AF32" s="591"/>
      <c r="AG32" s="591"/>
      <c r="AH32" s="591"/>
      <c r="AI32" s="592"/>
      <c r="AJ32" s="590">
        <f>ROUND(EXP(AC32*(AB32-60)*AD32*-1),4)</f>
        <v>0.9829</v>
      </c>
      <c r="AK32" s="12"/>
      <c r="AL32" s="12"/>
      <c r="AM32" s="12"/>
      <c r="AN32" s="12"/>
      <c r="AO32" s="12"/>
      <c r="AP32" s="12"/>
      <c r="AQ32" s="12"/>
      <c r="AR32" s="180" t="s">
        <v>26</v>
      </c>
      <c r="AS32" s="181" t="s">
        <v>20</v>
      </c>
      <c r="AT32" s="182"/>
      <c r="AU32" s="185"/>
      <c r="AV32" s="180" t="s">
        <v>26</v>
      </c>
      <c r="AW32" s="181" t="s">
        <v>25</v>
      </c>
      <c r="AX32" s="182" t="s">
        <v>25</v>
      </c>
      <c r="AY32" s="260"/>
      <c r="AZ32" s="180" t="s">
        <v>26</v>
      </c>
      <c r="BA32" s="181" t="s">
        <v>25</v>
      </c>
      <c r="BB32" s="182" t="s">
        <v>25</v>
      </c>
      <c r="BC32" s="186"/>
      <c r="BD32" s="180" t="s">
        <v>26</v>
      </c>
      <c r="BE32" s="181" t="s">
        <v>98</v>
      </c>
      <c r="BF32" s="182" t="s">
        <v>25</v>
      </c>
      <c r="BG32" s="186"/>
      <c r="BH32" s="180" t="s">
        <v>26</v>
      </c>
      <c r="BI32" s="181" t="s">
        <v>25</v>
      </c>
      <c r="BJ32" s="182" t="s">
        <v>25</v>
      </c>
      <c r="BK32" s="186"/>
      <c r="BL32" s="180" t="s">
        <v>26</v>
      </c>
      <c r="BM32" s="181" t="s">
        <v>98</v>
      </c>
      <c r="BN32" s="182" t="s">
        <v>25</v>
      </c>
      <c r="BO32" s="185"/>
      <c r="BP32" s="180" t="s">
        <v>26</v>
      </c>
      <c r="BQ32" s="181" t="s">
        <v>25</v>
      </c>
      <c r="BR32" s="182" t="s">
        <v>25</v>
      </c>
      <c r="BS32" s="186"/>
      <c r="BT32" s="180" t="s">
        <v>26</v>
      </c>
      <c r="BU32" s="181" t="s">
        <v>98</v>
      </c>
      <c r="BV32" s="182" t="s">
        <v>25</v>
      </c>
      <c r="BW32" s="185"/>
      <c r="BX32" s="180" t="s">
        <v>26</v>
      </c>
      <c r="BY32" s="181" t="s">
        <v>25</v>
      </c>
      <c r="BZ32" s="182" t="s">
        <v>25</v>
      </c>
      <c r="CA32" s="186"/>
      <c r="EH32" s="12"/>
      <c r="EI32" s="12"/>
      <c r="EJ32" s="12"/>
      <c r="EK32" s="12"/>
      <c r="EL32" s="12"/>
      <c r="EM32" s="12"/>
      <c r="EN32" s="12"/>
      <c r="EO32" s="12"/>
      <c r="EP32" s="12"/>
      <c r="EQ32" s="12"/>
      <c r="ER32" s="12"/>
      <c r="ES32" s="12"/>
    </row>
    <row r="33" spans="10:149" ht="13.25" customHeight="1">
      <c r="J33" s="327">
        <v>1</v>
      </c>
      <c r="K33" s="454" t="str">
        <f t="shared" ref="K33:K40" si="3">K19</f>
        <v>BBLS @ Temp.</v>
      </c>
      <c r="L33" s="457">
        <f>MAX(M33:T33)</f>
        <v>62900</v>
      </c>
      <c r="M33" s="719">
        <f>IF($L$17=M31,ROUND(M32,0),"")</f>
        <v>62900</v>
      </c>
      <c r="N33" s="457" t="str">
        <f>IF($L$17=N31,ROUND(N34/$T$12,0),"")</f>
        <v/>
      </c>
      <c r="O33" s="457" t="str">
        <f>IF($L$17=O31,ROUND(O35*$P$8,0),"")</f>
        <v/>
      </c>
      <c r="P33" s="457" t="str">
        <f>IF($L$17=P31,ROUND(P34/$T$12,0),"")</f>
        <v/>
      </c>
      <c r="Q33" s="457" t="str">
        <f>IF($L$17=Q31,ROUND(Q34/$T$12,0),"")</f>
        <v/>
      </c>
      <c r="R33" s="457" t="str">
        <f>IF($L$17=R31,ROUND(R34/$T$12,0),"")</f>
        <v/>
      </c>
      <c r="S33" s="457" t="str">
        <f>IF($L$17=S31,ROUND(S34/$T$12,0),"")</f>
        <v/>
      </c>
      <c r="T33" s="457"/>
      <c r="V33" s="12"/>
      <c r="W33" s="398"/>
      <c r="X33" s="12"/>
      <c r="Y33" s="549"/>
      <c r="Z33" s="541"/>
      <c r="AA33" s="541"/>
      <c r="AB33" s="541"/>
      <c r="AC33" s="541"/>
      <c r="AD33" s="541"/>
      <c r="AE33" s="541"/>
      <c r="AF33" s="541"/>
      <c r="AG33" s="541"/>
      <c r="AH33" s="541"/>
      <c r="AI33" s="541"/>
      <c r="AJ33" s="550"/>
      <c r="AK33" s="12"/>
      <c r="AL33" s="12"/>
      <c r="AM33" s="12"/>
      <c r="AN33" s="12"/>
      <c r="AO33" s="12"/>
      <c r="AP33" s="12"/>
      <c r="AQ33" s="12"/>
      <c r="AR33" s="233"/>
      <c r="AS33" s="234"/>
      <c r="AT33" s="235"/>
      <c r="AU33" s="250"/>
      <c r="AV33" s="233" t="s">
        <v>27</v>
      </c>
      <c r="AW33" s="234" t="s">
        <v>30</v>
      </c>
      <c r="AX33" s="235" t="s">
        <v>28</v>
      </c>
      <c r="AY33" s="259"/>
      <c r="AZ33" s="233"/>
      <c r="BA33" s="234" t="s">
        <v>30</v>
      </c>
      <c r="BB33" s="235" t="s">
        <v>103</v>
      </c>
      <c r="BC33" s="252"/>
      <c r="BD33" s="233"/>
      <c r="BE33" s="234" t="s">
        <v>24</v>
      </c>
      <c r="BF33" s="235" t="s">
        <v>28</v>
      </c>
      <c r="BG33" s="252"/>
      <c r="BH33" s="233"/>
      <c r="BI33" s="234" t="s">
        <v>106</v>
      </c>
      <c r="BJ33" s="235" t="s">
        <v>106</v>
      </c>
      <c r="BK33" s="252"/>
      <c r="BL33" s="233"/>
      <c r="BM33" s="234" t="s">
        <v>24</v>
      </c>
      <c r="BN33" s="235" t="s">
        <v>28</v>
      </c>
      <c r="BO33" s="250"/>
      <c r="BP33" s="233"/>
      <c r="BQ33" s="234" t="s">
        <v>108</v>
      </c>
      <c r="BR33" s="235" t="s">
        <v>108</v>
      </c>
      <c r="BS33" s="252"/>
      <c r="BT33" s="233"/>
      <c r="BU33" s="234" t="s">
        <v>24</v>
      </c>
      <c r="BV33" s="235" t="s">
        <v>28</v>
      </c>
      <c r="BW33" s="250"/>
      <c r="BX33" s="233"/>
      <c r="BY33" s="234" t="s">
        <v>106</v>
      </c>
      <c r="BZ33" s="235" t="s">
        <v>110</v>
      </c>
      <c r="CA33" s="252"/>
      <c r="EH33" s="12"/>
      <c r="EI33" s="12"/>
      <c r="EJ33" s="12"/>
      <c r="EK33" s="12"/>
      <c r="EL33" s="12"/>
      <c r="EM33" s="12"/>
      <c r="EN33" s="12"/>
      <c r="EO33" s="12"/>
      <c r="EP33" s="12"/>
      <c r="EQ33" s="12"/>
      <c r="ER33" s="12"/>
      <c r="ES33" s="12"/>
    </row>
    <row r="34" spans="10:149" ht="13.25" customHeight="1">
      <c r="J34" s="327">
        <v>2</v>
      </c>
      <c r="K34" s="454" t="str">
        <f t="shared" si="3"/>
        <v>BBLS @ 60°F</v>
      </c>
      <c r="L34" s="599">
        <f>MAX(M34:T34)</f>
        <v>61824</v>
      </c>
      <c r="M34" s="599">
        <f>IF($L$17=M31,ROUND(M33*$T$12,0),"")</f>
        <v>61824</v>
      </c>
      <c r="N34" s="718" t="str">
        <f>IF($L$17=N31,ROUND(N32,0),"")</f>
        <v/>
      </c>
      <c r="O34" s="599" t="str">
        <f>IF($L$17=O31,ROUND(O33*$T$12,0),"")</f>
        <v/>
      </c>
      <c r="P34" s="599" t="str">
        <f>IF($L$17=P31,ROUND(P36/$T$47,0),"")</f>
        <v/>
      </c>
      <c r="Q34" s="599" t="str">
        <f>IF($L$17=Q31,ROUND(Q39*$T$57,0),"")</f>
        <v/>
      </c>
      <c r="R34" s="599" t="str">
        <f>IF($L$17=R31,ROUND(R38/$T$59,0),"")</f>
        <v/>
      </c>
      <c r="S34" s="599" t="str">
        <f>IF($L$17=S31,ROUND(S38/$T$59,0),"")</f>
        <v/>
      </c>
      <c r="T34" s="456"/>
      <c r="V34" s="12"/>
      <c r="W34" s="398"/>
      <c r="X34" s="12"/>
      <c r="Y34" s="571"/>
      <c r="Z34" s="572"/>
      <c r="AA34" s="262" t="s">
        <v>209</v>
      </c>
      <c r="AB34" s="29"/>
      <c r="AC34" s="551" t="s">
        <v>210</v>
      </c>
      <c r="AD34" s="539" t="s">
        <v>211</v>
      </c>
      <c r="AE34" s="552"/>
      <c r="AF34" s="552"/>
      <c r="AG34" s="540"/>
      <c r="AH34" s="551" t="s">
        <v>211</v>
      </c>
      <c r="AI34" s="553" t="s">
        <v>212</v>
      </c>
      <c r="AJ34" s="573" t="s">
        <v>204</v>
      </c>
      <c r="AK34" s="12"/>
      <c r="AL34" s="12"/>
      <c r="AM34" s="12"/>
      <c r="AN34" s="12"/>
      <c r="AO34" s="12"/>
      <c r="AP34" s="12"/>
      <c r="AQ34" s="12"/>
      <c r="AR34" s="23" t="s">
        <v>32</v>
      </c>
      <c r="AS34" s="183" t="s">
        <v>33</v>
      </c>
      <c r="AT34" s="184" t="s">
        <v>31</v>
      </c>
      <c r="AU34" s="185"/>
      <c r="AV34" s="23" t="s">
        <v>32</v>
      </c>
      <c r="AW34" s="183" t="s">
        <v>31</v>
      </c>
      <c r="AX34" s="184" t="s">
        <v>31</v>
      </c>
      <c r="AY34" s="260"/>
      <c r="AZ34" s="23" t="s">
        <v>32</v>
      </c>
      <c r="BA34" s="183" t="s">
        <v>32</v>
      </c>
      <c r="BB34" s="184" t="s">
        <v>32</v>
      </c>
      <c r="BC34" s="186"/>
      <c r="BD34" s="23" t="s">
        <v>32</v>
      </c>
      <c r="BE34" s="183" t="s">
        <v>32</v>
      </c>
      <c r="BF34" s="184" t="s">
        <v>32</v>
      </c>
      <c r="BG34" s="186"/>
      <c r="BH34" s="23" t="s">
        <v>32</v>
      </c>
      <c r="BI34" s="183" t="s">
        <v>32</v>
      </c>
      <c r="BJ34" s="184" t="s">
        <v>32</v>
      </c>
      <c r="BK34" s="186"/>
      <c r="BL34" s="23" t="s">
        <v>32</v>
      </c>
      <c r="BM34" s="183" t="s">
        <v>32</v>
      </c>
      <c r="BN34" s="184" t="s">
        <v>32</v>
      </c>
      <c r="BO34" s="185"/>
      <c r="BP34" s="23" t="s">
        <v>32</v>
      </c>
      <c r="BQ34" s="183" t="s">
        <v>32</v>
      </c>
      <c r="BR34" s="184" t="s">
        <v>32</v>
      </c>
      <c r="BS34" s="186"/>
      <c r="BT34" s="23" t="s">
        <v>32</v>
      </c>
      <c r="BU34" s="183" t="s">
        <v>32</v>
      </c>
      <c r="BV34" s="184" t="s">
        <v>32</v>
      </c>
      <c r="BW34" s="185"/>
      <c r="BX34" s="23" t="s">
        <v>32</v>
      </c>
      <c r="BY34" s="183" t="s">
        <v>31</v>
      </c>
      <c r="BZ34" s="184" t="s">
        <v>31</v>
      </c>
      <c r="CA34" s="186"/>
      <c r="EH34" s="12"/>
      <c r="EI34" s="12"/>
      <c r="EJ34" s="12"/>
      <c r="EK34" s="12"/>
      <c r="EL34" s="12"/>
      <c r="EM34" s="12"/>
      <c r="EN34" s="12"/>
      <c r="EO34" s="12"/>
      <c r="EP34" s="12"/>
      <c r="EQ34" s="12"/>
      <c r="ER34" s="12"/>
      <c r="ES34" s="12"/>
    </row>
    <row r="35" spans="10:149" ht="13.25" customHeight="1">
      <c r="J35" s="327">
        <v>3</v>
      </c>
      <c r="K35" s="454" t="str">
        <f t="shared" si="3"/>
        <v>M3 @ Temp.</v>
      </c>
      <c r="L35" s="456">
        <f t="shared" ref="L35:L39" si="4">MAX(M35:T35)</f>
        <v>10000.302</v>
      </c>
      <c r="M35" s="720">
        <f>IF($L$17=M31,ROUND(M33/$P$8,3),"")</f>
        <v>10000.302</v>
      </c>
      <c r="N35" s="720" t="str">
        <f>IF($L$17=N31,ROUND(N33/$P$8,3),"")</f>
        <v/>
      </c>
      <c r="O35" s="721" t="str">
        <f>IF($L$17=O31,ROUND(O32,3),"")</f>
        <v/>
      </c>
      <c r="P35" s="722" t="str">
        <f>IF($L$17=P31,ROUND(P33/$P$8,3),"")</f>
        <v/>
      </c>
      <c r="Q35" s="722" t="str">
        <f>IF($L$17=Q31,ROUND(Q33/$P$8,3),"")</f>
        <v/>
      </c>
      <c r="R35" s="722" t="str">
        <f>IF($L$17=R31,ROUND(R33/$P$8,3),"")</f>
        <v/>
      </c>
      <c r="S35" s="722" t="str">
        <f>IF($L$17=S31,ROUND(S33/$P$8,3),"")</f>
        <v/>
      </c>
      <c r="T35" s="456"/>
      <c r="V35" s="12"/>
      <c r="W35" s="398"/>
      <c r="X35" s="12"/>
      <c r="Y35" s="543" t="s">
        <v>18</v>
      </c>
      <c r="Z35" s="543" t="s">
        <v>205</v>
      </c>
      <c r="AA35" s="262" t="s">
        <v>18</v>
      </c>
      <c r="AB35" s="262" t="s">
        <v>205</v>
      </c>
      <c r="AC35" s="554"/>
      <c r="AD35" s="543" t="s">
        <v>213</v>
      </c>
      <c r="AE35" s="543" t="s">
        <v>214</v>
      </c>
      <c r="AF35" s="543" t="s">
        <v>215</v>
      </c>
      <c r="AG35" s="543" t="s">
        <v>216</v>
      </c>
      <c r="AH35" s="554"/>
      <c r="AI35" s="555"/>
      <c r="AJ35" s="574" t="s">
        <v>217</v>
      </c>
      <c r="AK35" s="12"/>
      <c r="AL35" s="12"/>
      <c r="AM35" s="12"/>
      <c r="AN35" s="12"/>
      <c r="AO35" s="12"/>
      <c r="AP35" s="12"/>
      <c r="AQ35" s="12"/>
      <c r="AR35" s="347">
        <f>VLOOKUP(AR36,'ASTM Vol. XI-XII'!D$10:D$860,TRUE)</f>
        <v>35.200000000000003</v>
      </c>
      <c r="AS35" s="270">
        <f>VLOOKUP(AR35,'ASTM Vol. XI-XII'!D$10:E$860,2)</f>
        <v>0.8488</v>
      </c>
      <c r="AT35" s="344">
        <f>VLOOKUP(AR35,'ASTM Vol. XI-XII'!D$10:F$860,3)</f>
        <v>848.4</v>
      </c>
      <c r="AU35" s="350"/>
      <c r="AV35" s="347">
        <f>VLOOKUP(AV36,'ASTM Vol. XI-XII'!H$10:H$860,TRUE)</f>
        <v>35.200000000000003</v>
      </c>
      <c r="AW35" s="270">
        <f>VLOOKUP(AV35,'ASTM Vol. XI-XII'!H$10:I$860,2)</f>
        <v>3.7837000000000001</v>
      </c>
      <c r="AX35" s="268">
        <f>VLOOKUP(AV35,'ASTM Vol. XI-XII'!H$10:J$860,3)</f>
        <v>0.15891</v>
      </c>
      <c r="AY35" s="352"/>
      <c r="AZ35" s="347">
        <f>VLOOKUP(AZ36,'ASTM Vol. XI-XII'!L$10:L$860,TRUE)</f>
        <v>35.200000000000003</v>
      </c>
      <c r="BA35" s="270">
        <f>VLOOKUP(AZ35,'ASTM Vol. XI-XII'!L$10:M$860,2)</f>
        <v>7.0679999999999996</v>
      </c>
      <c r="BB35" s="268">
        <f>VLOOKUP(AZ35,'ASTM Vol. XI-XII'!L$10:N$860,3)</f>
        <v>0.14149</v>
      </c>
      <c r="BC35" s="350"/>
      <c r="BD35" s="347">
        <f>VLOOKUP(BD36,'ASTM Vol. XI-XII'!P$10:P$860,TRUE)</f>
        <v>35.200000000000003</v>
      </c>
      <c r="BE35" s="270">
        <f>VLOOKUP(BD35,'ASTM Vol. XI-XII'!P$10:Q$860,2)</f>
        <v>3.5339</v>
      </c>
      <c r="BF35" s="268">
        <f>VLOOKUP(BD35,'ASTM Vol. XI-XII'!P$10:R$860,3)</f>
        <v>0.14842</v>
      </c>
      <c r="BG35" s="350"/>
      <c r="BH35" s="347">
        <f>VLOOKUP(BH36,'ASTM Vol. XI-XII'!T$10:T$860,TRUE)</f>
        <v>35.200000000000003</v>
      </c>
      <c r="BI35" s="349">
        <f>VLOOKUP(BH35,'ASTM Vol. XI-XII'!T$10:U$860,2)</f>
        <v>282.98000000000201</v>
      </c>
      <c r="BJ35" s="351">
        <f>VLOOKUP(BH35,'ASTM Vol. XI-XII'!T$10:V$860,3)</f>
        <v>6.7380000000000004</v>
      </c>
      <c r="BK35" s="350"/>
      <c r="BL35" s="347">
        <f>VLOOKUP(BL36,'ASTM Vol. XI-XII'!X$10:X$860,TRUE)</f>
        <v>35.200000000000003</v>
      </c>
      <c r="BM35" s="270">
        <f>VLOOKUP(BL35,'ASTM Vol. XI-XII'!X$10:Y$860,2)</f>
        <v>3.1551999999999998</v>
      </c>
      <c r="BN35" s="268">
        <f>VLOOKUP(BL35,'ASTM Vol. XI-XII'!X$10:Z$860,3)</f>
        <v>0.13252</v>
      </c>
      <c r="BO35" s="350"/>
      <c r="BP35" s="347">
        <f>VLOOKUP(BP36,'ASTM Vol. XI-XII'!AB$10:AB$860,TRUE)</f>
        <v>35.200000000000003</v>
      </c>
      <c r="BQ35" s="349">
        <f>VLOOKUP(BP35,'ASTM Vol. XI-XII'!AB$10:AC$860,2)</f>
        <v>316.93</v>
      </c>
      <c r="BR35" s="351">
        <f>VLOOKUP(BP35,'ASTM Vol. XI-XII'!AB$10:AD$860,3)</f>
        <v>7.5460000000000003</v>
      </c>
      <c r="BS35" s="350"/>
      <c r="BT35" s="347">
        <f>VLOOKUP(BT36,'ASTM Vol. XI-XII'!AF$10:AF$860,TRUE)</f>
        <v>35.200000000000003</v>
      </c>
      <c r="BU35" s="270">
        <f>VLOOKUP(BT35,'ASTM Vol. XI-XII'!AF$10:AG$860,2)</f>
        <v>3.2059000000000002</v>
      </c>
      <c r="BV35" s="268">
        <f>VLOOKUP(BT35,'ASTM Vol. XI-XII'!AF$10:AH$860,3)</f>
        <v>0.13464999999999999</v>
      </c>
      <c r="BW35" s="350"/>
      <c r="BX35" s="347">
        <f>VLOOKUP(BX36,'ASTM Vol. XI-XII'!AM$10:AM$860,TRUE)</f>
        <v>35.200000000000003</v>
      </c>
      <c r="BY35" s="270">
        <f>VLOOKUP(BX35,'ASTM Vol. XI-XII'!AM$10:AN$860,2)</f>
        <v>1.0707</v>
      </c>
      <c r="BZ35" s="270">
        <f>VLOOKUP(BX35,'ASTM Vol. XI-XII'!AM$10:AO$860,3)</f>
        <v>1.1992</v>
      </c>
      <c r="CA35" s="261"/>
      <c r="EH35" s="171"/>
      <c r="EI35" s="171"/>
      <c r="EJ35" s="171"/>
      <c r="EK35" s="12"/>
      <c r="EL35" s="12"/>
      <c r="EM35" s="12"/>
      <c r="EN35" s="12"/>
      <c r="EO35" s="12"/>
      <c r="EP35" s="12"/>
      <c r="EQ35" s="12"/>
      <c r="ER35" s="12"/>
      <c r="ES35" s="12"/>
    </row>
    <row r="36" spans="10:149" ht="13.25" customHeight="1">
      <c r="J36" s="327">
        <v>4</v>
      </c>
      <c r="K36" s="454" t="str">
        <f t="shared" si="3"/>
        <v>M3 @ 15°C</v>
      </c>
      <c r="L36" s="456">
        <f t="shared" si="4"/>
        <v>9824.4519999999993</v>
      </c>
      <c r="M36" s="720">
        <f>IF($L$17=M31,ROUND(M34*$T$47,3),"")</f>
        <v>9824.4519999999993</v>
      </c>
      <c r="N36" s="720" t="str">
        <f>IF($L$17=N31,ROUND(N34*$T$47,3),"")</f>
        <v/>
      </c>
      <c r="O36" s="720" t="str">
        <f>IF($L$17=O31,ROUND(O34*$T$47,3),"")</f>
        <v/>
      </c>
      <c r="P36" s="721" t="str">
        <f>IF($L$17=P31,ROUND(P32,3),"")</f>
        <v/>
      </c>
      <c r="Q36" s="720" t="str">
        <f>IF($L$17=Q31,ROUND(Q38*$T$120,3),"")</f>
        <v/>
      </c>
      <c r="R36" s="720" t="str">
        <f>IF($L$17=R31,ROUND(R34*$T$47,3),"")</f>
        <v/>
      </c>
      <c r="S36" s="720" t="str">
        <f>IF($L$17=S31,ROUND(S34*$T$47,3),"")</f>
        <v/>
      </c>
      <c r="T36" s="456"/>
      <c r="V36" s="12"/>
      <c r="W36" s="398"/>
      <c r="X36" s="12"/>
      <c r="Y36" s="545">
        <f>T8</f>
        <v>35.200000000000003</v>
      </c>
      <c r="Z36" s="546">
        <f>V8</f>
        <v>96</v>
      </c>
      <c r="AA36" s="547">
        <f>FLOOR(Y36,1)+IF(MOD(Y36,1)&lt;0.26,0,IF(MOD(Y36,1)&lt;0.76,0.5,1))</f>
        <v>35</v>
      </c>
      <c r="AB36" s="547">
        <f>FLOOR(Z36,1)+IF(MOD(Z36,1)&lt;0.26,0,IF(MOD(Z36,1)&lt;0.76,0.5,1))</f>
        <v>96</v>
      </c>
      <c r="AC36" s="543">
        <f>(141.5*999.012 )/(AA36+131.5)</f>
        <v>849.01019819819817</v>
      </c>
      <c r="AD36" s="543">
        <f>IF(AA36&lt;37,(103.872/AC36^2)+(0.2701/AC36),0)</f>
        <v>4.6223805200227555E-4</v>
      </c>
      <c r="AE36" s="543">
        <f>IF(AND(AA36&gt;=37,AA36&lt;48),330.301/AC36^2,0)</f>
        <v>0</v>
      </c>
      <c r="AF36" s="543">
        <f>IF(AND(AA36&gt;=48,AA36&lt;52),((1489.067/AC36^2)-0.0018684),0)</f>
        <v>0</v>
      </c>
      <c r="AG36" s="543">
        <f>IF(AND(AA36&gt;=52,AA36&lt;85),(192.4571/AC36^2)+(0.2438/AC36),0)</f>
        <v>0</v>
      </c>
      <c r="AH36" s="556">
        <f>MAX(AD36:AG36)</f>
        <v>4.6223805200227555E-4</v>
      </c>
      <c r="AI36" s="543">
        <f>1+0.8*AH36*(AB36-60)</f>
        <v>1.0133124558976656</v>
      </c>
      <c r="AJ36" s="557">
        <f>ROUND(EXP(AH36*(AB36-60)*AI36*-1),4)</f>
        <v>0.98329999999999995</v>
      </c>
      <c r="AK36" s="12"/>
      <c r="AL36" s="12"/>
      <c r="AM36" s="12"/>
      <c r="AN36" s="12"/>
      <c r="AO36" s="12"/>
      <c r="AP36" s="12"/>
      <c r="AQ36" s="12"/>
      <c r="AR36" s="353">
        <f>$T$42</f>
        <v>35.200000000000003</v>
      </c>
      <c r="AS36" s="271">
        <f>ROUND(AS35+((AR36-AR35)/(AR37-AR35))*(AS37-AS35),4)</f>
        <v>0.8488</v>
      </c>
      <c r="AT36" s="343">
        <f>ROUND(AT35+((AR36-AR35)/(AR37-AR35))*(AT37-AT35),1)</f>
        <v>848.4</v>
      </c>
      <c r="AU36" s="350"/>
      <c r="AV36" s="353">
        <f>$T$42</f>
        <v>35.200000000000003</v>
      </c>
      <c r="AW36" s="271">
        <f>ROUND(AW35+((AV36-AV35)/(AV37-AV35))*(AW37-AW35),4)</f>
        <v>3.7837000000000001</v>
      </c>
      <c r="AX36" s="269">
        <f>ROUND(AX35+((AV36-AV35)/(AV37-AV35))*(AX37-AX35),5)</f>
        <v>0.15891</v>
      </c>
      <c r="AY36" s="352"/>
      <c r="AZ36" s="353">
        <f>$T$42</f>
        <v>35.200000000000003</v>
      </c>
      <c r="BA36" s="271">
        <f>ROUND(BA35+((AZ36-AZ35)/(AZ37-AZ35))*(BA37-BA35),4)</f>
        <v>7.0679999999999996</v>
      </c>
      <c r="BB36" s="269">
        <f>ROUND(BB35+((AZ36-AZ35)/(AZ37-AZ35))*(BB37-BB35),5)</f>
        <v>0.14149</v>
      </c>
      <c r="BC36" s="350"/>
      <c r="BD36" s="353">
        <f>$T$42</f>
        <v>35.200000000000003</v>
      </c>
      <c r="BE36" s="271">
        <f>ROUND(BE35+((BD36-BD35)/(BD37-BD35))*(BE37-BE35),4)</f>
        <v>3.5339</v>
      </c>
      <c r="BF36" s="269">
        <f>ROUND(BF35+((BD36-BD35)/(BD37-BD35))*(BF37-BF35),5)</f>
        <v>0.14842</v>
      </c>
      <c r="BG36" s="350"/>
      <c r="BH36" s="353">
        <f>$T$42</f>
        <v>35.200000000000003</v>
      </c>
      <c r="BI36" s="354">
        <f>ROUND(BI35+((BH36-BH35)/(BH37-BH35))*(BI37-BI35),2)</f>
        <v>282.98</v>
      </c>
      <c r="BJ36" s="355">
        <f>ROUND(BJ35+((BH36-BH35)/(BH37-BH35))*(BJ37-BJ35),3)</f>
        <v>6.7380000000000004</v>
      </c>
      <c r="BK36" s="350"/>
      <c r="BL36" s="353">
        <f>$T$42</f>
        <v>35.200000000000003</v>
      </c>
      <c r="BM36" s="271">
        <f>ROUND(BM35+((BL36-BL35)/(BL37-BL35))*(BM37-BM35),4)</f>
        <v>3.1551999999999998</v>
      </c>
      <c r="BN36" s="269">
        <f>ROUND(BN35+((BL36-BL35)/(BL37-BL35))*(BN37-BN35),5)</f>
        <v>0.13252</v>
      </c>
      <c r="BO36" s="350"/>
      <c r="BP36" s="353">
        <f>$T$42</f>
        <v>35.200000000000003</v>
      </c>
      <c r="BQ36" s="354">
        <f>ROUND(BQ35+((BP36-BP35)/(BP37-BP35))*(BQ37-BQ35),2)</f>
        <v>316.93</v>
      </c>
      <c r="BR36" s="355">
        <f>ROUND(BR35+((BP36-BP35)/(BP37-BP35))*(BR37-BR35),3)</f>
        <v>7.5460000000000003</v>
      </c>
      <c r="BS36" s="350"/>
      <c r="BT36" s="353">
        <f>$T$42</f>
        <v>35.200000000000003</v>
      </c>
      <c r="BU36" s="271">
        <f>ROUND(BU35+((BT36-BT35)/(BT37-BT35))*(BU37-BU35),4)</f>
        <v>3.2059000000000002</v>
      </c>
      <c r="BV36" s="269">
        <f>ROUND(BV35+((BT36-BT35)/(BT37-BT35))*(BV37-BV35),5)</f>
        <v>0.13464999999999999</v>
      </c>
      <c r="BW36" s="350"/>
      <c r="BX36" s="353">
        <f>$T$42</f>
        <v>35.200000000000003</v>
      </c>
      <c r="BY36" s="271">
        <f>ROUND(BY35+((BX36-BX35)/(BX37-BX35))*(BY37-BY35),4)</f>
        <v>1.0707</v>
      </c>
      <c r="BZ36" s="271">
        <f>ROUND(BZ35+((BX36-BX35)/(BX37-BX35))*(BZ37-BZ35),4)</f>
        <v>1.1992</v>
      </c>
      <c r="CA36" s="261"/>
      <c r="EH36" s="12"/>
      <c r="EI36" s="12"/>
      <c r="EJ36" s="12"/>
      <c r="EK36" s="171"/>
      <c r="EL36" s="171"/>
      <c r="EM36" s="171"/>
      <c r="EN36" s="171"/>
      <c r="EO36" s="171"/>
      <c r="EP36" s="171"/>
      <c r="EQ36" s="171"/>
      <c r="ER36" s="171"/>
      <c r="ES36" s="171"/>
    </row>
    <row r="37" spans="10:149" ht="13.25" customHeight="1">
      <c r="J37" s="327">
        <v>5</v>
      </c>
      <c r="K37" s="454" t="str">
        <f t="shared" si="3"/>
        <v>MT (in Vac)</v>
      </c>
      <c r="L37" s="456">
        <f t="shared" si="4"/>
        <v>8335.0079999999998</v>
      </c>
      <c r="M37" s="720">
        <f>IF($L$17=M31,ROUND(M38*$T$118,3),"")</f>
        <v>8335.0079999999998</v>
      </c>
      <c r="N37" s="720" t="str">
        <f>IF($L$17=N31,ROUND(N38*$T$118,3),"")</f>
        <v/>
      </c>
      <c r="O37" s="720" t="str">
        <f>IF($L$17=O31,ROUND(O38*$T$118,3),"")</f>
        <v/>
      </c>
      <c r="P37" s="720" t="str">
        <f>IF($L$17=P31,ROUND(P38*$T$118,3),"")</f>
        <v/>
      </c>
      <c r="Q37" s="721" t="str">
        <f>IF($L$17=Q31,ROUND(Q32,3),"")</f>
        <v/>
      </c>
      <c r="R37" s="720" t="str">
        <f>IF($L$17=R31,ROUND(R38*$T$118,3),"")</f>
        <v/>
      </c>
      <c r="S37" s="720" t="str">
        <f>IF($L$17=S31,ROUND(S38*$T$118,3),"")</f>
        <v/>
      </c>
      <c r="T37" s="456"/>
      <c r="V37" s="12"/>
      <c r="W37" s="398"/>
      <c r="X37" s="171"/>
      <c r="Y37" s="575"/>
      <c r="Z37" s="576"/>
      <c r="AA37" s="576"/>
      <c r="AB37" s="576"/>
      <c r="AC37" s="576"/>
      <c r="AD37" s="576"/>
      <c r="AE37" s="576"/>
      <c r="AF37" s="577"/>
      <c r="AG37" s="577"/>
      <c r="AH37" s="577"/>
      <c r="AI37" s="577"/>
      <c r="AJ37" s="578"/>
      <c r="AK37" s="171"/>
      <c r="AL37" s="171"/>
      <c r="AM37" s="171"/>
      <c r="AN37" s="171"/>
      <c r="AO37" s="171"/>
      <c r="AP37" s="171"/>
      <c r="AQ37" s="171"/>
      <c r="AR37" s="347">
        <f>INDEX('ASTM Vol. XI-XII'!D$10:D$860,(MATCH(AR35,'ASTM Vol. XI-XII'!D$10:D$860,1)+1))</f>
        <v>35.299999999999997</v>
      </c>
      <c r="AS37" s="270">
        <f>VLOOKUP(AR37,'ASTM Vol. XI-XII'!D$10:E$860,2)</f>
        <v>0.84830000000000005</v>
      </c>
      <c r="AT37" s="344">
        <f>VLOOKUP(AR37,'ASTM Vol. XI-XII'!D$10:F$860,3)</f>
        <v>847.9</v>
      </c>
      <c r="AU37" s="356"/>
      <c r="AV37" s="347">
        <f>INDEX('ASTM Vol. XI-XII'!H$10:H$860,(MATCH(AV35,'ASTM Vol. XI-XII'!H$10:H$860,1)+1))</f>
        <v>35.299999999999997</v>
      </c>
      <c r="AW37" s="270">
        <f>VLOOKUP(AV37,'ASTM Vol. XI-XII'!H$10:I$860,2)</f>
        <v>3.7837000000000001</v>
      </c>
      <c r="AX37" s="268">
        <f>VLOOKUP(AV37,'ASTM Vol. XI-XII'!H$10:J$860,3)</f>
        <v>0.15891</v>
      </c>
      <c r="AY37" s="357"/>
      <c r="AZ37" s="347">
        <f>INDEX('ASTM Vol. XI-XII'!L$10:L$860,(MATCH(AZ35,'ASTM Vol. XI-XII'!L$10:L$860,1)+1))</f>
        <v>35.299999999999997</v>
      </c>
      <c r="BA37" s="270">
        <f>VLOOKUP(AZ37,'ASTM Vol. XI-XII'!L$10:M$860,2)</f>
        <v>7.0629999999999997</v>
      </c>
      <c r="BB37" s="268">
        <f>VLOOKUP(AZ37,'ASTM Vol. XI-XII'!L$10:N$860,3)</f>
        <v>0.14157</v>
      </c>
      <c r="BC37" s="356"/>
      <c r="BD37" s="347">
        <f>INDEX('ASTM Vol. XI-XII'!P$10:P$860,(MATCH(BD35,'ASTM Vol. XI-XII'!P$10:P$860,1)+1))</f>
        <v>35.299999999999997</v>
      </c>
      <c r="BE37" s="270">
        <f>VLOOKUP(BD37,'ASTM Vol. XI-XII'!P$10:Q$860,2)</f>
        <v>3.5316999999999998</v>
      </c>
      <c r="BF37" s="268">
        <f>VLOOKUP(BD37,'ASTM Vol. XI-XII'!P$10:R$860,3)</f>
        <v>0.14832999999999999</v>
      </c>
      <c r="BG37" s="356"/>
      <c r="BH37" s="347">
        <f>INDEX('ASTM Vol. XI-XII'!T$10:T$860,(MATCH(BH35,'ASTM Vol. XI-XII'!T$10:T$860,1)+1))</f>
        <v>35.299999999999997</v>
      </c>
      <c r="BI37" s="349">
        <f>VLOOKUP(BH37,'ASTM Vol. XI-XII'!T$10:U$860,2)</f>
        <v>283.15000000000202</v>
      </c>
      <c r="BJ37" s="351">
        <f>VLOOKUP(BH37,'ASTM Vol. XI-XII'!T$10:V$860,3)</f>
        <v>6.742</v>
      </c>
      <c r="BK37" s="356"/>
      <c r="BL37" s="347">
        <f>INDEX('ASTM Vol. XI-XII'!X$10:X$860,(MATCH(BL35,'ASTM Vol. XI-XII'!X$10:X$860,1)+1))</f>
        <v>35.299999999999997</v>
      </c>
      <c r="BM37" s="270">
        <f>VLOOKUP(BL37,'ASTM Vol. XI-XII'!X$10:Y$860,2)</f>
        <v>3.1533000000000002</v>
      </c>
      <c r="BN37" s="268">
        <f>VLOOKUP(BL37,'ASTM Vol. XI-XII'!X$10:Z$860,3)</f>
        <v>0.13244</v>
      </c>
      <c r="BO37" s="356"/>
      <c r="BP37" s="347">
        <f>INDEX('ASTM Vol. XI-XII'!AB$10:AB$860,(MATCH(BP35,'ASTM Vol. XI-XII'!AB$10:AB$860,1)+1))</f>
        <v>35.299999999999997</v>
      </c>
      <c r="BQ37" s="349">
        <f>VLOOKUP(BP37,'ASTM Vol. XI-XII'!AB$10:AC$860,2)</f>
        <v>317.13</v>
      </c>
      <c r="BR37" s="351">
        <f>VLOOKUP(BP37,'ASTM Vol. XI-XII'!AB$10:AD$860,3)</f>
        <v>7.5510000000000002</v>
      </c>
      <c r="BS37" s="356"/>
      <c r="BT37" s="347">
        <f>INDEX('ASTM Vol. XI-XII'!AF$10:AF$860,(MATCH(BT35,'ASTM Vol. XI-XII'!AF$10:AF$860,1)+1))</f>
        <v>35.299999999999997</v>
      </c>
      <c r="BU37" s="270">
        <f>VLOOKUP(BT37,'ASTM Vol. XI-XII'!AF$10:AG$860,2)</f>
        <v>3.2039</v>
      </c>
      <c r="BV37" s="268">
        <f>VLOOKUP(BT37,'ASTM Vol. XI-XII'!AF$10:AH$860,3)</f>
        <v>0.13457</v>
      </c>
      <c r="BW37" s="356"/>
      <c r="BX37" s="347">
        <f>INDEX('ASTM Vol. XI-XII'!AM$10:AM$860,(MATCH(BX35,'ASTM Vol. XI-XII'!AM$10:AM$860,1)+1))</f>
        <v>35.299999999999997</v>
      </c>
      <c r="BY37" s="270">
        <f>VLOOKUP(BX37,'ASTM Vol. XI-XII'!AM$10:AN$860,2)</f>
        <v>1.0712999999999999</v>
      </c>
      <c r="BZ37" s="270">
        <f>VLOOKUP(BX37,'ASTM Vol. XI-XII'!AM$10:AO$860,3)</f>
        <v>1.1999</v>
      </c>
      <c r="CA37" s="261"/>
      <c r="EH37" s="12"/>
      <c r="EI37" s="12"/>
      <c r="EJ37" s="12"/>
      <c r="EK37" s="171"/>
      <c r="EL37" s="171"/>
      <c r="EM37" s="171"/>
      <c r="EN37" s="171"/>
      <c r="EO37" s="171"/>
      <c r="EP37" s="171"/>
      <c r="EQ37" s="171"/>
      <c r="ER37" s="171"/>
      <c r="ES37" s="171"/>
    </row>
    <row r="38" spans="10:149" ht="13.25" customHeight="1">
      <c r="J38" s="327">
        <v>6</v>
      </c>
      <c r="K38" s="454" t="str">
        <f t="shared" si="3"/>
        <v>MT (in Air)</v>
      </c>
      <c r="L38" s="600">
        <f t="shared" si="4"/>
        <v>8324.6020000000008</v>
      </c>
      <c r="M38" s="723">
        <f>IF($L$17=M31,ROUND(M34*$T$59,3),"")</f>
        <v>8324.6020000000008</v>
      </c>
      <c r="N38" s="723" t="str">
        <f>IF($L$17=N31,ROUND(N34*$T$59,3),"")</f>
        <v/>
      </c>
      <c r="O38" s="723" t="str">
        <f>IF($L$17=O31,ROUND(O34*$T$59,3),"")</f>
        <v/>
      </c>
      <c r="P38" s="723" t="str">
        <f>IF($L$17=P31,ROUND(P34*$T$59,3),"")</f>
        <v/>
      </c>
      <c r="Q38" s="723" t="str">
        <f>IF($L$17=Q31,ROUND(Q37*$T$117,3),"")</f>
        <v/>
      </c>
      <c r="R38" s="724" t="str">
        <f>IF($L$17=R31,ROUND(R32,3),"")</f>
        <v/>
      </c>
      <c r="S38" s="723" t="str">
        <f>IF($L$17=S31,ROUND(S39/P10,3),"")</f>
        <v/>
      </c>
      <c r="T38" s="457"/>
      <c r="V38" s="12"/>
      <c r="W38" s="398"/>
      <c r="X38" s="171"/>
      <c r="Y38" s="171"/>
      <c r="Z38" s="171"/>
      <c r="AA38" s="171"/>
      <c r="AB38" s="171"/>
      <c r="AC38" s="171"/>
      <c r="AD38" s="171"/>
      <c r="AE38" s="171"/>
      <c r="AF38" s="171"/>
      <c r="AG38" s="171"/>
      <c r="AH38" s="171"/>
      <c r="AI38" s="171"/>
      <c r="AJ38" s="171"/>
      <c r="AK38" s="171"/>
      <c r="AL38" s="171"/>
      <c r="AM38" s="171"/>
      <c r="AN38" s="171"/>
      <c r="AO38" s="171"/>
      <c r="AP38" s="171"/>
      <c r="AQ38" s="171"/>
      <c r="EH38" s="12"/>
      <c r="EI38" s="12"/>
      <c r="EJ38" s="12"/>
      <c r="EK38" s="171"/>
      <c r="EL38" s="171"/>
      <c r="EM38" s="171"/>
      <c r="EN38" s="171"/>
      <c r="EO38" s="171"/>
      <c r="EP38" s="171"/>
      <c r="EQ38" s="171"/>
      <c r="ER38" s="171"/>
      <c r="ES38" s="171"/>
    </row>
    <row r="39" spans="10:149" ht="13.25" customHeight="1">
      <c r="J39" s="327">
        <v>7</v>
      </c>
      <c r="K39" s="454" t="str">
        <f t="shared" si="3"/>
        <v>LT</v>
      </c>
      <c r="L39" s="600">
        <f t="shared" si="4"/>
        <v>8192.9159999999993</v>
      </c>
      <c r="M39" s="723">
        <f t="shared" ref="M39:R39" si="5">IF($L$17=M31,ROUND(M34*$T$55,3),"")</f>
        <v>8192.9159999999993</v>
      </c>
      <c r="N39" s="723" t="str">
        <f t="shared" si="5"/>
        <v/>
      </c>
      <c r="O39" s="723" t="str">
        <f t="shared" si="5"/>
        <v/>
      </c>
      <c r="P39" s="723" t="str">
        <f t="shared" si="5"/>
        <v/>
      </c>
      <c r="Q39" s="723" t="str">
        <f>IF($L$17=Q31,ROUND(Q38*$P$10,3),"")</f>
        <v/>
      </c>
      <c r="R39" s="723" t="str">
        <f t="shared" si="5"/>
        <v/>
      </c>
      <c r="S39" s="724" t="str">
        <f>IF($L$17=S31,ROUND(S32,3),"")</f>
        <v/>
      </c>
      <c r="T39" s="457"/>
      <c r="V39" s="12"/>
      <c r="W39" s="398"/>
      <c r="X39" s="171"/>
      <c r="Y39" s="171"/>
      <c r="Z39" s="171"/>
      <c r="AA39" s="171"/>
      <c r="AB39" s="171"/>
      <c r="AC39" s="171"/>
      <c r="AD39" s="171"/>
      <c r="AE39" s="171"/>
      <c r="AF39" s="171"/>
      <c r="AG39" s="171"/>
      <c r="AH39" s="171"/>
      <c r="AI39" s="171"/>
      <c r="AJ39" s="171"/>
      <c r="AK39" s="171"/>
      <c r="AL39" s="171"/>
      <c r="AM39" s="171"/>
      <c r="AN39" s="171"/>
      <c r="AO39" s="171"/>
      <c r="AP39" s="171"/>
      <c r="AQ39" s="171"/>
      <c r="EH39" s="12"/>
      <c r="EI39" s="12"/>
      <c r="EJ39" s="12"/>
      <c r="EK39" s="171"/>
      <c r="EL39" s="171"/>
      <c r="EM39" s="171"/>
      <c r="EN39" s="171"/>
      <c r="EO39" s="171"/>
      <c r="EP39" s="171"/>
      <c r="EQ39" s="171"/>
      <c r="ER39" s="171"/>
      <c r="ES39" s="171"/>
    </row>
    <row r="40" spans="10:149" ht="13.25" customHeight="1">
      <c r="J40" s="327">
        <v>8</v>
      </c>
      <c r="K40" s="454">
        <f t="shared" si="3"/>
        <v>0</v>
      </c>
      <c r="L40" s="457"/>
      <c r="M40" s="457"/>
      <c r="N40" s="457"/>
      <c r="O40" s="457"/>
      <c r="P40" s="457"/>
      <c r="Q40" s="457"/>
      <c r="R40" s="457"/>
      <c r="S40" s="457"/>
      <c r="T40" s="457"/>
      <c r="V40" s="12"/>
      <c r="W40" s="398"/>
      <c r="X40" s="171"/>
      <c r="Y40" s="171"/>
      <c r="Z40" s="171"/>
      <c r="AA40" s="171"/>
      <c r="AB40" s="171"/>
      <c r="AC40" s="171"/>
      <c r="AD40" s="171"/>
      <c r="AE40" s="171"/>
      <c r="AF40" s="171"/>
      <c r="AG40" s="171"/>
      <c r="AH40" s="171"/>
      <c r="AI40" s="171"/>
      <c r="AJ40" s="171"/>
      <c r="AK40" s="171"/>
      <c r="AL40" s="171"/>
      <c r="AM40" s="171"/>
      <c r="AN40" s="171"/>
      <c r="AO40" s="171"/>
      <c r="AP40" s="171"/>
      <c r="AQ40" s="171"/>
      <c r="EH40" s="12"/>
      <c r="EI40" s="12"/>
      <c r="EJ40" s="12"/>
      <c r="EK40" s="171"/>
      <c r="EL40" s="171"/>
      <c r="EM40" s="171"/>
      <c r="EN40" s="171"/>
      <c r="EO40" s="171"/>
      <c r="EP40" s="171"/>
      <c r="EQ40" s="171"/>
      <c r="ER40" s="171"/>
      <c r="ES40" s="171"/>
    </row>
    <row r="41" spans="10:149" ht="13.25" customHeight="1">
      <c r="J41" s="464"/>
      <c r="K41" s="458"/>
      <c r="L41" s="484"/>
      <c r="M41" s="484"/>
      <c r="N41" s="485"/>
      <c r="O41" s="485"/>
      <c r="P41" s="485"/>
      <c r="Q41" s="377"/>
      <c r="R41" s="486"/>
      <c r="S41" s="465"/>
      <c r="T41" s="484"/>
      <c r="U41" s="484"/>
      <c r="V41" s="484"/>
      <c r="W41" s="487"/>
      <c r="X41" s="171"/>
      <c r="Y41" s="171"/>
      <c r="Z41" s="171"/>
      <c r="AA41" s="171"/>
      <c r="AB41" s="171"/>
      <c r="AC41" s="171"/>
      <c r="AD41" s="171"/>
      <c r="AE41" s="171"/>
      <c r="AF41" s="171"/>
      <c r="AG41" s="171"/>
      <c r="AH41" s="171"/>
      <c r="AI41" s="171"/>
      <c r="AJ41" s="171"/>
      <c r="AK41" s="171"/>
      <c r="AL41" s="171"/>
      <c r="AM41" s="171"/>
      <c r="AN41" s="171"/>
      <c r="AO41" s="171"/>
      <c r="AP41" s="171"/>
      <c r="AQ41" s="171"/>
      <c r="EH41" s="12"/>
      <c r="EI41" s="12"/>
      <c r="EJ41" s="12"/>
      <c r="EK41" s="171"/>
      <c r="EL41" s="171"/>
      <c r="EM41" s="171"/>
      <c r="EN41" s="171"/>
      <c r="EO41" s="171"/>
      <c r="EP41" s="171"/>
      <c r="EQ41" s="171"/>
      <c r="ER41" s="171"/>
      <c r="ES41" s="171"/>
    </row>
    <row r="42" spans="10:149" ht="13.25" customHeight="1">
      <c r="J42" s="275"/>
      <c r="K42" s="310"/>
      <c r="N42" s="310"/>
      <c r="O42" s="310"/>
      <c r="P42" s="310"/>
      <c r="Q42" s="378"/>
      <c r="R42" s="414"/>
      <c r="S42" s="429" t="s">
        <v>136</v>
      </c>
      <c r="T42" s="513">
        <f>T8</f>
        <v>35.200000000000003</v>
      </c>
      <c r="U42" s="392" t="s">
        <v>166</v>
      </c>
      <c r="V42" s="6"/>
      <c r="W42" s="277"/>
      <c r="X42" s="171"/>
      <c r="Y42" s="171"/>
      <c r="Z42" s="171"/>
      <c r="AA42" s="171"/>
      <c r="AB42" s="171"/>
      <c r="AC42" s="171"/>
      <c r="AD42" s="171"/>
      <c r="AE42" s="171"/>
      <c r="AF42" s="171"/>
      <c r="AG42" s="171"/>
      <c r="AH42" s="171"/>
      <c r="AI42" s="171"/>
      <c r="AJ42" s="171"/>
      <c r="AK42" s="171"/>
      <c r="AL42" s="171"/>
      <c r="AM42" s="171"/>
      <c r="AN42" s="171"/>
      <c r="AO42" s="171"/>
      <c r="AP42" s="171"/>
      <c r="AQ42" s="171"/>
      <c r="EH42" s="12"/>
      <c r="EI42" s="12"/>
      <c r="EJ42" s="12"/>
      <c r="EK42" s="171"/>
      <c r="EL42" s="171"/>
      <c r="EM42" s="171"/>
      <c r="EN42" s="171"/>
      <c r="EO42" s="171"/>
      <c r="EP42" s="171"/>
      <c r="EQ42" s="171"/>
      <c r="ER42" s="171"/>
      <c r="ES42" s="171"/>
    </row>
    <row r="43" spans="10:149" ht="13.25" customHeight="1">
      <c r="J43" s="275"/>
      <c r="K43" s="311"/>
      <c r="N43" s="311"/>
      <c r="O43" s="311"/>
      <c r="P43" s="311"/>
      <c r="Q43" s="379"/>
      <c r="R43" s="415" t="s">
        <v>11</v>
      </c>
      <c r="S43" s="430" t="s">
        <v>132</v>
      </c>
      <c r="T43" s="290">
        <f>AS36</f>
        <v>0.8488</v>
      </c>
      <c r="U43" s="289" t="s">
        <v>167</v>
      </c>
      <c r="V43" s="6"/>
      <c r="W43" s="277"/>
      <c r="X43" s="171"/>
      <c r="Y43" s="171"/>
      <c r="Z43" s="171"/>
      <c r="AA43" s="171"/>
      <c r="AB43" s="171"/>
      <c r="AC43" s="171"/>
      <c r="AD43" s="171"/>
      <c r="AE43" s="171"/>
      <c r="AF43" s="171"/>
      <c r="AG43" s="171"/>
      <c r="AH43" s="171"/>
      <c r="AI43" s="171"/>
      <c r="AJ43" s="171"/>
      <c r="AK43" s="171"/>
      <c r="AL43" s="171"/>
      <c r="AM43" s="171"/>
      <c r="AN43" s="171"/>
      <c r="AO43" s="171"/>
      <c r="AP43" s="171"/>
      <c r="AQ43" s="171"/>
      <c r="EH43" s="12"/>
      <c r="EI43" s="12"/>
      <c r="EJ43" s="12"/>
      <c r="EK43" s="171"/>
      <c r="EL43" s="171"/>
      <c r="EM43" s="171"/>
      <c r="EN43" s="171"/>
      <c r="EO43" s="171"/>
      <c r="EP43" s="171"/>
      <c r="EQ43" s="171"/>
      <c r="ER43" s="171"/>
      <c r="ES43" s="171"/>
    </row>
    <row r="44" spans="10:149" ht="13.25" customHeight="1">
      <c r="J44" s="275"/>
      <c r="K44" s="311"/>
      <c r="N44" s="311"/>
      <c r="O44" s="311"/>
      <c r="P44" s="311"/>
      <c r="Q44" s="379"/>
      <c r="R44" s="415" t="s">
        <v>11</v>
      </c>
      <c r="S44" s="430" t="s">
        <v>131</v>
      </c>
      <c r="T44" s="336">
        <f>AT36</f>
        <v>848.4</v>
      </c>
      <c r="U44" s="393" t="s">
        <v>168</v>
      </c>
      <c r="V44" s="278"/>
      <c r="W44" s="279"/>
      <c r="X44" s="171"/>
      <c r="Y44" s="171"/>
      <c r="Z44" s="171"/>
      <c r="AA44" s="171"/>
      <c r="AB44" s="171"/>
      <c r="AC44" s="171"/>
      <c r="AD44" s="171"/>
      <c r="AE44" s="171"/>
      <c r="AF44" s="171"/>
      <c r="AG44" s="171"/>
      <c r="AH44" s="171"/>
      <c r="AI44" s="171"/>
      <c r="AJ44" s="171"/>
      <c r="AK44" s="171"/>
      <c r="AL44" s="171"/>
      <c r="AM44" s="171"/>
      <c r="AN44" s="171"/>
      <c r="AO44" s="171"/>
      <c r="AP44" s="171"/>
      <c r="AQ44" s="171"/>
      <c r="EH44" s="12"/>
      <c r="EI44" s="12"/>
      <c r="EJ44" s="12"/>
      <c r="EK44" s="171"/>
      <c r="EL44" s="171"/>
      <c r="EM44" s="171"/>
      <c r="EN44" s="171"/>
      <c r="EO44" s="171"/>
      <c r="EP44" s="171"/>
      <c r="EQ44" s="171"/>
      <c r="ER44" s="171"/>
      <c r="ES44" s="171"/>
    </row>
    <row r="45" spans="10:149" ht="13.25" customHeight="1">
      <c r="J45" s="328"/>
      <c r="K45" s="317" t="s">
        <v>145</v>
      </c>
      <c r="L45" s="388" t="s">
        <v>160</v>
      </c>
      <c r="M45" s="388" t="s">
        <v>161</v>
      </c>
      <c r="N45" s="317"/>
      <c r="O45" s="317"/>
      <c r="P45" s="317"/>
      <c r="Q45" s="380"/>
      <c r="R45" s="416"/>
      <c r="S45" s="431"/>
      <c r="T45" s="314"/>
      <c r="U45" s="314"/>
      <c r="V45" s="315"/>
      <c r="W45" s="316"/>
      <c r="X45" s="171"/>
      <c r="Y45" s="171"/>
      <c r="Z45" s="171"/>
      <c r="AA45" s="171"/>
      <c r="AB45" s="171"/>
      <c r="AC45" s="171"/>
      <c r="AD45" s="171"/>
      <c r="AE45" s="171"/>
      <c r="AF45" s="171"/>
      <c r="AG45" s="171"/>
      <c r="AH45" s="171"/>
      <c r="AI45" s="171"/>
      <c r="AJ45" s="171"/>
      <c r="AK45" s="171"/>
      <c r="AL45" s="171"/>
      <c r="AM45" s="171"/>
      <c r="AN45" s="171"/>
      <c r="AO45" s="171"/>
      <c r="AP45" s="171"/>
      <c r="AQ45" s="171"/>
      <c r="EH45" s="171"/>
      <c r="EI45" s="171"/>
      <c r="EJ45" s="171"/>
      <c r="EK45" s="12"/>
      <c r="EL45" s="12"/>
      <c r="EM45" s="12"/>
      <c r="EN45" s="12"/>
      <c r="EO45" s="12"/>
      <c r="EP45" s="12"/>
      <c r="EQ45" s="12"/>
      <c r="ER45" s="12"/>
      <c r="ES45" s="12"/>
    </row>
    <row r="46" spans="10:149" ht="13.25" customHeight="1">
      <c r="J46" s="327">
        <v>1</v>
      </c>
      <c r="K46" s="319" t="str">
        <f>CONCATENATE(R46," - ",L46," to ",M46)</f>
        <v>Table 4 - US Gallons at 60°F to Litres at 15°C</v>
      </c>
      <c r="L46" s="5" t="s">
        <v>139</v>
      </c>
      <c r="M46" s="5" t="s">
        <v>137</v>
      </c>
      <c r="N46" s="390"/>
      <c r="O46" s="412"/>
      <c r="P46" s="739"/>
      <c r="Q46" s="381"/>
      <c r="R46" s="415" t="s">
        <v>351</v>
      </c>
      <c r="S46" s="432" t="s">
        <v>137</v>
      </c>
      <c r="T46" s="293">
        <f>AW36</f>
        <v>3.7837000000000001</v>
      </c>
      <c r="U46" s="293" t="s">
        <v>338</v>
      </c>
      <c r="V46" s="423" t="s">
        <v>142</v>
      </c>
      <c r="W46" s="280"/>
      <c r="X46" s="12"/>
      <c r="Y46" s="12"/>
      <c r="Z46" s="12"/>
      <c r="AA46" s="12"/>
      <c r="AB46" s="12"/>
      <c r="AC46" s="12"/>
      <c r="AD46" s="12"/>
      <c r="AE46" s="12"/>
      <c r="AF46" s="12"/>
      <c r="AG46" s="12"/>
      <c r="AH46" s="12"/>
      <c r="AI46" s="12"/>
      <c r="AJ46" s="12"/>
      <c r="AK46" s="12"/>
      <c r="AL46" s="12"/>
      <c r="AM46" s="12"/>
      <c r="AN46" s="12"/>
      <c r="AO46" s="12"/>
      <c r="AP46" s="12"/>
      <c r="AQ46" s="12"/>
      <c r="EH46" s="171"/>
      <c r="EI46" s="171"/>
      <c r="EJ46" s="171"/>
      <c r="EK46" s="12"/>
      <c r="EL46" s="12"/>
      <c r="EM46" s="12"/>
      <c r="EN46" s="12"/>
      <c r="EO46" s="12"/>
      <c r="EP46" s="12"/>
      <c r="EQ46" s="12"/>
      <c r="ER46" s="12"/>
      <c r="ES46" s="12"/>
    </row>
    <row r="47" spans="10:149" ht="13.25" customHeight="1">
      <c r="J47" s="327">
        <v>2</v>
      </c>
      <c r="K47" s="319" t="str">
        <f t="shared" ref="K47:K61" si="6">CONCATENATE(R47," - ",L47," to ",M47)</f>
        <v>Table 4 - US Barrels at 60°F to Cubic Metres at 15°C</v>
      </c>
      <c r="L47" s="5" t="s">
        <v>140</v>
      </c>
      <c r="M47" s="5" t="s">
        <v>138</v>
      </c>
      <c r="N47" s="390"/>
      <c r="O47" s="413"/>
      <c r="P47" s="739"/>
      <c r="Q47" s="382"/>
      <c r="R47" s="415" t="s">
        <v>351</v>
      </c>
      <c r="S47" s="432" t="s">
        <v>138</v>
      </c>
      <c r="T47" s="294">
        <f>AX36</f>
        <v>0.15891</v>
      </c>
      <c r="U47" s="293" t="s">
        <v>338</v>
      </c>
      <c r="V47" s="423" t="s">
        <v>143</v>
      </c>
      <c r="W47" s="280"/>
      <c r="X47" s="12"/>
      <c r="Y47" s="12"/>
      <c r="Z47" s="12"/>
      <c r="AA47" s="12"/>
      <c r="AB47" s="12"/>
      <c r="AC47" s="12"/>
      <c r="AD47" s="12"/>
      <c r="AE47" s="12"/>
      <c r="AF47" s="12"/>
      <c r="AG47" s="12"/>
      <c r="AH47" s="12"/>
      <c r="AI47" s="12"/>
      <c r="AJ47" s="12"/>
      <c r="AK47" s="12"/>
      <c r="AL47" s="12"/>
      <c r="AM47" s="12"/>
      <c r="AN47" s="12"/>
      <c r="AO47" s="12"/>
      <c r="AP47" s="12"/>
      <c r="AQ47" s="12"/>
      <c r="EH47" s="171"/>
      <c r="EI47" s="171"/>
      <c r="EJ47" s="171"/>
      <c r="EK47" s="12"/>
      <c r="EL47" s="12"/>
      <c r="EM47" s="12"/>
      <c r="EN47" s="12"/>
      <c r="EO47" s="12"/>
      <c r="EP47" s="12"/>
      <c r="EQ47" s="12"/>
      <c r="ER47" s="12"/>
      <c r="ES47" s="12"/>
    </row>
    <row r="48" spans="10:149">
      <c r="J48" s="327">
        <v>3</v>
      </c>
      <c r="K48" s="319" t="str">
        <f t="shared" si="6"/>
        <v>Table 8 - US Gallons at 60°F to Pounds  (in AIR)</v>
      </c>
      <c r="L48" s="5" t="s">
        <v>139</v>
      </c>
      <c r="M48" s="5" t="s">
        <v>169</v>
      </c>
      <c r="N48" s="390"/>
      <c r="O48" s="412"/>
      <c r="P48" s="740"/>
      <c r="Q48" s="381"/>
      <c r="R48" s="415" t="s">
        <v>352</v>
      </c>
      <c r="S48" s="429" t="s">
        <v>102</v>
      </c>
      <c r="T48" s="295">
        <f>BA36</f>
        <v>7.0679999999999996</v>
      </c>
      <c r="U48" s="293" t="s">
        <v>338</v>
      </c>
      <c r="V48" s="423" t="s">
        <v>142</v>
      </c>
      <c r="W48" s="280"/>
      <c r="X48" s="12"/>
      <c r="Y48" s="12"/>
      <c r="Z48" s="12"/>
      <c r="AA48" s="12"/>
      <c r="AB48" s="12"/>
      <c r="AC48" s="12"/>
      <c r="AD48" s="12"/>
      <c r="AE48" s="12"/>
      <c r="AF48" s="12"/>
      <c r="AG48" s="12"/>
      <c r="AH48" s="12"/>
      <c r="AI48" s="12"/>
      <c r="AJ48" s="12"/>
      <c r="AK48" s="12"/>
      <c r="AL48" s="12"/>
      <c r="AM48" s="12"/>
      <c r="AN48" s="12"/>
      <c r="AO48" s="12"/>
      <c r="AP48" s="12"/>
      <c r="AQ48" s="12"/>
    </row>
    <row r="49" spans="10:78">
      <c r="J49" s="327">
        <v>4</v>
      </c>
      <c r="K49" s="319" t="str">
        <f t="shared" si="6"/>
        <v>Table 8 - Pounds  (in AIR) to US Gallons at 60°F</v>
      </c>
      <c r="L49" s="5" t="s">
        <v>169</v>
      </c>
      <c r="M49" s="5" t="s">
        <v>139</v>
      </c>
      <c r="N49" s="390"/>
      <c r="O49" s="412"/>
      <c r="P49" s="412"/>
      <c r="Q49" s="381"/>
      <c r="R49" s="415" t="s">
        <v>352</v>
      </c>
      <c r="S49" s="433" t="s">
        <v>139</v>
      </c>
      <c r="T49" s="296">
        <f>BB36</f>
        <v>0.14149</v>
      </c>
      <c r="U49" s="293" t="s">
        <v>338</v>
      </c>
      <c r="V49" s="424" t="s">
        <v>103</v>
      </c>
      <c r="W49" s="280"/>
    </row>
    <row r="50" spans="10:78">
      <c r="J50" s="327">
        <v>5</v>
      </c>
      <c r="K50" s="319" t="str">
        <f t="shared" si="6"/>
        <v>Table 9 - 1000 US Gallons at 60°F to Short Tons (in AIR)</v>
      </c>
      <c r="L50" s="5" t="s">
        <v>144</v>
      </c>
      <c r="M50" s="5" t="s">
        <v>164</v>
      </c>
      <c r="N50" s="390"/>
      <c r="O50" s="413"/>
      <c r="P50" s="413"/>
      <c r="Q50" s="382"/>
      <c r="R50" s="415" t="s">
        <v>353</v>
      </c>
      <c r="S50" s="433" t="s">
        <v>23</v>
      </c>
      <c r="T50" s="295">
        <f>BE36</f>
        <v>3.5339</v>
      </c>
      <c r="U50" s="293" t="s">
        <v>338</v>
      </c>
      <c r="V50" s="423" t="s">
        <v>144</v>
      </c>
      <c r="W50" s="279"/>
    </row>
    <row r="51" spans="10:78">
      <c r="J51" s="327">
        <v>6</v>
      </c>
      <c r="K51" s="319" t="str">
        <f t="shared" si="6"/>
        <v>Table 9 - US Barrels at 60°F to Short Tons (in AIR)</v>
      </c>
      <c r="L51" s="5" t="s">
        <v>140</v>
      </c>
      <c r="M51" s="5" t="s">
        <v>164</v>
      </c>
      <c r="N51" s="390"/>
      <c r="O51" s="413"/>
      <c r="P51" s="413"/>
      <c r="Q51" s="382"/>
      <c r="R51" s="415" t="s">
        <v>353</v>
      </c>
      <c r="S51" s="433" t="s">
        <v>23</v>
      </c>
      <c r="T51" s="296">
        <f>BF36</f>
        <v>0.14842</v>
      </c>
      <c r="U51" s="293" t="s">
        <v>338</v>
      </c>
      <c r="V51" s="423" t="s">
        <v>143</v>
      </c>
      <c r="W51" s="279"/>
    </row>
    <row r="52" spans="10:78">
      <c r="J52" s="327">
        <v>7</v>
      </c>
      <c r="K52" s="319" t="str">
        <f t="shared" si="6"/>
        <v>Table 10 - Short Tons (in AIR) to US Gallons at 60°F</v>
      </c>
      <c r="L52" s="5" t="s">
        <v>164</v>
      </c>
      <c r="M52" s="5" t="s">
        <v>139</v>
      </c>
      <c r="N52" s="390"/>
      <c r="O52" s="412"/>
      <c r="P52" s="412"/>
      <c r="Q52" s="381"/>
      <c r="R52" s="415" t="s">
        <v>354</v>
      </c>
      <c r="S52" s="433" t="s">
        <v>139</v>
      </c>
      <c r="T52" s="297">
        <f>BI36</f>
        <v>282.98</v>
      </c>
      <c r="U52" s="293" t="s">
        <v>338</v>
      </c>
      <c r="V52" s="423" t="s">
        <v>106</v>
      </c>
      <c r="W52" s="279"/>
    </row>
    <row r="53" spans="10:78">
      <c r="J53" s="327">
        <v>8</v>
      </c>
      <c r="K53" s="319" t="str">
        <f t="shared" si="6"/>
        <v>Table 10 - Short Tons (in AIR) to US Barrels at 60°F</v>
      </c>
      <c r="L53" s="5" t="s">
        <v>164</v>
      </c>
      <c r="M53" s="5" t="s">
        <v>140</v>
      </c>
      <c r="N53" s="390"/>
      <c r="O53" s="412"/>
      <c r="P53" s="412"/>
      <c r="Q53" s="381"/>
      <c r="R53" s="415" t="s">
        <v>354</v>
      </c>
      <c r="S53" s="433" t="s">
        <v>140</v>
      </c>
      <c r="T53" s="298">
        <f>BJ36</f>
        <v>6.7380000000000004</v>
      </c>
      <c r="U53" s="293" t="s">
        <v>338</v>
      </c>
      <c r="V53" s="423" t="s">
        <v>106</v>
      </c>
      <c r="W53" s="279"/>
    </row>
    <row r="54" spans="10:78">
      <c r="J54" s="327">
        <v>9</v>
      </c>
      <c r="K54" s="319" t="str">
        <f t="shared" si="6"/>
        <v>Table 11 - 1000 US Gallons at 60°F to Long Tons (in AIR)</v>
      </c>
      <c r="L54" s="5" t="s">
        <v>144</v>
      </c>
      <c r="M54" s="5" t="s">
        <v>165</v>
      </c>
      <c r="N54" s="390"/>
      <c r="O54" s="413"/>
      <c r="P54" s="413"/>
      <c r="Q54" s="382"/>
      <c r="R54" s="415" t="s">
        <v>355</v>
      </c>
      <c r="S54" s="433" t="s">
        <v>14</v>
      </c>
      <c r="T54" s="295">
        <f>BM36</f>
        <v>3.1551999999999998</v>
      </c>
      <c r="U54" s="293" t="s">
        <v>338</v>
      </c>
      <c r="V54" s="423" t="s">
        <v>144</v>
      </c>
      <c r="W54" s="279"/>
    </row>
    <row r="55" spans="10:78">
      <c r="J55" s="327">
        <v>10</v>
      </c>
      <c r="K55" s="319" t="str">
        <f t="shared" si="6"/>
        <v>Table 11 - US Barrels at 60°F to Long Tons (in AIR)</v>
      </c>
      <c r="L55" s="5" t="s">
        <v>140</v>
      </c>
      <c r="M55" s="5" t="s">
        <v>165</v>
      </c>
      <c r="N55" s="390"/>
      <c r="O55" s="413"/>
      <c r="P55" s="413"/>
      <c r="Q55" s="382"/>
      <c r="R55" s="415" t="s">
        <v>355</v>
      </c>
      <c r="S55" s="433" t="s">
        <v>14</v>
      </c>
      <c r="T55" s="296">
        <f>BN36</f>
        <v>0.13252</v>
      </c>
      <c r="U55" s="293" t="s">
        <v>338</v>
      </c>
      <c r="V55" s="423" t="s">
        <v>143</v>
      </c>
      <c r="W55" s="279"/>
    </row>
    <row r="56" spans="10:78">
      <c r="J56" s="327">
        <v>11</v>
      </c>
      <c r="K56" s="319" t="str">
        <f t="shared" si="6"/>
        <v>Table 12 - Long Tons (in AIR) to US Gallons at 60°F</v>
      </c>
      <c r="L56" s="5" t="s">
        <v>165</v>
      </c>
      <c r="M56" s="5" t="s">
        <v>139</v>
      </c>
      <c r="N56" s="390"/>
      <c r="O56" s="412"/>
      <c r="P56" s="412"/>
      <c r="Q56" s="381"/>
      <c r="R56" s="415" t="s">
        <v>356</v>
      </c>
      <c r="S56" s="433" t="s">
        <v>139</v>
      </c>
      <c r="T56" s="297">
        <f>BQ36</f>
        <v>316.93</v>
      </c>
      <c r="U56" s="293" t="s">
        <v>338</v>
      </c>
      <c r="V56" s="423" t="s">
        <v>108</v>
      </c>
      <c r="W56" s="279"/>
    </row>
    <row r="57" spans="10:78">
      <c r="J57" s="327">
        <v>12</v>
      </c>
      <c r="K57" s="319" t="str">
        <f t="shared" si="6"/>
        <v>Table 12 - Long Tons (in AIR) to US Barrels at 60°F</v>
      </c>
      <c r="L57" s="5" t="s">
        <v>165</v>
      </c>
      <c r="M57" s="5" t="s">
        <v>140</v>
      </c>
      <c r="N57" s="390"/>
      <c r="O57" s="412"/>
      <c r="P57" s="412"/>
      <c r="Q57" s="381"/>
      <c r="R57" s="415" t="s">
        <v>356</v>
      </c>
      <c r="S57" s="433" t="s">
        <v>140</v>
      </c>
      <c r="T57" s="298">
        <f>BR36</f>
        <v>7.5460000000000003</v>
      </c>
      <c r="U57" s="293" t="s">
        <v>338</v>
      </c>
      <c r="V57" s="423" t="s">
        <v>108</v>
      </c>
      <c r="W57" s="279"/>
    </row>
    <row r="58" spans="10:78">
      <c r="J58" s="327">
        <v>13</v>
      </c>
      <c r="K58" s="319" t="str">
        <f t="shared" si="6"/>
        <v xml:space="preserve">Table 13 - 1000 US Gallons at 60°F to Metric Tons (in AIR) </v>
      </c>
      <c r="L58" s="5" t="s">
        <v>144</v>
      </c>
      <c r="M58" s="5" t="s">
        <v>170</v>
      </c>
      <c r="N58" s="390"/>
      <c r="O58" s="413"/>
      <c r="P58" s="413"/>
      <c r="Q58" s="382"/>
      <c r="R58" s="415" t="s">
        <v>357</v>
      </c>
      <c r="S58" s="433" t="s">
        <v>15</v>
      </c>
      <c r="T58" s="298">
        <f>BU36</f>
        <v>3.2059000000000002</v>
      </c>
      <c r="U58" s="293" t="s">
        <v>338</v>
      </c>
      <c r="V58" s="423" t="s">
        <v>144</v>
      </c>
      <c r="W58" s="279"/>
    </row>
    <row r="59" spans="10:78">
      <c r="J59" s="327">
        <v>14</v>
      </c>
      <c r="K59" s="319" t="str">
        <f t="shared" si="6"/>
        <v xml:space="preserve">Table 13 - US Barrels at 60°F to Metric Tons (in AIR) </v>
      </c>
      <c r="L59" s="5" t="s">
        <v>140</v>
      </c>
      <c r="M59" s="5" t="s">
        <v>170</v>
      </c>
      <c r="N59" s="390"/>
      <c r="O59" s="413"/>
      <c r="P59" s="413"/>
      <c r="Q59" s="382"/>
      <c r="R59" s="415" t="s">
        <v>357</v>
      </c>
      <c r="S59" s="433" t="s">
        <v>15</v>
      </c>
      <c r="T59" s="299">
        <f>BV36</f>
        <v>0.13464999999999999</v>
      </c>
      <c r="U59" s="293" t="s">
        <v>338</v>
      </c>
      <c r="V59" s="423" t="s">
        <v>143</v>
      </c>
      <c r="W59" s="277"/>
    </row>
    <row r="60" spans="10:78">
      <c r="J60" s="327">
        <v>15</v>
      </c>
      <c r="K60" s="319" t="str">
        <f t="shared" si="6"/>
        <v>Table 14 - Short Tons (in AIR) to Cubic Metres at 15°C</v>
      </c>
      <c r="L60" s="5" t="s">
        <v>164</v>
      </c>
      <c r="M60" s="5" t="s">
        <v>138</v>
      </c>
      <c r="N60" s="390"/>
      <c r="O60" s="413"/>
      <c r="P60" s="413"/>
      <c r="Q60" s="382"/>
      <c r="R60" s="415" t="s">
        <v>358</v>
      </c>
      <c r="S60" s="432" t="s">
        <v>138</v>
      </c>
      <c r="T60" s="299">
        <f>BY36</f>
        <v>1.0707</v>
      </c>
      <c r="U60" s="293" t="s">
        <v>338</v>
      </c>
      <c r="V60" s="423" t="s">
        <v>106</v>
      </c>
      <c r="W60" s="277"/>
    </row>
    <row r="61" spans="10:78">
      <c r="J61" s="327">
        <v>16</v>
      </c>
      <c r="K61" s="319" t="str">
        <f t="shared" si="6"/>
        <v>Table 14 - Long Tons (in AIR) to Cubic Metres at 15°C</v>
      </c>
      <c r="L61" s="5" t="s">
        <v>165</v>
      </c>
      <c r="M61" s="5" t="s">
        <v>138</v>
      </c>
      <c r="N61" s="390"/>
      <c r="O61" s="413"/>
      <c r="P61" s="413"/>
      <c r="Q61" s="382"/>
      <c r="R61" s="415" t="s">
        <v>358</v>
      </c>
      <c r="S61" s="432" t="s">
        <v>138</v>
      </c>
      <c r="T61" s="299">
        <f>BZ36</f>
        <v>1.1992</v>
      </c>
      <c r="U61" s="293" t="s">
        <v>338</v>
      </c>
      <c r="V61" s="423" t="s">
        <v>108</v>
      </c>
      <c r="W61" s="277"/>
    </row>
    <row r="62" spans="10:78">
      <c r="J62" s="276"/>
      <c r="K62" s="312"/>
      <c r="L62" s="312"/>
      <c r="M62" s="312"/>
      <c r="N62" s="391"/>
      <c r="O62" s="312"/>
      <c r="P62" s="312"/>
      <c r="Q62" s="383"/>
      <c r="R62" s="417"/>
      <c r="S62" s="428"/>
      <c r="T62" s="281"/>
      <c r="U62" s="281"/>
      <c r="V62" s="281"/>
      <c r="W62" s="282"/>
      <c r="AF62" s="700"/>
    </row>
    <row r="63" spans="10:78">
      <c r="S63" s="6"/>
      <c r="T63" s="6"/>
      <c r="U63" s="6"/>
      <c r="V63" s="6"/>
      <c r="W63" s="6"/>
    </row>
    <row r="64" spans="10:78" ht="15.75" customHeight="1">
      <c r="J64" s="3601" t="s">
        <v>236</v>
      </c>
      <c r="K64" s="3602"/>
      <c r="L64" s="3602"/>
      <c r="M64" s="3602"/>
      <c r="N64" s="3602"/>
      <c r="O64" s="3602"/>
      <c r="P64" s="3602"/>
      <c r="Q64" s="3602"/>
      <c r="R64" s="3602"/>
      <c r="S64" s="3602"/>
      <c r="T64" s="3602"/>
      <c r="U64" s="3602"/>
      <c r="V64" s="3602"/>
      <c r="W64" s="3603"/>
      <c r="Y64" s="262" t="s">
        <v>325</v>
      </c>
      <c r="Z64" s="29"/>
      <c r="AA64" s="29"/>
      <c r="AB64" s="29"/>
      <c r="AC64" s="29"/>
      <c r="AD64" s="29"/>
      <c r="AE64" s="29"/>
      <c r="AF64" s="29"/>
      <c r="AG64" s="29"/>
      <c r="AH64" s="29"/>
      <c r="AI64" s="29"/>
      <c r="AJ64" s="29"/>
      <c r="AK64" s="29"/>
      <c r="AL64" s="29"/>
      <c r="AM64" s="29"/>
      <c r="AN64" s="29"/>
      <c r="AO64" s="29"/>
      <c r="AP64" s="214"/>
      <c r="AR64" s="262" t="s">
        <v>100</v>
      </c>
      <c r="AS64" s="29"/>
      <c r="AT64" s="29"/>
      <c r="AU64" s="29"/>
      <c r="AV64" s="29"/>
      <c r="AW64" s="29"/>
      <c r="AX64" s="29"/>
      <c r="AY64" s="29"/>
      <c r="AZ64" s="29"/>
      <c r="BA64" s="29"/>
      <c r="BB64" s="29"/>
      <c r="BC64" s="165"/>
      <c r="BD64" s="166" t="s">
        <v>100</v>
      </c>
      <c r="BE64" s="29"/>
      <c r="BF64" s="166"/>
      <c r="BG64" s="29"/>
      <c r="BH64" s="29"/>
      <c r="BI64" s="29"/>
      <c r="BJ64" s="29"/>
      <c r="BK64" s="29"/>
      <c r="BL64" s="29"/>
      <c r="BM64" s="29"/>
      <c r="BN64" s="29"/>
      <c r="BO64" s="165"/>
      <c r="BP64" s="166" t="s">
        <v>100</v>
      </c>
      <c r="BQ64" s="166"/>
      <c r="BR64" s="166"/>
      <c r="BS64" s="29"/>
      <c r="BT64" s="29"/>
      <c r="BU64" s="29"/>
      <c r="BV64" s="29"/>
      <c r="BW64" s="29"/>
      <c r="BX64" s="29"/>
      <c r="BY64" s="29"/>
      <c r="BZ64" s="214"/>
    </row>
    <row r="65" spans="10:79" ht="13.15">
      <c r="J65" s="419"/>
      <c r="K65" s="284"/>
      <c r="L65" s="451"/>
      <c r="M65" s="480"/>
      <c r="N65" s="480"/>
      <c r="O65" s="480"/>
      <c r="P65" s="480"/>
      <c r="Q65" s="480"/>
      <c r="R65" s="480"/>
      <c r="S65" s="480"/>
      <c r="T65" s="480"/>
      <c r="V65" s="441"/>
      <c r="W65" s="398"/>
      <c r="Y65" s="571"/>
      <c r="Z65" s="572"/>
      <c r="AA65" s="262" t="s">
        <v>302</v>
      </c>
      <c r="AB65" s="29"/>
      <c r="AC65" s="698" t="s">
        <v>307</v>
      </c>
      <c r="AD65" s="3614" t="s">
        <v>308</v>
      </c>
      <c r="AE65" s="3615"/>
      <c r="AF65" s="3616" t="s">
        <v>311</v>
      </c>
      <c r="AG65" s="3617"/>
      <c r="AH65" s="3617"/>
      <c r="AI65" s="3618"/>
      <c r="AJ65" s="698" t="s">
        <v>316</v>
      </c>
      <c r="AK65" s="3616" t="s">
        <v>322</v>
      </c>
      <c r="AL65" s="3617"/>
      <c r="AM65" s="3617"/>
      <c r="AN65" s="3617"/>
      <c r="AO65" s="3618"/>
      <c r="AP65" s="573" t="s">
        <v>204</v>
      </c>
      <c r="AR65" s="253" t="str">
        <f>'ASTM Vol. XI-XII'!AQ5</f>
        <v>ASTM Table 21</v>
      </c>
      <c r="AS65" s="254"/>
      <c r="AT65" s="255"/>
      <c r="AU65" s="251"/>
      <c r="AV65" s="3549" t="str">
        <f>'ASTM Vol. XI-XII'!AU5</f>
        <v>ASTM Table 22</v>
      </c>
      <c r="AW65" s="3550"/>
      <c r="AX65" s="3551"/>
      <c r="AY65" s="264"/>
      <c r="AZ65" s="3586" t="str">
        <f>'ASTM Vol. XI-XII'!AU5</f>
        <v>ASTM Table 22</v>
      </c>
      <c r="BA65" s="3587"/>
      <c r="BB65" s="3588"/>
      <c r="BC65" s="251"/>
      <c r="BD65" s="253" t="str">
        <f>'ASTM Vol. XI-XII'!AZ5</f>
        <v>ASTM Table 26</v>
      </c>
      <c r="BE65" s="254"/>
      <c r="BF65" s="255"/>
      <c r="BG65" s="251"/>
      <c r="BH65" s="253" t="str">
        <f>'ASTM Vol. XI-XII'!BD5</f>
        <v>ASTM Table 27</v>
      </c>
      <c r="BI65" s="254"/>
      <c r="BJ65" s="255"/>
      <c r="BK65" s="251"/>
      <c r="BL65" s="253" t="str">
        <f>'ASTM Vol. XI-XII'!BH5</f>
        <v>ASTM Table 28</v>
      </c>
      <c r="BM65" s="254"/>
      <c r="BN65" s="255"/>
      <c r="BO65" s="251"/>
      <c r="BP65" s="253" t="str">
        <f>'ASTM Vol. XI-XII'!BL5</f>
        <v>ASTM Table 29</v>
      </c>
      <c r="BQ65" s="254"/>
      <c r="BR65" s="255"/>
      <c r="BS65" s="251"/>
      <c r="BT65" s="253" t="str">
        <f>'ASTM Vol. XI-XII'!BP5</f>
        <v>ASTM Table 30</v>
      </c>
      <c r="BU65" s="254"/>
      <c r="BV65" s="255"/>
      <c r="BW65" s="251"/>
      <c r="BX65" s="253" t="str">
        <f>'ASTM Vol. XI-XII'!BT5</f>
        <v>ASTM Table 31</v>
      </c>
      <c r="BY65" s="254"/>
      <c r="BZ65" s="255"/>
      <c r="CA65" s="22"/>
    </row>
    <row r="66" spans="10:79" ht="15">
      <c r="J66" s="275"/>
      <c r="L66" s="585" t="str">
        <f>$L$17</f>
        <v>BBLS @ Temp.</v>
      </c>
      <c r="M66" s="477" t="str">
        <f>K68</f>
        <v>BBLS @ Temp.</v>
      </c>
      <c r="N66" s="477" t="str">
        <f>K69</f>
        <v>BBLS @ 60°F</v>
      </c>
      <c r="O66" s="477" t="str">
        <f>K70</f>
        <v>M3 @ Temp.</v>
      </c>
      <c r="P66" s="477" t="str">
        <f>K71</f>
        <v>M3 @ 15°C</v>
      </c>
      <c r="Q66" s="477" t="str">
        <f>K72</f>
        <v>MT (in Vac)</v>
      </c>
      <c r="R66" s="477" t="str">
        <f>K73</f>
        <v>MT (in Air)</v>
      </c>
      <c r="S66" s="477" t="str">
        <f>K74</f>
        <v>LT</v>
      </c>
      <c r="T66" s="477">
        <f>K75</f>
        <v>0</v>
      </c>
      <c r="V66" s="426"/>
      <c r="W66" s="398"/>
      <c r="Y66" s="543" t="s">
        <v>251</v>
      </c>
      <c r="Z66" s="543" t="s">
        <v>301</v>
      </c>
      <c r="AA66" s="694" t="s">
        <v>251</v>
      </c>
      <c r="AB66" s="262" t="s">
        <v>205</v>
      </c>
      <c r="AC66" s="543" t="s">
        <v>306</v>
      </c>
      <c r="AD66" s="543" t="s">
        <v>309</v>
      </c>
      <c r="AE66" s="543" t="s">
        <v>310</v>
      </c>
      <c r="AF66" s="543" t="s">
        <v>312</v>
      </c>
      <c r="AG66" s="543" t="s">
        <v>313</v>
      </c>
      <c r="AH66" s="543" t="s">
        <v>314</v>
      </c>
      <c r="AI66" s="283" t="s">
        <v>315</v>
      </c>
      <c r="AJ66" s="283" t="s">
        <v>317</v>
      </c>
      <c r="AK66" s="422" t="s">
        <v>319</v>
      </c>
      <c r="AL66" s="422" t="s">
        <v>318</v>
      </c>
      <c r="AM66" s="422" t="s">
        <v>320</v>
      </c>
      <c r="AN66" s="422" t="s">
        <v>321</v>
      </c>
      <c r="AO66" s="5" t="s">
        <v>323</v>
      </c>
      <c r="AP66" s="574" t="s">
        <v>304</v>
      </c>
      <c r="AR66" s="229" t="s">
        <v>19</v>
      </c>
      <c r="AS66" s="230" t="s">
        <v>18</v>
      </c>
      <c r="AT66" s="231" t="s">
        <v>20</v>
      </c>
      <c r="AU66" s="252"/>
      <c r="AV66" s="229" t="s">
        <v>19</v>
      </c>
      <c r="AW66" s="3552" t="s">
        <v>247</v>
      </c>
      <c r="AX66" s="3553"/>
      <c r="AY66" s="265"/>
      <c r="AZ66" s="229" t="s">
        <v>19</v>
      </c>
      <c r="BA66" s="3552" t="s">
        <v>248</v>
      </c>
      <c r="BB66" s="3553"/>
      <c r="BC66" s="252"/>
      <c r="BD66" s="229" t="s">
        <v>19</v>
      </c>
      <c r="BE66" s="230" t="s">
        <v>102</v>
      </c>
      <c r="BF66" s="231" t="s">
        <v>24</v>
      </c>
      <c r="BG66" s="252"/>
      <c r="BH66" s="229" t="s">
        <v>19</v>
      </c>
      <c r="BI66" s="230" t="s">
        <v>23</v>
      </c>
      <c r="BJ66" s="231" t="s">
        <v>23</v>
      </c>
      <c r="BK66" s="252"/>
      <c r="BL66" s="229" t="s">
        <v>19</v>
      </c>
      <c r="BM66" s="230" t="s">
        <v>24</v>
      </c>
      <c r="BN66" s="231" t="s">
        <v>16</v>
      </c>
      <c r="BO66" s="252"/>
      <c r="BP66" s="229" t="s">
        <v>19</v>
      </c>
      <c r="BQ66" s="230" t="s">
        <v>14</v>
      </c>
      <c r="BR66" s="231" t="s">
        <v>14</v>
      </c>
      <c r="BS66" s="252"/>
      <c r="BT66" s="229" t="s">
        <v>19</v>
      </c>
      <c r="BU66" s="230" t="s">
        <v>24</v>
      </c>
      <c r="BV66" s="231" t="s">
        <v>16</v>
      </c>
      <c r="BW66" s="252"/>
      <c r="BX66" s="229" t="s">
        <v>19</v>
      </c>
      <c r="BY66" s="230" t="s">
        <v>13</v>
      </c>
      <c r="BZ66" s="231" t="s">
        <v>13</v>
      </c>
      <c r="CA66" s="232"/>
    </row>
    <row r="67" spans="10:79" ht="13.15">
      <c r="J67" s="276"/>
      <c r="K67" s="383"/>
      <c r="L67" s="482">
        <f>$L$18</f>
        <v>62900</v>
      </c>
      <c r="M67" s="478">
        <f>IF(M66=$L66,$L67,"")</f>
        <v>62900</v>
      </c>
      <c r="N67" s="479" t="str">
        <f t="shared" ref="N67:T67" si="7">IF(N66=$L66,$L67,"")</f>
        <v/>
      </c>
      <c r="O67" s="479" t="str">
        <f t="shared" si="7"/>
        <v/>
      </c>
      <c r="P67" s="479" t="str">
        <f t="shared" si="7"/>
        <v/>
      </c>
      <c r="Q67" s="479" t="str">
        <f t="shared" si="7"/>
        <v/>
      </c>
      <c r="R67" s="478" t="str">
        <f t="shared" si="7"/>
        <v/>
      </c>
      <c r="S67" s="478" t="str">
        <f t="shared" si="7"/>
        <v/>
      </c>
      <c r="T67" s="478" t="str">
        <f t="shared" si="7"/>
        <v/>
      </c>
      <c r="U67" s="276"/>
      <c r="V67" s="428"/>
      <c r="W67" s="400"/>
      <c r="Y67" s="696">
        <f>T9</f>
        <v>0.8488</v>
      </c>
      <c r="Z67" s="695">
        <f>V8</f>
        <v>96</v>
      </c>
      <c r="AA67" s="697">
        <f>MROUND(Y67,0.002)</f>
        <v>0.84799999999999998</v>
      </c>
      <c r="AB67" s="547">
        <f>FLOOR(Z67,1)+IF(MOD(Z67,1)&lt;0.26,0,IF(MOD(Z67,1)&lt;0.76,0.5,1))</f>
        <v>96</v>
      </c>
      <c r="AC67" s="543">
        <f>MROUND(AA67*999.012,0.01)</f>
        <v>847.16</v>
      </c>
      <c r="AD67" s="543">
        <v>341.09570000000002</v>
      </c>
      <c r="AE67" s="283">
        <v>0</v>
      </c>
      <c r="AF67" s="699">
        <f>TRUNC(AD67/AC67,8)</f>
        <v>0.40263432999999998</v>
      </c>
      <c r="AG67" s="701">
        <f>TRUNC(AF67/AC67,10)</f>
        <v>4.7527540000000002E-4</v>
      </c>
      <c r="AH67" s="702">
        <f>AE67/AC67</f>
        <v>0</v>
      </c>
      <c r="AI67" s="703">
        <f>MROUND(AG67+AH67,0.0000001)</f>
        <v>4.7529999999999995E-4</v>
      </c>
      <c r="AJ67" s="704">
        <f>AB67-60</f>
        <v>36</v>
      </c>
      <c r="AK67" s="705">
        <f>AI67*AJ67</f>
        <v>1.7110799999999999E-2</v>
      </c>
      <c r="AL67" s="705">
        <f>0.8*AK67</f>
        <v>1.368864E-2</v>
      </c>
      <c r="AM67" s="705">
        <f>0.8*AI67^2*AJ67^2</f>
        <v>2.3422358131199996E-4</v>
      </c>
      <c r="AN67" s="705">
        <f>-AK67-AM67</f>
        <v>-1.7345023581312E-2</v>
      </c>
      <c r="AO67" s="283">
        <f>TRUNC(EXP(AN67),6)</f>
        <v>0.98280400000000001</v>
      </c>
      <c r="AP67" s="706">
        <f>ROUND(MROUND(AO67,0.00001),4)</f>
        <v>0.98280000000000001</v>
      </c>
      <c r="AR67" s="180" t="s">
        <v>20</v>
      </c>
      <c r="AS67" s="181" t="s">
        <v>26</v>
      </c>
      <c r="AT67" s="182"/>
      <c r="AU67" s="186"/>
      <c r="AV67" s="180" t="s">
        <v>20</v>
      </c>
      <c r="AW67" s="3554" t="s">
        <v>25</v>
      </c>
      <c r="AX67" s="3555"/>
      <c r="AY67" s="266"/>
      <c r="AZ67" s="180" t="s">
        <v>20</v>
      </c>
      <c r="BA67" s="3554" t="s">
        <v>25</v>
      </c>
      <c r="BB67" s="3555"/>
      <c r="BC67" s="186"/>
      <c r="BD67" s="180" t="s">
        <v>20</v>
      </c>
      <c r="BE67" s="181" t="s">
        <v>25</v>
      </c>
      <c r="BF67" s="182" t="s">
        <v>25</v>
      </c>
      <c r="BG67" s="186"/>
      <c r="BH67" s="180" t="s">
        <v>20</v>
      </c>
      <c r="BI67" s="181" t="s">
        <v>98</v>
      </c>
      <c r="BJ67" s="182" t="s">
        <v>25</v>
      </c>
      <c r="BK67" s="186"/>
      <c r="BL67" s="180" t="s">
        <v>20</v>
      </c>
      <c r="BM67" s="181" t="s">
        <v>25</v>
      </c>
      <c r="BN67" s="182" t="s">
        <v>25</v>
      </c>
      <c r="BO67" s="186"/>
      <c r="BP67" s="180" t="s">
        <v>20</v>
      </c>
      <c r="BQ67" s="181" t="s">
        <v>98</v>
      </c>
      <c r="BR67" s="182" t="s">
        <v>25</v>
      </c>
      <c r="BS67" s="186"/>
      <c r="BT67" s="180" t="s">
        <v>20</v>
      </c>
      <c r="BU67" s="181" t="s">
        <v>25</v>
      </c>
      <c r="BV67" s="182" t="s">
        <v>25</v>
      </c>
      <c r="BW67" s="186"/>
      <c r="BX67" s="180" t="s">
        <v>20</v>
      </c>
      <c r="BY67" s="181" t="s">
        <v>25</v>
      </c>
      <c r="BZ67" s="182" t="s">
        <v>25</v>
      </c>
      <c r="CA67" s="22"/>
    </row>
    <row r="68" spans="10:79" ht="13.15">
      <c r="J68" s="327">
        <v>1</v>
      </c>
      <c r="K68" s="454" t="str">
        <f t="shared" ref="K68:K75" si="8">K19</f>
        <v>BBLS @ Temp.</v>
      </c>
      <c r="L68" s="457">
        <f>MAX(M68:T68)</f>
        <v>62900</v>
      </c>
      <c r="M68" s="719">
        <f>IF($L$17=M66,ROUND(M67,0),"")</f>
        <v>62900</v>
      </c>
      <c r="N68" s="457" t="str">
        <f>IF($L$17=N66,ROUND(N69/$T$13,0),"")</f>
        <v/>
      </c>
      <c r="O68" s="457" t="str">
        <f>IF($L$17=O66,ROUND(O70*$P$8,0),"")</f>
        <v/>
      </c>
      <c r="P68" s="457" t="str">
        <f>IF($L$17=P66,ROUND(P69/$T$13,0),"")</f>
        <v/>
      </c>
      <c r="Q68" s="457" t="str">
        <f>IF($L$17=Q66,ROUND(Q69/$T$13,0),"")</f>
        <v/>
      </c>
      <c r="R68" s="457" t="str">
        <f>IF($L$17=R66,ROUND(R69/$T$13,0),"")</f>
        <v/>
      </c>
      <c r="S68" s="457" t="str">
        <f>IF($L$17=S66,ROUND(S69/$T$13,0),"")</f>
        <v/>
      </c>
      <c r="T68" s="457"/>
      <c r="V68" s="12"/>
      <c r="W68" s="398"/>
      <c r="Y68" s="549"/>
      <c r="Z68" s="541"/>
      <c r="AA68" s="561"/>
      <c r="AB68" s="561"/>
      <c r="AC68" s="561"/>
      <c r="AD68" s="541"/>
      <c r="AE68" s="541"/>
      <c r="AF68" s="541"/>
      <c r="AG68" s="541"/>
      <c r="AH68" s="541"/>
      <c r="AP68" s="542"/>
      <c r="AR68" s="233"/>
      <c r="AS68" s="234"/>
      <c r="AT68" s="235"/>
      <c r="AU68" s="252"/>
      <c r="AV68" s="233"/>
      <c r="AW68" s="3554" t="s">
        <v>114</v>
      </c>
      <c r="AX68" s="3555"/>
      <c r="AY68" s="266"/>
      <c r="AZ68" s="180"/>
      <c r="BA68" s="3554" t="s">
        <v>116</v>
      </c>
      <c r="BB68" s="3555"/>
      <c r="BC68" s="252"/>
      <c r="BD68" s="233"/>
      <c r="BE68" s="234" t="s">
        <v>30</v>
      </c>
      <c r="BF68" s="235" t="s">
        <v>103</v>
      </c>
      <c r="BG68" s="252"/>
      <c r="BH68" s="233"/>
      <c r="BI68" s="234" t="s">
        <v>24</v>
      </c>
      <c r="BJ68" s="235" t="s">
        <v>28</v>
      </c>
      <c r="BK68" s="252"/>
      <c r="BL68" s="233"/>
      <c r="BM68" s="234" t="s">
        <v>106</v>
      </c>
      <c r="BN68" s="235" t="s">
        <v>106</v>
      </c>
      <c r="BO68" s="252"/>
      <c r="BP68" s="233"/>
      <c r="BQ68" s="234" t="s">
        <v>24</v>
      </c>
      <c r="BR68" s="235" t="s">
        <v>28</v>
      </c>
      <c r="BS68" s="252"/>
      <c r="BT68" s="233"/>
      <c r="BU68" s="234" t="s">
        <v>108</v>
      </c>
      <c r="BV68" s="235" t="s">
        <v>108</v>
      </c>
      <c r="BW68" s="252"/>
      <c r="BX68" s="233"/>
      <c r="BY68" s="234" t="s">
        <v>106</v>
      </c>
      <c r="BZ68" s="235" t="s">
        <v>110</v>
      </c>
      <c r="CA68" s="232"/>
    </row>
    <row r="69" spans="10:79" ht="13.15">
      <c r="J69" s="327">
        <v>2</v>
      </c>
      <c r="K69" s="454" t="str">
        <f t="shared" si="8"/>
        <v>BBLS @ 60°F</v>
      </c>
      <c r="L69" s="456">
        <f t="shared" ref="L69" si="9">MAX(M69:T69)</f>
        <v>61818</v>
      </c>
      <c r="M69" s="599">
        <f>IF($L$17=M66,ROUND(M68*$T$13,0),"")</f>
        <v>61818</v>
      </c>
      <c r="N69" s="718" t="str">
        <f>IF($L$17=N66,ROUND(N67,0),"")</f>
        <v/>
      </c>
      <c r="O69" s="599" t="str">
        <f>IF($L$17=O66,ROUND(O68*$T$13,0),"")</f>
        <v/>
      </c>
      <c r="P69" s="599" t="str">
        <f>IF($L$17=P66,ROUND(P71/$T$82,0),"")</f>
        <v/>
      </c>
      <c r="Q69" s="599" t="str">
        <f>IF($L$17=Q66,ROUND(Q74*$T$92,0),"")</f>
        <v/>
      </c>
      <c r="R69" s="599" t="str">
        <f>IF($L$17=R66,ROUND(R74*$T$92,0),"")</f>
        <v/>
      </c>
      <c r="S69" s="599" t="str">
        <f>IF($L$17=S66,ROUND(S74*$T$92,0),"")</f>
        <v/>
      </c>
      <c r="T69" s="456"/>
      <c r="V69" s="12"/>
      <c r="W69" s="398"/>
      <c r="Y69" s="571"/>
      <c r="Z69" s="572"/>
      <c r="AA69" s="262" t="s">
        <v>303</v>
      </c>
      <c r="AB69" s="29"/>
      <c r="AC69" s="698" t="s">
        <v>307</v>
      </c>
      <c r="AD69" s="3614" t="s">
        <v>308</v>
      </c>
      <c r="AE69" s="3615"/>
      <c r="AF69" s="3616" t="s">
        <v>311</v>
      </c>
      <c r="AG69" s="3617"/>
      <c r="AH69" s="3617"/>
      <c r="AI69" s="3618"/>
      <c r="AJ69" s="698" t="s">
        <v>316</v>
      </c>
      <c r="AK69" s="3616" t="s">
        <v>322</v>
      </c>
      <c r="AL69" s="3617"/>
      <c r="AM69" s="3617"/>
      <c r="AN69" s="3617"/>
      <c r="AO69" s="3618"/>
      <c r="AP69" s="573" t="s">
        <v>204</v>
      </c>
      <c r="AR69" s="23" t="s">
        <v>35</v>
      </c>
      <c r="AS69" s="183" t="s">
        <v>32</v>
      </c>
      <c r="AT69" s="184" t="s">
        <v>31</v>
      </c>
      <c r="AU69" s="186"/>
      <c r="AV69" s="23" t="s">
        <v>35</v>
      </c>
      <c r="AW69" s="3584"/>
      <c r="AX69" s="3585"/>
      <c r="AY69" s="267"/>
      <c r="AZ69" s="23" t="s">
        <v>35</v>
      </c>
      <c r="BA69" s="3584"/>
      <c r="BB69" s="3585"/>
      <c r="BC69" s="186"/>
      <c r="BD69" s="23" t="s">
        <v>35</v>
      </c>
      <c r="BE69" s="183"/>
      <c r="BF69" s="184"/>
      <c r="BG69" s="186"/>
      <c r="BH69" s="23" t="s">
        <v>35</v>
      </c>
      <c r="BI69" s="183" t="s">
        <v>32</v>
      </c>
      <c r="BJ69" s="184" t="s">
        <v>32</v>
      </c>
      <c r="BK69" s="186"/>
      <c r="BL69" s="23" t="s">
        <v>35</v>
      </c>
      <c r="BM69" s="183" t="s">
        <v>32</v>
      </c>
      <c r="BN69" s="184" t="s">
        <v>32</v>
      </c>
      <c r="BO69" s="186"/>
      <c r="BP69" s="23" t="s">
        <v>35</v>
      </c>
      <c r="BQ69" s="183" t="s">
        <v>32</v>
      </c>
      <c r="BR69" s="184" t="s">
        <v>32</v>
      </c>
      <c r="BS69" s="186"/>
      <c r="BT69" s="23" t="s">
        <v>35</v>
      </c>
      <c r="BU69" s="183"/>
      <c r="BV69" s="184"/>
      <c r="BW69" s="186"/>
      <c r="BX69" s="23" t="s">
        <v>35</v>
      </c>
      <c r="BY69" s="183"/>
      <c r="BZ69" s="184"/>
      <c r="CA69" s="22"/>
    </row>
    <row r="70" spans="10:79" ht="13.15">
      <c r="J70" s="327">
        <v>3</v>
      </c>
      <c r="K70" s="454" t="str">
        <f t="shared" si="8"/>
        <v>M3 @ Temp.</v>
      </c>
      <c r="L70" s="456">
        <f>MAX(M70:T70)</f>
        <v>10000.302</v>
      </c>
      <c r="M70" s="720">
        <f>IF($L$17=M66,ROUND(M68/$P$8,3),"")</f>
        <v>10000.302</v>
      </c>
      <c r="N70" s="720" t="str">
        <f>IF($L$17=N66,ROUND(N68/$P$8,3),"")</f>
        <v/>
      </c>
      <c r="O70" s="721" t="str">
        <f>IF($L$17=O66,ROUND(O67,3),"")</f>
        <v/>
      </c>
      <c r="P70" s="722" t="str">
        <f>IF($L$17=P66,ROUND(P68/$P$8,3),"")</f>
        <v/>
      </c>
      <c r="Q70" s="722" t="str">
        <f>IF($L$17=Q66,ROUND(Q68/$P$8,3),"")</f>
        <v/>
      </c>
      <c r="R70" s="722" t="str">
        <f>IF($L$17=R66,ROUND(R68/$P$8,3),"")</f>
        <v/>
      </c>
      <c r="S70" s="722" t="str">
        <f>IF($L$17=S66,ROUND(S68/$P$8,3),"")</f>
        <v/>
      </c>
      <c r="T70" s="456"/>
      <c r="V70" s="12"/>
      <c r="W70" s="398"/>
      <c r="Y70" s="543" t="s">
        <v>251</v>
      </c>
      <c r="Z70" s="543" t="s">
        <v>301</v>
      </c>
      <c r="AA70" s="694" t="s">
        <v>251</v>
      </c>
      <c r="AB70" s="262" t="s">
        <v>205</v>
      </c>
      <c r="AC70" s="543" t="s">
        <v>306</v>
      </c>
      <c r="AD70" s="543" t="str">
        <f>IF(AA71&gt;=0.839,"Kₒ",IF(AA71&gt;=0.789,"Kₒ",IF(AA71&gt;=0.771,"B","Kₒ")))</f>
        <v>Kₒ</v>
      </c>
      <c r="AE70" s="543" t="str">
        <f>IF(AA71&gt;=0.839,"K1",IF(AA71&gt;=0.789,"K1",IF(AA71&gt;=0.771,"A","K1")))</f>
        <v>K1</v>
      </c>
      <c r="AF70" s="543" t="str">
        <f>IF(AA71&gt;=0.839,"Kₒ/ρ",IF(AA71&gt;=0.789,"Kₒ/ρ",IF(AA71&gt;=0.771,"B/ρ","Kₒ/ρ")))</f>
        <v>Kₒ/ρ</v>
      </c>
      <c r="AG70" s="543" t="str">
        <f>IF(AA71&gt;=0.839,"Kₒ/ρ/ρ",IF(AA71&gt;=0.789,"Kₒ/ρ/ρ",IF(AA71&gt;=0.771,"B/ρ/ρ","Kₒ/ρ/ρ")))</f>
        <v>Kₒ/ρ/ρ</v>
      </c>
      <c r="AH70" s="543" t="str">
        <f>IF(AA71&gt;=0.839,"K1/ρ",IF(AA71&gt;=0.789,"K1/ρ",IF(AA71&gt;=0.771,"A","K1/ρ")))</f>
        <v>K1/ρ</v>
      </c>
      <c r="AI70" s="283" t="s">
        <v>315</v>
      </c>
      <c r="AJ70" s="283" t="s">
        <v>317</v>
      </c>
      <c r="AK70" s="422" t="s">
        <v>319</v>
      </c>
      <c r="AL70" s="422" t="s">
        <v>318</v>
      </c>
      <c r="AM70" s="422" t="s">
        <v>320</v>
      </c>
      <c r="AN70" s="422" t="s">
        <v>321</v>
      </c>
      <c r="AO70" s="5" t="s">
        <v>323</v>
      </c>
      <c r="AP70" s="574" t="s">
        <v>305</v>
      </c>
      <c r="AR70" s="358">
        <f>VLOOKUP(AR71,'ASTM Vol. XI-XII'!AQ$10:AQ$860,TRUE)</f>
        <v>0.84799999999999998</v>
      </c>
      <c r="AS70" s="359">
        <f>VLOOKUP(AR70,'ASTM Vol. XI-XII'!AQ$10:AR$860,2)</f>
        <v>35.36</v>
      </c>
      <c r="AT70" s="360">
        <f>VLOOKUP(AR70,'ASTM Vol. XI-XII'!AQ$10:AS$860,3)</f>
        <v>847.6</v>
      </c>
      <c r="AU70" s="350"/>
      <c r="AV70" s="358">
        <f>VLOOKUP(AV71,'ASTM Vol. XI-XII'!AU$10:AU$860,TRUE)</f>
        <v>0.84499999999999997</v>
      </c>
      <c r="AW70" s="3591">
        <f>VLOOKUP(AV70,'ASTM Vol. XI-XII'!AU$10:AV$860,2)</f>
        <v>3.7837000000000001</v>
      </c>
      <c r="AX70" s="3592"/>
      <c r="AY70" s="361"/>
      <c r="AZ70" s="362">
        <f>VLOOKUP(AZ71,'ASTM Vol. XI-XII'!AW$10:AW$860,TRUE)</f>
        <v>0.8</v>
      </c>
      <c r="BA70" s="3590">
        <f>VLOOKUP(AZ70,'ASTM Vol. XI-XII'!AW$10:AX$860,2)</f>
        <v>0.15891</v>
      </c>
      <c r="BB70" s="3590"/>
      <c r="BC70" s="350"/>
      <c r="BD70" s="358">
        <f>VLOOKUP(BD71,'ASTM Vol. XI-XII'!AZ$10:AZ$860,TRUE)</f>
        <v>0.84799999999999998</v>
      </c>
      <c r="BE70" s="363">
        <f>VLOOKUP(BD70,'ASTM Vol. XI-XII'!AZ$10:BA$860,2)</f>
        <v>7.0608000000000004</v>
      </c>
      <c r="BF70" s="345">
        <f>VLOOKUP(BD70,'ASTM Vol. XI-XII'!AZ$10:BB$860,3)</f>
        <v>0.14163000000000001</v>
      </c>
      <c r="BG70" s="350"/>
      <c r="BH70" s="358">
        <f>VLOOKUP(BH71,'ASTM Vol. XI-XII'!BD$10:BD$860,TRUE)</f>
        <v>0.84799999999999998</v>
      </c>
      <c r="BI70" s="363">
        <f>VLOOKUP(BH70,'ASTM Vol. XI-XII'!BD$10:BE$860,2)</f>
        <v>3.5304000000000002</v>
      </c>
      <c r="BJ70" s="345">
        <f>VLOOKUP(BH70,'ASTM Vol. XI-XII'!BD$10:BF$860,3)</f>
        <v>0.14828</v>
      </c>
      <c r="BK70" s="350"/>
      <c r="BL70" s="358">
        <f>VLOOKUP(BL71,'ASTM Vol. XI-XII'!BH$10:BH$860,TRUE)</f>
        <v>0.84799999999999998</v>
      </c>
      <c r="BM70" s="359">
        <f>VLOOKUP(BL70,'ASTM Vol. XI-XII'!BH$10:BI$860,2)</f>
        <v>283.25</v>
      </c>
      <c r="BN70" s="364">
        <f>VLOOKUP(BL70,'ASTM Vol. XI-XII'!BH$10:BJ$860,3)</f>
        <v>6.7439999999999998</v>
      </c>
      <c r="BO70" s="350"/>
      <c r="BP70" s="358">
        <f>VLOOKUP(BP71,'ASTM Vol. XI-XII'!BL$10:BL$860,TRUE)</f>
        <v>0.84799999999999998</v>
      </c>
      <c r="BQ70" s="363">
        <f>VLOOKUP(BP70,'ASTM Vol. XI-XII'!BL$10:BM$860,2)</f>
        <v>3.1520999999999999</v>
      </c>
      <c r="BR70" s="345">
        <f>VLOOKUP(BP70,'ASTM Vol. XI-XII'!BL$10:BN$860,3)</f>
        <v>0.13239000000000001</v>
      </c>
      <c r="BS70" s="350"/>
      <c r="BT70" s="358">
        <f>VLOOKUP(BT71,'ASTM Vol. XI-XII'!BP$10:BP$860,TRUE)</f>
        <v>0.84799999999999998</v>
      </c>
      <c r="BU70" s="359">
        <f>VLOOKUP(BT70,'ASTM Vol. XI-XII'!BP$10:BQ$860,2)</f>
        <v>317.25</v>
      </c>
      <c r="BV70" s="364">
        <f>VLOOKUP(BT70,'ASTM Vol. XI-XII'!BP$10:BR$860,3)</f>
        <v>7.5529999999999999</v>
      </c>
      <c r="BW70" s="350"/>
      <c r="BX70" s="358">
        <f>VLOOKUP(BX71,'ASTM Vol. XI-XII'!BT$10:BT$860,TRUE)</f>
        <v>0.84799999999999998</v>
      </c>
      <c r="BY70" s="363">
        <f>VLOOKUP(BX70,'ASTM Vol. XI-XII'!BT$10:BU$860,2)</f>
        <v>1.0717000000000001</v>
      </c>
      <c r="BZ70" s="363">
        <f>VLOOKUP(BX70,'ASTM Vol. XI-XII'!BT$10:BV$860,3)</f>
        <v>1.2002999999999999</v>
      </c>
      <c r="CA70" s="12"/>
    </row>
    <row r="71" spans="10:79" ht="13.15">
      <c r="J71" s="327">
        <v>4</v>
      </c>
      <c r="K71" s="454" t="str">
        <f t="shared" si="8"/>
        <v>M3 @ 15°C</v>
      </c>
      <c r="L71" s="456">
        <f t="shared" ref="L71:L75" si="10">MAX(M71:T71)</f>
        <v>9823.4979999999996</v>
      </c>
      <c r="M71" s="720">
        <f>IF($L$17=M66,ROUND(M69*$T$82,3),"")</f>
        <v>9823.4979999999996</v>
      </c>
      <c r="N71" s="720" t="str">
        <f>IF($L$17=N66,ROUND(N69*$T$82,3),"")</f>
        <v/>
      </c>
      <c r="O71" s="720" t="str">
        <f>IF($L$17=O66,ROUND(O69*$T$82,3),"")</f>
        <v/>
      </c>
      <c r="P71" s="721" t="str">
        <f>IF($L$17=P66,ROUND(P67,3),"")</f>
        <v/>
      </c>
      <c r="Q71" s="720" t="str">
        <f>IF($L$17=Q66,ROUND(Q69*$T$82,3),"")</f>
        <v/>
      </c>
      <c r="R71" s="720" t="str">
        <f>IF($L$17=R66,ROUND(R69*$T$82,3),"")</f>
        <v/>
      </c>
      <c r="S71" s="720" t="str">
        <f>IF($L$17=S66,ROUND(S69*$T$82,3),"")</f>
        <v/>
      </c>
      <c r="T71" s="456"/>
      <c r="V71" s="12"/>
      <c r="W71" s="398"/>
      <c r="Y71" s="696">
        <f>T9</f>
        <v>0.8488</v>
      </c>
      <c r="Z71" s="695">
        <f>V8</f>
        <v>96</v>
      </c>
      <c r="AA71" s="697">
        <f>MROUND(Y71,0.002)</f>
        <v>0.84799999999999998</v>
      </c>
      <c r="AB71" s="547">
        <f>FLOOR(Z71,1)+IF(MOD(Z71,1)&lt;0.26,0,IF(MOD(Z71,1)&lt;0.76,0.5,1))</f>
        <v>96</v>
      </c>
      <c r="AC71" s="543">
        <f>MROUND(AA71*999.012,0.01)</f>
        <v>847.16</v>
      </c>
      <c r="AD71" s="543">
        <f>IF(AA71&gt;=0.839,103.872,IF(AA71&gt;=0.789,330.301,IF(AA71&gt;=0.771,1489.067,192.4571)))</f>
        <v>103.872</v>
      </c>
      <c r="AE71" s="283">
        <f>IF(AA71&gt;=0.839,0.2701,IF(AA71&gt;=0.789,0,IF(AA71&gt;=0.771,-0.0018684,0.2438)))</f>
        <v>0.27010000000000001</v>
      </c>
      <c r="AF71" s="699">
        <f>TRUNC(AD71/AC71,8)</f>
        <v>0.12261202</v>
      </c>
      <c r="AG71" s="701">
        <f>TRUNC(AF71/AC71,10)</f>
        <v>1.44733E-4</v>
      </c>
      <c r="AH71" s="707">
        <f>IF(AA71&gt;=0.839,AE71/AC71,IF(AA71&gt;=0.789,AE71/AC71,IF(AA71&gt;=0.771,AE71,AE71/AC71)))</f>
        <v>3.1882997308654799E-4</v>
      </c>
      <c r="AI71" s="703">
        <f>MROUND(AG71+AH71,0.0000001)</f>
        <v>4.6359999999999999E-4</v>
      </c>
      <c r="AJ71" s="704">
        <f>AB71-60</f>
        <v>36</v>
      </c>
      <c r="AK71" s="705">
        <f>AI71*AJ71</f>
        <v>1.6689599999999999E-2</v>
      </c>
      <c r="AL71" s="705">
        <f>0.8*AK71</f>
        <v>1.3351679999999999E-2</v>
      </c>
      <c r="AM71" s="705">
        <f>0.8*AI71^2*AJ71^2</f>
        <v>2.2283419852800002E-4</v>
      </c>
      <c r="AN71" s="705">
        <f>-AK71-AM71</f>
        <v>-1.6912434198528E-2</v>
      </c>
      <c r="AO71" s="283">
        <f>TRUNC(EXP(AN71),6)</f>
        <v>0.98322900000000002</v>
      </c>
      <c r="AP71" s="706">
        <f>ROUND(MROUND(AO71,0.00001),4)</f>
        <v>0.98319999999999996</v>
      </c>
      <c r="AR71" s="348">
        <f>$T$77</f>
        <v>0.8488</v>
      </c>
      <c r="AS71" s="365">
        <f>ROUND(AS70+((AR71-AR70)/(AR72-AR70))*(AS72-AS70),2)</f>
        <v>35.21</v>
      </c>
      <c r="AT71" s="366">
        <f>ROUND(AT70+((AR71-AR70)/(AR72-AR70))*(AT72-AT70),1)</f>
        <v>848.4</v>
      </c>
      <c r="AU71" s="350"/>
      <c r="AV71" s="348">
        <f>$T$77</f>
        <v>0.8488</v>
      </c>
      <c r="AW71" s="3593">
        <f>ROUND(AW70+((AV71-AV70)/(AV72-AV70))*(AW72-AW70),4)</f>
        <v>3.7837000000000001</v>
      </c>
      <c r="AX71" s="3594"/>
      <c r="AY71" s="367"/>
      <c r="AZ71" s="368">
        <f>$T$77</f>
        <v>0.8488</v>
      </c>
      <c r="BA71" s="3589">
        <f>ROUND(BA70+((AZ71-AZ70)/(AZ72-AZ70))*(BA72-BA70),5)</f>
        <v>0.15891</v>
      </c>
      <c r="BB71" s="3589"/>
      <c r="BC71" s="350"/>
      <c r="BD71" s="348">
        <f>$T$77</f>
        <v>0.8488</v>
      </c>
      <c r="BE71" s="369">
        <f>ROUND(BE70+((BD71-BD70)/(BD72-BD70))*(BE72-BE70),4)</f>
        <v>7.0674000000000001</v>
      </c>
      <c r="BF71" s="346">
        <f>ROUND(BF70+((BD71-BD70)/(BD72-BD70))*(BF72-BF70),5)</f>
        <v>0.14149</v>
      </c>
      <c r="BG71" s="350"/>
      <c r="BH71" s="348">
        <f>$T$77</f>
        <v>0.8488</v>
      </c>
      <c r="BI71" s="369">
        <f>ROUND(BI70+((BH71-BH70)/(BH72-BH70))*(BI72-BI70),4)</f>
        <v>3.5337999999999998</v>
      </c>
      <c r="BJ71" s="346">
        <f>ROUND(BJ70+((BH71-BH70)/(BH72-BH70))*(BJ72-BJ70),5)</f>
        <v>0.14842</v>
      </c>
      <c r="BK71" s="350"/>
      <c r="BL71" s="348">
        <f>$T$77</f>
        <v>0.8488</v>
      </c>
      <c r="BM71" s="365">
        <f>ROUND(BM70+((BL71-BL70)/(BL72-BL70))*(BM72-BM70),2)</f>
        <v>282.99</v>
      </c>
      <c r="BN71" s="370">
        <f>ROUND(BN70+((BL71-BL70)/(BL72-BL70))*(BN72-BN70),3)</f>
        <v>6.7380000000000004</v>
      </c>
      <c r="BO71" s="350"/>
      <c r="BP71" s="348">
        <f>$T$77</f>
        <v>0.8488</v>
      </c>
      <c r="BQ71" s="369">
        <f>ROUND(BQ70+((BP71-BP70)/(BP72-BP70))*(BQ72-BQ70),4)</f>
        <v>3.1551</v>
      </c>
      <c r="BR71" s="346">
        <f>ROUND(BR70+((BP71-BP70)/(BP72-BP70))*(BR72-BR70),5)</f>
        <v>0.13252</v>
      </c>
      <c r="BS71" s="350"/>
      <c r="BT71" s="348">
        <f>$T$77</f>
        <v>0.8488</v>
      </c>
      <c r="BU71" s="365">
        <f>ROUND(BU70+((BT71-BT70)/(BT72-BT70))*(BU72-BU70),2)</f>
        <v>316.95</v>
      </c>
      <c r="BV71" s="370">
        <f>ROUND(BV70+((BT71-BT70)/(BT72-BT70))*(BV72-BV70),3)</f>
        <v>7.5469999999999997</v>
      </c>
      <c r="BW71" s="350"/>
      <c r="BX71" s="348">
        <f>$T$77</f>
        <v>0.8488</v>
      </c>
      <c r="BY71" s="369">
        <f>ROUND(BY70+((BX71-BX70)/(BX72-BX70))*(BY72-BY70),4)</f>
        <v>1.0707</v>
      </c>
      <c r="BZ71" s="369">
        <f>ROUND(BZ70+((BX71-BX70)/(BX72-BX70))*(BZ72-BZ70),4)</f>
        <v>1.1992</v>
      </c>
      <c r="CA71" s="12"/>
    </row>
    <row r="72" spans="10:79" ht="13.15">
      <c r="J72" s="327">
        <v>5</v>
      </c>
      <c r="K72" s="454" t="str">
        <f t="shared" si="8"/>
        <v>MT (in Vac)</v>
      </c>
      <c r="L72" s="456">
        <f t="shared" si="10"/>
        <v>8334.01</v>
      </c>
      <c r="M72" s="720">
        <f>IF($L$17=M66,ROUND(M73*$T$118,3),"")</f>
        <v>8334.01</v>
      </c>
      <c r="N72" s="720" t="str">
        <f>IF($L$17=N66,ROUND(N73*$T$118,3),"")</f>
        <v/>
      </c>
      <c r="O72" s="720" t="str">
        <f>IF($L$17=O66,ROUND(O73*$T$118,3),"")</f>
        <v/>
      </c>
      <c r="P72" s="720" t="str">
        <f>IF($L$17=P66,ROUND(P73*$T$118,3),"")</f>
        <v/>
      </c>
      <c r="Q72" s="721" t="str">
        <f>IF($L$17=Q66,ROUND(Q67,3),"")</f>
        <v/>
      </c>
      <c r="R72" s="720" t="str">
        <f>IF($L$17=R66,ROUND(R73*$T$118,3),"")</f>
        <v/>
      </c>
      <c r="S72" s="720" t="str">
        <f>IF($L$17=S66,ROUND(S73*$T$118,3),"")</f>
        <v/>
      </c>
      <c r="T72" s="456"/>
      <c r="V72" s="12"/>
      <c r="W72" s="398"/>
      <c r="Y72" s="328"/>
      <c r="Z72" s="569"/>
      <c r="AA72" s="569"/>
      <c r="AB72" s="569"/>
      <c r="AC72" s="569"/>
      <c r="AD72" s="569"/>
      <c r="AE72" s="569"/>
      <c r="AF72" s="569"/>
      <c r="AG72" s="569"/>
      <c r="AH72" s="569"/>
      <c r="AI72" s="312"/>
      <c r="AJ72" s="312"/>
      <c r="AK72" s="312"/>
      <c r="AL72" s="312"/>
      <c r="AM72" s="312"/>
      <c r="AN72" s="312"/>
      <c r="AO72" s="312"/>
      <c r="AP72" s="579"/>
      <c r="AR72" s="358">
        <f>INDEX('ASTM Vol. XI-XII'!AQ$10:AQ$860,(MATCH(AR70,'ASTM Vol. XI-XII'!AQ$10:AQ$860,1)+1))</f>
        <v>0.84899999999999998</v>
      </c>
      <c r="AS72" s="359">
        <f>VLOOKUP(AR72,'ASTM Vol. XI-XII'!AQ$10:AR$860,2)</f>
        <v>35.17</v>
      </c>
      <c r="AT72" s="360">
        <f>VLOOKUP(AR72,'ASTM Vol. XI-XII'!AQ$10:AS$860,3)</f>
        <v>848.6</v>
      </c>
      <c r="AU72" s="356"/>
      <c r="AV72" s="358">
        <f>INDEX('ASTM Vol. XI-XII'!AU$10:AU$860,(MATCH(AV70,'ASTM Vol. XI-XII'!AU$10:AU$860,1)+1))</f>
        <v>0.88300000000000023</v>
      </c>
      <c r="AW72" s="3591">
        <f>VLOOKUP(AV72,'ASTM Vol. XI-XII'!AU$10:AV$860,2)</f>
        <v>3.7837000000000001</v>
      </c>
      <c r="AX72" s="3592"/>
      <c r="AY72" s="371"/>
      <c r="AZ72" s="362">
        <f>INDEX('ASTM Vol. XI-XII'!AW$10:AW$860,(MATCH(AZ70,'ASTM Vol. XI-XII'!AW$10:AW$860,1)+1))</f>
        <v>0.85900000000000021</v>
      </c>
      <c r="BA72" s="3590">
        <f>VLOOKUP(AZ72,'ASTM Vol. XI-XII'!AW$10:AX$860,2)</f>
        <v>0.15891</v>
      </c>
      <c r="BB72" s="3590"/>
      <c r="BC72" s="356"/>
      <c r="BD72" s="358">
        <f>INDEX('ASTM Vol. XI-XII'!AZ$10:AZ$860,(MATCH(BD70,'ASTM Vol. XI-XII'!AZ$10:AZ$860,1)+1))</f>
        <v>0.84899999999999998</v>
      </c>
      <c r="BE72" s="363">
        <f>VLOOKUP(BD72,'ASTM Vol. XI-XII'!AZ$10:BA$860,2)</f>
        <v>7.0690999999999997</v>
      </c>
      <c r="BF72" s="345">
        <f>VLOOKUP(BD72,'ASTM Vol. XI-XII'!AZ$10:BB$860,3)</f>
        <v>0.14146</v>
      </c>
      <c r="BG72" s="356"/>
      <c r="BH72" s="358">
        <f>INDEX('ASTM Vol. XI-XII'!BD$10:BD$860,(MATCH(BH70,'ASTM Vol. XI-XII'!BD$10:BD$860,1)+1))</f>
        <v>0.84899999999999998</v>
      </c>
      <c r="BI72" s="363">
        <f>VLOOKUP(BH72,'ASTM Vol. XI-XII'!BD$10:BE$860,2)</f>
        <v>3.5346000000000002</v>
      </c>
      <c r="BJ72" s="345">
        <f>VLOOKUP(BH72,'ASTM Vol. XI-XII'!BD$10:BF$860,3)</f>
        <v>0.14845</v>
      </c>
      <c r="BK72" s="356"/>
      <c r="BL72" s="358">
        <f>INDEX('ASTM Vol. XI-XII'!BH$10:BH$860,(MATCH(BL70,'ASTM Vol. XI-XII'!BH$10:BH$860,1)+1))</f>
        <v>0.84899999999999998</v>
      </c>
      <c r="BM72" s="359">
        <f>VLOOKUP(BL72,'ASTM Vol. XI-XII'!BH$10:BI$860,2)</f>
        <v>282.92</v>
      </c>
      <c r="BN72" s="364">
        <f>VLOOKUP(BL72,'ASTM Vol. XI-XII'!BH$10:BJ$860,3)</f>
        <v>6.7359999999999998</v>
      </c>
      <c r="BO72" s="356"/>
      <c r="BP72" s="358">
        <f>INDEX('ASTM Vol. XI-XII'!BL$10:BL$860,(MATCH(BP70,'ASTM Vol. XI-XII'!BL$10:BL$860,1)+1))</f>
        <v>0.84899999999999998</v>
      </c>
      <c r="BQ72" s="363">
        <f>VLOOKUP(BP72,'ASTM Vol. XI-XII'!BL$10:BM$860,2)</f>
        <v>3.1558999999999999</v>
      </c>
      <c r="BR72" s="345">
        <f>VLOOKUP(BP72,'ASTM Vol. XI-XII'!BL$10:BN$860,3)</f>
        <v>0.13255</v>
      </c>
      <c r="BS72" s="356"/>
      <c r="BT72" s="358">
        <f>INDEX('ASTM Vol. XI-XII'!BP$10:BP$860,(MATCH(BT70,'ASTM Vol. XI-XII'!BP$10:BP$860,1)+1))</f>
        <v>0.84899999999999998</v>
      </c>
      <c r="BU72" s="359">
        <f>VLOOKUP(BT72,'ASTM Vol. XI-XII'!BP$10:BQ$860,2)</f>
        <v>316.87</v>
      </c>
      <c r="BV72" s="364">
        <f>VLOOKUP(BT72,'ASTM Vol. XI-XII'!BP$10:BR$860,3)</f>
        <v>7.5449999999999999</v>
      </c>
      <c r="BW72" s="356"/>
      <c r="BX72" s="358">
        <f>INDEX('ASTM Vol. XI-XII'!BT$10:BT$860,(MATCH(BX70,'ASTM Vol. XI-XII'!BT$10:BT$860,1)+1))</f>
        <v>0.84899999999999998</v>
      </c>
      <c r="BY72" s="363">
        <f>VLOOKUP(BX72,'ASTM Vol. XI-XII'!BT$10:BU$860,2)</f>
        <v>1.0705</v>
      </c>
      <c r="BZ72" s="363">
        <f>VLOOKUP(BX72,'ASTM Vol. XI-XII'!BT$10:BV$860,3)</f>
        <v>1.1989000000000001</v>
      </c>
      <c r="CA72" s="12"/>
    </row>
    <row r="73" spans="10:79" ht="13.15">
      <c r="J73" s="327">
        <v>6</v>
      </c>
      <c r="K73" s="454" t="str">
        <f t="shared" si="8"/>
        <v>MT (in Air)</v>
      </c>
      <c r="L73" s="457">
        <f t="shared" si="10"/>
        <v>8323.6049999999996</v>
      </c>
      <c r="M73" s="723">
        <f>IF($L$17=M66,ROUND(M74*$P$11,3),"")</f>
        <v>8323.6049999999996</v>
      </c>
      <c r="N73" s="723" t="str">
        <f>IF($L$17=N66,ROUND(N74*$P$11,3),"")</f>
        <v/>
      </c>
      <c r="O73" s="723" t="str">
        <f>IF($L$17=O66,ROUND(O74*$P$11,3),"")</f>
        <v/>
      </c>
      <c r="P73" s="723" t="str">
        <f>IF($L$17=P66,ROUND(P74*$P$11,3),"")</f>
        <v/>
      </c>
      <c r="Q73" s="723" t="str">
        <f>IF($L$17=Q66,ROUND(Q72*$T$117,3),"")</f>
        <v/>
      </c>
      <c r="R73" s="724" t="str">
        <f>IF($L$17=R66,ROUND(R67,3),"")</f>
        <v/>
      </c>
      <c r="S73" s="723" t="str">
        <f>IF($L$17=S66,ROUND(S74*$P$11,3),"")</f>
        <v/>
      </c>
      <c r="T73" s="457"/>
      <c r="V73" s="12"/>
      <c r="W73" s="398"/>
    </row>
    <row r="74" spans="10:79" ht="13.15">
      <c r="J74" s="327">
        <v>7</v>
      </c>
      <c r="K74" s="454" t="str">
        <f t="shared" si="8"/>
        <v>LT</v>
      </c>
      <c r="L74" s="457">
        <f t="shared" si="10"/>
        <v>8192.1209999999992</v>
      </c>
      <c r="M74" s="723">
        <f>IF($L$17=M66,ROUND(M69*$T$90,3),"")</f>
        <v>8192.1209999999992</v>
      </c>
      <c r="N74" s="723" t="str">
        <f>IF($L$17=N66,ROUND(N69*$T$90,3),"")</f>
        <v/>
      </c>
      <c r="O74" s="723" t="str">
        <f>IF($L$17=O66,ROUND(O69*$T$90,3),"")</f>
        <v/>
      </c>
      <c r="P74" s="723" t="str">
        <f>IF($L$17=P66,ROUND(P69*$T$90,3),"")</f>
        <v/>
      </c>
      <c r="Q74" s="723" t="str">
        <f>IF($L$17=Q66,ROUND(Q73/$P$11,3),"")</f>
        <v/>
      </c>
      <c r="R74" s="723" t="str">
        <f>IF($L$17=R66,ROUND(R73*$P$10,3),"")</f>
        <v/>
      </c>
      <c r="S74" s="724" t="str">
        <f>IF($L$17=S66,ROUND(S67,3),"")</f>
        <v/>
      </c>
      <c r="T74" s="457"/>
      <c r="V74" s="12"/>
      <c r="W74" s="398"/>
      <c r="AA74" s="5" t="str">
        <f>IF(AA71&gt;=0.839,"FUEL OIL",IF(AA71&gt;=0.789,"JET GROUP",IF(AA71&gt;=0.771,"A+B","GASOLINE")))</f>
        <v>FUEL OIL</v>
      </c>
    </row>
    <row r="75" spans="10:79" ht="15">
      <c r="J75" s="327">
        <v>8</v>
      </c>
      <c r="K75" s="454">
        <f t="shared" si="8"/>
        <v>0</v>
      </c>
      <c r="L75" s="457">
        <f t="shared" si="10"/>
        <v>0</v>
      </c>
      <c r="M75" s="457"/>
      <c r="N75" s="457"/>
      <c r="O75" s="457"/>
      <c r="P75" s="457"/>
      <c r="Q75" s="457"/>
      <c r="R75" s="457"/>
      <c r="S75" s="457"/>
      <c r="T75" s="457"/>
      <c r="V75" s="12"/>
      <c r="W75" s="398"/>
      <c r="AD75" s="543" t="s">
        <v>309</v>
      </c>
      <c r="AE75" s="5" t="s">
        <v>327</v>
      </c>
    </row>
    <row r="76" spans="10:79" ht="15">
      <c r="J76" s="464"/>
      <c r="K76" s="458"/>
      <c r="L76" s="484"/>
      <c r="M76" s="484"/>
      <c r="N76" s="488"/>
      <c r="O76" s="488"/>
      <c r="P76" s="488"/>
      <c r="Q76" s="384"/>
      <c r="R76" s="489"/>
      <c r="S76" s="465"/>
      <c r="T76" s="484"/>
      <c r="U76" s="484"/>
      <c r="V76" s="484"/>
      <c r="W76" s="487"/>
      <c r="AD76" s="543" t="s">
        <v>310</v>
      </c>
      <c r="AE76" s="5" t="s">
        <v>328</v>
      </c>
    </row>
    <row r="77" spans="10:79">
      <c r="J77" s="275"/>
      <c r="Q77" s="274"/>
      <c r="R77" s="275"/>
      <c r="S77" s="430" t="s">
        <v>132</v>
      </c>
      <c r="T77" s="283">
        <f>T9</f>
        <v>0.8488</v>
      </c>
      <c r="U77" s="392" t="s">
        <v>167</v>
      </c>
      <c r="V77" s="6"/>
      <c r="W77" s="277"/>
    </row>
    <row r="78" spans="10:79">
      <c r="J78" s="275"/>
      <c r="K78" s="311"/>
      <c r="N78" s="311"/>
      <c r="O78" s="311"/>
      <c r="P78" s="311"/>
      <c r="Q78" s="379"/>
      <c r="R78" s="415" t="s">
        <v>111</v>
      </c>
      <c r="S78" s="429" t="s">
        <v>136</v>
      </c>
      <c r="T78" s="301">
        <f>AS71</f>
        <v>35.21</v>
      </c>
      <c r="U78" s="289" t="s">
        <v>166</v>
      </c>
      <c r="V78" s="6"/>
      <c r="W78" s="277"/>
    </row>
    <row r="79" spans="10:79">
      <c r="J79" s="275"/>
      <c r="K79" s="311"/>
      <c r="N79" s="311"/>
      <c r="O79" s="311"/>
      <c r="P79" s="311"/>
      <c r="Q79" s="379"/>
      <c r="R79" s="415" t="s">
        <v>111</v>
      </c>
      <c r="S79" s="430" t="s">
        <v>131</v>
      </c>
      <c r="T79" s="318">
        <f>AT71</f>
        <v>848.4</v>
      </c>
      <c r="U79" s="393" t="s">
        <v>168</v>
      </c>
      <c r="V79" s="6"/>
      <c r="W79" s="277"/>
    </row>
    <row r="80" spans="10:79" ht="13.15">
      <c r="J80" s="328"/>
      <c r="K80" s="317" t="s">
        <v>145</v>
      </c>
      <c r="L80" s="388" t="s">
        <v>160</v>
      </c>
      <c r="M80" s="388" t="s">
        <v>161</v>
      </c>
      <c r="N80" s="317"/>
      <c r="O80" s="317"/>
      <c r="P80" s="317"/>
      <c r="Q80" s="380"/>
      <c r="R80" s="416"/>
      <c r="S80" s="431"/>
      <c r="T80" s="321"/>
      <c r="U80" s="321"/>
      <c r="V80" s="322"/>
      <c r="W80" s="323"/>
    </row>
    <row r="81" spans="10:23">
      <c r="J81" s="327">
        <v>1</v>
      </c>
      <c r="K81" s="319" t="str">
        <f>CONCATENATE(R81," - ",L81," to ",M81)</f>
        <v>Table 22 - US Gallons at 60°F to Litres at 15°C</v>
      </c>
      <c r="L81" s="5" t="s">
        <v>139</v>
      </c>
      <c r="M81" s="5" t="s">
        <v>137</v>
      </c>
      <c r="N81" s="390"/>
      <c r="O81" s="412"/>
      <c r="P81" s="412"/>
      <c r="Q81" s="381"/>
      <c r="R81" s="415" t="s">
        <v>344</v>
      </c>
      <c r="S81" s="430" t="s">
        <v>137</v>
      </c>
      <c r="T81" s="302">
        <f>AW71</f>
        <v>3.7837000000000001</v>
      </c>
      <c r="U81" s="293" t="s">
        <v>338</v>
      </c>
      <c r="V81" s="423" t="s">
        <v>142</v>
      </c>
      <c r="W81" s="277"/>
    </row>
    <row r="82" spans="10:23">
      <c r="J82" s="327">
        <v>2</v>
      </c>
      <c r="K82" s="319" t="str">
        <f t="shared" ref="K82:K94" si="11">CONCATENATE(R82," - ",L82," to ",M82)</f>
        <v>Table 22 - US Gallons at 60°F to Cubic Metres at 15°C</v>
      </c>
      <c r="L82" s="5" t="s">
        <v>139</v>
      </c>
      <c r="M82" s="5" t="s">
        <v>138</v>
      </c>
      <c r="N82" s="390"/>
      <c r="O82" s="413"/>
      <c r="P82" s="413"/>
      <c r="Q82" s="382"/>
      <c r="R82" s="415" t="s">
        <v>344</v>
      </c>
      <c r="S82" s="430" t="s">
        <v>138</v>
      </c>
      <c r="T82" s="303">
        <f>BA71</f>
        <v>0.15891</v>
      </c>
      <c r="U82" s="293" t="s">
        <v>338</v>
      </c>
      <c r="V82" s="423" t="s">
        <v>143</v>
      </c>
      <c r="W82" s="277"/>
    </row>
    <row r="83" spans="10:23">
      <c r="J83" s="327">
        <v>3</v>
      </c>
      <c r="K83" s="319" t="str">
        <f t="shared" si="11"/>
        <v>Table 26 - US Gallons at 60°F to Pounds</v>
      </c>
      <c r="L83" s="5" t="s">
        <v>139</v>
      </c>
      <c r="M83" s="5" t="s">
        <v>102</v>
      </c>
      <c r="N83" s="390"/>
      <c r="O83" s="412"/>
      <c r="P83" s="412"/>
      <c r="Q83" s="381"/>
      <c r="R83" s="415" t="s">
        <v>345</v>
      </c>
      <c r="S83" s="429" t="s">
        <v>102</v>
      </c>
      <c r="T83" s="302">
        <f>BE71</f>
        <v>7.0674000000000001</v>
      </c>
      <c r="U83" s="293" t="s">
        <v>338</v>
      </c>
      <c r="V83" s="423" t="s">
        <v>142</v>
      </c>
      <c r="W83" s="277"/>
    </row>
    <row r="84" spans="10:23">
      <c r="J84" s="327">
        <v>4</v>
      </c>
      <c r="K84" s="319" t="str">
        <f t="shared" si="11"/>
        <v>Table 26 - Pounds to US Gallons at 60°F</v>
      </c>
      <c r="L84" s="5" t="s">
        <v>102</v>
      </c>
      <c r="M84" s="5" t="s">
        <v>139</v>
      </c>
      <c r="N84" s="390"/>
      <c r="O84" s="412"/>
      <c r="P84" s="412"/>
      <c r="Q84" s="381"/>
      <c r="R84" s="415" t="s">
        <v>345</v>
      </c>
      <c r="S84" s="433" t="s">
        <v>139</v>
      </c>
      <c r="T84" s="303">
        <f>BF71</f>
        <v>0.14149</v>
      </c>
      <c r="U84" s="293" t="s">
        <v>338</v>
      </c>
      <c r="V84" s="424" t="s">
        <v>103</v>
      </c>
      <c r="W84" s="277"/>
    </row>
    <row r="85" spans="10:23">
      <c r="J85" s="327">
        <v>5</v>
      </c>
      <c r="K85" s="319" t="str">
        <f t="shared" si="11"/>
        <v>Table 27 - 1000 US Gallons at 60°F to Short Tons (in AIR)</v>
      </c>
      <c r="L85" s="5" t="s">
        <v>144</v>
      </c>
      <c r="M85" s="5" t="s">
        <v>164</v>
      </c>
      <c r="N85" s="390"/>
      <c r="O85" s="413"/>
      <c r="P85" s="413"/>
      <c r="Q85" s="382"/>
      <c r="R85" s="415" t="s">
        <v>346</v>
      </c>
      <c r="S85" s="433" t="s">
        <v>23</v>
      </c>
      <c r="T85" s="302">
        <f>BI71</f>
        <v>3.5337999999999998</v>
      </c>
      <c r="U85" s="293" t="s">
        <v>338</v>
      </c>
      <c r="V85" s="423" t="s">
        <v>144</v>
      </c>
      <c r="W85" s="277"/>
    </row>
    <row r="86" spans="10:23">
      <c r="J86" s="327">
        <v>6</v>
      </c>
      <c r="K86" s="319" t="str">
        <f t="shared" si="11"/>
        <v>Table 27 - US Barrels at 60°F to Short Tons (in AIR)</v>
      </c>
      <c r="L86" s="5" t="s">
        <v>140</v>
      </c>
      <c r="M86" s="5" t="s">
        <v>164</v>
      </c>
      <c r="N86" s="390"/>
      <c r="O86" s="413"/>
      <c r="P86" s="413"/>
      <c r="Q86" s="382"/>
      <c r="R86" s="415" t="s">
        <v>346</v>
      </c>
      <c r="S86" s="433" t="s">
        <v>23</v>
      </c>
      <c r="T86" s="303">
        <f>BJ71</f>
        <v>0.14842</v>
      </c>
      <c r="U86" s="293" t="s">
        <v>338</v>
      </c>
      <c r="V86" s="423" t="s">
        <v>143</v>
      </c>
      <c r="W86" s="277"/>
    </row>
    <row r="87" spans="10:23">
      <c r="J87" s="327">
        <v>7</v>
      </c>
      <c r="K87" s="319" t="str">
        <f t="shared" si="11"/>
        <v>Table 28 - Short Tons (in AIR) to US Gallons at 60°F</v>
      </c>
      <c r="L87" s="5" t="s">
        <v>164</v>
      </c>
      <c r="M87" s="5" t="s">
        <v>139</v>
      </c>
      <c r="N87" s="390"/>
      <c r="O87" s="412"/>
      <c r="P87" s="412"/>
      <c r="Q87" s="381"/>
      <c r="R87" s="415" t="s">
        <v>347</v>
      </c>
      <c r="S87" s="433" t="s">
        <v>139</v>
      </c>
      <c r="T87" s="300">
        <f>BM71</f>
        <v>282.99</v>
      </c>
      <c r="U87" s="293" t="s">
        <v>338</v>
      </c>
      <c r="V87" s="423" t="s">
        <v>106</v>
      </c>
      <c r="W87" s="277"/>
    </row>
    <row r="88" spans="10:23">
      <c r="J88" s="327">
        <v>8</v>
      </c>
      <c r="K88" s="319" t="str">
        <f t="shared" si="11"/>
        <v>Table 28 - Short Tons (in AIR) to US Barrels at 60°F</v>
      </c>
      <c r="L88" s="5" t="s">
        <v>164</v>
      </c>
      <c r="M88" s="5" t="s">
        <v>140</v>
      </c>
      <c r="N88" s="390"/>
      <c r="O88" s="412"/>
      <c r="P88" s="412"/>
      <c r="Q88" s="381"/>
      <c r="R88" s="415" t="s">
        <v>347</v>
      </c>
      <c r="S88" s="433" t="s">
        <v>140</v>
      </c>
      <c r="T88" s="305">
        <f>BN71</f>
        <v>6.7380000000000004</v>
      </c>
      <c r="U88" s="293" t="s">
        <v>338</v>
      </c>
      <c r="V88" s="423" t="s">
        <v>106</v>
      </c>
      <c r="W88" s="277"/>
    </row>
    <row r="89" spans="10:23">
      <c r="J89" s="327">
        <v>9</v>
      </c>
      <c r="K89" s="319" t="str">
        <f t="shared" si="11"/>
        <v>Table 29 - 1000 US Gallons at 60°F to Long Tons (in AIR)</v>
      </c>
      <c r="L89" s="5" t="s">
        <v>144</v>
      </c>
      <c r="M89" s="5" t="s">
        <v>165</v>
      </c>
      <c r="N89" s="390"/>
      <c r="O89" s="413"/>
      <c r="P89" s="413"/>
      <c r="Q89" s="382"/>
      <c r="R89" s="415" t="s">
        <v>348</v>
      </c>
      <c r="S89" s="433" t="s">
        <v>14</v>
      </c>
      <c r="T89" s="302">
        <f>BQ71</f>
        <v>3.1551</v>
      </c>
      <c r="U89" s="293" t="s">
        <v>338</v>
      </c>
      <c r="V89" s="423" t="s">
        <v>144</v>
      </c>
      <c r="W89" s="277"/>
    </row>
    <row r="90" spans="10:23">
      <c r="J90" s="327">
        <v>10</v>
      </c>
      <c r="K90" s="319" t="str">
        <f t="shared" si="11"/>
        <v>Table 29 - US Barrels at 60°F to Long Tons (in AIR)</v>
      </c>
      <c r="L90" s="5" t="s">
        <v>140</v>
      </c>
      <c r="M90" s="5" t="s">
        <v>165</v>
      </c>
      <c r="N90" s="390"/>
      <c r="O90" s="413"/>
      <c r="P90" s="413"/>
      <c r="Q90" s="382"/>
      <c r="R90" s="415" t="s">
        <v>348</v>
      </c>
      <c r="S90" s="433" t="s">
        <v>14</v>
      </c>
      <c r="T90" s="303">
        <f>BR71</f>
        <v>0.13252</v>
      </c>
      <c r="U90" s="293" t="s">
        <v>338</v>
      </c>
      <c r="V90" s="423" t="s">
        <v>143</v>
      </c>
      <c r="W90" s="277"/>
    </row>
    <row r="91" spans="10:23">
      <c r="J91" s="327">
        <v>11</v>
      </c>
      <c r="K91" s="319" t="str">
        <f t="shared" si="11"/>
        <v>Table 30 - Long Tons (in AIR) to US Gallons at 60°F</v>
      </c>
      <c r="L91" s="5" t="s">
        <v>165</v>
      </c>
      <c r="M91" s="5" t="s">
        <v>139</v>
      </c>
      <c r="N91" s="390"/>
      <c r="O91" s="412"/>
      <c r="P91" s="412"/>
      <c r="Q91" s="381"/>
      <c r="R91" s="415" t="s">
        <v>349</v>
      </c>
      <c r="S91" s="433" t="s">
        <v>139</v>
      </c>
      <c r="T91" s="300">
        <f>BU71</f>
        <v>316.95</v>
      </c>
      <c r="U91" s="293" t="s">
        <v>338</v>
      </c>
      <c r="V91" s="423" t="s">
        <v>108</v>
      </c>
      <c r="W91" s="277"/>
    </row>
    <row r="92" spans="10:23">
      <c r="J92" s="327">
        <v>12</v>
      </c>
      <c r="K92" s="319" t="str">
        <f t="shared" si="11"/>
        <v>Table 30 - Long Tons (in AIR) to US Barrels at 60°F</v>
      </c>
      <c r="L92" s="5" t="s">
        <v>165</v>
      </c>
      <c r="M92" s="5" t="s">
        <v>140</v>
      </c>
      <c r="N92" s="390"/>
      <c r="O92" s="412"/>
      <c r="P92" s="412"/>
      <c r="Q92" s="381"/>
      <c r="R92" s="415" t="s">
        <v>349</v>
      </c>
      <c r="S92" s="433" t="s">
        <v>140</v>
      </c>
      <c r="T92" s="305">
        <f>BV71</f>
        <v>7.5469999999999997</v>
      </c>
      <c r="U92" s="293" t="s">
        <v>338</v>
      </c>
      <c r="V92" s="423" t="s">
        <v>108</v>
      </c>
      <c r="W92" s="277"/>
    </row>
    <row r="93" spans="10:23">
      <c r="J93" s="327">
        <v>13</v>
      </c>
      <c r="K93" s="319" t="str">
        <f t="shared" si="11"/>
        <v>Table 31 - Short Tons (in AIR) to Cubic Metres at 15°C</v>
      </c>
      <c r="L93" s="5" t="s">
        <v>164</v>
      </c>
      <c r="M93" s="5" t="s">
        <v>138</v>
      </c>
      <c r="N93" s="390"/>
      <c r="O93" s="413"/>
      <c r="P93" s="413"/>
      <c r="Q93" s="382"/>
      <c r="R93" s="415" t="s">
        <v>350</v>
      </c>
      <c r="S93" s="432" t="s">
        <v>138</v>
      </c>
      <c r="T93" s="302">
        <f>BY71</f>
        <v>1.0707</v>
      </c>
      <c r="U93" s="293" t="s">
        <v>338</v>
      </c>
      <c r="V93" s="423" t="s">
        <v>106</v>
      </c>
      <c r="W93" s="277"/>
    </row>
    <row r="94" spans="10:23">
      <c r="J94" s="327">
        <v>14</v>
      </c>
      <c r="K94" s="319" t="str">
        <f t="shared" si="11"/>
        <v>Table 31 - Long Tons (in AIR) to Cubic Metres at 15°C</v>
      </c>
      <c r="L94" s="5" t="s">
        <v>165</v>
      </c>
      <c r="M94" s="5" t="s">
        <v>138</v>
      </c>
      <c r="N94" s="390"/>
      <c r="O94" s="413"/>
      <c r="P94" s="413"/>
      <c r="Q94" s="382"/>
      <c r="R94" s="415" t="s">
        <v>350</v>
      </c>
      <c r="S94" s="432" t="s">
        <v>138</v>
      </c>
      <c r="T94" s="302">
        <f>BZ71</f>
        <v>1.1992</v>
      </c>
      <c r="U94" s="293" t="s">
        <v>338</v>
      </c>
      <c r="V94" s="423" t="s">
        <v>108</v>
      </c>
      <c r="W94" s="277"/>
    </row>
    <row r="95" spans="10:23">
      <c r="J95" s="329"/>
      <c r="K95" s="312"/>
      <c r="L95" s="312"/>
      <c r="M95" s="312"/>
      <c r="N95" s="391"/>
      <c r="O95" s="312"/>
      <c r="P95" s="312"/>
      <c r="Q95" s="383"/>
      <c r="R95" s="418"/>
      <c r="S95" s="434"/>
      <c r="T95" s="281"/>
      <c r="U95" s="281"/>
      <c r="V95" s="281"/>
      <c r="W95" s="282"/>
    </row>
    <row r="97" spans="10:70" ht="15.75" customHeight="1">
      <c r="J97" s="3601" t="s">
        <v>237</v>
      </c>
      <c r="K97" s="3602"/>
      <c r="L97" s="3602"/>
      <c r="M97" s="3602"/>
      <c r="N97" s="3602"/>
      <c r="O97" s="3602"/>
      <c r="P97" s="3602"/>
      <c r="Q97" s="3602"/>
      <c r="R97" s="3602"/>
      <c r="S97" s="3602"/>
      <c r="T97" s="3602"/>
      <c r="U97" s="3602"/>
      <c r="V97" s="3602"/>
      <c r="W97" s="3603"/>
      <c r="Y97" s="262" t="s">
        <v>326</v>
      </c>
      <c r="Z97" s="29"/>
      <c r="AA97" s="29"/>
      <c r="AB97" s="29"/>
      <c r="AC97" s="29"/>
      <c r="AD97" s="29"/>
      <c r="AE97" s="29"/>
      <c r="AF97" s="29"/>
      <c r="AG97" s="29"/>
      <c r="AH97" s="29"/>
      <c r="AI97" s="29"/>
      <c r="AJ97" s="214"/>
      <c r="AR97" s="262" t="s">
        <v>100</v>
      </c>
      <c r="AS97" s="29"/>
      <c r="AT97" s="29"/>
      <c r="AU97" s="29"/>
      <c r="AV97" s="29"/>
      <c r="AW97" s="29"/>
      <c r="AX97" s="29"/>
      <c r="AY97" s="29"/>
      <c r="AZ97" s="29"/>
      <c r="BA97" s="29"/>
      <c r="BB97" s="29"/>
      <c r="BC97" s="216"/>
      <c r="BD97" s="166" t="s">
        <v>100</v>
      </c>
      <c r="BE97" s="29"/>
      <c r="BF97" s="166"/>
      <c r="BG97" s="29"/>
      <c r="BH97" s="29"/>
      <c r="BI97" s="29"/>
      <c r="BJ97" s="29"/>
      <c r="BK97" s="29"/>
      <c r="BL97" s="29"/>
      <c r="BM97" s="29"/>
      <c r="BN97" s="29"/>
      <c r="BO97" s="273"/>
      <c r="BP97" s="164"/>
      <c r="BQ97" s="164"/>
      <c r="BR97" s="167"/>
    </row>
    <row r="98" spans="10:70" ht="13.15">
      <c r="J98" s="419"/>
      <c r="K98" s="284"/>
      <c r="L98" s="451"/>
      <c r="M98" s="480"/>
      <c r="N98" s="480"/>
      <c r="O98" s="480"/>
      <c r="P98" s="480"/>
      <c r="Q98" s="480"/>
      <c r="R98" s="480"/>
      <c r="S98" s="480"/>
      <c r="T98" s="480"/>
      <c r="V98" s="441"/>
      <c r="W98" s="398"/>
      <c r="Y98" s="571"/>
      <c r="Z98" s="572"/>
      <c r="AA98" s="262" t="s">
        <v>218</v>
      </c>
      <c r="AB98" s="29"/>
      <c r="AC98" s="594"/>
      <c r="AD98" s="595"/>
      <c r="AE98" s="328"/>
      <c r="AF98" s="591"/>
      <c r="AG98" s="591"/>
      <c r="AH98" s="592"/>
      <c r="AI98" s="573" t="s">
        <v>204</v>
      </c>
      <c r="AJ98" s="570"/>
      <c r="AR98" s="253" t="s">
        <v>12</v>
      </c>
      <c r="AS98" s="254"/>
      <c r="AT98" s="255"/>
      <c r="AU98" s="249"/>
      <c r="AV98" s="253" t="s">
        <v>7</v>
      </c>
      <c r="AW98" s="254"/>
      <c r="AX98" s="255"/>
      <c r="AY98" s="258"/>
      <c r="AZ98" s="3549" t="str">
        <f>'ASTM Vol. XI-XII'!CF5</f>
        <v>ASTM Table 56</v>
      </c>
      <c r="BA98" s="3550"/>
      <c r="BB98" s="3551"/>
      <c r="BC98" s="258"/>
      <c r="BD98" s="3549" t="str">
        <f>'ASTM Vol. XI-XII'!CI5</f>
        <v>ASTM Table 56</v>
      </c>
      <c r="BE98" s="3550"/>
      <c r="BF98" s="3551"/>
      <c r="BG98" s="258"/>
      <c r="BH98" s="253" t="s">
        <v>8</v>
      </c>
      <c r="BI98" s="254"/>
      <c r="BJ98" s="255"/>
      <c r="BK98" s="249"/>
      <c r="BL98" s="253" t="s">
        <v>9</v>
      </c>
      <c r="BM98" s="254"/>
      <c r="BN98" s="255"/>
      <c r="BO98" s="249"/>
      <c r="BP98" s="253" t="s">
        <v>10</v>
      </c>
      <c r="BQ98" s="254"/>
      <c r="BR98" s="255"/>
    </row>
    <row r="99" spans="10:70">
      <c r="J99" s="275"/>
      <c r="K99" s="681" t="s">
        <v>253</v>
      </c>
      <c r="L99" s="585" t="str">
        <f>$L$17</f>
        <v>BBLS @ Temp.</v>
      </c>
      <c r="M99" s="477" t="str">
        <f>K101</f>
        <v>BBLS @ Temp.</v>
      </c>
      <c r="N99" s="477" t="str">
        <f>K102</f>
        <v>BBLS @ 60°F</v>
      </c>
      <c r="O99" s="477" t="str">
        <f>K103</f>
        <v>M3 @ Temp.</v>
      </c>
      <c r="P99" s="477" t="str">
        <f>K104</f>
        <v>M3 @ 15°C</v>
      </c>
      <c r="Q99" s="477" t="str">
        <f>K105</f>
        <v>MT (in Vac)</v>
      </c>
      <c r="R99" s="477" t="str">
        <f>K106</f>
        <v>MT (in Air)</v>
      </c>
      <c r="S99" s="477" t="str">
        <f>K107</f>
        <v>LT</v>
      </c>
      <c r="T99" s="477">
        <f>K108</f>
        <v>0</v>
      </c>
      <c r="V99" s="426"/>
      <c r="W99" s="398"/>
      <c r="Y99" s="543" t="s">
        <v>219</v>
      </c>
      <c r="Z99" s="543" t="s">
        <v>220</v>
      </c>
      <c r="AA99" s="262" t="s">
        <v>219</v>
      </c>
      <c r="AB99" s="262" t="s">
        <v>220</v>
      </c>
      <c r="AC99" s="543" t="s">
        <v>206</v>
      </c>
      <c r="AD99" s="543" t="s">
        <v>207</v>
      </c>
      <c r="AE99" s="328"/>
      <c r="AF99" s="591"/>
      <c r="AG99" s="591"/>
      <c r="AH99" s="592"/>
      <c r="AI99" s="574" t="s">
        <v>221</v>
      </c>
      <c r="AJ99" s="542"/>
      <c r="AR99" s="229" t="s">
        <v>20</v>
      </c>
      <c r="AS99" s="230" t="s">
        <v>19</v>
      </c>
      <c r="AT99" s="231" t="s">
        <v>18</v>
      </c>
      <c r="AU99" s="250"/>
      <c r="AV99" s="229" t="s">
        <v>20</v>
      </c>
      <c r="AW99" s="230" t="s">
        <v>13</v>
      </c>
      <c r="AX99" s="231" t="s">
        <v>16</v>
      </c>
      <c r="AY99" s="259"/>
      <c r="AZ99" s="229" t="s">
        <v>123</v>
      </c>
      <c r="BA99" s="3552" t="s">
        <v>124</v>
      </c>
      <c r="BB99" s="3553"/>
      <c r="BC99" s="259"/>
      <c r="BD99" s="229" t="s">
        <v>123</v>
      </c>
      <c r="BE99" s="3552" t="s">
        <v>124</v>
      </c>
      <c r="BF99" s="3553"/>
      <c r="BG99" s="259"/>
      <c r="BH99" s="229" t="s">
        <v>20</v>
      </c>
      <c r="BI99" s="230" t="s">
        <v>17</v>
      </c>
      <c r="BJ99" s="231" t="s">
        <v>13</v>
      </c>
      <c r="BK99" s="250"/>
      <c r="BL99" s="229" t="s">
        <v>20</v>
      </c>
      <c r="BM99" s="230" t="s">
        <v>23</v>
      </c>
      <c r="BN99" s="231" t="s">
        <v>14</v>
      </c>
      <c r="BO99" s="250"/>
      <c r="BP99" s="229" t="s">
        <v>20</v>
      </c>
      <c r="BQ99" s="230" t="s">
        <v>24</v>
      </c>
      <c r="BR99" s="231" t="s">
        <v>16</v>
      </c>
    </row>
    <row r="100" spans="10:70" ht="13.15">
      <c r="J100" s="276"/>
      <c r="K100" s="383"/>
      <c r="L100" s="482">
        <f>$L$18</f>
        <v>62900</v>
      </c>
      <c r="M100" s="478">
        <f t="shared" ref="M100:T100" si="12">IF(M99=$L$99,$L$100,"")</f>
        <v>62900</v>
      </c>
      <c r="N100" s="479" t="str">
        <f t="shared" si="12"/>
        <v/>
      </c>
      <c r="O100" s="479" t="str">
        <f t="shared" si="12"/>
        <v/>
      </c>
      <c r="P100" s="479" t="str">
        <f t="shared" si="12"/>
        <v/>
      </c>
      <c r="Q100" s="479" t="str">
        <f t="shared" si="12"/>
        <v/>
      </c>
      <c r="R100" s="478" t="str">
        <f t="shared" si="12"/>
        <v/>
      </c>
      <c r="S100" s="478" t="str">
        <f t="shared" si="12"/>
        <v/>
      </c>
      <c r="T100" s="478" t="str">
        <f t="shared" si="12"/>
        <v/>
      </c>
      <c r="U100" s="276"/>
      <c r="V100" s="428"/>
      <c r="W100" s="400"/>
      <c r="Y100" s="558">
        <f>T10</f>
        <v>848.4</v>
      </c>
      <c r="Z100" s="559">
        <f>V10</f>
        <v>35.56</v>
      </c>
      <c r="AA100" s="544">
        <f>IF((EVEN(Y100)-Y100)&lt;1,EVEN(Y100),EVEN(Y100)-2)</f>
        <v>848</v>
      </c>
      <c r="AB100" s="560">
        <f>FLOOR(Z100,1)+IF(MOD(Z100,1)&lt;0.125,0,IF(MOD(Z100,1)&lt;0.375,0.25,IF(MOD(Z100,1)&lt;0.625,0.5,IF(MOD(Z100,1)&lt;0.875,0.75,1))))</f>
        <v>35.5</v>
      </c>
      <c r="AC100" s="548">
        <f>613.9723/AA100^2</f>
        <v>8.538018144802421E-4</v>
      </c>
      <c r="AD100" s="548">
        <f>1+0.8*AC100*(AB100-15)</f>
        <v>1.0140023497574759</v>
      </c>
      <c r="AE100" s="328"/>
      <c r="AF100" s="591"/>
      <c r="AG100" s="591"/>
      <c r="AH100" s="592"/>
      <c r="AI100" s="590">
        <f>ROUND(EXP(AC100*AD100*(AB100-15)*-1),4)</f>
        <v>0.98240000000000005</v>
      </c>
      <c r="AJ100" s="550"/>
      <c r="AR100" s="180"/>
      <c r="AS100" s="181" t="s">
        <v>20</v>
      </c>
      <c r="AT100" s="182" t="s">
        <v>26</v>
      </c>
      <c r="AU100" s="185"/>
      <c r="AV100" s="180" t="s">
        <v>27</v>
      </c>
      <c r="AW100" s="181" t="s">
        <v>25</v>
      </c>
      <c r="AX100" s="182" t="s">
        <v>25</v>
      </c>
      <c r="AY100" s="260"/>
      <c r="AZ100" s="180" t="s">
        <v>125</v>
      </c>
      <c r="BA100" s="3538" t="s">
        <v>159</v>
      </c>
      <c r="BB100" s="3539"/>
      <c r="BC100" s="260"/>
      <c r="BD100" s="180" t="s">
        <v>125</v>
      </c>
      <c r="BE100" s="3554" t="s">
        <v>126</v>
      </c>
      <c r="BF100" s="3555"/>
      <c r="BG100" s="260"/>
      <c r="BH100" s="180" t="s">
        <v>27</v>
      </c>
      <c r="BI100" s="181" t="s">
        <v>25</v>
      </c>
      <c r="BJ100" s="182" t="s">
        <v>25</v>
      </c>
      <c r="BK100" s="185"/>
      <c r="BL100" s="180"/>
      <c r="BM100" s="181" t="s">
        <v>25</v>
      </c>
      <c r="BN100" s="182" t="s">
        <v>25</v>
      </c>
      <c r="BO100" s="185"/>
      <c r="BP100" s="180" t="s">
        <v>27</v>
      </c>
      <c r="BQ100" s="181" t="s">
        <v>25</v>
      </c>
      <c r="BR100" s="182" t="s">
        <v>25</v>
      </c>
    </row>
    <row r="101" spans="10:70" ht="13.15">
      <c r="J101" s="327">
        <v>1</v>
      </c>
      <c r="K101" s="454" t="str">
        <f t="shared" ref="K101:K108" si="13">K19</f>
        <v>BBLS @ Temp.</v>
      </c>
      <c r="L101" s="457">
        <f>MAX(M101:T101)</f>
        <v>62900</v>
      </c>
      <c r="M101" s="719">
        <f>IF($L$17=M99,ROUND(M100,0),"")</f>
        <v>62900</v>
      </c>
      <c r="N101" s="457" t="str">
        <f t="shared" ref="N101:S101" si="14">IF($L$17=N99,ROUND(N103*$P$8,0),"")</f>
        <v/>
      </c>
      <c r="O101" s="457" t="str">
        <f t="shared" si="14"/>
        <v/>
      </c>
      <c r="P101" s="457" t="str">
        <f t="shared" si="14"/>
        <v/>
      </c>
      <c r="Q101" s="457" t="str">
        <f t="shared" si="14"/>
        <v/>
      </c>
      <c r="R101" s="457" t="str">
        <f t="shared" si="14"/>
        <v/>
      </c>
      <c r="S101" s="457" t="str">
        <f t="shared" si="14"/>
        <v/>
      </c>
      <c r="T101" s="457"/>
      <c r="V101" s="12"/>
      <c r="W101" s="398"/>
      <c r="Y101" s="549"/>
      <c r="Z101" s="541"/>
      <c r="AA101" s="561"/>
      <c r="AB101" s="561"/>
      <c r="AC101" s="561"/>
      <c r="AD101" s="541"/>
      <c r="AE101" s="541"/>
      <c r="AF101" s="541"/>
      <c r="AG101" s="541"/>
      <c r="AH101" s="541"/>
      <c r="AI101" s="541"/>
      <c r="AJ101" s="542"/>
      <c r="AR101" s="233"/>
      <c r="AS101" s="234"/>
      <c r="AT101" s="235"/>
      <c r="AU101" s="250"/>
      <c r="AV101" s="233" t="s">
        <v>27</v>
      </c>
      <c r="AW101" s="234" t="s">
        <v>28</v>
      </c>
      <c r="AX101" s="235" t="s">
        <v>22</v>
      </c>
      <c r="AY101" s="259"/>
      <c r="AZ101" s="233"/>
      <c r="BA101" s="3536" t="s">
        <v>127</v>
      </c>
      <c r="BB101" s="3537"/>
      <c r="BC101" s="259"/>
      <c r="BD101" s="233"/>
      <c r="BE101" s="3538" t="s">
        <v>141</v>
      </c>
      <c r="BF101" s="3539"/>
      <c r="BG101" s="259"/>
      <c r="BH101" s="233" t="s">
        <v>27</v>
      </c>
      <c r="BI101" s="234" t="s">
        <v>22</v>
      </c>
      <c r="BJ101" s="235" t="s">
        <v>29</v>
      </c>
      <c r="BK101" s="250"/>
      <c r="BL101" s="233"/>
      <c r="BM101" s="234" t="s">
        <v>22</v>
      </c>
      <c r="BN101" s="235" t="s">
        <v>22</v>
      </c>
      <c r="BO101" s="250"/>
      <c r="BP101" s="233" t="s">
        <v>27</v>
      </c>
      <c r="BQ101" s="234" t="s">
        <v>29</v>
      </c>
      <c r="BR101" s="235" t="s">
        <v>29</v>
      </c>
    </row>
    <row r="102" spans="10:70" ht="13.15">
      <c r="J102" s="327">
        <v>2</v>
      </c>
      <c r="K102" s="454" t="str">
        <f t="shared" si="13"/>
        <v>BBLS @ 60°F</v>
      </c>
      <c r="L102" s="599">
        <f>MAX(M102:T102)</f>
        <v>61824</v>
      </c>
      <c r="M102" s="599">
        <f>IF($L$17=M99,ROUND(M104*$T$116,0),"")</f>
        <v>61824</v>
      </c>
      <c r="N102" s="718" t="str">
        <f>IF($L$17=N99,ROUND(N100,0),"")</f>
        <v/>
      </c>
      <c r="O102" s="599" t="str">
        <f>IF($L$17=O99,ROUND(O104*$T$116,0),"")</f>
        <v/>
      </c>
      <c r="P102" s="599" t="str">
        <f>IF($L$17=P99,ROUND(P104*$T$116,0),"")</f>
        <v/>
      </c>
      <c r="Q102" s="599" t="str">
        <f>IF($L$17=Q99,ROUND(Q104*$T$116,0),"")</f>
        <v/>
      </c>
      <c r="R102" s="599" t="str">
        <f>IF($L$17=R99,ROUND(R104*$T$116,0),"")</f>
        <v/>
      </c>
      <c r="S102" s="599" t="str">
        <f>IF($L$17=S99,ROUND(S104*$T$116,0),"")</f>
        <v/>
      </c>
      <c r="T102" s="456"/>
      <c r="V102" s="12"/>
      <c r="W102" s="398"/>
      <c r="Y102" s="571"/>
      <c r="Z102" s="572"/>
      <c r="AA102" s="262" t="s">
        <v>222</v>
      </c>
      <c r="AB102" s="29"/>
      <c r="AC102" s="539" t="s">
        <v>210</v>
      </c>
      <c r="AD102" s="552"/>
      <c r="AE102" s="552"/>
      <c r="AF102" s="540"/>
      <c r="AG102" s="551" t="s">
        <v>210</v>
      </c>
      <c r="AH102" s="562" t="s">
        <v>211</v>
      </c>
      <c r="AI102" s="573" t="s">
        <v>204</v>
      </c>
      <c r="AJ102" s="580"/>
      <c r="AR102" s="23" t="s">
        <v>34</v>
      </c>
      <c r="AS102" s="183" t="s">
        <v>35</v>
      </c>
      <c r="AT102" s="184" t="s">
        <v>32</v>
      </c>
      <c r="AU102" s="185"/>
      <c r="AV102" s="23" t="s">
        <v>34</v>
      </c>
      <c r="AW102" s="183"/>
      <c r="AX102" s="184"/>
      <c r="AY102" s="260"/>
      <c r="AZ102" s="263" t="s">
        <v>34</v>
      </c>
      <c r="BA102" s="3540"/>
      <c r="BB102" s="3541"/>
      <c r="BC102" s="260"/>
      <c r="BD102" s="23" t="s">
        <v>34</v>
      </c>
      <c r="BE102" s="3584"/>
      <c r="BF102" s="3585"/>
      <c r="BG102" s="260"/>
      <c r="BH102" s="23" t="s">
        <v>34</v>
      </c>
      <c r="BI102" s="183" t="s">
        <v>34</v>
      </c>
      <c r="BJ102" s="184" t="s">
        <v>34</v>
      </c>
      <c r="BK102" s="185"/>
      <c r="BL102" s="23" t="s">
        <v>34</v>
      </c>
      <c r="BM102" s="183" t="s">
        <v>34</v>
      </c>
      <c r="BN102" s="184" t="s">
        <v>34</v>
      </c>
      <c r="BO102" s="185"/>
      <c r="BP102" s="23" t="s">
        <v>34</v>
      </c>
      <c r="BQ102" s="183" t="s">
        <v>34</v>
      </c>
      <c r="BR102" s="184" t="s">
        <v>34</v>
      </c>
    </row>
    <row r="103" spans="10:70" ht="13.15">
      <c r="J103" s="327">
        <v>3</v>
      </c>
      <c r="K103" s="454" t="str">
        <f t="shared" si="13"/>
        <v>M3 @ Temp.</v>
      </c>
      <c r="L103" s="456">
        <f t="shared" ref="L103:L107" si="15">MAX(M103:T103)</f>
        <v>10000.302</v>
      </c>
      <c r="M103" s="720">
        <f>IF($L$17=M99,ROUND(M101/$P$8,3),"")</f>
        <v>10000.302</v>
      </c>
      <c r="N103" s="720" t="str">
        <f>IF($L$17=N99,ROUND(N104/$T$14,3),"")</f>
        <v/>
      </c>
      <c r="O103" s="721" t="str">
        <f>IF($L$17=O99,ROUND(O100,3),"")</f>
        <v/>
      </c>
      <c r="P103" s="720" t="str">
        <f>IF($L$17=P99,ROUND(P104/$T$14,3),"")</f>
        <v/>
      </c>
      <c r="Q103" s="720" t="str">
        <f>IF($L$17=Q99,ROUND(Q104/$T$14,3),"")</f>
        <v/>
      </c>
      <c r="R103" s="720" t="str">
        <f>IF($L$17=R99,ROUND(R104/$T$14,3),"")</f>
        <v/>
      </c>
      <c r="S103" s="720" t="str">
        <f>IF($L$17=S99,ROUND(S104/$T$14,3),"")</f>
        <v/>
      </c>
      <c r="T103" s="456"/>
      <c r="V103" s="12"/>
      <c r="W103" s="398"/>
      <c r="Y103" s="543" t="s">
        <v>219</v>
      </c>
      <c r="Z103" s="543" t="s">
        <v>220</v>
      </c>
      <c r="AA103" s="262" t="s">
        <v>219</v>
      </c>
      <c r="AB103" s="262" t="s">
        <v>220</v>
      </c>
      <c r="AC103" s="543" t="s">
        <v>223</v>
      </c>
      <c r="AD103" s="543" t="s">
        <v>224</v>
      </c>
      <c r="AE103" s="543" t="s">
        <v>225</v>
      </c>
      <c r="AF103" s="543" t="s">
        <v>226</v>
      </c>
      <c r="AG103" s="554"/>
      <c r="AH103" s="563"/>
      <c r="AI103" s="574" t="s">
        <v>227</v>
      </c>
      <c r="AJ103" s="581"/>
      <c r="AR103" s="347">
        <f>VLOOKUP(AR104,'ASTM Vol. XI-XII'!BX$10:BX$860,TRUE)</f>
        <v>848</v>
      </c>
      <c r="AS103" s="270">
        <f>VLOOKUP(AR103,'ASTM Vol. XI-XII'!BX$10:BY$860,2)</f>
        <v>0.84840000000000004</v>
      </c>
      <c r="AT103" s="349">
        <f>VLOOKUP(AR103,'ASTM Vol. XI-XII'!BX$10:BZ$860,3)</f>
        <v>35.28</v>
      </c>
      <c r="AU103" s="350"/>
      <c r="AV103" s="347">
        <f>VLOOKUP(AV104,'ASTM Vol. XI-XII'!CB$10:CB$860,TRUE)</f>
        <v>848</v>
      </c>
      <c r="AW103" s="268">
        <f>VLOOKUP(AV103,'ASTM Vol. XI-XII'!CB$10:CC$860,2)</f>
        <v>0.15891</v>
      </c>
      <c r="AX103" s="351">
        <f>VLOOKUP(AV103,'ASTM Vol. XI-XII'!CB$10:CD$860,3)</f>
        <v>6.2930000000000001</v>
      </c>
      <c r="AY103" s="352"/>
      <c r="AZ103" s="374">
        <f>VLOOKUP(AZ104,'ASTM Vol. XI-XII'!CF10:CF37,TRUE)</f>
        <v>0.84119999999999995</v>
      </c>
      <c r="BA103" s="3583">
        <f>VLOOKUP(AZ103,'ASTM Vol. XI-XII'!CF$10:CG$860,2)</f>
        <v>0.99875000000000003</v>
      </c>
      <c r="BB103" s="3583"/>
      <c r="BC103" s="352"/>
      <c r="BD103" s="374">
        <f>VLOOKUP(BD104,'ASTM Vol. XI-XII'!CI$10:CI$860,TRUE)</f>
        <v>0.84219999999999995</v>
      </c>
      <c r="BE103" s="3583">
        <f>VLOOKUP(BD103,'ASTM Vol. XI-XII'!CI$10:CJ$860,2)</f>
        <v>1.00125</v>
      </c>
      <c r="BF103" s="3583"/>
      <c r="BG103" s="352"/>
      <c r="BH103" s="347">
        <f>VLOOKUP(BH104,'ASTM Vol. XI-XII'!CL$10:CL$860,TRUE)</f>
        <v>848</v>
      </c>
      <c r="BI103" s="344">
        <f>VLOOKUP(BH103,'ASTM Vol. XI-XII'!CL$10:CM$860,2)</f>
        <v>846.9</v>
      </c>
      <c r="BJ103" s="270">
        <f>VLOOKUP(BH103,'ASTM Vol. XI-XII'!CL$10:CN$860,3)</f>
        <v>1.1808000000000001</v>
      </c>
      <c r="BK103" s="350"/>
      <c r="BL103" s="347">
        <f>VLOOKUP(BL104,'ASTM Vol. XI-XII'!CP$10:CP$860,TRUE)</f>
        <v>848</v>
      </c>
      <c r="BM103" s="270">
        <f>VLOOKUP(BL103,'ASTM Vol. XI-XII'!CP$10:CQ$860,2)</f>
        <v>0.93359999999999999</v>
      </c>
      <c r="BN103" s="270">
        <f>VLOOKUP(BL103,'ASTM Vol. XI-XII'!CP$10:CR$860,3)</f>
        <v>0.83350000000000002</v>
      </c>
      <c r="BO103" s="350"/>
      <c r="BP103" s="347">
        <f>VLOOKUP(BP104,'ASTM Vol. XI-XII'!CT$10:CT$860,TRUE)</f>
        <v>848</v>
      </c>
      <c r="BQ103" s="349">
        <f>VLOOKUP(BP103,'ASTM Vol. XI-XII'!CT$10:CU$860,2)</f>
        <v>312.07</v>
      </c>
      <c r="BR103" s="351">
        <f>VLOOKUP(BP103,'ASTM Vol. XI-XII'!CT$10:CV$860,3)</f>
        <v>7.43</v>
      </c>
    </row>
    <row r="104" spans="10:70" ht="13.15">
      <c r="J104" s="327">
        <v>4</v>
      </c>
      <c r="K104" s="454" t="str">
        <f t="shared" si="13"/>
        <v>M3 @ 15°C</v>
      </c>
      <c r="L104" s="456">
        <f t="shared" si="15"/>
        <v>9824.2970000000005</v>
      </c>
      <c r="M104" s="720">
        <f>IF($L$17=M99,ROUND(M103*$T$14,3),"")</f>
        <v>9824.2970000000005</v>
      </c>
      <c r="N104" s="720" t="str">
        <f>IF($L$17=N99,ROUND(N102*$T$115,3),"")</f>
        <v/>
      </c>
      <c r="O104" s="720" t="str">
        <f>IF($L$17=O99,ROUND(O103*$T$14,3),"")</f>
        <v/>
      </c>
      <c r="P104" s="721" t="str">
        <f>IF($L$17=P99,ROUND(P100,3),"")</f>
        <v/>
      </c>
      <c r="Q104" s="720" t="str">
        <f>IF($L$17=Q99,ROUND(Q106*$T$120,3),"")</f>
        <v/>
      </c>
      <c r="R104" s="720" t="str">
        <f>IF($L$17=R99,ROUND(R106*$T$120,3),"")</f>
        <v/>
      </c>
      <c r="S104" s="720" t="str">
        <f>IF($L$17=S99,ROUND(S106*$T$120,3),"")</f>
        <v/>
      </c>
      <c r="T104" s="456"/>
      <c r="V104" s="12"/>
      <c r="W104" s="398"/>
      <c r="Y104" s="558">
        <f>T10</f>
        <v>848.4</v>
      </c>
      <c r="Z104" s="559">
        <f>V10</f>
        <v>35.56</v>
      </c>
      <c r="AA104" s="544">
        <f>IF((EVEN(Y104)-Y104)&lt;1,EVEN(Y104),EVEN(Y104)-2)</f>
        <v>848</v>
      </c>
      <c r="AB104" s="560">
        <f>FLOOR(Z104,1)+IF(MOD(Z104,1)&lt;0.125,0,IF(MOD(Z104,1)&lt;0.375,0.25,IF(MOD(Z104,1)&lt;0.625,0.5,IF(MOD(Z104,1)&lt;0.875,0.75,1))))</f>
        <v>35.5</v>
      </c>
      <c r="AC104" s="543">
        <f>IF(AA104&lt;770,(192.4571/AA104^2)+(0.2438/AA104),0)</f>
        <v>0</v>
      </c>
      <c r="AD104" s="543">
        <f>IF(AND(AA104&gt;=770,AA104&lt;787.5),(1489.0671/(AA104^2))-0.0018684,0)</f>
        <v>0</v>
      </c>
      <c r="AE104" s="543">
        <f>IF(AND(AA104&gt;=787.5,AA104&lt;838.5),330.301/AA104^2,0)</f>
        <v>0</v>
      </c>
      <c r="AF104" s="543">
        <f>IF(AND(AA104&gt;=838.5,AA104&lt;1075),(0.2701/AA104)+(103.873/AA104^2),0)</f>
        <v>4.6296196377714491E-4</v>
      </c>
      <c r="AG104" s="556">
        <f>MAX(AC104:AF104)</f>
        <v>4.6296196377714491E-4</v>
      </c>
      <c r="AH104" s="543">
        <f>((AB104+40)*1.8)-99</f>
        <v>36.900000000000006</v>
      </c>
      <c r="AI104" s="589">
        <f>ROUND(EXP(-1*AG104*AH104*(1+0.8*AG104*AH104)),4)</f>
        <v>0.98280000000000001</v>
      </c>
      <c r="AJ104" s="564"/>
      <c r="AR104" s="353">
        <f>$T$111</f>
        <v>848.4</v>
      </c>
      <c r="AS104" s="271">
        <f>ROUND(AS103+((AR104-AR103)/(AR105-AR103))*(AS105-AS103),4)</f>
        <v>0.8488</v>
      </c>
      <c r="AT104" s="354">
        <f>ROUND(AT103+((AR104-AR103)/(AR105-AR103))*(AT105-AT103),2)</f>
        <v>35.200000000000003</v>
      </c>
      <c r="AU104" s="350"/>
      <c r="AV104" s="353">
        <f>$T$111</f>
        <v>848.4</v>
      </c>
      <c r="AW104" s="269">
        <f>ROUND(AW103+((AV104-AV103)/(AV105-AV103))*(AW105-AW103),5)</f>
        <v>0.15891</v>
      </c>
      <c r="AX104" s="355">
        <f>ROUND(AX103+((AV104-AV103)/(AV105-AV103))*(AX105-AX103),3)</f>
        <v>6.2930000000000001</v>
      </c>
      <c r="AY104" s="352"/>
      <c r="AZ104" s="348">
        <f>$T$110</f>
        <v>0.84839999999999993</v>
      </c>
      <c r="BA104" s="3582">
        <f>ROUND(BA103+((AZ104-AZ103)/(AZ105-AZ103))*(BA105-BA103),5)</f>
        <v>0.99875000000000003</v>
      </c>
      <c r="BB104" s="3582"/>
      <c r="BC104" s="352"/>
      <c r="BD104" s="348">
        <f>$T$110</f>
        <v>0.84839999999999993</v>
      </c>
      <c r="BE104" s="3582">
        <f>ROUND(BE103+((BD104-BD103)/(BD105-BD103))*(BE105-BE103),5)</f>
        <v>1.00125</v>
      </c>
      <c r="BF104" s="3582"/>
      <c r="BG104" s="352"/>
      <c r="BH104" s="353">
        <f>$T$111</f>
        <v>848.4</v>
      </c>
      <c r="BI104" s="343">
        <f>ROUND(BI103+((BH104-BH103)/(BH105-BH103))*(BI105-BI103),1)</f>
        <v>847.3</v>
      </c>
      <c r="BJ104" s="271">
        <f>ROUND(BJ103+((BH104-BH103)/(BH105-BH103))*(BJ105-BJ103),4)</f>
        <v>1.1801999999999999</v>
      </c>
      <c r="BK104" s="350"/>
      <c r="BL104" s="353">
        <f>$T$111</f>
        <v>848.4</v>
      </c>
      <c r="BM104" s="271">
        <f>ROUND(BM103+((BL104-BL103)/(BL105-BL103))*(BM105-BM103),4)</f>
        <v>0.93400000000000005</v>
      </c>
      <c r="BN104" s="271">
        <f>ROUND(BN103+((BL104-BL103)/(BL105-BL103))*(BN105-BN103),4)</f>
        <v>0.83389999999999997</v>
      </c>
      <c r="BO104" s="350"/>
      <c r="BP104" s="353">
        <f>$T$111</f>
        <v>848.4</v>
      </c>
      <c r="BQ104" s="354">
        <f>ROUND(BQ103+((BP104-BP103)/(BP105-BP103))*(BQ105-BQ103),2)</f>
        <v>311.92</v>
      </c>
      <c r="BR104" s="355">
        <f>ROUND(BR103+((BP104-BP103)/(BP105-BP103))*(BR105-BR103),3)</f>
        <v>7.4260000000000002</v>
      </c>
    </row>
    <row r="105" spans="10:70" ht="13.15">
      <c r="J105" s="327">
        <v>5</v>
      </c>
      <c r="K105" s="454" t="str">
        <f t="shared" si="13"/>
        <v>MT (in Vac)</v>
      </c>
      <c r="L105" s="456">
        <f t="shared" si="15"/>
        <v>8334.9339999999993</v>
      </c>
      <c r="M105" s="720">
        <f>IF($L$17=M99,ROUND(M104*$T$110,3),"")</f>
        <v>8334.9339999999993</v>
      </c>
      <c r="N105" s="720" t="str">
        <f>IF($L$17=N99,ROUND(N104*$T$110,3),"")</f>
        <v/>
      </c>
      <c r="O105" s="720" t="str">
        <f>IF($L$17=O99,ROUND(O104*$T$110,3),"")</f>
        <v/>
      </c>
      <c r="P105" s="720" t="str">
        <f>IF($L$17=P99,ROUND(P104*$T$110,3),"")</f>
        <v/>
      </c>
      <c r="Q105" s="721" t="str">
        <f>IF($L$17=Q99,ROUND(Q100,3),"")</f>
        <v/>
      </c>
      <c r="R105" s="720" t="str">
        <f>IF($L$17=R99,ROUND(R106*$T$118,3),"")</f>
        <v/>
      </c>
      <c r="S105" s="720" t="str">
        <f>IF($L$17=S99,ROUND(S106*$T$118,3),"")</f>
        <v/>
      </c>
      <c r="T105" s="456"/>
      <c r="V105" s="607"/>
      <c r="W105" s="398"/>
      <c r="Y105" s="328"/>
      <c r="Z105" s="569"/>
      <c r="AA105" s="569"/>
      <c r="AB105" s="569"/>
      <c r="AC105" s="569"/>
      <c r="AD105" s="569"/>
      <c r="AE105" s="569"/>
      <c r="AF105" s="569"/>
      <c r="AG105" s="569"/>
      <c r="AH105" s="569"/>
      <c r="AI105" s="569"/>
      <c r="AJ105" s="579"/>
      <c r="AR105" s="347">
        <f>INDEX('ASTM Vol. XI-XII'!BX$10:BX$860,(MATCH(AR103,'ASTM Vol. XI-XII'!BX$10:BX$860,1)+1))</f>
        <v>849</v>
      </c>
      <c r="AS105" s="270">
        <f>VLOOKUP(AR105,'ASTM Vol. XI-XII'!BX$10:BY$860,2)</f>
        <v>0.84940000000000004</v>
      </c>
      <c r="AT105" s="349">
        <f>VLOOKUP(AR105,'ASTM Vol. XI-XII'!BX$10:BZ$860,3)</f>
        <v>35.08</v>
      </c>
      <c r="AU105" s="356"/>
      <c r="AV105" s="347">
        <f>INDEX('ASTM Vol. XI-XII'!CB$10:CB$860,(MATCH(AV103,'ASTM Vol. XI-XII'!CB$10:CB$860,1)+1))</f>
        <v>849</v>
      </c>
      <c r="AW105" s="268">
        <f>VLOOKUP(AV105,'ASTM Vol. XI-XII'!CB$10:CC$860,2)</f>
        <v>0.15891</v>
      </c>
      <c r="AX105" s="351">
        <f>VLOOKUP(AV105,'ASTM Vol. XI-XII'!CB$10:CD$860,3)</f>
        <v>6.2930000000000001</v>
      </c>
      <c r="AY105" s="357"/>
      <c r="AZ105" s="374">
        <f>INDEX('ASTM Vol. XI-XII'!CF$10:CF$860,(MATCH(AZ103,'ASTM Vol. XI-XII'!CF$10:CF$860,1)+1))</f>
        <v>0.90339999999999998</v>
      </c>
      <c r="BA105" s="3583">
        <f>VLOOKUP(AZ105,'ASTM Vol. XI-XII'!CF$10:CG$37,2)</f>
        <v>0.99875000000000003</v>
      </c>
      <c r="BB105" s="3583"/>
      <c r="BC105" s="357"/>
      <c r="BD105" s="374">
        <f>INDEX('ASTM Vol. XI-XII'!CI$10:CI$860,(MATCH(BD103,'ASTM Vol. XI-XII'!CI$10:CI$860,1)+1))</f>
        <v>0.90439999999999998</v>
      </c>
      <c r="BE105" s="3583">
        <f>VLOOKUP(BD105,'ASTM Vol. XI-XII'!CI$10:CJ$860,2)</f>
        <v>1.00125</v>
      </c>
      <c r="BF105" s="3583"/>
      <c r="BG105" s="357"/>
      <c r="BH105" s="347">
        <f>INDEX('ASTM Vol. XI-XII'!CL$10:CL$860,(MATCH(BH103,'ASTM Vol. XI-XII'!CL$10:CL$860,1)+1))</f>
        <v>849</v>
      </c>
      <c r="BI105" s="344">
        <f>VLOOKUP(BH105,'ASTM Vol. XI-XII'!CL$10:CM$860,2)</f>
        <v>847.9</v>
      </c>
      <c r="BJ105" s="270">
        <f>VLOOKUP(BH105,'ASTM Vol. XI-XII'!CL$10:CN$860,3)</f>
        <v>1.1794</v>
      </c>
      <c r="BK105" s="356"/>
      <c r="BL105" s="347">
        <f>INDEX('ASTM Vol. XI-XII'!CP$10:CP$860,(MATCH(BL103,'ASTM Vol. XI-XII'!CP$10:CP$860,1)+1))</f>
        <v>849</v>
      </c>
      <c r="BM105" s="270">
        <f>VLOOKUP(BL105,'ASTM Vol. XI-XII'!CP$10:CQ$860,2)</f>
        <v>0.93469999999999998</v>
      </c>
      <c r="BN105" s="270">
        <f>VLOOKUP(BL105,'ASTM Vol. XI-XII'!CP$10:CR$860,3)</f>
        <v>0.83450000000000002</v>
      </c>
      <c r="BO105" s="356"/>
      <c r="BP105" s="347">
        <f>INDEX('ASTM Vol. XI-XII'!CT$10:CT$860,(MATCH(BP103,'ASTM Vol. XI-XII'!CT$10:CT$860,1)+1))</f>
        <v>849</v>
      </c>
      <c r="BQ105" s="349">
        <f>VLOOKUP(BP105,'ASTM Vol. XI-XII'!CT$10:CU$860,2)</f>
        <v>311.7</v>
      </c>
      <c r="BR105" s="351">
        <f>VLOOKUP(BP105,'ASTM Vol. XI-XII'!CT$10:CV$860,3)</f>
        <v>7.4210000000000003</v>
      </c>
    </row>
    <row r="106" spans="10:70" ht="13.15">
      <c r="J106" s="327">
        <v>6</v>
      </c>
      <c r="K106" s="454" t="str">
        <f t="shared" si="13"/>
        <v>MT (in Air)</v>
      </c>
      <c r="L106" s="600">
        <f t="shared" si="15"/>
        <v>8324.5149999999994</v>
      </c>
      <c r="M106" s="723">
        <f>IF($L$17=M99,ROUND(M105*$T$117,3),"")</f>
        <v>8324.5149999999994</v>
      </c>
      <c r="N106" s="723" t="str">
        <f>IF($L$17=N99,ROUND(N105*$T$117,3),"")</f>
        <v/>
      </c>
      <c r="O106" s="723" t="str">
        <f>IF($L$17=O99,ROUND(O105*$T$117,3),"")</f>
        <v/>
      </c>
      <c r="P106" s="723" t="str">
        <f>IF($L$17=P99,ROUND(P105*$T$117,3),"")</f>
        <v/>
      </c>
      <c r="Q106" s="723" t="str">
        <f>IF($L$17=Q99,ROUND(Q105*$T$117,3),"")</f>
        <v/>
      </c>
      <c r="R106" s="724" t="str">
        <f>IF($L$17=R99,ROUND(R100,3),"")</f>
        <v/>
      </c>
      <c r="S106" s="723" t="str">
        <f>IF($L$17=S99,ROUND(S107*P11,3),"")</f>
        <v/>
      </c>
      <c r="T106" s="457"/>
      <c r="V106" s="12"/>
      <c r="W106" s="398"/>
    </row>
    <row r="107" spans="10:70" ht="13.15">
      <c r="J107" s="327">
        <v>7</v>
      </c>
      <c r="K107" s="454" t="str">
        <f t="shared" si="13"/>
        <v>LT</v>
      </c>
      <c r="L107" s="600">
        <f t="shared" si="15"/>
        <v>8193.0380000000005</v>
      </c>
      <c r="M107" s="723">
        <f t="shared" ref="M107:R107" si="16">IF($L$17=M99,ROUND(M106*$P$10,3),"")</f>
        <v>8193.0380000000005</v>
      </c>
      <c r="N107" s="723" t="str">
        <f t="shared" si="16"/>
        <v/>
      </c>
      <c r="O107" s="723" t="str">
        <f t="shared" si="16"/>
        <v/>
      </c>
      <c r="P107" s="723" t="str">
        <f t="shared" si="16"/>
        <v/>
      </c>
      <c r="Q107" s="723" t="str">
        <f t="shared" si="16"/>
        <v/>
      </c>
      <c r="R107" s="723" t="str">
        <f t="shared" si="16"/>
        <v/>
      </c>
      <c r="S107" s="724" t="str">
        <f>IF($L$17=S99,ROUND(S100,3),"")</f>
        <v/>
      </c>
      <c r="T107" s="457"/>
      <c r="V107" s="12"/>
      <c r="W107" s="398"/>
    </row>
    <row r="108" spans="10:70">
      <c r="J108" s="327">
        <v>8</v>
      </c>
      <c r="K108" s="454">
        <f t="shared" si="13"/>
        <v>0</v>
      </c>
      <c r="L108" s="457"/>
      <c r="M108" s="457"/>
      <c r="N108" s="457"/>
      <c r="O108" s="457"/>
      <c r="P108" s="457"/>
      <c r="Q108" s="457"/>
      <c r="R108" s="457"/>
      <c r="S108" s="457"/>
      <c r="T108" s="457"/>
      <c r="U108" s="312"/>
      <c r="V108" s="399"/>
      <c r="W108" s="400"/>
    </row>
    <row r="109" spans="10:70">
      <c r="J109" s="464"/>
      <c r="K109" s="458"/>
      <c r="L109" s="458"/>
      <c r="M109" s="458"/>
      <c r="N109" s="459"/>
      <c r="O109" s="469"/>
      <c r="P109" s="469"/>
      <c r="Q109" s="471"/>
      <c r="R109" s="464"/>
      <c r="S109" s="465"/>
      <c r="T109" s="466"/>
      <c r="U109" s="6"/>
      <c r="V109" s="6"/>
      <c r="W109" s="277"/>
    </row>
    <row r="110" spans="10:70">
      <c r="J110" s="275"/>
      <c r="N110" s="460"/>
      <c r="O110" s="470"/>
      <c r="P110" s="470"/>
      <c r="Q110" s="274"/>
      <c r="R110" s="275"/>
      <c r="S110" s="435" t="s">
        <v>131</v>
      </c>
      <c r="T110" s="372">
        <f>T11</f>
        <v>0.84839999999999993</v>
      </c>
      <c r="U110" s="394" t="s">
        <v>168</v>
      </c>
      <c r="V110" s="6"/>
      <c r="W110" s="277"/>
    </row>
    <row r="111" spans="10:70">
      <c r="J111" s="275"/>
      <c r="K111" s="311"/>
      <c r="N111" s="461"/>
      <c r="O111" s="470"/>
      <c r="P111" s="470"/>
      <c r="Q111" s="379"/>
      <c r="R111" s="415"/>
      <c r="S111" s="430" t="s">
        <v>131</v>
      </c>
      <c r="T111" s="411">
        <f>T10</f>
        <v>848.4</v>
      </c>
      <c r="U111" s="395" t="s">
        <v>168</v>
      </c>
      <c r="V111" s="6"/>
      <c r="W111" s="277"/>
    </row>
    <row r="112" spans="10:70">
      <c r="J112" s="275"/>
      <c r="K112" s="311"/>
      <c r="N112" s="461"/>
      <c r="O112" s="470"/>
      <c r="P112" s="470"/>
      <c r="Q112" s="379"/>
      <c r="R112" s="415" t="s">
        <v>12</v>
      </c>
      <c r="S112" s="430" t="s">
        <v>132</v>
      </c>
      <c r="T112" s="289">
        <f>AS104</f>
        <v>0.8488</v>
      </c>
      <c r="U112" s="392" t="s">
        <v>167</v>
      </c>
      <c r="V112" s="6"/>
      <c r="W112" s="277"/>
    </row>
    <row r="113" spans="10:23">
      <c r="J113" s="275"/>
      <c r="K113" s="311"/>
      <c r="N113" s="311"/>
      <c r="O113" s="311"/>
      <c r="P113" s="311"/>
      <c r="Q113" s="379"/>
      <c r="R113" s="415" t="s">
        <v>12</v>
      </c>
      <c r="S113" s="429" t="s">
        <v>136</v>
      </c>
      <c r="T113" s="308">
        <f>AT104</f>
        <v>35.200000000000003</v>
      </c>
      <c r="U113" s="289" t="s">
        <v>166</v>
      </c>
      <c r="V113" s="6"/>
      <c r="W113" s="277"/>
    </row>
    <row r="114" spans="10:23" ht="13.15">
      <c r="J114" s="328"/>
      <c r="K114" s="317" t="s">
        <v>145</v>
      </c>
      <c r="L114" s="388" t="s">
        <v>160</v>
      </c>
      <c r="M114" s="388" t="s">
        <v>161</v>
      </c>
      <c r="N114" s="317"/>
      <c r="O114" s="317"/>
      <c r="P114" s="317"/>
      <c r="Q114" s="380"/>
      <c r="R114" s="416"/>
      <c r="S114" s="436"/>
      <c r="T114" s="325"/>
      <c r="U114" s="325"/>
      <c r="V114" s="322"/>
      <c r="W114" s="323"/>
    </row>
    <row r="115" spans="10:23">
      <c r="J115" s="327">
        <v>1</v>
      </c>
      <c r="K115" s="319" t="str">
        <f>CONCATENATE(R115," - ",L115," to ",M115)</f>
        <v>Table 52 - US Barrels at 60°F to Cubic Metres at 15°C</v>
      </c>
      <c r="L115" s="319" t="s">
        <v>140</v>
      </c>
      <c r="M115" s="5" t="s">
        <v>138</v>
      </c>
      <c r="N115" s="390"/>
      <c r="O115" s="413"/>
      <c r="P115" s="413"/>
      <c r="Q115" s="382"/>
      <c r="R115" s="415" t="s">
        <v>340</v>
      </c>
      <c r="S115" s="432" t="s">
        <v>138</v>
      </c>
      <c r="T115" s="299">
        <f>AW104</f>
        <v>0.15891</v>
      </c>
      <c r="U115" s="293" t="s">
        <v>338</v>
      </c>
      <c r="V115" s="423" t="s">
        <v>143</v>
      </c>
      <c r="W115" s="277"/>
    </row>
    <row r="116" spans="10:23">
      <c r="J116" s="327">
        <v>2</v>
      </c>
      <c r="K116" s="319" t="str">
        <f t="shared" ref="K116:K124" si="17">CONCATENATE(R116," - ",L116," to ",M116)</f>
        <v>Table 52 - Cubic Metres at 15°C to US Barrels at 60°F</v>
      </c>
      <c r="L116" s="319" t="s">
        <v>138</v>
      </c>
      <c r="M116" s="5" t="s">
        <v>140</v>
      </c>
      <c r="N116" s="390"/>
      <c r="O116" s="412"/>
      <c r="P116" s="412"/>
      <c r="Q116" s="381"/>
      <c r="R116" s="415" t="s">
        <v>340</v>
      </c>
      <c r="S116" s="433" t="s">
        <v>140</v>
      </c>
      <c r="T116" s="306">
        <f>AX104</f>
        <v>6.2930000000000001</v>
      </c>
      <c r="U116" s="293" t="s">
        <v>338</v>
      </c>
      <c r="V116" s="425" t="s">
        <v>146</v>
      </c>
      <c r="W116" s="277"/>
    </row>
    <row r="117" spans="10:23">
      <c r="J117" s="327">
        <v>3</v>
      </c>
      <c r="K117" s="319" t="str">
        <f t="shared" si="17"/>
        <v>Table 56 - Weight in Vacuo to Weight in Air</v>
      </c>
      <c r="L117" s="387" t="s">
        <v>159</v>
      </c>
      <c r="M117" s="5" t="s">
        <v>126</v>
      </c>
      <c r="N117" s="390"/>
      <c r="O117" s="413"/>
      <c r="P117" s="413"/>
      <c r="Q117" s="382"/>
      <c r="R117" s="415" t="s">
        <v>341</v>
      </c>
      <c r="S117" s="437" t="s">
        <v>159</v>
      </c>
      <c r="T117" s="299">
        <f>BA104</f>
        <v>0.99875000000000003</v>
      </c>
      <c r="U117" s="6" t="s">
        <v>339</v>
      </c>
      <c r="V117" s="426" t="s">
        <v>126</v>
      </c>
      <c r="W117" s="277"/>
    </row>
    <row r="118" spans="10:23">
      <c r="J118" s="327">
        <v>4</v>
      </c>
      <c r="K118" s="319" t="str">
        <f t="shared" si="17"/>
        <v>Table 56 - Weight in Air to Weight in Vacuo</v>
      </c>
      <c r="L118" s="319" t="s">
        <v>126</v>
      </c>
      <c r="M118" s="386" t="s">
        <v>159</v>
      </c>
      <c r="N118" s="390"/>
      <c r="O118" s="413"/>
      <c r="P118" s="413"/>
      <c r="Q118" s="382"/>
      <c r="R118" s="415" t="s">
        <v>341</v>
      </c>
      <c r="S118" s="430" t="s">
        <v>126</v>
      </c>
      <c r="T118" s="299">
        <f>BE104</f>
        <v>1.00125</v>
      </c>
      <c r="U118" s="6" t="s">
        <v>339</v>
      </c>
      <c r="V118" s="427" t="s">
        <v>159</v>
      </c>
      <c r="W118" s="277"/>
    </row>
    <row r="119" spans="10:23">
      <c r="J119" s="327">
        <v>5</v>
      </c>
      <c r="K119" s="319" t="str">
        <f t="shared" si="17"/>
        <v>Table 56 - Cubic Metres at 15°C to Kilograms (in AIR)</v>
      </c>
      <c r="L119" s="319" t="s">
        <v>138</v>
      </c>
      <c r="M119" s="5" t="s">
        <v>162</v>
      </c>
      <c r="N119" s="390"/>
      <c r="O119" s="412"/>
      <c r="P119" s="412"/>
      <c r="Q119" s="381"/>
      <c r="R119" s="415" t="s">
        <v>341</v>
      </c>
      <c r="S119" s="430" t="s">
        <v>17</v>
      </c>
      <c r="T119" s="307">
        <f>BI104</f>
        <v>847.3</v>
      </c>
      <c r="U119" s="293" t="s">
        <v>338</v>
      </c>
      <c r="V119" s="425" t="s">
        <v>146</v>
      </c>
      <c r="W119" s="277"/>
    </row>
    <row r="120" spans="10:23">
      <c r="J120" s="327">
        <v>6</v>
      </c>
      <c r="K120" s="319" t="str">
        <f t="shared" si="17"/>
        <v>Table 56 - Metric Tons (in AIR) to Cubic Metres at 15°C</v>
      </c>
      <c r="L120" s="319" t="s">
        <v>163</v>
      </c>
      <c r="M120" s="5" t="s">
        <v>138</v>
      </c>
      <c r="N120" s="390"/>
      <c r="O120" s="413"/>
      <c r="P120" s="413"/>
      <c r="Q120" s="382"/>
      <c r="R120" s="415" t="s">
        <v>341</v>
      </c>
      <c r="S120" s="432" t="s">
        <v>138</v>
      </c>
      <c r="T120" s="289">
        <f>BJ104</f>
        <v>1.1801999999999999</v>
      </c>
      <c r="U120" s="293" t="s">
        <v>338</v>
      </c>
      <c r="V120" s="426" t="s">
        <v>29</v>
      </c>
      <c r="W120" s="277"/>
    </row>
    <row r="121" spans="10:23">
      <c r="J121" s="327">
        <v>7</v>
      </c>
      <c r="K121" s="319" t="str">
        <f t="shared" si="17"/>
        <v>Table 57 - Cubic Metres at 15°C to Short Tons (in AIR)</v>
      </c>
      <c r="L121" s="319" t="s">
        <v>138</v>
      </c>
      <c r="M121" s="5" t="s">
        <v>164</v>
      </c>
      <c r="N121" s="390"/>
      <c r="O121" s="413"/>
      <c r="P121" s="413"/>
      <c r="Q121" s="382"/>
      <c r="R121" s="415" t="s">
        <v>342</v>
      </c>
      <c r="S121" s="433" t="s">
        <v>23</v>
      </c>
      <c r="T121" s="289">
        <f>BM104</f>
        <v>0.93400000000000005</v>
      </c>
      <c r="U121" s="293" t="s">
        <v>338</v>
      </c>
      <c r="V121" s="425" t="s">
        <v>146</v>
      </c>
      <c r="W121" s="277"/>
    </row>
    <row r="122" spans="10:23">
      <c r="J122" s="327">
        <v>8</v>
      </c>
      <c r="K122" s="319" t="str">
        <f t="shared" si="17"/>
        <v>Table 57 - Cubic Metres at 15°C to Long Tons (in AIR)</v>
      </c>
      <c r="L122" s="319" t="s">
        <v>138</v>
      </c>
      <c r="M122" s="5" t="s">
        <v>165</v>
      </c>
      <c r="N122" s="390"/>
      <c r="O122" s="413"/>
      <c r="P122" s="413"/>
      <c r="Q122" s="382"/>
      <c r="R122" s="415" t="s">
        <v>342</v>
      </c>
      <c r="S122" s="433" t="s">
        <v>14</v>
      </c>
      <c r="T122" s="289">
        <f>BN104</f>
        <v>0.83389999999999997</v>
      </c>
      <c r="U122" s="293" t="s">
        <v>338</v>
      </c>
      <c r="V122" s="425" t="s">
        <v>146</v>
      </c>
      <c r="W122" s="277"/>
    </row>
    <row r="123" spans="10:23">
      <c r="J123" s="327">
        <v>9</v>
      </c>
      <c r="K123" s="319" t="str">
        <f t="shared" si="17"/>
        <v>Table 58 - Metric Tons (in AIR) to US Gallons at 60°F</v>
      </c>
      <c r="L123" s="319" t="s">
        <v>163</v>
      </c>
      <c r="M123" s="5" t="s">
        <v>139</v>
      </c>
      <c r="N123" s="390"/>
      <c r="O123" s="412"/>
      <c r="P123" s="412"/>
      <c r="Q123" s="381"/>
      <c r="R123" s="415" t="s">
        <v>343</v>
      </c>
      <c r="S123" s="433" t="s">
        <v>139</v>
      </c>
      <c r="T123" s="308">
        <f>BQ104</f>
        <v>311.92</v>
      </c>
      <c r="U123" s="293" t="s">
        <v>338</v>
      </c>
      <c r="V123" s="426" t="s">
        <v>29</v>
      </c>
      <c r="W123" s="277"/>
    </row>
    <row r="124" spans="10:23">
      <c r="J124" s="327">
        <v>10</v>
      </c>
      <c r="K124" s="319" t="str">
        <f t="shared" si="17"/>
        <v>Table 58 - Metric Tons (in AIR) to US Barrels at 60°F</v>
      </c>
      <c r="L124" s="319" t="s">
        <v>163</v>
      </c>
      <c r="M124" s="5" t="s">
        <v>140</v>
      </c>
      <c r="N124" s="390"/>
      <c r="O124" s="412"/>
      <c r="P124" s="412"/>
      <c r="Q124" s="381"/>
      <c r="R124" s="415" t="s">
        <v>343</v>
      </c>
      <c r="S124" s="433" t="s">
        <v>140</v>
      </c>
      <c r="T124" s="306">
        <f>BR104</f>
        <v>7.4260000000000002</v>
      </c>
      <c r="U124" s="293" t="s">
        <v>338</v>
      </c>
      <c r="V124" s="426" t="s">
        <v>29</v>
      </c>
      <c r="W124" s="277"/>
    </row>
    <row r="125" spans="10:23">
      <c r="J125" s="276"/>
      <c r="K125" s="312"/>
      <c r="L125" s="312"/>
      <c r="M125" s="312"/>
      <c r="N125" s="391"/>
      <c r="O125" s="312"/>
      <c r="P125" s="312"/>
      <c r="Q125" s="383"/>
      <c r="R125" s="276"/>
      <c r="S125" s="434"/>
      <c r="T125" s="281"/>
      <c r="U125" s="281"/>
      <c r="V125" s="428"/>
      <c r="W125" s="282"/>
    </row>
    <row r="127" spans="10:23">
      <c r="J127" s="3598" t="s">
        <v>359</v>
      </c>
      <c r="K127" s="3599"/>
      <c r="L127" s="3599"/>
      <c r="M127" s="3599"/>
      <c r="N127" s="3599"/>
      <c r="O127" s="3599"/>
      <c r="P127" s="3599"/>
      <c r="Q127" s="3599"/>
      <c r="R127" s="3599"/>
      <c r="S127" s="3599"/>
      <c r="T127" s="3600"/>
    </row>
    <row r="128" spans="10:23">
      <c r="J128" s="694"/>
      <c r="K128" s="216"/>
      <c r="L128" s="216" t="s">
        <v>160</v>
      </c>
      <c r="M128" s="216" t="s">
        <v>161</v>
      </c>
      <c r="N128" s="216" t="s">
        <v>191</v>
      </c>
      <c r="O128" s="216" t="s">
        <v>56</v>
      </c>
      <c r="P128" s="216"/>
      <c r="Q128" s="216"/>
      <c r="R128" s="216"/>
      <c r="S128" s="216"/>
      <c r="T128" s="799"/>
    </row>
    <row r="129" spans="10:20" ht="12.75" customHeight="1">
      <c r="J129" s="741">
        <f>MATCH(K129,K130:K171,0)</f>
        <v>42</v>
      </c>
      <c r="K129" s="741" t="str">
        <f>'ASTM Calculator V.W.'!K10</f>
        <v>Table 58 - Metric Tons (in AIR) to US Barrels at 60°F</v>
      </c>
      <c r="L129" s="750" t="str">
        <f>VLOOKUP($J129,$J130:$T171,COLUMNS($J129:L129))</f>
        <v>Metric Tons (in AIR)</v>
      </c>
      <c r="M129" s="750" t="str">
        <f>VLOOKUP($J129,$J130:$T171,COLUMNS($J129:M129))</f>
        <v>US Barrels at 60°F</v>
      </c>
      <c r="N129" s="750" t="str">
        <f>VLOOKUP($J129,$J130:$T171,COLUMNS($J129:N129))</f>
        <v>ASTM Table 58</v>
      </c>
      <c r="O129" s="751">
        <f>VLOOKUP($J129,$J130:$T171,COLUMNS($J129:O129))</f>
        <v>7.4260000000000002</v>
      </c>
      <c r="P129" s="328"/>
      <c r="Q129" s="569"/>
      <c r="R129" s="569"/>
      <c r="S129" s="569"/>
      <c r="T129" s="579"/>
    </row>
    <row r="130" spans="10:20" ht="12.75" customHeight="1">
      <c r="J130" s="792">
        <v>1</v>
      </c>
      <c r="K130" s="793" t="str">
        <f>K46</f>
        <v>Table 4 - US Gallons at 60°F to Litres at 15°C</v>
      </c>
      <c r="L130" s="793" t="s">
        <v>139</v>
      </c>
      <c r="M130" s="793" t="s">
        <v>137</v>
      </c>
      <c r="N130" s="793" t="str">
        <f>CONCATENATE("ASTM ",R46)</f>
        <v>ASTM Table 4</v>
      </c>
      <c r="O130" s="794">
        <f t="shared" ref="O130:O145" si="18">T46</f>
        <v>3.7837000000000001</v>
      </c>
      <c r="P130" s="800"/>
      <c r="Q130" s="801"/>
      <c r="R130" s="801"/>
      <c r="S130" s="801"/>
      <c r="T130" s="802"/>
    </row>
    <row r="131" spans="10:20" ht="12.75" customHeight="1">
      <c r="J131" s="747">
        <v>2</v>
      </c>
      <c r="K131" s="749" t="str">
        <f t="shared" ref="K131:K145" si="19">K47</f>
        <v>Table 4 - US Barrels at 60°F to Cubic Metres at 15°C</v>
      </c>
      <c r="L131" s="749" t="s">
        <v>140</v>
      </c>
      <c r="M131" s="749" t="s">
        <v>138</v>
      </c>
      <c r="N131" s="793" t="str">
        <f t="shared" ref="N131:N144" si="20">CONCATENATE("ASTM ",R47)</f>
        <v>ASTM Table 4</v>
      </c>
      <c r="O131" s="757">
        <f t="shared" si="18"/>
        <v>0.15891</v>
      </c>
      <c r="P131" s="775"/>
      <c r="Q131" s="776"/>
      <c r="R131" s="776"/>
      <c r="S131" s="776"/>
      <c r="T131" s="777"/>
    </row>
    <row r="132" spans="10:20">
      <c r="J132" s="747">
        <v>3</v>
      </c>
      <c r="K132" s="749" t="str">
        <f t="shared" si="19"/>
        <v>Table 8 - US Gallons at 60°F to Pounds  (in AIR)</v>
      </c>
      <c r="L132" s="749" t="s">
        <v>139</v>
      </c>
      <c r="M132" s="749" t="s">
        <v>169</v>
      </c>
      <c r="N132" s="793" t="str">
        <f t="shared" si="20"/>
        <v>ASTM Table 8</v>
      </c>
      <c r="O132" s="758">
        <f t="shared" si="18"/>
        <v>7.0679999999999996</v>
      </c>
      <c r="P132" s="775"/>
      <c r="Q132" s="776"/>
      <c r="R132" s="776"/>
      <c r="S132" s="776"/>
      <c r="T132" s="777"/>
    </row>
    <row r="133" spans="10:20">
      <c r="J133" s="747">
        <v>4</v>
      </c>
      <c r="K133" s="749" t="str">
        <f t="shared" si="19"/>
        <v>Table 8 - Pounds  (in AIR) to US Gallons at 60°F</v>
      </c>
      <c r="L133" s="749" t="s">
        <v>169</v>
      </c>
      <c r="M133" s="749" t="s">
        <v>139</v>
      </c>
      <c r="N133" s="793" t="str">
        <f t="shared" si="20"/>
        <v>ASTM Table 8</v>
      </c>
      <c r="O133" s="757">
        <f t="shared" si="18"/>
        <v>0.14149</v>
      </c>
      <c r="P133" s="775"/>
      <c r="Q133" s="776"/>
      <c r="R133" s="776"/>
      <c r="S133" s="776"/>
      <c r="T133" s="777"/>
    </row>
    <row r="134" spans="10:20">
      <c r="J134" s="747">
        <v>5</v>
      </c>
      <c r="K134" s="749" t="str">
        <f t="shared" si="19"/>
        <v>Table 9 - 1000 US Gallons at 60°F to Short Tons (in AIR)</v>
      </c>
      <c r="L134" s="749" t="s">
        <v>144</v>
      </c>
      <c r="M134" s="749" t="s">
        <v>164</v>
      </c>
      <c r="N134" s="793" t="str">
        <f t="shared" si="20"/>
        <v>ASTM Table 9</v>
      </c>
      <c r="O134" s="758">
        <f t="shared" si="18"/>
        <v>3.5339</v>
      </c>
      <c r="P134" s="775"/>
      <c r="Q134" s="776"/>
      <c r="R134" s="776"/>
      <c r="S134" s="776"/>
      <c r="T134" s="777"/>
    </row>
    <row r="135" spans="10:20">
      <c r="J135" s="747">
        <v>6</v>
      </c>
      <c r="K135" s="749" t="str">
        <f t="shared" si="19"/>
        <v>Table 9 - US Barrels at 60°F to Short Tons (in AIR)</v>
      </c>
      <c r="L135" s="749" t="s">
        <v>140</v>
      </c>
      <c r="M135" s="749" t="s">
        <v>164</v>
      </c>
      <c r="N135" s="793" t="str">
        <f t="shared" si="20"/>
        <v>ASTM Table 9</v>
      </c>
      <c r="O135" s="757">
        <f t="shared" si="18"/>
        <v>0.14842</v>
      </c>
      <c r="P135" s="775"/>
      <c r="Q135" s="776"/>
      <c r="R135" s="776"/>
      <c r="S135" s="776"/>
      <c r="T135" s="777"/>
    </row>
    <row r="136" spans="10:20">
      <c r="J136" s="747">
        <v>7</v>
      </c>
      <c r="K136" s="749" t="str">
        <f t="shared" si="19"/>
        <v>Table 10 - Short Tons (in AIR) to US Gallons at 60°F</v>
      </c>
      <c r="L136" s="749" t="s">
        <v>164</v>
      </c>
      <c r="M136" s="749" t="s">
        <v>139</v>
      </c>
      <c r="N136" s="793" t="str">
        <f t="shared" si="20"/>
        <v>ASTM Table 10</v>
      </c>
      <c r="O136" s="759">
        <f t="shared" si="18"/>
        <v>282.98</v>
      </c>
      <c r="P136" s="775"/>
      <c r="Q136" s="776"/>
      <c r="R136" s="776"/>
      <c r="S136" s="776"/>
      <c r="T136" s="777"/>
    </row>
    <row r="137" spans="10:20">
      <c r="J137" s="747">
        <v>8</v>
      </c>
      <c r="K137" s="749" t="str">
        <f t="shared" si="19"/>
        <v>Table 10 - Short Tons (in AIR) to US Barrels at 60°F</v>
      </c>
      <c r="L137" s="749" t="s">
        <v>164</v>
      </c>
      <c r="M137" s="749" t="s">
        <v>140</v>
      </c>
      <c r="N137" s="793" t="str">
        <f t="shared" si="20"/>
        <v>ASTM Table 10</v>
      </c>
      <c r="O137" s="760">
        <f t="shared" si="18"/>
        <v>6.7380000000000004</v>
      </c>
      <c r="P137" s="775"/>
      <c r="Q137" s="776"/>
      <c r="R137" s="776"/>
      <c r="S137" s="776"/>
      <c r="T137" s="777"/>
    </row>
    <row r="138" spans="10:20">
      <c r="J138" s="747">
        <v>9</v>
      </c>
      <c r="K138" s="749" t="str">
        <f t="shared" si="19"/>
        <v>Table 11 - 1000 US Gallons at 60°F to Long Tons (in AIR)</v>
      </c>
      <c r="L138" s="749" t="s">
        <v>144</v>
      </c>
      <c r="M138" s="749" t="s">
        <v>165</v>
      </c>
      <c r="N138" s="793" t="str">
        <f t="shared" si="20"/>
        <v>ASTM Table 11</v>
      </c>
      <c r="O138" s="758">
        <f t="shared" si="18"/>
        <v>3.1551999999999998</v>
      </c>
      <c r="P138" s="775"/>
      <c r="Q138" s="776"/>
      <c r="R138" s="776"/>
      <c r="S138" s="776"/>
      <c r="T138" s="777"/>
    </row>
    <row r="139" spans="10:20">
      <c r="J139" s="747">
        <v>10</v>
      </c>
      <c r="K139" s="749" t="str">
        <f t="shared" si="19"/>
        <v>Table 11 - US Barrels at 60°F to Long Tons (in AIR)</v>
      </c>
      <c r="L139" s="749" t="s">
        <v>140</v>
      </c>
      <c r="M139" s="749" t="s">
        <v>165</v>
      </c>
      <c r="N139" s="793" t="str">
        <f t="shared" si="20"/>
        <v>ASTM Table 11</v>
      </c>
      <c r="O139" s="757">
        <f t="shared" si="18"/>
        <v>0.13252</v>
      </c>
      <c r="P139" s="775"/>
      <c r="Q139" s="776"/>
      <c r="R139" s="776"/>
      <c r="S139" s="776"/>
      <c r="T139" s="777"/>
    </row>
    <row r="140" spans="10:20">
      <c r="J140" s="747">
        <v>11</v>
      </c>
      <c r="K140" s="749" t="str">
        <f t="shared" si="19"/>
        <v>Table 12 - Long Tons (in AIR) to US Gallons at 60°F</v>
      </c>
      <c r="L140" s="749" t="s">
        <v>165</v>
      </c>
      <c r="M140" s="749" t="s">
        <v>139</v>
      </c>
      <c r="N140" s="793" t="str">
        <f t="shared" si="20"/>
        <v>ASTM Table 12</v>
      </c>
      <c r="O140" s="759">
        <f t="shared" si="18"/>
        <v>316.93</v>
      </c>
      <c r="P140" s="775"/>
      <c r="Q140" s="776"/>
      <c r="R140" s="776"/>
      <c r="S140" s="776"/>
      <c r="T140" s="777"/>
    </row>
    <row r="141" spans="10:20">
      <c r="J141" s="747">
        <v>12</v>
      </c>
      <c r="K141" s="749" t="str">
        <f t="shared" si="19"/>
        <v>Table 12 - Long Tons (in AIR) to US Barrels at 60°F</v>
      </c>
      <c r="L141" s="749" t="s">
        <v>165</v>
      </c>
      <c r="M141" s="749" t="s">
        <v>140</v>
      </c>
      <c r="N141" s="793" t="str">
        <f t="shared" si="20"/>
        <v>ASTM Table 12</v>
      </c>
      <c r="O141" s="760">
        <f t="shared" si="18"/>
        <v>7.5460000000000003</v>
      </c>
      <c r="P141" s="775"/>
      <c r="Q141" s="776"/>
      <c r="R141" s="776"/>
      <c r="S141" s="776"/>
      <c r="T141" s="777"/>
    </row>
    <row r="142" spans="10:20">
      <c r="J142" s="747">
        <v>13</v>
      </c>
      <c r="K142" s="749" t="str">
        <f t="shared" si="19"/>
        <v xml:space="preserve">Table 13 - 1000 US Gallons at 60°F to Metric Tons (in AIR) </v>
      </c>
      <c r="L142" s="749" t="s">
        <v>144</v>
      </c>
      <c r="M142" s="749" t="s">
        <v>170</v>
      </c>
      <c r="N142" s="793" t="str">
        <f t="shared" si="20"/>
        <v>ASTM Table 13</v>
      </c>
      <c r="O142" s="760">
        <f t="shared" si="18"/>
        <v>3.2059000000000002</v>
      </c>
      <c r="P142" s="775"/>
      <c r="Q142" s="776"/>
      <c r="R142" s="776"/>
      <c r="S142" s="776"/>
      <c r="T142" s="777"/>
    </row>
    <row r="143" spans="10:20">
      <c r="J143" s="747">
        <v>14</v>
      </c>
      <c r="K143" s="749" t="str">
        <f t="shared" si="19"/>
        <v xml:space="preserve">Table 13 - US Barrels at 60°F to Metric Tons (in AIR) </v>
      </c>
      <c r="L143" s="749" t="s">
        <v>140</v>
      </c>
      <c r="M143" s="749" t="s">
        <v>170</v>
      </c>
      <c r="N143" s="793" t="str">
        <f t="shared" si="20"/>
        <v>ASTM Table 13</v>
      </c>
      <c r="O143" s="757">
        <f t="shared" si="18"/>
        <v>0.13464999999999999</v>
      </c>
      <c r="P143" s="775"/>
      <c r="Q143" s="776"/>
      <c r="R143" s="776"/>
      <c r="S143" s="776"/>
      <c r="T143" s="777"/>
    </row>
    <row r="144" spans="10:20">
      <c r="J144" s="747">
        <v>15</v>
      </c>
      <c r="K144" s="749" t="str">
        <f t="shared" si="19"/>
        <v>Table 14 - Short Tons (in AIR) to Cubic Metres at 15°C</v>
      </c>
      <c r="L144" s="749" t="s">
        <v>164</v>
      </c>
      <c r="M144" s="749" t="s">
        <v>138</v>
      </c>
      <c r="N144" s="793" t="str">
        <f t="shared" si="20"/>
        <v>ASTM Table 14</v>
      </c>
      <c r="O144" s="757">
        <f t="shared" si="18"/>
        <v>1.0707</v>
      </c>
      <c r="P144" s="775"/>
      <c r="Q144" s="776"/>
      <c r="R144" s="776"/>
      <c r="S144" s="776"/>
      <c r="T144" s="777"/>
    </row>
    <row r="145" spans="10:20">
      <c r="J145" s="747">
        <v>16</v>
      </c>
      <c r="K145" s="749" t="str">
        <f t="shared" si="19"/>
        <v>Table 14 - Long Tons (in AIR) to Cubic Metres at 15°C</v>
      </c>
      <c r="L145" s="749" t="s">
        <v>165</v>
      </c>
      <c r="M145" s="749" t="s">
        <v>138</v>
      </c>
      <c r="N145" s="793" t="str">
        <f>CONCATENATE("ASTM ",R61)</f>
        <v>ASTM Table 14</v>
      </c>
      <c r="O145" s="757">
        <f t="shared" si="18"/>
        <v>1.1992</v>
      </c>
      <c r="P145" s="775"/>
      <c r="Q145" s="776"/>
      <c r="R145" s="776"/>
      <c r="S145" s="776"/>
      <c r="T145" s="777"/>
    </row>
    <row r="146" spans="10:20">
      <c r="J146" s="747">
        <v>17</v>
      </c>
      <c r="K146" s="747"/>
      <c r="L146" s="747"/>
      <c r="M146" s="747"/>
      <c r="N146" s="793"/>
      <c r="O146" s="756"/>
      <c r="P146" s="775"/>
      <c r="Q146" s="776"/>
      <c r="R146" s="776"/>
      <c r="S146" s="776"/>
      <c r="T146" s="777"/>
    </row>
    <row r="147" spans="10:20">
      <c r="J147" s="747">
        <v>18</v>
      </c>
      <c r="K147" s="749" t="str">
        <f>K81</f>
        <v>Table 22 - US Gallons at 60°F to Litres at 15°C</v>
      </c>
      <c r="L147" s="749" t="s">
        <v>139</v>
      </c>
      <c r="M147" s="749" t="s">
        <v>137</v>
      </c>
      <c r="N147" s="793" t="str">
        <f>CONCATENATE("ASTM ",R81)</f>
        <v>ASTM Table 22</v>
      </c>
      <c r="O147" s="761">
        <f t="shared" ref="O147:O160" si="21">T81</f>
        <v>3.7837000000000001</v>
      </c>
      <c r="P147" s="775"/>
      <c r="Q147" s="776"/>
      <c r="R147" s="776"/>
      <c r="S147" s="776"/>
      <c r="T147" s="777"/>
    </row>
    <row r="148" spans="10:20">
      <c r="J148" s="747">
        <v>19</v>
      </c>
      <c r="K148" s="749" t="str">
        <f t="shared" ref="K148:K160" si="22">K82</f>
        <v>Table 22 - US Gallons at 60°F to Cubic Metres at 15°C</v>
      </c>
      <c r="L148" s="749" t="s">
        <v>139</v>
      </c>
      <c r="M148" s="749" t="s">
        <v>138</v>
      </c>
      <c r="N148" s="793" t="str">
        <f t="shared" ref="N148:N160" si="23">CONCATENATE("ASTM ",R82)</f>
        <v>ASTM Table 22</v>
      </c>
      <c r="O148" s="762">
        <f t="shared" si="21"/>
        <v>0.15891</v>
      </c>
      <c r="P148" s="775"/>
      <c r="Q148" s="776"/>
      <c r="R148" s="776"/>
      <c r="S148" s="776"/>
      <c r="T148" s="777"/>
    </row>
    <row r="149" spans="10:20">
      <c r="J149" s="747">
        <v>20</v>
      </c>
      <c r="K149" s="749" t="str">
        <f t="shared" si="22"/>
        <v>Table 26 - US Gallons at 60°F to Pounds</v>
      </c>
      <c r="L149" s="749" t="s">
        <v>139</v>
      </c>
      <c r="M149" s="749" t="s">
        <v>102</v>
      </c>
      <c r="N149" s="793" t="str">
        <f t="shared" si="23"/>
        <v>ASTM Table 26</v>
      </c>
      <c r="O149" s="761">
        <f t="shared" si="21"/>
        <v>7.0674000000000001</v>
      </c>
      <c r="P149" s="775"/>
      <c r="Q149" s="776"/>
      <c r="R149" s="776"/>
      <c r="S149" s="776"/>
      <c r="T149" s="777"/>
    </row>
    <row r="150" spans="10:20">
      <c r="J150" s="747">
        <v>21</v>
      </c>
      <c r="K150" s="749" t="str">
        <f t="shared" si="22"/>
        <v>Table 26 - Pounds to US Gallons at 60°F</v>
      </c>
      <c r="L150" s="749" t="s">
        <v>102</v>
      </c>
      <c r="M150" s="749" t="s">
        <v>139</v>
      </c>
      <c r="N150" s="793" t="str">
        <f t="shared" si="23"/>
        <v>ASTM Table 26</v>
      </c>
      <c r="O150" s="762">
        <f t="shared" si="21"/>
        <v>0.14149</v>
      </c>
      <c r="P150" s="775"/>
      <c r="Q150" s="776"/>
      <c r="R150" s="776"/>
      <c r="S150" s="776"/>
      <c r="T150" s="777"/>
    </row>
    <row r="151" spans="10:20">
      <c r="J151" s="747">
        <v>22</v>
      </c>
      <c r="K151" s="749" t="str">
        <f t="shared" si="22"/>
        <v>Table 27 - 1000 US Gallons at 60°F to Short Tons (in AIR)</v>
      </c>
      <c r="L151" s="749" t="s">
        <v>144</v>
      </c>
      <c r="M151" s="749" t="s">
        <v>164</v>
      </c>
      <c r="N151" s="793" t="str">
        <f t="shared" si="23"/>
        <v>ASTM Table 27</v>
      </c>
      <c r="O151" s="761">
        <f t="shared" si="21"/>
        <v>3.5337999999999998</v>
      </c>
      <c r="P151" s="775"/>
      <c r="Q151" s="776"/>
      <c r="R151" s="776"/>
      <c r="S151" s="776"/>
      <c r="T151" s="777"/>
    </row>
    <row r="152" spans="10:20">
      <c r="J152" s="747">
        <v>23</v>
      </c>
      <c r="K152" s="749" t="str">
        <f t="shared" si="22"/>
        <v>Table 27 - US Barrels at 60°F to Short Tons (in AIR)</v>
      </c>
      <c r="L152" s="749" t="s">
        <v>140</v>
      </c>
      <c r="M152" s="749" t="s">
        <v>164</v>
      </c>
      <c r="N152" s="793" t="str">
        <f t="shared" si="23"/>
        <v>ASTM Table 27</v>
      </c>
      <c r="O152" s="762">
        <f t="shared" si="21"/>
        <v>0.14842</v>
      </c>
      <c r="P152" s="775"/>
      <c r="Q152" s="776"/>
      <c r="R152" s="776"/>
      <c r="S152" s="776"/>
      <c r="T152" s="777"/>
    </row>
    <row r="153" spans="10:20">
      <c r="J153" s="747">
        <v>24</v>
      </c>
      <c r="K153" s="749" t="str">
        <f t="shared" si="22"/>
        <v>Table 28 - Short Tons (in AIR) to US Gallons at 60°F</v>
      </c>
      <c r="L153" s="749" t="s">
        <v>164</v>
      </c>
      <c r="M153" s="749" t="s">
        <v>139</v>
      </c>
      <c r="N153" s="793" t="str">
        <f t="shared" si="23"/>
        <v>ASTM Table 28</v>
      </c>
      <c r="O153" s="763">
        <f t="shared" si="21"/>
        <v>282.99</v>
      </c>
      <c r="P153" s="775"/>
      <c r="Q153" s="776"/>
      <c r="R153" s="776"/>
      <c r="S153" s="776"/>
      <c r="T153" s="777"/>
    </row>
    <row r="154" spans="10:20">
      <c r="J154" s="747">
        <v>25</v>
      </c>
      <c r="K154" s="749" t="str">
        <f t="shared" si="22"/>
        <v>Table 28 - Short Tons (in AIR) to US Barrels at 60°F</v>
      </c>
      <c r="L154" s="749" t="s">
        <v>164</v>
      </c>
      <c r="M154" s="749" t="s">
        <v>140</v>
      </c>
      <c r="N154" s="793" t="str">
        <f t="shared" si="23"/>
        <v>ASTM Table 28</v>
      </c>
      <c r="O154" s="764">
        <f t="shared" si="21"/>
        <v>6.7380000000000004</v>
      </c>
      <c r="P154" s="775"/>
      <c r="Q154" s="776"/>
      <c r="R154" s="776"/>
      <c r="S154" s="776"/>
      <c r="T154" s="777"/>
    </row>
    <row r="155" spans="10:20">
      <c r="J155" s="747">
        <v>26</v>
      </c>
      <c r="K155" s="749" t="str">
        <f t="shared" si="22"/>
        <v>Table 29 - 1000 US Gallons at 60°F to Long Tons (in AIR)</v>
      </c>
      <c r="L155" s="749" t="s">
        <v>144</v>
      </c>
      <c r="M155" s="749" t="s">
        <v>165</v>
      </c>
      <c r="N155" s="793" t="str">
        <f t="shared" si="23"/>
        <v>ASTM Table 29</v>
      </c>
      <c r="O155" s="761">
        <f t="shared" si="21"/>
        <v>3.1551</v>
      </c>
      <c r="P155" s="775"/>
      <c r="Q155" s="776"/>
      <c r="R155" s="776"/>
      <c r="S155" s="776"/>
      <c r="T155" s="777"/>
    </row>
    <row r="156" spans="10:20">
      <c r="J156" s="747">
        <v>27</v>
      </c>
      <c r="K156" s="749" t="str">
        <f t="shared" si="22"/>
        <v>Table 29 - US Barrels at 60°F to Long Tons (in AIR)</v>
      </c>
      <c r="L156" s="749" t="s">
        <v>140</v>
      </c>
      <c r="M156" s="749" t="s">
        <v>165</v>
      </c>
      <c r="N156" s="793" t="str">
        <f t="shared" si="23"/>
        <v>ASTM Table 29</v>
      </c>
      <c r="O156" s="762">
        <f t="shared" si="21"/>
        <v>0.13252</v>
      </c>
      <c r="P156" s="775"/>
      <c r="Q156" s="776"/>
      <c r="R156" s="776"/>
      <c r="S156" s="776"/>
      <c r="T156" s="777"/>
    </row>
    <row r="157" spans="10:20">
      <c r="J157" s="747">
        <v>28</v>
      </c>
      <c r="K157" s="749" t="str">
        <f t="shared" si="22"/>
        <v>Table 30 - Long Tons (in AIR) to US Gallons at 60°F</v>
      </c>
      <c r="L157" s="749" t="s">
        <v>165</v>
      </c>
      <c r="M157" s="749" t="s">
        <v>139</v>
      </c>
      <c r="N157" s="793" t="str">
        <f t="shared" si="23"/>
        <v>ASTM Table 30</v>
      </c>
      <c r="O157" s="763">
        <f t="shared" si="21"/>
        <v>316.95</v>
      </c>
      <c r="P157" s="775"/>
      <c r="Q157" s="776"/>
      <c r="R157" s="776"/>
      <c r="S157" s="776"/>
      <c r="T157" s="777"/>
    </row>
    <row r="158" spans="10:20">
      <c r="J158" s="747">
        <v>29</v>
      </c>
      <c r="K158" s="749" t="str">
        <f t="shared" si="22"/>
        <v>Table 30 - Long Tons (in AIR) to US Barrels at 60°F</v>
      </c>
      <c r="L158" s="749" t="s">
        <v>165</v>
      </c>
      <c r="M158" s="749" t="s">
        <v>140</v>
      </c>
      <c r="N158" s="793" t="str">
        <f t="shared" si="23"/>
        <v>ASTM Table 30</v>
      </c>
      <c r="O158" s="764">
        <f t="shared" si="21"/>
        <v>7.5469999999999997</v>
      </c>
      <c r="P158" s="775"/>
      <c r="Q158" s="776"/>
      <c r="R158" s="776"/>
      <c r="S158" s="776"/>
      <c r="T158" s="777"/>
    </row>
    <row r="159" spans="10:20">
      <c r="J159" s="747">
        <v>30</v>
      </c>
      <c r="K159" s="749" t="str">
        <f t="shared" si="22"/>
        <v>Table 31 - Short Tons (in AIR) to Cubic Metres at 15°C</v>
      </c>
      <c r="L159" s="749" t="s">
        <v>164</v>
      </c>
      <c r="M159" s="749" t="s">
        <v>138</v>
      </c>
      <c r="N159" s="793" t="str">
        <f t="shared" si="23"/>
        <v>ASTM Table 31</v>
      </c>
      <c r="O159" s="761">
        <f t="shared" si="21"/>
        <v>1.0707</v>
      </c>
      <c r="P159" s="775"/>
      <c r="Q159" s="776"/>
      <c r="R159" s="776"/>
      <c r="S159" s="776"/>
      <c r="T159" s="777"/>
    </row>
    <row r="160" spans="10:20">
      <c r="J160" s="747">
        <v>31</v>
      </c>
      <c r="K160" s="749" t="str">
        <f t="shared" si="22"/>
        <v>Table 31 - Long Tons (in AIR) to Cubic Metres at 15°C</v>
      </c>
      <c r="L160" s="749" t="s">
        <v>165</v>
      </c>
      <c r="M160" s="749" t="s">
        <v>138</v>
      </c>
      <c r="N160" s="793" t="str">
        <f t="shared" si="23"/>
        <v>ASTM Table 31</v>
      </c>
      <c r="O160" s="761">
        <f t="shared" si="21"/>
        <v>1.1992</v>
      </c>
      <c r="P160" s="775"/>
      <c r="Q160" s="776"/>
      <c r="R160" s="776"/>
      <c r="S160" s="776"/>
      <c r="T160" s="777"/>
    </row>
    <row r="161" spans="10:20">
      <c r="J161" s="747">
        <v>32</v>
      </c>
      <c r="K161" s="747"/>
      <c r="L161" s="747"/>
      <c r="M161" s="747"/>
      <c r="N161" s="793"/>
      <c r="O161" s="756"/>
      <c r="P161" s="775"/>
      <c r="Q161" s="776"/>
      <c r="R161" s="776"/>
      <c r="S161" s="776"/>
      <c r="T161" s="777"/>
    </row>
    <row r="162" spans="10:20">
      <c r="J162" s="747">
        <v>33</v>
      </c>
      <c r="K162" s="749" t="str">
        <f>K115</f>
        <v>Table 52 - US Barrels at 60°F to Cubic Metres at 15°C</v>
      </c>
      <c r="L162" s="749" t="s">
        <v>140</v>
      </c>
      <c r="M162" s="749" t="s">
        <v>138</v>
      </c>
      <c r="N162" s="793" t="str">
        <f>CONCATENATE("ASTM ",R115)</f>
        <v>ASTM Table 52</v>
      </c>
      <c r="O162" s="765">
        <f t="shared" ref="O162:O171" si="24">T115</f>
        <v>0.15891</v>
      </c>
      <c r="P162" s="775"/>
      <c r="Q162" s="776"/>
      <c r="R162" s="776"/>
      <c r="S162" s="776"/>
      <c r="T162" s="777"/>
    </row>
    <row r="163" spans="10:20">
      <c r="J163" s="747">
        <v>34</v>
      </c>
      <c r="K163" s="749" t="str">
        <f t="shared" ref="K163:K171" si="25">K116</f>
        <v>Table 52 - Cubic Metres at 15°C to US Barrels at 60°F</v>
      </c>
      <c r="L163" s="749" t="s">
        <v>138</v>
      </c>
      <c r="M163" s="749" t="s">
        <v>140</v>
      </c>
      <c r="N163" s="793" t="str">
        <f t="shared" ref="N163:N171" si="26">CONCATENATE("ASTM ",R116)</f>
        <v>ASTM Table 52</v>
      </c>
      <c r="O163" s="766">
        <f t="shared" si="24"/>
        <v>6.2930000000000001</v>
      </c>
      <c r="P163" s="775"/>
      <c r="Q163" s="776"/>
      <c r="R163" s="776"/>
      <c r="S163" s="776"/>
      <c r="T163" s="777"/>
    </row>
    <row r="164" spans="10:20">
      <c r="J164" s="747">
        <v>35</v>
      </c>
      <c r="K164" s="749" t="str">
        <f t="shared" si="25"/>
        <v>Table 56 - Weight in Vacuo to Weight in Air</v>
      </c>
      <c r="L164" s="749" t="s">
        <v>159</v>
      </c>
      <c r="M164" s="749" t="s">
        <v>126</v>
      </c>
      <c r="N164" s="793" t="str">
        <f t="shared" si="26"/>
        <v>ASTM Table 56</v>
      </c>
      <c r="O164" s="765">
        <f t="shared" si="24"/>
        <v>0.99875000000000003</v>
      </c>
      <c r="P164" s="775"/>
      <c r="Q164" s="776"/>
      <c r="R164" s="776"/>
      <c r="S164" s="776"/>
      <c r="T164" s="777"/>
    </row>
    <row r="165" spans="10:20">
      <c r="J165" s="747">
        <v>36</v>
      </c>
      <c r="K165" s="749" t="str">
        <f t="shared" si="25"/>
        <v>Table 56 - Weight in Air to Weight in Vacuo</v>
      </c>
      <c r="L165" s="749" t="s">
        <v>126</v>
      </c>
      <c r="M165" s="749" t="s">
        <v>159</v>
      </c>
      <c r="N165" s="793" t="str">
        <f t="shared" si="26"/>
        <v>ASTM Table 56</v>
      </c>
      <c r="O165" s="765">
        <f t="shared" si="24"/>
        <v>1.00125</v>
      </c>
      <c r="P165" s="775"/>
      <c r="Q165" s="776"/>
      <c r="R165" s="776"/>
      <c r="S165" s="776"/>
      <c r="T165" s="777"/>
    </row>
    <row r="166" spans="10:20">
      <c r="J166" s="747">
        <v>37</v>
      </c>
      <c r="K166" s="749" t="str">
        <f t="shared" si="25"/>
        <v>Table 56 - Cubic Metres at 15°C to Kilograms (in AIR)</v>
      </c>
      <c r="L166" s="749" t="s">
        <v>138</v>
      </c>
      <c r="M166" s="749" t="s">
        <v>162</v>
      </c>
      <c r="N166" s="793" t="str">
        <f t="shared" si="26"/>
        <v>ASTM Table 56</v>
      </c>
      <c r="O166" s="767">
        <f t="shared" si="24"/>
        <v>847.3</v>
      </c>
      <c r="P166" s="775"/>
      <c r="Q166" s="776"/>
      <c r="R166" s="776"/>
      <c r="S166" s="776"/>
      <c r="T166" s="777"/>
    </row>
    <row r="167" spans="10:20">
      <c r="J167" s="747">
        <v>38</v>
      </c>
      <c r="K167" s="749" t="str">
        <f t="shared" si="25"/>
        <v>Table 56 - Metric Tons (in AIR) to Cubic Metres at 15°C</v>
      </c>
      <c r="L167" s="749" t="s">
        <v>163</v>
      </c>
      <c r="M167" s="749" t="s">
        <v>138</v>
      </c>
      <c r="N167" s="793" t="str">
        <f t="shared" si="26"/>
        <v>ASTM Table 56</v>
      </c>
      <c r="O167" s="768">
        <f t="shared" si="24"/>
        <v>1.1801999999999999</v>
      </c>
      <c r="P167" s="775"/>
      <c r="Q167" s="776"/>
      <c r="R167" s="776"/>
      <c r="S167" s="776"/>
      <c r="T167" s="777"/>
    </row>
    <row r="168" spans="10:20">
      <c r="J168" s="747">
        <v>39</v>
      </c>
      <c r="K168" s="749" t="str">
        <f t="shared" si="25"/>
        <v>Table 57 - Cubic Metres at 15°C to Short Tons (in AIR)</v>
      </c>
      <c r="L168" s="749" t="s">
        <v>138</v>
      </c>
      <c r="M168" s="749" t="s">
        <v>164</v>
      </c>
      <c r="N168" s="793" t="str">
        <f t="shared" si="26"/>
        <v>ASTM Table 57</v>
      </c>
      <c r="O168" s="768">
        <f t="shared" si="24"/>
        <v>0.93400000000000005</v>
      </c>
      <c r="P168" s="775"/>
      <c r="Q168" s="776"/>
      <c r="R168" s="776"/>
      <c r="S168" s="776"/>
      <c r="T168" s="777"/>
    </row>
    <row r="169" spans="10:20">
      <c r="J169" s="747">
        <v>40</v>
      </c>
      <c r="K169" s="749" t="str">
        <f t="shared" si="25"/>
        <v>Table 57 - Cubic Metres at 15°C to Long Tons (in AIR)</v>
      </c>
      <c r="L169" s="749" t="s">
        <v>138</v>
      </c>
      <c r="M169" s="749" t="s">
        <v>165</v>
      </c>
      <c r="N169" s="793" t="str">
        <f t="shared" si="26"/>
        <v>ASTM Table 57</v>
      </c>
      <c r="O169" s="768">
        <f t="shared" si="24"/>
        <v>0.83389999999999997</v>
      </c>
      <c r="P169" s="775"/>
      <c r="Q169" s="776"/>
      <c r="R169" s="776"/>
      <c r="S169" s="776"/>
      <c r="T169" s="777"/>
    </row>
    <row r="170" spans="10:20">
      <c r="J170" s="747">
        <v>41</v>
      </c>
      <c r="K170" s="749" t="str">
        <f t="shared" si="25"/>
        <v>Table 58 - Metric Tons (in AIR) to US Gallons at 60°F</v>
      </c>
      <c r="L170" s="749" t="s">
        <v>163</v>
      </c>
      <c r="M170" s="749" t="s">
        <v>139</v>
      </c>
      <c r="N170" s="793" t="str">
        <f t="shared" si="26"/>
        <v>ASTM Table 58</v>
      </c>
      <c r="O170" s="769">
        <f t="shared" si="24"/>
        <v>311.92</v>
      </c>
      <c r="P170" s="775"/>
      <c r="Q170" s="776"/>
      <c r="R170" s="776"/>
      <c r="S170" s="776"/>
      <c r="T170" s="777"/>
    </row>
    <row r="171" spans="10:20">
      <c r="J171" s="779">
        <v>42</v>
      </c>
      <c r="K171" s="790" t="str">
        <f t="shared" si="25"/>
        <v>Table 58 - Metric Tons (in AIR) to US Barrels at 60°F</v>
      </c>
      <c r="L171" s="790" t="s">
        <v>163</v>
      </c>
      <c r="M171" s="790" t="s">
        <v>140</v>
      </c>
      <c r="N171" s="793" t="str">
        <f t="shared" si="26"/>
        <v>ASTM Table 58</v>
      </c>
      <c r="O171" s="791">
        <f t="shared" si="24"/>
        <v>7.4260000000000002</v>
      </c>
      <c r="P171" s="781"/>
      <c r="Q171" s="782"/>
      <c r="R171" s="782"/>
      <c r="S171" s="782"/>
      <c r="T171" s="783"/>
    </row>
    <row r="172" spans="10:20">
      <c r="J172" s="569"/>
      <c r="K172" s="569"/>
      <c r="L172" s="569"/>
      <c r="M172" s="569"/>
      <c r="N172" s="569"/>
      <c r="O172" s="569"/>
      <c r="P172" s="569"/>
      <c r="Q172" s="569"/>
      <c r="R172" s="569"/>
      <c r="S172" s="569"/>
      <c r="T172" s="569"/>
    </row>
    <row r="173" spans="10:20">
      <c r="J173" s="3598" t="s">
        <v>359</v>
      </c>
      <c r="K173" s="3599"/>
      <c r="L173" s="3599"/>
      <c r="M173" s="3599"/>
      <c r="N173" s="3599"/>
      <c r="O173" s="3599"/>
      <c r="P173" s="3599"/>
      <c r="Q173" s="3599"/>
      <c r="R173" s="3599"/>
      <c r="S173" s="3599"/>
      <c r="T173" s="3600"/>
    </row>
    <row r="174" spans="10:20">
      <c r="J174" s="694"/>
      <c r="K174" s="216"/>
      <c r="L174" s="216" t="s">
        <v>160</v>
      </c>
      <c r="M174" s="216" t="s">
        <v>161</v>
      </c>
      <c r="N174" s="216" t="s">
        <v>191</v>
      </c>
      <c r="O174" s="216" t="s">
        <v>56</v>
      </c>
      <c r="P174" s="216" t="s">
        <v>414</v>
      </c>
      <c r="Q174" s="216"/>
      <c r="R174" s="216"/>
      <c r="S174" s="216" t="s">
        <v>414</v>
      </c>
      <c r="T174" s="799"/>
    </row>
    <row r="175" spans="10:20" ht="13.15">
      <c r="J175" s="741">
        <f>MATCH(K175,K176:K218,0)</f>
        <v>7</v>
      </c>
      <c r="K175" s="750" t="str">
        <f>'ASTM Calculator V.W.'!K17</f>
        <v>Table 1 - Metric Tons (Tonnes) to Long Tons</v>
      </c>
      <c r="L175" s="750" t="str">
        <f>VLOOKUP($J175,$J176:$T218,COLUMNS($J175:L175))</f>
        <v>Metric Tons (Tonnes)</v>
      </c>
      <c r="M175" s="750" t="str">
        <f>VLOOKUP($J175,$J176:$T218,COLUMNS($J175:M175))</f>
        <v>Long Tons</v>
      </c>
      <c r="N175" s="750" t="str">
        <f>VLOOKUP($J175,$J176:$T218,COLUMNS($J175:N175))</f>
        <v>ASTM Table 1</v>
      </c>
      <c r="O175" s="751">
        <f>VLOOKUP($J$175,$J$176:$T$218,COLUMNS($J175:O175))</f>
        <v>0.98420600000000003</v>
      </c>
      <c r="P175" s="750">
        <f>VLOOKUP($J$175,$J$176:$T$218,COLUMNS($J175:P175))</f>
        <v>0</v>
      </c>
      <c r="Q175" s="388"/>
      <c r="R175" s="770"/>
      <c r="S175" s="750">
        <f>VLOOKUP($J$175,$J$176:$T$218,COLUMNS($J175:S175))</f>
        <v>0</v>
      </c>
      <c r="T175" s="579"/>
    </row>
    <row r="176" spans="10:20" ht="13.15">
      <c r="J176" s="745">
        <v>1</v>
      </c>
      <c r="K176" s="746" t="s">
        <v>360</v>
      </c>
      <c r="L176" s="795" t="s">
        <v>14</v>
      </c>
      <c r="M176" s="795" t="s">
        <v>408</v>
      </c>
      <c r="N176" s="804" t="s">
        <v>415</v>
      </c>
      <c r="O176" s="752">
        <v>2240</v>
      </c>
      <c r="P176" s="771"/>
      <c r="Q176" s="772"/>
      <c r="R176" s="773"/>
      <c r="S176" s="774" t="s">
        <v>92</v>
      </c>
      <c r="T176" s="773"/>
    </row>
    <row r="177" spans="10:20" ht="13.15">
      <c r="J177" s="747">
        <v>2</v>
      </c>
      <c r="K177" s="748" t="s">
        <v>361</v>
      </c>
      <c r="L177" s="796" t="s">
        <v>14</v>
      </c>
      <c r="M177" s="796" t="s">
        <v>23</v>
      </c>
      <c r="N177" s="796" t="s">
        <v>415</v>
      </c>
      <c r="O177" s="753">
        <v>1.1200000000000001</v>
      </c>
      <c r="P177" s="775"/>
      <c r="Q177" s="776"/>
      <c r="R177" s="777"/>
      <c r="S177" s="778" t="s">
        <v>92</v>
      </c>
      <c r="T177" s="777"/>
    </row>
    <row r="178" spans="10:20">
      <c r="J178" s="747">
        <v>3</v>
      </c>
      <c r="K178" s="748" t="s">
        <v>362</v>
      </c>
      <c r="L178" s="796" t="s">
        <v>14</v>
      </c>
      <c r="M178" s="796" t="s">
        <v>406</v>
      </c>
      <c r="N178" s="796" t="s">
        <v>415</v>
      </c>
      <c r="O178" s="748">
        <v>1.0160499999999999</v>
      </c>
      <c r="P178" s="775"/>
      <c r="Q178" s="776"/>
      <c r="R178" s="777"/>
      <c r="S178" s="775"/>
      <c r="T178" s="777"/>
    </row>
    <row r="179" spans="10:20" ht="13.15">
      <c r="J179" s="747">
        <v>4</v>
      </c>
      <c r="K179" s="748" t="s">
        <v>363</v>
      </c>
      <c r="L179" s="796" t="s">
        <v>23</v>
      </c>
      <c r="M179" s="796" t="s">
        <v>408</v>
      </c>
      <c r="N179" s="796" t="s">
        <v>415</v>
      </c>
      <c r="O179" s="754">
        <v>2000</v>
      </c>
      <c r="P179" s="775"/>
      <c r="Q179" s="776"/>
      <c r="R179" s="777"/>
      <c r="S179" s="778" t="s">
        <v>92</v>
      </c>
      <c r="T179" s="777"/>
    </row>
    <row r="180" spans="10:20">
      <c r="J180" s="747">
        <v>5</v>
      </c>
      <c r="K180" s="748" t="s">
        <v>364</v>
      </c>
      <c r="L180" s="796" t="s">
        <v>23</v>
      </c>
      <c r="M180" s="796" t="s">
        <v>14</v>
      </c>
      <c r="N180" s="796" t="s">
        <v>415</v>
      </c>
      <c r="O180" s="748">
        <v>0.89285700000000001</v>
      </c>
      <c r="P180" s="775"/>
      <c r="Q180" s="776"/>
      <c r="R180" s="777"/>
      <c r="S180" s="775"/>
      <c r="T180" s="777"/>
    </row>
    <row r="181" spans="10:20">
      <c r="J181" s="747">
        <v>6</v>
      </c>
      <c r="K181" s="748" t="s">
        <v>365</v>
      </c>
      <c r="L181" s="796" t="s">
        <v>23</v>
      </c>
      <c r="M181" s="796" t="s">
        <v>406</v>
      </c>
      <c r="N181" s="796" t="s">
        <v>415</v>
      </c>
      <c r="O181" s="748">
        <v>0.90718500000000002</v>
      </c>
      <c r="P181" s="775"/>
      <c r="Q181" s="776"/>
      <c r="R181" s="777"/>
      <c r="S181" s="775"/>
      <c r="T181" s="777"/>
    </row>
    <row r="182" spans="10:20">
      <c r="J182" s="747">
        <v>7</v>
      </c>
      <c r="K182" s="748" t="s">
        <v>366</v>
      </c>
      <c r="L182" s="796" t="s">
        <v>407</v>
      </c>
      <c r="M182" s="796" t="s">
        <v>14</v>
      </c>
      <c r="N182" s="796" t="s">
        <v>415</v>
      </c>
      <c r="O182" s="755">
        <v>0.98420600000000003</v>
      </c>
      <c r="P182" s="775"/>
      <c r="Q182" s="776"/>
      <c r="R182" s="777"/>
      <c r="S182" s="775"/>
      <c r="T182" s="777"/>
    </row>
    <row r="183" spans="10:20">
      <c r="J183" s="747">
        <v>8</v>
      </c>
      <c r="K183" s="748" t="s">
        <v>367</v>
      </c>
      <c r="L183" s="796" t="s">
        <v>407</v>
      </c>
      <c r="M183" s="796" t="s">
        <v>23</v>
      </c>
      <c r="N183" s="796" t="s">
        <v>415</v>
      </c>
      <c r="O183" s="755">
        <v>1.1023099999999999</v>
      </c>
      <c r="P183" s="775"/>
      <c r="Q183" s="776"/>
      <c r="R183" s="777"/>
      <c r="S183" s="775"/>
      <c r="T183" s="777"/>
    </row>
    <row r="184" spans="10:20">
      <c r="J184" s="747">
        <v>9</v>
      </c>
      <c r="K184" s="748" t="s">
        <v>368</v>
      </c>
      <c r="L184" s="796" t="s">
        <v>189</v>
      </c>
      <c r="M184" s="796" t="s">
        <v>17</v>
      </c>
      <c r="N184" s="796" t="s">
        <v>415</v>
      </c>
      <c r="O184" s="748">
        <v>0.453592</v>
      </c>
      <c r="P184" s="775"/>
      <c r="Q184" s="776"/>
      <c r="R184" s="777"/>
      <c r="S184" s="775"/>
      <c r="T184" s="777"/>
    </row>
    <row r="185" spans="10:20">
      <c r="J185" s="747">
        <v>10</v>
      </c>
      <c r="K185" s="748" t="s">
        <v>369</v>
      </c>
      <c r="L185" s="796" t="s">
        <v>17</v>
      </c>
      <c r="M185" s="796" t="s">
        <v>408</v>
      </c>
      <c r="N185" s="796" t="s">
        <v>415</v>
      </c>
      <c r="O185" s="748">
        <v>2.2046199999999998</v>
      </c>
      <c r="P185" s="775"/>
      <c r="Q185" s="776"/>
      <c r="R185" s="777"/>
      <c r="S185" s="775"/>
      <c r="T185" s="777"/>
    </row>
    <row r="186" spans="10:20">
      <c r="J186" s="747">
        <v>11</v>
      </c>
      <c r="K186" s="747"/>
      <c r="L186" s="797"/>
      <c r="M186" s="797"/>
      <c r="N186" s="797"/>
      <c r="O186" s="756"/>
      <c r="P186" s="775"/>
      <c r="Q186" s="776"/>
      <c r="R186" s="777"/>
      <c r="S186" s="775"/>
      <c r="T186" s="777"/>
    </row>
    <row r="187" spans="10:20" ht="13.15">
      <c r="J187" s="747">
        <v>12</v>
      </c>
      <c r="K187" s="748" t="s">
        <v>370</v>
      </c>
      <c r="L187" s="796" t="s">
        <v>409</v>
      </c>
      <c r="M187" s="796" t="s">
        <v>411</v>
      </c>
      <c r="N187" s="796" t="s">
        <v>415</v>
      </c>
      <c r="O187" s="754">
        <v>231</v>
      </c>
      <c r="P187" s="775" t="s">
        <v>402</v>
      </c>
      <c r="Q187" s="776"/>
      <c r="R187" s="777"/>
      <c r="S187" s="778" t="s">
        <v>92</v>
      </c>
      <c r="T187" s="777"/>
    </row>
    <row r="188" spans="10:20">
      <c r="J188" s="747">
        <v>13</v>
      </c>
      <c r="K188" s="748" t="s">
        <v>371</v>
      </c>
      <c r="L188" s="796" t="s">
        <v>409</v>
      </c>
      <c r="M188" s="796" t="s">
        <v>404</v>
      </c>
      <c r="N188" s="796" t="s">
        <v>415</v>
      </c>
      <c r="O188" s="748">
        <v>0.13368099999999999</v>
      </c>
      <c r="P188" s="775" t="s">
        <v>402</v>
      </c>
      <c r="Q188" s="776"/>
      <c r="R188" s="777"/>
      <c r="S188" s="775"/>
      <c r="T188" s="777"/>
    </row>
    <row r="189" spans="10:20">
      <c r="J189" s="747">
        <v>14</v>
      </c>
      <c r="K189" s="748" t="s">
        <v>372</v>
      </c>
      <c r="L189" s="796" t="s">
        <v>409</v>
      </c>
      <c r="M189" s="796" t="s">
        <v>403</v>
      </c>
      <c r="N189" s="796" t="s">
        <v>415</v>
      </c>
      <c r="O189" s="748">
        <v>0.83267400000000003</v>
      </c>
      <c r="P189" s="775" t="s">
        <v>402</v>
      </c>
      <c r="Q189" s="776"/>
      <c r="R189" s="777"/>
      <c r="S189" s="775"/>
      <c r="T189" s="777"/>
    </row>
    <row r="190" spans="10:20">
      <c r="J190" s="747">
        <v>15</v>
      </c>
      <c r="K190" s="748" t="s">
        <v>373</v>
      </c>
      <c r="L190" s="796" t="s">
        <v>409</v>
      </c>
      <c r="M190" s="796" t="s">
        <v>412</v>
      </c>
      <c r="N190" s="796" t="s">
        <v>415</v>
      </c>
      <c r="O190" s="748">
        <v>2.3809500000000001E-2</v>
      </c>
      <c r="P190" s="775" t="s">
        <v>402</v>
      </c>
      <c r="Q190" s="776"/>
      <c r="R190" s="777"/>
      <c r="S190" s="775"/>
      <c r="T190" s="777"/>
    </row>
    <row r="191" spans="10:20">
      <c r="J191" s="747">
        <v>16</v>
      </c>
      <c r="K191" s="748" t="s">
        <v>374</v>
      </c>
      <c r="L191" s="796" t="s">
        <v>409</v>
      </c>
      <c r="M191" s="796" t="s">
        <v>21</v>
      </c>
      <c r="N191" s="796" t="s">
        <v>415</v>
      </c>
      <c r="O191" s="748">
        <v>3.7854100000000002</v>
      </c>
      <c r="P191" s="775" t="s">
        <v>402</v>
      </c>
      <c r="Q191" s="776"/>
      <c r="R191" s="777"/>
      <c r="S191" s="775"/>
      <c r="T191" s="777"/>
    </row>
    <row r="192" spans="10:20" ht="13.15">
      <c r="J192" s="747">
        <v>17</v>
      </c>
      <c r="K192" s="748" t="s">
        <v>375</v>
      </c>
      <c r="L192" s="796" t="s">
        <v>410</v>
      </c>
      <c r="M192" s="796" t="s">
        <v>24</v>
      </c>
      <c r="N192" s="796" t="s">
        <v>415</v>
      </c>
      <c r="O192" s="754">
        <v>42</v>
      </c>
      <c r="P192" s="775" t="s">
        <v>402</v>
      </c>
      <c r="Q192" s="776"/>
      <c r="R192" s="777"/>
      <c r="S192" s="778" t="s">
        <v>92</v>
      </c>
      <c r="T192" s="777"/>
    </row>
    <row r="193" spans="10:20" ht="13.15">
      <c r="J193" s="747">
        <v>18</v>
      </c>
      <c r="K193" s="748" t="s">
        <v>376</v>
      </c>
      <c r="L193" s="796" t="s">
        <v>410</v>
      </c>
      <c r="M193" s="796" t="s">
        <v>411</v>
      </c>
      <c r="N193" s="796" t="s">
        <v>415</v>
      </c>
      <c r="O193" s="754">
        <v>9702</v>
      </c>
      <c r="P193" s="775" t="s">
        <v>402</v>
      </c>
      <c r="Q193" s="776"/>
      <c r="R193" s="777"/>
      <c r="S193" s="778" t="s">
        <v>92</v>
      </c>
      <c r="T193" s="777"/>
    </row>
    <row r="194" spans="10:20">
      <c r="J194" s="747">
        <v>19</v>
      </c>
      <c r="K194" s="748" t="s">
        <v>377</v>
      </c>
      <c r="L194" s="796" t="s">
        <v>410</v>
      </c>
      <c r="M194" s="796" t="s">
        <v>404</v>
      </c>
      <c r="N194" s="796" t="s">
        <v>415</v>
      </c>
      <c r="O194" s="748">
        <v>5.6145800000000001</v>
      </c>
      <c r="P194" s="775" t="s">
        <v>402</v>
      </c>
      <c r="Q194" s="776"/>
      <c r="R194" s="777"/>
      <c r="S194" s="775"/>
      <c r="T194" s="777"/>
    </row>
    <row r="195" spans="10:20">
      <c r="J195" s="747">
        <v>20</v>
      </c>
      <c r="K195" s="748" t="s">
        <v>378</v>
      </c>
      <c r="L195" s="796" t="s">
        <v>410</v>
      </c>
      <c r="M195" s="796" t="s">
        <v>403</v>
      </c>
      <c r="N195" s="796" t="s">
        <v>415</v>
      </c>
      <c r="O195" s="748">
        <v>34.972299999999997</v>
      </c>
      <c r="P195" s="775" t="s">
        <v>402</v>
      </c>
      <c r="Q195" s="776"/>
      <c r="R195" s="777"/>
      <c r="S195" s="775"/>
      <c r="T195" s="777"/>
    </row>
    <row r="196" spans="10:20">
      <c r="J196" s="747">
        <v>21</v>
      </c>
      <c r="K196" s="748" t="s">
        <v>379</v>
      </c>
      <c r="L196" s="796" t="s">
        <v>410</v>
      </c>
      <c r="M196" s="796" t="s">
        <v>21</v>
      </c>
      <c r="N196" s="796" t="s">
        <v>415</v>
      </c>
      <c r="O196" s="748">
        <v>158.98699999999999</v>
      </c>
      <c r="P196" s="775" t="s">
        <v>402</v>
      </c>
      <c r="Q196" s="776"/>
      <c r="R196" s="777"/>
      <c r="S196" s="775"/>
      <c r="T196" s="777"/>
    </row>
    <row r="197" spans="10:20">
      <c r="J197" s="747">
        <v>22</v>
      </c>
      <c r="K197" s="748" t="s">
        <v>380</v>
      </c>
      <c r="L197" s="796" t="s">
        <v>403</v>
      </c>
      <c r="M197" s="796" t="s">
        <v>411</v>
      </c>
      <c r="N197" s="796" t="s">
        <v>415</v>
      </c>
      <c r="O197" s="748">
        <v>277.42</v>
      </c>
      <c r="P197" s="775" t="s">
        <v>402</v>
      </c>
      <c r="Q197" s="776"/>
      <c r="R197" s="777"/>
      <c r="S197" s="775"/>
      <c r="T197" s="777"/>
    </row>
    <row r="198" spans="10:20">
      <c r="J198" s="747">
        <v>23</v>
      </c>
      <c r="K198" s="748" t="s">
        <v>381</v>
      </c>
      <c r="L198" s="796" t="s">
        <v>403</v>
      </c>
      <c r="M198" s="796" t="s">
        <v>404</v>
      </c>
      <c r="N198" s="796" t="s">
        <v>415</v>
      </c>
      <c r="O198" s="748">
        <v>0.16054399999999999</v>
      </c>
      <c r="P198" s="775" t="s">
        <v>402</v>
      </c>
      <c r="Q198" s="776"/>
      <c r="R198" s="777"/>
      <c r="S198" s="775"/>
      <c r="T198" s="777"/>
    </row>
    <row r="199" spans="10:20">
      <c r="J199" s="747">
        <v>24</v>
      </c>
      <c r="K199" s="748" t="s">
        <v>382</v>
      </c>
      <c r="L199" s="796" t="s">
        <v>403</v>
      </c>
      <c r="M199" s="796" t="s">
        <v>24</v>
      </c>
      <c r="N199" s="796" t="s">
        <v>415</v>
      </c>
      <c r="O199" s="748">
        <v>1.20095</v>
      </c>
      <c r="P199" s="775" t="s">
        <v>402</v>
      </c>
      <c r="Q199" s="776"/>
      <c r="R199" s="777"/>
      <c r="S199" s="775"/>
      <c r="T199" s="777"/>
    </row>
    <row r="200" spans="10:20">
      <c r="J200" s="747">
        <v>25</v>
      </c>
      <c r="K200" s="748" t="s">
        <v>383</v>
      </c>
      <c r="L200" s="796" t="s">
        <v>403</v>
      </c>
      <c r="M200" s="796" t="s">
        <v>412</v>
      </c>
      <c r="N200" s="796" t="s">
        <v>415</v>
      </c>
      <c r="O200" s="748">
        <v>2.8594100000000001E-2</v>
      </c>
      <c r="P200" s="775" t="s">
        <v>402</v>
      </c>
      <c r="Q200" s="776"/>
      <c r="R200" s="777"/>
      <c r="S200" s="775"/>
      <c r="T200" s="777"/>
    </row>
    <row r="201" spans="10:20">
      <c r="J201" s="747">
        <v>26</v>
      </c>
      <c r="K201" s="748" t="s">
        <v>384</v>
      </c>
      <c r="L201" s="796" t="s">
        <v>403</v>
      </c>
      <c r="M201" s="796" t="s">
        <v>21</v>
      </c>
      <c r="N201" s="796" t="s">
        <v>415</v>
      </c>
      <c r="O201" s="748">
        <v>4.54596</v>
      </c>
      <c r="P201" s="775" t="s">
        <v>402</v>
      </c>
      <c r="Q201" s="776"/>
      <c r="R201" s="777"/>
      <c r="S201" s="775"/>
      <c r="T201" s="777"/>
    </row>
    <row r="202" spans="10:20">
      <c r="J202" s="747">
        <v>27</v>
      </c>
      <c r="K202" s="748" t="s">
        <v>385</v>
      </c>
      <c r="L202" s="796" t="s">
        <v>404</v>
      </c>
      <c r="M202" s="796" t="s">
        <v>403</v>
      </c>
      <c r="N202" s="796" t="s">
        <v>415</v>
      </c>
      <c r="O202" s="748">
        <v>6.2288300000000003</v>
      </c>
      <c r="P202" s="775" t="s">
        <v>402</v>
      </c>
      <c r="Q202" s="776"/>
      <c r="R202" s="777"/>
      <c r="S202" s="775"/>
      <c r="T202" s="777"/>
    </row>
    <row r="203" spans="10:20">
      <c r="J203" s="747">
        <v>28</v>
      </c>
      <c r="K203" s="748" t="s">
        <v>386</v>
      </c>
      <c r="L203" s="796" t="s">
        <v>404</v>
      </c>
      <c r="M203" s="796" t="s">
        <v>24</v>
      </c>
      <c r="N203" s="796" t="s">
        <v>415</v>
      </c>
      <c r="O203" s="748">
        <v>7.4805200000000003</v>
      </c>
      <c r="P203" s="775" t="s">
        <v>402</v>
      </c>
      <c r="Q203" s="776"/>
      <c r="R203" s="777"/>
      <c r="S203" s="775"/>
      <c r="T203" s="777"/>
    </row>
    <row r="204" spans="10:20">
      <c r="J204" s="747">
        <v>29</v>
      </c>
      <c r="K204" s="748" t="s">
        <v>387</v>
      </c>
      <c r="L204" s="796" t="s">
        <v>404</v>
      </c>
      <c r="M204" s="796" t="s">
        <v>412</v>
      </c>
      <c r="N204" s="796" t="s">
        <v>415</v>
      </c>
      <c r="O204" s="748">
        <v>0.17810799999999999</v>
      </c>
      <c r="P204" s="775" t="s">
        <v>402</v>
      </c>
      <c r="Q204" s="776"/>
      <c r="R204" s="777"/>
      <c r="S204" s="775"/>
      <c r="T204" s="777"/>
    </row>
    <row r="205" spans="10:20">
      <c r="J205" s="747">
        <v>30</v>
      </c>
      <c r="K205" s="748" t="s">
        <v>388</v>
      </c>
      <c r="L205" s="796" t="s">
        <v>404</v>
      </c>
      <c r="M205" s="796" t="s">
        <v>21</v>
      </c>
      <c r="N205" s="796" t="s">
        <v>415</v>
      </c>
      <c r="O205" s="748">
        <v>28.3169</v>
      </c>
      <c r="P205" s="775" t="s">
        <v>402</v>
      </c>
      <c r="Q205" s="776"/>
      <c r="R205" s="777"/>
      <c r="S205" s="775"/>
      <c r="T205" s="777"/>
    </row>
    <row r="206" spans="10:20">
      <c r="J206" s="747">
        <v>31</v>
      </c>
      <c r="K206" s="748" t="s">
        <v>389</v>
      </c>
      <c r="L206" s="796" t="s">
        <v>404</v>
      </c>
      <c r="M206" s="796" t="s">
        <v>413</v>
      </c>
      <c r="N206" s="796" t="s">
        <v>415</v>
      </c>
      <c r="O206" s="748">
        <v>2.8316899999999999E-2</v>
      </c>
      <c r="P206" s="775" t="s">
        <v>402</v>
      </c>
      <c r="Q206" s="776"/>
      <c r="R206" s="777"/>
      <c r="S206" s="775"/>
      <c r="T206" s="777"/>
    </row>
    <row r="207" spans="10:20">
      <c r="J207" s="747">
        <v>32</v>
      </c>
      <c r="K207" s="748" t="s">
        <v>390</v>
      </c>
      <c r="L207" s="796" t="s">
        <v>405</v>
      </c>
      <c r="M207" s="796" t="s">
        <v>403</v>
      </c>
      <c r="N207" s="796" t="s">
        <v>415</v>
      </c>
      <c r="O207" s="748">
        <v>3.60465E-3</v>
      </c>
      <c r="P207" s="775" t="s">
        <v>402</v>
      </c>
      <c r="Q207" s="776"/>
      <c r="R207" s="777"/>
      <c r="S207" s="775"/>
      <c r="T207" s="777"/>
    </row>
    <row r="208" spans="10:20">
      <c r="J208" s="747">
        <v>33</v>
      </c>
      <c r="K208" s="748" t="s">
        <v>391</v>
      </c>
      <c r="L208" s="796" t="s">
        <v>405</v>
      </c>
      <c r="M208" s="796" t="s">
        <v>24</v>
      </c>
      <c r="N208" s="796" t="s">
        <v>415</v>
      </c>
      <c r="O208" s="748">
        <v>4.3290000000000004E-3</v>
      </c>
      <c r="P208" s="775" t="s">
        <v>402</v>
      </c>
      <c r="Q208" s="776"/>
      <c r="R208" s="777"/>
      <c r="S208" s="775"/>
      <c r="T208" s="777"/>
    </row>
    <row r="209" spans="10:20">
      <c r="J209" s="747">
        <v>34</v>
      </c>
      <c r="K209" s="748" t="s">
        <v>392</v>
      </c>
      <c r="L209" s="796" t="s">
        <v>405</v>
      </c>
      <c r="M209" s="796" t="s">
        <v>21</v>
      </c>
      <c r="N209" s="796" t="s">
        <v>415</v>
      </c>
      <c r="O209" s="748">
        <v>1.6387100000000002E-2</v>
      </c>
      <c r="P209" s="775" t="s">
        <v>402</v>
      </c>
      <c r="Q209" s="776"/>
      <c r="R209" s="777"/>
      <c r="S209" s="775"/>
      <c r="T209" s="777"/>
    </row>
    <row r="210" spans="10:20">
      <c r="J210" s="747">
        <v>35</v>
      </c>
      <c r="K210" s="748" t="s">
        <v>393</v>
      </c>
      <c r="L210" s="796" t="s">
        <v>21</v>
      </c>
      <c r="M210" s="796" t="s">
        <v>411</v>
      </c>
      <c r="N210" s="796" t="s">
        <v>415</v>
      </c>
      <c r="O210" s="748">
        <v>61.023800000000001</v>
      </c>
      <c r="P210" s="775" t="s">
        <v>402</v>
      </c>
      <c r="Q210" s="776"/>
      <c r="R210" s="777"/>
      <c r="S210" s="775"/>
      <c r="T210" s="777"/>
    </row>
    <row r="211" spans="10:20">
      <c r="J211" s="747">
        <v>36</v>
      </c>
      <c r="K211" s="748" t="s">
        <v>394</v>
      </c>
      <c r="L211" s="796" t="s">
        <v>21</v>
      </c>
      <c r="M211" s="796" t="s">
        <v>404</v>
      </c>
      <c r="N211" s="796" t="s">
        <v>415</v>
      </c>
      <c r="O211" s="748">
        <v>3.5314699999999997E-2</v>
      </c>
      <c r="P211" s="775" t="s">
        <v>402</v>
      </c>
      <c r="Q211" s="776"/>
      <c r="R211" s="777"/>
      <c r="S211" s="775"/>
      <c r="T211" s="777"/>
    </row>
    <row r="212" spans="10:20">
      <c r="J212" s="747">
        <v>37</v>
      </c>
      <c r="K212" s="748" t="s">
        <v>395</v>
      </c>
      <c r="L212" s="796" t="s">
        <v>21</v>
      </c>
      <c r="M212" s="796" t="s">
        <v>403</v>
      </c>
      <c r="N212" s="796" t="s">
        <v>415</v>
      </c>
      <c r="O212" s="748">
        <v>0.219969</v>
      </c>
      <c r="P212" s="775" t="s">
        <v>402</v>
      </c>
      <c r="Q212" s="776"/>
      <c r="R212" s="777"/>
      <c r="S212" s="775"/>
      <c r="T212" s="777"/>
    </row>
    <row r="213" spans="10:20">
      <c r="J213" s="747">
        <v>38</v>
      </c>
      <c r="K213" s="748" t="s">
        <v>396</v>
      </c>
      <c r="L213" s="796" t="s">
        <v>21</v>
      </c>
      <c r="M213" s="796" t="s">
        <v>24</v>
      </c>
      <c r="N213" s="796" t="s">
        <v>415</v>
      </c>
      <c r="O213" s="748">
        <v>0.26417200000000002</v>
      </c>
      <c r="P213" s="775" t="s">
        <v>402</v>
      </c>
      <c r="Q213" s="776"/>
      <c r="R213" s="777"/>
      <c r="S213" s="775"/>
      <c r="T213" s="777"/>
    </row>
    <row r="214" spans="10:20">
      <c r="J214" s="747">
        <v>39</v>
      </c>
      <c r="K214" s="748" t="s">
        <v>397</v>
      </c>
      <c r="L214" s="796" t="s">
        <v>21</v>
      </c>
      <c r="M214" s="796" t="s">
        <v>412</v>
      </c>
      <c r="N214" s="796" t="s">
        <v>415</v>
      </c>
      <c r="O214" s="748">
        <v>6.2898099999999998E-3</v>
      </c>
      <c r="P214" s="775" t="s">
        <v>402</v>
      </c>
      <c r="Q214" s="776"/>
      <c r="R214" s="777"/>
      <c r="S214" s="775"/>
      <c r="T214" s="777"/>
    </row>
    <row r="215" spans="10:20">
      <c r="J215" s="747">
        <v>40</v>
      </c>
      <c r="K215" s="748" t="s">
        <v>398</v>
      </c>
      <c r="L215" s="796" t="s">
        <v>240</v>
      </c>
      <c r="M215" s="796" t="s">
        <v>403</v>
      </c>
      <c r="N215" s="796" t="s">
        <v>415</v>
      </c>
      <c r="O215" s="748">
        <v>219.96899999999999</v>
      </c>
      <c r="P215" s="775" t="s">
        <v>402</v>
      </c>
      <c r="Q215" s="776"/>
      <c r="R215" s="777"/>
      <c r="S215" s="775"/>
      <c r="T215" s="777"/>
    </row>
    <row r="216" spans="10:20">
      <c r="J216" s="747">
        <v>41</v>
      </c>
      <c r="K216" s="748" t="s">
        <v>399</v>
      </c>
      <c r="L216" s="796" t="s">
        <v>240</v>
      </c>
      <c r="M216" s="796" t="s">
        <v>24</v>
      </c>
      <c r="N216" s="796" t="s">
        <v>415</v>
      </c>
      <c r="O216" s="748">
        <v>264.17200000000003</v>
      </c>
      <c r="P216" s="775" t="s">
        <v>402</v>
      </c>
      <c r="Q216" s="776"/>
      <c r="R216" s="777"/>
      <c r="S216" s="775"/>
      <c r="T216" s="777"/>
    </row>
    <row r="217" spans="10:20">
      <c r="J217" s="747">
        <v>42</v>
      </c>
      <c r="K217" s="748" t="s">
        <v>400</v>
      </c>
      <c r="L217" s="796" t="s">
        <v>240</v>
      </c>
      <c r="M217" s="796" t="s">
        <v>412</v>
      </c>
      <c r="N217" s="796" t="s">
        <v>415</v>
      </c>
      <c r="O217" s="748">
        <v>6.2898100000000001</v>
      </c>
      <c r="P217" s="775" t="s">
        <v>402</v>
      </c>
      <c r="Q217" s="776"/>
      <c r="R217" s="777"/>
      <c r="S217" s="775"/>
      <c r="T217" s="777"/>
    </row>
    <row r="218" spans="10:20">
      <c r="J218" s="779">
        <v>43</v>
      </c>
      <c r="K218" s="780" t="s">
        <v>401</v>
      </c>
      <c r="L218" s="798" t="s">
        <v>240</v>
      </c>
      <c r="M218" s="798" t="s">
        <v>404</v>
      </c>
      <c r="N218" s="798" t="s">
        <v>415</v>
      </c>
      <c r="O218" s="780">
        <v>35.314700000000002</v>
      </c>
      <c r="P218" s="781" t="s">
        <v>402</v>
      </c>
      <c r="Q218" s="782"/>
      <c r="R218" s="783"/>
      <c r="S218" s="781"/>
      <c r="T218" s="783"/>
    </row>
    <row r="219" spans="10:20">
      <c r="J219" s="484"/>
      <c r="K219" s="484"/>
      <c r="L219" s="484"/>
      <c r="M219" s="484"/>
      <c r="N219" s="484"/>
      <c r="O219" s="484"/>
      <c r="P219" s="484"/>
      <c r="Q219" s="484"/>
      <c r="R219" s="484"/>
      <c r="S219" s="484"/>
      <c r="T219" s="484"/>
    </row>
  </sheetData>
  <mergeCells count="63">
    <mergeCell ref="G11:H11"/>
    <mergeCell ref="G12:H12"/>
    <mergeCell ref="G13:H13"/>
    <mergeCell ref="G6:H6"/>
    <mergeCell ref="G7:H7"/>
    <mergeCell ref="G8:H8"/>
    <mergeCell ref="G9:H9"/>
    <mergeCell ref="G10:H10"/>
    <mergeCell ref="AD69:AE69"/>
    <mergeCell ref="AF69:AI69"/>
    <mergeCell ref="AK69:AO69"/>
    <mergeCell ref="AV65:AX65"/>
    <mergeCell ref="AZ65:BB65"/>
    <mergeCell ref="AD65:AE65"/>
    <mergeCell ref="AF65:AI65"/>
    <mergeCell ref="AK65:AO65"/>
    <mergeCell ref="B2:B3"/>
    <mergeCell ref="AR2:BB3"/>
    <mergeCell ref="C2:D2"/>
    <mergeCell ref="C3:D3"/>
    <mergeCell ref="E2:I3"/>
    <mergeCell ref="DY2:EH3"/>
    <mergeCell ref="EI2:ER3"/>
    <mergeCell ref="J5:W5"/>
    <mergeCell ref="J29:W29"/>
    <mergeCell ref="J64:W64"/>
    <mergeCell ref="BD2:BN3"/>
    <mergeCell ref="BP2:BZ3"/>
    <mergeCell ref="DK2:DR3"/>
    <mergeCell ref="J2:R3"/>
    <mergeCell ref="AW72:AX72"/>
    <mergeCell ref="BA72:BB72"/>
    <mergeCell ref="AW66:AX66"/>
    <mergeCell ref="BA66:BB66"/>
    <mergeCell ref="AW67:AX67"/>
    <mergeCell ref="BA67:BB67"/>
    <mergeCell ref="AW68:AX68"/>
    <mergeCell ref="BA68:BB68"/>
    <mergeCell ref="AW69:AX69"/>
    <mergeCell ref="BA69:BB69"/>
    <mergeCell ref="AW70:AX70"/>
    <mergeCell ref="BA70:BB70"/>
    <mergeCell ref="AW71:AX71"/>
    <mergeCell ref="BA71:BB71"/>
    <mergeCell ref="J97:W97"/>
    <mergeCell ref="AZ98:BB98"/>
    <mergeCell ref="BD98:BF98"/>
    <mergeCell ref="BA100:BB100"/>
    <mergeCell ref="BE100:BF100"/>
    <mergeCell ref="BA99:BB99"/>
    <mergeCell ref="BE99:BF99"/>
    <mergeCell ref="BA101:BB101"/>
    <mergeCell ref="BE101:BF101"/>
    <mergeCell ref="BA102:BB102"/>
    <mergeCell ref="BE102:BF102"/>
    <mergeCell ref="BA103:BB103"/>
    <mergeCell ref="BE103:BF103"/>
    <mergeCell ref="BA104:BB104"/>
    <mergeCell ref="BE104:BF104"/>
    <mergeCell ref="BA105:BB105"/>
    <mergeCell ref="BE105:BF105"/>
    <mergeCell ref="J173:T173"/>
    <mergeCell ref="J127:T127"/>
  </mergeCells>
  <hyperlinks>
    <hyperlink ref="C2" location="'Documents Manager'!A1" display="Documents Manager" xr:uid="{00000000-0004-0000-1500-000000000000}"/>
    <hyperlink ref="B2:B3" location="Home!A1" display="HOME" xr:uid="{00000000-0004-0000-1500-000001000000}"/>
    <hyperlink ref="C3:D3" location="'ASTM Calculator V.W.'!A1" display="ASTM - V.W. Calculator" xr:uid="{00000000-0004-0000-1500-000002000000}"/>
    <hyperlink ref="K31" location="'Conversion Charts Barrel'!A1" display="Conversion Charts Barrel" xr:uid="{00000000-0004-0000-1500-000003000000}"/>
    <hyperlink ref="K99" location="'Conversion Charts Metric'!A1" display="Conversion Charts Metric" xr:uid="{00000000-0004-0000-1500-000004000000}"/>
  </hyperlinks>
  <pageMargins left="0.7" right="0.7" top="0.75" bottom="0.75" header="0.3" footer="0.3"/>
  <pageSetup paperSize="9" orientation="portrait" r:id="rId1"/>
  <ignoredErrors>
    <ignoredError sqref="Q37 Q39 O33:O35 N34 N69 O70 O68:Q68 O72:S72 P70:Q70 N102:O104 O75:S75 O74:Q74 S74 O69:Q69 S70 O71:Q71 O73:R73" formula="1"/>
  </ignoredError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5892-E70F-4C3F-8EFC-7C25E0199B56}">
  <dimension ref="A1:ET218"/>
  <sheetViews>
    <sheetView showGridLines="0" zoomScaleNormal="100" workbookViewId="0">
      <selection activeCell="C3" sqref="C3:D3"/>
    </sheetView>
  </sheetViews>
  <sheetFormatPr defaultColWidth="8.86328125" defaultRowHeight="12.75"/>
  <cols>
    <col min="1" max="1" width="2.6640625" style="5" customWidth="1"/>
    <col min="2" max="2" width="8.86328125" style="5" customWidth="1"/>
    <col min="3" max="3" width="10.46484375" style="5" customWidth="1"/>
    <col min="4" max="4" width="41.33203125" style="5" customWidth="1"/>
    <col min="5" max="5" width="15.86328125" style="5" bestFit="1" customWidth="1"/>
    <col min="6" max="6" width="11.53125" style="5" bestFit="1" customWidth="1"/>
    <col min="7" max="7" width="8.796875" style="5" customWidth="1"/>
    <col min="8" max="8" width="11.53125" style="5" bestFit="1" customWidth="1"/>
    <col min="9" max="9" width="8.796875" style="5" customWidth="1"/>
    <col min="10" max="10" width="2.6640625" style="5" customWidth="1"/>
    <col min="11" max="11" width="8.86328125" style="5" bestFit="1" customWidth="1"/>
    <col min="12" max="12" width="56.33203125" style="5" bestFit="1" customWidth="1"/>
    <col min="13" max="13" width="22.6640625" style="5" customWidth="1"/>
    <col min="14" max="14" width="20.33203125" style="5" bestFit="1" customWidth="1"/>
    <col min="15" max="21" width="17.46484375" style="5" customWidth="1"/>
    <col min="22" max="22" width="5" style="5" customWidth="1"/>
    <col min="23" max="23" width="22" style="5" bestFit="1" customWidth="1"/>
    <col min="24" max="25" width="2.6640625" style="5" customWidth="1"/>
    <col min="26" max="26" width="14.53125" style="5" customWidth="1"/>
    <col min="27" max="27" width="10.1328125" style="5" bestFit="1" customWidth="1"/>
    <col min="28" max="28" width="12.33203125" style="5" bestFit="1" customWidth="1"/>
    <col min="29" max="29" width="7.46484375" style="5" customWidth="1"/>
    <col min="30" max="30" width="12" style="5" bestFit="1" customWidth="1"/>
    <col min="31" max="31" width="14.46484375" style="5" bestFit="1" customWidth="1"/>
    <col min="32" max="32" width="16" style="5" bestFit="1" customWidth="1"/>
    <col min="33" max="34" width="15.6640625" style="5" bestFit="1" customWidth="1"/>
    <col min="35" max="35" width="13.33203125" style="5" bestFit="1" customWidth="1"/>
    <col min="36" max="36" width="12" style="5" bestFit="1" customWidth="1"/>
    <col min="37" max="37" width="8.1328125" style="5" customWidth="1"/>
    <col min="38" max="39" width="11.33203125" style="5" bestFit="1" customWidth="1"/>
    <col min="40" max="40" width="12.6640625" style="5" bestFit="1" customWidth="1"/>
    <col min="41" max="41" width="18.1328125" style="5" bestFit="1" customWidth="1"/>
    <col min="42" max="42" width="12" style="5" bestFit="1" customWidth="1"/>
    <col min="43" max="43" width="9.46484375" style="5" customWidth="1"/>
    <col min="44" max="44" width="2.6640625" style="5" customWidth="1"/>
    <col min="45" max="47" width="8.86328125" style="5"/>
    <col min="48" max="48" width="2.6640625" style="5" customWidth="1"/>
    <col min="49" max="49" width="8.86328125" style="5"/>
    <col min="50" max="50" width="10" style="5" bestFit="1" customWidth="1"/>
    <col min="51" max="51" width="15.6640625" style="5" bestFit="1" customWidth="1"/>
    <col min="52" max="52" width="2.6640625" style="5" customWidth="1"/>
    <col min="53" max="53" width="15.6640625" style="5" bestFit="1" customWidth="1"/>
    <col min="54" max="54" width="9.46484375" style="5" bestFit="1" customWidth="1"/>
    <col min="55" max="55" width="10.46484375" style="5" bestFit="1" customWidth="1"/>
    <col min="56" max="56" width="2.6640625" style="5" customWidth="1"/>
    <col min="57" max="57" width="8.86328125" style="5"/>
    <col min="58" max="59" width="10.46484375" style="5" bestFit="1" customWidth="1"/>
    <col min="60" max="60" width="2.6640625" style="5" customWidth="1"/>
    <col min="61" max="61" width="8.86328125" style="5"/>
    <col min="62" max="62" width="12.33203125" style="5" customWidth="1"/>
    <col min="63" max="63" width="9.46484375" style="5" bestFit="1" customWidth="1"/>
    <col min="64" max="64" width="2.6640625" style="5" customWidth="1"/>
    <col min="65" max="65" width="8.86328125" style="5"/>
    <col min="66" max="66" width="12.33203125" style="5" customWidth="1"/>
    <col min="67" max="67" width="9.46484375" style="5" bestFit="1" customWidth="1"/>
    <col min="68" max="68" width="2.6640625" style="5" customWidth="1"/>
    <col min="69" max="69" width="8.86328125" style="5"/>
    <col min="70" max="70" width="11.6640625" style="5" customWidth="1"/>
    <col min="71" max="71" width="9.53125" style="5" bestFit="1" customWidth="1"/>
    <col min="72" max="72" width="2.6640625" style="5" customWidth="1"/>
    <col min="73" max="73" width="8.86328125" style="5"/>
    <col min="74" max="74" width="11.6640625" style="5" customWidth="1"/>
    <col min="75" max="75" width="10" style="5" bestFit="1" customWidth="1"/>
    <col min="76" max="76" width="2.6640625" style="5" customWidth="1"/>
    <col min="77" max="77" width="8.86328125" style="5"/>
    <col min="78" max="78" width="11.6640625" style="5" customWidth="1"/>
    <col min="79" max="79" width="10" style="5" bestFit="1" customWidth="1"/>
    <col min="80" max="80" width="2.6640625" style="5" customWidth="1"/>
    <col min="81" max="83" width="8.86328125" style="5"/>
    <col min="84" max="84" width="2.6640625" style="5" customWidth="1"/>
    <col min="85" max="85" width="8.86328125" style="5"/>
    <col min="86" max="86" width="15.86328125" style="5" bestFit="1" customWidth="1"/>
    <col min="87" max="87" width="8.33203125" style="5" bestFit="1" customWidth="1"/>
    <col min="88" max="88" width="16.53125" style="5" bestFit="1" customWidth="1"/>
    <col min="89" max="89" width="2.6640625" style="5" customWidth="1"/>
    <col min="90" max="91" width="8.86328125" style="5"/>
    <col min="92" max="92" width="10.46484375" style="5" bestFit="1" customWidth="1"/>
    <col min="93" max="93" width="2.6640625" style="5" customWidth="1"/>
    <col min="94" max="94" width="8.86328125" style="5"/>
    <col min="95" max="95" width="10.46484375" style="5" bestFit="1" customWidth="1"/>
    <col min="96" max="96" width="10" style="5" bestFit="1" customWidth="1"/>
    <col min="97" max="97" width="2.6640625" style="5" customWidth="1"/>
    <col min="98" max="98" width="8.33203125" style="5" bestFit="1" customWidth="1"/>
    <col min="99" max="99" width="10.46484375" style="5" bestFit="1" customWidth="1"/>
    <col min="100" max="100" width="9" style="5" bestFit="1" customWidth="1"/>
    <col min="101" max="101" width="2.6640625" style="5" customWidth="1"/>
    <col min="102" max="102" width="8.86328125" style="5"/>
    <col min="103" max="103" width="10.46484375" style="5" bestFit="1" customWidth="1"/>
    <col min="104" max="104" width="9.53125" style="5" bestFit="1" customWidth="1"/>
    <col min="105" max="105" width="2.6640625" style="5" customWidth="1"/>
    <col min="106" max="106" width="8.33203125" style="5" bestFit="1" customWidth="1"/>
    <col min="107" max="107" width="10.46484375" style="5" bestFit="1" customWidth="1"/>
    <col min="108" max="108" width="8.53125" style="5" bestFit="1" customWidth="1"/>
    <col min="109" max="109" width="2.6640625" style="5" customWidth="1"/>
    <col min="110" max="110" width="8.33203125" style="5" bestFit="1" customWidth="1"/>
    <col min="111" max="112" width="10" style="5" bestFit="1" customWidth="1"/>
    <col min="113" max="113" width="2.6640625" style="5" customWidth="1"/>
    <col min="114" max="116" width="8.86328125" style="5"/>
    <col min="117" max="117" width="2.6640625" style="5" customWidth="1"/>
    <col min="118" max="118" width="8.86328125" style="5"/>
    <col min="119" max="119" width="9.6640625" style="5" bestFit="1" customWidth="1"/>
    <col min="120" max="120" width="8.86328125" style="5"/>
    <col min="121" max="121" width="2.6640625" style="5" customWidth="1"/>
    <col min="122" max="122" width="8.86328125" style="5"/>
    <col min="123" max="123" width="18.33203125" style="5" bestFit="1" customWidth="1"/>
    <col min="124" max="124" width="2.6640625" style="5" customWidth="1"/>
    <col min="125" max="125" width="8.86328125" style="5"/>
    <col min="126" max="126" width="18.33203125" style="5" bestFit="1" customWidth="1"/>
    <col min="127" max="127" width="2.6640625" style="5" customWidth="1"/>
    <col min="128" max="128" width="8.86328125" style="5"/>
    <col min="129" max="129" width="9.33203125" style="5" bestFit="1" customWidth="1"/>
    <col min="130" max="130" width="10" style="5" bestFit="1" customWidth="1"/>
    <col min="131" max="131" width="2.6640625" style="5" customWidth="1"/>
    <col min="132" max="132" width="7.33203125" style="5" bestFit="1" customWidth="1"/>
    <col min="133" max="133" width="10" style="5" bestFit="1" customWidth="1"/>
    <col min="134" max="134" width="9.53125" style="5" bestFit="1" customWidth="1"/>
    <col min="135" max="135" width="2.6640625" style="5" customWidth="1"/>
    <col min="136" max="136" width="7.33203125" style="5" bestFit="1" customWidth="1"/>
    <col min="137" max="137" width="10.46484375" style="5" bestFit="1" customWidth="1"/>
    <col min="138" max="138" width="6.86328125" style="5" bestFit="1" customWidth="1"/>
    <col min="139" max="16384" width="8.86328125" style="5"/>
  </cols>
  <sheetData>
    <row r="1" spans="1:150" ht="12.75" customHeight="1">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row>
    <row r="2" spans="1:150" s="340" customFormat="1" ht="13.15">
      <c r="A2" s="5"/>
      <c r="B2" s="3606" t="s">
        <v>0</v>
      </c>
      <c r="C2" s="3608" t="s">
        <v>2</v>
      </c>
      <c r="D2" s="3609"/>
      <c r="E2" s="3612" t="s">
        <v>3</v>
      </c>
      <c r="F2" s="3613"/>
      <c r="G2" s="3613"/>
      <c r="H2" s="3613"/>
      <c r="I2" s="3613"/>
      <c r="J2" s="3613"/>
      <c r="K2" s="3605" t="s">
        <v>3</v>
      </c>
      <c r="L2" s="3604"/>
      <c r="M2" s="3604"/>
      <c r="N2" s="3604"/>
      <c r="O2" s="3604"/>
      <c r="P2" s="3604"/>
      <c r="Q2" s="3604"/>
      <c r="R2" s="3604"/>
      <c r="S2" s="3604"/>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AR2" s="337"/>
      <c r="AS2" s="3604" t="s">
        <v>3</v>
      </c>
      <c r="AT2" s="3604"/>
      <c r="AU2" s="3604"/>
      <c r="AV2" s="3604"/>
      <c r="AW2" s="3604"/>
      <c r="AX2" s="3604"/>
      <c r="AY2" s="3604"/>
      <c r="AZ2" s="3604"/>
      <c r="BA2" s="3604"/>
      <c r="BB2" s="3604"/>
      <c r="BC2" s="3604"/>
      <c r="BD2" s="338"/>
      <c r="BE2" s="3604" t="s">
        <v>3</v>
      </c>
      <c r="BF2" s="3604"/>
      <c r="BG2" s="3604"/>
      <c r="BH2" s="3604"/>
      <c r="BI2" s="3604"/>
      <c r="BJ2" s="3604"/>
      <c r="BK2" s="3604"/>
      <c r="BL2" s="3604"/>
      <c r="BM2" s="3604"/>
      <c r="BN2" s="3604"/>
      <c r="BO2" s="3604"/>
      <c r="BP2" s="337"/>
      <c r="BQ2" s="3604" t="s">
        <v>3</v>
      </c>
      <c r="BR2" s="3604"/>
      <c r="BS2" s="3604"/>
      <c r="BT2" s="3604"/>
      <c r="BU2" s="3604"/>
      <c r="BV2" s="3604"/>
      <c r="BW2" s="3604"/>
      <c r="BX2" s="3604"/>
      <c r="BY2" s="3604"/>
      <c r="BZ2" s="3604"/>
      <c r="CA2" s="3604"/>
      <c r="CB2" s="337"/>
      <c r="CC2" s="337"/>
      <c r="CD2" s="337"/>
      <c r="CE2" s="337"/>
      <c r="CF2" s="337"/>
      <c r="CG2" s="337"/>
      <c r="CH2" s="337"/>
      <c r="CI2" s="337"/>
      <c r="CJ2" s="337"/>
      <c r="CK2" s="337"/>
      <c r="CL2" s="337"/>
      <c r="CM2" s="337"/>
      <c r="CN2" s="337"/>
      <c r="CO2" s="337"/>
      <c r="CP2" s="337"/>
      <c r="CQ2" s="337"/>
      <c r="CR2" s="337"/>
      <c r="CS2" s="337"/>
      <c r="CT2" s="337"/>
      <c r="CU2" s="337"/>
      <c r="CV2" s="337"/>
      <c r="CW2" s="337"/>
      <c r="CX2" s="337"/>
      <c r="CY2" s="337"/>
      <c r="CZ2" s="337"/>
      <c r="DA2" s="337"/>
      <c r="DB2" s="337"/>
      <c r="DC2" s="337"/>
      <c r="DD2" s="337"/>
      <c r="DE2" s="337"/>
      <c r="DF2" s="337"/>
      <c r="DG2" s="337"/>
      <c r="DH2" s="337"/>
      <c r="DI2" s="337"/>
      <c r="DJ2" s="337"/>
      <c r="DK2" s="337"/>
      <c r="DL2" s="3604" t="s">
        <v>3</v>
      </c>
      <c r="DM2" s="3604"/>
      <c r="DN2" s="3604"/>
      <c r="DO2" s="3604"/>
      <c r="DP2" s="3604"/>
      <c r="DQ2" s="3604"/>
      <c r="DR2" s="3604"/>
      <c r="DS2" s="3604"/>
      <c r="DT2" s="337"/>
      <c r="DU2" s="337"/>
      <c r="DV2" s="337"/>
      <c r="DW2" s="337"/>
      <c r="DX2" s="337"/>
      <c r="DY2" s="339"/>
      <c r="DZ2" s="3604" t="s">
        <v>3</v>
      </c>
      <c r="EA2" s="3604"/>
      <c r="EB2" s="3604"/>
      <c r="EC2" s="3604"/>
      <c r="ED2" s="3604"/>
      <c r="EE2" s="3604"/>
      <c r="EF2" s="3604"/>
      <c r="EG2" s="3604"/>
      <c r="EH2" s="3604"/>
      <c r="EI2" s="3604"/>
      <c r="EJ2" s="3604" t="s">
        <v>3</v>
      </c>
      <c r="EK2" s="3604"/>
      <c r="EL2" s="3604"/>
      <c r="EM2" s="3604"/>
      <c r="EN2" s="3604"/>
      <c r="EO2" s="3604"/>
      <c r="EP2" s="3604"/>
      <c r="EQ2" s="3604"/>
      <c r="ER2" s="3604"/>
      <c r="ES2" s="3604"/>
    </row>
    <row r="3" spans="1:150" s="340" customFormat="1" ht="13.15">
      <c r="A3" s="5"/>
      <c r="B3" s="3607"/>
      <c r="C3" s="3645" t="s">
        <v>489</v>
      </c>
      <c r="D3" s="3646"/>
      <c r="E3" s="3612"/>
      <c r="F3" s="3613"/>
      <c r="G3" s="3613"/>
      <c r="H3" s="3613"/>
      <c r="I3" s="3613"/>
      <c r="J3" s="3613"/>
      <c r="K3" s="3604"/>
      <c r="L3" s="3604"/>
      <c r="M3" s="3604"/>
      <c r="N3" s="3604"/>
      <c r="O3" s="3604"/>
      <c r="P3" s="3604"/>
      <c r="Q3" s="3604"/>
      <c r="R3" s="3604"/>
      <c r="S3" s="3604"/>
      <c r="T3" s="337"/>
      <c r="U3" s="337"/>
      <c r="V3" s="337"/>
      <c r="W3" s="337"/>
      <c r="X3" s="337"/>
      <c r="Y3" s="337"/>
      <c r="Z3" s="337"/>
      <c r="AA3" s="337"/>
      <c r="AB3" s="337"/>
      <c r="AC3" s="337"/>
      <c r="AD3" s="337"/>
      <c r="AE3" s="337"/>
      <c r="AF3" s="337"/>
      <c r="AG3" s="337"/>
      <c r="AH3" s="337"/>
      <c r="AI3" s="337"/>
      <c r="AJ3" s="337"/>
      <c r="AK3" s="337"/>
      <c r="AL3" s="337"/>
      <c r="AM3" s="337"/>
      <c r="AN3" s="337"/>
      <c r="AO3" s="337"/>
      <c r="AP3" s="337"/>
      <c r="AQ3" s="337"/>
      <c r="AR3" s="337"/>
      <c r="AS3" s="3604"/>
      <c r="AT3" s="3604"/>
      <c r="AU3" s="3604"/>
      <c r="AV3" s="3604"/>
      <c r="AW3" s="3604"/>
      <c r="AX3" s="3604"/>
      <c r="AY3" s="3604"/>
      <c r="AZ3" s="3604"/>
      <c r="BA3" s="3604"/>
      <c r="BB3" s="3604"/>
      <c r="BC3" s="3604"/>
      <c r="BD3" s="338"/>
      <c r="BE3" s="3604"/>
      <c r="BF3" s="3604"/>
      <c r="BG3" s="3604"/>
      <c r="BH3" s="3604"/>
      <c r="BI3" s="3604"/>
      <c r="BJ3" s="3604"/>
      <c r="BK3" s="3604"/>
      <c r="BL3" s="3604"/>
      <c r="BM3" s="3604"/>
      <c r="BN3" s="3604"/>
      <c r="BO3" s="3604"/>
      <c r="BP3" s="337"/>
      <c r="BQ3" s="3604"/>
      <c r="BR3" s="3604"/>
      <c r="BS3" s="3604"/>
      <c r="BT3" s="3604"/>
      <c r="BU3" s="3604"/>
      <c r="BV3" s="3604"/>
      <c r="BW3" s="3604"/>
      <c r="BX3" s="3604"/>
      <c r="BY3" s="3604"/>
      <c r="BZ3" s="3604"/>
      <c r="CA3" s="3604"/>
      <c r="CB3" s="337"/>
      <c r="CC3" s="337"/>
      <c r="CD3" s="337"/>
      <c r="CE3" s="337"/>
      <c r="CF3" s="337"/>
      <c r="CG3" s="337"/>
      <c r="CH3" s="337"/>
      <c r="CI3" s="337"/>
      <c r="CJ3" s="337"/>
      <c r="CK3" s="337"/>
      <c r="CL3" s="337"/>
      <c r="CM3" s="337"/>
      <c r="CN3" s="337"/>
      <c r="CO3" s="337"/>
      <c r="CP3" s="337"/>
      <c r="CQ3" s="337"/>
      <c r="CR3" s="337"/>
      <c r="CS3" s="337"/>
      <c r="CT3" s="337"/>
      <c r="CU3" s="337"/>
      <c r="CV3" s="337"/>
      <c r="CW3" s="337"/>
      <c r="CX3" s="337"/>
      <c r="CY3" s="337"/>
      <c r="CZ3" s="337"/>
      <c r="DA3" s="337"/>
      <c r="DB3" s="337"/>
      <c r="DC3" s="337"/>
      <c r="DD3" s="337"/>
      <c r="DE3" s="337"/>
      <c r="DF3" s="337"/>
      <c r="DG3" s="337"/>
      <c r="DH3" s="337"/>
      <c r="DI3" s="337"/>
      <c r="DJ3" s="337"/>
      <c r="DK3" s="337"/>
      <c r="DL3" s="3604"/>
      <c r="DM3" s="3604"/>
      <c r="DN3" s="3604"/>
      <c r="DO3" s="3604"/>
      <c r="DP3" s="3604"/>
      <c r="DQ3" s="3604"/>
      <c r="DR3" s="3604"/>
      <c r="DS3" s="3604"/>
      <c r="DT3" s="337"/>
      <c r="DU3" s="337"/>
      <c r="DV3" s="337"/>
      <c r="DW3" s="337"/>
      <c r="DX3" s="337"/>
      <c r="DY3" s="339"/>
      <c r="DZ3" s="3604"/>
      <c r="EA3" s="3604"/>
      <c r="EB3" s="3604"/>
      <c r="EC3" s="3604"/>
      <c r="ED3" s="3604"/>
      <c r="EE3" s="3604"/>
      <c r="EF3" s="3604"/>
      <c r="EG3" s="3604"/>
      <c r="EH3" s="3604"/>
      <c r="EI3" s="3604"/>
      <c r="EJ3" s="3604"/>
      <c r="EK3" s="3604"/>
      <c r="EL3" s="3604"/>
      <c r="EM3" s="3604"/>
      <c r="EN3" s="3604"/>
      <c r="EO3" s="3604"/>
      <c r="EP3" s="3604"/>
      <c r="EQ3" s="3604"/>
      <c r="ER3" s="3604"/>
      <c r="ES3" s="3604"/>
    </row>
    <row r="4" spans="1:150">
      <c r="B4" s="566"/>
      <c r="C4" s="514"/>
      <c r="D4" s="514"/>
      <c r="E4" s="514"/>
      <c r="F4" s="514"/>
      <c r="G4" s="514"/>
      <c r="H4" s="514"/>
      <c r="I4" s="514"/>
      <c r="L4" s="16"/>
      <c r="M4" s="16"/>
      <c r="N4" s="16"/>
      <c r="O4" s="16"/>
      <c r="P4" s="16"/>
      <c r="Q4" s="16"/>
      <c r="R4" s="16"/>
      <c r="S4" s="16"/>
      <c r="T4" s="17"/>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row>
    <row r="5" spans="1:150" ht="15.75" customHeight="1">
      <c r="B5" s="517" t="s">
        <v>192</v>
      </c>
      <c r="C5" s="518"/>
      <c r="D5" s="518"/>
      <c r="E5" s="518"/>
      <c r="F5" s="518"/>
      <c r="G5" s="518"/>
      <c r="H5" s="518"/>
      <c r="I5" s="519"/>
      <c r="K5" s="3601" t="s">
        <v>504</v>
      </c>
      <c r="L5" s="3602"/>
      <c r="M5" s="3602"/>
      <c r="N5" s="3602"/>
      <c r="O5" s="3602"/>
      <c r="P5" s="3602"/>
      <c r="Q5" s="3602"/>
      <c r="R5" s="3602"/>
      <c r="S5" s="3602"/>
      <c r="T5" s="3602"/>
      <c r="U5" s="3602"/>
      <c r="V5" s="3602"/>
      <c r="W5" s="3602"/>
      <c r="X5" s="3603"/>
      <c r="Y5" s="3647"/>
      <c r="Z5" s="3648"/>
      <c r="AA5" s="3648"/>
      <c r="AB5" s="3648"/>
      <c r="AC5" s="3649"/>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row>
    <row r="6" spans="1:150" ht="13.15">
      <c r="B6" s="3630" t="s">
        <v>191</v>
      </c>
      <c r="C6" s="3631"/>
      <c r="D6" s="3632"/>
      <c r="E6" s="3636" t="s">
        <v>337</v>
      </c>
      <c r="F6" s="938" t="s">
        <v>336</v>
      </c>
      <c r="G6" s="939" t="s">
        <v>204</v>
      </c>
      <c r="H6" s="938" t="s">
        <v>336</v>
      </c>
      <c r="I6" s="939" t="s">
        <v>204</v>
      </c>
      <c r="K6" s="326"/>
      <c r="L6" s="16"/>
      <c r="M6" s="16"/>
      <c r="N6" s="16"/>
      <c r="O6" s="16"/>
      <c r="P6" s="16"/>
      <c r="Q6" s="16"/>
      <c r="R6" s="16"/>
      <c r="S6" s="16"/>
      <c r="T6" s="17"/>
      <c r="U6" s="12"/>
      <c r="V6" s="12"/>
      <c r="W6" s="12"/>
      <c r="X6" s="398"/>
      <c r="Y6" s="954"/>
      <c r="Z6" s="12"/>
      <c r="AA6" s="12"/>
      <c r="AB6" s="12"/>
      <c r="AC6" s="39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row>
    <row r="7" spans="1:150" ht="13.15">
      <c r="B7" s="3633"/>
      <c r="C7" s="3634"/>
      <c r="D7" s="3635"/>
      <c r="E7" s="3637"/>
      <c r="F7" s="940" t="s">
        <v>505</v>
      </c>
      <c r="G7" s="941" t="s">
        <v>505</v>
      </c>
      <c r="H7" s="940" t="s">
        <v>506</v>
      </c>
      <c r="I7" s="941" t="s">
        <v>506</v>
      </c>
      <c r="K7" s="275"/>
      <c r="L7" s="407" t="s">
        <v>182</v>
      </c>
      <c r="M7" s="467" t="str">
        <f>'ASTM Calculator Volume T.E.(1)'!E6</f>
        <v>A.P.I.</v>
      </c>
      <c r="N7" s="442" t="s">
        <v>160</v>
      </c>
      <c r="O7" s="443" t="s">
        <v>161</v>
      </c>
      <c r="P7" s="443" t="s">
        <v>185</v>
      </c>
      <c r="Q7" s="443" t="s">
        <v>186</v>
      </c>
      <c r="R7" s="420"/>
      <c r="S7" s="407" t="s">
        <v>182</v>
      </c>
      <c r="T7" s="452" t="str">
        <f>'ASTM Calculator Volume T.E.(1)'!E6</f>
        <v>A.P.I.</v>
      </c>
      <c r="U7" s="453">
        <f>'ASTM Calculator Volume T.E.(1)'!F6</f>
        <v>31.3</v>
      </c>
      <c r="V7" s="12"/>
      <c r="W7" s="407" t="s">
        <v>502</v>
      </c>
      <c r="X7" s="398"/>
      <c r="Y7" s="261"/>
      <c r="Z7" s="407" t="s">
        <v>182</v>
      </c>
      <c r="AA7" s="3650" t="s">
        <v>503</v>
      </c>
      <c r="AB7" s="3651"/>
      <c r="AC7" s="95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row>
    <row r="8" spans="1:150" ht="13.15">
      <c r="B8" s="521">
        <f>MATCH(C8,C9:C14,0)</f>
        <v>1</v>
      </c>
      <c r="C8" s="522" t="str">
        <f>'ASTM Calculator Volume T.E.(1)'!F5</f>
        <v>Tab. 6A</v>
      </c>
      <c r="D8" s="522" t="str">
        <f>VLOOKUP(B8,B9:D15,3)</f>
        <v>API @60°F</v>
      </c>
      <c r="E8" s="933">
        <f>VLOOKUP(B8,B9:G15,4)</f>
        <v>31.5</v>
      </c>
      <c r="F8" s="942">
        <f>VLOOKUP(B8,B9:G15,5)</f>
        <v>110</v>
      </c>
      <c r="G8" s="943">
        <f>VLOOKUP(B8,B9:G15,6)</f>
        <v>0.97719999999999996</v>
      </c>
      <c r="H8" s="942">
        <f>VLOOKUP(B8,B9:I15,7)</f>
        <v>125</v>
      </c>
      <c r="I8" s="943">
        <f>VLOOKUP(B8,B9:I15,8)</f>
        <v>0.97030000000000005</v>
      </c>
      <c r="K8" s="275"/>
      <c r="L8" s="449" t="s">
        <v>178</v>
      </c>
      <c r="M8" s="408">
        <f>IF($M$7=L8,'ASTM Calculator Volume T.E.(1)'!$F$6,"")</f>
        <v>31.3</v>
      </c>
      <c r="N8" s="444" t="s">
        <v>240</v>
      </c>
      <c r="O8" s="448" t="s">
        <v>16</v>
      </c>
      <c r="P8" s="445">
        <v>1</v>
      </c>
      <c r="Q8" s="421">
        <v>6.2898100000000001</v>
      </c>
      <c r="R8" s="16"/>
      <c r="S8" s="601" t="str">
        <f>IF(T8=$T$7,"",IF(T9=$T$7,"ASTM Table 21","ASTM Table 51"))</f>
        <v/>
      </c>
      <c r="T8" s="401" t="s">
        <v>178</v>
      </c>
      <c r="U8" s="404">
        <f>IF(T8=$T$7,U7,IF(T9=$T$7,U78,U113))</f>
        <v>31.3</v>
      </c>
      <c r="V8" s="12"/>
      <c r="W8" s="588">
        <f>IF(B17=1,'ASTM Calculator Volume T.E.(1)'!F7,ROUND((9/5)*'ASTM Calculator Volume T.E.(1)'!F7+32,1))</f>
        <v>110</v>
      </c>
      <c r="X8" s="398"/>
      <c r="Y8" s="261"/>
      <c r="Z8" s="960"/>
      <c r="AA8" s="3652">
        <f>IF(B17=1,'ASTM Calculator Volume T.E.(1)'!F12,ROUND((9/5)*'ASTM Calculator Volume T.E.(1)'!F12+32,1))</f>
        <v>125</v>
      </c>
      <c r="AB8" s="3653"/>
      <c r="AC8" s="95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row>
    <row r="9" spans="1:150">
      <c r="B9" s="525">
        <v>1</v>
      </c>
      <c r="C9" s="526" t="s">
        <v>194</v>
      </c>
      <c r="D9" s="608" t="s">
        <v>229</v>
      </c>
      <c r="E9" s="934">
        <f>AB32</f>
        <v>31.5</v>
      </c>
      <c r="F9" s="944">
        <f>AC32</f>
        <v>110</v>
      </c>
      <c r="G9" s="945">
        <f>AK32</f>
        <v>0.97719999999999996</v>
      </c>
      <c r="H9" s="944">
        <f>AC43</f>
        <v>125</v>
      </c>
      <c r="I9" s="945">
        <f>AK43</f>
        <v>0.97030000000000005</v>
      </c>
      <c r="K9" s="275"/>
      <c r="L9" s="450" t="s">
        <v>179</v>
      </c>
      <c r="M9" s="409" t="str">
        <f>IF($M$7=L9,'ASTM Calculator Volume T.E.(1)'!$F$6,"")</f>
        <v/>
      </c>
      <c r="N9" s="446" t="s">
        <v>187</v>
      </c>
      <c r="O9" s="468" t="s">
        <v>188</v>
      </c>
      <c r="P9" s="447">
        <v>1</v>
      </c>
      <c r="Q9" s="447">
        <v>42</v>
      </c>
      <c r="R9" s="16"/>
      <c r="S9" s="454" t="str">
        <f>IF(T9=$T$7,"",IF(T8=$T$7,"ASTM Table 3","ASTM Table 51"))</f>
        <v>ASTM Table 3</v>
      </c>
      <c r="T9" s="402" t="s">
        <v>179</v>
      </c>
      <c r="U9" s="405">
        <f>IF(T9=$T$7,U7,IF(T8=$T$7,U43,U112))</f>
        <v>0.86919999999999997</v>
      </c>
      <c r="V9" s="12"/>
      <c r="W9" s="606">
        <f>IF(B17=2,'ASTM Calculator Volume T.E.(1)'!F7,ROUND(('ASTM Calculator Volume T.E.(1)'!F7-32)/9*5,2))</f>
        <v>43.33</v>
      </c>
      <c r="X9" s="398"/>
      <c r="Y9" s="261"/>
      <c r="Z9" s="961"/>
      <c r="AA9" s="3654">
        <f>IF(B17=2,'ASTM Calculator Volume T.E.(1)'!F12,ROUND(('ASTM Calculator Volume T.E.(1)'!F12-32)/9*5,2))</f>
        <v>51.67</v>
      </c>
      <c r="AB9" s="3655"/>
      <c r="AC9" s="95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row>
    <row r="10" spans="1:150">
      <c r="B10" s="528">
        <v>2</v>
      </c>
      <c r="C10" s="529" t="s">
        <v>196</v>
      </c>
      <c r="D10" s="532" t="s">
        <v>229</v>
      </c>
      <c r="E10" s="934">
        <f>AB36</f>
        <v>31.5</v>
      </c>
      <c r="F10" s="944">
        <f>AC36</f>
        <v>110</v>
      </c>
      <c r="G10" s="946">
        <f>AK36</f>
        <v>0.97740000000000005</v>
      </c>
      <c r="H10" s="944">
        <f>AC47</f>
        <v>125</v>
      </c>
      <c r="I10" s="946">
        <f>AK47</f>
        <v>0.97050000000000003</v>
      </c>
      <c r="K10" s="275"/>
      <c r="L10" s="450" t="s">
        <v>20</v>
      </c>
      <c r="M10" s="409" t="str">
        <f>IF($M$7=L10,U10,"")</f>
        <v/>
      </c>
      <c r="N10" s="446" t="s">
        <v>163</v>
      </c>
      <c r="O10" s="446" t="s">
        <v>165</v>
      </c>
      <c r="P10" s="447">
        <v>1</v>
      </c>
      <c r="Q10" s="447">
        <v>0.98420600000000003</v>
      </c>
      <c r="R10" s="16"/>
      <c r="S10" s="454" t="str">
        <f>IF(OR(T10=$T$7,T11=$T$7),"",IF(T8=$T$7,"ASTM Table 3","ASTM Table 21"))</f>
        <v>ASTM Table 3</v>
      </c>
      <c r="T10" s="402" t="s">
        <v>20</v>
      </c>
      <c r="U10" s="712">
        <f>IF(AND(T10=$T$7,U7&gt;2),U7,IF(T8=$T$7,U44,IF(T9=$T$7,U79,U7*1000)))</f>
        <v>868.7</v>
      </c>
      <c r="V10" s="12"/>
      <c r="W10" s="605"/>
      <c r="X10" s="398"/>
      <c r="Y10" s="261"/>
      <c r="Z10" s="961"/>
      <c r="AA10" s="3638"/>
      <c r="AB10" s="3639"/>
      <c r="AC10" s="959"/>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row>
    <row r="11" spans="1:150">
      <c r="B11" s="528">
        <v>3</v>
      </c>
      <c r="C11" s="529" t="s">
        <v>329</v>
      </c>
      <c r="D11" s="532" t="s">
        <v>331</v>
      </c>
      <c r="E11" s="935">
        <f>AB67</f>
        <v>0.87</v>
      </c>
      <c r="F11" s="947">
        <f>AC67</f>
        <v>110</v>
      </c>
      <c r="G11" s="946">
        <f>AQ67</f>
        <v>0.97729999999999995</v>
      </c>
      <c r="H11" s="944">
        <f>AC82</f>
        <v>125</v>
      </c>
      <c r="I11" s="946">
        <f>AQ82</f>
        <v>0.97040000000000004</v>
      </c>
      <c r="K11" s="275"/>
      <c r="L11" s="450" t="s">
        <v>20</v>
      </c>
      <c r="M11" s="409" t="str">
        <f>IF($M$7=L11,U11,"")</f>
        <v/>
      </c>
      <c r="N11" s="446" t="s">
        <v>165</v>
      </c>
      <c r="O11" s="446" t="s">
        <v>163</v>
      </c>
      <c r="P11" s="447">
        <v>1</v>
      </c>
      <c r="Q11" s="447">
        <v>1.0160499999999999</v>
      </c>
      <c r="R11" s="16"/>
      <c r="S11" s="602" t="str">
        <f>IF(OR(T10=$T$7,T11=$T$7),"",IF(T8=$T$7,"","ASTM Table 21"))</f>
        <v/>
      </c>
      <c r="T11" s="403" t="s">
        <v>20</v>
      </c>
      <c r="U11" s="713">
        <f>IF(AND(T11=$T$7,U7&lt;2),U7,IF(T8=$T$7,U44/1000,IF(T9=$T$7,U79/1000,U10/1000)))</f>
        <v>0.86870000000000003</v>
      </c>
      <c r="V11" s="12"/>
      <c r="W11" s="583"/>
      <c r="X11" s="398"/>
      <c r="Y11" s="261"/>
      <c r="Z11" s="962"/>
      <c r="AA11" s="953"/>
      <c r="AB11" s="400"/>
      <c r="AC11" s="398"/>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row>
    <row r="12" spans="1:150">
      <c r="B12" s="528">
        <v>4</v>
      </c>
      <c r="C12" s="529" t="s">
        <v>330</v>
      </c>
      <c r="D12" s="532" t="s">
        <v>331</v>
      </c>
      <c r="E12" s="935">
        <f>AB71</f>
        <v>0.87</v>
      </c>
      <c r="F12" s="947">
        <f>AC71</f>
        <v>110</v>
      </c>
      <c r="G12" s="946">
        <f>AQ71</f>
        <v>0.97740000000000005</v>
      </c>
      <c r="H12" s="944">
        <f>AC86</f>
        <v>125</v>
      </c>
      <c r="I12" s="946">
        <f>AQ86</f>
        <v>0.97060000000000002</v>
      </c>
      <c r="K12" s="419"/>
      <c r="L12" s="567"/>
      <c r="M12" s="409" t="str">
        <f>IF($M$7=L12,'ASTM Calculator Volume T.E.(1)'!$F$6,"")</f>
        <v/>
      </c>
      <c r="N12" s="446" t="s">
        <v>165</v>
      </c>
      <c r="O12" s="468" t="s">
        <v>102</v>
      </c>
      <c r="P12" s="447">
        <v>1</v>
      </c>
      <c r="Q12" s="455">
        <v>2240</v>
      </c>
      <c r="R12" s="16"/>
      <c r="S12" s="601" t="str">
        <f>IF(OR(B8=1,B8=3,B8=5),"ASTM Table 6A","ASTM Table 6B")</f>
        <v>ASTM Table 6A</v>
      </c>
      <c r="T12" s="603"/>
      <c r="U12" s="404">
        <f>IF(OR(B8=1,B8=3,B8=5),AK32,AK36)</f>
        <v>0.97719999999999996</v>
      </c>
      <c r="V12" s="12"/>
      <c r="X12" s="398"/>
      <c r="Y12" s="261"/>
      <c r="Z12" s="963" t="str">
        <f>IF(OR(B8=1,B8=3,B8=5),"Table 6A","Table 6B")</f>
        <v>Table 6A</v>
      </c>
      <c r="AA12" s="3642">
        <f>IF(OR(B8=1,B8=3,B8=5),AK43,AK47)</f>
        <v>0.97030000000000005</v>
      </c>
      <c r="AB12" s="3643"/>
      <c r="AC12" s="398"/>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row>
    <row r="13" spans="1:150">
      <c r="B13" s="528">
        <v>5</v>
      </c>
      <c r="C13" s="529" t="s">
        <v>197</v>
      </c>
      <c r="D13" s="532" t="s">
        <v>230</v>
      </c>
      <c r="E13" s="936">
        <f>AB100</f>
        <v>868</v>
      </c>
      <c r="F13" s="948">
        <f>AC100</f>
        <v>43.25</v>
      </c>
      <c r="G13" s="946">
        <f>AJ100</f>
        <v>0.9768</v>
      </c>
      <c r="H13" s="951">
        <f>AC111</f>
        <v>51.75</v>
      </c>
      <c r="I13" s="946">
        <f>AJ111</f>
        <v>0.9698</v>
      </c>
      <c r="K13" s="419"/>
      <c r="L13" s="567"/>
      <c r="M13" s="409"/>
      <c r="N13" s="446" t="s">
        <v>17</v>
      </c>
      <c r="O13" s="468" t="s">
        <v>189</v>
      </c>
      <c r="P13" s="447">
        <v>1</v>
      </c>
      <c r="Q13" s="447">
        <v>2.2046199999999998</v>
      </c>
      <c r="R13" s="16"/>
      <c r="S13" s="714" t="str">
        <f>IF(OR(B8=1,B8=3,B8=5),"ASTM Table 24A","ASTM Table 24B")</f>
        <v>ASTM Table 24A</v>
      </c>
      <c r="T13" s="605"/>
      <c r="U13" s="455">
        <f>IF(OR(B8=1,B8=3,B8=5),AQ67,AQ71)</f>
        <v>0.97729999999999995</v>
      </c>
      <c r="V13" s="12"/>
      <c r="X13" s="398"/>
      <c r="Y13" s="261"/>
      <c r="Z13" s="964" t="str">
        <f>IF(OR(B8=1,B8=3,B8=5),"Table 24A","Table 24B")</f>
        <v>Table 24A</v>
      </c>
      <c r="AA13" s="3638">
        <f>IF(OR(B8=1,B8=3,B8=5),AQ82,AQ86)</f>
        <v>0.97040000000000004</v>
      </c>
      <c r="AB13" s="3639"/>
      <c r="AC13" s="398"/>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row>
    <row r="14" spans="1:150">
      <c r="B14" s="528">
        <v>6</v>
      </c>
      <c r="C14" s="529" t="s">
        <v>198</v>
      </c>
      <c r="D14" s="532" t="s">
        <v>230</v>
      </c>
      <c r="E14" s="936">
        <f>AB104</f>
        <v>868</v>
      </c>
      <c r="F14" s="948">
        <f>AC104</f>
        <v>43.25</v>
      </c>
      <c r="G14" s="946">
        <f>AJ104</f>
        <v>0.97699999999999998</v>
      </c>
      <c r="H14" s="951">
        <f>AC115</f>
        <v>51.75</v>
      </c>
      <c r="I14" s="946">
        <f>AJ115</f>
        <v>0.97</v>
      </c>
      <c r="K14" s="419"/>
      <c r="L14" s="708"/>
      <c r="M14" s="410"/>
      <c r="N14" s="709"/>
      <c r="O14" s="710"/>
      <c r="P14" s="711"/>
      <c r="Q14" s="711"/>
      <c r="R14" s="16"/>
      <c r="S14" s="602" t="str">
        <f>IF(OR(B8=1,B8=3,B8=5),"ASTM Table 54A","ASTM Table 54B")</f>
        <v>ASTM Table 54A</v>
      </c>
      <c r="T14" s="604"/>
      <c r="U14" s="406">
        <f>IF(OR(B8=1,B8=3,B8=5),AJ100,AJ104)</f>
        <v>0.9768</v>
      </c>
      <c r="V14" s="12"/>
      <c r="X14" s="398"/>
      <c r="Y14" s="261"/>
      <c r="Z14" s="965" t="str">
        <f>IF(OR(B8=1,B8=3,B8=5),"Table 54A","Table 54B")</f>
        <v>Table 54A</v>
      </c>
      <c r="AA14" s="3640">
        <f>IF(OR(B8=1,B8=3,B8=5),AJ111,AJ115)</f>
        <v>0.9698</v>
      </c>
      <c r="AB14" s="3641"/>
      <c r="AC14" s="398"/>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row>
    <row r="15" spans="1:150">
      <c r="B15" s="535"/>
      <c r="C15" s="535"/>
      <c r="D15" s="583"/>
      <c r="E15" s="535"/>
      <c r="F15" s="949"/>
      <c r="G15" s="950"/>
      <c r="H15" s="952"/>
      <c r="I15" s="950"/>
      <c r="K15" s="419"/>
      <c r="L15" s="568"/>
      <c r="M15" s="568"/>
      <c r="N15" s="569"/>
      <c r="O15" s="569"/>
      <c r="P15" s="569"/>
      <c r="Q15" s="569"/>
      <c r="R15" s="16"/>
      <c r="S15" s="16"/>
      <c r="T15" s="17"/>
      <c r="U15" s="12"/>
      <c r="V15" s="12"/>
      <c r="W15" s="12"/>
      <c r="X15" s="398"/>
      <c r="Y15" s="955"/>
      <c r="Z15" s="399"/>
      <c r="AA15" s="399"/>
      <c r="AB15" s="399"/>
      <c r="AC15" s="400"/>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row>
    <row r="16" spans="1:150" ht="13.15">
      <c r="B16" s="586" t="s">
        <v>193</v>
      </c>
      <c r="C16" s="731"/>
      <c r="D16" s="407" t="s">
        <v>182</v>
      </c>
      <c r="E16" s="484"/>
      <c r="F16" s="484"/>
      <c r="G16" s="609"/>
      <c r="H16" s="609"/>
      <c r="I16" s="610"/>
      <c r="K16" s="857"/>
      <c r="L16" s="858"/>
      <c r="M16" s="451"/>
      <c r="N16" s="480"/>
      <c r="O16" s="480"/>
      <c r="P16" s="480"/>
      <c r="Q16" s="480"/>
      <c r="R16" s="480"/>
      <c r="S16" s="480"/>
      <c r="T16" s="480"/>
      <c r="U16" s="480"/>
      <c r="V16" s="326"/>
      <c r="W16" s="495"/>
      <c r="X16" s="496"/>
      <c r="Y16" s="966"/>
      <c r="Z16" s="967"/>
      <c r="AA16" s="967"/>
      <c r="AB16" s="967"/>
      <c r="AC16" s="968"/>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row>
    <row r="17" spans="2:150" ht="13.15">
      <c r="B17" s="521">
        <f>MATCH(C17,C18:C19,0)</f>
        <v>1</v>
      </c>
      <c r="C17" s="523" t="str">
        <f>'ASTM Calculator Volume T.E.(1)'!G7</f>
        <v xml:space="preserve"> °F</v>
      </c>
      <c r="D17" s="582" t="str">
        <f>IF(B8&gt;4,"Density (kg/m3)",IF(B8&gt;2,"Rel.Density","A.P.I."))</f>
        <v>A.P.I.</v>
      </c>
      <c r="G17" s="514"/>
      <c r="H17" s="514"/>
      <c r="I17" s="520"/>
      <c r="K17" s="859"/>
      <c r="L17" s="984"/>
      <c r="M17" s="585" t="str">
        <f>'ASTM Calculator Volume T.E.(1)'!G8</f>
        <v>BBLS @ Temp.</v>
      </c>
      <c r="N17" s="477" t="str">
        <f>L19</f>
        <v>BBLS @ Temp.</v>
      </c>
      <c r="O17" s="477" t="str">
        <f>L20</f>
        <v>BBLS @ 60°F</v>
      </c>
      <c r="P17" s="477" t="str">
        <f>L21</f>
        <v>M3 @ Temp.</v>
      </c>
      <c r="Q17" s="477" t="str">
        <f>L22</f>
        <v>M3 @ 15°C</v>
      </c>
      <c r="R17" s="477" t="str">
        <f>L23</f>
        <v>MT (in Vac)</v>
      </c>
      <c r="S17" s="477" t="str">
        <f>L24</f>
        <v>MT (in Air)</v>
      </c>
      <c r="T17" s="477" t="str">
        <f>L25</f>
        <v>LT</v>
      </c>
      <c r="U17" s="477">
        <f>L26</f>
        <v>0</v>
      </c>
      <c r="V17" s="275"/>
      <c r="W17" s="441"/>
      <c r="X17" s="398"/>
      <c r="Y17" s="969"/>
      <c r="Z17" s="970"/>
      <c r="AA17" s="970"/>
      <c r="AB17" s="970"/>
      <c r="AC17" s="971"/>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row>
    <row r="18" spans="2:150" ht="13.15">
      <c r="B18" s="527">
        <v>1</v>
      </c>
      <c r="C18" s="608" t="s">
        <v>334</v>
      </c>
      <c r="D18" s="605" t="str">
        <f>IF(B8&gt;4,"Density (kg/L)","")</f>
        <v/>
      </c>
      <c r="G18" s="514"/>
      <c r="H18" s="514"/>
      <c r="I18" s="520"/>
      <c r="K18" s="861"/>
      <c r="L18" s="985"/>
      <c r="M18" s="482">
        <f>'ASTM Calculator Volume T.E.(1)'!F8</f>
        <v>100000</v>
      </c>
      <c r="N18" s="478">
        <f>IF(N17=$M17,$M18,"")</f>
        <v>100000</v>
      </c>
      <c r="O18" s="479" t="str">
        <f t="shared" ref="O18:U18" si="0">IF(O17=$M$17,$M$18,"")</f>
        <v/>
      </c>
      <c r="P18" s="479" t="str">
        <f t="shared" si="0"/>
        <v/>
      </c>
      <c r="Q18" s="479" t="str">
        <f t="shared" si="0"/>
        <v/>
      </c>
      <c r="R18" s="479" t="str">
        <f t="shared" si="0"/>
        <v/>
      </c>
      <c r="S18" s="478" t="str">
        <f t="shared" si="0"/>
        <v/>
      </c>
      <c r="T18" s="478" t="str">
        <f t="shared" si="0"/>
        <v/>
      </c>
      <c r="U18" s="478" t="str">
        <f t="shared" si="0"/>
        <v/>
      </c>
      <c r="V18" s="276"/>
      <c r="W18" s="428"/>
      <c r="X18" s="400"/>
      <c r="Y18" s="972"/>
      <c r="Z18" s="973"/>
      <c r="AA18" s="973"/>
      <c r="AB18" s="973"/>
      <c r="AC18" s="974"/>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row>
    <row r="19" spans="2:150">
      <c r="B19" s="531">
        <v>2</v>
      </c>
      <c r="C19" s="533" t="s">
        <v>333</v>
      </c>
      <c r="D19" s="583"/>
      <c r="G19" s="514"/>
      <c r="H19" s="514"/>
      <c r="I19" s="520"/>
      <c r="K19" s="455">
        <v>1</v>
      </c>
      <c r="L19" s="490" t="s">
        <v>199</v>
      </c>
      <c r="M19" s="457">
        <f t="shared" ref="M19:U26" si="1">IF($M$7=$L$8,M33,IF($M$7=$L$9,M68,M101))</f>
        <v>100000</v>
      </c>
      <c r="N19" s="457">
        <f>IF($M$7=$L$8,N33,IF($M$7=$L$9,N68,N101))</f>
        <v>100000</v>
      </c>
      <c r="O19" s="457" t="str">
        <f>IF($M$7=$L$8,O33,IF($M$7=$L$9,O68,O101))</f>
        <v/>
      </c>
      <c r="P19" s="457" t="str">
        <f>IF($M$7=$L$8,P33,IF($M$7=$L$9,P68,P101))</f>
        <v/>
      </c>
      <c r="Q19" s="457" t="str">
        <f t="shared" si="1"/>
        <v/>
      </c>
      <c r="R19" s="457" t="str">
        <f t="shared" si="1"/>
        <v/>
      </c>
      <c r="S19" s="457" t="str">
        <f t="shared" si="1"/>
        <v/>
      </c>
      <c r="T19" s="457" t="str">
        <f t="shared" si="1"/>
        <v/>
      </c>
      <c r="U19" s="457">
        <f t="shared" si="1"/>
        <v>0</v>
      </c>
      <c r="V19" s="275"/>
      <c r="W19" s="12"/>
      <c r="X19" s="398"/>
      <c r="Y19" s="954"/>
      <c r="Z19" s="25"/>
      <c r="AA19" s="3627"/>
      <c r="AB19" s="3627"/>
      <c r="AC19" s="496"/>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row>
    <row r="20" spans="2:150">
      <c r="B20" s="534"/>
      <c r="C20" s="514"/>
      <c r="D20" s="484"/>
      <c r="G20" s="514"/>
      <c r="H20" s="514"/>
      <c r="I20" s="520"/>
      <c r="K20" s="455">
        <v>2</v>
      </c>
      <c r="L20" s="491" t="s">
        <v>200</v>
      </c>
      <c r="M20" s="599">
        <f t="shared" si="1"/>
        <v>97720</v>
      </c>
      <c r="N20" s="599">
        <f t="shared" si="1"/>
        <v>97720</v>
      </c>
      <c r="O20" s="599" t="str">
        <f>IF($M$7=$L$8,O34,IF($M$7=$L$9,O69,O102))</f>
        <v/>
      </c>
      <c r="P20" s="599" t="str">
        <f t="shared" si="1"/>
        <v/>
      </c>
      <c r="Q20" s="599" t="str">
        <f t="shared" si="1"/>
        <v/>
      </c>
      <c r="R20" s="599" t="str">
        <f t="shared" si="1"/>
        <v/>
      </c>
      <c r="S20" s="599" t="str">
        <f t="shared" si="1"/>
        <v/>
      </c>
      <c r="T20" s="599" t="str">
        <f t="shared" si="1"/>
        <v/>
      </c>
      <c r="U20" s="456">
        <f t="shared" si="1"/>
        <v>0</v>
      </c>
      <c r="V20" s="275"/>
      <c r="W20" s="12"/>
      <c r="X20" s="398"/>
      <c r="Y20" s="261"/>
      <c r="Z20" s="12"/>
      <c r="AA20" s="3628"/>
      <c r="AB20" s="3628"/>
      <c r="AC20" s="398"/>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c r="DZ20" s="12"/>
      <c r="EA20" s="12"/>
      <c r="EB20" s="12"/>
      <c r="EC20" s="12"/>
      <c r="ED20" s="12"/>
      <c r="EE20" s="12"/>
      <c r="EF20" s="12"/>
      <c r="EG20" s="12"/>
      <c r="EH20" s="12"/>
      <c r="EI20" s="12"/>
      <c r="EJ20" s="12"/>
      <c r="EK20" s="12"/>
      <c r="EL20" s="12"/>
      <c r="EM20" s="12"/>
      <c r="EN20" s="12"/>
      <c r="EO20" s="12"/>
      <c r="EP20" s="12"/>
      <c r="EQ20" s="12"/>
      <c r="ER20" s="12"/>
      <c r="ES20" s="12"/>
      <c r="ET20" s="12"/>
    </row>
    <row r="21" spans="2:150" ht="13.15">
      <c r="B21" s="975" t="str">
        <f>IF(B8&lt;5,"BBLS @ Temp.","M3 @ Temp.")</f>
        <v>BBLS @ Temp.</v>
      </c>
      <c r="C21" s="487"/>
      <c r="E21" s="676"/>
      <c r="F21" s="676"/>
      <c r="I21" s="274"/>
      <c r="K21" s="455">
        <v>3</v>
      </c>
      <c r="L21" s="491" t="s">
        <v>201</v>
      </c>
      <c r="M21" s="456">
        <f t="shared" si="1"/>
        <v>15898.731</v>
      </c>
      <c r="N21" s="456">
        <f t="shared" si="1"/>
        <v>15898.731</v>
      </c>
      <c r="O21" s="456" t="str">
        <f t="shared" si="1"/>
        <v/>
      </c>
      <c r="P21" s="456" t="str">
        <f t="shared" si="1"/>
        <v/>
      </c>
      <c r="Q21" s="456" t="str">
        <f t="shared" si="1"/>
        <v/>
      </c>
      <c r="R21" s="456" t="str">
        <f t="shared" si="1"/>
        <v/>
      </c>
      <c r="S21" s="456" t="str">
        <f t="shared" si="1"/>
        <v/>
      </c>
      <c r="T21" s="456" t="str">
        <f t="shared" si="1"/>
        <v/>
      </c>
      <c r="U21" s="456">
        <f t="shared" si="1"/>
        <v>0</v>
      </c>
      <c r="V21" s="275"/>
      <c r="W21" s="12"/>
      <c r="X21" s="398"/>
      <c r="Y21" s="261"/>
      <c r="Z21" s="12"/>
      <c r="AA21" s="3629"/>
      <c r="AB21" s="3629"/>
      <c r="AC21" s="398"/>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row>
    <row r="22" spans="2:150" ht="13.15">
      <c r="B22" s="976" t="str">
        <f>IF(B8&lt;5,"BBLS @ 60°F","M3 @ 15°C")</f>
        <v>BBLS @ 60°F</v>
      </c>
      <c r="C22" s="383"/>
      <c r="E22" s="676"/>
      <c r="F22" s="676"/>
      <c r="I22" s="274"/>
      <c r="K22" s="455">
        <v>4</v>
      </c>
      <c r="L22" s="491" t="s">
        <v>202</v>
      </c>
      <c r="M22" s="456">
        <f t="shared" si="1"/>
        <v>15529.662</v>
      </c>
      <c r="N22" s="456">
        <f t="shared" si="1"/>
        <v>15529.662</v>
      </c>
      <c r="O22" s="456" t="str">
        <f t="shared" si="1"/>
        <v/>
      </c>
      <c r="P22" s="456" t="str">
        <f t="shared" si="1"/>
        <v/>
      </c>
      <c r="Q22" s="456" t="str">
        <f t="shared" si="1"/>
        <v/>
      </c>
      <c r="R22" s="456" t="str">
        <f t="shared" si="1"/>
        <v/>
      </c>
      <c r="S22" s="456" t="str">
        <f t="shared" si="1"/>
        <v/>
      </c>
      <c r="T22" s="456" t="str">
        <f t="shared" si="1"/>
        <v/>
      </c>
      <c r="U22" s="456">
        <f t="shared" si="1"/>
        <v>0</v>
      </c>
      <c r="V22" s="275"/>
      <c r="W22" s="12"/>
      <c r="X22" s="398"/>
      <c r="Y22" s="261"/>
      <c r="Z22" s="12"/>
      <c r="AA22" s="3629"/>
      <c r="AB22" s="3629"/>
      <c r="AC22" s="398"/>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row>
    <row r="23" spans="2:150" ht="13.15">
      <c r="B23" s="275"/>
      <c r="E23" s="676"/>
      <c r="F23" s="676"/>
      <c r="I23" s="274"/>
      <c r="K23" s="455">
        <v>5</v>
      </c>
      <c r="L23" s="491" t="s">
        <v>233</v>
      </c>
      <c r="M23" s="456">
        <f t="shared" si="1"/>
        <v>13490.476000000001</v>
      </c>
      <c r="N23" s="456">
        <f t="shared" si="1"/>
        <v>13490.476000000001</v>
      </c>
      <c r="O23" s="456" t="str">
        <f t="shared" si="1"/>
        <v/>
      </c>
      <c r="P23" s="456" t="str">
        <f t="shared" si="1"/>
        <v/>
      </c>
      <c r="Q23" s="456" t="str">
        <f t="shared" si="1"/>
        <v/>
      </c>
      <c r="R23" s="456" t="str">
        <f t="shared" si="1"/>
        <v/>
      </c>
      <c r="S23" s="456" t="str">
        <f t="shared" si="1"/>
        <v/>
      </c>
      <c r="T23" s="456" t="str">
        <f t="shared" si="1"/>
        <v/>
      </c>
      <c r="U23" s="456">
        <f t="shared" si="1"/>
        <v>0</v>
      </c>
      <c r="V23" s="275"/>
      <c r="W23" s="12"/>
      <c r="X23" s="398"/>
      <c r="Y23" s="261"/>
      <c r="Z23" s="12"/>
      <c r="AA23" s="12"/>
      <c r="AB23" s="12"/>
      <c r="AC23" s="398"/>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row>
    <row r="24" spans="2:150" ht="13.15">
      <c r="B24" s="275"/>
      <c r="E24" s="676"/>
      <c r="F24" s="676"/>
      <c r="I24" s="274"/>
      <c r="K24" s="455">
        <v>6</v>
      </c>
      <c r="L24" s="491" t="s">
        <v>232</v>
      </c>
      <c r="M24" s="600">
        <f t="shared" si="1"/>
        <v>13473.634</v>
      </c>
      <c r="N24" s="600">
        <f t="shared" si="1"/>
        <v>13473.634</v>
      </c>
      <c r="O24" s="600" t="str">
        <f t="shared" si="1"/>
        <v/>
      </c>
      <c r="P24" s="600" t="str">
        <f t="shared" si="1"/>
        <v/>
      </c>
      <c r="Q24" s="600" t="str">
        <f t="shared" si="1"/>
        <v/>
      </c>
      <c r="R24" s="600" t="str">
        <f t="shared" si="1"/>
        <v/>
      </c>
      <c r="S24" s="600" t="str">
        <f t="shared" si="1"/>
        <v/>
      </c>
      <c r="T24" s="600" t="str">
        <f t="shared" si="1"/>
        <v/>
      </c>
      <c r="U24" s="457">
        <f t="shared" si="1"/>
        <v>0</v>
      </c>
      <c r="V24" s="275"/>
      <c r="W24" s="12"/>
      <c r="X24" s="398"/>
      <c r="Y24" s="261"/>
      <c r="Z24" s="12"/>
      <c r="AA24" s="12"/>
      <c r="AB24" s="12"/>
      <c r="AC24" s="398"/>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row>
    <row r="25" spans="2:150">
      <c r="B25" s="275"/>
      <c r="I25" s="274"/>
      <c r="K25" s="455">
        <v>7</v>
      </c>
      <c r="L25" s="491" t="s">
        <v>234</v>
      </c>
      <c r="M25" s="600">
        <f t="shared" si="1"/>
        <v>13260.603999999999</v>
      </c>
      <c r="N25" s="600">
        <f t="shared" si="1"/>
        <v>13260.603999999999</v>
      </c>
      <c r="O25" s="600" t="str">
        <f t="shared" si="1"/>
        <v/>
      </c>
      <c r="P25" s="600" t="str">
        <f t="shared" si="1"/>
        <v/>
      </c>
      <c r="Q25" s="600" t="str">
        <f t="shared" si="1"/>
        <v/>
      </c>
      <c r="R25" s="600" t="str">
        <f t="shared" si="1"/>
        <v/>
      </c>
      <c r="S25" s="600" t="str">
        <f t="shared" si="1"/>
        <v/>
      </c>
      <c r="T25" s="600" t="str">
        <f t="shared" si="1"/>
        <v/>
      </c>
      <c r="U25" s="457">
        <f>IF($M$7=$L$8,U39,IF($M$7=$L$9,U74,U107))</f>
        <v>0</v>
      </c>
      <c r="V25" s="275"/>
      <c r="W25" s="12"/>
      <c r="X25" s="398"/>
      <c r="Y25" s="261"/>
      <c r="Z25" s="12"/>
      <c r="AA25" s="12"/>
      <c r="AB25" s="12"/>
      <c r="AC25" s="398"/>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row>
    <row r="26" spans="2:150">
      <c r="B26" s="536"/>
      <c r="C26" s="538"/>
      <c r="D26" s="538"/>
      <c r="E26" s="538"/>
      <c r="F26" s="538"/>
      <c r="G26" s="538"/>
      <c r="H26" s="538"/>
      <c r="I26" s="537"/>
      <c r="K26" s="422">
        <v>8</v>
      </c>
      <c r="L26" s="492"/>
      <c r="M26" s="512">
        <f>IF($M$7=$L$8,M40,IF($M$7=$L$9,M75,M108))</f>
        <v>0</v>
      </c>
      <c r="N26" s="512">
        <f t="shared" si="1"/>
        <v>0</v>
      </c>
      <c r="O26" s="512">
        <f t="shared" si="1"/>
        <v>0</v>
      </c>
      <c r="P26" s="512">
        <f t="shared" si="1"/>
        <v>0</v>
      </c>
      <c r="Q26" s="512">
        <f t="shared" si="1"/>
        <v>0</v>
      </c>
      <c r="R26" s="512">
        <f t="shared" si="1"/>
        <v>0</v>
      </c>
      <c r="S26" s="512">
        <f t="shared" si="1"/>
        <v>0</v>
      </c>
      <c r="T26" s="512">
        <f t="shared" si="1"/>
        <v>0</v>
      </c>
      <c r="U26" s="512">
        <f t="shared" si="1"/>
        <v>0</v>
      </c>
      <c r="V26" s="276"/>
      <c r="W26" s="399"/>
      <c r="X26" s="400"/>
      <c r="Y26" s="955"/>
      <c r="Z26" s="399"/>
      <c r="AA26" s="399"/>
      <c r="AB26" s="399"/>
      <c r="AC26" s="400"/>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EI26" s="171"/>
      <c r="EJ26" s="171"/>
      <c r="EK26" s="171"/>
      <c r="EL26" s="12"/>
      <c r="EM26" s="12"/>
      <c r="EN26" s="12"/>
      <c r="EO26" s="12"/>
      <c r="EP26" s="12"/>
      <c r="EQ26" s="12"/>
      <c r="ER26" s="12"/>
      <c r="ES26" s="12"/>
      <c r="ET26" s="12"/>
    </row>
    <row r="27" spans="2:150">
      <c r="K27" s="484"/>
      <c r="L27" s="459"/>
      <c r="M27" s="459"/>
      <c r="N27" s="459"/>
      <c r="O27" s="459"/>
      <c r="P27" s="459"/>
      <c r="Q27" s="459"/>
      <c r="R27" s="459"/>
      <c r="S27" s="459"/>
      <c r="T27" s="485"/>
      <c r="U27" s="25"/>
      <c r="V27" s="25"/>
      <c r="W27" s="25"/>
      <c r="X27" s="25"/>
      <c r="Y27" s="18"/>
      <c r="Z27" s="18"/>
      <c r="AA27" s="18"/>
      <c r="AB27" s="18"/>
      <c r="AC27" s="18"/>
      <c r="AD27" s="18"/>
      <c r="AE27" s="18"/>
      <c r="AF27" s="18"/>
      <c r="AG27" s="18"/>
      <c r="AH27" s="18"/>
      <c r="AI27" s="18"/>
      <c r="AJ27" s="18"/>
      <c r="AK27" s="18"/>
      <c r="AL27" s="18"/>
      <c r="AM27" s="18"/>
      <c r="AN27" s="18"/>
      <c r="AO27" s="18"/>
      <c r="AP27" s="18"/>
      <c r="AQ27" s="18"/>
      <c r="AR27" s="18"/>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EI27" s="171"/>
      <c r="EJ27" s="171"/>
      <c r="EK27" s="171"/>
      <c r="EL27" s="12"/>
      <c r="EM27" s="12"/>
      <c r="EN27" s="12"/>
      <c r="EO27" s="12"/>
      <c r="EP27" s="12"/>
      <c r="EQ27" s="12"/>
      <c r="ER27" s="12"/>
      <c r="ES27" s="12"/>
      <c r="ET27" s="12"/>
    </row>
    <row r="28" spans="2:150" ht="13.25" customHeight="1">
      <c r="L28" s="16"/>
      <c r="M28" s="16"/>
      <c r="N28" s="16"/>
      <c r="O28" s="16"/>
      <c r="P28" s="16"/>
      <c r="Q28" s="16"/>
      <c r="R28" s="16"/>
      <c r="S28" s="16"/>
      <c r="T28" s="17"/>
      <c r="U28" s="12"/>
      <c r="V28" s="12"/>
      <c r="W28" s="12"/>
      <c r="X28" s="12"/>
      <c r="Y28" s="18"/>
      <c r="Z28" s="18"/>
      <c r="AA28" s="18"/>
      <c r="AB28" s="18"/>
      <c r="AC28" s="18"/>
      <c r="AD28" s="18"/>
      <c r="AE28" s="18"/>
      <c r="AF28" s="18"/>
      <c r="AG28" s="18"/>
      <c r="AH28" s="18"/>
      <c r="AI28" s="18"/>
      <c r="AJ28" s="18"/>
      <c r="AK28" s="18"/>
      <c r="AL28" s="18"/>
      <c r="AM28" s="18"/>
      <c r="AN28" s="18"/>
      <c r="AO28" s="18"/>
      <c r="AP28" s="18"/>
      <c r="AQ28" s="18"/>
      <c r="AR28" s="18"/>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EI28" s="12"/>
      <c r="EJ28" s="12"/>
      <c r="EK28" s="12"/>
      <c r="EL28" s="171"/>
      <c r="EM28" s="171"/>
      <c r="EN28" s="171"/>
      <c r="EO28" s="171"/>
      <c r="EP28" s="171"/>
      <c r="EQ28" s="171"/>
      <c r="ER28" s="171"/>
      <c r="ES28" s="171"/>
      <c r="ET28" s="171"/>
    </row>
    <row r="29" spans="2:150" ht="15.75" customHeight="1">
      <c r="B29" s="907"/>
      <c r="C29" s="907"/>
      <c r="D29" s="907"/>
      <c r="E29" s="907"/>
      <c r="F29" s="907"/>
      <c r="G29" s="908"/>
      <c r="H29" s="908"/>
      <c r="I29" s="908"/>
      <c r="K29" s="3601" t="s">
        <v>493</v>
      </c>
      <c r="L29" s="3602"/>
      <c r="M29" s="3602"/>
      <c r="N29" s="3602"/>
      <c r="O29" s="3602"/>
      <c r="P29" s="3602"/>
      <c r="Q29" s="3602"/>
      <c r="R29" s="3602"/>
      <c r="S29" s="3602"/>
      <c r="T29" s="3602"/>
      <c r="U29" s="3602"/>
      <c r="V29" s="3602"/>
      <c r="W29" s="3602"/>
      <c r="X29" s="3603"/>
      <c r="Y29" s="171"/>
      <c r="Z29" s="262" t="s">
        <v>496</v>
      </c>
      <c r="AA29" s="29"/>
      <c r="AB29" s="29"/>
      <c r="AC29" s="29"/>
      <c r="AD29" s="29"/>
      <c r="AE29" s="29"/>
      <c r="AF29" s="29"/>
      <c r="AG29" s="29"/>
      <c r="AH29" s="29"/>
      <c r="AI29" s="29"/>
      <c r="AJ29" s="29"/>
      <c r="AK29" s="214"/>
      <c r="AL29" s="171"/>
      <c r="AM29" s="171"/>
      <c r="AN29" s="171"/>
      <c r="AO29" s="171"/>
      <c r="AP29" s="171"/>
      <c r="AQ29" s="171"/>
      <c r="AR29" s="171"/>
      <c r="AS29" s="163" t="s">
        <v>99</v>
      </c>
      <c r="AT29" s="28"/>
      <c r="AU29" s="28"/>
      <c r="AV29" s="29"/>
      <c r="AW29" s="28"/>
      <c r="AX29" s="28"/>
      <c r="AY29" s="28"/>
      <c r="AZ29" s="29"/>
      <c r="BA29" s="29"/>
      <c r="BB29" s="29"/>
      <c r="BC29" s="29"/>
      <c r="BD29" s="165"/>
      <c r="BE29" s="166" t="s">
        <v>99</v>
      </c>
      <c r="BF29" s="29"/>
      <c r="BG29" s="29"/>
      <c r="BH29" s="29"/>
      <c r="BI29" s="29"/>
      <c r="BJ29" s="29"/>
      <c r="BK29" s="29"/>
      <c r="BL29" s="29"/>
      <c r="BM29" s="164"/>
      <c r="BN29" s="164"/>
      <c r="BO29" s="28"/>
      <c r="BP29" s="272"/>
      <c r="BQ29" s="164" t="s">
        <v>99</v>
      </c>
      <c r="BR29" s="28"/>
      <c r="BS29" s="28"/>
      <c r="BT29" s="28"/>
      <c r="BU29" s="28"/>
      <c r="BV29" s="28"/>
      <c r="BW29" s="28"/>
      <c r="BX29" s="29"/>
      <c r="BY29" s="29"/>
      <c r="BZ29" s="29"/>
      <c r="CA29" s="214"/>
      <c r="CB29" s="12"/>
      <c r="EI29" s="171"/>
      <c r="EJ29" s="171"/>
      <c r="EK29" s="171"/>
      <c r="EL29" s="12"/>
      <c r="EM29" s="12"/>
      <c r="EN29" s="12"/>
      <c r="EO29" s="12"/>
      <c r="EP29" s="12"/>
      <c r="EQ29" s="12"/>
      <c r="ER29" s="12"/>
      <c r="ES29" s="12"/>
      <c r="ET29" s="12"/>
    </row>
    <row r="30" spans="2:150" ht="13.25" customHeight="1">
      <c r="B30" s="889"/>
      <c r="C30" s="675"/>
      <c r="D30" s="675"/>
      <c r="E30" s="889"/>
      <c r="F30" s="889"/>
      <c r="G30" s="889"/>
      <c r="H30" s="889"/>
      <c r="I30" s="889"/>
      <c r="K30" s="419"/>
      <c r="L30" s="284"/>
      <c r="M30" s="451"/>
      <c r="N30" s="480"/>
      <c r="O30" s="480"/>
      <c r="P30" s="480"/>
      <c r="Q30" s="480"/>
      <c r="R30" s="480"/>
      <c r="S30" s="480"/>
      <c r="T30" s="480"/>
      <c r="U30" s="480"/>
      <c r="W30" s="441"/>
      <c r="X30" s="398"/>
      <c r="Y30" s="12"/>
      <c r="Z30" s="571"/>
      <c r="AA30" s="572"/>
      <c r="AB30" s="262" t="s">
        <v>203</v>
      </c>
      <c r="AC30" s="29"/>
      <c r="AD30" s="593"/>
      <c r="AE30" s="25"/>
      <c r="AF30" s="328"/>
      <c r="AG30" s="591"/>
      <c r="AH30" s="591"/>
      <c r="AI30" s="591"/>
      <c r="AJ30" s="592"/>
      <c r="AK30" s="573" t="s">
        <v>204</v>
      </c>
      <c r="AL30" s="12"/>
      <c r="AM30" s="12"/>
      <c r="AN30" s="12"/>
      <c r="AO30" s="12"/>
      <c r="AP30" s="12"/>
      <c r="AQ30" s="12"/>
      <c r="AR30" s="12"/>
      <c r="AS30" s="253" t="s">
        <v>11</v>
      </c>
      <c r="AT30" s="254"/>
      <c r="AU30" s="255"/>
      <c r="AV30" s="249"/>
      <c r="AW30" s="253" t="s">
        <v>4</v>
      </c>
      <c r="AX30" s="254"/>
      <c r="AY30" s="255"/>
      <c r="AZ30" s="258"/>
      <c r="BA30" s="253" t="str">
        <f>'ASTM Vol. XI-XII'!L5</f>
        <v>ASTM Table 8</v>
      </c>
      <c r="BB30" s="254"/>
      <c r="BC30" s="255"/>
      <c r="BD30" s="251"/>
      <c r="BE30" s="253" t="str">
        <f>'ASTM Vol. XI-XII'!P5</f>
        <v>ASTM Table 9</v>
      </c>
      <c r="BF30" s="254"/>
      <c r="BG30" s="255"/>
      <c r="BH30" s="251"/>
      <c r="BI30" s="253" t="str">
        <f>'ASTM Vol. XI-XII'!T5</f>
        <v>ASTM Table 10</v>
      </c>
      <c r="BJ30" s="254"/>
      <c r="BK30" s="255"/>
      <c r="BL30" s="251"/>
      <c r="BM30" s="253" t="s">
        <v>5</v>
      </c>
      <c r="BN30" s="254"/>
      <c r="BO30" s="255"/>
      <c r="BP30" s="249"/>
      <c r="BQ30" s="253" t="str">
        <f>'ASTM Vol. XI-XII'!AB5</f>
        <v>ASTM Table 12</v>
      </c>
      <c r="BR30" s="254"/>
      <c r="BS30" s="255"/>
      <c r="BT30" s="251"/>
      <c r="BU30" s="253" t="s">
        <v>6</v>
      </c>
      <c r="BV30" s="254"/>
      <c r="BW30" s="255"/>
      <c r="BX30" s="249"/>
      <c r="BY30" s="253" t="str">
        <f>'ASTM Vol. XI-XII'!AM5</f>
        <v>ASTM Table 14</v>
      </c>
      <c r="BZ30" s="254"/>
      <c r="CA30" s="255"/>
      <c r="CB30" s="186"/>
      <c r="EI30" s="12"/>
      <c r="EJ30" s="12"/>
      <c r="EK30" s="12"/>
      <c r="EL30" s="171"/>
      <c r="EM30" s="171"/>
      <c r="EN30" s="171"/>
      <c r="EO30" s="171"/>
      <c r="EP30" s="171"/>
      <c r="EQ30" s="171"/>
      <c r="ER30" s="171"/>
      <c r="ES30" s="171"/>
      <c r="ET30" s="171"/>
    </row>
    <row r="31" spans="2:150" ht="13.25" customHeight="1">
      <c r="B31" s="889"/>
      <c r="C31" s="675"/>
      <c r="D31" s="675"/>
      <c r="E31" s="675"/>
      <c r="F31" s="675"/>
      <c r="G31" s="890"/>
      <c r="H31" s="890"/>
      <c r="I31" s="890"/>
      <c r="K31" s="275"/>
      <c r="L31" s="681" t="s">
        <v>252</v>
      </c>
      <c r="M31" s="585" t="str">
        <f>$M$17</f>
        <v>BBLS @ Temp.</v>
      </c>
      <c r="N31" s="508" t="str">
        <f>L33</f>
        <v>BBLS @ Temp.</v>
      </c>
      <c r="O31" s="477" t="str">
        <f>L34</f>
        <v>BBLS @ 60°F</v>
      </c>
      <c r="P31" s="477" t="str">
        <f>L35</f>
        <v>M3 @ Temp.</v>
      </c>
      <c r="Q31" s="477" t="str">
        <f>L36</f>
        <v>M3 @ 15°C</v>
      </c>
      <c r="R31" s="477" t="str">
        <f>L37</f>
        <v>MT (in Vac)</v>
      </c>
      <c r="S31" s="477" t="str">
        <f>L38</f>
        <v>MT (in Air)</v>
      </c>
      <c r="T31" s="477" t="str">
        <f>L39</f>
        <v>LT</v>
      </c>
      <c r="U31" s="477">
        <f>L40</f>
        <v>0</v>
      </c>
      <c r="W31" s="426"/>
      <c r="X31" s="398"/>
      <c r="Y31" s="171"/>
      <c r="Z31" s="543" t="s">
        <v>18</v>
      </c>
      <c r="AA31" s="543" t="s">
        <v>205</v>
      </c>
      <c r="AB31" s="262" t="s">
        <v>18</v>
      </c>
      <c r="AC31" s="262" t="s">
        <v>205</v>
      </c>
      <c r="AD31" s="543" t="s">
        <v>206</v>
      </c>
      <c r="AE31" s="543" t="s">
        <v>207</v>
      </c>
      <c r="AF31" s="328"/>
      <c r="AG31" s="591"/>
      <c r="AH31" s="591"/>
      <c r="AI31" s="591"/>
      <c r="AJ31" s="592"/>
      <c r="AK31" s="574" t="s">
        <v>208</v>
      </c>
      <c r="AL31" s="171"/>
      <c r="AM31" s="171"/>
      <c r="AN31" s="171"/>
      <c r="AO31" s="171"/>
      <c r="AP31" s="171"/>
      <c r="AQ31" s="171"/>
      <c r="AR31" s="171"/>
      <c r="AS31" s="229" t="s">
        <v>18</v>
      </c>
      <c r="AT31" s="230" t="s">
        <v>19</v>
      </c>
      <c r="AU31" s="231" t="s">
        <v>20</v>
      </c>
      <c r="AV31" s="250"/>
      <c r="AW31" s="229" t="s">
        <v>18</v>
      </c>
      <c r="AX31" s="230" t="s">
        <v>21</v>
      </c>
      <c r="AY31" s="231" t="s">
        <v>13</v>
      </c>
      <c r="AZ31" s="259"/>
      <c r="BA31" s="229" t="s">
        <v>18</v>
      </c>
      <c r="BB31" s="230" t="s">
        <v>102</v>
      </c>
      <c r="BC31" s="231" t="s">
        <v>24</v>
      </c>
      <c r="BD31" s="252"/>
      <c r="BE31" s="229" t="s">
        <v>18</v>
      </c>
      <c r="BF31" s="230" t="s">
        <v>23</v>
      </c>
      <c r="BG31" s="231" t="s">
        <v>23</v>
      </c>
      <c r="BH31" s="252"/>
      <c r="BI31" s="229" t="s">
        <v>18</v>
      </c>
      <c r="BJ31" s="230" t="s">
        <v>24</v>
      </c>
      <c r="BK31" s="231" t="s">
        <v>16</v>
      </c>
      <c r="BL31" s="252"/>
      <c r="BM31" s="229" t="s">
        <v>18</v>
      </c>
      <c r="BN31" s="230" t="s">
        <v>14</v>
      </c>
      <c r="BO31" s="231" t="s">
        <v>14</v>
      </c>
      <c r="BP31" s="250"/>
      <c r="BQ31" s="229" t="s">
        <v>18</v>
      </c>
      <c r="BR31" s="230" t="s">
        <v>24</v>
      </c>
      <c r="BS31" s="231" t="s">
        <v>16</v>
      </c>
      <c r="BT31" s="252"/>
      <c r="BU31" s="229" t="s">
        <v>18</v>
      </c>
      <c r="BV31" s="230" t="s">
        <v>15</v>
      </c>
      <c r="BW31" s="231" t="s">
        <v>15</v>
      </c>
      <c r="BX31" s="250"/>
      <c r="BY31" s="229" t="s">
        <v>18</v>
      </c>
      <c r="BZ31" s="230" t="s">
        <v>13</v>
      </c>
      <c r="CA31" s="231" t="s">
        <v>13</v>
      </c>
      <c r="CB31" s="252"/>
      <c r="EI31" s="12"/>
      <c r="EJ31" s="24"/>
      <c r="EK31" s="12"/>
      <c r="EL31" s="12"/>
      <c r="EM31" s="12"/>
      <c r="EN31" s="12"/>
      <c r="EO31" s="12"/>
      <c r="EP31" s="12"/>
      <c r="EQ31" s="12"/>
      <c r="ER31" s="12"/>
      <c r="ES31" s="12"/>
      <c r="ET31" s="12"/>
    </row>
    <row r="32" spans="2:150" ht="13.25" customHeight="1">
      <c r="B32" s="889"/>
      <c r="C32" s="675"/>
      <c r="D32" s="675"/>
      <c r="E32" s="675"/>
      <c r="F32" s="675"/>
      <c r="G32" s="890"/>
      <c r="H32" s="890"/>
      <c r="I32" s="890"/>
      <c r="K32" s="276"/>
      <c r="L32" s="383"/>
      <c r="M32" s="482">
        <f>$M$18</f>
        <v>100000</v>
      </c>
      <c r="N32" s="478">
        <f>IF(N31=$M31,$M32,"")</f>
        <v>100000</v>
      </c>
      <c r="O32" s="479" t="str">
        <f>IF(O31=$M31,$M32,"")</f>
        <v/>
      </c>
      <c r="P32" s="479" t="str">
        <f t="shared" ref="P32:U32" si="2">IF(P31=$M31,$M32,"")</f>
        <v/>
      </c>
      <c r="Q32" s="479" t="str">
        <f t="shared" si="2"/>
        <v/>
      </c>
      <c r="R32" s="479" t="str">
        <f t="shared" si="2"/>
        <v/>
      </c>
      <c r="S32" s="478" t="str">
        <f t="shared" si="2"/>
        <v/>
      </c>
      <c r="T32" s="478" t="str">
        <f t="shared" si="2"/>
        <v/>
      </c>
      <c r="U32" s="478" t="str">
        <f t="shared" si="2"/>
        <v/>
      </c>
      <c r="V32" s="276"/>
      <c r="W32" s="428"/>
      <c r="X32" s="400"/>
      <c r="Y32" s="12"/>
      <c r="Z32" s="545">
        <f>U8</f>
        <v>31.3</v>
      </c>
      <c r="AA32" s="546">
        <f>W8</f>
        <v>110</v>
      </c>
      <c r="AB32" s="547">
        <f>FLOOR(Z32,1)+IF(MOD(Z32,1)&lt;0.26,0,IF(MOD(Z32,1)&lt;0.76,0.5,1))</f>
        <v>31.5</v>
      </c>
      <c r="AC32" s="547">
        <f>FLOOR(AA32,1)+IF(MOD(AA32,1)&lt;0.26,0,IF(MOD(AA32,1)&lt;0.76,0.5,1))</f>
        <v>110</v>
      </c>
      <c r="AD32" s="548">
        <f>341.0957/(141.5*999.012/(AB32+131.5))^2</f>
        <v>4.5352075161462152E-4</v>
      </c>
      <c r="AE32" s="548">
        <f>1+0.8*AD32*(AC32-60)</f>
        <v>1.0181408300645849</v>
      </c>
      <c r="AF32" s="328"/>
      <c r="AG32" s="591"/>
      <c r="AH32" s="591"/>
      <c r="AI32" s="591"/>
      <c r="AJ32" s="592"/>
      <c r="AK32" s="590">
        <f>ROUND(EXP(AD32*(AC32-60)*AE32*-1),4)</f>
        <v>0.97719999999999996</v>
      </c>
      <c r="AL32" s="12"/>
      <c r="AM32" s="12"/>
      <c r="AN32" s="12"/>
      <c r="AO32" s="12"/>
      <c r="AP32" s="12"/>
      <c r="AQ32" s="12"/>
      <c r="AR32" s="12"/>
      <c r="AS32" s="180" t="s">
        <v>26</v>
      </c>
      <c r="AT32" s="181" t="s">
        <v>20</v>
      </c>
      <c r="AU32" s="182"/>
      <c r="AV32" s="185"/>
      <c r="AW32" s="180" t="s">
        <v>26</v>
      </c>
      <c r="AX32" s="181" t="s">
        <v>25</v>
      </c>
      <c r="AY32" s="182" t="s">
        <v>25</v>
      </c>
      <c r="AZ32" s="260"/>
      <c r="BA32" s="180" t="s">
        <v>26</v>
      </c>
      <c r="BB32" s="181" t="s">
        <v>25</v>
      </c>
      <c r="BC32" s="182" t="s">
        <v>25</v>
      </c>
      <c r="BD32" s="186"/>
      <c r="BE32" s="180" t="s">
        <v>26</v>
      </c>
      <c r="BF32" s="181" t="s">
        <v>98</v>
      </c>
      <c r="BG32" s="182" t="s">
        <v>25</v>
      </c>
      <c r="BH32" s="186"/>
      <c r="BI32" s="180" t="s">
        <v>26</v>
      </c>
      <c r="BJ32" s="181" t="s">
        <v>25</v>
      </c>
      <c r="BK32" s="182" t="s">
        <v>25</v>
      </c>
      <c r="BL32" s="186"/>
      <c r="BM32" s="180" t="s">
        <v>26</v>
      </c>
      <c r="BN32" s="181" t="s">
        <v>98</v>
      </c>
      <c r="BO32" s="182" t="s">
        <v>25</v>
      </c>
      <c r="BP32" s="185"/>
      <c r="BQ32" s="180" t="s">
        <v>26</v>
      </c>
      <c r="BR32" s="181" t="s">
        <v>25</v>
      </c>
      <c r="BS32" s="182" t="s">
        <v>25</v>
      </c>
      <c r="BT32" s="186"/>
      <c r="BU32" s="180" t="s">
        <v>26</v>
      </c>
      <c r="BV32" s="181" t="s">
        <v>98</v>
      </c>
      <c r="BW32" s="182" t="s">
        <v>25</v>
      </c>
      <c r="BX32" s="185"/>
      <c r="BY32" s="180" t="s">
        <v>26</v>
      </c>
      <c r="BZ32" s="181" t="s">
        <v>25</v>
      </c>
      <c r="CA32" s="182" t="s">
        <v>25</v>
      </c>
      <c r="CB32" s="186"/>
      <c r="EI32" s="12"/>
      <c r="EJ32" s="12"/>
      <c r="EK32" s="12"/>
      <c r="EL32" s="12"/>
      <c r="EM32" s="12"/>
      <c r="EN32" s="12"/>
      <c r="EO32" s="12"/>
      <c r="EP32" s="12"/>
      <c r="EQ32" s="12"/>
      <c r="ER32" s="12"/>
      <c r="ES32" s="12"/>
      <c r="ET32" s="12"/>
    </row>
    <row r="33" spans="2:150" ht="13.25" customHeight="1">
      <c r="B33" s="889"/>
      <c r="C33" s="675"/>
      <c r="D33" s="675"/>
      <c r="E33" s="675"/>
      <c r="F33" s="675"/>
      <c r="G33" s="890"/>
      <c r="H33" s="890"/>
      <c r="I33" s="890"/>
      <c r="K33" s="327">
        <v>1</v>
      </c>
      <c r="L33" s="454" t="str">
        <f t="shared" ref="L33:L40" si="3">L19</f>
        <v>BBLS @ Temp.</v>
      </c>
      <c r="M33" s="457">
        <f>MAX(N33:U33)</f>
        <v>100000</v>
      </c>
      <c r="N33" s="719">
        <f>IF($M$17=N31,ROUND(N32,0),"")</f>
        <v>100000</v>
      </c>
      <c r="O33" s="457" t="str">
        <f>IF($M$17=O31,ROUND(O34/$U$12,0),"")</f>
        <v/>
      </c>
      <c r="P33" s="457" t="str">
        <f>IF($M$17=P31,ROUND(P35*$Q$8,0),"")</f>
        <v/>
      </c>
      <c r="Q33" s="457" t="str">
        <f>IF($M$17=Q31,ROUND(Q34/$U$12,0),"")</f>
        <v/>
      </c>
      <c r="R33" s="457" t="str">
        <f>IF($M$17=R31,ROUND(R34/$U$12,0),"")</f>
        <v/>
      </c>
      <c r="S33" s="457" t="str">
        <f>IF($M$17=S31,ROUND(S34/$U$12,0),"")</f>
        <v/>
      </c>
      <c r="T33" s="457" t="str">
        <f>IF($M$17=T31,ROUND(T34/$U$12,0),"")</f>
        <v/>
      </c>
      <c r="U33" s="457"/>
      <c r="W33" s="12"/>
      <c r="X33" s="398"/>
      <c r="Y33" s="12"/>
      <c r="Z33" s="549"/>
      <c r="AA33" s="541"/>
      <c r="AB33" s="541"/>
      <c r="AC33" s="541"/>
      <c r="AD33" s="541"/>
      <c r="AE33" s="541"/>
      <c r="AF33" s="541"/>
      <c r="AG33" s="541"/>
      <c r="AH33" s="541"/>
      <c r="AI33" s="541"/>
      <c r="AJ33" s="541"/>
      <c r="AK33" s="550"/>
      <c r="AL33" s="12"/>
      <c r="AM33" s="12"/>
      <c r="AN33" s="12"/>
      <c r="AO33" s="12"/>
      <c r="AP33" s="12"/>
      <c r="AQ33" s="12"/>
      <c r="AR33" s="12"/>
      <c r="AS33" s="233"/>
      <c r="AT33" s="234"/>
      <c r="AU33" s="235"/>
      <c r="AV33" s="250"/>
      <c r="AW33" s="233" t="s">
        <v>27</v>
      </c>
      <c r="AX33" s="234" t="s">
        <v>30</v>
      </c>
      <c r="AY33" s="235" t="s">
        <v>28</v>
      </c>
      <c r="AZ33" s="259"/>
      <c r="BA33" s="233"/>
      <c r="BB33" s="234" t="s">
        <v>30</v>
      </c>
      <c r="BC33" s="235" t="s">
        <v>103</v>
      </c>
      <c r="BD33" s="252"/>
      <c r="BE33" s="233"/>
      <c r="BF33" s="234" t="s">
        <v>24</v>
      </c>
      <c r="BG33" s="235" t="s">
        <v>28</v>
      </c>
      <c r="BH33" s="252"/>
      <c r="BI33" s="233"/>
      <c r="BJ33" s="234" t="s">
        <v>106</v>
      </c>
      <c r="BK33" s="235" t="s">
        <v>106</v>
      </c>
      <c r="BL33" s="252"/>
      <c r="BM33" s="233"/>
      <c r="BN33" s="234" t="s">
        <v>24</v>
      </c>
      <c r="BO33" s="235" t="s">
        <v>28</v>
      </c>
      <c r="BP33" s="250"/>
      <c r="BQ33" s="233"/>
      <c r="BR33" s="234" t="s">
        <v>108</v>
      </c>
      <c r="BS33" s="235" t="s">
        <v>108</v>
      </c>
      <c r="BT33" s="252"/>
      <c r="BU33" s="233"/>
      <c r="BV33" s="234" t="s">
        <v>24</v>
      </c>
      <c r="BW33" s="235" t="s">
        <v>28</v>
      </c>
      <c r="BX33" s="250"/>
      <c r="BY33" s="233"/>
      <c r="BZ33" s="234" t="s">
        <v>106</v>
      </c>
      <c r="CA33" s="235" t="s">
        <v>110</v>
      </c>
      <c r="CB33" s="252"/>
      <c r="EI33" s="12"/>
      <c r="EJ33" s="12"/>
      <c r="EK33" s="12"/>
      <c r="EL33" s="12"/>
      <c r="EM33" s="12"/>
      <c r="EN33" s="12"/>
      <c r="EO33" s="12"/>
      <c r="EP33" s="12"/>
      <c r="EQ33" s="12"/>
      <c r="ER33" s="12"/>
      <c r="ES33" s="12"/>
      <c r="ET33" s="12"/>
    </row>
    <row r="34" spans="2:150" ht="13.25" customHeight="1">
      <c r="B34" s="889"/>
      <c r="C34" s="675"/>
      <c r="D34" s="675"/>
      <c r="E34" s="675"/>
      <c r="F34" s="675"/>
      <c r="G34" s="891"/>
      <c r="H34" s="891"/>
      <c r="I34" s="890"/>
      <c r="K34" s="327">
        <v>2</v>
      </c>
      <c r="L34" s="454" t="str">
        <f t="shared" si="3"/>
        <v>BBLS @ 60°F</v>
      </c>
      <c r="M34" s="599">
        <f>MAX(N34:U34)</f>
        <v>97720</v>
      </c>
      <c r="N34" s="599">
        <f>IF($M$17=N31,ROUND(N33*$U$12,0),"")</f>
        <v>97720</v>
      </c>
      <c r="O34" s="718" t="str">
        <f>IF($M$17=O31,ROUND(O32,0),"")</f>
        <v/>
      </c>
      <c r="P34" s="599" t="str">
        <f>IF($M$17=P31,ROUND(P33*$U$12,0),"")</f>
        <v/>
      </c>
      <c r="Q34" s="599" t="str">
        <f>IF($M$17=Q31,ROUND(Q36/$U$47,0),"")</f>
        <v/>
      </c>
      <c r="R34" s="599" t="str">
        <f>IF($M$17=R31,ROUND(R39*$U$57,0),"")</f>
        <v/>
      </c>
      <c r="S34" s="599" t="str">
        <f>IF($M$17=S31,ROUND(S38/$U$59,0),"")</f>
        <v/>
      </c>
      <c r="T34" s="599" t="str">
        <f>IF($M$17=T31,ROUND(T38/$U$59,0),"")</f>
        <v/>
      </c>
      <c r="U34" s="456"/>
      <c r="W34" s="12"/>
      <c r="X34" s="398"/>
      <c r="Y34" s="12"/>
      <c r="Z34" s="571"/>
      <c r="AA34" s="572"/>
      <c r="AB34" s="262" t="s">
        <v>209</v>
      </c>
      <c r="AC34" s="29"/>
      <c r="AD34" s="551" t="s">
        <v>210</v>
      </c>
      <c r="AE34" s="539" t="s">
        <v>211</v>
      </c>
      <c r="AF34" s="552"/>
      <c r="AG34" s="552"/>
      <c r="AH34" s="540"/>
      <c r="AI34" s="551" t="s">
        <v>211</v>
      </c>
      <c r="AJ34" s="553" t="s">
        <v>212</v>
      </c>
      <c r="AK34" s="573" t="s">
        <v>204</v>
      </c>
      <c r="AL34" s="12"/>
      <c r="AM34" s="12"/>
      <c r="AN34" s="12"/>
      <c r="AO34" s="12"/>
      <c r="AP34" s="12"/>
      <c r="AQ34" s="12"/>
      <c r="AR34" s="12"/>
      <c r="AS34" s="23" t="s">
        <v>32</v>
      </c>
      <c r="AT34" s="183" t="s">
        <v>33</v>
      </c>
      <c r="AU34" s="184" t="s">
        <v>31</v>
      </c>
      <c r="AV34" s="185"/>
      <c r="AW34" s="23" t="s">
        <v>32</v>
      </c>
      <c r="AX34" s="183" t="s">
        <v>31</v>
      </c>
      <c r="AY34" s="184" t="s">
        <v>31</v>
      </c>
      <c r="AZ34" s="260"/>
      <c r="BA34" s="23" t="s">
        <v>32</v>
      </c>
      <c r="BB34" s="183" t="s">
        <v>32</v>
      </c>
      <c r="BC34" s="184" t="s">
        <v>32</v>
      </c>
      <c r="BD34" s="186"/>
      <c r="BE34" s="23" t="s">
        <v>32</v>
      </c>
      <c r="BF34" s="183" t="s">
        <v>32</v>
      </c>
      <c r="BG34" s="184" t="s">
        <v>32</v>
      </c>
      <c r="BH34" s="186"/>
      <c r="BI34" s="23" t="s">
        <v>32</v>
      </c>
      <c r="BJ34" s="183" t="s">
        <v>32</v>
      </c>
      <c r="BK34" s="184" t="s">
        <v>32</v>
      </c>
      <c r="BL34" s="186"/>
      <c r="BM34" s="23" t="s">
        <v>32</v>
      </c>
      <c r="BN34" s="183" t="s">
        <v>32</v>
      </c>
      <c r="BO34" s="184" t="s">
        <v>32</v>
      </c>
      <c r="BP34" s="185"/>
      <c r="BQ34" s="23" t="s">
        <v>32</v>
      </c>
      <c r="BR34" s="183" t="s">
        <v>32</v>
      </c>
      <c r="BS34" s="184" t="s">
        <v>32</v>
      </c>
      <c r="BT34" s="186"/>
      <c r="BU34" s="23" t="s">
        <v>32</v>
      </c>
      <c r="BV34" s="183" t="s">
        <v>32</v>
      </c>
      <c r="BW34" s="184" t="s">
        <v>32</v>
      </c>
      <c r="BX34" s="185"/>
      <c r="BY34" s="23" t="s">
        <v>32</v>
      </c>
      <c r="BZ34" s="183" t="s">
        <v>31</v>
      </c>
      <c r="CA34" s="184" t="s">
        <v>31</v>
      </c>
      <c r="CB34" s="186"/>
      <c r="EI34" s="12"/>
      <c r="EJ34" s="12"/>
      <c r="EK34" s="12"/>
      <c r="EL34" s="12"/>
      <c r="EM34" s="12"/>
      <c r="EN34" s="12"/>
      <c r="EO34" s="12"/>
      <c r="EP34" s="12"/>
      <c r="EQ34" s="12"/>
      <c r="ER34" s="12"/>
      <c r="ES34" s="12"/>
      <c r="ET34" s="12"/>
    </row>
    <row r="35" spans="2:150" ht="13.25" customHeight="1">
      <c r="B35" s="889"/>
      <c r="C35" s="675"/>
      <c r="D35" s="675"/>
      <c r="E35" s="675"/>
      <c r="F35" s="675"/>
      <c r="G35" s="891"/>
      <c r="H35" s="891"/>
      <c r="I35" s="890"/>
      <c r="K35" s="327">
        <v>3</v>
      </c>
      <c r="L35" s="454" t="str">
        <f t="shared" si="3"/>
        <v>M3 @ Temp.</v>
      </c>
      <c r="M35" s="456">
        <f t="shared" ref="M35:M39" si="4">MAX(N35:U35)</f>
        <v>15898.731</v>
      </c>
      <c r="N35" s="720">
        <f>IF($M$17=N31,ROUND(N33/$Q$8,3),"")</f>
        <v>15898.731</v>
      </c>
      <c r="O35" s="720" t="str">
        <f>IF($M$17=O31,ROUND(O33/$Q$8,3),"")</f>
        <v/>
      </c>
      <c r="P35" s="721" t="str">
        <f>IF($M$17=P31,ROUND(P32,3),"")</f>
        <v/>
      </c>
      <c r="Q35" s="722" t="str">
        <f>IF($M$17=Q31,ROUND(Q33/$Q$8,3),"")</f>
        <v/>
      </c>
      <c r="R35" s="722" t="str">
        <f>IF($M$17=R31,ROUND(R33/$Q$8,3),"")</f>
        <v/>
      </c>
      <c r="S35" s="722" t="str">
        <f>IF($M$17=S31,ROUND(S33/$Q$8,3),"")</f>
        <v/>
      </c>
      <c r="T35" s="722" t="str">
        <f>IF($M$17=T31,ROUND(T33/$Q$8,3),"")</f>
        <v/>
      </c>
      <c r="U35" s="456"/>
      <c r="W35" s="12"/>
      <c r="X35" s="398"/>
      <c r="Y35" s="12"/>
      <c r="Z35" s="543" t="s">
        <v>18</v>
      </c>
      <c r="AA35" s="543" t="s">
        <v>205</v>
      </c>
      <c r="AB35" s="262" t="s">
        <v>18</v>
      </c>
      <c r="AC35" s="262" t="s">
        <v>205</v>
      </c>
      <c r="AD35" s="554"/>
      <c r="AE35" s="543" t="s">
        <v>213</v>
      </c>
      <c r="AF35" s="543" t="s">
        <v>214</v>
      </c>
      <c r="AG35" s="543" t="s">
        <v>215</v>
      </c>
      <c r="AH35" s="543" t="s">
        <v>216</v>
      </c>
      <c r="AI35" s="554"/>
      <c r="AJ35" s="555"/>
      <c r="AK35" s="574" t="s">
        <v>217</v>
      </c>
      <c r="AL35" s="12"/>
      <c r="AM35" s="12"/>
      <c r="AN35" s="12"/>
      <c r="AO35" s="12"/>
      <c r="AP35" s="12"/>
      <c r="AQ35" s="12"/>
      <c r="AR35" s="12"/>
      <c r="AS35" s="347">
        <f>VLOOKUP(AS36,'ASTM Vol. XI-XII'!D$10:D$860,TRUE)</f>
        <v>31.3</v>
      </c>
      <c r="AT35" s="270">
        <f>VLOOKUP(AS35,'ASTM Vol. XI-XII'!D$10:E$860,2)</f>
        <v>0.86919999999999997</v>
      </c>
      <c r="AU35" s="344">
        <f>VLOOKUP(AS35,'ASTM Vol. XI-XII'!D$10:F$860,3)</f>
        <v>868.7</v>
      </c>
      <c r="AV35" s="350"/>
      <c r="AW35" s="347">
        <f>VLOOKUP(AW36,'ASTM Vol. XI-XII'!H$10:H$860,TRUE)</f>
        <v>31.3</v>
      </c>
      <c r="AX35" s="270">
        <f>VLOOKUP(AW35,'ASTM Vol. XI-XII'!H$10:I$860,2)</f>
        <v>3.7837000000000001</v>
      </c>
      <c r="AY35" s="268">
        <f>VLOOKUP(AW35,'ASTM Vol. XI-XII'!H$10:J$860,3)</f>
        <v>0.15892000000000001</v>
      </c>
      <c r="AZ35" s="352"/>
      <c r="BA35" s="347">
        <f>VLOOKUP(BA36,'ASTM Vol. XI-XII'!L$10:L$860,TRUE)</f>
        <v>31.3</v>
      </c>
      <c r="BB35" s="270">
        <f>VLOOKUP(BA35,'ASTM Vol. XI-XII'!L$10:M$860,2)</f>
        <v>7.2370000000000001</v>
      </c>
      <c r="BC35" s="268">
        <f>VLOOKUP(BA35,'ASTM Vol. XI-XII'!L$10:N$860,3)</f>
        <v>0.13816999999999999</v>
      </c>
      <c r="BD35" s="350"/>
      <c r="BE35" s="347">
        <f>VLOOKUP(BE36,'ASTM Vol. XI-XII'!P$10:P$860,TRUE)</f>
        <v>31.3</v>
      </c>
      <c r="BF35" s="270">
        <f>VLOOKUP(BE35,'ASTM Vol. XI-XII'!P$10:Q$860,2)</f>
        <v>3.6185999999999998</v>
      </c>
      <c r="BG35" s="268">
        <f>VLOOKUP(BE35,'ASTM Vol. XI-XII'!P$10:R$860,3)</f>
        <v>0.15198</v>
      </c>
      <c r="BH35" s="350"/>
      <c r="BI35" s="347">
        <f>VLOOKUP(BI36,'ASTM Vol. XI-XII'!T$10:T$860,TRUE)</f>
        <v>31.3</v>
      </c>
      <c r="BJ35" s="349">
        <f>VLOOKUP(BI35,'ASTM Vol. XI-XII'!T$10:U$860,2)</f>
        <v>276.35000000000099</v>
      </c>
      <c r="BK35" s="351">
        <f>VLOOKUP(BI35,'ASTM Vol. XI-XII'!T$10:V$860,3)</f>
        <v>6.58</v>
      </c>
      <c r="BL35" s="350"/>
      <c r="BM35" s="347">
        <f>VLOOKUP(BM36,'ASTM Vol. XI-XII'!X$10:X$860,TRUE)</f>
        <v>31.3</v>
      </c>
      <c r="BN35" s="270">
        <f>VLOOKUP(BM35,'ASTM Vol. XI-XII'!X$10:Y$860,2)</f>
        <v>3.2309000000000001</v>
      </c>
      <c r="BO35" s="268">
        <f>VLOOKUP(BM35,'ASTM Vol. XI-XII'!X$10:Z$860,3)</f>
        <v>0.13569999999999999</v>
      </c>
      <c r="BP35" s="350"/>
      <c r="BQ35" s="347">
        <f>VLOOKUP(BQ36,'ASTM Vol. XI-XII'!AB$10:AB$860,TRUE)</f>
        <v>31.3</v>
      </c>
      <c r="BR35" s="349">
        <f>VLOOKUP(BQ35,'ASTM Vol. XI-XII'!AB$10:AC$860,2)</f>
        <v>309.51</v>
      </c>
      <c r="BS35" s="351">
        <f>VLOOKUP(BQ35,'ASTM Vol. XI-XII'!AB$10:AD$860,3)</f>
        <v>7.3689999999999998</v>
      </c>
      <c r="BT35" s="350"/>
      <c r="BU35" s="347">
        <f>VLOOKUP(BU36,'ASTM Vol. XI-XII'!AF$10:AF$860,TRUE)</f>
        <v>31.3</v>
      </c>
      <c r="BV35" s="270">
        <f>VLOOKUP(BU35,'ASTM Vol. XI-XII'!AF$10:AG$860,2)</f>
        <v>3.2827999999999999</v>
      </c>
      <c r="BW35" s="268">
        <f>VLOOKUP(BU35,'ASTM Vol. XI-XII'!AF$10:AH$860,3)</f>
        <v>0.13788</v>
      </c>
      <c r="BX35" s="350"/>
      <c r="BY35" s="347">
        <f>VLOOKUP(BY36,'ASTM Vol. XI-XII'!AM$10:AM$860,TRUE)</f>
        <v>31.3</v>
      </c>
      <c r="BZ35" s="270">
        <f>VLOOKUP(BY35,'ASTM Vol. XI-XII'!AM$10:AN$860,2)</f>
        <v>1.0456000000000001</v>
      </c>
      <c r="CA35" s="270">
        <f>VLOOKUP(BY35,'ASTM Vol. XI-XII'!AM$10:AO$860,3)</f>
        <v>1.1711</v>
      </c>
      <c r="CB35" s="261"/>
      <c r="EI35" s="171"/>
      <c r="EJ35" s="171"/>
      <c r="EK35" s="171"/>
      <c r="EL35" s="12"/>
      <c r="EM35" s="12"/>
      <c r="EN35" s="12"/>
      <c r="EO35" s="12"/>
      <c r="EP35" s="12"/>
      <c r="EQ35" s="12"/>
      <c r="ER35" s="12"/>
      <c r="ES35" s="12"/>
      <c r="ET35" s="12"/>
    </row>
    <row r="36" spans="2:150" ht="13.25" customHeight="1">
      <c r="B36" s="889"/>
      <c r="C36" s="675"/>
      <c r="D36" s="675"/>
      <c r="E36" s="675"/>
      <c r="F36" s="675"/>
      <c r="G36" s="891"/>
      <c r="H36" s="891"/>
      <c r="I36" s="890"/>
      <c r="K36" s="327">
        <v>4</v>
      </c>
      <c r="L36" s="454" t="str">
        <f t="shared" si="3"/>
        <v>M3 @ 15°C</v>
      </c>
      <c r="M36" s="456">
        <f t="shared" si="4"/>
        <v>15529.662</v>
      </c>
      <c r="N36" s="720">
        <f>IF($M$17=N31,ROUND(N34*$U$47,3),"")</f>
        <v>15529.662</v>
      </c>
      <c r="O36" s="720" t="str">
        <f>IF($M$17=O31,ROUND(O34*$U$47,3),"")</f>
        <v/>
      </c>
      <c r="P36" s="720" t="str">
        <f>IF($M$17=P31,ROUND(P34*$U$47,3),"")</f>
        <v/>
      </c>
      <c r="Q36" s="721" t="str">
        <f>IF($M$17=Q31,ROUND(Q32,3),"")</f>
        <v/>
      </c>
      <c r="R36" s="720" t="str">
        <f>IF($M$17=R31,ROUND(R38*$U$120,3),"")</f>
        <v/>
      </c>
      <c r="S36" s="720" t="str">
        <f>IF($M$17=S31,ROUND(S34*$U$47,3),"")</f>
        <v/>
      </c>
      <c r="T36" s="720" t="str">
        <f>IF($M$17=T31,ROUND(T34*$U$47,3),"")</f>
        <v/>
      </c>
      <c r="U36" s="456"/>
      <c r="W36" s="12"/>
      <c r="X36" s="398"/>
      <c r="Y36" s="12"/>
      <c r="Z36" s="545">
        <f>U8</f>
        <v>31.3</v>
      </c>
      <c r="AA36" s="546">
        <f>W8</f>
        <v>110</v>
      </c>
      <c r="AB36" s="547">
        <f>FLOOR(Z36,1)+IF(MOD(Z36,1)&lt;0.26,0,IF(MOD(Z36,1)&lt;0.76,0.5,1))</f>
        <v>31.5</v>
      </c>
      <c r="AC36" s="547">
        <f>FLOOR(AA36,1)+IF(MOD(AA36,1)&lt;0.26,0,IF(MOD(AA36,1)&lt;0.76,0.5,1))</f>
        <v>110</v>
      </c>
      <c r="AD36" s="543">
        <f>(141.5*999.012 )/(AB36+131.5)</f>
        <v>867.24047852760737</v>
      </c>
      <c r="AE36" s="543">
        <f>IF(AB36&lt;37,(103.872/AD36^2)+(0.2701/AD36),0)</f>
        <v>4.4955582305272279E-4</v>
      </c>
      <c r="AF36" s="543">
        <f>IF(AND(AB36&gt;=37,AB36&lt;48),330.301/AD36^2,0)</f>
        <v>0</v>
      </c>
      <c r="AG36" s="543">
        <f>IF(AND(AB36&gt;=48,AB36&lt;52),((1489.067/AD36^2)-0.0018684),0)</f>
        <v>0</v>
      </c>
      <c r="AH36" s="543">
        <f>IF(AND(AB36&gt;=52,AB36&lt;85),(192.4571/AD36^2)+(0.2438/AD36),0)</f>
        <v>0</v>
      </c>
      <c r="AI36" s="556">
        <f>MAX(AE36:AH36)</f>
        <v>4.4955582305272279E-4</v>
      </c>
      <c r="AJ36" s="543">
        <f>1+0.8*AI36*(AC36-60)</f>
        <v>1.0179822329221089</v>
      </c>
      <c r="AK36" s="557">
        <f>ROUND(EXP(AI36*(AC36-60)*AJ36*-1),4)</f>
        <v>0.97740000000000005</v>
      </c>
      <c r="AL36" s="12"/>
      <c r="AM36" s="12"/>
      <c r="AN36" s="12"/>
      <c r="AO36" s="12"/>
      <c r="AP36" s="12"/>
      <c r="AQ36" s="12"/>
      <c r="AR36" s="12"/>
      <c r="AS36" s="353">
        <f>$U$42</f>
        <v>31.3</v>
      </c>
      <c r="AT36" s="271">
        <f>ROUND(AT35+((AS36-AS35)/(AS37-AS35))*(AT37-AT35),4)</f>
        <v>0.86919999999999997</v>
      </c>
      <c r="AU36" s="343">
        <f>ROUND(AU35+((AS36-AS35)/(AS37-AS35))*(AU37-AU35),1)</f>
        <v>868.7</v>
      </c>
      <c r="AV36" s="350"/>
      <c r="AW36" s="353">
        <f>$U$42</f>
        <v>31.3</v>
      </c>
      <c r="AX36" s="271">
        <f>ROUND(AX35+((AW36-AW35)/(AW37-AW35))*(AX37-AX35),4)</f>
        <v>3.7837000000000001</v>
      </c>
      <c r="AY36" s="269">
        <f>ROUND(AY35+((AW36-AW35)/(AW37-AW35))*(AY37-AY35),5)</f>
        <v>0.15892000000000001</v>
      </c>
      <c r="AZ36" s="352"/>
      <c r="BA36" s="353">
        <f>$U$42</f>
        <v>31.3</v>
      </c>
      <c r="BB36" s="271">
        <f>ROUND(BB35+((BA36-BA35)/(BA37-BA35))*(BB37-BB35),4)</f>
        <v>7.2370000000000001</v>
      </c>
      <c r="BC36" s="269">
        <f>ROUND(BC35+((BA36-BA35)/(BA37-BA35))*(BC37-BC35),5)</f>
        <v>0.13816999999999999</v>
      </c>
      <c r="BD36" s="350"/>
      <c r="BE36" s="353">
        <f>$U$42</f>
        <v>31.3</v>
      </c>
      <c r="BF36" s="271">
        <f>ROUND(BF35+((BE36-BE35)/(BE37-BE35))*(BF37-BF35),4)</f>
        <v>3.6185999999999998</v>
      </c>
      <c r="BG36" s="269">
        <f>ROUND(BG35+((BE36-BE35)/(BE37-BE35))*(BG37-BG35),5)</f>
        <v>0.15198</v>
      </c>
      <c r="BH36" s="350"/>
      <c r="BI36" s="353">
        <f>$U$42</f>
        <v>31.3</v>
      </c>
      <c r="BJ36" s="354">
        <f>ROUND(BJ35+((BI36-BI35)/(BI37-BI35))*(BJ37-BJ35),2)</f>
        <v>276.35000000000002</v>
      </c>
      <c r="BK36" s="355">
        <f>ROUND(BK35+((BI36-BI35)/(BI37-BI35))*(BK37-BK35),3)</f>
        <v>6.58</v>
      </c>
      <c r="BL36" s="350"/>
      <c r="BM36" s="353">
        <f>$U$42</f>
        <v>31.3</v>
      </c>
      <c r="BN36" s="271">
        <f>ROUND(BN35+((BM36-BM35)/(BM37-BM35))*(BN37-BN35),4)</f>
        <v>3.2309000000000001</v>
      </c>
      <c r="BO36" s="269">
        <f>ROUND(BO35+((BM36-BM35)/(BM37-BM35))*(BO37-BO35),5)</f>
        <v>0.13569999999999999</v>
      </c>
      <c r="BP36" s="350"/>
      <c r="BQ36" s="353">
        <f>$U$42</f>
        <v>31.3</v>
      </c>
      <c r="BR36" s="354">
        <f>ROUND(BR35+((BQ36-BQ35)/(BQ37-BQ35))*(BR37-BR35),2)</f>
        <v>309.51</v>
      </c>
      <c r="BS36" s="355">
        <f>ROUND(BS35+((BQ36-BQ35)/(BQ37-BQ35))*(BS37-BS35),3)</f>
        <v>7.3689999999999998</v>
      </c>
      <c r="BT36" s="350"/>
      <c r="BU36" s="353">
        <f>$U$42</f>
        <v>31.3</v>
      </c>
      <c r="BV36" s="271">
        <f>ROUND(BV35+((BU36-BU35)/(BU37-BU35))*(BV37-BV35),4)</f>
        <v>3.2827999999999999</v>
      </c>
      <c r="BW36" s="269">
        <f>ROUND(BW35+((BU36-BU35)/(BU37-BU35))*(BW37-BW35),5)</f>
        <v>0.13788</v>
      </c>
      <c r="BX36" s="350"/>
      <c r="BY36" s="353">
        <f>$U$42</f>
        <v>31.3</v>
      </c>
      <c r="BZ36" s="271">
        <f>ROUND(BZ35+((BY36-BY35)/(BY37-BY35))*(BZ37-BZ35),4)</f>
        <v>1.0456000000000001</v>
      </c>
      <c r="CA36" s="271">
        <f>ROUND(CA35+((BY36-BY35)/(BY37-BY35))*(CA37-CA35),4)</f>
        <v>1.1711</v>
      </c>
      <c r="CB36" s="261"/>
      <c r="EI36" s="12"/>
      <c r="EJ36" s="12"/>
      <c r="EK36" s="12"/>
      <c r="EL36" s="171"/>
      <c r="EM36" s="171"/>
      <c r="EN36" s="171"/>
      <c r="EO36" s="171"/>
      <c r="EP36" s="171"/>
      <c r="EQ36" s="171"/>
      <c r="ER36" s="171"/>
      <c r="ES36" s="171"/>
      <c r="ET36" s="171"/>
    </row>
    <row r="37" spans="2:150" ht="13.25" customHeight="1">
      <c r="B37" s="889"/>
      <c r="C37" s="675"/>
      <c r="D37" s="675"/>
      <c r="E37" s="675"/>
      <c r="F37" s="675"/>
      <c r="G37" s="890"/>
      <c r="H37" s="890"/>
      <c r="I37" s="890"/>
      <c r="K37" s="327">
        <v>5</v>
      </c>
      <c r="L37" s="454" t="str">
        <f t="shared" si="3"/>
        <v>MT (in Vac)</v>
      </c>
      <c r="M37" s="456">
        <f t="shared" si="4"/>
        <v>13490.476000000001</v>
      </c>
      <c r="N37" s="720">
        <f>IF($M$17=N31,ROUND(N38*$U$118,3),"")</f>
        <v>13490.476000000001</v>
      </c>
      <c r="O37" s="720" t="str">
        <f>IF($M$17=O31,ROUND(O38*$U$118,3),"")</f>
        <v/>
      </c>
      <c r="P37" s="720" t="str">
        <f>IF($M$17=P31,ROUND(P38*$U$118,3),"")</f>
        <v/>
      </c>
      <c r="Q37" s="720" t="str">
        <f>IF($M$17=Q31,ROUND(Q38*$U$118,3),"")</f>
        <v/>
      </c>
      <c r="R37" s="721" t="str">
        <f>IF($M$17=R31,ROUND(R32,3),"")</f>
        <v/>
      </c>
      <c r="S37" s="720" t="str">
        <f>IF($M$17=S31,ROUND(S38*$U$118,3),"")</f>
        <v/>
      </c>
      <c r="T37" s="720" t="str">
        <f>IF($M$17=T31,ROUND(T38*$U$118,3),"")</f>
        <v/>
      </c>
      <c r="U37" s="456"/>
      <c r="W37" s="12"/>
      <c r="X37" s="398"/>
      <c r="Y37" s="171"/>
      <c r="Z37" s="575"/>
      <c r="AA37" s="576"/>
      <c r="AB37" s="576"/>
      <c r="AC37" s="576"/>
      <c r="AD37" s="576"/>
      <c r="AE37" s="576"/>
      <c r="AF37" s="576"/>
      <c r="AG37" s="577"/>
      <c r="AH37" s="577"/>
      <c r="AI37" s="577"/>
      <c r="AJ37" s="577"/>
      <c r="AK37" s="578"/>
      <c r="AL37" s="171"/>
      <c r="AM37" s="171"/>
      <c r="AN37" s="171"/>
      <c r="AO37" s="171"/>
      <c r="AP37" s="171"/>
      <c r="AQ37" s="171"/>
      <c r="AR37" s="171"/>
      <c r="AS37" s="347">
        <f>INDEX('ASTM Vol. XI-XII'!D$10:D$860,(MATCH(AS35,'ASTM Vol. XI-XII'!D$10:D$860,1)+1))</f>
        <v>31.4</v>
      </c>
      <c r="AT37" s="270">
        <f>VLOOKUP(AS37,'ASTM Vol. XI-XII'!D$10:E$860,2)</f>
        <v>0.86860000000000004</v>
      </c>
      <c r="AU37" s="344">
        <f>VLOOKUP(AS37,'ASTM Vol. XI-XII'!D$10:F$860,3)</f>
        <v>868.2</v>
      </c>
      <c r="AV37" s="356"/>
      <c r="AW37" s="347">
        <f>INDEX('ASTM Vol. XI-XII'!H$10:H$860,(MATCH(AW35,'ASTM Vol. XI-XII'!H$10:H$860,1)+1))</f>
        <v>31.4</v>
      </c>
      <c r="AX37" s="270">
        <f>VLOOKUP(AW37,'ASTM Vol. XI-XII'!H$10:I$860,2)</f>
        <v>3.7837000000000001</v>
      </c>
      <c r="AY37" s="268">
        <f>VLOOKUP(AW37,'ASTM Vol. XI-XII'!H$10:J$860,3)</f>
        <v>0.15892000000000001</v>
      </c>
      <c r="AZ37" s="357"/>
      <c r="BA37" s="347">
        <f>INDEX('ASTM Vol. XI-XII'!L$10:L$860,(MATCH(BA35,'ASTM Vol. XI-XII'!L$10:L$860,1)+1))</f>
        <v>31.4</v>
      </c>
      <c r="BB37" s="270">
        <f>VLOOKUP(BA37,'ASTM Vol. XI-XII'!L$10:M$860,2)</f>
        <v>7.2329999999999997</v>
      </c>
      <c r="BC37" s="268">
        <f>VLOOKUP(BA37,'ASTM Vol. XI-XII'!L$10:N$860,3)</f>
        <v>0.13825999999999999</v>
      </c>
      <c r="BD37" s="356"/>
      <c r="BE37" s="347">
        <f>INDEX('ASTM Vol. XI-XII'!P$10:P$860,(MATCH(BE35,'ASTM Vol. XI-XII'!P$10:P$860,1)+1))</f>
        <v>31.4</v>
      </c>
      <c r="BF37" s="270">
        <f>VLOOKUP(BE37,'ASTM Vol. XI-XII'!P$10:Q$860,2)</f>
        <v>3.6164000000000001</v>
      </c>
      <c r="BG37" s="268">
        <f>VLOOKUP(BE37,'ASTM Vol. XI-XII'!P$10:R$860,3)</f>
        <v>0.15189</v>
      </c>
      <c r="BH37" s="356"/>
      <c r="BI37" s="347">
        <f>INDEX('ASTM Vol. XI-XII'!T$10:T$860,(MATCH(BI35,'ASTM Vol. XI-XII'!T$10:T$860,1)+1))</f>
        <v>31.4</v>
      </c>
      <c r="BJ37" s="349">
        <f>VLOOKUP(BI37,'ASTM Vol. XI-XII'!T$10:U$860,2)</f>
        <v>276.520000000001</v>
      </c>
      <c r="BK37" s="351">
        <f>VLOOKUP(BI37,'ASTM Vol. XI-XII'!T$10:V$860,3)</f>
        <v>6.5839999999999996</v>
      </c>
      <c r="BL37" s="356"/>
      <c r="BM37" s="347">
        <f>INDEX('ASTM Vol. XI-XII'!X$10:X$860,(MATCH(BM35,'ASTM Vol. XI-XII'!X$10:X$860,1)+1))</f>
        <v>31.4</v>
      </c>
      <c r="BN37" s="270">
        <f>VLOOKUP(BM37,'ASTM Vol. XI-XII'!X$10:Y$860,2)</f>
        <v>3.2288999999999999</v>
      </c>
      <c r="BO37" s="268">
        <f>VLOOKUP(BM37,'ASTM Vol. XI-XII'!X$10:Z$860,3)</f>
        <v>0.13561999999999999</v>
      </c>
      <c r="BP37" s="356"/>
      <c r="BQ37" s="347">
        <f>INDEX('ASTM Vol. XI-XII'!AB$10:AB$860,(MATCH(BQ35,'ASTM Vol. XI-XII'!AB$10:AB$860,1)+1))</f>
        <v>31.4</v>
      </c>
      <c r="BR37" s="349">
        <f>VLOOKUP(BQ37,'ASTM Vol. XI-XII'!AB$10:AC$860,2)</f>
        <v>309.7</v>
      </c>
      <c r="BS37" s="351">
        <f>VLOOKUP(BQ37,'ASTM Vol. XI-XII'!AB$10:AD$860,3)</f>
        <v>7.3739999999999997</v>
      </c>
      <c r="BT37" s="356"/>
      <c r="BU37" s="347">
        <f>INDEX('ASTM Vol. XI-XII'!AF$10:AF$860,(MATCH(BU35,'ASTM Vol. XI-XII'!AF$10:AF$860,1)+1))</f>
        <v>31.4</v>
      </c>
      <c r="BV37" s="270">
        <f>VLOOKUP(BU37,'ASTM Vol. XI-XII'!AF$10:AG$860,2)</f>
        <v>3.2806999999999999</v>
      </c>
      <c r="BW37" s="268">
        <f>VLOOKUP(BU37,'ASTM Vol. XI-XII'!AF$10:AH$860,3)</f>
        <v>0.13779</v>
      </c>
      <c r="BX37" s="356"/>
      <c r="BY37" s="347">
        <f>INDEX('ASTM Vol. XI-XII'!AM$10:AM$860,(MATCH(BY35,'ASTM Vol. XI-XII'!AM$10:AM$860,1)+1))</f>
        <v>31.4</v>
      </c>
      <c r="BZ37" s="270">
        <f>VLOOKUP(BY37,'ASTM Vol. XI-XII'!AM$10:AN$860,2)</f>
        <v>1.0463</v>
      </c>
      <c r="CA37" s="270">
        <f>VLOOKUP(BY37,'ASTM Vol. XI-XII'!AM$10:AO$860,3)</f>
        <v>1.1718</v>
      </c>
      <c r="CB37" s="261"/>
      <c r="EI37" s="12"/>
      <c r="EJ37" s="12"/>
      <c r="EK37" s="12"/>
      <c r="EL37" s="171"/>
      <c r="EM37" s="171"/>
      <c r="EN37" s="171"/>
      <c r="EO37" s="171"/>
      <c r="EP37" s="171"/>
      <c r="EQ37" s="171"/>
      <c r="ER37" s="171"/>
      <c r="ES37" s="171"/>
      <c r="ET37" s="171"/>
    </row>
    <row r="38" spans="2:150" ht="13.25" customHeight="1">
      <c r="B38" s="889"/>
      <c r="C38" s="675"/>
      <c r="D38" s="675"/>
      <c r="E38" s="675"/>
      <c r="F38" s="675"/>
      <c r="G38" s="890"/>
      <c r="H38" s="890"/>
      <c r="I38" s="890"/>
      <c r="K38" s="327">
        <v>6</v>
      </c>
      <c r="L38" s="454" t="str">
        <f t="shared" si="3"/>
        <v>MT (in Air)</v>
      </c>
      <c r="M38" s="600">
        <f t="shared" si="4"/>
        <v>13473.634</v>
      </c>
      <c r="N38" s="723">
        <f>IF($M$17=N31,ROUND(N34*$U$59,3),"")</f>
        <v>13473.634</v>
      </c>
      <c r="O38" s="723" t="str">
        <f>IF($M$17=O31,ROUND(O34*$U$59,3),"")</f>
        <v/>
      </c>
      <c r="P38" s="723" t="str">
        <f>IF($M$17=P31,ROUND(P34*$U$59,3),"")</f>
        <v/>
      </c>
      <c r="Q38" s="723" t="str">
        <f>IF($M$17=Q31,ROUND(Q34*$U$59,3),"")</f>
        <v/>
      </c>
      <c r="R38" s="723" t="str">
        <f>IF($M$17=R31,ROUND(R37*$U$117,3),"")</f>
        <v/>
      </c>
      <c r="S38" s="724" t="str">
        <f>IF($M$17=S31,ROUND(S32,3),"")</f>
        <v/>
      </c>
      <c r="T38" s="723" t="str">
        <f>IF($M$17=T31,ROUND(T39/Q10,3),"")</f>
        <v/>
      </c>
      <c r="U38" s="457"/>
      <c r="W38" s="12"/>
      <c r="X38" s="398"/>
      <c r="Y38" s="171"/>
      <c r="Z38" s="171"/>
      <c r="AA38" s="171"/>
      <c r="AB38" s="171"/>
      <c r="AC38" s="171"/>
      <c r="AD38" s="171"/>
      <c r="AE38" s="171"/>
      <c r="AF38" s="171"/>
      <c r="AG38" s="171"/>
      <c r="AH38" s="171"/>
      <c r="AI38" s="171"/>
      <c r="AJ38" s="171"/>
      <c r="AK38" s="171"/>
      <c r="AL38" s="171"/>
      <c r="AM38" s="171"/>
      <c r="AN38" s="171"/>
      <c r="AO38" s="171"/>
      <c r="AP38" s="171"/>
      <c r="AQ38" s="171"/>
      <c r="AR38" s="171"/>
      <c r="EI38" s="12"/>
      <c r="EJ38" s="12"/>
      <c r="EK38" s="12"/>
      <c r="EL38" s="171"/>
      <c r="EM38" s="171"/>
      <c r="EN38" s="171"/>
      <c r="EO38" s="171"/>
      <c r="EP38" s="171"/>
      <c r="EQ38" s="171"/>
      <c r="ER38" s="171"/>
      <c r="ES38" s="171"/>
      <c r="ET38" s="171"/>
    </row>
    <row r="39" spans="2:150" ht="13.25" customHeight="1">
      <c r="B39" s="889"/>
      <c r="C39" s="675"/>
      <c r="D39" s="675"/>
      <c r="E39" s="675"/>
      <c r="F39" s="675"/>
      <c r="G39" s="890"/>
      <c r="H39" s="890"/>
      <c r="I39" s="890"/>
      <c r="K39" s="327">
        <v>7</v>
      </c>
      <c r="L39" s="454" t="str">
        <f t="shared" si="3"/>
        <v>LT</v>
      </c>
      <c r="M39" s="600">
        <f t="shared" si="4"/>
        <v>13260.603999999999</v>
      </c>
      <c r="N39" s="723">
        <f t="shared" ref="N39:S39" si="5">IF($M$17=N31,ROUND(N34*$U$55,3),"")</f>
        <v>13260.603999999999</v>
      </c>
      <c r="O39" s="723" t="str">
        <f t="shared" si="5"/>
        <v/>
      </c>
      <c r="P39" s="723" t="str">
        <f t="shared" si="5"/>
        <v/>
      </c>
      <c r="Q39" s="723" t="str">
        <f t="shared" si="5"/>
        <v/>
      </c>
      <c r="R39" s="723" t="str">
        <f>IF($M$17=R31,ROUND(R38*$Q$10,3),"")</f>
        <v/>
      </c>
      <c r="S39" s="723" t="str">
        <f t="shared" si="5"/>
        <v/>
      </c>
      <c r="T39" s="724" t="str">
        <f>IF($M$17=T31,ROUND(T32,3),"")</f>
        <v/>
      </c>
      <c r="U39" s="457"/>
      <c r="W39" s="12"/>
      <c r="X39" s="398"/>
      <c r="Y39" s="171"/>
      <c r="Z39" s="171"/>
      <c r="AA39" s="171"/>
      <c r="AB39" s="171"/>
      <c r="AC39" s="171"/>
      <c r="AD39" s="171"/>
      <c r="AE39" s="171"/>
      <c r="AF39" s="171"/>
      <c r="AG39" s="171"/>
      <c r="AH39" s="171"/>
      <c r="AI39" s="171"/>
      <c r="AJ39" s="171"/>
      <c r="AK39" s="171"/>
      <c r="AL39" s="171"/>
      <c r="AM39" s="171"/>
      <c r="AN39" s="171"/>
      <c r="AO39" s="171"/>
      <c r="AP39" s="171"/>
      <c r="AQ39" s="171"/>
      <c r="AR39" s="171"/>
      <c r="EI39" s="12"/>
      <c r="EJ39" s="12"/>
      <c r="EK39" s="12"/>
      <c r="EL39" s="171"/>
      <c r="EM39" s="171"/>
      <c r="EN39" s="171"/>
      <c r="EO39" s="171"/>
      <c r="EP39" s="171"/>
      <c r="EQ39" s="171"/>
      <c r="ER39" s="171"/>
      <c r="ES39" s="171"/>
      <c r="ET39" s="171"/>
    </row>
    <row r="40" spans="2:150" ht="13.25" customHeight="1">
      <c r="B40" s="889"/>
      <c r="C40" s="675"/>
      <c r="D40" s="675"/>
      <c r="E40" s="675"/>
      <c r="F40" s="675"/>
      <c r="G40" s="890"/>
      <c r="H40" s="890"/>
      <c r="I40" s="890"/>
      <c r="K40" s="327">
        <v>8</v>
      </c>
      <c r="L40" s="454">
        <f t="shared" si="3"/>
        <v>0</v>
      </c>
      <c r="M40" s="457"/>
      <c r="N40" s="457"/>
      <c r="O40" s="457"/>
      <c r="P40" s="457"/>
      <c r="Q40" s="457"/>
      <c r="R40" s="457"/>
      <c r="S40" s="457"/>
      <c r="T40" s="457"/>
      <c r="U40" s="457"/>
      <c r="W40" s="12"/>
      <c r="X40" s="398"/>
      <c r="Y40" s="171"/>
      <c r="Z40" s="262" t="s">
        <v>497</v>
      </c>
      <c r="AA40" s="29"/>
      <c r="AB40" s="29"/>
      <c r="AC40" s="29"/>
      <c r="AD40" s="29"/>
      <c r="AE40" s="29"/>
      <c r="AF40" s="29"/>
      <c r="AG40" s="29"/>
      <c r="AH40" s="29"/>
      <c r="AI40" s="29"/>
      <c r="AJ40" s="29"/>
      <c r="AK40" s="214"/>
      <c r="AL40" s="171"/>
      <c r="AM40" s="171"/>
      <c r="AN40" s="171"/>
      <c r="AO40" s="171"/>
      <c r="AP40" s="171"/>
      <c r="AQ40" s="171"/>
      <c r="AR40" s="171"/>
      <c r="EI40" s="12"/>
      <c r="EJ40" s="12"/>
      <c r="EK40" s="12"/>
      <c r="EL40" s="171"/>
      <c r="EM40" s="171"/>
      <c r="EN40" s="171"/>
      <c r="EO40" s="171"/>
      <c r="EP40" s="171"/>
      <c r="EQ40" s="171"/>
      <c r="ER40" s="171"/>
      <c r="ES40" s="171"/>
      <c r="ET40" s="171"/>
    </row>
    <row r="41" spans="2:150" ht="13.25" customHeight="1">
      <c r="B41" s="889"/>
      <c r="C41" s="675"/>
      <c r="D41" s="675"/>
      <c r="E41" s="675"/>
      <c r="F41" s="675"/>
      <c r="G41" s="890"/>
      <c r="H41" s="890"/>
      <c r="I41" s="890"/>
      <c r="K41" s="464"/>
      <c r="L41" s="458"/>
      <c r="M41" s="484"/>
      <c r="N41" s="484"/>
      <c r="O41" s="485"/>
      <c r="P41" s="485"/>
      <c r="Q41" s="485"/>
      <c r="R41" s="377"/>
      <c r="S41" s="486"/>
      <c r="T41" s="465"/>
      <c r="U41" s="484"/>
      <c r="V41" s="484"/>
      <c r="W41" s="484"/>
      <c r="X41" s="487"/>
      <c r="Y41" s="171"/>
      <c r="Z41" s="571"/>
      <c r="AA41" s="572"/>
      <c r="AB41" s="262" t="s">
        <v>203</v>
      </c>
      <c r="AC41" s="29"/>
      <c r="AD41" s="593"/>
      <c r="AE41" s="25"/>
      <c r="AF41" s="328"/>
      <c r="AG41" s="591"/>
      <c r="AH41" s="591"/>
      <c r="AI41" s="591"/>
      <c r="AJ41" s="592"/>
      <c r="AK41" s="573" t="s">
        <v>204</v>
      </c>
      <c r="AL41" s="171"/>
      <c r="AM41" s="171"/>
      <c r="AN41" s="171"/>
      <c r="AO41" s="171"/>
      <c r="AP41" s="171"/>
      <c r="AQ41" s="171"/>
      <c r="AR41" s="171"/>
      <c r="EI41" s="12"/>
      <c r="EJ41" s="12"/>
      <c r="EK41" s="12"/>
      <c r="EL41" s="171"/>
      <c r="EM41" s="171"/>
      <c r="EN41" s="171"/>
      <c r="EO41" s="171"/>
      <c r="EP41" s="171"/>
      <c r="EQ41" s="171"/>
      <c r="ER41" s="171"/>
      <c r="ES41" s="171"/>
      <c r="ET41" s="171"/>
    </row>
    <row r="42" spans="2:150" ht="13.25" customHeight="1">
      <c r="B42" s="889"/>
      <c r="C42" s="675"/>
      <c r="D42" s="675"/>
      <c r="E42" s="675"/>
      <c r="F42" s="675"/>
      <c r="G42" s="890"/>
      <c r="H42" s="890"/>
      <c r="I42" s="890"/>
      <c r="K42" s="275"/>
      <c r="L42" s="310"/>
      <c r="O42" s="310"/>
      <c r="P42" s="310"/>
      <c r="Q42" s="310"/>
      <c r="R42" s="378"/>
      <c r="S42" s="414"/>
      <c r="T42" s="429" t="s">
        <v>136</v>
      </c>
      <c r="U42" s="513">
        <f>U8</f>
        <v>31.3</v>
      </c>
      <c r="V42" s="392" t="s">
        <v>166</v>
      </c>
      <c r="W42" s="6"/>
      <c r="X42" s="277"/>
      <c r="Y42" s="171"/>
      <c r="Z42" s="543" t="s">
        <v>18</v>
      </c>
      <c r="AA42" s="543" t="s">
        <v>205</v>
      </c>
      <c r="AB42" s="262" t="s">
        <v>18</v>
      </c>
      <c r="AC42" s="262" t="s">
        <v>205</v>
      </c>
      <c r="AD42" s="543" t="s">
        <v>206</v>
      </c>
      <c r="AE42" s="543" t="s">
        <v>207</v>
      </c>
      <c r="AF42" s="328"/>
      <c r="AG42" s="591"/>
      <c r="AH42" s="591"/>
      <c r="AI42" s="591"/>
      <c r="AJ42" s="592"/>
      <c r="AK42" s="574" t="s">
        <v>208</v>
      </c>
      <c r="AL42" s="171"/>
      <c r="AM42" s="171"/>
      <c r="AN42" s="171"/>
      <c r="AO42" s="171"/>
      <c r="AP42" s="171"/>
      <c r="AQ42" s="171"/>
      <c r="AR42" s="171"/>
      <c r="EI42" s="12"/>
      <c r="EJ42" s="12"/>
      <c r="EK42" s="12"/>
      <c r="EL42" s="171"/>
      <c r="EM42" s="171"/>
      <c r="EN42" s="171"/>
      <c r="EO42" s="171"/>
      <c r="EP42" s="171"/>
      <c r="EQ42" s="171"/>
      <c r="ER42" s="171"/>
      <c r="ES42" s="171"/>
      <c r="ET42" s="171"/>
    </row>
    <row r="43" spans="2:150" ht="13.25" customHeight="1">
      <c r="B43" s="889"/>
      <c r="C43" s="675"/>
      <c r="D43" s="514"/>
      <c r="E43" s="514"/>
      <c r="F43" s="675"/>
      <c r="G43" s="890"/>
      <c r="H43" s="890"/>
      <c r="I43" s="890"/>
      <c r="K43" s="275"/>
      <c r="L43" s="311"/>
      <c r="O43" s="311"/>
      <c r="P43" s="311"/>
      <c r="Q43" s="311"/>
      <c r="R43" s="379"/>
      <c r="S43" s="415" t="s">
        <v>11</v>
      </c>
      <c r="T43" s="430" t="s">
        <v>132</v>
      </c>
      <c r="U43" s="290">
        <f>AT36</f>
        <v>0.86919999999999997</v>
      </c>
      <c r="V43" s="289" t="s">
        <v>167</v>
      </c>
      <c r="W43" s="6"/>
      <c r="X43" s="277"/>
      <c r="Y43" s="171"/>
      <c r="Z43" s="545">
        <f>U8</f>
        <v>31.3</v>
      </c>
      <c r="AA43" s="546">
        <f>AA8</f>
        <v>125</v>
      </c>
      <c r="AB43" s="547">
        <f>FLOOR(Z43,1)+IF(MOD(Z43,1)&lt;0.26,0,IF(MOD(Z43,1)&lt;0.76,0.5,1))</f>
        <v>31.5</v>
      </c>
      <c r="AC43" s="547">
        <f>FLOOR(AA43,1)+IF(MOD(AA43,1)&lt;0.26,0,IF(MOD(AA43,1)&lt;0.76,0.5,1))</f>
        <v>125</v>
      </c>
      <c r="AD43" s="548">
        <f>341.0957/(141.5*999.012/(AB43+131.5))^2</f>
        <v>4.5352075161462152E-4</v>
      </c>
      <c r="AE43" s="548">
        <f>1+0.8*AD43*(AC43-60)</f>
        <v>1.0235830790839604</v>
      </c>
      <c r="AF43" s="328"/>
      <c r="AG43" s="591"/>
      <c r="AH43" s="591"/>
      <c r="AI43" s="591"/>
      <c r="AJ43" s="592"/>
      <c r="AK43" s="590">
        <f>ROUND(EXP(AD43*(AC43-60)*AE43*-1),4)</f>
        <v>0.97030000000000005</v>
      </c>
      <c r="AL43" s="171"/>
      <c r="AM43" s="171"/>
      <c r="AN43" s="171"/>
      <c r="AO43" s="171"/>
      <c r="AP43" s="171"/>
      <c r="AQ43" s="171"/>
      <c r="AR43" s="171"/>
      <c r="EI43" s="12"/>
      <c r="EJ43" s="12"/>
      <c r="EK43" s="12"/>
      <c r="EL43" s="171"/>
      <c r="EM43" s="171"/>
      <c r="EN43" s="171"/>
      <c r="EO43" s="171"/>
      <c r="EP43" s="171"/>
      <c r="EQ43" s="171"/>
      <c r="ER43" s="171"/>
      <c r="ES43" s="171"/>
      <c r="ET43" s="171"/>
    </row>
    <row r="44" spans="2:150" ht="13.25" customHeight="1">
      <c r="B44" s="889"/>
      <c r="C44" s="675"/>
      <c r="D44" s="514"/>
      <c r="E44" s="514"/>
      <c r="F44" s="675"/>
      <c r="G44" s="890"/>
      <c r="H44" s="890"/>
      <c r="I44" s="890"/>
      <c r="K44" s="275"/>
      <c r="L44" s="311"/>
      <c r="O44" s="311"/>
      <c r="P44" s="311"/>
      <c r="Q44" s="311"/>
      <c r="R44" s="379"/>
      <c r="S44" s="415" t="s">
        <v>11</v>
      </c>
      <c r="T44" s="430" t="s">
        <v>131</v>
      </c>
      <c r="U44" s="336">
        <f>AU36</f>
        <v>868.7</v>
      </c>
      <c r="V44" s="393" t="s">
        <v>168</v>
      </c>
      <c r="W44" s="278"/>
      <c r="X44" s="279"/>
      <c r="Y44" s="171"/>
      <c r="Z44" s="549"/>
      <c r="AA44" s="541"/>
      <c r="AB44" s="541"/>
      <c r="AC44" s="541"/>
      <c r="AD44" s="541"/>
      <c r="AE44" s="541"/>
      <c r="AF44" s="541"/>
      <c r="AG44" s="541"/>
      <c r="AH44" s="541"/>
      <c r="AI44" s="541"/>
      <c r="AJ44" s="541"/>
      <c r="AK44" s="550"/>
      <c r="AL44" s="171"/>
      <c r="AM44" s="171"/>
      <c r="AN44" s="171"/>
      <c r="AO44" s="171"/>
      <c r="AP44" s="171"/>
      <c r="AQ44" s="171"/>
      <c r="AR44" s="171"/>
      <c r="EI44" s="12"/>
      <c r="EJ44" s="12"/>
      <c r="EK44" s="12"/>
      <c r="EL44" s="171"/>
      <c r="EM44" s="171"/>
      <c r="EN44" s="171"/>
      <c r="EO44" s="171"/>
      <c r="EP44" s="171"/>
      <c r="EQ44" s="171"/>
      <c r="ER44" s="171"/>
      <c r="ES44" s="171"/>
      <c r="ET44" s="171"/>
    </row>
    <row r="45" spans="2:150" ht="13.25" customHeight="1">
      <c r="B45" s="892"/>
      <c r="C45" s="892"/>
      <c r="D45" s="892"/>
      <c r="E45" s="892"/>
      <c r="F45" s="892"/>
      <c r="G45" s="892"/>
      <c r="H45" s="892"/>
      <c r="I45" s="892"/>
      <c r="K45" s="328"/>
      <c r="L45" s="317" t="s">
        <v>145</v>
      </c>
      <c r="M45" s="388" t="s">
        <v>160</v>
      </c>
      <c r="N45" s="388" t="s">
        <v>161</v>
      </c>
      <c r="O45" s="317"/>
      <c r="P45" s="317"/>
      <c r="Q45" s="317"/>
      <c r="R45" s="380"/>
      <c r="S45" s="416"/>
      <c r="T45" s="431"/>
      <c r="U45" s="314"/>
      <c r="V45" s="314"/>
      <c r="W45" s="315"/>
      <c r="X45" s="316"/>
      <c r="Y45" s="171"/>
      <c r="Z45" s="571"/>
      <c r="AA45" s="572"/>
      <c r="AB45" s="262" t="s">
        <v>209</v>
      </c>
      <c r="AC45" s="29"/>
      <c r="AD45" s="551" t="s">
        <v>210</v>
      </c>
      <c r="AE45" s="539" t="s">
        <v>211</v>
      </c>
      <c r="AF45" s="552"/>
      <c r="AG45" s="552"/>
      <c r="AH45" s="540"/>
      <c r="AI45" s="551" t="s">
        <v>211</v>
      </c>
      <c r="AJ45" s="553" t="s">
        <v>212</v>
      </c>
      <c r="AK45" s="573" t="s">
        <v>204</v>
      </c>
      <c r="AL45" s="171"/>
      <c r="AM45" s="171"/>
      <c r="AN45" s="171"/>
      <c r="AO45" s="171"/>
      <c r="AP45" s="171"/>
      <c r="AQ45" s="171"/>
      <c r="AR45" s="171"/>
      <c r="EI45" s="171"/>
      <c r="EJ45" s="171"/>
      <c r="EK45" s="171"/>
      <c r="EL45" s="12"/>
      <c r="EM45" s="12"/>
      <c r="EN45" s="12"/>
      <c r="EO45" s="12"/>
      <c r="EP45" s="12"/>
      <c r="EQ45" s="12"/>
      <c r="ER45" s="12"/>
      <c r="ES45" s="12"/>
      <c r="ET45" s="12"/>
    </row>
    <row r="46" spans="2:150" ht="13.25" customHeight="1">
      <c r="B46" s="909"/>
      <c r="C46" s="910"/>
      <c r="D46" s="910"/>
      <c r="E46" s="892"/>
      <c r="F46" s="892"/>
      <c r="G46" s="892"/>
      <c r="H46" s="892"/>
      <c r="I46" s="892"/>
      <c r="K46" s="327">
        <v>1</v>
      </c>
      <c r="L46" s="319" t="str">
        <f>CONCATENATE(S46," - ",M46," to ",N46)</f>
        <v>Table 4 - US Gallons at 60°F to Litres at 15°C</v>
      </c>
      <c r="M46" s="5" t="s">
        <v>139</v>
      </c>
      <c r="N46" s="5" t="s">
        <v>137</v>
      </c>
      <c r="O46" s="390"/>
      <c r="P46" s="412"/>
      <c r="Q46" s="739"/>
      <c r="R46" s="381"/>
      <c r="S46" s="415" t="s">
        <v>351</v>
      </c>
      <c r="T46" s="432" t="s">
        <v>137</v>
      </c>
      <c r="U46" s="293">
        <f>AX36</f>
        <v>3.7837000000000001</v>
      </c>
      <c r="V46" s="293" t="s">
        <v>338</v>
      </c>
      <c r="W46" s="423" t="s">
        <v>142</v>
      </c>
      <c r="X46" s="280"/>
      <c r="Y46" s="12"/>
      <c r="Z46" s="543" t="s">
        <v>18</v>
      </c>
      <c r="AA46" s="543" t="s">
        <v>205</v>
      </c>
      <c r="AB46" s="262" t="s">
        <v>18</v>
      </c>
      <c r="AC46" s="262" t="s">
        <v>205</v>
      </c>
      <c r="AD46" s="554"/>
      <c r="AE46" s="543" t="s">
        <v>213</v>
      </c>
      <c r="AF46" s="543" t="s">
        <v>214</v>
      </c>
      <c r="AG46" s="543" t="s">
        <v>215</v>
      </c>
      <c r="AH46" s="543" t="s">
        <v>216</v>
      </c>
      <c r="AI46" s="554"/>
      <c r="AJ46" s="555"/>
      <c r="AK46" s="574" t="s">
        <v>217</v>
      </c>
      <c r="AL46" s="12"/>
      <c r="AM46" s="12"/>
      <c r="AN46" s="12"/>
      <c r="AO46" s="12"/>
      <c r="AP46" s="12"/>
      <c r="AQ46" s="12"/>
      <c r="AR46" s="12"/>
      <c r="EI46" s="171"/>
      <c r="EJ46" s="171"/>
      <c r="EK46" s="171"/>
      <c r="EL46" s="12"/>
      <c r="EM46" s="12"/>
      <c r="EN46" s="12"/>
      <c r="EO46" s="12"/>
      <c r="EP46" s="12"/>
      <c r="EQ46" s="12"/>
      <c r="ER46" s="12"/>
      <c r="ES46" s="12"/>
      <c r="ET46" s="12"/>
    </row>
    <row r="47" spans="2:150" ht="13.25" customHeight="1">
      <c r="B47" s="911"/>
      <c r="C47" s="911"/>
      <c r="D47" s="911"/>
      <c r="E47" s="892"/>
      <c r="F47" s="892"/>
      <c r="G47" s="892"/>
      <c r="H47" s="892"/>
      <c r="I47" s="892"/>
      <c r="K47" s="327">
        <v>2</v>
      </c>
      <c r="L47" s="319" t="str">
        <f t="shared" ref="L47:L61" si="6">CONCATENATE(S47," - ",M47," to ",N47)</f>
        <v>Table 4 - US Barrels at 60°F to Cubic Metres at 15°C</v>
      </c>
      <c r="M47" s="5" t="s">
        <v>140</v>
      </c>
      <c r="N47" s="5" t="s">
        <v>138</v>
      </c>
      <c r="O47" s="390"/>
      <c r="P47" s="413"/>
      <c r="Q47" s="739"/>
      <c r="R47" s="382"/>
      <c r="S47" s="415" t="s">
        <v>351</v>
      </c>
      <c r="T47" s="432" t="s">
        <v>138</v>
      </c>
      <c r="U47" s="294">
        <f>AY36</f>
        <v>0.15892000000000001</v>
      </c>
      <c r="V47" s="293" t="s">
        <v>338</v>
      </c>
      <c r="W47" s="423" t="s">
        <v>143</v>
      </c>
      <c r="X47" s="280"/>
      <c r="Y47" s="12"/>
      <c r="Z47" s="545">
        <f>U8</f>
        <v>31.3</v>
      </c>
      <c r="AA47" s="546">
        <f>AA8</f>
        <v>125</v>
      </c>
      <c r="AB47" s="547">
        <f>FLOOR(Z47,1)+IF(MOD(Z47,1)&lt;0.26,0,IF(MOD(Z47,1)&lt;0.76,0.5,1))</f>
        <v>31.5</v>
      </c>
      <c r="AC47" s="547">
        <f>FLOOR(AA47,1)+IF(MOD(AA47,1)&lt;0.26,0,IF(MOD(AA47,1)&lt;0.76,0.5,1))</f>
        <v>125</v>
      </c>
      <c r="AD47" s="543">
        <f>(141.5*999.012 )/(AB47+131.5)</f>
        <v>867.24047852760737</v>
      </c>
      <c r="AE47" s="543">
        <f>IF(AB47&lt;37,(103.872/AD47^2)+(0.2701/AD47),0)</f>
        <v>4.4955582305272279E-4</v>
      </c>
      <c r="AF47" s="543">
        <f>IF(AND(AB47&gt;=37,AB47&lt;48),330.301/AD47^2,0)</f>
        <v>0</v>
      </c>
      <c r="AG47" s="543">
        <f>IF(AND(AB47&gt;=48,AB47&lt;52),((1489.067/AD47^2)-0.0018684),0)</f>
        <v>0</v>
      </c>
      <c r="AH47" s="543">
        <f>IF(AND(AB47&gt;=52,AB47&lt;85),(192.4571/AD47^2)+(0.2438/AD47),0)</f>
        <v>0</v>
      </c>
      <c r="AI47" s="556">
        <f>MAX(AE47:AH47)</f>
        <v>4.4955582305272279E-4</v>
      </c>
      <c r="AJ47" s="543">
        <f>1+0.8*AI47*(AC47-60)</f>
        <v>1.0233769027987416</v>
      </c>
      <c r="AK47" s="557">
        <f>ROUND(EXP(AI47*(AC47-60)*AJ47*-1),4)</f>
        <v>0.97050000000000003</v>
      </c>
      <c r="AL47" s="12"/>
      <c r="AM47" s="12"/>
      <c r="AN47" s="12"/>
      <c r="AO47" s="12"/>
      <c r="AP47" s="12"/>
      <c r="AQ47" s="12"/>
      <c r="AR47" s="12"/>
      <c r="EI47" s="171"/>
      <c r="EJ47" s="171"/>
      <c r="EK47" s="171"/>
      <c r="EL47" s="12"/>
      <c r="EM47" s="12"/>
      <c r="EN47" s="12"/>
      <c r="EO47" s="12"/>
      <c r="EP47" s="12"/>
      <c r="EQ47" s="12"/>
      <c r="ER47" s="12"/>
      <c r="ES47" s="12"/>
      <c r="ET47" s="12"/>
    </row>
    <row r="48" spans="2:150">
      <c r="B48" s="911"/>
      <c r="C48" s="911"/>
      <c r="D48" s="911"/>
      <c r="E48" s="892"/>
      <c r="F48" s="892"/>
      <c r="G48" s="892"/>
      <c r="H48" s="892"/>
      <c r="I48" s="892"/>
      <c r="K48" s="327">
        <v>3</v>
      </c>
      <c r="L48" s="319" t="str">
        <f t="shared" si="6"/>
        <v>Table 8 - US Gallons at 60°F to Pounds  (in AIR)</v>
      </c>
      <c r="M48" s="5" t="s">
        <v>139</v>
      </c>
      <c r="N48" s="5" t="s">
        <v>169</v>
      </c>
      <c r="O48" s="390"/>
      <c r="P48" s="412"/>
      <c r="Q48" s="740"/>
      <c r="R48" s="381"/>
      <c r="S48" s="415" t="s">
        <v>352</v>
      </c>
      <c r="T48" s="429" t="s">
        <v>102</v>
      </c>
      <c r="U48" s="295">
        <f>BB36</f>
        <v>7.2370000000000001</v>
      </c>
      <c r="V48" s="293" t="s">
        <v>338</v>
      </c>
      <c r="W48" s="423" t="s">
        <v>142</v>
      </c>
      <c r="X48" s="280"/>
      <c r="Y48" s="12"/>
      <c r="Z48" s="575"/>
      <c r="AA48" s="576"/>
      <c r="AB48" s="576"/>
      <c r="AC48" s="576"/>
      <c r="AD48" s="576"/>
      <c r="AE48" s="576"/>
      <c r="AF48" s="576"/>
      <c r="AG48" s="577"/>
      <c r="AH48" s="577"/>
      <c r="AI48" s="577"/>
      <c r="AJ48" s="577"/>
      <c r="AK48" s="578"/>
      <c r="AL48" s="12"/>
      <c r="AM48" s="12"/>
      <c r="AN48" s="12"/>
      <c r="AO48" s="12"/>
      <c r="AP48" s="12"/>
      <c r="AQ48" s="12"/>
      <c r="AR48" s="12"/>
    </row>
    <row r="49" spans="2:79">
      <c r="B49" s="911"/>
      <c r="C49" s="911"/>
      <c r="D49" s="911"/>
      <c r="E49" s="892"/>
      <c r="F49" s="892"/>
      <c r="G49" s="892"/>
      <c r="H49" s="892"/>
      <c r="I49" s="892"/>
      <c r="K49" s="327">
        <v>4</v>
      </c>
      <c r="L49" s="319" t="str">
        <f t="shared" si="6"/>
        <v>Table 8 - Pounds  (in AIR) to US Gallons at 60°F</v>
      </c>
      <c r="M49" s="5" t="s">
        <v>169</v>
      </c>
      <c r="N49" s="5" t="s">
        <v>139</v>
      </c>
      <c r="O49" s="390"/>
      <c r="P49" s="412"/>
      <c r="Q49" s="412"/>
      <c r="R49" s="381"/>
      <c r="S49" s="415" t="s">
        <v>352</v>
      </c>
      <c r="T49" s="433" t="s">
        <v>139</v>
      </c>
      <c r="U49" s="296">
        <f>BC36</f>
        <v>0.13816999999999999</v>
      </c>
      <c r="V49" s="293" t="s">
        <v>338</v>
      </c>
      <c r="W49" s="424" t="s">
        <v>103</v>
      </c>
      <c r="X49" s="280"/>
    </row>
    <row r="50" spans="2:79">
      <c r="B50" s="912"/>
      <c r="C50" s="912"/>
      <c r="D50" s="912"/>
      <c r="E50" s="892"/>
      <c r="F50" s="892"/>
      <c r="G50" s="892"/>
      <c r="H50" s="892"/>
      <c r="I50" s="892"/>
      <c r="K50" s="327">
        <v>5</v>
      </c>
      <c r="L50" s="319" t="str">
        <f t="shared" si="6"/>
        <v>Table 9 - 1000 US Gallons at 60°F to Short Tons (in AIR)</v>
      </c>
      <c r="M50" s="5" t="s">
        <v>144</v>
      </c>
      <c r="N50" s="5" t="s">
        <v>164</v>
      </c>
      <c r="O50" s="390"/>
      <c r="P50" s="413"/>
      <c r="Q50" s="413"/>
      <c r="R50" s="382"/>
      <c r="S50" s="415" t="s">
        <v>353</v>
      </c>
      <c r="T50" s="433" t="s">
        <v>23</v>
      </c>
      <c r="U50" s="295">
        <f>BF36</f>
        <v>3.6185999999999998</v>
      </c>
      <c r="V50" s="293" t="s">
        <v>338</v>
      </c>
      <c r="W50" s="423" t="s">
        <v>144</v>
      </c>
      <c r="X50" s="279"/>
    </row>
    <row r="51" spans="2:79">
      <c r="B51" s="893"/>
      <c r="C51" s="894"/>
      <c r="D51" s="895"/>
      <c r="E51" s="892"/>
      <c r="F51" s="892"/>
      <c r="G51" s="892"/>
      <c r="H51" s="892"/>
      <c r="I51" s="892"/>
      <c r="K51" s="327">
        <v>6</v>
      </c>
      <c r="L51" s="319" t="str">
        <f t="shared" si="6"/>
        <v>Table 9 - US Barrels at 60°F to Short Tons (in AIR)</v>
      </c>
      <c r="M51" s="5" t="s">
        <v>140</v>
      </c>
      <c r="N51" s="5" t="s">
        <v>164</v>
      </c>
      <c r="O51" s="390"/>
      <c r="P51" s="413"/>
      <c r="Q51" s="413"/>
      <c r="R51" s="382"/>
      <c r="S51" s="415" t="s">
        <v>353</v>
      </c>
      <c r="T51" s="433" t="s">
        <v>23</v>
      </c>
      <c r="U51" s="296">
        <f>BG36</f>
        <v>0.15198</v>
      </c>
      <c r="V51" s="293" t="s">
        <v>338</v>
      </c>
      <c r="W51" s="423" t="s">
        <v>143</v>
      </c>
      <c r="X51" s="279"/>
    </row>
    <row r="52" spans="2:79">
      <c r="B52" s="896"/>
      <c r="C52" s="897"/>
      <c r="D52" s="898"/>
      <c r="E52" s="892"/>
      <c r="F52" s="892"/>
      <c r="G52" s="892"/>
      <c r="H52" s="892"/>
      <c r="I52" s="892"/>
      <c r="K52" s="327">
        <v>7</v>
      </c>
      <c r="L52" s="319" t="str">
        <f t="shared" si="6"/>
        <v>Table 10 - Short Tons (in AIR) to US Gallons at 60°F</v>
      </c>
      <c r="M52" s="5" t="s">
        <v>164</v>
      </c>
      <c r="N52" s="5" t="s">
        <v>139</v>
      </c>
      <c r="O52" s="390"/>
      <c r="P52" s="412"/>
      <c r="Q52" s="412"/>
      <c r="R52" s="381"/>
      <c r="S52" s="415" t="s">
        <v>354</v>
      </c>
      <c r="T52" s="433" t="s">
        <v>139</v>
      </c>
      <c r="U52" s="297">
        <f>BJ36</f>
        <v>276.35000000000002</v>
      </c>
      <c r="V52" s="293" t="s">
        <v>338</v>
      </c>
      <c r="W52" s="423" t="s">
        <v>106</v>
      </c>
      <c r="X52" s="279"/>
    </row>
    <row r="53" spans="2:79">
      <c r="B53" s="893"/>
      <c r="C53" s="894"/>
      <c r="D53" s="895"/>
      <c r="E53" s="892"/>
      <c r="F53" s="892"/>
      <c r="G53" s="892"/>
      <c r="H53" s="892"/>
      <c r="I53" s="892"/>
      <c r="K53" s="327">
        <v>8</v>
      </c>
      <c r="L53" s="319" t="str">
        <f t="shared" si="6"/>
        <v>Table 10 - Short Tons (in AIR) to US Barrels at 60°F</v>
      </c>
      <c r="M53" s="5" t="s">
        <v>164</v>
      </c>
      <c r="N53" s="5" t="s">
        <v>140</v>
      </c>
      <c r="O53" s="390"/>
      <c r="P53" s="412"/>
      <c r="Q53" s="412"/>
      <c r="R53" s="381"/>
      <c r="S53" s="415" t="s">
        <v>354</v>
      </c>
      <c r="T53" s="433" t="s">
        <v>140</v>
      </c>
      <c r="U53" s="298">
        <f>BK36</f>
        <v>6.58</v>
      </c>
      <c r="V53" s="293" t="s">
        <v>338</v>
      </c>
      <c r="W53" s="423" t="s">
        <v>106</v>
      </c>
      <c r="X53" s="279"/>
    </row>
    <row r="54" spans="2:79">
      <c r="B54" s="892"/>
      <c r="C54" s="892"/>
      <c r="D54" s="892"/>
      <c r="E54" s="892"/>
      <c r="F54" s="892"/>
      <c r="G54" s="892"/>
      <c r="H54" s="892"/>
      <c r="I54" s="892"/>
      <c r="K54" s="327">
        <v>9</v>
      </c>
      <c r="L54" s="319" t="str">
        <f t="shared" si="6"/>
        <v>Table 11 - 1000 US Gallons at 60°F to Long Tons (in AIR)</v>
      </c>
      <c r="M54" s="5" t="s">
        <v>144</v>
      </c>
      <c r="N54" s="5" t="s">
        <v>165</v>
      </c>
      <c r="O54" s="390"/>
      <c r="P54" s="413"/>
      <c r="Q54" s="413"/>
      <c r="R54" s="382"/>
      <c r="S54" s="415" t="s">
        <v>355</v>
      </c>
      <c r="T54" s="433" t="s">
        <v>14</v>
      </c>
      <c r="U54" s="295">
        <f>BN36</f>
        <v>3.2309000000000001</v>
      </c>
      <c r="V54" s="293" t="s">
        <v>338</v>
      </c>
      <c r="W54" s="423" t="s">
        <v>144</v>
      </c>
      <c r="X54" s="279"/>
    </row>
    <row r="55" spans="2:79">
      <c r="B55" s="909"/>
      <c r="C55" s="910"/>
      <c r="D55" s="910"/>
      <c r="E55" s="892"/>
      <c r="F55" s="892"/>
      <c r="G55" s="892"/>
      <c r="H55" s="892"/>
      <c r="I55" s="892"/>
      <c r="K55" s="327">
        <v>10</v>
      </c>
      <c r="L55" s="319" t="str">
        <f t="shared" si="6"/>
        <v>Table 11 - US Barrels at 60°F to Long Tons (in AIR)</v>
      </c>
      <c r="M55" s="5" t="s">
        <v>140</v>
      </c>
      <c r="N55" s="5" t="s">
        <v>165</v>
      </c>
      <c r="O55" s="390"/>
      <c r="P55" s="413"/>
      <c r="Q55" s="413"/>
      <c r="R55" s="382"/>
      <c r="S55" s="415" t="s">
        <v>355</v>
      </c>
      <c r="T55" s="433" t="s">
        <v>14</v>
      </c>
      <c r="U55" s="296">
        <f>BO36</f>
        <v>0.13569999999999999</v>
      </c>
      <c r="V55" s="293" t="s">
        <v>338</v>
      </c>
      <c r="W55" s="423" t="s">
        <v>143</v>
      </c>
      <c r="X55" s="279"/>
    </row>
    <row r="56" spans="2:79">
      <c r="B56" s="911"/>
      <c r="C56" s="911"/>
      <c r="D56" s="911"/>
      <c r="E56" s="892"/>
      <c r="F56" s="892"/>
      <c r="G56" s="892"/>
      <c r="H56" s="892"/>
      <c r="I56" s="892"/>
      <c r="K56" s="327">
        <v>11</v>
      </c>
      <c r="L56" s="319" t="str">
        <f t="shared" si="6"/>
        <v>Table 12 - Long Tons (in AIR) to US Gallons at 60°F</v>
      </c>
      <c r="M56" s="5" t="s">
        <v>165</v>
      </c>
      <c r="N56" s="5" t="s">
        <v>139</v>
      </c>
      <c r="O56" s="390"/>
      <c r="P56" s="412"/>
      <c r="Q56" s="412"/>
      <c r="R56" s="381"/>
      <c r="S56" s="415" t="s">
        <v>356</v>
      </c>
      <c r="T56" s="433" t="s">
        <v>139</v>
      </c>
      <c r="U56" s="297">
        <f>BR36</f>
        <v>309.51</v>
      </c>
      <c r="V56" s="293" t="s">
        <v>338</v>
      </c>
      <c r="W56" s="423" t="s">
        <v>108</v>
      </c>
      <c r="X56" s="279"/>
    </row>
    <row r="57" spans="2:79">
      <c r="B57" s="911"/>
      <c r="C57" s="911"/>
      <c r="D57" s="911"/>
      <c r="E57" s="892"/>
      <c r="F57" s="892"/>
      <c r="G57" s="892"/>
      <c r="H57" s="892"/>
      <c r="I57" s="892"/>
      <c r="K57" s="327">
        <v>12</v>
      </c>
      <c r="L57" s="319" t="str">
        <f t="shared" si="6"/>
        <v>Table 12 - Long Tons (in AIR) to US Barrels at 60°F</v>
      </c>
      <c r="M57" s="5" t="s">
        <v>165</v>
      </c>
      <c r="N57" s="5" t="s">
        <v>140</v>
      </c>
      <c r="O57" s="390"/>
      <c r="P57" s="412"/>
      <c r="Q57" s="412"/>
      <c r="R57" s="381"/>
      <c r="S57" s="415" t="s">
        <v>356</v>
      </c>
      <c r="T57" s="433" t="s">
        <v>140</v>
      </c>
      <c r="U57" s="298">
        <f>BS36</f>
        <v>7.3689999999999998</v>
      </c>
      <c r="V57" s="293" t="s">
        <v>338</v>
      </c>
      <c r="W57" s="423" t="s">
        <v>108</v>
      </c>
      <c r="X57" s="279"/>
    </row>
    <row r="58" spans="2:79">
      <c r="B58" s="911"/>
      <c r="C58" s="911"/>
      <c r="D58" s="911"/>
      <c r="E58" s="892"/>
      <c r="F58" s="892"/>
      <c r="G58" s="892"/>
      <c r="H58" s="892"/>
      <c r="I58" s="892"/>
      <c r="K58" s="327">
        <v>13</v>
      </c>
      <c r="L58" s="319" t="str">
        <f t="shared" si="6"/>
        <v xml:space="preserve">Table 13 - 1000 US Gallons at 60°F to Metric Tons (in AIR) </v>
      </c>
      <c r="M58" s="5" t="s">
        <v>144</v>
      </c>
      <c r="N58" s="5" t="s">
        <v>170</v>
      </c>
      <c r="O58" s="390"/>
      <c r="P58" s="413"/>
      <c r="Q58" s="413"/>
      <c r="R58" s="382"/>
      <c r="S58" s="415" t="s">
        <v>357</v>
      </c>
      <c r="T58" s="433" t="s">
        <v>15</v>
      </c>
      <c r="U58" s="298">
        <f>BV36</f>
        <v>3.2827999999999999</v>
      </c>
      <c r="V58" s="293" t="s">
        <v>338</v>
      </c>
      <c r="W58" s="423" t="s">
        <v>144</v>
      </c>
      <c r="X58" s="279"/>
    </row>
    <row r="59" spans="2:79">
      <c r="B59" s="912"/>
      <c r="C59" s="912"/>
      <c r="D59" s="912"/>
      <c r="E59" s="892"/>
      <c r="F59" s="892"/>
      <c r="G59" s="892"/>
      <c r="H59" s="892"/>
      <c r="I59" s="892"/>
      <c r="K59" s="327">
        <v>14</v>
      </c>
      <c r="L59" s="319" t="str">
        <f t="shared" si="6"/>
        <v xml:space="preserve">Table 13 - US Barrels at 60°F to Metric Tons (in AIR) </v>
      </c>
      <c r="M59" s="5" t="s">
        <v>140</v>
      </c>
      <c r="N59" s="5" t="s">
        <v>170</v>
      </c>
      <c r="O59" s="390"/>
      <c r="P59" s="413"/>
      <c r="Q59" s="413"/>
      <c r="R59" s="382"/>
      <c r="S59" s="415" t="s">
        <v>357</v>
      </c>
      <c r="T59" s="433" t="s">
        <v>15</v>
      </c>
      <c r="U59" s="299">
        <f>BW36</f>
        <v>0.13788</v>
      </c>
      <c r="V59" s="293" t="s">
        <v>338</v>
      </c>
      <c r="W59" s="423" t="s">
        <v>143</v>
      </c>
      <c r="X59" s="277"/>
    </row>
    <row r="60" spans="2:79">
      <c r="B60" s="899"/>
      <c r="C60" s="900"/>
      <c r="D60" s="901"/>
      <c r="E60" s="892"/>
      <c r="F60" s="892"/>
      <c r="G60" s="892"/>
      <c r="H60" s="892"/>
      <c r="I60" s="892"/>
      <c r="K60" s="327">
        <v>15</v>
      </c>
      <c r="L60" s="319" t="str">
        <f t="shared" si="6"/>
        <v>Table 14 - Short Tons (in AIR) to Cubic Metres at 15°C</v>
      </c>
      <c r="M60" s="5" t="s">
        <v>164</v>
      </c>
      <c r="N60" s="5" t="s">
        <v>138</v>
      </c>
      <c r="O60" s="390"/>
      <c r="P60" s="413"/>
      <c r="Q60" s="413"/>
      <c r="R60" s="382"/>
      <c r="S60" s="415" t="s">
        <v>358</v>
      </c>
      <c r="T60" s="432" t="s">
        <v>138</v>
      </c>
      <c r="U60" s="299">
        <f>BZ36</f>
        <v>1.0456000000000001</v>
      </c>
      <c r="V60" s="293" t="s">
        <v>338</v>
      </c>
      <c r="W60" s="423" t="s">
        <v>106</v>
      </c>
      <c r="X60" s="277"/>
    </row>
    <row r="61" spans="2:79">
      <c r="B61" s="902"/>
      <c r="C61" s="903"/>
      <c r="D61" s="904"/>
      <c r="E61" s="892"/>
      <c r="F61" s="892"/>
      <c r="G61" s="892"/>
      <c r="H61" s="892"/>
      <c r="I61" s="892"/>
      <c r="K61" s="327">
        <v>16</v>
      </c>
      <c r="L61" s="319" t="str">
        <f t="shared" si="6"/>
        <v>Table 14 - Long Tons (in AIR) to Cubic Metres at 15°C</v>
      </c>
      <c r="M61" s="5" t="s">
        <v>165</v>
      </c>
      <c r="N61" s="5" t="s">
        <v>138</v>
      </c>
      <c r="O61" s="390"/>
      <c r="P61" s="413"/>
      <c r="Q61" s="413"/>
      <c r="R61" s="382"/>
      <c r="S61" s="415" t="s">
        <v>358</v>
      </c>
      <c r="T61" s="432" t="s">
        <v>138</v>
      </c>
      <c r="U61" s="299">
        <f>CA36</f>
        <v>1.1711</v>
      </c>
      <c r="V61" s="293" t="s">
        <v>338</v>
      </c>
      <c r="W61" s="423" t="s">
        <v>108</v>
      </c>
      <c r="X61" s="277"/>
    </row>
    <row r="62" spans="2:79">
      <c r="B62" s="899"/>
      <c r="C62" s="900"/>
      <c r="D62" s="901"/>
      <c r="E62" s="892"/>
      <c r="F62" s="892"/>
      <c r="G62" s="892"/>
      <c r="H62" s="892"/>
      <c r="I62" s="892"/>
      <c r="K62" s="276"/>
      <c r="L62" s="312"/>
      <c r="M62" s="312"/>
      <c r="N62" s="312"/>
      <c r="O62" s="391"/>
      <c r="P62" s="312"/>
      <c r="Q62" s="312"/>
      <c r="R62" s="383"/>
      <c r="S62" s="417"/>
      <c r="T62" s="428"/>
      <c r="U62" s="281"/>
      <c r="V62" s="281"/>
      <c r="W62" s="281"/>
      <c r="X62" s="282"/>
      <c r="AG62" s="700"/>
    </row>
    <row r="63" spans="2:79">
      <c r="B63" s="892"/>
      <c r="C63" s="892"/>
      <c r="D63" s="892"/>
      <c r="E63" s="892"/>
      <c r="F63" s="892"/>
      <c r="G63" s="892"/>
      <c r="H63" s="892"/>
      <c r="I63" s="892"/>
      <c r="T63" s="6"/>
      <c r="U63" s="6"/>
      <c r="V63" s="6"/>
      <c r="W63" s="6"/>
      <c r="X63" s="6"/>
    </row>
    <row r="64" spans="2:79" ht="15.75" customHeight="1">
      <c r="B64" s="909"/>
      <c r="C64" s="910"/>
      <c r="D64" s="910"/>
      <c r="E64" s="892"/>
      <c r="F64" s="892"/>
      <c r="G64" s="892"/>
      <c r="H64" s="892"/>
      <c r="I64" s="892"/>
      <c r="K64" s="3601" t="s">
        <v>494</v>
      </c>
      <c r="L64" s="3602"/>
      <c r="M64" s="3602"/>
      <c r="N64" s="3602"/>
      <c r="O64" s="3602"/>
      <c r="P64" s="3602"/>
      <c r="Q64" s="3602"/>
      <c r="R64" s="3602"/>
      <c r="S64" s="3602"/>
      <c r="T64" s="3602"/>
      <c r="U64" s="3602"/>
      <c r="V64" s="3602"/>
      <c r="W64" s="3602"/>
      <c r="X64" s="3603"/>
      <c r="Z64" s="262" t="s">
        <v>498</v>
      </c>
      <c r="AA64" s="29"/>
      <c r="AB64" s="29"/>
      <c r="AC64" s="29"/>
      <c r="AD64" s="29"/>
      <c r="AE64" s="29"/>
      <c r="AF64" s="29"/>
      <c r="AG64" s="29"/>
      <c r="AH64" s="29"/>
      <c r="AI64" s="29"/>
      <c r="AJ64" s="29"/>
      <c r="AK64" s="29"/>
      <c r="AL64" s="29"/>
      <c r="AM64" s="29"/>
      <c r="AN64" s="29"/>
      <c r="AO64" s="29"/>
      <c r="AP64" s="29"/>
      <c r="AQ64" s="214"/>
      <c r="AS64" s="262" t="s">
        <v>100</v>
      </c>
      <c r="AT64" s="29"/>
      <c r="AU64" s="29"/>
      <c r="AV64" s="29"/>
      <c r="AW64" s="29"/>
      <c r="AX64" s="29"/>
      <c r="AY64" s="29"/>
      <c r="AZ64" s="29"/>
      <c r="BA64" s="29"/>
      <c r="BB64" s="29"/>
      <c r="BC64" s="29"/>
      <c r="BD64" s="165"/>
      <c r="BE64" s="166" t="s">
        <v>100</v>
      </c>
      <c r="BF64" s="29"/>
      <c r="BG64" s="166"/>
      <c r="BH64" s="29"/>
      <c r="BI64" s="29"/>
      <c r="BJ64" s="29"/>
      <c r="BK64" s="29"/>
      <c r="BL64" s="29"/>
      <c r="BM64" s="29"/>
      <c r="BN64" s="29"/>
      <c r="BO64" s="29"/>
      <c r="BP64" s="165"/>
      <c r="BQ64" s="166" t="s">
        <v>100</v>
      </c>
      <c r="BR64" s="166"/>
      <c r="BS64" s="166"/>
      <c r="BT64" s="29"/>
      <c r="BU64" s="29"/>
      <c r="BV64" s="29"/>
      <c r="BW64" s="29"/>
      <c r="BX64" s="29"/>
      <c r="BY64" s="29"/>
      <c r="BZ64" s="29"/>
      <c r="CA64" s="214"/>
    </row>
    <row r="65" spans="2:80" ht="13.15">
      <c r="B65" s="911"/>
      <c r="C65" s="911"/>
      <c r="D65" s="911"/>
      <c r="E65" s="892"/>
      <c r="F65" s="892"/>
      <c r="G65" s="892"/>
      <c r="H65" s="892"/>
      <c r="I65" s="892"/>
      <c r="K65" s="419"/>
      <c r="L65" s="284"/>
      <c r="M65" s="451"/>
      <c r="N65" s="480"/>
      <c r="O65" s="480"/>
      <c r="P65" s="480"/>
      <c r="Q65" s="480"/>
      <c r="R65" s="480"/>
      <c r="S65" s="480"/>
      <c r="T65" s="480"/>
      <c r="U65" s="480"/>
      <c r="W65" s="441"/>
      <c r="X65" s="398"/>
      <c r="Z65" s="571"/>
      <c r="AA65" s="572"/>
      <c r="AB65" s="262" t="s">
        <v>302</v>
      </c>
      <c r="AC65" s="29"/>
      <c r="AD65" s="698" t="s">
        <v>307</v>
      </c>
      <c r="AE65" s="3614" t="s">
        <v>308</v>
      </c>
      <c r="AF65" s="3615"/>
      <c r="AG65" s="3616" t="s">
        <v>311</v>
      </c>
      <c r="AH65" s="3617"/>
      <c r="AI65" s="3617"/>
      <c r="AJ65" s="3618"/>
      <c r="AK65" s="698" t="s">
        <v>316</v>
      </c>
      <c r="AL65" s="3616" t="s">
        <v>322</v>
      </c>
      <c r="AM65" s="3617"/>
      <c r="AN65" s="3617"/>
      <c r="AO65" s="3617"/>
      <c r="AP65" s="3618"/>
      <c r="AQ65" s="573" t="s">
        <v>204</v>
      </c>
      <c r="AS65" s="253" t="str">
        <f>'ASTM Vol. XI-XII'!AQ5</f>
        <v>ASTM Table 21</v>
      </c>
      <c r="AT65" s="254"/>
      <c r="AU65" s="255"/>
      <c r="AV65" s="251"/>
      <c r="AW65" s="3549" t="str">
        <f>'ASTM Vol. XI-XII'!AU5</f>
        <v>ASTM Table 22</v>
      </c>
      <c r="AX65" s="3550"/>
      <c r="AY65" s="3551"/>
      <c r="AZ65" s="264"/>
      <c r="BA65" s="3586" t="str">
        <f>'ASTM Vol. XI-XII'!AU5</f>
        <v>ASTM Table 22</v>
      </c>
      <c r="BB65" s="3587"/>
      <c r="BC65" s="3588"/>
      <c r="BD65" s="251"/>
      <c r="BE65" s="253" t="str">
        <f>'ASTM Vol. XI-XII'!AZ5</f>
        <v>ASTM Table 26</v>
      </c>
      <c r="BF65" s="254"/>
      <c r="BG65" s="255"/>
      <c r="BH65" s="251"/>
      <c r="BI65" s="253" t="str">
        <f>'ASTM Vol. XI-XII'!BD5</f>
        <v>ASTM Table 27</v>
      </c>
      <c r="BJ65" s="254"/>
      <c r="BK65" s="255"/>
      <c r="BL65" s="251"/>
      <c r="BM65" s="253" t="str">
        <f>'ASTM Vol. XI-XII'!BH5</f>
        <v>ASTM Table 28</v>
      </c>
      <c r="BN65" s="254"/>
      <c r="BO65" s="255"/>
      <c r="BP65" s="251"/>
      <c r="BQ65" s="253" t="str">
        <f>'ASTM Vol. XI-XII'!BL5</f>
        <v>ASTM Table 29</v>
      </c>
      <c r="BR65" s="254"/>
      <c r="BS65" s="255"/>
      <c r="BT65" s="251"/>
      <c r="BU65" s="253" t="str">
        <f>'ASTM Vol. XI-XII'!BP5</f>
        <v>ASTM Table 30</v>
      </c>
      <c r="BV65" s="254"/>
      <c r="BW65" s="255"/>
      <c r="BX65" s="251"/>
      <c r="BY65" s="253" t="str">
        <f>'ASTM Vol. XI-XII'!BT5</f>
        <v>ASTM Table 31</v>
      </c>
      <c r="BZ65" s="254"/>
      <c r="CA65" s="255"/>
      <c r="CB65" s="22"/>
    </row>
    <row r="66" spans="2:80" ht="15">
      <c r="B66" s="911"/>
      <c r="C66" s="911"/>
      <c r="D66" s="911"/>
      <c r="E66" s="892"/>
      <c r="F66" s="892"/>
      <c r="G66" s="892"/>
      <c r="H66" s="892"/>
      <c r="I66" s="892"/>
      <c r="K66" s="275"/>
      <c r="M66" s="585" t="str">
        <f>$M$17</f>
        <v>BBLS @ Temp.</v>
      </c>
      <c r="N66" s="477" t="str">
        <f>L68</f>
        <v>BBLS @ Temp.</v>
      </c>
      <c r="O66" s="477" t="str">
        <f>L69</f>
        <v>BBLS @ 60°F</v>
      </c>
      <c r="P66" s="477" t="str">
        <f>L70</f>
        <v>M3 @ Temp.</v>
      </c>
      <c r="Q66" s="477" t="str">
        <f>L71</f>
        <v>M3 @ 15°C</v>
      </c>
      <c r="R66" s="477" t="str">
        <f>L72</f>
        <v>MT (in Vac)</v>
      </c>
      <c r="S66" s="477" t="str">
        <f>L73</f>
        <v>MT (in Air)</v>
      </c>
      <c r="T66" s="477" t="str">
        <f>L74</f>
        <v>LT</v>
      </c>
      <c r="U66" s="477">
        <f>L75</f>
        <v>0</v>
      </c>
      <c r="W66" s="426"/>
      <c r="X66" s="398"/>
      <c r="Z66" s="543" t="s">
        <v>251</v>
      </c>
      <c r="AA66" s="543" t="s">
        <v>301</v>
      </c>
      <c r="AB66" s="694" t="s">
        <v>251</v>
      </c>
      <c r="AC66" s="262" t="s">
        <v>205</v>
      </c>
      <c r="AD66" s="543" t="s">
        <v>306</v>
      </c>
      <c r="AE66" s="543" t="s">
        <v>309</v>
      </c>
      <c r="AF66" s="543" t="s">
        <v>310</v>
      </c>
      <c r="AG66" s="543" t="s">
        <v>312</v>
      </c>
      <c r="AH66" s="543" t="s">
        <v>313</v>
      </c>
      <c r="AI66" s="543" t="s">
        <v>314</v>
      </c>
      <c r="AJ66" s="283" t="s">
        <v>315</v>
      </c>
      <c r="AK66" s="283" t="s">
        <v>317</v>
      </c>
      <c r="AL66" s="422" t="s">
        <v>319</v>
      </c>
      <c r="AM66" s="422" t="s">
        <v>318</v>
      </c>
      <c r="AN66" s="422" t="s">
        <v>320</v>
      </c>
      <c r="AO66" s="422" t="s">
        <v>321</v>
      </c>
      <c r="AP66" s="5" t="s">
        <v>323</v>
      </c>
      <c r="AQ66" s="574" t="s">
        <v>304</v>
      </c>
      <c r="AS66" s="229" t="s">
        <v>19</v>
      </c>
      <c r="AT66" s="230" t="s">
        <v>18</v>
      </c>
      <c r="AU66" s="231" t="s">
        <v>20</v>
      </c>
      <c r="AV66" s="252"/>
      <c r="AW66" s="229" t="s">
        <v>19</v>
      </c>
      <c r="AX66" s="3552" t="s">
        <v>247</v>
      </c>
      <c r="AY66" s="3553"/>
      <c r="AZ66" s="265"/>
      <c r="BA66" s="229" t="s">
        <v>19</v>
      </c>
      <c r="BB66" s="3552" t="s">
        <v>248</v>
      </c>
      <c r="BC66" s="3553"/>
      <c r="BD66" s="252"/>
      <c r="BE66" s="229" t="s">
        <v>19</v>
      </c>
      <c r="BF66" s="230" t="s">
        <v>102</v>
      </c>
      <c r="BG66" s="231" t="s">
        <v>24</v>
      </c>
      <c r="BH66" s="252"/>
      <c r="BI66" s="229" t="s">
        <v>19</v>
      </c>
      <c r="BJ66" s="230" t="s">
        <v>23</v>
      </c>
      <c r="BK66" s="231" t="s">
        <v>23</v>
      </c>
      <c r="BL66" s="252"/>
      <c r="BM66" s="229" t="s">
        <v>19</v>
      </c>
      <c r="BN66" s="230" t="s">
        <v>24</v>
      </c>
      <c r="BO66" s="231" t="s">
        <v>16</v>
      </c>
      <c r="BP66" s="252"/>
      <c r="BQ66" s="229" t="s">
        <v>19</v>
      </c>
      <c r="BR66" s="230" t="s">
        <v>14</v>
      </c>
      <c r="BS66" s="231" t="s">
        <v>14</v>
      </c>
      <c r="BT66" s="252"/>
      <c r="BU66" s="229" t="s">
        <v>19</v>
      </c>
      <c r="BV66" s="230" t="s">
        <v>24</v>
      </c>
      <c r="BW66" s="231" t="s">
        <v>16</v>
      </c>
      <c r="BX66" s="252"/>
      <c r="BY66" s="229" t="s">
        <v>19</v>
      </c>
      <c r="BZ66" s="230" t="s">
        <v>13</v>
      </c>
      <c r="CA66" s="231" t="s">
        <v>13</v>
      </c>
      <c r="CB66" s="232"/>
    </row>
    <row r="67" spans="2:80" ht="13.15">
      <c r="B67" s="911"/>
      <c r="C67" s="911"/>
      <c r="D67" s="911"/>
      <c r="E67" s="892"/>
      <c r="F67" s="892"/>
      <c r="G67" s="892"/>
      <c r="H67" s="892"/>
      <c r="I67" s="892"/>
      <c r="K67" s="276"/>
      <c r="L67" s="383"/>
      <c r="M67" s="482">
        <f>$M$18</f>
        <v>100000</v>
      </c>
      <c r="N67" s="478">
        <f>IF(N66=$M66,$M67,"")</f>
        <v>100000</v>
      </c>
      <c r="O67" s="479" t="str">
        <f t="shared" ref="O67:U67" si="7">IF(O66=$M66,$M67,"")</f>
        <v/>
      </c>
      <c r="P67" s="479" t="str">
        <f t="shared" si="7"/>
        <v/>
      </c>
      <c r="Q67" s="479" t="str">
        <f t="shared" si="7"/>
        <v/>
      </c>
      <c r="R67" s="479" t="str">
        <f t="shared" si="7"/>
        <v/>
      </c>
      <c r="S67" s="478" t="str">
        <f t="shared" si="7"/>
        <v/>
      </c>
      <c r="T67" s="478" t="str">
        <f t="shared" si="7"/>
        <v/>
      </c>
      <c r="U67" s="478" t="str">
        <f t="shared" si="7"/>
        <v/>
      </c>
      <c r="V67" s="276"/>
      <c r="W67" s="428"/>
      <c r="X67" s="400"/>
      <c r="Z67" s="696">
        <f>U9</f>
        <v>0.86919999999999997</v>
      </c>
      <c r="AA67" s="695">
        <f>W8</f>
        <v>110</v>
      </c>
      <c r="AB67" s="697">
        <f>MROUND(Z67,0.002)</f>
        <v>0.87</v>
      </c>
      <c r="AC67" s="547">
        <f>FLOOR(AA67,1)+IF(MOD(AA67,1)&lt;0.26,0,IF(MOD(AA67,1)&lt;0.76,0.5,1))</f>
        <v>110</v>
      </c>
      <c r="AD67" s="543">
        <f>MROUND(AB67*999.012,0.01)</f>
        <v>869.14</v>
      </c>
      <c r="AE67" s="543">
        <v>341.09570000000002</v>
      </c>
      <c r="AF67" s="283">
        <v>0</v>
      </c>
      <c r="AG67" s="699">
        <f>TRUNC(AE67/AD67,8)</f>
        <v>0.39245195999999999</v>
      </c>
      <c r="AH67" s="701">
        <f>TRUNC(AG67/AD67,10)</f>
        <v>4.5154050000000001E-4</v>
      </c>
      <c r="AI67" s="702">
        <f>AF67/AD67</f>
        <v>0</v>
      </c>
      <c r="AJ67" s="703">
        <f>MROUND(AH67+AI67,0.0000001)</f>
        <v>4.5149999999999997E-4</v>
      </c>
      <c r="AK67" s="704">
        <f>AC67-60</f>
        <v>50</v>
      </c>
      <c r="AL67" s="705">
        <f>AJ67*AK67</f>
        <v>2.2574999999999998E-2</v>
      </c>
      <c r="AM67" s="705">
        <f>0.8*AL67</f>
        <v>1.806E-2</v>
      </c>
      <c r="AN67" s="705">
        <f>0.8*AJ67^2*AK67^2</f>
        <v>4.0770450000000001E-4</v>
      </c>
      <c r="AO67" s="705">
        <f>-AL67-AN67</f>
        <v>-2.2982704499999999E-2</v>
      </c>
      <c r="AP67" s="283">
        <f>TRUNC(EXP(AO67),6)</f>
        <v>0.97727900000000001</v>
      </c>
      <c r="AQ67" s="706">
        <f>ROUND(MROUND(AP67,0.00001),4)</f>
        <v>0.97729999999999995</v>
      </c>
      <c r="AS67" s="180" t="s">
        <v>20</v>
      </c>
      <c r="AT67" s="181" t="s">
        <v>26</v>
      </c>
      <c r="AU67" s="182"/>
      <c r="AV67" s="186"/>
      <c r="AW67" s="180" t="s">
        <v>20</v>
      </c>
      <c r="AX67" s="3554" t="s">
        <v>25</v>
      </c>
      <c r="AY67" s="3555"/>
      <c r="AZ67" s="266"/>
      <c r="BA67" s="180" t="s">
        <v>20</v>
      </c>
      <c r="BB67" s="3554" t="s">
        <v>25</v>
      </c>
      <c r="BC67" s="3555"/>
      <c r="BD67" s="186"/>
      <c r="BE67" s="180" t="s">
        <v>20</v>
      </c>
      <c r="BF67" s="181" t="s">
        <v>25</v>
      </c>
      <c r="BG67" s="182" t="s">
        <v>25</v>
      </c>
      <c r="BH67" s="186"/>
      <c r="BI67" s="180" t="s">
        <v>20</v>
      </c>
      <c r="BJ67" s="181" t="s">
        <v>98</v>
      </c>
      <c r="BK67" s="182" t="s">
        <v>25</v>
      </c>
      <c r="BL67" s="186"/>
      <c r="BM67" s="180" t="s">
        <v>20</v>
      </c>
      <c r="BN67" s="181" t="s">
        <v>25</v>
      </c>
      <c r="BO67" s="182" t="s">
        <v>25</v>
      </c>
      <c r="BP67" s="186"/>
      <c r="BQ67" s="180" t="s">
        <v>20</v>
      </c>
      <c r="BR67" s="181" t="s">
        <v>98</v>
      </c>
      <c r="BS67" s="182" t="s">
        <v>25</v>
      </c>
      <c r="BT67" s="186"/>
      <c r="BU67" s="180" t="s">
        <v>20</v>
      </c>
      <c r="BV67" s="181" t="s">
        <v>25</v>
      </c>
      <c r="BW67" s="182" t="s">
        <v>25</v>
      </c>
      <c r="BX67" s="186"/>
      <c r="BY67" s="180" t="s">
        <v>20</v>
      </c>
      <c r="BZ67" s="181" t="s">
        <v>25</v>
      </c>
      <c r="CA67" s="182" t="s">
        <v>25</v>
      </c>
      <c r="CB67" s="22"/>
    </row>
    <row r="68" spans="2:80" ht="13.15">
      <c r="B68" s="912"/>
      <c r="C68" s="912"/>
      <c r="D68" s="912"/>
      <c r="E68" s="892"/>
      <c r="F68" s="892"/>
      <c r="G68" s="892"/>
      <c r="H68" s="892"/>
      <c r="I68" s="892"/>
      <c r="K68" s="327">
        <v>1</v>
      </c>
      <c r="L68" s="454" t="str">
        <f t="shared" ref="L68:L75" si="8">L19</f>
        <v>BBLS @ Temp.</v>
      </c>
      <c r="M68" s="457">
        <f>MAX(N68:U68)</f>
        <v>100000</v>
      </c>
      <c r="N68" s="719">
        <f>IF($M$17=N66,ROUND(N67,0),"")</f>
        <v>100000</v>
      </c>
      <c r="O68" s="457" t="str">
        <f>IF($M$17=O66,ROUND(O69/$U$13,0),"")</f>
        <v/>
      </c>
      <c r="P68" s="457" t="str">
        <f>IF($M$17=P66,ROUND(P70*$Q$8,0),"")</f>
        <v/>
      </c>
      <c r="Q68" s="457" t="str">
        <f>IF($M$17=Q66,ROUND(Q69/$U$13,0),"")</f>
        <v/>
      </c>
      <c r="R68" s="457" t="str">
        <f>IF($M$17=R66,ROUND(R69/$U$13,0),"")</f>
        <v/>
      </c>
      <c r="S68" s="457" t="str">
        <f>IF($M$17=S66,ROUND(S69/$U$13,0),"")</f>
        <v/>
      </c>
      <c r="T68" s="457" t="str">
        <f>IF($M$17=T66,ROUND(T69/$U$13,0),"")</f>
        <v/>
      </c>
      <c r="U68" s="457"/>
      <c r="W68" s="12"/>
      <c r="X68" s="398"/>
      <c r="Z68" s="549"/>
      <c r="AA68" s="541"/>
      <c r="AB68" s="561"/>
      <c r="AC68" s="561"/>
      <c r="AD68" s="561"/>
      <c r="AE68" s="541"/>
      <c r="AF68" s="541"/>
      <c r="AG68" s="541"/>
      <c r="AH68" s="541"/>
      <c r="AI68" s="541"/>
      <c r="AQ68" s="542"/>
      <c r="AS68" s="233"/>
      <c r="AT68" s="234"/>
      <c r="AU68" s="235"/>
      <c r="AV68" s="252"/>
      <c r="AW68" s="233"/>
      <c r="AX68" s="3554" t="s">
        <v>114</v>
      </c>
      <c r="AY68" s="3555"/>
      <c r="AZ68" s="266"/>
      <c r="BA68" s="180"/>
      <c r="BB68" s="3554" t="s">
        <v>116</v>
      </c>
      <c r="BC68" s="3555"/>
      <c r="BD68" s="252"/>
      <c r="BE68" s="233"/>
      <c r="BF68" s="234" t="s">
        <v>30</v>
      </c>
      <c r="BG68" s="235" t="s">
        <v>103</v>
      </c>
      <c r="BH68" s="252"/>
      <c r="BI68" s="233"/>
      <c r="BJ68" s="234" t="s">
        <v>24</v>
      </c>
      <c r="BK68" s="235" t="s">
        <v>28</v>
      </c>
      <c r="BL68" s="252"/>
      <c r="BM68" s="233"/>
      <c r="BN68" s="234" t="s">
        <v>106</v>
      </c>
      <c r="BO68" s="235" t="s">
        <v>106</v>
      </c>
      <c r="BP68" s="252"/>
      <c r="BQ68" s="233"/>
      <c r="BR68" s="234" t="s">
        <v>24</v>
      </c>
      <c r="BS68" s="235" t="s">
        <v>28</v>
      </c>
      <c r="BT68" s="252"/>
      <c r="BU68" s="233"/>
      <c r="BV68" s="234" t="s">
        <v>108</v>
      </c>
      <c r="BW68" s="235" t="s">
        <v>108</v>
      </c>
      <c r="BX68" s="252"/>
      <c r="BY68" s="233"/>
      <c r="BZ68" s="234" t="s">
        <v>106</v>
      </c>
      <c r="CA68" s="235" t="s">
        <v>110</v>
      </c>
      <c r="CB68" s="232"/>
    </row>
    <row r="69" spans="2:80" ht="13.15">
      <c r="B69" s="893"/>
      <c r="C69" s="894"/>
      <c r="D69" s="905"/>
      <c r="E69" s="892"/>
      <c r="F69" s="892"/>
      <c r="G69" s="892"/>
      <c r="H69" s="892"/>
      <c r="I69" s="892"/>
      <c r="K69" s="327">
        <v>2</v>
      </c>
      <c r="L69" s="454" t="str">
        <f t="shared" si="8"/>
        <v>BBLS @ 60°F</v>
      </c>
      <c r="M69" s="456">
        <f t="shared" ref="M69" si="9">MAX(N69:U69)</f>
        <v>97730</v>
      </c>
      <c r="N69" s="599">
        <f>IF($M$17=N66,ROUND(N68*$U$13,0),"")</f>
        <v>97730</v>
      </c>
      <c r="O69" s="718" t="str">
        <f>IF($M$17=O66,ROUND(O67,0),"")</f>
        <v/>
      </c>
      <c r="P69" s="599" t="str">
        <f>IF($M$17=P66,ROUND(P68*$U$13,0),"")</f>
        <v/>
      </c>
      <c r="Q69" s="599" t="str">
        <f>IF($M$17=Q66,ROUND(Q71/$U$82,0),"")</f>
        <v/>
      </c>
      <c r="R69" s="599" t="str">
        <f>IF($M$17=R66,ROUND(R74*$U$92,0),"")</f>
        <v/>
      </c>
      <c r="S69" s="599" t="str">
        <f>IF($M$17=S66,ROUND(S74*$U$92,0),"")</f>
        <v/>
      </c>
      <c r="T69" s="599" t="str">
        <f>IF($M$17=T66,ROUND(T74*$U$92,0),"")</f>
        <v/>
      </c>
      <c r="U69" s="456"/>
      <c r="W69" s="12"/>
      <c r="X69" s="398"/>
      <c r="Z69" s="571"/>
      <c r="AA69" s="572"/>
      <c r="AB69" s="262" t="s">
        <v>303</v>
      </c>
      <c r="AC69" s="29"/>
      <c r="AD69" s="698" t="s">
        <v>307</v>
      </c>
      <c r="AE69" s="3614" t="s">
        <v>308</v>
      </c>
      <c r="AF69" s="3615"/>
      <c r="AG69" s="3616" t="s">
        <v>311</v>
      </c>
      <c r="AH69" s="3617"/>
      <c r="AI69" s="3617"/>
      <c r="AJ69" s="3618"/>
      <c r="AK69" s="698" t="s">
        <v>316</v>
      </c>
      <c r="AL69" s="3616" t="s">
        <v>322</v>
      </c>
      <c r="AM69" s="3617"/>
      <c r="AN69" s="3617"/>
      <c r="AO69" s="3617"/>
      <c r="AP69" s="3618"/>
      <c r="AQ69" s="573" t="s">
        <v>204</v>
      </c>
      <c r="AS69" s="23" t="s">
        <v>35</v>
      </c>
      <c r="AT69" s="183" t="s">
        <v>32</v>
      </c>
      <c r="AU69" s="184" t="s">
        <v>31</v>
      </c>
      <c r="AV69" s="186"/>
      <c r="AW69" s="23" t="s">
        <v>35</v>
      </c>
      <c r="AX69" s="3584"/>
      <c r="AY69" s="3585"/>
      <c r="AZ69" s="267"/>
      <c r="BA69" s="23" t="s">
        <v>35</v>
      </c>
      <c r="BB69" s="3584"/>
      <c r="BC69" s="3585"/>
      <c r="BD69" s="186"/>
      <c r="BE69" s="23" t="s">
        <v>35</v>
      </c>
      <c r="BF69" s="183"/>
      <c r="BG69" s="184"/>
      <c r="BH69" s="186"/>
      <c r="BI69" s="23" t="s">
        <v>35</v>
      </c>
      <c r="BJ69" s="183" t="s">
        <v>32</v>
      </c>
      <c r="BK69" s="184" t="s">
        <v>32</v>
      </c>
      <c r="BL69" s="186"/>
      <c r="BM69" s="23" t="s">
        <v>35</v>
      </c>
      <c r="BN69" s="183" t="s">
        <v>32</v>
      </c>
      <c r="BO69" s="184" t="s">
        <v>32</v>
      </c>
      <c r="BP69" s="186"/>
      <c r="BQ69" s="23" t="s">
        <v>35</v>
      </c>
      <c r="BR69" s="183" t="s">
        <v>32</v>
      </c>
      <c r="BS69" s="184" t="s">
        <v>32</v>
      </c>
      <c r="BT69" s="186"/>
      <c r="BU69" s="23" t="s">
        <v>35</v>
      </c>
      <c r="BV69" s="183"/>
      <c r="BW69" s="184"/>
      <c r="BX69" s="186"/>
      <c r="BY69" s="23" t="s">
        <v>35</v>
      </c>
      <c r="BZ69" s="183"/>
      <c r="CA69" s="184"/>
      <c r="CB69" s="22"/>
    </row>
    <row r="70" spans="2:80" ht="13.15">
      <c r="B70" s="896"/>
      <c r="C70" s="897"/>
      <c r="D70" s="906"/>
      <c r="E70" s="892"/>
      <c r="F70" s="892"/>
      <c r="G70" s="892"/>
      <c r="H70" s="892"/>
      <c r="I70" s="892"/>
      <c r="K70" s="327">
        <v>3</v>
      </c>
      <c r="L70" s="454" t="str">
        <f t="shared" si="8"/>
        <v>M3 @ Temp.</v>
      </c>
      <c r="M70" s="456">
        <f>MAX(N70:U70)</f>
        <v>15898.731</v>
      </c>
      <c r="N70" s="720">
        <f>IF($M$17=N66,ROUND(N68/$Q$8,3),"")</f>
        <v>15898.731</v>
      </c>
      <c r="O70" s="720" t="str">
        <f>IF($M$17=O66,ROUND(O68/$Q$8,3),"")</f>
        <v/>
      </c>
      <c r="P70" s="721" t="str">
        <f>IF($M$17=P66,ROUND(P67,3),"")</f>
        <v/>
      </c>
      <c r="Q70" s="722" t="str">
        <f>IF($M$17=Q66,ROUND(Q68/$Q$8,3),"")</f>
        <v/>
      </c>
      <c r="R70" s="722" t="str">
        <f>IF($M$17=R66,ROUND(R68/$Q$8,3),"")</f>
        <v/>
      </c>
      <c r="S70" s="722" t="str">
        <f>IF($M$17=S66,ROUND(S68/$Q$8,3),"")</f>
        <v/>
      </c>
      <c r="T70" s="722" t="str">
        <f>IF($M$17=T66,ROUND(T68/$Q$8,3),"")</f>
        <v/>
      </c>
      <c r="U70" s="456"/>
      <c r="W70" s="12"/>
      <c r="X70" s="398"/>
      <c r="Z70" s="543" t="s">
        <v>251</v>
      </c>
      <c r="AA70" s="543" t="s">
        <v>301</v>
      </c>
      <c r="AB70" s="694" t="s">
        <v>251</v>
      </c>
      <c r="AC70" s="262" t="s">
        <v>205</v>
      </c>
      <c r="AD70" s="543" t="s">
        <v>306</v>
      </c>
      <c r="AE70" s="543" t="str">
        <f>IF(AB71&gt;=0.839,"Kₒ",IF(AB71&gt;=0.789,"Kₒ",IF(AB71&gt;=0.771,"B","Kₒ")))</f>
        <v>Kₒ</v>
      </c>
      <c r="AF70" s="543" t="str">
        <f>IF(AB71&gt;=0.839,"K1",IF(AB71&gt;=0.789,"K1",IF(AB71&gt;=0.771,"A","K1")))</f>
        <v>K1</v>
      </c>
      <c r="AG70" s="543" t="str">
        <f>IF(AB71&gt;=0.839,"Kₒ/ρ",IF(AB71&gt;=0.789,"Kₒ/ρ",IF(AB71&gt;=0.771,"B/ρ","Kₒ/ρ")))</f>
        <v>Kₒ/ρ</v>
      </c>
      <c r="AH70" s="543" t="str">
        <f>IF(AB71&gt;=0.839,"Kₒ/ρ/ρ",IF(AB71&gt;=0.789,"Kₒ/ρ/ρ",IF(AB71&gt;=0.771,"B/ρ/ρ","Kₒ/ρ/ρ")))</f>
        <v>Kₒ/ρ/ρ</v>
      </c>
      <c r="AI70" s="543" t="str">
        <f>IF(AB71&gt;=0.839,"K1/ρ",IF(AB71&gt;=0.789,"K1/ρ",IF(AB71&gt;=0.771,"A","K1/ρ")))</f>
        <v>K1/ρ</v>
      </c>
      <c r="AJ70" s="283" t="s">
        <v>315</v>
      </c>
      <c r="AK70" s="283" t="s">
        <v>317</v>
      </c>
      <c r="AL70" s="422" t="s">
        <v>319</v>
      </c>
      <c r="AM70" s="422" t="s">
        <v>318</v>
      </c>
      <c r="AN70" s="422" t="s">
        <v>320</v>
      </c>
      <c r="AO70" s="422" t="s">
        <v>321</v>
      </c>
      <c r="AP70" s="5" t="s">
        <v>323</v>
      </c>
      <c r="AQ70" s="574" t="s">
        <v>305</v>
      </c>
      <c r="AS70" s="358">
        <f>VLOOKUP(AS71,'ASTM Vol. XI-XII'!AQ$10:AQ$860,TRUE)</f>
        <v>0.86899999999999999</v>
      </c>
      <c r="AT70" s="359">
        <f>VLOOKUP(AS70,'ASTM Vol. XI-XII'!AQ$10:AR$860,2)</f>
        <v>31.33</v>
      </c>
      <c r="AU70" s="360">
        <f>VLOOKUP(AS70,'ASTM Vol. XI-XII'!AQ$10:AS$860,3)</f>
        <v>868.5</v>
      </c>
      <c r="AV70" s="350"/>
      <c r="AW70" s="358">
        <f>VLOOKUP(AW71,'ASTM Vol. XI-XII'!AU$10:AU$860,TRUE)</f>
        <v>0.84499999999999997</v>
      </c>
      <c r="AX70" s="3591">
        <f>VLOOKUP(AW70,'ASTM Vol. XI-XII'!AU$10:AV$860,2)</f>
        <v>3.7837000000000001</v>
      </c>
      <c r="AY70" s="3592"/>
      <c r="AZ70" s="361"/>
      <c r="BA70" s="362">
        <f>VLOOKUP(BA71,'ASTM Vol. XI-XII'!AW$10:AW$860,TRUE)</f>
        <v>0.86499999999999999</v>
      </c>
      <c r="BB70" s="3590">
        <f>VLOOKUP(BA70,'ASTM Vol. XI-XII'!AW$10:AX$860,2)</f>
        <v>0.15892999999999999</v>
      </c>
      <c r="BC70" s="3590"/>
      <c r="BD70" s="350"/>
      <c r="BE70" s="358">
        <f>VLOOKUP(BE71,'ASTM Vol. XI-XII'!AZ$10:AZ$860,TRUE)</f>
        <v>0.86899999999999999</v>
      </c>
      <c r="BF70" s="363">
        <f>VLOOKUP(BE70,'ASTM Vol. XI-XII'!AZ$10:BA$860,2)</f>
        <v>7.2359</v>
      </c>
      <c r="BG70" s="345">
        <f>VLOOKUP(BE70,'ASTM Vol. XI-XII'!AZ$10:BB$860,3)</f>
        <v>0.13819999999999999</v>
      </c>
      <c r="BH70" s="350"/>
      <c r="BI70" s="358">
        <f>VLOOKUP(BI71,'ASTM Vol. XI-XII'!BD$10:BD$860,TRUE)</f>
        <v>0.86899999999999999</v>
      </c>
      <c r="BJ70" s="363">
        <f>VLOOKUP(BI70,'ASTM Vol. XI-XII'!BD$10:BE$860,2)</f>
        <v>3.6179000000000001</v>
      </c>
      <c r="BK70" s="345">
        <f>VLOOKUP(BI70,'ASTM Vol. XI-XII'!BD$10:BF$860,3)</f>
        <v>0.15195</v>
      </c>
      <c r="BL70" s="350"/>
      <c r="BM70" s="358">
        <f>VLOOKUP(BM71,'ASTM Vol. XI-XII'!BH$10:BH$860,TRUE)</f>
        <v>0.86899999999999999</v>
      </c>
      <c r="BN70" s="359">
        <f>VLOOKUP(BM70,'ASTM Vol. XI-XII'!BH$10:BI$860,2)</f>
        <v>276.39999999999998</v>
      </c>
      <c r="BO70" s="364">
        <f>VLOOKUP(BM70,'ASTM Vol. XI-XII'!BH$10:BJ$860,3)</f>
        <v>6.5810000000000004</v>
      </c>
      <c r="BP70" s="350"/>
      <c r="BQ70" s="358">
        <f>VLOOKUP(BQ71,'ASTM Vol. XI-XII'!BL$10:BL$860,TRUE)</f>
        <v>0.86899999999999999</v>
      </c>
      <c r="BR70" s="363">
        <f>VLOOKUP(BQ70,'ASTM Vol. XI-XII'!BL$10:BM$860,2)</f>
        <v>3.2303000000000002</v>
      </c>
      <c r="BS70" s="345">
        <f>VLOOKUP(BQ70,'ASTM Vol. XI-XII'!BL$10:BN$860,3)</f>
        <v>0.13567000000000001</v>
      </c>
      <c r="BT70" s="350"/>
      <c r="BU70" s="358">
        <f>VLOOKUP(BU71,'ASTM Vol. XI-XII'!BP$10:BP$860,TRUE)</f>
        <v>0.86899999999999999</v>
      </c>
      <c r="BV70" s="359">
        <f>VLOOKUP(BU70,'ASTM Vol. XI-XII'!BP$10:BQ$860,2)</f>
        <v>309.57</v>
      </c>
      <c r="BW70" s="364">
        <f>VLOOKUP(BU70,'ASTM Vol. XI-XII'!BP$10:BR$860,3)</f>
        <v>7.3710000000000004</v>
      </c>
      <c r="BX70" s="350"/>
      <c r="BY70" s="358">
        <f>VLOOKUP(BY71,'ASTM Vol. XI-XII'!BT$10:BT$860,TRUE)</f>
        <v>0.86899999999999999</v>
      </c>
      <c r="BZ70" s="363">
        <f>VLOOKUP(BY70,'ASTM Vol. XI-XII'!BT$10:BU$860,2)</f>
        <v>1.0458000000000001</v>
      </c>
      <c r="CA70" s="363">
        <f>VLOOKUP(BY70,'ASTM Vol. XI-XII'!BT$10:BV$860,3)</f>
        <v>1.1713</v>
      </c>
      <c r="CB70" s="12"/>
    </row>
    <row r="71" spans="2:80" ht="13.15">
      <c r="B71" s="893"/>
      <c r="C71" s="894"/>
      <c r="D71" s="905"/>
      <c r="E71" s="892"/>
      <c r="F71" s="892"/>
      <c r="G71" s="892"/>
      <c r="H71" s="892"/>
      <c r="I71" s="892"/>
      <c r="K71" s="327">
        <v>4</v>
      </c>
      <c r="L71" s="454" t="str">
        <f t="shared" si="8"/>
        <v>M3 @ 15°C</v>
      </c>
      <c r="M71" s="456">
        <f t="shared" ref="M71:M75" si="10">MAX(N71:U71)</f>
        <v>15532.228999999999</v>
      </c>
      <c r="N71" s="720">
        <f>IF($M$17=N66,ROUND(N69*$U$82,3),"")</f>
        <v>15532.228999999999</v>
      </c>
      <c r="O71" s="720" t="str">
        <f>IF($M$17=O66,ROUND(O69*$U$82,3),"")</f>
        <v/>
      </c>
      <c r="P71" s="720" t="str">
        <f>IF($M$17=P66,ROUND(P69*$U$82,3),"")</f>
        <v/>
      </c>
      <c r="Q71" s="721" t="str">
        <f>IF($M$17=Q66,ROUND(Q67,3),"")</f>
        <v/>
      </c>
      <c r="R71" s="720" t="str">
        <f>IF($M$17=R66,ROUND(R69*$U$82,3),"")</f>
        <v/>
      </c>
      <c r="S71" s="720" t="str">
        <f>IF($M$17=S66,ROUND(S69*$U$82,3),"")</f>
        <v/>
      </c>
      <c r="T71" s="720" t="str">
        <f>IF($M$17=T66,ROUND(T69*$U$82,3),"")</f>
        <v/>
      </c>
      <c r="U71" s="456"/>
      <c r="W71" s="12"/>
      <c r="X71" s="398"/>
      <c r="Z71" s="696">
        <f>U9</f>
        <v>0.86919999999999997</v>
      </c>
      <c r="AA71" s="695">
        <f>W8</f>
        <v>110</v>
      </c>
      <c r="AB71" s="697">
        <f>MROUND(Z71,0.002)</f>
        <v>0.87</v>
      </c>
      <c r="AC71" s="547">
        <f>FLOOR(AA71,1)+IF(MOD(AA71,1)&lt;0.26,0,IF(MOD(AA71,1)&lt;0.76,0.5,1))</f>
        <v>110</v>
      </c>
      <c r="AD71" s="543">
        <f>MROUND(AB71*999.012,0.01)</f>
        <v>869.14</v>
      </c>
      <c r="AE71" s="543">
        <f>IF(AB71&gt;=0.839,103.872,IF(AB71&gt;=0.789,330.301,IF(AB71&gt;=0.771,1489.067,192.4571)))</f>
        <v>103.872</v>
      </c>
      <c r="AF71" s="283">
        <f>IF(AB71&gt;=0.839,0.2701,IF(AB71&gt;=0.789,0,IF(AB71&gt;=0.771,-0.0018684,0.2438)))</f>
        <v>0.27010000000000001</v>
      </c>
      <c r="AG71" s="699">
        <f>TRUNC(AE71/AD71,8)</f>
        <v>0.11951124</v>
      </c>
      <c r="AH71" s="701">
        <f>TRUNC(AG71/AD71,10)</f>
        <v>1.3750510000000001E-4</v>
      </c>
      <c r="AI71" s="707">
        <f>IF(AB71&gt;=0.839,AF71/AD71,IF(AB71&gt;=0.789,AF71/AD71,IF(AB71&gt;=0.771,AF71,AF71/AD71)))</f>
        <v>3.1076696504590747E-4</v>
      </c>
      <c r="AJ71" s="703">
        <f>MROUND(AH71+AI71,0.0000001)</f>
        <v>4.483E-4</v>
      </c>
      <c r="AK71" s="704">
        <f>AC71-60</f>
        <v>50</v>
      </c>
      <c r="AL71" s="705">
        <f>AJ71*AK71</f>
        <v>2.2415000000000001E-2</v>
      </c>
      <c r="AM71" s="705">
        <f>0.8*AL71</f>
        <v>1.7932E-2</v>
      </c>
      <c r="AN71" s="705">
        <f>0.8*AJ71^2*AK71^2</f>
        <v>4.0194577999999999E-4</v>
      </c>
      <c r="AO71" s="705">
        <f>-AL71-AN71</f>
        <v>-2.281694578E-2</v>
      </c>
      <c r="AP71" s="283">
        <f>TRUNC(EXP(AO71),6)</f>
        <v>0.977441</v>
      </c>
      <c r="AQ71" s="706">
        <f>ROUND(MROUND(AP71,0.00001),4)</f>
        <v>0.97740000000000005</v>
      </c>
      <c r="AS71" s="348">
        <f>$U$77</f>
        <v>0.86919999999999997</v>
      </c>
      <c r="AT71" s="365">
        <f>ROUND(AT70+((AS71-AS70)/(AS72-AS70))*(AT72-AT70),2)</f>
        <v>31.29</v>
      </c>
      <c r="AU71" s="366">
        <f>ROUND(AU70+((AS71-AS70)/(AS72-AS70))*(AU72-AU70),1)</f>
        <v>868.7</v>
      </c>
      <c r="AV71" s="350"/>
      <c r="AW71" s="348">
        <f>$U$77</f>
        <v>0.86919999999999997</v>
      </c>
      <c r="AX71" s="3593">
        <f>ROUND(AX70+((AW71-AW70)/(AW72-AW70))*(AX72-AX70),4)</f>
        <v>3.7837000000000001</v>
      </c>
      <c r="AY71" s="3594"/>
      <c r="AZ71" s="367"/>
      <c r="BA71" s="368">
        <f>$U$77</f>
        <v>0.86919999999999997</v>
      </c>
      <c r="BB71" s="3589">
        <f>ROUND(BB70+((BA71-BA70)/(BA72-BA70))*(BB72-BB70),5)</f>
        <v>0.15892999999999999</v>
      </c>
      <c r="BC71" s="3589"/>
      <c r="BD71" s="350"/>
      <c r="BE71" s="348">
        <f>$U$77</f>
        <v>0.86919999999999997</v>
      </c>
      <c r="BF71" s="369">
        <f>ROUND(BF70+((BE71-BE70)/(BE72-BE70))*(BF72-BF70),4)</f>
        <v>7.2375999999999996</v>
      </c>
      <c r="BG71" s="346">
        <f>ROUND(BG70+((BE71-BE70)/(BE72-BE70))*(BG72-BG70),5)</f>
        <v>0.13816999999999999</v>
      </c>
      <c r="BH71" s="350"/>
      <c r="BI71" s="348">
        <f>$U$77</f>
        <v>0.86919999999999997</v>
      </c>
      <c r="BJ71" s="369">
        <f>ROUND(BJ70+((BI71-BI70)/(BI72-BI70))*(BJ72-BJ70),4)</f>
        <v>3.6187</v>
      </c>
      <c r="BK71" s="346">
        <f>ROUND(BK70+((BI71-BI70)/(BI72-BI70))*(BK72-BK70),5)</f>
        <v>0.15198999999999999</v>
      </c>
      <c r="BL71" s="350"/>
      <c r="BM71" s="348">
        <f>$U$77</f>
        <v>0.86919999999999997</v>
      </c>
      <c r="BN71" s="365">
        <f>ROUND(BN70+((BM71-BM70)/(BM72-BM70))*(BN72-BN70),2)</f>
        <v>276.33999999999997</v>
      </c>
      <c r="BO71" s="370">
        <f>ROUND(BO70+((BM71-BM70)/(BM72-BM70))*(BO72-BO70),3)</f>
        <v>6.5789999999999997</v>
      </c>
      <c r="BP71" s="350"/>
      <c r="BQ71" s="348">
        <f>$U$77</f>
        <v>0.86919999999999997</v>
      </c>
      <c r="BR71" s="369">
        <f>ROUND(BR70+((BQ71-BQ70)/(BQ72-BQ70))*(BR72-BR70),4)</f>
        <v>3.2309999999999999</v>
      </c>
      <c r="BS71" s="346">
        <f>ROUND(BS70+((BQ71-BQ70)/(BQ72-BQ70))*(BS72-BS70),5)</f>
        <v>0.13569999999999999</v>
      </c>
      <c r="BT71" s="350"/>
      <c r="BU71" s="348">
        <f>$U$77</f>
        <v>0.86919999999999997</v>
      </c>
      <c r="BV71" s="365">
        <f>ROUND(BV70+((BU71-BU70)/(BU72-BU70))*(BV72-BV70),2)</f>
        <v>309.5</v>
      </c>
      <c r="BW71" s="370">
        <f>ROUND(BW70+((BU71-BU70)/(BU72-BU70))*(BW72-BW70),3)</f>
        <v>7.3689999999999998</v>
      </c>
      <c r="BX71" s="350"/>
      <c r="BY71" s="348">
        <f>$U$77</f>
        <v>0.86919999999999997</v>
      </c>
      <c r="BZ71" s="369">
        <f>ROUND(BZ70+((BY71-BY70)/(BY72-BY70))*(BZ72-BZ70),4)</f>
        <v>1.0456000000000001</v>
      </c>
      <c r="CA71" s="369">
        <f>ROUND(CA70+((BY71-BY70)/(BY72-BY70))*(CA72-CA70),4)</f>
        <v>1.171</v>
      </c>
      <c r="CB71" s="12"/>
    </row>
    <row r="72" spans="2:80" ht="13.15">
      <c r="K72" s="327">
        <v>5</v>
      </c>
      <c r="L72" s="454" t="str">
        <f t="shared" si="8"/>
        <v>MT (in Vac)</v>
      </c>
      <c r="M72" s="456">
        <f t="shared" si="10"/>
        <v>13491.659</v>
      </c>
      <c r="N72" s="720">
        <f>IF($M$17=N66,ROUND(N73*$U$118,3),"")</f>
        <v>13491.659</v>
      </c>
      <c r="O72" s="720" t="str">
        <f>IF($M$17=O66,ROUND(O73*$U$118,3),"")</f>
        <v/>
      </c>
      <c r="P72" s="720" t="str">
        <f>IF($M$17=P66,ROUND(P73*$U$118,3),"")</f>
        <v/>
      </c>
      <c r="Q72" s="720" t="str">
        <f>IF($M$17=Q66,ROUND(Q73*$U$118,3),"")</f>
        <v/>
      </c>
      <c r="R72" s="721" t="str">
        <f>IF($M$17=R66,ROUND(R67,3),"")</f>
        <v/>
      </c>
      <c r="S72" s="720" t="str">
        <f>IF($M$17=S66,ROUND(S73*$U$118,3),"")</f>
        <v/>
      </c>
      <c r="T72" s="720" t="str">
        <f>IF($M$17=T66,ROUND(T73*$U$118,3),"")</f>
        <v/>
      </c>
      <c r="U72" s="456"/>
      <c r="W72" s="12"/>
      <c r="X72" s="398"/>
      <c r="Z72" s="328"/>
      <c r="AA72" s="569"/>
      <c r="AB72" s="569"/>
      <c r="AC72" s="569"/>
      <c r="AD72" s="569"/>
      <c r="AE72" s="569"/>
      <c r="AF72" s="569"/>
      <c r="AG72" s="569"/>
      <c r="AH72" s="569"/>
      <c r="AI72" s="569"/>
      <c r="AJ72" s="312"/>
      <c r="AK72" s="312"/>
      <c r="AL72" s="312"/>
      <c r="AM72" s="312"/>
      <c r="AN72" s="312"/>
      <c r="AO72" s="312"/>
      <c r="AP72" s="312"/>
      <c r="AQ72" s="579"/>
      <c r="AS72" s="358">
        <f>INDEX('ASTM Vol. XI-XII'!AQ$10:AQ$860,(MATCH(AS70,'ASTM Vol. XI-XII'!AQ$10:AQ$860,1)+1))</f>
        <v>0.87</v>
      </c>
      <c r="AT72" s="359">
        <f>VLOOKUP(AS72,'ASTM Vol. XI-XII'!AQ$10:AR$860,2)</f>
        <v>31.14</v>
      </c>
      <c r="AU72" s="360">
        <f>VLOOKUP(AS72,'ASTM Vol. XI-XII'!AQ$10:AS$860,3)</f>
        <v>869.5</v>
      </c>
      <c r="AV72" s="356"/>
      <c r="AW72" s="358">
        <f>INDEX('ASTM Vol. XI-XII'!AU$10:AU$860,(MATCH(AW70,'ASTM Vol. XI-XII'!AU$10:AU$860,1)+1))</f>
        <v>0.88300000000000023</v>
      </c>
      <c r="AX72" s="3591">
        <f>VLOOKUP(AW72,'ASTM Vol. XI-XII'!AU$10:AV$860,2)</f>
        <v>3.7837000000000001</v>
      </c>
      <c r="AY72" s="3592"/>
      <c r="AZ72" s="371"/>
      <c r="BA72" s="362">
        <f>INDEX('ASTM Vol. XI-XII'!AW$10:AW$860,(MATCH(BA70,'ASTM Vol. XI-XII'!AW$10:AW$860,1)+1))</f>
        <v>1.074999999999992</v>
      </c>
      <c r="BB72" s="3590">
        <f>VLOOKUP(BA72,'ASTM Vol. XI-XII'!AW$10:AX$860,2)</f>
        <v>0.15892999999999999</v>
      </c>
      <c r="BC72" s="3590"/>
      <c r="BD72" s="356"/>
      <c r="BE72" s="358">
        <f>INDEX('ASTM Vol. XI-XII'!AZ$10:AZ$860,(MATCH(BE70,'ASTM Vol. XI-XII'!AZ$10:AZ$860,1)+1))</f>
        <v>0.87</v>
      </c>
      <c r="BF72" s="363">
        <f>VLOOKUP(BE72,'ASTM Vol. XI-XII'!AZ$10:BA$860,2)</f>
        <v>7.2442000000000002</v>
      </c>
      <c r="BG72" s="345">
        <f>VLOOKUP(BE72,'ASTM Vol. XI-XII'!AZ$10:BB$860,3)</f>
        <v>0.13804</v>
      </c>
      <c r="BH72" s="356"/>
      <c r="BI72" s="358">
        <f>INDEX('ASTM Vol. XI-XII'!BD$10:BD$860,(MATCH(BI70,'ASTM Vol. XI-XII'!BD$10:BD$860,1)+1))</f>
        <v>0.87</v>
      </c>
      <c r="BJ72" s="363">
        <f>VLOOKUP(BI72,'ASTM Vol. XI-XII'!BD$10:BE$860,2)</f>
        <v>3.6221000000000001</v>
      </c>
      <c r="BK72" s="345">
        <f>VLOOKUP(BI72,'ASTM Vol. XI-XII'!BD$10:BF$860,3)</f>
        <v>0.15212999999999999</v>
      </c>
      <c r="BL72" s="356"/>
      <c r="BM72" s="358">
        <f>INDEX('ASTM Vol. XI-XII'!BH$10:BH$860,(MATCH(BM70,'ASTM Vol. XI-XII'!BH$10:BH$860,1)+1))</f>
        <v>0.87</v>
      </c>
      <c r="BN72" s="359">
        <f>VLOOKUP(BM72,'ASTM Vol. XI-XII'!BH$10:BI$860,2)</f>
        <v>276.08</v>
      </c>
      <c r="BO72" s="364">
        <f>VLOOKUP(BM72,'ASTM Vol. XI-XII'!BH$10:BJ$860,3)</f>
        <v>6.5730000000000004</v>
      </c>
      <c r="BP72" s="356"/>
      <c r="BQ72" s="358">
        <f>INDEX('ASTM Vol. XI-XII'!BL$10:BL$860,(MATCH(BQ70,'ASTM Vol. XI-XII'!BL$10:BL$860,1)+1))</f>
        <v>0.87</v>
      </c>
      <c r="BR72" s="363">
        <f>VLOOKUP(BQ72,'ASTM Vol. XI-XII'!BL$10:BM$860,2)</f>
        <v>3.234</v>
      </c>
      <c r="BS72" s="345">
        <f>VLOOKUP(BQ72,'ASTM Vol. XI-XII'!BL$10:BN$860,3)</f>
        <v>0.13583000000000001</v>
      </c>
      <c r="BT72" s="356"/>
      <c r="BU72" s="358">
        <f>INDEX('ASTM Vol. XI-XII'!BP$10:BP$860,(MATCH(BU70,'ASTM Vol. XI-XII'!BP$10:BP$860,1)+1))</f>
        <v>0.87</v>
      </c>
      <c r="BV72" s="359">
        <f>VLOOKUP(BU72,'ASTM Vol. XI-XII'!BP$10:BQ$860,2)</f>
        <v>309.20999999999998</v>
      </c>
      <c r="BW72" s="364">
        <f>VLOOKUP(BU72,'ASTM Vol. XI-XII'!BP$10:BR$860,3)</f>
        <v>7.3620000000000001</v>
      </c>
      <c r="BX72" s="356"/>
      <c r="BY72" s="358">
        <f>INDEX('ASTM Vol. XI-XII'!BT$10:BT$860,(MATCH(BY70,'ASTM Vol. XI-XII'!BT$10:BT$860,1)+1))</f>
        <v>0.87</v>
      </c>
      <c r="BZ72" s="363">
        <f>VLOOKUP(BY72,'ASTM Vol. XI-XII'!BT$10:BU$860,2)</f>
        <v>1.0446</v>
      </c>
      <c r="CA72" s="363">
        <f>VLOOKUP(BY72,'ASTM Vol. XI-XII'!BT$10:BV$860,3)</f>
        <v>1.17</v>
      </c>
      <c r="CB72" s="12"/>
    </row>
    <row r="73" spans="2:80" ht="13.15">
      <c r="K73" s="327">
        <v>6</v>
      </c>
      <c r="L73" s="454" t="str">
        <f t="shared" si="8"/>
        <v>MT (in Air)</v>
      </c>
      <c r="M73" s="457">
        <f t="shared" si="10"/>
        <v>13474.815000000001</v>
      </c>
      <c r="N73" s="723">
        <f>IF($M$17=N66,ROUND(N74*$Q$11,3),"")</f>
        <v>13474.815000000001</v>
      </c>
      <c r="O73" s="723" t="str">
        <f>IF($M$17=O66,ROUND(O74*$Q$11,3),"")</f>
        <v/>
      </c>
      <c r="P73" s="723" t="str">
        <f>IF($M$17=P66,ROUND(P74*$Q$11,3),"")</f>
        <v/>
      </c>
      <c r="Q73" s="723" t="str">
        <f>IF($M$17=Q66,ROUND(Q74*$Q$11,3),"")</f>
        <v/>
      </c>
      <c r="R73" s="723" t="str">
        <f>IF($M$17=R66,ROUND(R72*$U$117,3),"")</f>
        <v/>
      </c>
      <c r="S73" s="724" t="str">
        <f>IF($M$17=S66,ROUND(S67,3),"")</f>
        <v/>
      </c>
      <c r="T73" s="723" t="str">
        <f>IF($M$17=T66,ROUND(T74*$Q$11,3),"")</f>
        <v/>
      </c>
      <c r="U73" s="457"/>
      <c r="W73" s="12"/>
      <c r="X73" s="398"/>
    </row>
    <row r="74" spans="2:80" ht="13.15">
      <c r="K74" s="327">
        <v>7</v>
      </c>
      <c r="L74" s="454" t="str">
        <f t="shared" si="8"/>
        <v>LT</v>
      </c>
      <c r="M74" s="457">
        <f t="shared" si="10"/>
        <v>13261.960999999999</v>
      </c>
      <c r="N74" s="723">
        <f>IF($M$17=N66,ROUND(N69*$U$90,3),"")</f>
        <v>13261.960999999999</v>
      </c>
      <c r="O74" s="723" t="str">
        <f>IF($M$17=O66,ROUND(O69*$U$90,3),"")</f>
        <v/>
      </c>
      <c r="P74" s="723" t="str">
        <f>IF($M$17=P66,ROUND(P69*$U$90,3),"")</f>
        <v/>
      </c>
      <c r="Q74" s="723" t="str">
        <f>IF($M$17=Q66,ROUND(Q69*$U$90,3),"")</f>
        <v/>
      </c>
      <c r="R74" s="723" t="str">
        <f>IF($M$17=R66,ROUND(R73/$Q$11,3),"")</f>
        <v/>
      </c>
      <c r="S74" s="723" t="str">
        <f>IF($M$17=S66,ROUND(S73*$Q$10,3),"")</f>
        <v/>
      </c>
      <c r="T74" s="724" t="str">
        <f>IF($M$17=T66,ROUND(T67,3),"")</f>
        <v/>
      </c>
      <c r="U74" s="457"/>
      <c r="W74" s="12"/>
      <c r="X74" s="398"/>
      <c r="AB74" s="5" t="str">
        <f>IF(AB71&gt;=0.839,"FUEL OIL",IF(AB71&gt;=0.789,"JET GROUP",IF(AB71&gt;=0.771,"A+B","GASOLINE")))</f>
        <v>FUEL OIL</v>
      </c>
    </row>
    <row r="75" spans="2:80" ht="15">
      <c r="K75" s="327">
        <v>8</v>
      </c>
      <c r="L75" s="454">
        <f t="shared" si="8"/>
        <v>0</v>
      </c>
      <c r="M75" s="457">
        <f t="shared" si="10"/>
        <v>0</v>
      </c>
      <c r="N75" s="457"/>
      <c r="O75" s="457"/>
      <c r="P75" s="457"/>
      <c r="Q75" s="457"/>
      <c r="R75" s="457"/>
      <c r="S75" s="457"/>
      <c r="T75" s="457"/>
      <c r="U75" s="457"/>
      <c r="W75" s="12"/>
      <c r="X75" s="398"/>
      <c r="AE75" s="543" t="s">
        <v>309</v>
      </c>
      <c r="AF75" s="5" t="s">
        <v>327</v>
      </c>
    </row>
    <row r="76" spans="2:80" ht="15">
      <c r="K76" s="464"/>
      <c r="L76" s="458"/>
      <c r="M76" s="484"/>
      <c r="N76" s="484"/>
      <c r="O76" s="488"/>
      <c r="P76" s="488"/>
      <c r="Q76" s="488"/>
      <c r="R76" s="384"/>
      <c r="S76" s="489"/>
      <c r="T76" s="465"/>
      <c r="U76" s="484"/>
      <c r="V76" s="484"/>
      <c r="W76" s="484"/>
      <c r="X76" s="487"/>
      <c r="AE76" s="543" t="s">
        <v>310</v>
      </c>
      <c r="AF76" s="5" t="s">
        <v>328</v>
      </c>
    </row>
    <row r="77" spans="2:80">
      <c r="K77" s="275"/>
      <c r="R77" s="274"/>
      <c r="S77" s="275"/>
      <c r="T77" s="430" t="s">
        <v>132</v>
      </c>
      <c r="U77" s="283">
        <f>U9</f>
        <v>0.86919999999999997</v>
      </c>
      <c r="V77" s="392" t="s">
        <v>167</v>
      </c>
      <c r="W77" s="6"/>
      <c r="X77" s="277"/>
    </row>
    <row r="78" spans="2:80">
      <c r="K78" s="275"/>
      <c r="L78" s="311"/>
      <c r="O78" s="311"/>
      <c r="P78" s="311"/>
      <c r="Q78" s="311"/>
      <c r="R78" s="379"/>
      <c r="S78" s="415" t="s">
        <v>111</v>
      </c>
      <c r="T78" s="429" t="s">
        <v>136</v>
      </c>
      <c r="U78" s="301">
        <f>AT71</f>
        <v>31.29</v>
      </c>
      <c r="V78" s="289" t="s">
        <v>166</v>
      </c>
      <c r="W78" s="6"/>
      <c r="X78" s="277"/>
    </row>
    <row r="79" spans="2:80">
      <c r="K79" s="275"/>
      <c r="L79" s="311"/>
      <c r="O79" s="311"/>
      <c r="P79" s="311"/>
      <c r="Q79" s="311"/>
      <c r="R79" s="379"/>
      <c r="S79" s="415" t="s">
        <v>111</v>
      </c>
      <c r="T79" s="430" t="s">
        <v>131</v>
      </c>
      <c r="U79" s="318">
        <f>AU71</f>
        <v>868.7</v>
      </c>
      <c r="V79" s="393" t="s">
        <v>168</v>
      </c>
      <c r="W79" s="6"/>
      <c r="X79" s="277"/>
      <c r="Z79" s="262" t="s">
        <v>499</v>
      </c>
      <c r="AA79" s="29"/>
      <c r="AB79" s="29"/>
      <c r="AC79" s="29"/>
      <c r="AD79" s="29"/>
      <c r="AE79" s="29"/>
      <c r="AF79" s="29"/>
      <c r="AG79" s="29"/>
      <c r="AH79" s="29"/>
      <c r="AI79" s="29"/>
      <c r="AJ79" s="29"/>
      <c r="AK79" s="29"/>
      <c r="AL79" s="29"/>
      <c r="AM79" s="29"/>
      <c r="AN79" s="29"/>
      <c r="AO79" s="29"/>
      <c r="AP79" s="29"/>
      <c r="AQ79" s="214"/>
    </row>
    <row r="80" spans="2:80" ht="13.15">
      <c r="K80" s="328"/>
      <c r="L80" s="317" t="s">
        <v>145</v>
      </c>
      <c r="M80" s="388" t="s">
        <v>160</v>
      </c>
      <c r="N80" s="388" t="s">
        <v>161</v>
      </c>
      <c r="O80" s="317"/>
      <c r="P80" s="317"/>
      <c r="Q80" s="317"/>
      <c r="R80" s="380"/>
      <c r="S80" s="416"/>
      <c r="T80" s="431"/>
      <c r="U80" s="321"/>
      <c r="V80" s="321"/>
      <c r="W80" s="322"/>
      <c r="X80" s="323"/>
      <c r="Z80" s="571"/>
      <c r="AA80" s="572"/>
      <c r="AB80" s="262" t="s">
        <v>302</v>
      </c>
      <c r="AC80" s="29"/>
      <c r="AD80" s="698" t="s">
        <v>307</v>
      </c>
      <c r="AE80" s="3614" t="s">
        <v>308</v>
      </c>
      <c r="AF80" s="3615"/>
      <c r="AG80" s="3616" t="s">
        <v>311</v>
      </c>
      <c r="AH80" s="3617"/>
      <c r="AI80" s="3617"/>
      <c r="AJ80" s="3618"/>
      <c r="AK80" s="698" t="s">
        <v>316</v>
      </c>
      <c r="AL80" s="3616" t="s">
        <v>322</v>
      </c>
      <c r="AM80" s="3617"/>
      <c r="AN80" s="3617"/>
      <c r="AO80" s="3617"/>
      <c r="AP80" s="3618"/>
      <c r="AQ80" s="573" t="s">
        <v>204</v>
      </c>
    </row>
    <row r="81" spans="11:43" ht="15">
      <c r="K81" s="327">
        <v>1</v>
      </c>
      <c r="L81" s="319" t="str">
        <f>CONCATENATE(S81," - ",M81," to ",N81)</f>
        <v>Table 22 - US Gallons at 60°F to Litres at 15°C</v>
      </c>
      <c r="M81" s="5" t="s">
        <v>139</v>
      </c>
      <c r="N81" s="5" t="s">
        <v>137</v>
      </c>
      <c r="O81" s="390"/>
      <c r="P81" s="412"/>
      <c r="Q81" s="412"/>
      <c r="R81" s="381"/>
      <c r="S81" s="415" t="s">
        <v>344</v>
      </c>
      <c r="T81" s="430" t="s">
        <v>137</v>
      </c>
      <c r="U81" s="302">
        <f>AX71</f>
        <v>3.7837000000000001</v>
      </c>
      <c r="V81" s="293" t="s">
        <v>338</v>
      </c>
      <c r="W81" s="423" t="s">
        <v>142</v>
      </c>
      <c r="X81" s="277"/>
      <c r="Z81" s="543" t="s">
        <v>251</v>
      </c>
      <c r="AA81" s="543" t="s">
        <v>301</v>
      </c>
      <c r="AB81" s="694" t="s">
        <v>251</v>
      </c>
      <c r="AC81" s="262" t="s">
        <v>205</v>
      </c>
      <c r="AD81" s="543" t="s">
        <v>306</v>
      </c>
      <c r="AE81" s="543" t="s">
        <v>309</v>
      </c>
      <c r="AF81" s="543" t="s">
        <v>310</v>
      </c>
      <c r="AG81" s="543" t="s">
        <v>312</v>
      </c>
      <c r="AH81" s="543" t="s">
        <v>313</v>
      </c>
      <c r="AI81" s="543" t="s">
        <v>314</v>
      </c>
      <c r="AJ81" s="283" t="s">
        <v>315</v>
      </c>
      <c r="AK81" s="283" t="s">
        <v>317</v>
      </c>
      <c r="AL81" s="422" t="s">
        <v>319</v>
      </c>
      <c r="AM81" s="422" t="s">
        <v>318</v>
      </c>
      <c r="AN81" s="422" t="s">
        <v>320</v>
      </c>
      <c r="AO81" s="422" t="s">
        <v>321</v>
      </c>
      <c r="AP81" s="5" t="s">
        <v>323</v>
      </c>
      <c r="AQ81" s="574" t="s">
        <v>304</v>
      </c>
    </row>
    <row r="82" spans="11:43" ht="13.15">
      <c r="K82" s="327">
        <v>2</v>
      </c>
      <c r="L82" s="319" t="str">
        <f t="shared" ref="L82:L94" si="11">CONCATENATE(S82," - ",M82," to ",N82)</f>
        <v>Table 22 - US Gallons at 60°F to Cubic Metres at 15°C</v>
      </c>
      <c r="M82" s="5" t="s">
        <v>139</v>
      </c>
      <c r="N82" s="5" t="s">
        <v>138</v>
      </c>
      <c r="O82" s="390"/>
      <c r="P82" s="413"/>
      <c r="Q82" s="413"/>
      <c r="R82" s="382"/>
      <c r="S82" s="415" t="s">
        <v>344</v>
      </c>
      <c r="T82" s="430" t="s">
        <v>138</v>
      </c>
      <c r="U82" s="303">
        <f>BB71</f>
        <v>0.15892999999999999</v>
      </c>
      <c r="V82" s="293" t="s">
        <v>338</v>
      </c>
      <c r="W82" s="423" t="s">
        <v>143</v>
      </c>
      <c r="X82" s="277"/>
      <c r="Z82" s="696">
        <f>U9</f>
        <v>0.86919999999999997</v>
      </c>
      <c r="AA82" s="695">
        <f>AA8</f>
        <v>125</v>
      </c>
      <c r="AB82" s="697">
        <f>MROUND(Z82,0.002)</f>
        <v>0.87</v>
      </c>
      <c r="AC82" s="547">
        <f>FLOOR(AA82,1)+IF(MOD(AA82,1)&lt;0.26,0,IF(MOD(AA82,1)&lt;0.76,0.5,1))</f>
        <v>125</v>
      </c>
      <c r="AD82" s="543">
        <f>MROUND(AB82*999.012,0.01)</f>
        <v>869.14</v>
      </c>
      <c r="AE82" s="543">
        <v>341.09570000000002</v>
      </c>
      <c r="AF82" s="283">
        <v>0</v>
      </c>
      <c r="AG82" s="699">
        <f>TRUNC(AE82/AD82,8)</f>
        <v>0.39245195999999999</v>
      </c>
      <c r="AH82" s="701">
        <f>TRUNC(AG82/AD82,10)</f>
        <v>4.5154050000000001E-4</v>
      </c>
      <c r="AI82" s="702">
        <f>AF82/AD82</f>
        <v>0</v>
      </c>
      <c r="AJ82" s="703">
        <f>MROUND(AH82+AI82,0.0000001)</f>
        <v>4.5149999999999997E-4</v>
      </c>
      <c r="AK82" s="704">
        <f>AC82-60</f>
        <v>65</v>
      </c>
      <c r="AL82" s="705">
        <f>AJ82*AK82</f>
        <v>2.9347499999999999E-2</v>
      </c>
      <c r="AM82" s="705">
        <f>0.8*AL82</f>
        <v>2.3477999999999999E-2</v>
      </c>
      <c r="AN82" s="705">
        <f>0.8*AJ82^2*AK82^2</f>
        <v>6.8902060500000001E-4</v>
      </c>
      <c r="AO82" s="705">
        <f>-AL82-AN82</f>
        <v>-3.0036520604999999E-2</v>
      </c>
      <c r="AP82" s="283">
        <f>TRUNC(EXP(AO82),6)</f>
        <v>0.97040999999999999</v>
      </c>
      <c r="AQ82" s="706">
        <f>ROUND(MROUND(AP82,0.00001),4)</f>
        <v>0.97040000000000004</v>
      </c>
    </row>
    <row r="83" spans="11:43">
      <c r="K83" s="327">
        <v>3</v>
      </c>
      <c r="L83" s="319" t="str">
        <f t="shared" si="11"/>
        <v>Table 26 - US Gallons at 60°F to Pounds</v>
      </c>
      <c r="M83" s="5" t="s">
        <v>139</v>
      </c>
      <c r="N83" s="5" t="s">
        <v>102</v>
      </c>
      <c r="O83" s="390"/>
      <c r="P83" s="412"/>
      <c r="Q83" s="412"/>
      <c r="R83" s="381"/>
      <c r="S83" s="415" t="s">
        <v>345</v>
      </c>
      <c r="T83" s="429" t="s">
        <v>102</v>
      </c>
      <c r="U83" s="302">
        <f>BF71</f>
        <v>7.2375999999999996</v>
      </c>
      <c r="V83" s="293" t="s">
        <v>338</v>
      </c>
      <c r="W83" s="423" t="s">
        <v>142</v>
      </c>
      <c r="X83" s="277"/>
      <c r="Z83" s="549"/>
      <c r="AA83" s="541"/>
      <c r="AB83" s="561"/>
      <c r="AC83" s="561"/>
      <c r="AD83" s="561"/>
      <c r="AE83" s="541"/>
      <c r="AF83" s="541"/>
      <c r="AG83" s="541"/>
      <c r="AH83" s="541"/>
      <c r="AI83" s="541"/>
      <c r="AQ83" s="542"/>
    </row>
    <row r="84" spans="11:43">
      <c r="K84" s="327">
        <v>4</v>
      </c>
      <c r="L84" s="319" t="str">
        <f t="shared" si="11"/>
        <v>Table 26 - Pounds to US Gallons at 60°F</v>
      </c>
      <c r="M84" s="5" t="s">
        <v>102</v>
      </c>
      <c r="N84" s="5" t="s">
        <v>139</v>
      </c>
      <c r="O84" s="390"/>
      <c r="P84" s="412"/>
      <c r="Q84" s="412"/>
      <c r="R84" s="381"/>
      <c r="S84" s="415" t="s">
        <v>345</v>
      </c>
      <c r="T84" s="433" t="s">
        <v>139</v>
      </c>
      <c r="U84" s="303">
        <f>BG71</f>
        <v>0.13816999999999999</v>
      </c>
      <c r="V84" s="293" t="s">
        <v>338</v>
      </c>
      <c r="W84" s="424" t="s">
        <v>103</v>
      </c>
      <c r="X84" s="277"/>
      <c r="Z84" s="571"/>
      <c r="AA84" s="572"/>
      <c r="AB84" s="262" t="s">
        <v>303</v>
      </c>
      <c r="AC84" s="29"/>
      <c r="AD84" s="698" t="s">
        <v>307</v>
      </c>
      <c r="AE84" s="3614" t="s">
        <v>308</v>
      </c>
      <c r="AF84" s="3615"/>
      <c r="AG84" s="3616" t="s">
        <v>311</v>
      </c>
      <c r="AH84" s="3617"/>
      <c r="AI84" s="3617"/>
      <c r="AJ84" s="3618"/>
      <c r="AK84" s="698" t="s">
        <v>316</v>
      </c>
      <c r="AL84" s="3616" t="s">
        <v>322</v>
      </c>
      <c r="AM84" s="3617"/>
      <c r="AN84" s="3617"/>
      <c r="AO84" s="3617"/>
      <c r="AP84" s="3618"/>
      <c r="AQ84" s="573" t="s">
        <v>204</v>
      </c>
    </row>
    <row r="85" spans="11:43">
      <c r="K85" s="327">
        <v>5</v>
      </c>
      <c r="L85" s="319" t="str">
        <f t="shared" si="11"/>
        <v>Table 27 - 1000 US Gallons at 60°F to Short Tons (in AIR)</v>
      </c>
      <c r="M85" s="5" t="s">
        <v>144</v>
      </c>
      <c r="N85" s="5" t="s">
        <v>164</v>
      </c>
      <c r="O85" s="390"/>
      <c r="P85" s="413"/>
      <c r="Q85" s="413"/>
      <c r="R85" s="382"/>
      <c r="S85" s="415" t="s">
        <v>346</v>
      </c>
      <c r="T85" s="433" t="s">
        <v>23</v>
      </c>
      <c r="U85" s="302">
        <f>BJ71</f>
        <v>3.6187</v>
      </c>
      <c r="V85" s="293" t="s">
        <v>338</v>
      </c>
      <c r="W85" s="423" t="s">
        <v>144</v>
      </c>
      <c r="X85" s="277"/>
      <c r="Z85" s="543" t="s">
        <v>251</v>
      </c>
      <c r="AA85" s="543" t="s">
        <v>301</v>
      </c>
      <c r="AB85" s="694" t="s">
        <v>251</v>
      </c>
      <c r="AC85" s="262" t="s">
        <v>205</v>
      </c>
      <c r="AD85" s="543" t="s">
        <v>306</v>
      </c>
      <c r="AE85" s="543" t="str">
        <f>IF(AB86&gt;=0.839,"Kₒ",IF(AB86&gt;=0.789,"Kₒ",IF(AB86&gt;=0.771,"B","Kₒ")))</f>
        <v>Kₒ</v>
      </c>
      <c r="AF85" s="543" t="str">
        <f>IF(AB86&gt;=0.839,"K1",IF(AB86&gt;=0.789,"K1",IF(AB86&gt;=0.771,"A","K1")))</f>
        <v>K1</v>
      </c>
      <c r="AG85" s="543" t="str">
        <f>IF(AB86&gt;=0.839,"Kₒ/ρ",IF(AB86&gt;=0.789,"Kₒ/ρ",IF(AB86&gt;=0.771,"B/ρ","Kₒ/ρ")))</f>
        <v>Kₒ/ρ</v>
      </c>
      <c r="AH85" s="543" t="str">
        <f>IF(AB86&gt;=0.839,"Kₒ/ρ/ρ",IF(AB86&gt;=0.789,"Kₒ/ρ/ρ",IF(AB86&gt;=0.771,"B/ρ/ρ","Kₒ/ρ/ρ")))</f>
        <v>Kₒ/ρ/ρ</v>
      </c>
      <c r="AI85" s="543" t="str">
        <f>IF(AB86&gt;=0.839,"K1/ρ",IF(AB86&gt;=0.789,"K1/ρ",IF(AB86&gt;=0.771,"A","K1/ρ")))</f>
        <v>K1/ρ</v>
      </c>
      <c r="AJ85" s="283" t="s">
        <v>315</v>
      </c>
      <c r="AK85" s="283" t="s">
        <v>317</v>
      </c>
      <c r="AL85" s="422" t="s">
        <v>319</v>
      </c>
      <c r="AM85" s="422" t="s">
        <v>318</v>
      </c>
      <c r="AN85" s="422" t="s">
        <v>320</v>
      </c>
      <c r="AO85" s="422" t="s">
        <v>321</v>
      </c>
      <c r="AP85" s="5" t="s">
        <v>323</v>
      </c>
      <c r="AQ85" s="574" t="s">
        <v>305</v>
      </c>
    </row>
    <row r="86" spans="11:43" ht="13.15">
      <c r="K86" s="327">
        <v>6</v>
      </c>
      <c r="L86" s="319" t="str">
        <f t="shared" si="11"/>
        <v>Table 27 - US Barrels at 60°F to Short Tons (in AIR)</v>
      </c>
      <c r="M86" s="5" t="s">
        <v>140</v>
      </c>
      <c r="N86" s="5" t="s">
        <v>164</v>
      </c>
      <c r="O86" s="390"/>
      <c r="P86" s="413"/>
      <c r="Q86" s="413"/>
      <c r="R86" s="382"/>
      <c r="S86" s="415" t="s">
        <v>346</v>
      </c>
      <c r="T86" s="433" t="s">
        <v>23</v>
      </c>
      <c r="U86" s="303">
        <f>BK71</f>
        <v>0.15198999999999999</v>
      </c>
      <c r="V86" s="293" t="s">
        <v>338</v>
      </c>
      <c r="W86" s="423" t="s">
        <v>143</v>
      </c>
      <c r="X86" s="277"/>
      <c r="Z86" s="696">
        <f>U9</f>
        <v>0.86919999999999997</v>
      </c>
      <c r="AA86" s="695">
        <f>AA8</f>
        <v>125</v>
      </c>
      <c r="AB86" s="697">
        <f>MROUND(Z86,0.002)</f>
        <v>0.87</v>
      </c>
      <c r="AC86" s="547">
        <f>FLOOR(AA86,1)+IF(MOD(AA86,1)&lt;0.26,0,IF(MOD(AA86,1)&lt;0.76,0.5,1))</f>
        <v>125</v>
      </c>
      <c r="AD86" s="543">
        <f>MROUND(AB86*999.012,0.01)</f>
        <v>869.14</v>
      </c>
      <c r="AE86" s="543">
        <f>IF(AB86&gt;=0.839,103.872,IF(AB86&gt;=0.789,330.301,IF(AB86&gt;=0.771,1489.067,192.4571)))</f>
        <v>103.872</v>
      </c>
      <c r="AF86" s="283">
        <f>IF(AB86&gt;=0.839,0.2701,IF(AB86&gt;=0.789,0,IF(AB86&gt;=0.771,-0.0018684,0.2438)))</f>
        <v>0.27010000000000001</v>
      </c>
      <c r="AG86" s="699">
        <f>TRUNC(AE86/AD86,8)</f>
        <v>0.11951124</v>
      </c>
      <c r="AH86" s="701">
        <f>TRUNC(AG86/AD86,10)</f>
        <v>1.3750510000000001E-4</v>
      </c>
      <c r="AI86" s="707">
        <f>IF(AB86&gt;=0.839,AF86/AD86,IF(AB86&gt;=0.789,AF86/AD86,IF(AB86&gt;=0.771,AF86,AF86/AD86)))</f>
        <v>3.1076696504590747E-4</v>
      </c>
      <c r="AJ86" s="703">
        <f>MROUND(AH86+AI86,0.0000001)</f>
        <v>4.483E-4</v>
      </c>
      <c r="AK86" s="704">
        <f>AC86-60</f>
        <v>65</v>
      </c>
      <c r="AL86" s="705">
        <f>AJ86*AK86</f>
        <v>2.9139499999999999E-2</v>
      </c>
      <c r="AM86" s="705">
        <f>0.8*AL86</f>
        <v>2.3311600000000002E-2</v>
      </c>
      <c r="AN86" s="705">
        <f>0.8*AJ86^2*AK86^2</f>
        <v>6.7928836820000001E-4</v>
      </c>
      <c r="AO86" s="705">
        <f>-AL86-AN86</f>
        <v>-2.9818788368199997E-2</v>
      </c>
      <c r="AP86" s="283">
        <f>TRUNC(EXP(AO86),6)</f>
        <v>0.97062099999999996</v>
      </c>
      <c r="AQ86" s="706">
        <f>ROUND(MROUND(AP86,0.00001),4)</f>
        <v>0.97060000000000002</v>
      </c>
    </row>
    <row r="87" spans="11:43">
      <c r="K87" s="327">
        <v>7</v>
      </c>
      <c r="L87" s="319" t="str">
        <f t="shared" si="11"/>
        <v>Table 28 - Short Tons (in AIR) to US Gallons at 60°F</v>
      </c>
      <c r="M87" s="5" t="s">
        <v>164</v>
      </c>
      <c r="N87" s="5" t="s">
        <v>139</v>
      </c>
      <c r="O87" s="390"/>
      <c r="P87" s="412"/>
      <c r="Q87" s="412"/>
      <c r="R87" s="381"/>
      <c r="S87" s="415" t="s">
        <v>347</v>
      </c>
      <c r="T87" s="433" t="s">
        <v>139</v>
      </c>
      <c r="U87" s="300">
        <f>BN71</f>
        <v>276.33999999999997</v>
      </c>
      <c r="V87" s="293" t="s">
        <v>338</v>
      </c>
      <c r="W87" s="423" t="s">
        <v>106</v>
      </c>
      <c r="X87" s="277"/>
      <c r="Z87" s="328"/>
      <c r="AA87" s="569"/>
      <c r="AB87" s="569"/>
      <c r="AC87" s="569"/>
      <c r="AD87" s="569"/>
      <c r="AE87" s="569"/>
      <c r="AF87" s="569"/>
      <c r="AG87" s="569"/>
      <c r="AH87" s="569"/>
      <c r="AI87" s="569"/>
      <c r="AJ87" s="312"/>
      <c r="AK87" s="312"/>
      <c r="AL87" s="312"/>
      <c r="AM87" s="312"/>
      <c r="AN87" s="312"/>
      <c r="AO87" s="312"/>
      <c r="AP87" s="312"/>
      <c r="AQ87" s="579"/>
    </row>
    <row r="88" spans="11:43">
      <c r="K88" s="327">
        <v>8</v>
      </c>
      <c r="L88" s="319" t="str">
        <f t="shared" si="11"/>
        <v>Table 28 - Short Tons (in AIR) to US Barrels at 60°F</v>
      </c>
      <c r="M88" s="5" t="s">
        <v>164</v>
      </c>
      <c r="N88" s="5" t="s">
        <v>140</v>
      </c>
      <c r="O88" s="390"/>
      <c r="P88" s="412"/>
      <c r="Q88" s="412"/>
      <c r="R88" s="381"/>
      <c r="S88" s="415" t="s">
        <v>347</v>
      </c>
      <c r="T88" s="433" t="s">
        <v>140</v>
      </c>
      <c r="U88" s="305">
        <f>BO71</f>
        <v>6.5789999999999997</v>
      </c>
      <c r="V88" s="293" t="s">
        <v>338</v>
      </c>
      <c r="W88" s="423" t="s">
        <v>106</v>
      </c>
      <c r="X88" s="277"/>
    </row>
    <row r="89" spans="11:43">
      <c r="K89" s="327">
        <v>9</v>
      </c>
      <c r="L89" s="319" t="str">
        <f t="shared" si="11"/>
        <v>Table 29 - 1000 US Gallons at 60°F to Long Tons (in AIR)</v>
      </c>
      <c r="M89" s="5" t="s">
        <v>144</v>
      </c>
      <c r="N89" s="5" t="s">
        <v>165</v>
      </c>
      <c r="O89" s="390"/>
      <c r="P89" s="413"/>
      <c r="Q89" s="413"/>
      <c r="R89" s="382"/>
      <c r="S89" s="415" t="s">
        <v>348</v>
      </c>
      <c r="T89" s="433" t="s">
        <v>14</v>
      </c>
      <c r="U89" s="302">
        <f>BR71</f>
        <v>3.2309999999999999</v>
      </c>
      <c r="V89" s="293" t="s">
        <v>338</v>
      </c>
      <c r="W89" s="423" t="s">
        <v>144</v>
      </c>
      <c r="X89" s="277"/>
      <c r="AB89" s="5" t="str">
        <f>IF(AB86&gt;=0.839,"FUEL OIL",IF(AB86&gt;=0.789,"JET GROUP",IF(AB86&gt;=0.771,"A+B","GASOLINE")))</f>
        <v>FUEL OIL</v>
      </c>
    </row>
    <row r="90" spans="11:43" ht="15">
      <c r="K90" s="327">
        <v>10</v>
      </c>
      <c r="L90" s="319" t="str">
        <f t="shared" si="11"/>
        <v>Table 29 - US Barrels at 60°F to Long Tons (in AIR)</v>
      </c>
      <c r="M90" s="5" t="s">
        <v>140</v>
      </c>
      <c r="N90" s="5" t="s">
        <v>165</v>
      </c>
      <c r="O90" s="390"/>
      <c r="P90" s="413"/>
      <c r="Q90" s="413"/>
      <c r="R90" s="382"/>
      <c r="S90" s="415" t="s">
        <v>348</v>
      </c>
      <c r="T90" s="433" t="s">
        <v>14</v>
      </c>
      <c r="U90" s="303">
        <f>BS71</f>
        <v>0.13569999999999999</v>
      </c>
      <c r="V90" s="293" t="s">
        <v>338</v>
      </c>
      <c r="W90" s="423" t="s">
        <v>143</v>
      </c>
      <c r="X90" s="277"/>
      <c r="AE90" s="543" t="s">
        <v>309</v>
      </c>
      <c r="AF90" s="5" t="s">
        <v>327</v>
      </c>
    </row>
    <row r="91" spans="11:43" ht="15">
      <c r="K91" s="327">
        <v>11</v>
      </c>
      <c r="L91" s="319" t="str">
        <f t="shared" si="11"/>
        <v>Table 30 - Long Tons (in AIR) to US Gallons at 60°F</v>
      </c>
      <c r="M91" s="5" t="s">
        <v>165</v>
      </c>
      <c r="N91" s="5" t="s">
        <v>139</v>
      </c>
      <c r="O91" s="390"/>
      <c r="P91" s="412"/>
      <c r="Q91" s="412"/>
      <c r="R91" s="381"/>
      <c r="S91" s="415" t="s">
        <v>349</v>
      </c>
      <c r="T91" s="433" t="s">
        <v>139</v>
      </c>
      <c r="U91" s="300">
        <f>BV71</f>
        <v>309.5</v>
      </c>
      <c r="V91" s="293" t="s">
        <v>338</v>
      </c>
      <c r="W91" s="423" t="s">
        <v>108</v>
      </c>
      <c r="X91" s="277"/>
      <c r="AE91" s="543" t="s">
        <v>310</v>
      </c>
      <c r="AF91" s="5" t="s">
        <v>328</v>
      </c>
    </row>
    <row r="92" spans="11:43">
      <c r="K92" s="327">
        <v>12</v>
      </c>
      <c r="L92" s="319" t="str">
        <f t="shared" si="11"/>
        <v>Table 30 - Long Tons (in AIR) to US Barrels at 60°F</v>
      </c>
      <c r="M92" s="5" t="s">
        <v>165</v>
      </c>
      <c r="N92" s="5" t="s">
        <v>140</v>
      </c>
      <c r="O92" s="390"/>
      <c r="P92" s="412"/>
      <c r="Q92" s="412"/>
      <c r="R92" s="381"/>
      <c r="S92" s="415" t="s">
        <v>349</v>
      </c>
      <c r="T92" s="433" t="s">
        <v>140</v>
      </c>
      <c r="U92" s="305">
        <f>BW71</f>
        <v>7.3689999999999998</v>
      </c>
      <c r="V92" s="293" t="s">
        <v>338</v>
      </c>
      <c r="W92" s="423" t="s">
        <v>108</v>
      </c>
      <c r="X92" s="277"/>
    </row>
    <row r="93" spans="11:43">
      <c r="K93" s="327">
        <v>13</v>
      </c>
      <c r="L93" s="319" t="str">
        <f t="shared" si="11"/>
        <v>Table 31 - Short Tons (in AIR) to Cubic Metres at 15°C</v>
      </c>
      <c r="M93" s="5" t="s">
        <v>164</v>
      </c>
      <c r="N93" s="5" t="s">
        <v>138</v>
      </c>
      <c r="O93" s="390"/>
      <c r="P93" s="413"/>
      <c r="Q93" s="413"/>
      <c r="R93" s="382"/>
      <c r="S93" s="415" t="s">
        <v>350</v>
      </c>
      <c r="T93" s="432" t="s">
        <v>138</v>
      </c>
      <c r="U93" s="302">
        <f>BZ71</f>
        <v>1.0456000000000001</v>
      </c>
      <c r="V93" s="293" t="s">
        <v>338</v>
      </c>
      <c r="W93" s="423" t="s">
        <v>106</v>
      </c>
      <c r="X93" s="277"/>
    </row>
    <row r="94" spans="11:43">
      <c r="K94" s="327">
        <v>14</v>
      </c>
      <c r="L94" s="319" t="str">
        <f t="shared" si="11"/>
        <v>Table 31 - Long Tons (in AIR) to Cubic Metres at 15°C</v>
      </c>
      <c r="M94" s="5" t="s">
        <v>165</v>
      </c>
      <c r="N94" s="5" t="s">
        <v>138</v>
      </c>
      <c r="O94" s="390"/>
      <c r="P94" s="413"/>
      <c r="Q94" s="413"/>
      <c r="R94" s="382"/>
      <c r="S94" s="415" t="s">
        <v>350</v>
      </c>
      <c r="T94" s="432" t="s">
        <v>138</v>
      </c>
      <c r="U94" s="302">
        <f>CA71</f>
        <v>1.171</v>
      </c>
      <c r="V94" s="293" t="s">
        <v>338</v>
      </c>
      <c r="W94" s="423" t="s">
        <v>108</v>
      </c>
      <c r="X94" s="277"/>
    </row>
    <row r="95" spans="11:43">
      <c r="K95" s="329"/>
      <c r="L95" s="312"/>
      <c r="M95" s="312"/>
      <c r="N95" s="312"/>
      <c r="O95" s="391"/>
      <c r="P95" s="312"/>
      <c r="Q95" s="312"/>
      <c r="R95" s="383"/>
      <c r="S95" s="418"/>
      <c r="T95" s="434"/>
      <c r="U95" s="281"/>
      <c r="V95" s="281"/>
      <c r="W95" s="281"/>
      <c r="X95" s="282"/>
    </row>
    <row r="97" spans="11:71" ht="15.75" customHeight="1">
      <c r="K97" s="3601" t="s">
        <v>495</v>
      </c>
      <c r="L97" s="3602"/>
      <c r="M97" s="3602"/>
      <c r="N97" s="3602"/>
      <c r="O97" s="3602"/>
      <c r="P97" s="3602"/>
      <c r="Q97" s="3602"/>
      <c r="R97" s="3602"/>
      <c r="S97" s="3602"/>
      <c r="T97" s="3602"/>
      <c r="U97" s="3602"/>
      <c r="V97" s="3602"/>
      <c r="W97" s="3602"/>
      <c r="X97" s="3603"/>
      <c r="Z97" s="262" t="s">
        <v>500</v>
      </c>
      <c r="AA97" s="29"/>
      <c r="AB97" s="29"/>
      <c r="AC97" s="29"/>
      <c r="AD97" s="29"/>
      <c r="AE97" s="29"/>
      <c r="AF97" s="29"/>
      <c r="AG97" s="29"/>
      <c r="AH97" s="29"/>
      <c r="AI97" s="29"/>
      <c r="AJ97" s="29"/>
      <c r="AK97" s="214"/>
      <c r="AS97" s="262" t="s">
        <v>100</v>
      </c>
      <c r="AT97" s="29"/>
      <c r="AU97" s="29"/>
      <c r="AV97" s="29"/>
      <c r="AW97" s="29"/>
      <c r="AX97" s="29"/>
      <c r="AY97" s="29"/>
      <c r="AZ97" s="29"/>
      <c r="BA97" s="29"/>
      <c r="BB97" s="29"/>
      <c r="BC97" s="29"/>
      <c r="BD97" s="216"/>
      <c r="BE97" s="166" t="s">
        <v>100</v>
      </c>
      <c r="BF97" s="29"/>
      <c r="BG97" s="166"/>
      <c r="BH97" s="29"/>
      <c r="BI97" s="29"/>
      <c r="BJ97" s="29"/>
      <c r="BK97" s="29"/>
      <c r="BL97" s="29"/>
      <c r="BM97" s="29"/>
      <c r="BN97" s="29"/>
      <c r="BO97" s="29"/>
      <c r="BP97" s="273"/>
      <c r="BQ97" s="164"/>
      <c r="BR97" s="164"/>
      <c r="BS97" s="167"/>
    </row>
    <row r="98" spans="11:71" ht="13.15">
      <c r="K98" s="419"/>
      <c r="L98" s="284"/>
      <c r="M98" s="451"/>
      <c r="N98" s="480"/>
      <c r="O98" s="480"/>
      <c r="P98" s="480"/>
      <c r="Q98" s="480"/>
      <c r="R98" s="480"/>
      <c r="S98" s="480"/>
      <c r="T98" s="480"/>
      <c r="U98" s="480"/>
      <c r="W98" s="441"/>
      <c r="X98" s="398"/>
      <c r="Z98" s="571"/>
      <c r="AA98" s="572"/>
      <c r="AB98" s="262" t="s">
        <v>218</v>
      </c>
      <c r="AC98" s="29"/>
      <c r="AD98" s="594"/>
      <c r="AE98" s="595"/>
      <c r="AF98" s="328"/>
      <c r="AG98" s="591"/>
      <c r="AH98" s="591"/>
      <c r="AI98" s="592"/>
      <c r="AJ98" s="573" t="s">
        <v>204</v>
      </c>
      <c r="AK98" s="570"/>
      <c r="AS98" s="253" t="s">
        <v>12</v>
      </c>
      <c r="AT98" s="254"/>
      <c r="AU98" s="255"/>
      <c r="AV98" s="249"/>
      <c r="AW98" s="253" t="s">
        <v>7</v>
      </c>
      <c r="AX98" s="254"/>
      <c r="AY98" s="255"/>
      <c r="AZ98" s="258"/>
      <c r="BA98" s="3549" t="str">
        <f>'ASTM Vol. XI-XII'!CF5</f>
        <v>ASTM Table 56</v>
      </c>
      <c r="BB98" s="3550"/>
      <c r="BC98" s="3551"/>
      <c r="BD98" s="258"/>
      <c r="BE98" s="3549" t="str">
        <f>'ASTM Vol. XI-XII'!CI5</f>
        <v>ASTM Table 56</v>
      </c>
      <c r="BF98" s="3550"/>
      <c r="BG98" s="3551"/>
      <c r="BH98" s="258"/>
      <c r="BI98" s="253" t="s">
        <v>8</v>
      </c>
      <c r="BJ98" s="254"/>
      <c r="BK98" s="255"/>
      <c r="BL98" s="249"/>
      <c r="BM98" s="253" t="s">
        <v>9</v>
      </c>
      <c r="BN98" s="254"/>
      <c r="BO98" s="255"/>
      <c r="BP98" s="249"/>
      <c r="BQ98" s="253" t="s">
        <v>10</v>
      </c>
      <c r="BR98" s="254"/>
      <c r="BS98" s="255"/>
    </row>
    <row r="99" spans="11:71">
      <c r="K99" s="275"/>
      <c r="L99" s="681" t="s">
        <v>253</v>
      </c>
      <c r="M99" s="585" t="str">
        <f>$M$17</f>
        <v>BBLS @ Temp.</v>
      </c>
      <c r="N99" s="477" t="str">
        <f>L101</f>
        <v>BBLS @ Temp.</v>
      </c>
      <c r="O99" s="477" t="str">
        <f>L102</f>
        <v>BBLS @ 60°F</v>
      </c>
      <c r="P99" s="477" t="str">
        <f>L103</f>
        <v>M3 @ Temp.</v>
      </c>
      <c r="Q99" s="477" t="str">
        <f>L104</f>
        <v>M3 @ 15°C</v>
      </c>
      <c r="R99" s="477" t="str">
        <f>L105</f>
        <v>MT (in Vac)</v>
      </c>
      <c r="S99" s="477" t="str">
        <f>L106</f>
        <v>MT (in Air)</v>
      </c>
      <c r="T99" s="477" t="str">
        <f>L107</f>
        <v>LT</v>
      </c>
      <c r="U99" s="477">
        <f>L108</f>
        <v>0</v>
      </c>
      <c r="W99" s="426"/>
      <c r="X99" s="398"/>
      <c r="Z99" s="543" t="s">
        <v>219</v>
      </c>
      <c r="AA99" s="543" t="s">
        <v>220</v>
      </c>
      <c r="AB99" s="262" t="s">
        <v>219</v>
      </c>
      <c r="AC99" s="262" t="s">
        <v>220</v>
      </c>
      <c r="AD99" s="543" t="s">
        <v>206</v>
      </c>
      <c r="AE99" s="543" t="s">
        <v>207</v>
      </c>
      <c r="AF99" s="328"/>
      <c r="AG99" s="591"/>
      <c r="AH99" s="591"/>
      <c r="AI99" s="592"/>
      <c r="AJ99" s="574" t="s">
        <v>221</v>
      </c>
      <c r="AK99" s="542"/>
      <c r="AS99" s="229" t="s">
        <v>20</v>
      </c>
      <c r="AT99" s="230" t="s">
        <v>19</v>
      </c>
      <c r="AU99" s="231" t="s">
        <v>18</v>
      </c>
      <c r="AV99" s="250"/>
      <c r="AW99" s="229" t="s">
        <v>20</v>
      </c>
      <c r="AX99" s="230" t="s">
        <v>13</v>
      </c>
      <c r="AY99" s="231" t="s">
        <v>16</v>
      </c>
      <c r="AZ99" s="259"/>
      <c r="BA99" s="229" t="s">
        <v>123</v>
      </c>
      <c r="BB99" s="3552" t="s">
        <v>124</v>
      </c>
      <c r="BC99" s="3553"/>
      <c r="BD99" s="259"/>
      <c r="BE99" s="229" t="s">
        <v>123</v>
      </c>
      <c r="BF99" s="3552" t="s">
        <v>124</v>
      </c>
      <c r="BG99" s="3553"/>
      <c r="BH99" s="259"/>
      <c r="BI99" s="229" t="s">
        <v>20</v>
      </c>
      <c r="BJ99" s="230" t="s">
        <v>17</v>
      </c>
      <c r="BK99" s="231" t="s">
        <v>13</v>
      </c>
      <c r="BL99" s="250"/>
      <c r="BM99" s="229" t="s">
        <v>20</v>
      </c>
      <c r="BN99" s="230" t="s">
        <v>23</v>
      </c>
      <c r="BO99" s="231" t="s">
        <v>14</v>
      </c>
      <c r="BP99" s="250"/>
      <c r="BQ99" s="229" t="s">
        <v>20</v>
      </c>
      <c r="BR99" s="230" t="s">
        <v>24</v>
      </c>
      <c r="BS99" s="231" t="s">
        <v>16</v>
      </c>
    </row>
    <row r="100" spans="11:71" ht="13.15">
      <c r="K100" s="276"/>
      <c r="L100" s="383"/>
      <c r="M100" s="482">
        <f>$M$18</f>
        <v>100000</v>
      </c>
      <c r="N100" s="478">
        <f t="shared" ref="N100:U100" si="12">IF(N99=$M$99,$M$100,"")</f>
        <v>100000</v>
      </c>
      <c r="O100" s="479" t="str">
        <f t="shared" si="12"/>
        <v/>
      </c>
      <c r="P100" s="479" t="str">
        <f t="shared" si="12"/>
        <v/>
      </c>
      <c r="Q100" s="479" t="str">
        <f t="shared" si="12"/>
        <v/>
      </c>
      <c r="R100" s="479" t="str">
        <f t="shared" si="12"/>
        <v/>
      </c>
      <c r="S100" s="478" t="str">
        <f t="shared" si="12"/>
        <v/>
      </c>
      <c r="T100" s="478" t="str">
        <f t="shared" si="12"/>
        <v/>
      </c>
      <c r="U100" s="478" t="str">
        <f t="shared" si="12"/>
        <v/>
      </c>
      <c r="V100" s="276"/>
      <c r="W100" s="428"/>
      <c r="X100" s="400"/>
      <c r="Z100" s="558">
        <f>U10</f>
        <v>868.7</v>
      </c>
      <c r="AA100" s="559">
        <f>W9</f>
        <v>43.33</v>
      </c>
      <c r="AB100" s="544">
        <f>IF((EVEN(Z100)-Z100)&lt;1,EVEN(Z100),EVEN(Z100)-2)</f>
        <v>868</v>
      </c>
      <c r="AC100" s="560">
        <f>FLOOR(AA100,1)+IF(MOD(AA100,1)&lt;0.125,0,IF(MOD(AA100,1)&lt;0.375,0.25,IF(MOD(AA100,1)&lt;0.625,0.5,IF(MOD(AA100,1)&lt;0.875,0.75,1))))</f>
        <v>43.25</v>
      </c>
      <c r="AD100" s="548">
        <f>613.9723/AB100^2</f>
        <v>8.1490940028456759E-4</v>
      </c>
      <c r="AE100" s="548">
        <f>1+0.8*AD100*(AC100-15)</f>
        <v>1.0184169524464313</v>
      </c>
      <c r="AF100" s="328"/>
      <c r="AG100" s="591"/>
      <c r="AH100" s="591"/>
      <c r="AI100" s="592"/>
      <c r="AJ100" s="590">
        <f>ROUND(EXP(AD100*AE100*(AC100-15)*-1),4)</f>
        <v>0.9768</v>
      </c>
      <c r="AK100" s="550"/>
      <c r="AS100" s="180"/>
      <c r="AT100" s="181" t="s">
        <v>20</v>
      </c>
      <c r="AU100" s="182" t="s">
        <v>26</v>
      </c>
      <c r="AV100" s="185"/>
      <c r="AW100" s="180" t="s">
        <v>27</v>
      </c>
      <c r="AX100" s="181" t="s">
        <v>25</v>
      </c>
      <c r="AY100" s="182" t="s">
        <v>25</v>
      </c>
      <c r="AZ100" s="260"/>
      <c r="BA100" s="180" t="s">
        <v>125</v>
      </c>
      <c r="BB100" s="3538" t="s">
        <v>159</v>
      </c>
      <c r="BC100" s="3539"/>
      <c r="BD100" s="260"/>
      <c r="BE100" s="180" t="s">
        <v>125</v>
      </c>
      <c r="BF100" s="3554" t="s">
        <v>126</v>
      </c>
      <c r="BG100" s="3555"/>
      <c r="BH100" s="260"/>
      <c r="BI100" s="180" t="s">
        <v>27</v>
      </c>
      <c r="BJ100" s="181" t="s">
        <v>25</v>
      </c>
      <c r="BK100" s="182" t="s">
        <v>25</v>
      </c>
      <c r="BL100" s="185"/>
      <c r="BM100" s="180"/>
      <c r="BN100" s="181" t="s">
        <v>25</v>
      </c>
      <c r="BO100" s="182" t="s">
        <v>25</v>
      </c>
      <c r="BP100" s="185"/>
      <c r="BQ100" s="180" t="s">
        <v>27</v>
      </c>
      <c r="BR100" s="181" t="s">
        <v>25</v>
      </c>
      <c r="BS100" s="182" t="s">
        <v>25</v>
      </c>
    </row>
    <row r="101" spans="11:71" ht="13.15">
      <c r="K101" s="327">
        <v>1</v>
      </c>
      <c r="L101" s="454" t="str">
        <f t="shared" ref="L101:L108" si="13">L19</f>
        <v>BBLS @ Temp.</v>
      </c>
      <c r="M101" s="457">
        <f>MAX(N101:U101)</f>
        <v>100000</v>
      </c>
      <c r="N101" s="719">
        <f>IF($M$17=N99,ROUND(N100,0),"")</f>
        <v>100000</v>
      </c>
      <c r="O101" s="457" t="str">
        <f t="shared" ref="O101:T101" si="14">IF($M$17=O99,ROUND(O103*$Q$8,0),"")</f>
        <v/>
      </c>
      <c r="P101" s="457" t="str">
        <f t="shared" si="14"/>
        <v/>
      </c>
      <c r="Q101" s="457" t="str">
        <f t="shared" si="14"/>
        <v/>
      </c>
      <c r="R101" s="457" t="str">
        <f t="shared" si="14"/>
        <v/>
      </c>
      <c r="S101" s="457" t="str">
        <f t="shared" si="14"/>
        <v/>
      </c>
      <c r="T101" s="457" t="str">
        <f t="shared" si="14"/>
        <v/>
      </c>
      <c r="U101" s="457"/>
      <c r="W101" s="12"/>
      <c r="X101" s="398"/>
      <c r="Z101" s="549"/>
      <c r="AA101" s="541"/>
      <c r="AB101" s="561"/>
      <c r="AC101" s="561"/>
      <c r="AD101" s="561"/>
      <c r="AE101" s="541"/>
      <c r="AF101" s="541"/>
      <c r="AG101" s="541"/>
      <c r="AH101" s="541"/>
      <c r="AI101" s="541"/>
      <c r="AJ101" s="541"/>
      <c r="AK101" s="542"/>
      <c r="AS101" s="233"/>
      <c r="AT101" s="234"/>
      <c r="AU101" s="235"/>
      <c r="AV101" s="250"/>
      <c r="AW101" s="233" t="s">
        <v>27</v>
      </c>
      <c r="AX101" s="234" t="s">
        <v>28</v>
      </c>
      <c r="AY101" s="235" t="s">
        <v>22</v>
      </c>
      <c r="AZ101" s="259"/>
      <c r="BA101" s="233"/>
      <c r="BB101" s="3536" t="s">
        <v>127</v>
      </c>
      <c r="BC101" s="3537"/>
      <c r="BD101" s="259"/>
      <c r="BE101" s="233"/>
      <c r="BF101" s="3538" t="s">
        <v>141</v>
      </c>
      <c r="BG101" s="3539"/>
      <c r="BH101" s="259"/>
      <c r="BI101" s="233" t="s">
        <v>27</v>
      </c>
      <c r="BJ101" s="234" t="s">
        <v>22</v>
      </c>
      <c r="BK101" s="235" t="s">
        <v>29</v>
      </c>
      <c r="BL101" s="250"/>
      <c r="BM101" s="233"/>
      <c r="BN101" s="234" t="s">
        <v>22</v>
      </c>
      <c r="BO101" s="235" t="s">
        <v>22</v>
      </c>
      <c r="BP101" s="250"/>
      <c r="BQ101" s="233" t="s">
        <v>27</v>
      </c>
      <c r="BR101" s="234" t="s">
        <v>29</v>
      </c>
      <c r="BS101" s="235" t="s">
        <v>29</v>
      </c>
    </row>
    <row r="102" spans="11:71" ht="13.15">
      <c r="K102" s="327">
        <v>2</v>
      </c>
      <c r="L102" s="454" t="str">
        <f t="shared" si="13"/>
        <v>BBLS @ 60°F</v>
      </c>
      <c r="M102" s="599">
        <f>MAX(N102:U102)</f>
        <v>97730</v>
      </c>
      <c r="N102" s="599">
        <f>IF($M$17=N99,ROUND(N104*$U$116,0),"")</f>
        <v>97730</v>
      </c>
      <c r="O102" s="718" t="str">
        <f>IF($M$17=O99,ROUND(O100,0),"")</f>
        <v/>
      </c>
      <c r="P102" s="599" t="str">
        <f>IF($M$17=P99,ROUND(P104*$U$116,0),"")</f>
        <v/>
      </c>
      <c r="Q102" s="599" t="str">
        <f>IF($M$17=Q99,ROUND(Q104*$U$116,0),"")</f>
        <v/>
      </c>
      <c r="R102" s="599" t="str">
        <f>IF($M$17=R99,ROUND(R104*$U$116,0),"")</f>
        <v/>
      </c>
      <c r="S102" s="599" t="str">
        <f>IF($M$17=S99,ROUND(S104*$U$116,0),"")</f>
        <v/>
      </c>
      <c r="T102" s="599" t="str">
        <f>IF($M$17=T99,ROUND(T104*$U$116,0),"")</f>
        <v/>
      </c>
      <c r="U102" s="456"/>
      <c r="W102" s="12"/>
      <c r="X102" s="398"/>
      <c r="Z102" s="571"/>
      <c r="AA102" s="572"/>
      <c r="AB102" s="262" t="s">
        <v>222</v>
      </c>
      <c r="AC102" s="29"/>
      <c r="AD102" s="539" t="s">
        <v>210</v>
      </c>
      <c r="AE102" s="552"/>
      <c r="AF102" s="552"/>
      <c r="AG102" s="540"/>
      <c r="AH102" s="551" t="s">
        <v>210</v>
      </c>
      <c r="AI102" s="562" t="s">
        <v>211</v>
      </c>
      <c r="AJ102" s="573" t="s">
        <v>204</v>
      </c>
      <c r="AK102" s="580"/>
      <c r="AS102" s="23" t="s">
        <v>34</v>
      </c>
      <c r="AT102" s="183" t="s">
        <v>35</v>
      </c>
      <c r="AU102" s="184" t="s">
        <v>32</v>
      </c>
      <c r="AV102" s="185"/>
      <c r="AW102" s="23" t="s">
        <v>34</v>
      </c>
      <c r="AX102" s="183"/>
      <c r="AY102" s="184"/>
      <c r="AZ102" s="260"/>
      <c r="BA102" s="263" t="s">
        <v>34</v>
      </c>
      <c r="BB102" s="3540"/>
      <c r="BC102" s="3541"/>
      <c r="BD102" s="260"/>
      <c r="BE102" s="23" t="s">
        <v>34</v>
      </c>
      <c r="BF102" s="3584"/>
      <c r="BG102" s="3585"/>
      <c r="BH102" s="260"/>
      <c r="BI102" s="23" t="s">
        <v>34</v>
      </c>
      <c r="BJ102" s="183" t="s">
        <v>34</v>
      </c>
      <c r="BK102" s="184" t="s">
        <v>34</v>
      </c>
      <c r="BL102" s="185"/>
      <c r="BM102" s="23" t="s">
        <v>34</v>
      </c>
      <c r="BN102" s="183" t="s">
        <v>34</v>
      </c>
      <c r="BO102" s="184" t="s">
        <v>34</v>
      </c>
      <c r="BP102" s="185"/>
      <c r="BQ102" s="23" t="s">
        <v>34</v>
      </c>
      <c r="BR102" s="183" t="s">
        <v>34</v>
      </c>
      <c r="BS102" s="184" t="s">
        <v>34</v>
      </c>
    </row>
    <row r="103" spans="11:71" ht="13.15">
      <c r="K103" s="327">
        <v>3</v>
      </c>
      <c r="L103" s="454" t="str">
        <f t="shared" si="13"/>
        <v>M3 @ Temp.</v>
      </c>
      <c r="M103" s="456">
        <f t="shared" ref="M103:M107" si="15">MAX(N103:U103)</f>
        <v>15898.731</v>
      </c>
      <c r="N103" s="720">
        <f>IF($M$17=N99,ROUND(N101/$Q$8,3),"")</f>
        <v>15898.731</v>
      </c>
      <c r="O103" s="720" t="str">
        <f>IF($M$17=O99,ROUND(O104/$U$14,3),"")</f>
        <v/>
      </c>
      <c r="P103" s="721" t="str">
        <f>IF($M$17=P99,ROUND(P100,3),"")</f>
        <v/>
      </c>
      <c r="Q103" s="720" t="str">
        <f>IF($M$17=Q99,ROUND(Q104/$U$14,3),"")</f>
        <v/>
      </c>
      <c r="R103" s="720" t="str">
        <f>IF($M$17=R99,ROUND(R104/$U$14,3),"")</f>
        <v/>
      </c>
      <c r="S103" s="720" t="str">
        <f>IF($M$17=S99,ROUND(S104/$U$14,3),"")</f>
        <v/>
      </c>
      <c r="T103" s="720" t="str">
        <f>IF($M$17=T99,ROUND(T104/$U$14,3),"")</f>
        <v/>
      </c>
      <c r="U103" s="456"/>
      <c r="W103" s="12"/>
      <c r="X103" s="398"/>
      <c r="Z103" s="543" t="s">
        <v>219</v>
      </c>
      <c r="AA103" s="543" t="s">
        <v>220</v>
      </c>
      <c r="AB103" s="262" t="s">
        <v>219</v>
      </c>
      <c r="AC103" s="262" t="s">
        <v>220</v>
      </c>
      <c r="AD103" s="543" t="s">
        <v>223</v>
      </c>
      <c r="AE103" s="543" t="s">
        <v>224</v>
      </c>
      <c r="AF103" s="543" t="s">
        <v>225</v>
      </c>
      <c r="AG103" s="543" t="s">
        <v>226</v>
      </c>
      <c r="AH103" s="554"/>
      <c r="AI103" s="563"/>
      <c r="AJ103" s="574" t="s">
        <v>227</v>
      </c>
      <c r="AK103" s="581"/>
      <c r="AS103" s="347">
        <f>VLOOKUP(AS104,'ASTM Vol. XI-XII'!BX$10:BX$860,TRUE)</f>
        <v>868</v>
      </c>
      <c r="AT103" s="270">
        <f>VLOOKUP(AS103,'ASTM Vol. XI-XII'!BX$10:BY$860,2)</f>
        <v>0.86850000000000005</v>
      </c>
      <c r="AU103" s="349">
        <f>VLOOKUP(AS103,'ASTM Vol. XI-XII'!BX$10:BZ$860,3)</f>
        <v>31.43</v>
      </c>
      <c r="AV103" s="350"/>
      <c r="AW103" s="347">
        <f>VLOOKUP(AW104,'ASTM Vol. XI-XII'!CB$10:CB$860,TRUE)</f>
        <v>868</v>
      </c>
      <c r="AX103" s="268">
        <f>VLOOKUP(AW103,'ASTM Vol. XI-XII'!CB$10:CC$860,2)</f>
        <v>0.15892000000000001</v>
      </c>
      <c r="AY103" s="351">
        <f>VLOOKUP(AW103,'ASTM Vol. XI-XII'!CB$10:CD$860,3)</f>
        <v>6.2930000000000001</v>
      </c>
      <c r="AZ103" s="352"/>
      <c r="BA103" s="374">
        <f>VLOOKUP(BA104,'ASTM Vol. XI-XII'!CF10:CF37,TRUE)</f>
        <v>0.84119999999999995</v>
      </c>
      <c r="BB103" s="3583">
        <f>VLOOKUP(BA103,'ASTM Vol. XI-XII'!CF$10:CG$860,2)</f>
        <v>0.99875000000000003</v>
      </c>
      <c r="BC103" s="3583"/>
      <c r="BD103" s="352"/>
      <c r="BE103" s="374">
        <f>VLOOKUP(BE104,'ASTM Vol. XI-XII'!CI$10:CI$860,TRUE)</f>
        <v>0.84219999999999995</v>
      </c>
      <c r="BF103" s="3583">
        <f>VLOOKUP(BE103,'ASTM Vol. XI-XII'!CI$10:CJ$860,2)</f>
        <v>1.00125</v>
      </c>
      <c r="BG103" s="3583"/>
      <c r="BH103" s="352"/>
      <c r="BI103" s="347">
        <f>VLOOKUP(BI104,'ASTM Vol. XI-XII'!CL$10:CL$860,TRUE)</f>
        <v>868</v>
      </c>
      <c r="BJ103" s="344">
        <f>VLOOKUP(BI103,'ASTM Vol. XI-XII'!CL$10:CM$860,2)</f>
        <v>866.9</v>
      </c>
      <c r="BK103" s="270">
        <f>VLOOKUP(BI103,'ASTM Vol. XI-XII'!CL$10:CN$860,3)</f>
        <v>1.1535</v>
      </c>
      <c r="BL103" s="350"/>
      <c r="BM103" s="347">
        <f>VLOOKUP(BM104,'ASTM Vol. XI-XII'!CP$10:CP$860,TRUE)</f>
        <v>868</v>
      </c>
      <c r="BN103" s="270">
        <f>VLOOKUP(BM103,'ASTM Vol. XI-XII'!CP$10:CQ$860,2)</f>
        <v>0.9556</v>
      </c>
      <c r="BO103" s="270">
        <f>VLOOKUP(BM103,'ASTM Vol. XI-XII'!CP$10:CR$860,3)</f>
        <v>0.85319999999999996</v>
      </c>
      <c r="BP103" s="350"/>
      <c r="BQ103" s="347">
        <f>VLOOKUP(BQ104,'ASTM Vol. XI-XII'!CT$10:CT$860,TRUE)</f>
        <v>868</v>
      </c>
      <c r="BR103" s="349">
        <f>VLOOKUP(BQ103,'ASTM Vol. XI-XII'!CT$10:CU$860,2)</f>
        <v>304.86</v>
      </c>
      <c r="BS103" s="351">
        <f>VLOOKUP(BQ103,'ASTM Vol. XI-XII'!CT$10:CV$860,3)</f>
        <v>7.2590000000000003</v>
      </c>
    </row>
    <row r="104" spans="11:71" ht="13.15">
      <c r="K104" s="327">
        <v>4</v>
      </c>
      <c r="L104" s="454" t="str">
        <f t="shared" si="13"/>
        <v>M3 @ 15°C</v>
      </c>
      <c r="M104" s="456">
        <f t="shared" si="15"/>
        <v>15529.88</v>
      </c>
      <c r="N104" s="720">
        <f>IF($M$17=N99,ROUND(N103*$U$14,3),"")</f>
        <v>15529.88</v>
      </c>
      <c r="O104" s="720" t="str">
        <f>IF($M$17=O99,ROUND(O102*$U$115,3),"")</f>
        <v/>
      </c>
      <c r="P104" s="720" t="str">
        <f>IF($M$17=P99,ROUND(P103*$U$14,3),"")</f>
        <v/>
      </c>
      <c r="Q104" s="721" t="str">
        <f>IF($M$17=Q99,ROUND(Q100,3),"")</f>
        <v/>
      </c>
      <c r="R104" s="720" t="str">
        <f>IF($M$17=R99,ROUND(R106*$U$120,3),"")</f>
        <v/>
      </c>
      <c r="S104" s="720" t="str">
        <f>IF($M$17=S99,ROUND(S106*$U$120,3),"")</f>
        <v/>
      </c>
      <c r="T104" s="720" t="str">
        <f>IF($M$17=T99,ROUND(T106*$U$120,3),"")</f>
        <v/>
      </c>
      <c r="U104" s="456"/>
      <c r="W104" s="12"/>
      <c r="X104" s="398"/>
      <c r="Z104" s="558">
        <f>U10</f>
        <v>868.7</v>
      </c>
      <c r="AA104" s="559">
        <f>W9</f>
        <v>43.33</v>
      </c>
      <c r="AB104" s="544">
        <f>IF((EVEN(Z104)-Z104)&lt;1,EVEN(Z104),EVEN(Z104)-2)</f>
        <v>868</v>
      </c>
      <c r="AC104" s="560">
        <f>FLOOR(AA104,1)+IF(MOD(AA104,1)&lt;0.125,0,IF(MOD(AA104,1)&lt;0.375,0.25,IF(MOD(AA104,1)&lt;0.625,0.5,IF(MOD(AA104,1)&lt;0.875,0.75,1))))</f>
        <v>43.25</v>
      </c>
      <c r="AD104" s="543">
        <f>IF(AB104&lt;770,(192.4571/AB104^2)+(0.2438/AB104),0)</f>
        <v>0</v>
      </c>
      <c r="AE104" s="543">
        <f>IF(AND(AB104&gt;=770,AB104&lt;787.5),(1489.0671/(AB104^2))-0.0018684,0)</f>
        <v>0</v>
      </c>
      <c r="AF104" s="543">
        <f>IF(AND(AB104&gt;=787.5,AB104&lt;838.5),330.301/AB104^2,0)</f>
        <v>0</v>
      </c>
      <c r="AG104" s="543">
        <f>IF(AND(AB104&gt;=838.5,AB104&lt;1075),(0.2701/AB104)+(103.873/AB104^2),0)</f>
        <v>4.4904303552846742E-4</v>
      </c>
      <c r="AH104" s="556">
        <f>MAX(AD104:AG104)</f>
        <v>4.4904303552846742E-4</v>
      </c>
      <c r="AI104" s="543">
        <f>((AC104+40)*1.8)-99</f>
        <v>50.849999999999994</v>
      </c>
      <c r="AJ104" s="589">
        <f>ROUND(EXP(-1*AH104*AI104*(1+0.8*AH104*AI104)),4)</f>
        <v>0.97699999999999998</v>
      </c>
      <c r="AK104" s="564"/>
      <c r="AS104" s="353">
        <f>$U$111</f>
        <v>868.7</v>
      </c>
      <c r="AT104" s="271">
        <f>ROUND(AT103+((AS104-AS103)/(AS105-AS103))*(AT105-AT103),4)</f>
        <v>0.86919999999999997</v>
      </c>
      <c r="AU104" s="354">
        <f>ROUND(AU103+((AS104-AS103)/(AS105-AS103))*(AU105-AU103),2)</f>
        <v>31.3</v>
      </c>
      <c r="AV104" s="350"/>
      <c r="AW104" s="353">
        <f>$U$111</f>
        <v>868.7</v>
      </c>
      <c r="AX104" s="269">
        <f>ROUND(AX103+((AW104-AW103)/(AW105-AW103))*(AX105-AX103),5)</f>
        <v>0.15892000000000001</v>
      </c>
      <c r="AY104" s="355">
        <f>ROUND(AY103+((AW104-AW103)/(AW105-AW103))*(AY105-AY103),3)</f>
        <v>6.2930000000000001</v>
      </c>
      <c r="AZ104" s="352"/>
      <c r="BA104" s="348">
        <f>$U$110</f>
        <v>0.86870000000000003</v>
      </c>
      <c r="BB104" s="3582">
        <f>ROUND(BB103+((BA104-BA103)/(BA105-BA103))*(BB105-BB103),5)</f>
        <v>0.99875000000000003</v>
      </c>
      <c r="BC104" s="3582"/>
      <c r="BD104" s="352"/>
      <c r="BE104" s="348">
        <f>$U$110</f>
        <v>0.86870000000000003</v>
      </c>
      <c r="BF104" s="3582">
        <f>ROUND(BF103+((BE104-BE103)/(BE105-BE103))*(BF105-BF103),5)</f>
        <v>1.00125</v>
      </c>
      <c r="BG104" s="3582"/>
      <c r="BH104" s="352"/>
      <c r="BI104" s="353">
        <f>$U$111</f>
        <v>868.7</v>
      </c>
      <c r="BJ104" s="343">
        <f>ROUND(BJ103+((BI104-BI103)/(BI105-BI103))*(BJ105-BJ103),1)</f>
        <v>867.6</v>
      </c>
      <c r="BK104" s="271">
        <f>ROUND(BK103+((BI104-BI103)/(BI105-BI103))*(BK105-BK103),4)</f>
        <v>1.1526000000000001</v>
      </c>
      <c r="BL104" s="350"/>
      <c r="BM104" s="353">
        <f>$U$111</f>
        <v>868.7</v>
      </c>
      <c r="BN104" s="271">
        <f>ROUND(BN103+((BM104-BM103)/(BM105-BM103))*(BN105-BN103),4)</f>
        <v>0.95640000000000003</v>
      </c>
      <c r="BO104" s="271">
        <f>ROUND(BO103+((BM104-BM103)/(BM105-BM103))*(BO105-BO103),4)</f>
        <v>0.85389999999999999</v>
      </c>
      <c r="BP104" s="350"/>
      <c r="BQ104" s="353">
        <f>$U$111</f>
        <v>868.7</v>
      </c>
      <c r="BR104" s="354">
        <f>ROUND(BR103+((BQ104-BQ103)/(BQ105-BQ103))*(BR105-BR103),2)</f>
        <v>304.62</v>
      </c>
      <c r="BS104" s="355">
        <f>ROUND(BS103+((BQ104-BQ103)/(BQ105-BQ103))*(BS105-BS103),3)</f>
        <v>7.2530000000000001</v>
      </c>
    </row>
    <row r="105" spans="11:71" ht="13.15">
      <c r="K105" s="327">
        <v>5</v>
      </c>
      <c r="L105" s="454" t="str">
        <f t="shared" si="13"/>
        <v>MT (in Vac)</v>
      </c>
      <c r="M105" s="456">
        <f t="shared" si="15"/>
        <v>13490.807000000001</v>
      </c>
      <c r="N105" s="720">
        <f>IF($M$17=N99,ROUND(N104*$U$110,3),"")</f>
        <v>13490.807000000001</v>
      </c>
      <c r="O105" s="720" t="str">
        <f>IF($M$17=O99,ROUND(O104*$U$110,3),"")</f>
        <v/>
      </c>
      <c r="P105" s="720" t="str">
        <f>IF($M$17=P99,ROUND(P104*$U$110,3),"")</f>
        <v/>
      </c>
      <c r="Q105" s="720" t="str">
        <f>IF($M$17=Q99,ROUND(Q104*$U$110,3),"")</f>
        <v/>
      </c>
      <c r="R105" s="721" t="str">
        <f>IF($M$17=R99,ROUND(R100,3),"")</f>
        <v/>
      </c>
      <c r="S105" s="720" t="str">
        <f>IF($M$17=S99,ROUND(S106*$U$118,3),"")</f>
        <v/>
      </c>
      <c r="T105" s="720" t="str">
        <f>IF($M$17=T99,ROUND(T106*$U$118,3),"")</f>
        <v/>
      </c>
      <c r="U105" s="456"/>
      <c r="W105" s="607"/>
      <c r="X105" s="398"/>
      <c r="Z105" s="328"/>
      <c r="AA105" s="569"/>
      <c r="AB105" s="569"/>
      <c r="AC105" s="569"/>
      <c r="AD105" s="569"/>
      <c r="AE105" s="569"/>
      <c r="AF105" s="569"/>
      <c r="AG105" s="569"/>
      <c r="AH105" s="569"/>
      <c r="AI105" s="569"/>
      <c r="AJ105" s="569"/>
      <c r="AK105" s="579"/>
      <c r="AS105" s="347">
        <f>INDEX('ASTM Vol. XI-XII'!BX$10:BX$860,(MATCH(AS103,'ASTM Vol. XI-XII'!BX$10:BX$860,1)+1))</f>
        <v>869</v>
      </c>
      <c r="AT105" s="270">
        <f>VLOOKUP(AS105,'ASTM Vol. XI-XII'!BX$10:BY$860,2)</f>
        <v>0.86950000000000005</v>
      </c>
      <c r="AU105" s="349">
        <f>VLOOKUP(AS105,'ASTM Vol. XI-XII'!BX$10:BZ$860,3)</f>
        <v>31.24</v>
      </c>
      <c r="AV105" s="356"/>
      <c r="AW105" s="347">
        <f>INDEX('ASTM Vol. XI-XII'!CB$10:CB$860,(MATCH(AW103,'ASTM Vol. XI-XII'!CB$10:CB$860,1)+1))</f>
        <v>869</v>
      </c>
      <c r="AX105" s="268">
        <f>VLOOKUP(AW105,'ASTM Vol. XI-XII'!CB$10:CC$860,2)</f>
        <v>0.15892000000000001</v>
      </c>
      <c r="AY105" s="351">
        <f>VLOOKUP(AW105,'ASTM Vol. XI-XII'!CB$10:CD$860,3)</f>
        <v>6.2930000000000001</v>
      </c>
      <c r="AZ105" s="357"/>
      <c r="BA105" s="374">
        <f>INDEX('ASTM Vol. XI-XII'!CF$10:CF$860,(MATCH(BA103,'ASTM Vol. XI-XII'!CF$10:CF$860,1)+1))</f>
        <v>0.90339999999999998</v>
      </c>
      <c r="BB105" s="3583">
        <f>VLOOKUP(BA105,'ASTM Vol. XI-XII'!CF$10:CG$37,2)</f>
        <v>0.99875000000000003</v>
      </c>
      <c r="BC105" s="3583"/>
      <c r="BD105" s="357"/>
      <c r="BE105" s="374">
        <f>INDEX('ASTM Vol. XI-XII'!CI$10:CI$860,(MATCH(BE103,'ASTM Vol. XI-XII'!CI$10:CI$860,1)+1))</f>
        <v>0.90439999999999998</v>
      </c>
      <c r="BF105" s="3583">
        <f>VLOOKUP(BE105,'ASTM Vol. XI-XII'!CI$10:CJ$860,2)</f>
        <v>1.00125</v>
      </c>
      <c r="BG105" s="3583"/>
      <c r="BH105" s="357"/>
      <c r="BI105" s="347">
        <f>INDEX('ASTM Vol. XI-XII'!CL$10:CL$860,(MATCH(BI103,'ASTM Vol. XI-XII'!CL$10:CL$860,1)+1))</f>
        <v>869</v>
      </c>
      <c r="BJ105" s="344">
        <f>VLOOKUP(BI105,'ASTM Vol. XI-XII'!CL$10:CM$860,2)</f>
        <v>867.9</v>
      </c>
      <c r="BK105" s="270">
        <f>VLOOKUP(BI105,'ASTM Vol. XI-XII'!CL$10:CN$860,3)</f>
        <v>1.1521999999999999</v>
      </c>
      <c r="BL105" s="356"/>
      <c r="BM105" s="347">
        <f>INDEX('ASTM Vol. XI-XII'!CP$10:CP$860,(MATCH(BM103,'ASTM Vol. XI-XII'!CP$10:CP$860,1)+1))</f>
        <v>869</v>
      </c>
      <c r="BN105" s="270">
        <f>VLOOKUP(BM105,'ASTM Vol. XI-XII'!CP$10:CQ$860,2)</f>
        <v>0.95669999999999999</v>
      </c>
      <c r="BO105" s="270">
        <f>VLOOKUP(BM105,'ASTM Vol. XI-XII'!CP$10:CR$860,3)</f>
        <v>0.85419999999999996</v>
      </c>
      <c r="BP105" s="356"/>
      <c r="BQ105" s="347">
        <f>INDEX('ASTM Vol. XI-XII'!CT$10:CT$860,(MATCH(BQ103,'ASTM Vol. XI-XII'!CT$10:CT$860,1)+1))</f>
        <v>869</v>
      </c>
      <c r="BR105" s="349">
        <f>VLOOKUP(BQ105,'ASTM Vol. XI-XII'!CT$10:CU$860,2)</f>
        <v>304.51</v>
      </c>
      <c r="BS105" s="351">
        <f>VLOOKUP(BQ105,'ASTM Vol. XI-XII'!CT$10:CV$860,3)</f>
        <v>7.25</v>
      </c>
    </row>
    <row r="106" spans="11:71" ht="13.15">
      <c r="K106" s="327">
        <v>6</v>
      </c>
      <c r="L106" s="454" t="str">
        <f t="shared" si="13"/>
        <v>MT (in Air)</v>
      </c>
      <c r="M106" s="600">
        <f t="shared" si="15"/>
        <v>13473.942999999999</v>
      </c>
      <c r="N106" s="723">
        <f>IF($M$17=N99,ROUND(N105*$U$117,3),"")</f>
        <v>13473.942999999999</v>
      </c>
      <c r="O106" s="723" t="str">
        <f>IF($M$17=O99,ROUND(O105*$U$117,3),"")</f>
        <v/>
      </c>
      <c r="P106" s="723" t="str">
        <f>IF($M$17=P99,ROUND(P105*$U$117,3),"")</f>
        <v/>
      </c>
      <c r="Q106" s="723" t="str">
        <f>IF($M$17=Q99,ROUND(Q105*$U$117,3),"")</f>
        <v/>
      </c>
      <c r="R106" s="723" t="str">
        <f>IF($M$17=R99,ROUND(R105*$U$117,3),"")</f>
        <v/>
      </c>
      <c r="S106" s="724" t="str">
        <f>IF($M$17=S99,ROUND(S100,3),"")</f>
        <v/>
      </c>
      <c r="T106" s="723" t="str">
        <f>IF($M$17=T99,ROUND(T107*Q11,3),"")</f>
        <v/>
      </c>
      <c r="U106" s="457"/>
      <c r="W106" s="12"/>
      <c r="X106" s="398"/>
    </row>
    <row r="107" spans="11:71" ht="13.15">
      <c r="K107" s="327">
        <v>7</v>
      </c>
      <c r="L107" s="454" t="str">
        <f t="shared" si="13"/>
        <v>LT</v>
      </c>
      <c r="M107" s="600">
        <f t="shared" si="15"/>
        <v>13261.136</v>
      </c>
      <c r="N107" s="723">
        <f t="shared" ref="N107:S107" si="16">IF($M$17=N99,ROUND(N106*$Q$10,3),"")</f>
        <v>13261.136</v>
      </c>
      <c r="O107" s="723" t="str">
        <f t="shared" si="16"/>
        <v/>
      </c>
      <c r="P107" s="723" t="str">
        <f t="shared" si="16"/>
        <v/>
      </c>
      <c r="Q107" s="723" t="str">
        <f t="shared" si="16"/>
        <v/>
      </c>
      <c r="R107" s="723" t="str">
        <f t="shared" si="16"/>
        <v/>
      </c>
      <c r="S107" s="723" t="str">
        <f t="shared" si="16"/>
        <v/>
      </c>
      <c r="T107" s="724" t="str">
        <f>IF($M$17=T99,ROUND(T100,3),"")</f>
        <v/>
      </c>
      <c r="U107" s="457"/>
      <c r="W107" s="12"/>
      <c r="X107" s="398"/>
    </row>
    <row r="108" spans="11:71">
      <c r="K108" s="327">
        <v>8</v>
      </c>
      <c r="L108" s="454">
        <f t="shared" si="13"/>
        <v>0</v>
      </c>
      <c r="M108" s="457"/>
      <c r="N108" s="457"/>
      <c r="O108" s="457"/>
      <c r="P108" s="457"/>
      <c r="Q108" s="457"/>
      <c r="R108" s="457"/>
      <c r="S108" s="457"/>
      <c r="T108" s="457"/>
      <c r="U108" s="457"/>
      <c r="V108" s="312"/>
      <c r="W108" s="399"/>
      <c r="X108" s="400"/>
      <c r="Z108" s="262" t="s">
        <v>501</v>
      </c>
      <c r="AA108" s="29"/>
      <c r="AB108" s="29"/>
      <c r="AC108" s="29"/>
      <c r="AD108" s="29"/>
      <c r="AE108" s="29"/>
      <c r="AF108" s="29"/>
      <c r="AG108" s="29"/>
      <c r="AH108" s="29"/>
      <c r="AI108" s="29"/>
      <c r="AJ108" s="29"/>
      <c r="AK108" s="214"/>
    </row>
    <row r="109" spans="11:71" ht="13.15">
      <c r="K109" s="464"/>
      <c r="L109" s="458"/>
      <c r="M109" s="458"/>
      <c r="N109" s="458"/>
      <c r="O109" s="459"/>
      <c r="P109" s="469"/>
      <c r="Q109" s="469"/>
      <c r="R109" s="471"/>
      <c r="S109" s="464"/>
      <c r="T109" s="465"/>
      <c r="U109" s="466"/>
      <c r="V109" s="6"/>
      <c r="W109" s="6"/>
      <c r="X109" s="277"/>
      <c r="Z109" s="571"/>
      <c r="AA109" s="572"/>
      <c r="AB109" s="262" t="s">
        <v>218</v>
      </c>
      <c r="AC109" s="29"/>
      <c r="AD109" s="594"/>
      <c r="AE109" s="595"/>
      <c r="AF109" s="328"/>
      <c r="AG109" s="591"/>
      <c r="AH109" s="591"/>
      <c r="AI109" s="592"/>
      <c r="AJ109" s="573" t="s">
        <v>204</v>
      </c>
      <c r="AK109" s="570"/>
    </row>
    <row r="110" spans="11:71">
      <c r="K110" s="275"/>
      <c r="O110" s="460"/>
      <c r="P110" s="470"/>
      <c r="Q110" s="470"/>
      <c r="R110" s="274"/>
      <c r="S110" s="275"/>
      <c r="T110" s="435" t="s">
        <v>131</v>
      </c>
      <c r="U110" s="372">
        <f>U11</f>
        <v>0.86870000000000003</v>
      </c>
      <c r="V110" s="394" t="s">
        <v>168</v>
      </c>
      <c r="W110" s="6"/>
      <c r="X110" s="277"/>
      <c r="Z110" s="543" t="s">
        <v>219</v>
      </c>
      <c r="AA110" s="543" t="s">
        <v>220</v>
      </c>
      <c r="AB110" s="262" t="s">
        <v>219</v>
      </c>
      <c r="AC110" s="262" t="s">
        <v>220</v>
      </c>
      <c r="AD110" s="543" t="s">
        <v>206</v>
      </c>
      <c r="AE110" s="543" t="s">
        <v>207</v>
      </c>
      <c r="AF110" s="328"/>
      <c r="AG110" s="591"/>
      <c r="AH110" s="591"/>
      <c r="AI110" s="592"/>
      <c r="AJ110" s="574" t="s">
        <v>221</v>
      </c>
      <c r="AK110" s="542"/>
    </row>
    <row r="111" spans="11:71" ht="13.15">
      <c r="K111" s="275"/>
      <c r="L111" s="311"/>
      <c r="O111" s="461"/>
      <c r="P111" s="470"/>
      <c r="Q111" s="470"/>
      <c r="R111" s="379"/>
      <c r="S111" s="415"/>
      <c r="T111" s="430" t="s">
        <v>131</v>
      </c>
      <c r="U111" s="411">
        <f>U10</f>
        <v>868.7</v>
      </c>
      <c r="V111" s="395" t="s">
        <v>168</v>
      </c>
      <c r="W111" s="6"/>
      <c r="X111" s="277"/>
      <c r="Z111" s="558">
        <f>U10</f>
        <v>868.7</v>
      </c>
      <c r="AA111" s="559">
        <f>AA9</f>
        <v>51.67</v>
      </c>
      <c r="AB111" s="544">
        <f>IF((EVEN(Z111)-Z111)&lt;1,EVEN(Z111),EVEN(Z111)-2)</f>
        <v>868</v>
      </c>
      <c r="AC111" s="560">
        <f>FLOOR(AA111,1)+IF(MOD(AA111,1)&lt;0.125,0,IF(MOD(AA111,1)&lt;0.375,0.25,IF(MOD(AA111,1)&lt;0.625,0.5,IF(MOD(AA111,1)&lt;0.875,0.75,1))))</f>
        <v>51.75</v>
      </c>
      <c r="AD111" s="548">
        <f>613.9723/AB111^2</f>
        <v>8.1490940028456759E-4</v>
      </c>
      <c r="AE111" s="548">
        <f>1+0.8*AD111*(AC111-15)</f>
        <v>1.0239583363683662</v>
      </c>
      <c r="AF111" s="328"/>
      <c r="AG111" s="591"/>
      <c r="AH111" s="591"/>
      <c r="AI111" s="592"/>
      <c r="AJ111" s="590">
        <f>ROUND(EXP(AD111*AE111*(AC111-15)*-1),4)</f>
        <v>0.9698</v>
      </c>
      <c r="AK111" s="550"/>
    </row>
    <row r="112" spans="11:71">
      <c r="K112" s="275"/>
      <c r="L112" s="311"/>
      <c r="O112" s="461"/>
      <c r="P112" s="470"/>
      <c r="Q112" s="470"/>
      <c r="R112" s="379"/>
      <c r="S112" s="415" t="s">
        <v>12</v>
      </c>
      <c r="T112" s="430" t="s">
        <v>132</v>
      </c>
      <c r="U112" s="289">
        <f>AT104</f>
        <v>0.86919999999999997</v>
      </c>
      <c r="V112" s="392" t="s">
        <v>167</v>
      </c>
      <c r="W112" s="6"/>
      <c r="X112" s="277"/>
      <c r="Z112" s="549"/>
      <c r="AA112" s="541"/>
      <c r="AB112" s="561"/>
      <c r="AC112" s="561"/>
      <c r="AD112" s="561"/>
      <c r="AE112" s="541"/>
      <c r="AF112" s="541"/>
      <c r="AG112" s="541"/>
      <c r="AH112" s="541"/>
      <c r="AI112" s="541"/>
      <c r="AJ112" s="541"/>
      <c r="AK112" s="542"/>
    </row>
    <row r="113" spans="11:37">
      <c r="K113" s="275"/>
      <c r="L113" s="311"/>
      <c r="O113" s="311"/>
      <c r="P113" s="311"/>
      <c r="Q113" s="311"/>
      <c r="R113" s="379"/>
      <c r="S113" s="415" t="s">
        <v>12</v>
      </c>
      <c r="T113" s="429" t="s">
        <v>136</v>
      </c>
      <c r="U113" s="308">
        <f>AU104</f>
        <v>31.3</v>
      </c>
      <c r="V113" s="289" t="s">
        <v>166</v>
      </c>
      <c r="W113" s="6"/>
      <c r="X113" s="277"/>
      <c r="Z113" s="571"/>
      <c r="AA113" s="572"/>
      <c r="AB113" s="262" t="s">
        <v>222</v>
      </c>
      <c r="AC113" s="29"/>
      <c r="AD113" s="539" t="s">
        <v>210</v>
      </c>
      <c r="AE113" s="552"/>
      <c r="AF113" s="552"/>
      <c r="AG113" s="540"/>
      <c r="AH113" s="551" t="s">
        <v>210</v>
      </c>
      <c r="AI113" s="562" t="s">
        <v>211</v>
      </c>
      <c r="AJ113" s="573" t="s">
        <v>204</v>
      </c>
      <c r="AK113" s="580"/>
    </row>
    <row r="114" spans="11:37" ht="13.15">
      <c r="K114" s="328"/>
      <c r="L114" s="317" t="s">
        <v>145</v>
      </c>
      <c r="M114" s="388" t="s">
        <v>160</v>
      </c>
      <c r="N114" s="388" t="s">
        <v>161</v>
      </c>
      <c r="O114" s="317"/>
      <c r="P114" s="317"/>
      <c r="Q114" s="317"/>
      <c r="R114" s="380"/>
      <c r="S114" s="416"/>
      <c r="T114" s="436"/>
      <c r="U114" s="325"/>
      <c r="V114" s="325"/>
      <c r="W114" s="322"/>
      <c r="X114" s="323"/>
      <c r="Z114" s="543" t="s">
        <v>219</v>
      </c>
      <c r="AA114" s="543" t="s">
        <v>220</v>
      </c>
      <c r="AB114" s="262" t="s">
        <v>219</v>
      </c>
      <c r="AC114" s="262" t="s">
        <v>220</v>
      </c>
      <c r="AD114" s="543" t="s">
        <v>223</v>
      </c>
      <c r="AE114" s="543" t="s">
        <v>224</v>
      </c>
      <c r="AF114" s="543" t="s">
        <v>225</v>
      </c>
      <c r="AG114" s="543" t="s">
        <v>226</v>
      </c>
      <c r="AH114" s="554"/>
      <c r="AI114" s="563"/>
      <c r="AJ114" s="574" t="s">
        <v>227</v>
      </c>
      <c r="AK114" s="581"/>
    </row>
    <row r="115" spans="11:37" ht="13.15">
      <c r="K115" s="327">
        <v>1</v>
      </c>
      <c r="L115" s="319" t="str">
        <f>CONCATENATE(S115," - ",M115," to ",N115)</f>
        <v>Table 52 - US Barrels at 60°F to Cubic Metres at 15°C</v>
      </c>
      <c r="M115" s="319" t="s">
        <v>140</v>
      </c>
      <c r="N115" s="5" t="s">
        <v>138</v>
      </c>
      <c r="O115" s="390"/>
      <c r="P115" s="413"/>
      <c r="Q115" s="413"/>
      <c r="R115" s="382"/>
      <c r="S115" s="415" t="s">
        <v>340</v>
      </c>
      <c r="T115" s="432" t="s">
        <v>138</v>
      </c>
      <c r="U115" s="299">
        <f>AX104</f>
        <v>0.15892000000000001</v>
      </c>
      <c r="V115" s="293" t="s">
        <v>338</v>
      </c>
      <c r="W115" s="423" t="s">
        <v>143</v>
      </c>
      <c r="X115" s="277"/>
      <c r="Z115" s="558">
        <f>U10</f>
        <v>868.7</v>
      </c>
      <c r="AA115" s="559">
        <f>AA9</f>
        <v>51.67</v>
      </c>
      <c r="AB115" s="544">
        <f>IF((EVEN(Z115)-Z115)&lt;1,EVEN(Z115),EVEN(Z115)-2)</f>
        <v>868</v>
      </c>
      <c r="AC115" s="560">
        <f>FLOOR(AA115,1)+IF(MOD(AA115,1)&lt;0.125,0,IF(MOD(AA115,1)&lt;0.375,0.25,IF(MOD(AA115,1)&lt;0.625,0.5,IF(MOD(AA115,1)&lt;0.875,0.75,1))))</f>
        <v>51.75</v>
      </c>
      <c r="AD115" s="543">
        <f>IF(AB115&lt;770,(192.4571/AB115^2)+(0.2438/AB115),0)</f>
        <v>0</v>
      </c>
      <c r="AE115" s="543">
        <f>IF(AND(AB115&gt;=770,AB115&lt;787.5),(1489.0671/(AB115^2))-0.0018684,0)</f>
        <v>0</v>
      </c>
      <c r="AF115" s="543">
        <f>IF(AND(AB115&gt;=787.5,AB115&lt;838.5),330.301/AB115^2,0)</f>
        <v>0</v>
      </c>
      <c r="AG115" s="543">
        <f>IF(AND(AB115&gt;=838.5,AB115&lt;1075),(0.2701/AB115)+(103.873/AB115^2),0)</f>
        <v>4.4904303552846742E-4</v>
      </c>
      <c r="AH115" s="556">
        <f>MAX(AD115:AG115)</f>
        <v>4.4904303552846742E-4</v>
      </c>
      <c r="AI115" s="543">
        <f>((AC115+40)*1.8)-99</f>
        <v>66.150000000000006</v>
      </c>
      <c r="AJ115" s="589">
        <f>ROUND(EXP(-1*AH115*AI115*(1+0.8*AH115*AI115)),4)</f>
        <v>0.97</v>
      </c>
      <c r="AK115" s="564"/>
    </row>
    <row r="116" spans="11:37">
      <c r="K116" s="327">
        <v>2</v>
      </c>
      <c r="L116" s="319" t="str">
        <f t="shared" ref="L116:L124" si="17">CONCATENATE(S116," - ",M116," to ",N116)</f>
        <v>Table 52 - Cubic Metres at 15°C to US Barrels at 60°F</v>
      </c>
      <c r="M116" s="319" t="s">
        <v>138</v>
      </c>
      <c r="N116" s="5" t="s">
        <v>140</v>
      </c>
      <c r="O116" s="390"/>
      <c r="P116" s="412"/>
      <c r="Q116" s="412"/>
      <c r="R116" s="381"/>
      <c r="S116" s="415" t="s">
        <v>340</v>
      </c>
      <c r="T116" s="433" t="s">
        <v>140</v>
      </c>
      <c r="U116" s="306">
        <f>AY104</f>
        <v>6.2930000000000001</v>
      </c>
      <c r="V116" s="293" t="s">
        <v>338</v>
      </c>
      <c r="W116" s="425" t="s">
        <v>146</v>
      </c>
      <c r="X116" s="277"/>
      <c r="Z116" s="328"/>
      <c r="AA116" s="569"/>
      <c r="AB116" s="569"/>
      <c r="AC116" s="569"/>
      <c r="AD116" s="569"/>
      <c r="AE116" s="569"/>
      <c r="AF116" s="569"/>
      <c r="AG116" s="569"/>
      <c r="AH116" s="569"/>
      <c r="AI116" s="569"/>
      <c r="AJ116" s="569"/>
      <c r="AK116" s="579"/>
    </row>
    <row r="117" spans="11:37">
      <c r="K117" s="327">
        <v>3</v>
      </c>
      <c r="L117" s="319" t="str">
        <f t="shared" si="17"/>
        <v>Table 56 - Weight in Vacuo to Weight in Air</v>
      </c>
      <c r="M117" s="387" t="s">
        <v>159</v>
      </c>
      <c r="N117" s="5" t="s">
        <v>126</v>
      </c>
      <c r="O117" s="390"/>
      <c r="P117" s="413"/>
      <c r="Q117" s="413"/>
      <c r="R117" s="382"/>
      <c r="S117" s="415" t="s">
        <v>341</v>
      </c>
      <c r="T117" s="437" t="s">
        <v>159</v>
      </c>
      <c r="U117" s="299">
        <f>BB104</f>
        <v>0.99875000000000003</v>
      </c>
      <c r="V117" s="6" t="s">
        <v>339</v>
      </c>
      <c r="W117" s="426" t="s">
        <v>126</v>
      </c>
      <c r="X117" s="277"/>
    </row>
    <row r="118" spans="11:37">
      <c r="K118" s="327">
        <v>4</v>
      </c>
      <c r="L118" s="319" t="str">
        <f t="shared" si="17"/>
        <v>Table 56 - Weight in Air to Weight in Vacuo</v>
      </c>
      <c r="M118" s="319" t="s">
        <v>126</v>
      </c>
      <c r="N118" s="386" t="s">
        <v>159</v>
      </c>
      <c r="O118" s="390"/>
      <c r="P118" s="413"/>
      <c r="Q118" s="413"/>
      <c r="R118" s="382"/>
      <c r="S118" s="415" t="s">
        <v>341</v>
      </c>
      <c r="T118" s="430" t="s">
        <v>126</v>
      </c>
      <c r="U118" s="299">
        <f>BF104</f>
        <v>1.00125</v>
      </c>
      <c r="V118" s="6" t="s">
        <v>339</v>
      </c>
      <c r="W118" s="427" t="s">
        <v>159</v>
      </c>
      <c r="X118" s="277"/>
    </row>
    <row r="119" spans="11:37">
      <c r="K119" s="327">
        <v>5</v>
      </c>
      <c r="L119" s="319" t="str">
        <f t="shared" si="17"/>
        <v>Table 56 - Cubic Metres at 15°C to Kilograms (in AIR)</v>
      </c>
      <c r="M119" s="319" t="s">
        <v>138</v>
      </c>
      <c r="N119" s="5" t="s">
        <v>162</v>
      </c>
      <c r="O119" s="390"/>
      <c r="P119" s="412"/>
      <c r="Q119" s="412"/>
      <c r="R119" s="381"/>
      <c r="S119" s="415" t="s">
        <v>341</v>
      </c>
      <c r="T119" s="430" t="s">
        <v>17</v>
      </c>
      <c r="U119" s="307">
        <f>BJ104</f>
        <v>867.6</v>
      </c>
      <c r="V119" s="293" t="s">
        <v>338</v>
      </c>
      <c r="W119" s="425" t="s">
        <v>146</v>
      </c>
      <c r="X119" s="277"/>
    </row>
    <row r="120" spans="11:37">
      <c r="K120" s="327">
        <v>6</v>
      </c>
      <c r="L120" s="319" t="str">
        <f t="shared" si="17"/>
        <v>Table 56 - Metric Tons (in AIR) to Cubic Metres at 15°C</v>
      </c>
      <c r="M120" s="319" t="s">
        <v>163</v>
      </c>
      <c r="N120" s="5" t="s">
        <v>138</v>
      </c>
      <c r="O120" s="390"/>
      <c r="P120" s="413"/>
      <c r="Q120" s="413"/>
      <c r="R120" s="382"/>
      <c r="S120" s="415" t="s">
        <v>341</v>
      </c>
      <c r="T120" s="432" t="s">
        <v>138</v>
      </c>
      <c r="U120" s="289">
        <f>BK104</f>
        <v>1.1526000000000001</v>
      </c>
      <c r="V120" s="293" t="s">
        <v>338</v>
      </c>
      <c r="W120" s="426" t="s">
        <v>29</v>
      </c>
      <c r="X120" s="277"/>
    </row>
    <row r="121" spans="11:37">
      <c r="K121" s="327">
        <v>7</v>
      </c>
      <c r="L121" s="319" t="str">
        <f t="shared" si="17"/>
        <v>Table 57 - Cubic Metres at 15°C to Short Tons (in AIR)</v>
      </c>
      <c r="M121" s="319" t="s">
        <v>138</v>
      </c>
      <c r="N121" s="5" t="s">
        <v>164</v>
      </c>
      <c r="O121" s="390"/>
      <c r="P121" s="413"/>
      <c r="Q121" s="413"/>
      <c r="R121" s="382"/>
      <c r="S121" s="415" t="s">
        <v>342</v>
      </c>
      <c r="T121" s="433" t="s">
        <v>23</v>
      </c>
      <c r="U121" s="289">
        <f>BN104</f>
        <v>0.95640000000000003</v>
      </c>
      <c r="V121" s="293" t="s">
        <v>338</v>
      </c>
      <c r="W121" s="425" t="s">
        <v>146</v>
      </c>
      <c r="X121" s="277"/>
    </row>
    <row r="122" spans="11:37">
      <c r="K122" s="327">
        <v>8</v>
      </c>
      <c r="L122" s="319" t="str">
        <f t="shared" si="17"/>
        <v>Table 57 - Cubic Metres at 15°C to Long Tons (in AIR)</v>
      </c>
      <c r="M122" s="319" t="s">
        <v>138</v>
      </c>
      <c r="N122" s="5" t="s">
        <v>165</v>
      </c>
      <c r="O122" s="390"/>
      <c r="P122" s="413"/>
      <c r="Q122" s="413"/>
      <c r="R122" s="382"/>
      <c r="S122" s="415" t="s">
        <v>342</v>
      </c>
      <c r="T122" s="433" t="s">
        <v>14</v>
      </c>
      <c r="U122" s="289">
        <f>BO104</f>
        <v>0.85389999999999999</v>
      </c>
      <c r="V122" s="293" t="s">
        <v>338</v>
      </c>
      <c r="W122" s="425" t="s">
        <v>146</v>
      </c>
      <c r="X122" s="277"/>
    </row>
    <row r="123" spans="11:37">
      <c r="K123" s="327">
        <v>9</v>
      </c>
      <c r="L123" s="319" t="str">
        <f t="shared" si="17"/>
        <v>Table 58 - Metric Tons (in AIR) to US Gallons at 60°F</v>
      </c>
      <c r="M123" s="319" t="s">
        <v>163</v>
      </c>
      <c r="N123" s="5" t="s">
        <v>139</v>
      </c>
      <c r="O123" s="390"/>
      <c r="P123" s="412"/>
      <c r="Q123" s="412"/>
      <c r="R123" s="381"/>
      <c r="S123" s="415" t="s">
        <v>343</v>
      </c>
      <c r="T123" s="433" t="s">
        <v>139</v>
      </c>
      <c r="U123" s="308">
        <f>BR104</f>
        <v>304.62</v>
      </c>
      <c r="V123" s="293" t="s">
        <v>338</v>
      </c>
      <c r="W123" s="426" t="s">
        <v>29</v>
      </c>
      <c r="X123" s="277"/>
    </row>
    <row r="124" spans="11:37">
      <c r="K124" s="327">
        <v>10</v>
      </c>
      <c r="L124" s="319" t="str">
        <f t="shared" si="17"/>
        <v>Table 58 - Metric Tons (in AIR) to US Barrels at 60°F</v>
      </c>
      <c r="M124" s="319" t="s">
        <v>163</v>
      </c>
      <c r="N124" s="5" t="s">
        <v>140</v>
      </c>
      <c r="O124" s="390"/>
      <c r="P124" s="412"/>
      <c r="Q124" s="412"/>
      <c r="R124" s="381"/>
      <c r="S124" s="415" t="s">
        <v>343</v>
      </c>
      <c r="T124" s="433" t="s">
        <v>140</v>
      </c>
      <c r="U124" s="306">
        <f>BS104</f>
        <v>7.2530000000000001</v>
      </c>
      <c r="V124" s="293" t="s">
        <v>338</v>
      </c>
      <c r="W124" s="426" t="s">
        <v>29</v>
      </c>
      <c r="X124" s="277"/>
    </row>
    <row r="125" spans="11:37">
      <c r="K125" s="276"/>
      <c r="L125" s="312"/>
      <c r="M125" s="312"/>
      <c r="N125" s="312"/>
      <c r="O125" s="391"/>
      <c r="P125" s="312"/>
      <c r="Q125" s="312"/>
      <c r="R125" s="383"/>
      <c r="S125" s="276"/>
      <c r="T125" s="434"/>
      <c r="U125" s="281"/>
      <c r="V125" s="281"/>
      <c r="W125" s="428"/>
      <c r="X125" s="282"/>
    </row>
    <row r="127" spans="11:37">
      <c r="K127" s="3644"/>
      <c r="L127" s="3644"/>
      <c r="M127" s="3644"/>
      <c r="N127" s="3644"/>
      <c r="O127" s="3644"/>
      <c r="P127" s="3644"/>
      <c r="Q127" s="3644"/>
      <c r="R127" s="3644"/>
      <c r="S127" s="3644"/>
      <c r="T127" s="3644"/>
      <c r="U127" s="3644"/>
    </row>
    <row r="128" spans="11:37">
      <c r="K128" s="932"/>
      <c r="L128" s="932"/>
      <c r="M128" s="932"/>
      <c r="N128" s="932"/>
      <c r="O128" s="932"/>
      <c r="P128" s="932"/>
      <c r="Q128" s="932"/>
      <c r="R128" s="932"/>
      <c r="S128" s="932"/>
      <c r="T128" s="932"/>
      <c r="U128" s="932"/>
    </row>
    <row r="129" spans="11:16" ht="12.75" customHeight="1">
      <c r="K129" s="9"/>
      <c r="L129" s="9"/>
      <c r="M129" s="441"/>
      <c r="N129" s="441"/>
      <c r="O129" s="441"/>
      <c r="P129" s="913"/>
    </row>
    <row r="130" spans="11:16" ht="12.75" customHeight="1">
      <c r="L130" s="319"/>
      <c r="M130" s="319"/>
      <c r="N130" s="319"/>
      <c r="O130" s="319"/>
      <c r="P130" s="914"/>
    </row>
    <row r="131" spans="11:16" ht="12.75" customHeight="1">
      <c r="L131" s="319"/>
      <c r="M131" s="319"/>
      <c r="N131" s="319"/>
      <c r="O131" s="319"/>
      <c r="P131" s="915"/>
    </row>
    <row r="132" spans="11:16">
      <c r="L132" s="319"/>
      <c r="M132" s="319"/>
      <c r="N132" s="319"/>
      <c r="O132" s="319"/>
      <c r="P132" s="914"/>
    </row>
    <row r="133" spans="11:16">
      <c r="L133" s="319"/>
      <c r="M133" s="319"/>
      <c r="N133" s="319"/>
      <c r="O133" s="319"/>
      <c r="P133" s="915"/>
    </row>
    <row r="134" spans="11:16">
      <c r="L134" s="319"/>
      <c r="M134" s="319"/>
      <c r="N134" s="319"/>
      <c r="O134" s="319"/>
      <c r="P134" s="914"/>
    </row>
    <row r="135" spans="11:16">
      <c r="L135" s="319"/>
      <c r="M135" s="319"/>
      <c r="N135" s="319"/>
      <c r="O135" s="319"/>
      <c r="P135" s="915"/>
    </row>
    <row r="136" spans="11:16">
      <c r="L136" s="319"/>
      <c r="M136" s="319"/>
      <c r="N136" s="319"/>
      <c r="O136" s="319"/>
      <c r="P136" s="916"/>
    </row>
    <row r="137" spans="11:16">
      <c r="L137" s="319"/>
      <c r="M137" s="319"/>
      <c r="N137" s="319"/>
      <c r="O137" s="319"/>
      <c r="P137" s="917"/>
    </row>
    <row r="138" spans="11:16">
      <c r="L138" s="319"/>
      <c r="M138" s="319"/>
      <c r="N138" s="319"/>
      <c r="O138" s="319"/>
      <c r="P138" s="914"/>
    </row>
    <row r="139" spans="11:16">
      <c r="L139" s="319"/>
      <c r="M139" s="319"/>
      <c r="N139" s="319"/>
      <c r="O139" s="319"/>
      <c r="P139" s="915"/>
    </row>
    <row r="140" spans="11:16">
      <c r="L140" s="319"/>
      <c r="M140" s="319"/>
      <c r="N140" s="319"/>
      <c r="O140" s="319"/>
      <c r="P140" s="916"/>
    </row>
    <row r="141" spans="11:16">
      <c r="L141" s="319"/>
      <c r="M141" s="319"/>
      <c r="N141" s="319"/>
      <c r="O141" s="319"/>
      <c r="P141" s="917"/>
    </row>
    <row r="142" spans="11:16">
      <c r="L142" s="319"/>
      <c r="M142" s="319"/>
      <c r="N142" s="319"/>
      <c r="O142" s="319"/>
      <c r="P142" s="917"/>
    </row>
    <row r="143" spans="11:16">
      <c r="L143" s="319"/>
      <c r="M143" s="319"/>
      <c r="N143" s="319"/>
      <c r="O143" s="319"/>
      <c r="P143" s="915"/>
    </row>
    <row r="144" spans="11:16">
      <c r="L144" s="319"/>
      <c r="M144" s="319"/>
      <c r="N144" s="319"/>
      <c r="O144" s="319"/>
      <c r="P144" s="915"/>
    </row>
    <row r="145" spans="12:16">
      <c r="L145" s="319"/>
      <c r="M145" s="319"/>
      <c r="N145" s="319"/>
      <c r="O145" s="319"/>
      <c r="P145" s="915"/>
    </row>
    <row r="146" spans="12:16">
      <c r="O146" s="319"/>
      <c r="P146" s="918"/>
    </row>
    <row r="147" spans="12:16">
      <c r="L147" s="319"/>
      <c r="M147" s="319"/>
      <c r="N147" s="319"/>
      <c r="O147" s="319"/>
      <c r="P147" s="919"/>
    </row>
    <row r="148" spans="12:16">
      <c r="L148" s="319"/>
      <c r="M148" s="319"/>
      <c r="N148" s="319"/>
      <c r="O148" s="319"/>
      <c r="P148" s="920"/>
    </row>
    <row r="149" spans="12:16">
      <c r="L149" s="319"/>
      <c r="M149" s="319"/>
      <c r="N149" s="319"/>
      <c r="O149" s="319"/>
      <c r="P149" s="919"/>
    </row>
    <row r="150" spans="12:16">
      <c r="L150" s="319"/>
      <c r="M150" s="319"/>
      <c r="N150" s="319"/>
      <c r="O150" s="319"/>
      <c r="P150" s="920"/>
    </row>
    <row r="151" spans="12:16">
      <c r="L151" s="319"/>
      <c r="M151" s="319"/>
      <c r="N151" s="319"/>
      <c r="O151" s="319"/>
      <c r="P151" s="919"/>
    </row>
    <row r="152" spans="12:16">
      <c r="L152" s="319"/>
      <c r="M152" s="319"/>
      <c r="N152" s="319"/>
      <c r="O152" s="319"/>
      <c r="P152" s="920"/>
    </row>
    <row r="153" spans="12:16">
      <c r="L153" s="319"/>
      <c r="M153" s="319"/>
      <c r="N153" s="319"/>
      <c r="O153" s="319"/>
      <c r="P153" s="921"/>
    </row>
    <row r="154" spans="12:16">
      <c r="L154" s="319"/>
      <c r="M154" s="319"/>
      <c r="N154" s="319"/>
      <c r="O154" s="319"/>
      <c r="P154" s="922"/>
    </row>
    <row r="155" spans="12:16">
      <c r="L155" s="319"/>
      <c r="M155" s="319"/>
      <c r="N155" s="319"/>
      <c r="O155" s="319"/>
      <c r="P155" s="919"/>
    </row>
    <row r="156" spans="12:16">
      <c r="L156" s="319"/>
      <c r="M156" s="319"/>
      <c r="N156" s="319"/>
      <c r="O156" s="319"/>
      <c r="P156" s="920"/>
    </row>
    <row r="157" spans="12:16">
      <c r="L157" s="319"/>
      <c r="M157" s="319"/>
      <c r="N157" s="319"/>
      <c r="O157" s="319"/>
      <c r="P157" s="921"/>
    </row>
    <row r="158" spans="12:16">
      <c r="L158" s="319"/>
      <c r="M158" s="319"/>
      <c r="N158" s="319"/>
      <c r="O158" s="319"/>
      <c r="P158" s="922"/>
    </row>
    <row r="159" spans="12:16">
      <c r="L159" s="319"/>
      <c r="M159" s="319"/>
      <c r="N159" s="319"/>
      <c r="O159" s="319"/>
      <c r="P159" s="919"/>
    </row>
    <row r="160" spans="12:16">
      <c r="L160" s="319"/>
      <c r="M160" s="319"/>
      <c r="N160" s="319"/>
      <c r="O160" s="319"/>
      <c r="P160" s="919"/>
    </row>
    <row r="161" spans="11:21">
      <c r="O161" s="319"/>
      <c r="P161" s="918"/>
    </row>
    <row r="162" spans="11:21">
      <c r="L162" s="319"/>
      <c r="M162" s="319"/>
      <c r="N162" s="319"/>
      <c r="O162" s="319"/>
      <c r="P162" s="923"/>
    </row>
    <row r="163" spans="11:21">
      <c r="L163" s="319"/>
      <c r="M163" s="319"/>
      <c r="N163" s="319"/>
      <c r="O163" s="319"/>
      <c r="P163" s="924"/>
    </row>
    <row r="164" spans="11:21">
      <c r="L164" s="319"/>
      <c r="M164" s="319"/>
      <c r="N164" s="319"/>
      <c r="O164" s="319"/>
      <c r="P164" s="923"/>
    </row>
    <row r="165" spans="11:21">
      <c r="L165" s="319"/>
      <c r="M165" s="319"/>
      <c r="N165" s="319"/>
      <c r="O165" s="319"/>
      <c r="P165" s="923"/>
    </row>
    <row r="166" spans="11:21">
      <c r="L166" s="319"/>
      <c r="M166" s="319"/>
      <c r="N166" s="319"/>
      <c r="O166" s="319"/>
      <c r="P166" s="925"/>
    </row>
    <row r="167" spans="11:21">
      <c r="L167" s="319"/>
      <c r="M167" s="319"/>
      <c r="N167" s="319"/>
      <c r="O167" s="319"/>
      <c r="P167" s="926"/>
    </row>
    <row r="168" spans="11:21">
      <c r="L168" s="319"/>
      <c r="M168" s="319"/>
      <c r="N168" s="319"/>
      <c r="O168" s="319"/>
      <c r="P168" s="926"/>
    </row>
    <row r="169" spans="11:21">
      <c r="L169" s="319"/>
      <c r="M169" s="319"/>
      <c r="N169" s="319"/>
      <c r="O169" s="319"/>
      <c r="P169" s="926"/>
    </row>
    <row r="170" spans="11:21">
      <c r="L170" s="319"/>
      <c r="M170" s="319"/>
      <c r="N170" s="319"/>
      <c r="O170" s="319"/>
      <c r="P170" s="927"/>
    </row>
    <row r="171" spans="11:21">
      <c r="L171" s="319"/>
      <c r="M171" s="319"/>
      <c r="N171" s="319"/>
      <c r="O171" s="319"/>
      <c r="P171" s="924"/>
    </row>
    <row r="173" spans="11:21">
      <c r="K173" s="3644"/>
      <c r="L173" s="3644"/>
      <c r="M173" s="3644"/>
      <c r="N173" s="3644"/>
      <c r="O173" s="3644"/>
      <c r="P173" s="3644"/>
      <c r="Q173" s="3644"/>
      <c r="R173" s="3644"/>
      <c r="S173" s="3644"/>
      <c r="T173" s="3644"/>
      <c r="U173" s="3644"/>
    </row>
    <row r="174" spans="11:21">
      <c r="K174" s="932"/>
      <c r="L174" s="932"/>
      <c r="M174" s="932"/>
      <c r="N174" s="932"/>
      <c r="O174" s="932"/>
      <c r="P174" s="932"/>
      <c r="Q174" s="932"/>
      <c r="R174" s="932"/>
      <c r="S174" s="932"/>
      <c r="T174" s="932"/>
      <c r="U174" s="932"/>
    </row>
    <row r="175" spans="11:21" ht="13.15">
      <c r="K175" s="9"/>
      <c r="L175" s="441"/>
      <c r="M175" s="441"/>
      <c r="N175" s="441"/>
      <c r="O175" s="441"/>
      <c r="P175" s="913"/>
      <c r="Q175" s="441"/>
      <c r="R175" s="9"/>
      <c r="S175" s="9"/>
      <c r="T175" s="441"/>
    </row>
    <row r="176" spans="11:21" ht="13.15">
      <c r="L176" s="682"/>
      <c r="M176" s="127"/>
      <c r="N176" s="127"/>
      <c r="O176" s="127"/>
      <c r="P176" s="928"/>
      <c r="T176" s="137"/>
    </row>
    <row r="177" spans="12:20" ht="13.15">
      <c r="L177" s="682"/>
      <c r="M177" s="127"/>
      <c r="N177" s="127"/>
      <c r="O177" s="127"/>
      <c r="P177" s="929"/>
      <c r="T177" s="137"/>
    </row>
    <row r="178" spans="12:20">
      <c r="L178" s="682"/>
      <c r="M178" s="127"/>
      <c r="N178" s="127"/>
      <c r="O178" s="127"/>
      <c r="P178" s="682"/>
    </row>
    <row r="179" spans="12:20" ht="13.15">
      <c r="L179" s="682"/>
      <c r="M179" s="127"/>
      <c r="N179" s="127"/>
      <c r="O179" s="127"/>
      <c r="P179" s="928"/>
      <c r="T179" s="137"/>
    </row>
    <row r="180" spans="12:20">
      <c r="L180" s="682"/>
      <c r="M180" s="127"/>
      <c r="N180" s="127"/>
      <c r="O180" s="127"/>
      <c r="P180" s="682"/>
    </row>
    <row r="181" spans="12:20">
      <c r="L181" s="682"/>
      <c r="M181" s="127"/>
      <c r="N181" s="127"/>
      <c r="O181" s="127"/>
      <c r="P181" s="682"/>
    </row>
    <row r="182" spans="12:20">
      <c r="L182" s="682"/>
      <c r="M182" s="127"/>
      <c r="N182" s="127"/>
      <c r="O182" s="127"/>
      <c r="P182" s="930"/>
    </row>
    <row r="183" spans="12:20">
      <c r="L183" s="682"/>
      <c r="M183" s="127"/>
      <c r="N183" s="127"/>
      <c r="O183" s="127"/>
      <c r="P183" s="930"/>
    </row>
    <row r="184" spans="12:20">
      <c r="L184" s="682"/>
      <c r="M184" s="127"/>
      <c r="N184" s="127"/>
      <c r="O184" s="127"/>
      <c r="P184" s="682"/>
    </row>
    <row r="185" spans="12:20">
      <c r="L185" s="682"/>
      <c r="M185" s="127"/>
      <c r="N185" s="127"/>
      <c r="O185" s="127"/>
      <c r="P185" s="682"/>
    </row>
    <row r="186" spans="12:20">
      <c r="M186" s="931"/>
      <c r="N186" s="931"/>
      <c r="O186" s="931"/>
      <c r="P186" s="918"/>
    </row>
    <row r="187" spans="12:20" ht="13.15">
      <c r="L187" s="682"/>
      <c r="M187" s="127"/>
      <c r="N187" s="127"/>
      <c r="O187" s="127"/>
      <c r="P187" s="928"/>
      <c r="T187" s="137"/>
    </row>
    <row r="188" spans="12:20">
      <c r="L188" s="682"/>
      <c r="M188" s="127"/>
      <c r="N188" s="127"/>
      <c r="O188" s="127"/>
      <c r="P188" s="682"/>
    </row>
    <row r="189" spans="12:20">
      <c r="L189" s="682"/>
      <c r="M189" s="127"/>
      <c r="N189" s="127"/>
      <c r="O189" s="127"/>
      <c r="P189" s="682"/>
    </row>
    <row r="190" spans="12:20">
      <c r="L190" s="682"/>
      <c r="M190" s="127"/>
      <c r="N190" s="127"/>
      <c r="O190" s="127"/>
      <c r="P190" s="682"/>
    </row>
    <row r="191" spans="12:20">
      <c r="L191" s="682"/>
      <c r="M191" s="127"/>
      <c r="N191" s="127"/>
      <c r="O191" s="127"/>
      <c r="P191" s="682"/>
    </row>
    <row r="192" spans="12:20" ht="13.15">
      <c r="L192" s="682"/>
      <c r="M192" s="127"/>
      <c r="N192" s="127"/>
      <c r="O192" s="127"/>
      <c r="P192" s="928"/>
      <c r="T192" s="137"/>
    </row>
    <row r="193" spans="12:20" ht="13.15">
      <c r="L193" s="682"/>
      <c r="M193" s="127"/>
      <c r="N193" s="127"/>
      <c r="O193" s="127"/>
      <c r="P193" s="928"/>
      <c r="T193" s="137"/>
    </row>
    <row r="194" spans="12:20">
      <c r="L194" s="682"/>
      <c r="M194" s="127"/>
      <c r="N194" s="127"/>
      <c r="O194" s="127"/>
      <c r="P194" s="682"/>
    </row>
    <row r="195" spans="12:20">
      <c r="L195" s="682"/>
      <c r="M195" s="127"/>
      <c r="N195" s="127"/>
      <c r="O195" s="127"/>
      <c r="P195" s="682"/>
    </row>
    <row r="196" spans="12:20">
      <c r="L196" s="682"/>
      <c r="M196" s="127"/>
      <c r="N196" s="127"/>
      <c r="O196" s="127"/>
      <c r="P196" s="682"/>
    </row>
    <row r="197" spans="12:20">
      <c r="L197" s="682"/>
      <c r="M197" s="127"/>
      <c r="N197" s="127"/>
      <c r="O197" s="127"/>
      <c r="P197" s="682"/>
    </row>
    <row r="198" spans="12:20">
      <c r="L198" s="682"/>
      <c r="M198" s="127"/>
      <c r="N198" s="127"/>
      <c r="O198" s="127"/>
      <c r="P198" s="682"/>
    </row>
    <row r="199" spans="12:20">
      <c r="L199" s="682"/>
      <c r="M199" s="127"/>
      <c r="N199" s="127"/>
      <c r="O199" s="127"/>
      <c r="P199" s="682"/>
    </row>
    <row r="200" spans="12:20">
      <c r="L200" s="682"/>
      <c r="M200" s="127"/>
      <c r="N200" s="127"/>
      <c r="O200" s="127"/>
      <c r="P200" s="682"/>
    </row>
    <row r="201" spans="12:20">
      <c r="L201" s="682"/>
      <c r="M201" s="127"/>
      <c r="N201" s="127"/>
      <c r="O201" s="127"/>
      <c r="P201" s="682"/>
    </row>
    <row r="202" spans="12:20">
      <c r="L202" s="682"/>
      <c r="M202" s="127"/>
      <c r="N202" s="127"/>
      <c r="O202" s="127"/>
      <c r="P202" s="682"/>
    </row>
    <row r="203" spans="12:20">
      <c r="L203" s="682"/>
      <c r="M203" s="127"/>
      <c r="N203" s="127"/>
      <c r="O203" s="127"/>
      <c r="P203" s="682"/>
    </row>
    <row r="204" spans="12:20">
      <c r="L204" s="682"/>
      <c r="M204" s="127"/>
      <c r="N204" s="127"/>
      <c r="O204" s="127"/>
      <c r="P204" s="682"/>
    </row>
    <row r="205" spans="12:20">
      <c r="L205" s="682"/>
      <c r="M205" s="127"/>
      <c r="N205" s="127"/>
      <c r="O205" s="127"/>
      <c r="P205" s="682"/>
    </row>
    <row r="206" spans="12:20">
      <c r="L206" s="682"/>
      <c r="M206" s="127"/>
      <c r="N206" s="127"/>
      <c r="O206" s="127"/>
      <c r="P206" s="682"/>
    </row>
    <row r="207" spans="12:20">
      <c r="L207" s="682"/>
      <c r="M207" s="127"/>
      <c r="N207" s="127"/>
      <c r="O207" s="127"/>
      <c r="P207" s="682"/>
    </row>
    <row r="208" spans="12:20">
      <c r="L208" s="682"/>
      <c r="M208" s="127"/>
      <c r="N208" s="127"/>
      <c r="O208" s="127"/>
      <c r="P208" s="682"/>
    </row>
    <row r="209" spans="12:16">
      <c r="L209" s="682"/>
      <c r="M209" s="127"/>
      <c r="N209" s="127"/>
      <c r="O209" s="127"/>
      <c r="P209" s="682"/>
    </row>
    <row r="210" spans="12:16">
      <c r="L210" s="682"/>
      <c r="M210" s="127"/>
      <c r="N210" s="127"/>
      <c r="O210" s="127"/>
      <c r="P210" s="682"/>
    </row>
    <row r="211" spans="12:16">
      <c r="L211" s="682"/>
      <c r="M211" s="127"/>
      <c r="N211" s="127"/>
      <c r="O211" s="127"/>
      <c r="P211" s="682"/>
    </row>
    <row r="212" spans="12:16">
      <c r="L212" s="682"/>
      <c r="M212" s="127"/>
      <c r="N212" s="127"/>
      <c r="O212" s="127"/>
      <c r="P212" s="682"/>
    </row>
    <row r="213" spans="12:16">
      <c r="L213" s="682"/>
      <c r="M213" s="127"/>
      <c r="N213" s="127"/>
      <c r="O213" s="127"/>
      <c r="P213" s="682"/>
    </row>
    <row r="214" spans="12:16">
      <c r="L214" s="682"/>
      <c r="M214" s="127"/>
      <c r="N214" s="127"/>
      <c r="O214" s="127"/>
      <c r="P214" s="682"/>
    </row>
    <row r="215" spans="12:16">
      <c r="L215" s="682"/>
      <c r="M215" s="127"/>
      <c r="N215" s="127"/>
      <c r="O215" s="127"/>
      <c r="P215" s="682"/>
    </row>
    <row r="216" spans="12:16">
      <c r="L216" s="682"/>
      <c r="M216" s="127"/>
      <c r="N216" s="127"/>
      <c r="O216" s="127"/>
      <c r="P216" s="682"/>
    </row>
    <row r="217" spans="12:16">
      <c r="L217" s="682"/>
      <c r="M217" s="127"/>
      <c r="N217" s="127"/>
      <c r="O217" s="127"/>
      <c r="P217" s="682"/>
    </row>
    <row r="218" spans="12:16">
      <c r="L218" s="682"/>
      <c r="M218" s="127"/>
      <c r="N218" s="127"/>
      <c r="O218" s="127"/>
      <c r="P218" s="682"/>
    </row>
  </sheetData>
  <mergeCells count="75">
    <mergeCell ref="Y5:AC5"/>
    <mergeCell ref="AA7:AB7"/>
    <mergeCell ref="AA8:AB8"/>
    <mergeCell ref="AA9:AB9"/>
    <mergeCell ref="AA10:AB10"/>
    <mergeCell ref="AE80:AF80"/>
    <mergeCell ref="AG80:AJ80"/>
    <mergeCell ref="AL80:AP80"/>
    <mergeCell ref="AE84:AF84"/>
    <mergeCell ref="AG84:AJ84"/>
    <mergeCell ref="AL84:AP84"/>
    <mergeCell ref="C3:D3"/>
    <mergeCell ref="K5:X5"/>
    <mergeCell ref="B2:B3"/>
    <mergeCell ref="C2:D2"/>
    <mergeCell ref="E2:J3"/>
    <mergeCell ref="K2:S3"/>
    <mergeCell ref="BQ2:CA3"/>
    <mergeCell ref="DL2:DS3"/>
    <mergeCell ref="DZ2:EI3"/>
    <mergeCell ref="EJ2:ES3"/>
    <mergeCell ref="AS2:BC3"/>
    <mergeCell ref="BE2:BO3"/>
    <mergeCell ref="AX67:AY67"/>
    <mergeCell ref="BB67:BC67"/>
    <mergeCell ref="K29:X29"/>
    <mergeCell ref="K64:X64"/>
    <mergeCell ref="AE65:AF65"/>
    <mergeCell ref="AG65:AJ65"/>
    <mergeCell ref="AL65:AP65"/>
    <mergeCell ref="AW65:AY65"/>
    <mergeCell ref="BA65:BC65"/>
    <mergeCell ref="AX66:AY66"/>
    <mergeCell ref="BB66:BC66"/>
    <mergeCell ref="AX68:AY68"/>
    <mergeCell ref="BB68:BC68"/>
    <mergeCell ref="AE69:AF69"/>
    <mergeCell ref="AG69:AJ69"/>
    <mergeCell ref="AL69:AP69"/>
    <mergeCell ref="AX69:AY69"/>
    <mergeCell ref="BB69:BC69"/>
    <mergeCell ref="BB100:BC100"/>
    <mergeCell ref="BF100:BG100"/>
    <mergeCell ref="AX70:AY70"/>
    <mergeCell ref="BB70:BC70"/>
    <mergeCell ref="AX71:AY71"/>
    <mergeCell ref="BB71:BC71"/>
    <mergeCell ref="AX72:AY72"/>
    <mergeCell ref="BB72:BC72"/>
    <mergeCell ref="K97:X97"/>
    <mergeCell ref="BA98:BC98"/>
    <mergeCell ref="BE98:BG98"/>
    <mergeCell ref="BB99:BC99"/>
    <mergeCell ref="BF99:BG99"/>
    <mergeCell ref="K173:U173"/>
    <mergeCell ref="BB101:BC101"/>
    <mergeCell ref="BF101:BG101"/>
    <mergeCell ref="BB102:BC102"/>
    <mergeCell ref="BF102:BG102"/>
    <mergeCell ref="BB103:BC103"/>
    <mergeCell ref="BF103:BG103"/>
    <mergeCell ref="BB104:BC104"/>
    <mergeCell ref="BF104:BG104"/>
    <mergeCell ref="BB105:BC105"/>
    <mergeCell ref="BF105:BG105"/>
    <mergeCell ref="K127:U127"/>
    <mergeCell ref="AA19:AB19"/>
    <mergeCell ref="AA20:AB20"/>
    <mergeCell ref="AA21:AB21"/>
    <mergeCell ref="AA22:AB22"/>
    <mergeCell ref="B6:D7"/>
    <mergeCell ref="E6:E7"/>
    <mergeCell ref="AA13:AB13"/>
    <mergeCell ref="AA14:AB14"/>
    <mergeCell ref="AA12:AB12"/>
  </mergeCells>
  <hyperlinks>
    <hyperlink ref="C2" location="'Documents Manager'!A1" display="Documents Manager" xr:uid="{8EA16FA5-A2A7-47F2-AC3C-1F1FFFA7CD41}"/>
    <hyperlink ref="B2:B3" location="Home!A1" display="HOME" xr:uid="{8589B780-F462-42F0-A004-3FE8FB2695F5}"/>
    <hyperlink ref="C3:D3" location="'ASTM Calculator Volume T.E.(1)'!A1" display="ASTM - Volume Calculator (Thermal expansion))" xr:uid="{70AE506F-DEC8-48FD-9D68-402D06B4782D}"/>
    <hyperlink ref="L99" location="'Conversion Charts Metric'!A1" display="Conversion Charts Metric" xr:uid="{0B1DEA06-C948-4103-BB8C-C6FE61CBD75D}"/>
    <hyperlink ref="L31" location="'Conversion Charts Barrel'!A1" display="Conversion Charts Barrel" xr:uid="{58CA6B26-403D-4D00-A763-329B21B0A603}"/>
  </hyperlinks>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7"/>
  <dimension ref="A1:DS124"/>
  <sheetViews>
    <sheetView showGridLines="0" topLeftCell="B1" workbookViewId="0">
      <selection activeCell="D2" sqref="D2"/>
    </sheetView>
  </sheetViews>
  <sheetFormatPr defaultColWidth="8.86328125" defaultRowHeight="12.75"/>
  <cols>
    <col min="1" max="1" width="0" style="5" hidden="1" customWidth="1"/>
    <col min="2" max="2" width="2.6640625" style="5" customWidth="1"/>
    <col min="3" max="3" width="8.86328125" style="5" customWidth="1"/>
    <col min="4" max="4" width="40.86328125" style="5" customWidth="1"/>
    <col min="5" max="5" width="22.6640625" style="5" customWidth="1"/>
    <col min="6" max="13" width="17.46484375" style="5" customWidth="1"/>
    <col min="14" max="14" width="3.6640625" style="5" bestFit="1" customWidth="1"/>
    <col min="15" max="15" width="22" style="5" bestFit="1" customWidth="1"/>
    <col min="16" max="17" width="2.6640625" style="5" customWidth="1"/>
    <col min="18" max="20" width="8.86328125" style="5"/>
    <col min="21" max="21" width="2.6640625" style="5" customWidth="1"/>
    <col min="22" max="22" width="8.86328125" style="5"/>
    <col min="23" max="23" width="10" style="5" bestFit="1" customWidth="1"/>
    <col min="24" max="24" width="9.6640625" style="5" bestFit="1" customWidth="1"/>
    <col min="25" max="25" width="2.6640625" style="5" customWidth="1"/>
    <col min="26" max="26" width="8.86328125" style="5"/>
    <col min="27" max="27" width="9.46484375" style="5" bestFit="1" customWidth="1"/>
    <col min="28" max="28" width="10.46484375" style="5" bestFit="1" customWidth="1"/>
    <col min="29" max="29" width="2.6640625" style="5" customWidth="1"/>
    <col min="30" max="30" width="8.86328125" style="5"/>
    <col min="31" max="32" width="10.46484375" style="5" bestFit="1" customWidth="1"/>
    <col min="33" max="33" width="2.6640625" style="5" customWidth="1"/>
    <col min="34" max="34" width="8.86328125" style="5"/>
    <col min="35" max="35" width="12.33203125" style="5" customWidth="1"/>
    <col min="36" max="36" width="9.46484375" style="5" bestFit="1" customWidth="1"/>
    <col min="37" max="37" width="2.6640625" style="5" customWidth="1"/>
    <col min="38" max="38" width="8.86328125" style="5"/>
    <col min="39" max="39" width="12.33203125" style="5" customWidth="1"/>
    <col min="40" max="40" width="9.46484375" style="5" bestFit="1" customWidth="1"/>
    <col min="41" max="41" width="2.6640625" style="5" customWidth="1"/>
    <col min="42" max="42" width="8.86328125" style="5"/>
    <col min="43" max="43" width="11.6640625" style="5" customWidth="1"/>
    <col min="44" max="44" width="9.53125" style="5" bestFit="1" customWidth="1"/>
    <col min="45" max="45" width="2.6640625" style="5" customWidth="1"/>
    <col min="46" max="46" width="8.86328125" style="5"/>
    <col min="47" max="47" width="11.6640625" style="5" customWidth="1"/>
    <col min="48" max="48" width="10" style="5" bestFit="1" customWidth="1"/>
    <col min="49" max="49" width="2.6640625" style="5" customWidth="1"/>
    <col min="50" max="50" width="8.86328125" style="5"/>
    <col min="51" max="51" width="11.6640625" style="5" customWidth="1"/>
    <col min="52" max="52" width="10" style="5" bestFit="1" customWidth="1"/>
    <col min="53" max="53" width="2.6640625" style="5" customWidth="1"/>
    <col min="54" max="56" width="8.86328125" style="5"/>
    <col min="57" max="57" width="2.6640625" style="5" customWidth="1"/>
    <col min="58" max="58" width="8.86328125" style="5"/>
    <col min="59" max="59" width="15.86328125" style="5" bestFit="1" customWidth="1"/>
    <col min="60" max="60" width="8.33203125" style="5" bestFit="1" customWidth="1"/>
    <col min="61" max="61" width="16.53125" style="5" bestFit="1" customWidth="1"/>
    <col min="62" max="62" width="2.6640625" style="5" customWidth="1"/>
    <col min="63" max="64" width="8.86328125" style="5"/>
    <col min="65" max="65" width="10.46484375" style="5" bestFit="1" customWidth="1"/>
    <col min="66" max="66" width="2.6640625" style="5" customWidth="1"/>
    <col min="67" max="67" width="8.86328125" style="5"/>
    <col min="68" max="68" width="10.46484375" style="5" bestFit="1" customWidth="1"/>
    <col min="69" max="69" width="10" style="5" bestFit="1" customWidth="1"/>
    <col min="70" max="70" width="2.6640625" style="5" customWidth="1"/>
    <col min="71" max="71" width="8.33203125" style="5" bestFit="1" customWidth="1"/>
    <col min="72" max="72" width="10.46484375" style="5" bestFit="1" customWidth="1"/>
    <col min="73" max="73" width="9" style="5" bestFit="1" customWidth="1"/>
    <col min="74" max="74" width="2.6640625" style="5" customWidth="1"/>
    <col min="75" max="75" width="8.86328125" style="5"/>
    <col min="76" max="76" width="10.46484375" style="5" bestFit="1" customWidth="1"/>
    <col min="77" max="77" width="9.53125" style="5" bestFit="1" customWidth="1"/>
    <col min="78" max="78" width="2.6640625" style="5" customWidth="1"/>
    <col min="79" max="79" width="8.33203125" style="5" bestFit="1" customWidth="1"/>
    <col min="80" max="80" width="10.46484375" style="5" bestFit="1" customWidth="1"/>
    <col min="81" max="81" width="8.53125" style="5" bestFit="1" customWidth="1"/>
    <col min="82" max="82" width="2.6640625" style="5" customWidth="1"/>
    <col min="83" max="83" width="8.33203125" style="5" bestFit="1" customWidth="1"/>
    <col min="84" max="85" width="10" style="5" bestFit="1" customWidth="1"/>
    <col min="86" max="86" width="2.6640625" style="5" customWidth="1"/>
    <col min="87" max="89" width="8.86328125" style="5"/>
    <col min="90" max="90" width="2.6640625" style="5" customWidth="1"/>
    <col min="91" max="91" width="8.86328125" style="5"/>
    <col min="92" max="92" width="9.6640625" style="5" bestFit="1" customWidth="1"/>
    <col min="93" max="93" width="8.86328125" style="5"/>
    <col min="94" max="94" width="2.6640625" style="5" customWidth="1"/>
    <col min="95" max="95" width="8.86328125" style="5"/>
    <col min="96" max="96" width="18.33203125" style="5" bestFit="1" customWidth="1"/>
    <col min="97" max="97" width="2.6640625" style="5" customWidth="1"/>
    <col min="98" max="98" width="8.86328125" style="5"/>
    <col min="99" max="99" width="18.33203125" style="5" bestFit="1" customWidth="1"/>
    <col min="100" max="100" width="2.6640625" style="5" customWidth="1"/>
    <col min="101" max="101" width="8.86328125" style="5"/>
    <col min="102" max="102" width="9.33203125" style="5" bestFit="1" customWidth="1"/>
    <col min="103" max="103" width="10" style="5" bestFit="1" customWidth="1"/>
    <col min="104" max="104" width="2.6640625" style="5" customWidth="1"/>
    <col min="105" max="105" width="7.33203125" style="5" bestFit="1" customWidth="1"/>
    <col min="106" max="106" width="10" style="5" bestFit="1" customWidth="1"/>
    <col min="107" max="107" width="9.53125" style="5" bestFit="1" customWidth="1"/>
    <col min="108" max="108" width="2.6640625" style="5" customWidth="1"/>
    <col min="109" max="109" width="7.33203125" style="5" bestFit="1" customWidth="1"/>
    <col min="110" max="110" width="10.46484375" style="5" bestFit="1" customWidth="1"/>
    <col min="111" max="111" width="6.86328125" style="5" bestFit="1" customWidth="1"/>
    <col min="112" max="16384" width="8.86328125" style="5"/>
  </cols>
  <sheetData>
    <row r="1" spans="1:123" ht="12.75" customHeight="1">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row>
    <row r="2" spans="1:123" s="340" customFormat="1" ht="13.15">
      <c r="A2" s="159"/>
      <c r="B2" s="5"/>
      <c r="C2" s="3606" t="s">
        <v>0</v>
      </c>
      <c r="D2" s="13" t="s">
        <v>2</v>
      </c>
      <c r="E2" s="3656" t="s">
        <v>3</v>
      </c>
      <c r="F2" s="3604"/>
      <c r="G2" s="3604"/>
      <c r="H2" s="3604"/>
      <c r="I2" s="3604"/>
      <c r="J2" s="3604"/>
      <c r="K2" s="3604"/>
      <c r="L2" s="3604"/>
      <c r="M2" s="3604"/>
      <c r="N2" s="3604"/>
      <c r="O2" s="3604"/>
      <c r="P2" s="3604"/>
      <c r="Q2" s="337"/>
      <c r="R2" s="3604" t="s">
        <v>3</v>
      </c>
      <c r="S2" s="3604"/>
      <c r="T2" s="3604"/>
      <c r="U2" s="3604"/>
      <c r="V2" s="3604"/>
      <c r="W2" s="3604"/>
      <c r="X2" s="3604"/>
      <c r="Y2" s="3604"/>
      <c r="Z2" s="3604"/>
      <c r="AA2" s="3604"/>
      <c r="AB2" s="3604"/>
      <c r="AC2" s="338"/>
      <c r="AD2" s="3604" t="s">
        <v>3</v>
      </c>
      <c r="AE2" s="3604"/>
      <c r="AF2" s="3604"/>
      <c r="AG2" s="3604"/>
      <c r="AH2" s="3604"/>
      <c r="AI2" s="3604"/>
      <c r="AJ2" s="3604"/>
      <c r="AK2" s="3604"/>
      <c r="AL2" s="3604"/>
      <c r="AM2" s="3604"/>
      <c r="AN2" s="3604"/>
      <c r="AO2" s="337"/>
      <c r="AP2" s="3604" t="s">
        <v>3</v>
      </c>
      <c r="AQ2" s="3604"/>
      <c r="AR2" s="3604"/>
      <c r="AS2" s="3604"/>
      <c r="AT2" s="3604"/>
      <c r="AU2" s="3604"/>
      <c r="AV2" s="3604"/>
      <c r="AW2" s="3604"/>
      <c r="AX2" s="3604"/>
      <c r="AY2" s="3604"/>
      <c r="AZ2" s="3604"/>
      <c r="BA2" s="337"/>
      <c r="BB2" s="337"/>
      <c r="BC2" s="337"/>
      <c r="BD2" s="337"/>
      <c r="BE2" s="337"/>
      <c r="BF2" s="337"/>
      <c r="BG2" s="337"/>
      <c r="BH2" s="337"/>
      <c r="BI2" s="337"/>
      <c r="BJ2" s="337"/>
      <c r="BK2" s="337"/>
      <c r="BL2" s="337"/>
      <c r="BM2" s="337"/>
      <c r="BN2" s="337"/>
      <c r="BO2" s="337"/>
      <c r="BP2" s="337"/>
      <c r="BQ2" s="337"/>
      <c r="BR2" s="337"/>
      <c r="BS2" s="337"/>
      <c r="BT2" s="337"/>
      <c r="BU2" s="337"/>
      <c r="BV2" s="337"/>
      <c r="BW2" s="337"/>
      <c r="BX2" s="337"/>
      <c r="BY2" s="337"/>
      <c r="BZ2" s="337"/>
      <c r="CA2" s="337"/>
      <c r="CB2" s="337"/>
      <c r="CC2" s="337"/>
      <c r="CD2" s="337"/>
      <c r="CE2" s="337"/>
      <c r="CF2" s="337"/>
      <c r="CG2" s="337"/>
      <c r="CH2" s="337"/>
      <c r="CI2" s="337"/>
      <c r="CJ2" s="337"/>
      <c r="CK2" s="3604" t="s">
        <v>3</v>
      </c>
      <c r="CL2" s="3604"/>
      <c r="CM2" s="3604"/>
      <c r="CN2" s="3604"/>
      <c r="CO2" s="3604"/>
      <c r="CP2" s="3604"/>
      <c r="CQ2" s="3604"/>
      <c r="CR2" s="3604"/>
      <c r="CS2" s="337"/>
      <c r="CT2" s="337"/>
      <c r="CU2" s="337"/>
      <c r="CV2" s="337"/>
      <c r="CW2" s="337"/>
      <c r="CX2" s="339"/>
      <c r="CY2" s="3604" t="s">
        <v>3</v>
      </c>
      <c r="CZ2" s="3604"/>
      <c r="DA2" s="3604"/>
      <c r="DB2" s="3604"/>
      <c r="DC2" s="3604"/>
      <c r="DD2" s="3604"/>
      <c r="DE2" s="3604"/>
      <c r="DF2" s="3604"/>
      <c r="DG2" s="3604"/>
      <c r="DH2" s="3604"/>
      <c r="DI2" s="3604" t="s">
        <v>3</v>
      </c>
      <c r="DJ2" s="3604"/>
      <c r="DK2" s="3604"/>
      <c r="DL2" s="3604"/>
      <c r="DM2" s="3604"/>
      <c r="DN2" s="3604"/>
      <c r="DO2" s="3604"/>
      <c r="DP2" s="3604"/>
      <c r="DQ2" s="3604"/>
      <c r="DR2" s="3604"/>
    </row>
    <row r="3" spans="1:123" s="340" customFormat="1" ht="13.15">
      <c r="A3" s="5"/>
      <c r="B3" s="5"/>
      <c r="C3" s="3607"/>
      <c r="D3" s="15" t="s">
        <v>245</v>
      </c>
      <c r="E3" s="3656"/>
      <c r="F3" s="3604"/>
      <c r="G3" s="3604"/>
      <c r="H3" s="3604"/>
      <c r="I3" s="3604"/>
      <c r="J3" s="3604"/>
      <c r="K3" s="3604"/>
      <c r="L3" s="3604"/>
      <c r="M3" s="3604"/>
      <c r="N3" s="3604"/>
      <c r="O3" s="3604"/>
      <c r="P3" s="3604"/>
      <c r="Q3" s="337"/>
      <c r="R3" s="3604"/>
      <c r="S3" s="3604"/>
      <c r="T3" s="3604"/>
      <c r="U3" s="3604"/>
      <c r="V3" s="3604"/>
      <c r="W3" s="3604"/>
      <c r="X3" s="3604"/>
      <c r="Y3" s="3604"/>
      <c r="Z3" s="3604"/>
      <c r="AA3" s="3604"/>
      <c r="AB3" s="3604"/>
      <c r="AC3" s="338"/>
      <c r="AD3" s="3604"/>
      <c r="AE3" s="3604"/>
      <c r="AF3" s="3604"/>
      <c r="AG3" s="3604"/>
      <c r="AH3" s="3604"/>
      <c r="AI3" s="3604"/>
      <c r="AJ3" s="3604"/>
      <c r="AK3" s="3604"/>
      <c r="AL3" s="3604"/>
      <c r="AM3" s="3604"/>
      <c r="AN3" s="3604"/>
      <c r="AO3" s="337"/>
      <c r="AP3" s="3604"/>
      <c r="AQ3" s="3604"/>
      <c r="AR3" s="3604"/>
      <c r="AS3" s="3604"/>
      <c r="AT3" s="3604"/>
      <c r="AU3" s="3604"/>
      <c r="AV3" s="3604"/>
      <c r="AW3" s="3604"/>
      <c r="AX3" s="3604"/>
      <c r="AY3" s="3604"/>
      <c r="AZ3" s="3604"/>
      <c r="BA3" s="337"/>
      <c r="BB3" s="337"/>
      <c r="BC3" s="337"/>
      <c r="BD3" s="337"/>
      <c r="BE3" s="337"/>
      <c r="BF3" s="337"/>
      <c r="BG3" s="337"/>
      <c r="BH3" s="337"/>
      <c r="BI3" s="337"/>
      <c r="BJ3" s="337"/>
      <c r="BK3" s="337"/>
      <c r="BL3" s="337"/>
      <c r="BM3" s="337"/>
      <c r="BN3" s="337"/>
      <c r="BO3" s="337"/>
      <c r="BP3" s="337"/>
      <c r="BQ3" s="337"/>
      <c r="BR3" s="337"/>
      <c r="BS3" s="337"/>
      <c r="BT3" s="337"/>
      <c r="BU3" s="337"/>
      <c r="BV3" s="337"/>
      <c r="BW3" s="337"/>
      <c r="BX3" s="337"/>
      <c r="BY3" s="337"/>
      <c r="BZ3" s="337"/>
      <c r="CA3" s="337"/>
      <c r="CB3" s="337"/>
      <c r="CC3" s="337"/>
      <c r="CD3" s="337"/>
      <c r="CE3" s="337"/>
      <c r="CF3" s="337"/>
      <c r="CG3" s="337"/>
      <c r="CH3" s="337"/>
      <c r="CI3" s="337"/>
      <c r="CJ3" s="337"/>
      <c r="CK3" s="3604"/>
      <c r="CL3" s="3604"/>
      <c r="CM3" s="3604"/>
      <c r="CN3" s="3604"/>
      <c r="CO3" s="3604"/>
      <c r="CP3" s="3604"/>
      <c r="CQ3" s="3604"/>
      <c r="CR3" s="3604"/>
      <c r="CS3" s="337"/>
      <c r="CT3" s="337"/>
      <c r="CU3" s="337"/>
      <c r="CV3" s="337"/>
      <c r="CW3" s="337"/>
      <c r="CX3" s="339"/>
      <c r="CY3" s="3604"/>
      <c r="CZ3" s="3604"/>
      <c r="DA3" s="3604"/>
      <c r="DB3" s="3604"/>
      <c r="DC3" s="3604"/>
      <c r="DD3" s="3604"/>
      <c r="DE3" s="3604"/>
      <c r="DF3" s="3604"/>
      <c r="DG3" s="3604"/>
      <c r="DH3" s="3604"/>
      <c r="DI3" s="3604"/>
      <c r="DJ3" s="3604"/>
      <c r="DK3" s="3604"/>
      <c r="DL3" s="3604"/>
      <c r="DM3" s="3604"/>
      <c r="DN3" s="3604"/>
      <c r="DO3" s="3604"/>
      <c r="DP3" s="3604"/>
      <c r="DQ3" s="3604"/>
      <c r="DR3" s="3604"/>
    </row>
    <row r="4" spans="1:123">
      <c r="D4" s="16"/>
      <c r="E4" s="16"/>
      <c r="F4" s="16"/>
      <c r="G4" s="16"/>
      <c r="H4" s="16"/>
      <c r="I4" s="16"/>
      <c r="J4" s="16"/>
      <c r="K4" s="16"/>
      <c r="L4" s="17"/>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row>
    <row r="5" spans="1:123" ht="15">
      <c r="C5" s="3601" t="s">
        <v>148</v>
      </c>
      <c r="D5" s="3602"/>
      <c r="E5" s="3602"/>
      <c r="F5" s="3602"/>
      <c r="G5" s="3602"/>
      <c r="H5" s="3602"/>
      <c r="I5" s="3602"/>
      <c r="J5" s="3602"/>
      <c r="K5" s="3602"/>
      <c r="L5" s="3602"/>
      <c r="M5" s="3602"/>
      <c r="N5" s="3602"/>
      <c r="O5" s="3602"/>
      <c r="P5" s="3603"/>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row>
    <row r="6" spans="1:123">
      <c r="C6" s="326"/>
      <c r="D6" s="16"/>
      <c r="E6" s="16"/>
      <c r="F6" s="16"/>
      <c r="G6" s="16"/>
      <c r="H6" s="16"/>
      <c r="I6" s="16"/>
      <c r="J6" s="16"/>
      <c r="K6" s="16"/>
      <c r="L6" s="17"/>
      <c r="M6" s="12"/>
      <c r="N6" s="12"/>
      <c r="O6" s="12"/>
      <c r="P6" s="398"/>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row>
    <row r="7" spans="1:123" ht="13.15">
      <c r="C7" s="275"/>
      <c r="D7" s="407" t="s">
        <v>182</v>
      </c>
      <c r="E7" s="467" t="str">
        <f>'ASTM Calc BL Outturn Compare'!E12</f>
        <v>A.P.I.</v>
      </c>
      <c r="F7" s="442" t="s">
        <v>160</v>
      </c>
      <c r="G7" s="443" t="s">
        <v>161</v>
      </c>
      <c r="H7" s="443" t="s">
        <v>185</v>
      </c>
      <c r="I7" s="443" t="s">
        <v>186</v>
      </c>
      <c r="J7" s="420"/>
      <c r="K7" s="407" t="s">
        <v>182</v>
      </c>
      <c r="L7" s="452" t="str">
        <f>'ASTM Calc BL Outturn Compare'!E12</f>
        <v>A.P.I.</v>
      </c>
      <c r="M7" s="453">
        <f>'ASTM Calc BL Outturn Compare'!F12</f>
        <v>32.6</v>
      </c>
      <c r="N7" s="12"/>
      <c r="O7" s="12"/>
      <c r="P7" s="398"/>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row>
    <row r="8" spans="1:123">
      <c r="C8" s="275"/>
      <c r="D8" s="449" t="s">
        <v>178</v>
      </c>
      <c r="E8" s="16">
        <f>IF($E$7=D8,'ASTM Calc BL Outturn Compare'!$F$12,"")</f>
        <v>32.6</v>
      </c>
      <c r="F8" s="444" t="s">
        <v>240</v>
      </c>
      <c r="G8" s="448" t="s">
        <v>16</v>
      </c>
      <c r="H8" s="445">
        <v>1</v>
      </c>
      <c r="I8" s="421">
        <v>6.2898100000000001</v>
      </c>
      <c r="J8" s="16"/>
      <c r="K8" s="408" t="str">
        <f>IF(L8=$L$7,"",IF(L9=$L$7,"ASTM Table 21","ASTM Table 51"))</f>
        <v/>
      </c>
      <c r="L8" s="401" t="str">
        <f>D8</f>
        <v>A.P.I.</v>
      </c>
      <c r="M8" s="404">
        <f>IF(L8=$L$7,M7,IF(L9=$L$7,M77,M112))</f>
        <v>32.6</v>
      </c>
      <c r="N8" s="12"/>
      <c r="O8" s="12"/>
      <c r="P8" s="398"/>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row>
    <row r="9" spans="1:123">
      <c r="C9" s="275"/>
      <c r="D9" s="450" t="s">
        <v>179</v>
      </c>
      <c r="E9" s="16" t="str">
        <f>IF($E$7=D9,'ASTM Calc BL Outturn Compare'!$F$12,"")</f>
        <v/>
      </c>
      <c r="F9" s="446" t="s">
        <v>187</v>
      </c>
      <c r="G9" s="468" t="s">
        <v>188</v>
      </c>
      <c r="H9" s="447">
        <v>1</v>
      </c>
      <c r="I9" s="447">
        <v>42</v>
      </c>
      <c r="J9" s="16"/>
      <c r="K9" s="409" t="str">
        <f>IF(L9=$L$7,"",IF(L8=$L$7,"ASTM Table 3","ASTM Table 51"))</f>
        <v>ASTM Table 3</v>
      </c>
      <c r="L9" s="402" t="str">
        <f>D9</f>
        <v>Relative Density</v>
      </c>
      <c r="M9" s="405">
        <f>IF(L9=$L$7,M7,IF(L8=$L$7,M42,M111))</f>
        <v>0.86229999999999996</v>
      </c>
      <c r="N9" s="12"/>
      <c r="O9" s="12"/>
      <c r="P9" s="398"/>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row>
    <row r="10" spans="1:123">
      <c r="C10" s="275"/>
      <c r="D10" s="450" t="s">
        <v>180</v>
      </c>
      <c r="E10" s="16" t="str">
        <f>IF($E$7=D10,'ASTM Calc BL Outturn Compare'!$F$12,"")</f>
        <v/>
      </c>
      <c r="F10" s="446" t="s">
        <v>163</v>
      </c>
      <c r="G10" s="446" t="s">
        <v>165</v>
      </c>
      <c r="H10" s="447">
        <v>1</v>
      </c>
      <c r="I10" s="447">
        <v>0.98420600000000003</v>
      </c>
      <c r="J10" s="16"/>
      <c r="K10" s="409" t="str">
        <f>IF(OR(L10=$L$7,L11=$L$7),"",IF(L8=$L$7,"ASTM Table 3","ASTM Table 21"))</f>
        <v>ASTM Table 3</v>
      </c>
      <c r="L10" s="402" t="str">
        <f>D10</f>
        <v>Density (kg/m3)</v>
      </c>
      <c r="M10" s="405">
        <f>IF(L10=$L$7,M7,IF(L8=$L$7,M43,IF(L9=$L$7,M78,M7*1000)))</f>
        <v>861.8</v>
      </c>
      <c r="N10" s="12"/>
      <c r="O10" s="12"/>
      <c r="P10" s="398"/>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row>
    <row r="11" spans="1:123">
      <c r="C11" s="275"/>
      <c r="D11" s="450" t="s">
        <v>181</v>
      </c>
      <c r="E11" s="16" t="str">
        <f>IF($E$7=D11,'ASTM Calc BL Outturn Compare'!$F$12,"")</f>
        <v/>
      </c>
      <c r="F11" s="446" t="s">
        <v>165</v>
      </c>
      <c r="G11" s="446" t="s">
        <v>163</v>
      </c>
      <c r="H11" s="447">
        <v>1</v>
      </c>
      <c r="I11" s="447">
        <v>1.0160499999999999</v>
      </c>
      <c r="J11" s="16"/>
      <c r="K11" s="410" t="str">
        <f>IF(OR(L10=$L$7,L11=$L$7),"",IF(L8=$L$7,"ASTM Table 3","ASTM Table 21"))</f>
        <v>ASTM Table 3</v>
      </c>
      <c r="L11" s="403" t="str">
        <f>D11</f>
        <v>Density (kg/L)</v>
      </c>
      <c r="M11" s="406">
        <f>IF(L11=$L$7,M7,IF(L8=$L$7,M43/1000,IF(L9=$L$7,M78/1000,M10/1000)))</f>
        <v>0.8617999999999999</v>
      </c>
      <c r="N11" s="12"/>
      <c r="O11" s="12"/>
      <c r="P11" s="398"/>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row>
    <row r="12" spans="1:123">
      <c r="C12" s="419"/>
      <c r="D12" s="567"/>
      <c r="E12" s="409"/>
      <c r="F12" s="446" t="s">
        <v>165</v>
      </c>
      <c r="G12" s="468" t="s">
        <v>102</v>
      </c>
      <c r="H12" s="447">
        <v>1</v>
      </c>
      <c r="I12" s="455">
        <v>2240</v>
      </c>
      <c r="J12" s="16"/>
      <c r="K12" s="16"/>
      <c r="L12" s="17"/>
      <c r="M12" s="12"/>
      <c r="N12" s="12"/>
      <c r="O12" s="12"/>
      <c r="P12" s="398"/>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row>
    <row r="13" spans="1:123">
      <c r="C13" s="419"/>
      <c r="D13" s="567"/>
      <c r="E13" s="409"/>
      <c r="F13" s="446" t="s">
        <v>17</v>
      </c>
      <c r="G13" s="468" t="s">
        <v>189</v>
      </c>
      <c r="H13" s="447">
        <v>1</v>
      </c>
      <c r="I13" s="447">
        <v>2.2046199999999998</v>
      </c>
      <c r="J13" s="16"/>
      <c r="K13" s="16"/>
      <c r="L13" s="17"/>
      <c r="M13" s="12"/>
      <c r="N13" s="12"/>
      <c r="O13" s="12"/>
      <c r="P13" s="398"/>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row>
    <row r="14" spans="1:123">
      <c r="C14" s="419"/>
      <c r="D14" s="568"/>
      <c r="E14" s="568"/>
      <c r="F14" s="569"/>
      <c r="G14" s="569"/>
      <c r="H14" s="569"/>
      <c r="I14" s="569"/>
      <c r="J14" s="16"/>
      <c r="K14" s="16"/>
      <c r="L14" s="17"/>
      <c r="M14" s="12"/>
      <c r="N14" s="12"/>
      <c r="O14" s="12"/>
      <c r="P14" s="398"/>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row>
    <row r="15" spans="1:123" ht="13.15">
      <c r="C15" s="493"/>
      <c r="D15" s="494"/>
      <c r="E15" s="451" t="s">
        <v>184</v>
      </c>
      <c r="F15" s="480" t="s">
        <v>184</v>
      </c>
      <c r="G15" s="480" t="s">
        <v>184</v>
      </c>
      <c r="H15" s="480" t="s">
        <v>184</v>
      </c>
      <c r="I15" s="480" t="s">
        <v>184</v>
      </c>
      <c r="J15" s="480" t="s">
        <v>184</v>
      </c>
      <c r="K15" s="480" t="s">
        <v>184</v>
      </c>
      <c r="L15" s="480" t="s">
        <v>184</v>
      </c>
      <c r="M15" s="480" t="s">
        <v>184</v>
      </c>
      <c r="N15" s="326"/>
      <c r="O15" s="495"/>
      <c r="P15" s="496"/>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row>
    <row r="16" spans="1:123" ht="13.15">
      <c r="C16" s="419"/>
      <c r="D16" s="16"/>
      <c r="E16" s="481" t="str">
        <f>'ASTM Calc BL Outturn Compare'!J12</f>
        <v>CUBIC METERS at 15°C</v>
      </c>
      <c r="F16" s="477" t="str">
        <f>D18</f>
        <v>LITERS at 15°C</v>
      </c>
      <c r="G16" s="477" t="str">
        <f>D19</f>
        <v>CUBIC METERS at 15°C</v>
      </c>
      <c r="H16" s="477" t="str">
        <f>D20</f>
        <v>METRIC TONS (in AIR)</v>
      </c>
      <c r="I16" s="477" t="str">
        <f>D21</f>
        <v>METRIC TONS (in VAC)</v>
      </c>
      <c r="J16" s="477" t="str">
        <f>D22</f>
        <v>LONG TONS</v>
      </c>
      <c r="K16" s="477" t="str">
        <f>D23</f>
        <v>POUNDS LBS</v>
      </c>
      <c r="L16" s="477" t="str">
        <f>D24</f>
        <v>US GALLONS at 60°F</v>
      </c>
      <c r="M16" s="477" t="str">
        <f>D25</f>
        <v>US BARRELS at 60°F</v>
      </c>
      <c r="N16" s="275"/>
      <c r="O16" s="441"/>
      <c r="P16" s="398"/>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row>
    <row r="17" spans="3:123" ht="13.15">
      <c r="C17" s="483"/>
      <c r="E17" s="482">
        <f>'ASTM Calc BL Outturn Compare'!K12</f>
        <v>150000</v>
      </c>
      <c r="F17" s="478" t="str">
        <f>IF(F16=$E16,$E17,"")</f>
        <v/>
      </c>
      <c r="G17" s="479">
        <f t="shared" ref="G17:M17" si="0">IF(G16=$E$16,$E$17,"")</f>
        <v>150000</v>
      </c>
      <c r="H17" s="479" t="str">
        <f t="shared" si="0"/>
        <v/>
      </c>
      <c r="I17" s="479" t="str">
        <f t="shared" si="0"/>
        <v/>
      </c>
      <c r="J17" s="479" t="str">
        <f t="shared" si="0"/>
        <v/>
      </c>
      <c r="K17" s="478" t="str">
        <f t="shared" si="0"/>
        <v/>
      </c>
      <c r="L17" s="478" t="str">
        <f t="shared" si="0"/>
        <v/>
      </c>
      <c r="M17" s="478" t="str">
        <f t="shared" si="0"/>
        <v/>
      </c>
      <c r="N17" s="276"/>
      <c r="O17" s="428"/>
      <c r="P17" s="400"/>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row>
    <row r="18" spans="3:123">
      <c r="C18" s="421">
        <v>1</v>
      </c>
      <c r="D18" s="490" t="s">
        <v>172</v>
      </c>
      <c r="E18" s="457">
        <f t="shared" ref="E18:M18" si="1">IF($E$7=$D$8,E32,IF($E$7=$D$9,E67,E100))</f>
        <v>150000000</v>
      </c>
      <c r="F18" s="457" t="str">
        <f t="shared" si="1"/>
        <v/>
      </c>
      <c r="G18" s="457">
        <f t="shared" si="1"/>
        <v>150000000</v>
      </c>
      <c r="H18" s="457" t="str">
        <f t="shared" si="1"/>
        <v/>
      </c>
      <c r="I18" s="457" t="str">
        <f t="shared" si="1"/>
        <v/>
      </c>
      <c r="J18" s="457" t="str">
        <f t="shared" si="1"/>
        <v/>
      </c>
      <c r="K18" s="457" t="str">
        <f t="shared" si="1"/>
        <v/>
      </c>
      <c r="L18" s="457" t="str">
        <f t="shared" si="1"/>
        <v/>
      </c>
      <c r="M18" s="457" t="str">
        <f t="shared" si="1"/>
        <v/>
      </c>
      <c r="N18" s="275"/>
      <c r="O18" s="12"/>
      <c r="P18" s="398"/>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row>
    <row r="19" spans="3:123">
      <c r="C19" s="455">
        <v>2</v>
      </c>
      <c r="D19" s="491" t="s">
        <v>44</v>
      </c>
      <c r="E19" s="456">
        <f t="shared" ref="E19:M19" si="2">IF($E$7=$D$8,E33,IF($E$7=$D$9,E68,E101))</f>
        <v>150000</v>
      </c>
      <c r="F19" s="456" t="str">
        <f t="shared" si="2"/>
        <v/>
      </c>
      <c r="G19" s="456">
        <f t="shared" si="2"/>
        <v>150000</v>
      </c>
      <c r="H19" s="456" t="str">
        <f t="shared" si="2"/>
        <v/>
      </c>
      <c r="I19" s="456" t="str">
        <f t="shared" si="2"/>
        <v/>
      </c>
      <c r="J19" s="456" t="str">
        <f t="shared" si="2"/>
        <v/>
      </c>
      <c r="K19" s="456" t="str">
        <f t="shared" si="2"/>
        <v/>
      </c>
      <c r="L19" s="456" t="str">
        <f t="shared" si="2"/>
        <v/>
      </c>
      <c r="M19" s="456" t="str">
        <f t="shared" si="2"/>
        <v/>
      </c>
      <c r="N19" s="275"/>
      <c r="O19" s="12"/>
      <c r="P19" s="398"/>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row>
    <row r="20" spans="3:123">
      <c r="C20" s="455">
        <v>3</v>
      </c>
      <c r="D20" s="491" t="s">
        <v>173</v>
      </c>
      <c r="E20" s="456">
        <f t="shared" ref="E20:M20" si="3">IF($E$7=$D$8,E34,IF($E$7=$D$9,E69,E102))</f>
        <v>129104</v>
      </c>
      <c r="F20" s="456" t="str">
        <f t="shared" si="3"/>
        <v/>
      </c>
      <c r="G20" s="456">
        <f t="shared" si="3"/>
        <v>129104</v>
      </c>
      <c r="H20" s="456" t="str">
        <f t="shared" si="3"/>
        <v/>
      </c>
      <c r="I20" s="456" t="str">
        <f t="shared" si="3"/>
        <v/>
      </c>
      <c r="J20" s="456" t="str">
        <f t="shared" si="3"/>
        <v/>
      </c>
      <c r="K20" s="456" t="str">
        <f t="shared" si="3"/>
        <v/>
      </c>
      <c r="L20" s="456" t="str">
        <f t="shared" si="3"/>
        <v/>
      </c>
      <c r="M20" s="456" t="str">
        <f t="shared" si="3"/>
        <v/>
      </c>
      <c r="N20" s="275"/>
      <c r="O20" s="12"/>
      <c r="P20" s="398"/>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row>
    <row r="21" spans="3:123">
      <c r="C21" s="455">
        <v>4</v>
      </c>
      <c r="D21" s="491" t="s">
        <v>174</v>
      </c>
      <c r="E21" s="456">
        <f t="shared" ref="E21:M21" si="4">IF($E$7=$D$8,E35,IF($E$7=$D$9,E70,E103))</f>
        <v>129270</v>
      </c>
      <c r="F21" s="456" t="str">
        <f t="shared" si="4"/>
        <v/>
      </c>
      <c r="G21" s="456">
        <f t="shared" si="4"/>
        <v>129270</v>
      </c>
      <c r="H21" s="456" t="str">
        <f t="shared" si="4"/>
        <v/>
      </c>
      <c r="I21" s="456" t="str">
        <f t="shared" si="4"/>
        <v/>
      </c>
      <c r="J21" s="456" t="str">
        <f t="shared" si="4"/>
        <v/>
      </c>
      <c r="K21" s="456" t="str">
        <f t="shared" si="4"/>
        <v/>
      </c>
      <c r="L21" s="456" t="str">
        <f t="shared" si="4"/>
        <v/>
      </c>
      <c r="M21" s="456" t="str">
        <f t="shared" si="4"/>
        <v/>
      </c>
      <c r="N21" s="275"/>
      <c r="O21" s="12"/>
      <c r="P21" s="398"/>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2"/>
      <c r="CY21" s="12"/>
      <c r="CZ21" s="12"/>
      <c r="DA21" s="12"/>
      <c r="DB21" s="12"/>
      <c r="DC21" s="12"/>
      <c r="DD21" s="12"/>
      <c r="DE21" s="12"/>
      <c r="DF21" s="12"/>
      <c r="DG21" s="12"/>
      <c r="DH21" s="12"/>
      <c r="DI21" s="12"/>
      <c r="DJ21" s="12"/>
      <c r="DK21" s="12"/>
      <c r="DL21" s="12"/>
      <c r="DM21" s="12"/>
      <c r="DN21" s="12"/>
      <c r="DO21" s="12"/>
      <c r="DP21" s="12"/>
      <c r="DQ21" s="12"/>
      <c r="DR21" s="12"/>
      <c r="DS21" s="12"/>
    </row>
    <row r="22" spans="3:123">
      <c r="C22" s="455">
        <v>5</v>
      </c>
      <c r="D22" s="491" t="s">
        <v>45</v>
      </c>
      <c r="E22" s="456">
        <f t="shared" ref="E22:M22" si="5">IF($E$7=$D$8,E36,IF($E$7=$D$9,E71,E104))</f>
        <v>127064.803</v>
      </c>
      <c r="F22" s="456" t="str">
        <f t="shared" si="5"/>
        <v/>
      </c>
      <c r="G22" s="456">
        <f t="shared" si="5"/>
        <v>127064.803</v>
      </c>
      <c r="H22" s="456" t="str">
        <f t="shared" si="5"/>
        <v/>
      </c>
      <c r="I22" s="456" t="str">
        <f t="shared" si="5"/>
        <v/>
      </c>
      <c r="J22" s="456" t="str">
        <f t="shared" si="5"/>
        <v/>
      </c>
      <c r="K22" s="456" t="str">
        <f t="shared" si="5"/>
        <v/>
      </c>
      <c r="L22" s="456" t="str">
        <f t="shared" si="5"/>
        <v/>
      </c>
      <c r="M22" s="456" t="str">
        <f t="shared" si="5"/>
        <v/>
      </c>
      <c r="N22" s="275"/>
      <c r="O22" s="12"/>
      <c r="P22" s="398"/>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row>
    <row r="23" spans="3:123">
      <c r="C23" s="455">
        <v>6</v>
      </c>
      <c r="D23" s="491" t="s">
        <v>175</v>
      </c>
      <c r="E23" s="457">
        <f t="shared" ref="E23:M23" si="6">IF($E$7=$D$8,E37,IF($E$7=$D$9,E72,E105))</f>
        <v>284625159</v>
      </c>
      <c r="F23" s="457" t="str">
        <f t="shared" si="6"/>
        <v/>
      </c>
      <c r="G23" s="457">
        <f t="shared" si="6"/>
        <v>284625159</v>
      </c>
      <c r="H23" s="457" t="str">
        <f t="shared" si="6"/>
        <v/>
      </c>
      <c r="I23" s="457" t="str">
        <f t="shared" si="6"/>
        <v/>
      </c>
      <c r="J23" s="457" t="str">
        <f t="shared" si="6"/>
        <v/>
      </c>
      <c r="K23" s="457" t="str">
        <f t="shared" si="6"/>
        <v/>
      </c>
      <c r="L23" s="457" t="str">
        <f t="shared" si="6"/>
        <v/>
      </c>
      <c r="M23" s="457" t="str">
        <f t="shared" si="6"/>
        <v/>
      </c>
      <c r="N23" s="275"/>
      <c r="O23" s="12"/>
      <c r="P23" s="398"/>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row>
    <row r="24" spans="3:123">
      <c r="C24" s="455">
        <v>7</v>
      </c>
      <c r="D24" s="491" t="s">
        <v>47</v>
      </c>
      <c r="E24" s="457">
        <f t="shared" ref="E24:L24" si="7">IF($E$7=$D$8,E38,IF($E$7=$D$9,E73,E106))</f>
        <v>39643735</v>
      </c>
      <c r="F24" s="457" t="str">
        <f t="shared" si="7"/>
        <v/>
      </c>
      <c r="G24" s="457">
        <f t="shared" si="7"/>
        <v>39643735</v>
      </c>
      <c r="H24" s="457" t="str">
        <f t="shared" si="7"/>
        <v/>
      </c>
      <c r="I24" s="457" t="str">
        <f t="shared" si="7"/>
        <v/>
      </c>
      <c r="J24" s="457" t="str">
        <f t="shared" si="7"/>
        <v/>
      </c>
      <c r="K24" s="457" t="str">
        <f t="shared" si="7"/>
        <v/>
      </c>
      <c r="L24" s="457" t="str">
        <f t="shared" si="7"/>
        <v/>
      </c>
      <c r="M24" s="457" t="str">
        <f>IF($E$7=$D$8,M38,IF($E$7=$D$9,M73,M106))</f>
        <v/>
      </c>
      <c r="N24" s="275"/>
      <c r="O24" s="12"/>
      <c r="P24" s="398"/>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row>
    <row r="25" spans="3:123">
      <c r="C25" s="422">
        <v>8</v>
      </c>
      <c r="D25" s="492" t="s">
        <v>46</v>
      </c>
      <c r="E25" s="512">
        <f t="shared" ref="E25:M25" si="8">IF($E$7=$D$8,E39,IF($E$7=$D$9,E74,E107))</f>
        <v>943871</v>
      </c>
      <c r="F25" s="512" t="str">
        <f t="shared" si="8"/>
        <v/>
      </c>
      <c r="G25" s="512">
        <f t="shared" si="8"/>
        <v>943871</v>
      </c>
      <c r="H25" s="512" t="str">
        <f t="shared" si="8"/>
        <v/>
      </c>
      <c r="I25" s="512" t="str">
        <f t="shared" si="8"/>
        <v/>
      </c>
      <c r="J25" s="512" t="str">
        <f t="shared" si="8"/>
        <v/>
      </c>
      <c r="K25" s="512" t="str">
        <f t="shared" si="8"/>
        <v/>
      </c>
      <c r="L25" s="512" t="str">
        <f t="shared" si="8"/>
        <v/>
      </c>
      <c r="M25" s="512" t="str">
        <f t="shared" si="8"/>
        <v/>
      </c>
      <c r="N25" s="276"/>
      <c r="O25" s="399"/>
      <c r="P25" s="400"/>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DH25" s="171"/>
      <c r="DI25" s="171"/>
      <c r="DJ25" s="171"/>
      <c r="DK25" s="12"/>
      <c r="DL25" s="12"/>
      <c r="DM25" s="12"/>
      <c r="DN25" s="12"/>
      <c r="DO25" s="12"/>
      <c r="DP25" s="12"/>
      <c r="DQ25" s="12"/>
      <c r="DR25" s="12"/>
      <c r="DS25" s="12"/>
    </row>
    <row r="26" spans="3:123">
      <c r="C26" s="484"/>
      <c r="D26" s="459"/>
      <c r="E26" s="459"/>
      <c r="J26" s="459"/>
      <c r="K26" s="459"/>
      <c r="L26" s="485"/>
      <c r="M26" s="25"/>
      <c r="N26" s="25"/>
      <c r="O26" s="25"/>
      <c r="P26" s="25"/>
      <c r="Q26" s="18"/>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DH26" s="171"/>
      <c r="DI26" s="171"/>
      <c r="DJ26" s="171"/>
      <c r="DK26" s="12"/>
      <c r="DL26" s="12"/>
      <c r="DM26" s="12"/>
      <c r="DN26" s="12"/>
      <c r="DO26" s="12"/>
      <c r="DP26" s="12"/>
      <c r="DQ26" s="12"/>
      <c r="DR26" s="12"/>
      <c r="DS26" s="12"/>
    </row>
    <row r="27" spans="3:123" ht="15.75" customHeight="1">
      <c r="D27" s="16"/>
      <c r="E27" s="16"/>
      <c r="F27" s="16"/>
      <c r="G27" s="16"/>
      <c r="H27" s="16"/>
      <c r="I27" s="16"/>
      <c r="J27" s="16"/>
      <c r="K27" s="16"/>
      <c r="L27" s="17"/>
      <c r="M27" s="12"/>
      <c r="N27" s="12"/>
      <c r="O27" s="12"/>
      <c r="P27" s="12"/>
      <c r="Q27" s="18"/>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DH27" s="12"/>
      <c r="DI27" s="12"/>
      <c r="DJ27" s="12"/>
      <c r="DK27" s="171"/>
      <c r="DL27" s="171"/>
      <c r="DM27" s="171"/>
      <c r="DN27" s="171"/>
      <c r="DO27" s="171"/>
      <c r="DP27" s="171"/>
      <c r="DQ27" s="171"/>
      <c r="DR27" s="171"/>
      <c r="DS27" s="171"/>
    </row>
    <row r="28" spans="3:123" ht="13.25" customHeight="1">
      <c r="C28" s="3601" t="s">
        <v>151</v>
      </c>
      <c r="D28" s="3602"/>
      <c r="E28" s="3602"/>
      <c r="F28" s="3602"/>
      <c r="G28" s="3602"/>
      <c r="H28" s="3602"/>
      <c r="I28" s="3602"/>
      <c r="J28" s="3602"/>
      <c r="K28" s="3602"/>
      <c r="L28" s="3602"/>
      <c r="M28" s="3602"/>
      <c r="N28" s="3602"/>
      <c r="O28" s="3602"/>
      <c r="P28" s="3603"/>
      <c r="Q28" s="171"/>
      <c r="R28" s="163" t="s">
        <v>99</v>
      </c>
      <c r="S28" s="28"/>
      <c r="T28" s="28"/>
      <c r="U28" s="29"/>
      <c r="V28" s="28"/>
      <c r="W28" s="28"/>
      <c r="X28" s="28"/>
      <c r="Y28" s="29"/>
      <c r="Z28" s="29"/>
      <c r="AA28" s="29"/>
      <c r="AB28" s="29"/>
      <c r="AC28" s="165"/>
      <c r="AD28" s="166" t="s">
        <v>99</v>
      </c>
      <c r="AE28" s="29"/>
      <c r="AF28" s="29"/>
      <c r="AG28" s="29"/>
      <c r="AH28" s="29"/>
      <c r="AI28" s="29"/>
      <c r="AJ28" s="29"/>
      <c r="AK28" s="29"/>
      <c r="AL28" s="164"/>
      <c r="AM28" s="164"/>
      <c r="AN28" s="28"/>
      <c r="AO28" s="272"/>
      <c r="AP28" s="164" t="s">
        <v>99</v>
      </c>
      <c r="AQ28" s="28"/>
      <c r="AR28" s="28"/>
      <c r="AS28" s="28"/>
      <c r="AT28" s="28"/>
      <c r="AU28" s="28"/>
      <c r="AV28" s="28"/>
      <c r="AW28" s="29"/>
      <c r="AX28" s="29"/>
      <c r="AY28" s="29"/>
      <c r="AZ28" s="214"/>
      <c r="BA28" s="12"/>
      <c r="DH28" s="171"/>
      <c r="DI28" s="171"/>
      <c r="DJ28" s="171"/>
      <c r="DK28" s="12"/>
      <c r="DL28" s="12"/>
      <c r="DM28" s="12"/>
      <c r="DN28" s="12"/>
      <c r="DO28" s="12"/>
      <c r="DP28" s="12"/>
      <c r="DQ28" s="12"/>
      <c r="DR28" s="12"/>
      <c r="DS28" s="12"/>
    </row>
    <row r="29" spans="3:123" ht="13.25" customHeight="1">
      <c r="C29" s="419"/>
      <c r="D29" s="284" t="s">
        <v>148</v>
      </c>
      <c r="E29" s="451" t="s">
        <v>183</v>
      </c>
      <c r="F29" s="480" t="s">
        <v>184</v>
      </c>
      <c r="G29" s="480" t="s">
        <v>184</v>
      </c>
      <c r="H29" s="480" t="s">
        <v>184</v>
      </c>
      <c r="I29" s="480" t="s">
        <v>184</v>
      </c>
      <c r="J29" s="480" t="s">
        <v>184</v>
      </c>
      <c r="K29" s="480" t="s">
        <v>184</v>
      </c>
      <c r="L29" s="480" t="s">
        <v>184</v>
      </c>
      <c r="M29" s="480" t="s">
        <v>184</v>
      </c>
      <c r="O29" s="441"/>
      <c r="P29" s="398"/>
      <c r="Q29" s="12"/>
      <c r="R29" s="253" t="s">
        <v>11</v>
      </c>
      <c r="S29" s="254"/>
      <c r="T29" s="255"/>
      <c r="U29" s="249"/>
      <c r="V29" s="253" t="s">
        <v>4</v>
      </c>
      <c r="W29" s="254"/>
      <c r="X29" s="255"/>
      <c r="Y29" s="258"/>
      <c r="Z29" s="253" t="str">
        <f>'ASTM Vol. XI-XII'!L5</f>
        <v>ASTM Table 8</v>
      </c>
      <c r="AA29" s="254"/>
      <c r="AB29" s="255"/>
      <c r="AC29" s="251"/>
      <c r="AD29" s="253" t="str">
        <f>'ASTM Vol. XI-XII'!P5</f>
        <v>ASTM Table 9</v>
      </c>
      <c r="AE29" s="254"/>
      <c r="AF29" s="255"/>
      <c r="AG29" s="251"/>
      <c r="AH29" s="253" t="str">
        <f>'ASTM Vol. XI-XII'!T5</f>
        <v>ASTM Table 10</v>
      </c>
      <c r="AI29" s="254"/>
      <c r="AJ29" s="255"/>
      <c r="AK29" s="251"/>
      <c r="AL29" s="253" t="s">
        <v>5</v>
      </c>
      <c r="AM29" s="254"/>
      <c r="AN29" s="255"/>
      <c r="AO29" s="249"/>
      <c r="AP29" s="253" t="str">
        <f>'ASTM Vol. XI-XII'!AB5</f>
        <v>ASTM Table 12</v>
      </c>
      <c r="AQ29" s="254"/>
      <c r="AR29" s="255"/>
      <c r="AS29" s="251"/>
      <c r="AT29" s="253" t="s">
        <v>6</v>
      </c>
      <c r="AU29" s="254"/>
      <c r="AV29" s="255"/>
      <c r="AW29" s="249"/>
      <c r="AX29" s="253" t="str">
        <f>'ASTM Vol. XI-XII'!AM5</f>
        <v>ASTM Table 14</v>
      </c>
      <c r="AY29" s="254"/>
      <c r="AZ29" s="255"/>
      <c r="BA29" s="186"/>
      <c r="DH29" s="12"/>
      <c r="DI29" s="12"/>
      <c r="DJ29" s="12"/>
      <c r="DK29" s="171"/>
      <c r="DL29" s="171"/>
      <c r="DM29" s="171"/>
      <c r="DN29" s="171"/>
      <c r="DO29" s="171"/>
      <c r="DP29" s="171"/>
      <c r="DQ29" s="171"/>
      <c r="DR29" s="171"/>
      <c r="DS29" s="171"/>
    </row>
    <row r="30" spans="3:123" ht="13.25" customHeight="1">
      <c r="C30" s="275"/>
      <c r="D30" s="681" t="s">
        <v>252</v>
      </c>
      <c r="E30" s="481" t="str">
        <f>$E$16</f>
        <v>CUBIC METERS at 15°C</v>
      </c>
      <c r="F30" s="508" t="str">
        <f>D32</f>
        <v>LITERS at 15°C</v>
      </c>
      <c r="G30" s="477" t="str">
        <f>D33</f>
        <v>CUBIC METERS at 15°C</v>
      </c>
      <c r="H30" s="477" t="str">
        <f>D34</f>
        <v>METRIC TONS (in AIR)</v>
      </c>
      <c r="I30" s="477" t="str">
        <f>D35</f>
        <v>METRIC TONS (in VAC)</v>
      </c>
      <c r="J30" s="477" t="str">
        <f>D36</f>
        <v>LONG TONS</v>
      </c>
      <c r="K30" s="477" t="str">
        <f>D37</f>
        <v>POUNDS LBS</v>
      </c>
      <c r="L30" s="477" t="str">
        <f>D38</f>
        <v>US GALLONS at 60°F</v>
      </c>
      <c r="M30" s="477" t="str">
        <f>D39</f>
        <v>US BARRELS at 60°F</v>
      </c>
      <c r="O30" s="426"/>
      <c r="P30" s="398"/>
      <c r="Q30" s="171"/>
      <c r="R30" s="229" t="s">
        <v>18</v>
      </c>
      <c r="S30" s="230" t="s">
        <v>19</v>
      </c>
      <c r="T30" s="231" t="s">
        <v>20</v>
      </c>
      <c r="U30" s="250"/>
      <c r="V30" s="229" t="s">
        <v>18</v>
      </c>
      <c r="W30" s="230" t="s">
        <v>21</v>
      </c>
      <c r="X30" s="231" t="s">
        <v>13</v>
      </c>
      <c r="Y30" s="259"/>
      <c r="Z30" s="229" t="str">
        <f>'ASTM Vol. XI-XII'!L6</f>
        <v>API</v>
      </c>
      <c r="AA30" s="230" t="str">
        <f>'ASTM Vol. XI-XII'!M6</f>
        <v>Pounds</v>
      </c>
      <c r="AB30" s="231" t="str">
        <f>'ASTM Vol. XI-XII'!N6</f>
        <v>US Gallons</v>
      </c>
      <c r="AC30" s="252"/>
      <c r="AD30" s="229" t="str">
        <f>'ASTM Vol. XI-XII'!P6</f>
        <v>API</v>
      </c>
      <c r="AE30" s="230" t="str">
        <f>'ASTM Vol. XI-XII'!Q6</f>
        <v>Short Tons</v>
      </c>
      <c r="AF30" s="231" t="str">
        <f>'ASTM Vol. XI-XII'!R6</f>
        <v>Short Tons</v>
      </c>
      <c r="AG30" s="252"/>
      <c r="AH30" s="229" t="str">
        <f>'ASTM Vol. XI-XII'!T6</f>
        <v>API</v>
      </c>
      <c r="AI30" s="230" t="str">
        <f>'ASTM Vol. XI-XII'!U6</f>
        <v>US Gallons</v>
      </c>
      <c r="AJ30" s="231" t="str">
        <f>'ASTM Vol. XI-XII'!V6</f>
        <v>Barrels</v>
      </c>
      <c r="AK30" s="252"/>
      <c r="AL30" s="229" t="s">
        <v>18</v>
      </c>
      <c r="AM30" s="230" t="s">
        <v>14</v>
      </c>
      <c r="AN30" s="231" t="s">
        <v>14</v>
      </c>
      <c r="AO30" s="250"/>
      <c r="AP30" s="229" t="str">
        <f>'ASTM Vol. XI-XII'!AB6</f>
        <v>API</v>
      </c>
      <c r="AQ30" s="230" t="str">
        <f>'ASTM Vol. XI-XII'!AC6</f>
        <v>US Gallons</v>
      </c>
      <c r="AR30" s="231" t="str">
        <f>'ASTM Vol. XI-XII'!AD6</f>
        <v>Barrels</v>
      </c>
      <c r="AS30" s="252"/>
      <c r="AT30" s="229" t="s">
        <v>18</v>
      </c>
      <c r="AU30" s="230" t="s">
        <v>15</v>
      </c>
      <c r="AV30" s="231" t="s">
        <v>15</v>
      </c>
      <c r="AW30" s="250"/>
      <c r="AX30" s="229" t="str">
        <f>'ASTM Vol. XI-XII'!AM6</f>
        <v>API</v>
      </c>
      <c r="AY30" s="230" t="str">
        <f>'ASTM Vol. XI-XII'!AN6</f>
        <v>Cubic Mtrs</v>
      </c>
      <c r="AZ30" s="231" t="str">
        <f>'ASTM Vol. XI-XII'!AO6</f>
        <v>Cubic Mtrs</v>
      </c>
      <c r="BA30" s="252"/>
      <c r="DH30" s="12"/>
      <c r="DI30" s="24"/>
      <c r="DJ30" s="12"/>
      <c r="DK30" s="12"/>
      <c r="DL30" s="12"/>
      <c r="DM30" s="12"/>
      <c r="DN30" s="12"/>
      <c r="DO30" s="12"/>
      <c r="DP30" s="12"/>
      <c r="DQ30" s="12"/>
      <c r="DR30" s="12"/>
      <c r="DS30" s="12"/>
    </row>
    <row r="31" spans="3:123" ht="13.25" customHeight="1">
      <c r="C31" s="276"/>
      <c r="D31" s="383"/>
      <c r="E31" s="482">
        <f>$E$17</f>
        <v>150000</v>
      </c>
      <c r="F31" s="478" t="str">
        <f>IF(F30=$E30,$E31,"")</f>
        <v/>
      </c>
      <c r="G31" s="479">
        <f>IF(G30=$E30,$E31,"")</f>
        <v>150000</v>
      </c>
      <c r="H31" s="479" t="str">
        <f t="shared" ref="H31:M31" si="9">IF(H30=$E30,$E31,"")</f>
        <v/>
      </c>
      <c r="I31" s="479" t="str">
        <f t="shared" si="9"/>
        <v/>
      </c>
      <c r="J31" s="479" t="str">
        <f t="shared" si="9"/>
        <v/>
      </c>
      <c r="K31" s="478" t="str">
        <f t="shared" si="9"/>
        <v/>
      </c>
      <c r="L31" s="478" t="str">
        <f t="shared" si="9"/>
        <v/>
      </c>
      <c r="M31" s="478" t="str">
        <f t="shared" si="9"/>
        <v/>
      </c>
      <c r="N31" s="276"/>
      <c r="O31" s="428"/>
      <c r="P31" s="400"/>
      <c r="Q31" s="12"/>
      <c r="R31" s="180" t="s">
        <v>26</v>
      </c>
      <c r="S31" s="181" t="s">
        <v>20</v>
      </c>
      <c r="T31" s="182"/>
      <c r="U31" s="185"/>
      <c r="V31" s="180" t="s">
        <v>26</v>
      </c>
      <c r="W31" s="181" t="s">
        <v>25</v>
      </c>
      <c r="X31" s="182" t="s">
        <v>25</v>
      </c>
      <c r="Y31" s="260"/>
      <c r="Z31" s="180" t="str">
        <f>'ASTM Vol. XI-XII'!L7</f>
        <v>Gravity</v>
      </c>
      <c r="AA31" s="181" t="str">
        <f>'ASTM Vol. XI-XII'!M7</f>
        <v>per</v>
      </c>
      <c r="AB31" s="182" t="str">
        <f>'ASTM Vol. XI-XII'!N7</f>
        <v>per</v>
      </c>
      <c r="AC31" s="186"/>
      <c r="AD31" s="180" t="str">
        <f>'ASTM Vol. XI-XII'!P7</f>
        <v>Gravity</v>
      </c>
      <c r="AE31" s="181" t="str">
        <f>'ASTM Vol. XI-XII'!Q7</f>
        <v>per 1000</v>
      </c>
      <c r="AF31" s="182" t="str">
        <f>'ASTM Vol. XI-XII'!R7</f>
        <v>per</v>
      </c>
      <c r="AG31" s="186"/>
      <c r="AH31" s="180" t="str">
        <f>'ASTM Vol. XI-XII'!T7</f>
        <v>Gravity</v>
      </c>
      <c r="AI31" s="181" t="str">
        <f>'ASTM Vol. XI-XII'!U7</f>
        <v>per</v>
      </c>
      <c r="AJ31" s="182" t="str">
        <f>'ASTM Vol. XI-XII'!V7</f>
        <v>per</v>
      </c>
      <c r="AK31" s="186"/>
      <c r="AL31" s="180" t="s">
        <v>26</v>
      </c>
      <c r="AM31" s="181" t="s">
        <v>98</v>
      </c>
      <c r="AN31" s="182" t="s">
        <v>25</v>
      </c>
      <c r="AO31" s="185"/>
      <c r="AP31" s="180" t="str">
        <f>'ASTM Vol. XI-XII'!AB7</f>
        <v>Gravity</v>
      </c>
      <c r="AQ31" s="181" t="str">
        <f>'ASTM Vol. XI-XII'!AC7</f>
        <v>per</v>
      </c>
      <c r="AR31" s="182" t="str">
        <f>'ASTM Vol. XI-XII'!AD7</f>
        <v>per</v>
      </c>
      <c r="AS31" s="186"/>
      <c r="AT31" s="180" t="s">
        <v>26</v>
      </c>
      <c r="AU31" s="181" t="s">
        <v>98</v>
      </c>
      <c r="AV31" s="182" t="s">
        <v>25</v>
      </c>
      <c r="AW31" s="185"/>
      <c r="AX31" s="180" t="str">
        <f>'ASTM Vol. XI-XII'!AM7</f>
        <v>Gravity</v>
      </c>
      <c r="AY31" s="181" t="str">
        <f>'ASTM Vol. XI-XII'!AN7</f>
        <v>per</v>
      </c>
      <c r="AZ31" s="182" t="str">
        <f>'ASTM Vol. XI-XII'!AO7</f>
        <v>per</v>
      </c>
      <c r="BA31" s="186"/>
      <c r="DH31" s="12"/>
      <c r="DI31" s="12"/>
      <c r="DJ31" s="12"/>
      <c r="DK31" s="12"/>
      <c r="DL31" s="12"/>
      <c r="DM31" s="12"/>
      <c r="DN31" s="12"/>
      <c r="DO31" s="12"/>
      <c r="DP31" s="12"/>
      <c r="DQ31" s="12"/>
      <c r="DR31" s="12"/>
      <c r="DS31" s="12"/>
    </row>
    <row r="32" spans="3:123" ht="13.25" customHeight="1">
      <c r="C32" s="327">
        <v>1</v>
      </c>
      <c r="D32" s="454" t="str">
        <f t="shared" ref="D32:D39" si="10">D18</f>
        <v>LITERS at 15°C</v>
      </c>
      <c r="E32" s="457">
        <f>MAX(F32:M32)</f>
        <v>150000000</v>
      </c>
      <c r="F32" s="457" t="str">
        <f>IF($E$16=F30,ROUND(F31,0),"")</f>
        <v/>
      </c>
      <c r="G32" s="457">
        <f>IF($E$16=G30,ROUND(G31*1000,0),"")</f>
        <v>150000000</v>
      </c>
      <c r="H32" s="457" t="str">
        <f>IF($E$16=H30,ROUND(H33*1000,0),"")</f>
        <v/>
      </c>
      <c r="I32" s="457" t="str">
        <f>IF($E$16=I30,ROUND(I33*1000,0),"")</f>
        <v/>
      </c>
      <c r="J32" s="457" t="str">
        <f>IF($E$16=J30,ROUND(J33*1000,0),"")</f>
        <v/>
      </c>
      <c r="K32" s="457" t="str">
        <f>IF($E$16=K30,ROUND(K38*$M$45,0),"")</f>
        <v/>
      </c>
      <c r="L32" s="457" t="str">
        <f>IF($E$16=L30,ROUND(L38*$M$45,3),"")</f>
        <v/>
      </c>
      <c r="M32" s="457" t="str">
        <f>IF($E$16=M30,ROUND(M39*M46*1000,0),"")</f>
        <v/>
      </c>
      <c r="O32" s="12"/>
      <c r="P32" s="398"/>
      <c r="Q32" s="12"/>
      <c r="R32" s="233"/>
      <c r="S32" s="234"/>
      <c r="T32" s="235"/>
      <c r="U32" s="250"/>
      <c r="V32" s="233" t="s">
        <v>27</v>
      </c>
      <c r="W32" s="234" t="s">
        <v>30</v>
      </c>
      <c r="X32" s="235" t="s">
        <v>28</v>
      </c>
      <c r="Y32" s="259"/>
      <c r="Z32" s="233"/>
      <c r="AA32" s="234" t="str">
        <f>'ASTM Vol. XI-XII'!M8</f>
        <v>US Gallon</v>
      </c>
      <c r="AB32" s="235" t="str">
        <f>'ASTM Vol. XI-XII'!N8</f>
        <v>Pound</v>
      </c>
      <c r="AC32" s="252"/>
      <c r="AD32" s="233"/>
      <c r="AE32" s="234" t="str">
        <f>'ASTM Vol. XI-XII'!Q8</f>
        <v>US Gallons</v>
      </c>
      <c r="AF32" s="235" t="str">
        <f>'ASTM Vol. XI-XII'!R8</f>
        <v>Barrel</v>
      </c>
      <c r="AG32" s="252"/>
      <c r="AH32" s="233"/>
      <c r="AI32" s="234" t="str">
        <f>'ASTM Vol. XI-XII'!U8</f>
        <v>Short Ton</v>
      </c>
      <c r="AJ32" s="235" t="str">
        <f>'ASTM Vol. XI-XII'!V8</f>
        <v>Short Ton</v>
      </c>
      <c r="AK32" s="252"/>
      <c r="AL32" s="233"/>
      <c r="AM32" s="234" t="s">
        <v>24</v>
      </c>
      <c r="AN32" s="235" t="s">
        <v>28</v>
      </c>
      <c r="AO32" s="250"/>
      <c r="AP32" s="233"/>
      <c r="AQ32" s="234" t="str">
        <f>'ASTM Vol. XI-XII'!AC8</f>
        <v>Long Ton</v>
      </c>
      <c r="AR32" s="235" t="str">
        <f>'ASTM Vol. XI-XII'!AD8</f>
        <v>Long Ton</v>
      </c>
      <c r="AS32" s="252"/>
      <c r="AT32" s="233"/>
      <c r="AU32" s="234" t="s">
        <v>24</v>
      </c>
      <c r="AV32" s="235" t="s">
        <v>28</v>
      </c>
      <c r="AW32" s="250"/>
      <c r="AX32" s="233"/>
      <c r="AY32" s="234" t="str">
        <f>'ASTM Vol. XI-XII'!AN8</f>
        <v>Short Ton</v>
      </c>
      <c r="AZ32" s="235" t="str">
        <f>'ASTM Vol. XI-XII'!AO8</f>
        <v xml:space="preserve">Long Ton </v>
      </c>
      <c r="BA32" s="252"/>
      <c r="DH32" s="12"/>
      <c r="DI32" s="12"/>
      <c r="DJ32" s="12"/>
      <c r="DK32" s="12"/>
      <c r="DL32" s="12"/>
      <c r="DM32" s="12"/>
      <c r="DN32" s="12"/>
      <c r="DO32" s="12"/>
      <c r="DP32" s="12"/>
      <c r="DQ32" s="12"/>
      <c r="DR32" s="12"/>
      <c r="DS32" s="12"/>
    </row>
    <row r="33" spans="3:123" ht="13.25" customHeight="1">
      <c r="C33" s="327">
        <v>2</v>
      </c>
      <c r="D33" s="454" t="str">
        <f t="shared" si="10"/>
        <v>CUBIC METERS at 15°C</v>
      </c>
      <c r="E33" s="456">
        <f>MAX(F33:M33)</f>
        <v>150000</v>
      </c>
      <c r="F33" s="456" t="str">
        <f>IF($E$16=F30,ROUND(F31/1000,3),"")</f>
        <v/>
      </c>
      <c r="G33" s="456">
        <f>IF($E$16=G30,ROUND(G31,3),"")</f>
        <v>150000</v>
      </c>
      <c r="H33" s="509" t="str">
        <f>IF($E$16=H30,ROUND(H36*$M$60,3),"")</f>
        <v/>
      </c>
      <c r="I33" s="456" t="str">
        <f>IF($E$16=I30,ROUND(I35/$M$11,3),"")</f>
        <v/>
      </c>
      <c r="J33" s="456" t="str">
        <f>IF($E$16=J30,ROUND(J36*$M$60,3),"")</f>
        <v/>
      </c>
      <c r="K33" s="456" t="str">
        <f>IF($E$16=K30,ROUND(K32/1000,3),"")</f>
        <v/>
      </c>
      <c r="L33" s="456" t="str">
        <f>IF($E$16=L30,ROUND(L38*M45/1000,3),"")</f>
        <v/>
      </c>
      <c r="M33" s="456" t="str">
        <f>IF($E$16=M30,ROUND(M39*M46,3),"")</f>
        <v/>
      </c>
      <c r="O33" s="12"/>
      <c r="P33" s="398"/>
      <c r="Q33" s="12"/>
      <c r="R33" s="23" t="s">
        <v>32</v>
      </c>
      <c r="S33" s="183" t="s">
        <v>33</v>
      </c>
      <c r="T33" s="184" t="s">
        <v>31</v>
      </c>
      <c r="U33" s="185"/>
      <c r="V33" s="23" t="s">
        <v>32</v>
      </c>
      <c r="W33" s="183" t="s">
        <v>31</v>
      </c>
      <c r="X33" s="184" t="s">
        <v>31</v>
      </c>
      <c r="Y33" s="260"/>
      <c r="Z33" s="23" t="str">
        <f>'ASTM Vol. XI-XII'!L9</f>
        <v>(60°F)</v>
      </c>
      <c r="AA33" s="183" t="str">
        <f>'ASTM Vol. XI-XII'!M9</f>
        <v>(60°F)</v>
      </c>
      <c r="AB33" s="184" t="str">
        <f>'ASTM Vol. XI-XII'!N9</f>
        <v>(60°F)</v>
      </c>
      <c r="AC33" s="186"/>
      <c r="AD33" s="23" t="str">
        <f>'ASTM Vol. XI-XII'!P9</f>
        <v>(60°F)</v>
      </c>
      <c r="AE33" s="183" t="str">
        <f>'ASTM Vol. XI-XII'!Q9</f>
        <v>(60°F)</v>
      </c>
      <c r="AF33" s="184" t="str">
        <f>'ASTM Vol. XI-XII'!R9</f>
        <v>(60°F)</v>
      </c>
      <c r="AG33" s="186"/>
      <c r="AH33" s="23" t="str">
        <f>'ASTM Vol. XI-XII'!T9</f>
        <v>(60°F)</v>
      </c>
      <c r="AI33" s="183" t="str">
        <f>'ASTM Vol. XI-XII'!U9</f>
        <v>(60°F)</v>
      </c>
      <c r="AJ33" s="184" t="str">
        <f>'ASTM Vol. XI-XII'!V9</f>
        <v>(60°F)</v>
      </c>
      <c r="AK33" s="186"/>
      <c r="AL33" s="23" t="s">
        <v>32</v>
      </c>
      <c r="AM33" s="183" t="s">
        <v>32</v>
      </c>
      <c r="AN33" s="184" t="s">
        <v>32</v>
      </c>
      <c r="AO33" s="185"/>
      <c r="AP33" s="23" t="str">
        <f>'ASTM Vol. XI-XII'!AB9</f>
        <v>(60°F)</v>
      </c>
      <c r="AQ33" s="183" t="str">
        <f>'ASTM Vol. XI-XII'!AC9</f>
        <v>(60°F)</v>
      </c>
      <c r="AR33" s="184" t="str">
        <f>'ASTM Vol. XI-XII'!AD9</f>
        <v>(60°F)</v>
      </c>
      <c r="AS33" s="186"/>
      <c r="AT33" s="23" t="s">
        <v>32</v>
      </c>
      <c r="AU33" s="183" t="s">
        <v>32</v>
      </c>
      <c r="AV33" s="184" t="s">
        <v>32</v>
      </c>
      <c r="AW33" s="185"/>
      <c r="AX33" s="23" t="str">
        <f>'ASTM Vol. XI-XII'!AM9</f>
        <v>(60°F)</v>
      </c>
      <c r="AY33" s="183" t="str">
        <f>'ASTM Vol. XI-XII'!AN9</f>
        <v>(15°C)</v>
      </c>
      <c r="AZ33" s="184" t="str">
        <f>'ASTM Vol. XI-XII'!AO9</f>
        <v>(15°C)</v>
      </c>
      <c r="BA33" s="186"/>
      <c r="DH33" s="12"/>
      <c r="DI33" s="12"/>
      <c r="DJ33" s="12"/>
      <c r="DK33" s="12"/>
      <c r="DL33" s="12"/>
      <c r="DM33" s="12"/>
      <c r="DN33" s="12"/>
      <c r="DO33" s="12"/>
      <c r="DP33" s="12"/>
      <c r="DQ33" s="12"/>
      <c r="DR33" s="12"/>
      <c r="DS33" s="12"/>
    </row>
    <row r="34" spans="3:123" ht="13.25" customHeight="1">
      <c r="C34" s="327">
        <v>3</v>
      </c>
      <c r="D34" s="454" t="str">
        <f t="shared" si="10"/>
        <v>METRIC TONS (in AIR)</v>
      </c>
      <c r="E34" s="456">
        <f t="shared" ref="E34:E39" si="11">MAX(F34:M34)</f>
        <v>129104</v>
      </c>
      <c r="F34" s="456" t="str">
        <f>IF($E$16=F30,ROUND(F36*$I$11,0),"")</f>
        <v/>
      </c>
      <c r="G34" s="456">
        <f>IF($E$16=G30,ROUND(G36*$I$11,0),"")</f>
        <v>129104</v>
      </c>
      <c r="H34" s="509" t="str">
        <f>IF($E$16=H30,ROUND(H31,3),"")</f>
        <v/>
      </c>
      <c r="I34" s="456" t="str">
        <f>IF($E$16=I30,ROUND(I36*$I$11,3),"")</f>
        <v/>
      </c>
      <c r="J34" s="456" t="str">
        <f>IF($E$16=J30,ROUND(J36*$I$11,3),"")</f>
        <v/>
      </c>
      <c r="K34" s="456" t="str">
        <f>IF($E$16=K30,ROUND(K38*$M57/1000,3),"")</f>
        <v/>
      </c>
      <c r="L34" s="456" t="str">
        <f>IF($E$16=L30,ROUND(L38*$M$57/1000,3),"")</f>
        <v/>
      </c>
      <c r="M34" s="456" t="str">
        <f>IF($E$16=M30,ROUND(M39*$M$58,3),"")</f>
        <v/>
      </c>
      <c r="O34" s="12"/>
      <c r="P34" s="398"/>
      <c r="Q34" s="12"/>
      <c r="R34" s="347">
        <f>VLOOKUP(R35,'ASTM Vol. XI-XII'!D$10:D$860,TRUE)</f>
        <v>32.6</v>
      </c>
      <c r="S34" s="270">
        <f>VLOOKUP(R34,'ASTM Vol. XI-XII'!D$10:E$860,2)</f>
        <v>0.86229999999999996</v>
      </c>
      <c r="T34" s="344">
        <f>VLOOKUP(R34,'ASTM Vol. XI-XII'!D$10:F$860,3)</f>
        <v>861.8</v>
      </c>
      <c r="U34" s="350"/>
      <c r="V34" s="347">
        <f>VLOOKUP(V35,'ASTM Vol. XI-XII'!H$10:H$860,TRUE)</f>
        <v>32.6</v>
      </c>
      <c r="W34" s="270">
        <f>VLOOKUP(V34,'ASTM Vol. XI-XII'!H$10:I$860,2)</f>
        <v>3.7837000000000001</v>
      </c>
      <c r="X34" s="268">
        <f>VLOOKUP(V34,'ASTM Vol. XI-XII'!H$10:J$860,3)</f>
        <v>0.15892000000000001</v>
      </c>
      <c r="Y34" s="352"/>
      <c r="Z34" s="347">
        <f>VLOOKUP(Z35,'ASTM Vol. XI-XII'!L$10:L$860,TRUE)</f>
        <v>32.6</v>
      </c>
      <c r="AA34" s="270">
        <f>VLOOKUP(Z34,'ASTM Vol. XI-XII'!L$10:M$860,2)</f>
        <v>7.18</v>
      </c>
      <c r="AB34" s="268">
        <f>VLOOKUP(Z34,'ASTM Vol. XI-XII'!L$10:N$860,3)</f>
        <v>0.13927999999999999</v>
      </c>
      <c r="AC34" s="350"/>
      <c r="AD34" s="347">
        <f>VLOOKUP(AD35,'ASTM Vol. XI-XII'!P$10:P$860,TRUE)</f>
        <v>32.6</v>
      </c>
      <c r="AE34" s="270">
        <f>VLOOKUP(AD34,'ASTM Vol. XI-XII'!P$10:Q$860,2)</f>
        <v>3.5899000000000001</v>
      </c>
      <c r="AF34" s="268">
        <f>VLOOKUP(AD34,'ASTM Vol. XI-XII'!P$10:R$860,3)</f>
        <v>0.15078</v>
      </c>
      <c r="AG34" s="350"/>
      <c r="AH34" s="347">
        <f>VLOOKUP(AH35,'ASTM Vol. XI-XII'!T$10:T$860,TRUE)</f>
        <v>32.6</v>
      </c>
      <c r="AI34" s="349">
        <f>VLOOKUP(AH34,'ASTM Vol. XI-XII'!T$10:U$860,2)</f>
        <v>278.56000000000199</v>
      </c>
      <c r="AJ34" s="351">
        <f>VLOOKUP(AH34,'ASTM Vol. XI-XII'!T$10:V$860,3)</f>
        <v>6.6320000000000103</v>
      </c>
      <c r="AK34" s="350"/>
      <c r="AL34" s="347">
        <f>VLOOKUP(AL35,'ASTM Vol. XI-XII'!X$10:X$860,TRUE)</f>
        <v>32.6</v>
      </c>
      <c r="AM34" s="270">
        <f>VLOOKUP(AL34,'ASTM Vol. XI-XII'!X$10:Y$860,2)</f>
        <v>3.2052999999999998</v>
      </c>
      <c r="AN34" s="268">
        <f>VLOOKUP(AL34,'ASTM Vol. XI-XII'!X$10:Z$860,3)</f>
        <v>0.13461999999999999</v>
      </c>
      <c r="AO34" s="350"/>
      <c r="AP34" s="347">
        <f>VLOOKUP(AP35,'ASTM Vol. XI-XII'!AB$10:AB$860,TRUE)</f>
        <v>32.6</v>
      </c>
      <c r="AQ34" s="349">
        <f>VLOOKUP(AP34,'ASTM Vol. XI-XII'!AB$10:AC$860,2)</f>
        <v>311.98</v>
      </c>
      <c r="AR34" s="351">
        <f>VLOOKUP(AP34,'ASTM Vol. XI-XII'!AB$10:AD$860,3)</f>
        <v>7.4279999999999999</v>
      </c>
      <c r="AS34" s="350"/>
      <c r="AT34" s="347">
        <f>VLOOKUP(AT35,'ASTM Vol. XI-XII'!AF$10:AF$860,TRUE)</f>
        <v>32.6</v>
      </c>
      <c r="AU34" s="270">
        <f>VLOOKUP(AT34,'ASTM Vol. XI-XII'!AF$10:AG$860,2)</f>
        <v>3.2566999999999999</v>
      </c>
      <c r="AV34" s="268">
        <f>VLOOKUP(AT34,'ASTM Vol. XI-XII'!AF$10:AH$860,3)</f>
        <v>0.13678000000000001</v>
      </c>
      <c r="AW34" s="350"/>
      <c r="AX34" s="347">
        <f>VLOOKUP(AX35,'ASTM Vol. XI-XII'!AM$10:AM$860,TRUE)</f>
        <v>32.6</v>
      </c>
      <c r="AY34" s="270">
        <f>VLOOKUP(AX34,'ASTM Vol. XI-XII'!AM$10:AN$860,2)</f>
        <v>1.054</v>
      </c>
      <c r="AZ34" s="270">
        <f>VLOOKUP(AX34,'ASTM Vol. XI-XII'!AM$10:AO$860,3)</f>
        <v>1.1805000000000001</v>
      </c>
      <c r="BA34" s="261"/>
      <c r="DH34" s="171"/>
      <c r="DI34" s="171"/>
      <c r="DJ34" s="171"/>
      <c r="DK34" s="12"/>
      <c r="DL34" s="12"/>
      <c r="DM34" s="12"/>
      <c r="DN34" s="12"/>
      <c r="DO34" s="12"/>
      <c r="DP34" s="12"/>
      <c r="DQ34" s="12"/>
      <c r="DR34" s="12"/>
      <c r="DS34" s="12"/>
    </row>
    <row r="35" spans="3:123" ht="13.25" customHeight="1">
      <c r="C35" s="327">
        <v>4</v>
      </c>
      <c r="D35" s="454" t="str">
        <f t="shared" si="10"/>
        <v>METRIC TONS (in VAC)</v>
      </c>
      <c r="E35" s="456">
        <f t="shared" si="11"/>
        <v>129270</v>
      </c>
      <c r="F35" s="456" t="str">
        <f>IF($E$16=F30,ROUND(F33*$M$11,3),"")</f>
        <v/>
      </c>
      <c r="G35" s="456">
        <f>IF($E$16=G30,ROUND(G33*$M$11,3),"")</f>
        <v>129270</v>
      </c>
      <c r="H35" s="509" t="str">
        <f>IF($E$16=H30,ROUND(H33*$M$11,3),"")</f>
        <v/>
      </c>
      <c r="I35" s="456" t="str">
        <f>IF($E$16=I30,ROUND(I31,3),"")</f>
        <v/>
      </c>
      <c r="J35" s="456" t="str">
        <f>IF($E$16=J30,ROUND(J33*$M$11,3),"")</f>
        <v/>
      </c>
      <c r="K35" s="456" t="str">
        <f>IF($E$16=K30,ROUND(K33*$M$11,3),"")</f>
        <v/>
      </c>
      <c r="L35" s="456" t="str">
        <f>IF($E$16=L30,ROUND(L33*$M$11,3),"")</f>
        <v/>
      </c>
      <c r="M35" s="456" t="str">
        <f>IF($E$16=M30,ROUND(M33*$M$11,3),"")</f>
        <v/>
      </c>
      <c r="O35" s="12"/>
      <c r="P35" s="398"/>
      <c r="Q35" s="12"/>
      <c r="R35" s="353">
        <f>$M$41</f>
        <v>32.6</v>
      </c>
      <c r="S35" s="271">
        <f>ROUND(S34+((R35-R34)/(R36-R34))*(S36-S34),4)</f>
        <v>0.86229999999999996</v>
      </c>
      <c r="T35" s="343">
        <f>ROUND(T34+((R35-R34)/(R36-R34))*(T36-T34),1)</f>
        <v>861.8</v>
      </c>
      <c r="U35" s="350"/>
      <c r="V35" s="353">
        <f>$M$41</f>
        <v>32.6</v>
      </c>
      <c r="W35" s="271">
        <f>W34+((V35-V34)/(V36-V34))*(W36-W34)</f>
        <v>3.7837000000000001</v>
      </c>
      <c r="X35" s="269">
        <f>X34+((V35-V34)/(V36-V34))*(X36-X34)</f>
        <v>0.15892000000000001</v>
      </c>
      <c r="Y35" s="352"/>
      <c r="Z35" s="353">
        <f>$M$41</f>
        <v>32.6</v>
      </c>
      <c r="AA35" s="271">
        <f>AA34+((Z35-Z34)/(Z36-Z34))*(AA36-AA34)</f>
        <v>7.18</v>
      </c>
      <c r="AB35" s="269">
        <f>AB34+((Z35-Z34)/(Z36-Z34))*(AB36-AB34)</f>
        <v>0.13927999999999999</v>
      </c>
      <c r="AC35" s="350"/>
      <c r="AD35" s="353">
        <f>$M$41</f>
        <v>32.6</v>
      </c>
      <c r="AE35" s="271">
        <f>AE34+((AD35-AD34)/(AD36-AD34))*(AE36-AE34)</f>
        <v>3.5899000000000001</v>
      </c>
      <c r="AF35" s="269">
        <f>AF34+((AD35-AD34)/(AD36-AD34))*(AF36-AF34)</f>
        <v>0.15078</v>
      </c>
      <c r="AG35" s="350"/>
      <c r="AH35" s="353">
        <f>$M$41</f>
        <v>32.6</v>
      </c>
      <c r="AI35" s="354">
        <f>AI34+((AH35-AH34)/(AH36-AH34))*(AI36-AI34)</f>
        <v>278.56000000000199</v>
      </c>
      <c r="AJ35" s="355">
        <f>AJ34+((AH35-AH34)/(AH36-AH34))*(AJ36-AJ34)</f>
        <v>6.6320000000000103</v>
      </c>
      <c r="AK35" s="350"/>
      <c r="AL35" s="353">
        <f>$M$41</f>
        <v>32.6</v>
      </c>
      <c r="AM35" s="271">
        <f>AM34+((AL35-AL34)/(AL36-AL34))*(AM36-AM34)</f>
        <v>3.2052999999999998</v>
      </c>
      <c r="AN35" s="269">
        <f>AN34+((AL35-AL34)/(AL36-AL34))*(AN36-AN34)</f>
        <v>0.13461999999999999</v>
      </c>
      <c r="AO35" s="350"/>
      <c r="AP35" s="353">
        <f>$M$41</f>
        <v>32.6</v>
      </c>
      <c r="AQ35" s="354">
        <f>AQ34+((AP35-AP34)/(AP36-AP34))*(AQ36-AQ34)</f>
        <v>311.98</v>
      </c>
      <c r="AR35" s="355">
        <f>AR34+((AP35-AP34)/(AP36-AP34))*(AR36-AR34)</f>
        <v>7.4279999999999999</v>
      </c>
      <c r="AS35" s="350"/>
      <c r="AT35" s="353">
        <f>$M$41</f>
        <v>32.6</v>
      </c>
      <c r="AU35" s="271">
        <f>AU34+((AT35-AT34)/(AT36-AT34))*(AU36-AU34)</f>
        <v>3.2566999999999999</v>
      </c>
      <c r="AV35" s="269">
        <f>AV34+((AT35-AT34)/(AT36-AT34))*(AV36-AV34)</f>
        <v>0.13678000000000001</v>
      </c>
      <c r="AW35" s="350"/>
      <c r="AX35" s="353">
        <f>$M$41</f>
        <v>32.6</v>
      </c>
      <c r="AY35" s="271">
        <f>AY34+((AX35-AX34)/(AX36-AX34))*(AY36-AY34)</f>
        <v>1.054</v>
      </c>
      <c r="AZ35" s="271">
        <f>AZ34+((AX35-AX34)/(AX36-AX34))*(AZ36-AZ34)</f>
        <v>1.1805000000000001</v>
      </c>
      <c r="BA35" s="261"/>
      <c r="DH35" s="12"/>
      <c r="DI35" s="12"/>
      <c r="DJ35" s="12"/>
      <c r="DK35" s="171"/>
      <c r="DL35" s="171"/>
      <c r="DM35" s="171"/>
      <c r="DN35" s="171"/>
      <c r="DO35" s="171"/>
      <c r="DP35" s="171"/>
      <c r="DQ35" s="171"/>
      <c r="DR35" s="171"/>
      <c r="DS35" s="171"/>
    </row>
    <row r="36" spans="3:123" ht="13.25" customHeight="1">
      <c r="C36" s="327">
        <v>5</v>
      </c>
      <c r="D36" s="454" t="str">
        <f t="shared" si="10"/>
        <v>LONG TONS</v>
      </c>
      <c r="E36" s="456">
        <f t="shared" si="11"/>
        <v>127064.803</v>
      </c>
      <c r="F36" s="456" t="str">
        <f>IF($E$16=F30,ROUND(F33/$M$60,3),"")</f>
        <v/>
      </c>
      <c r="G36" s="456">
        <f>IF($E$16=G30,ROUND(G33/$M$60,3),"")</f>
        <v>127064.803</v>
      </c>
      <c r="H36" s="509" t="str">
        <f>IF($E$16=H30,ROUND(H39*$M$54,0),"")</f>
        <v/>
      </c>
      <c r="I36" s="456" t="str">
        <f>IF($E$16=I30,ROUND(I33/$M$60,3),"")</f>
        <v/>
      </c>
      <c r="J36" s="456" t="str">
        <f>IF($E$16=J30,ROUND(J31,3),"")</f>
        <v/>
      </c>
      <c r="K36" s="456" t="str">
        <f>IF($E$16=K30,ROUND(K38*$M$53/1000,3),"")</f>
        <v/>
      </c>
      <c r="L36" s="456" t="str">
        <f>IF($E$16=L30,ROUND(L38*$M$53/1000,3),"")</f>
        <v/>
      </c>
      <c r="M36" s="456" t="str">
        <f>IF($E$16=M30,ROUND(M39*$M$54,3),"")</f>
        <v/>
      </c>
      <c r="O36" s="12"/>
      <c r="P36" s="398"/>
      <c r="Q36" s="171"/>
      <c r="R36" s="347">
        <f>INDEX('ASTM Vol. XI-XII'!D$10:D$860,(MATCH(R34,'ASTM Vol. XI-XII'!D$10:D$860,1)+1))</f>
        <v>32.700000000000003</v>
      </c>
      <c r="S36" s="270">
        <f>VLOOKUP(R36,'ASTM Vol. XI-XII'!D$10:E$860,2)</f>
        <v>0.86180000000000001</v>
      </c>
      <c r="T36" s="344">
        <f>VLOOKUP(R36,'ASTM Vol. XI-XII'!D$10:F$860,3)</f>
        <v>861.3</v>
      </c>
      <c r="U36" s="356"/>
      <c r="V36" s="347">
        <f>INDEX('ASTM Vol. XI-XII'!H$10:H$860,(MATCH(V34,'ASTM Vol. XI-XII'!H$10:H$860,1)+1))</f>
        <v>32.700000000000003</v>
      </c>
      <c r="W36" s="270">
        <f>VLOOKUP(V36,'ASTM Vol. XI-XII'!H$10:I$860,2)</f>
        <v>3.7837000000000001</v>
      </c>
      <c r="X36" s="268">
        <f>VLOOKUP(V36,'ASTM Vol. XI-XII'!H$10:J$860,3)</f>
        <v>0.15892000000000001</v>
      </c>
      <c r="Y36" s="357"/>
      <c r="Z36" s="347">
        <f>INDEX('ASTM Vol. XI-XII'!L$10:L$860,(MATCH(Z34,'ASTM Vol. XI-XII'!L$10:L$860,1)+1))</f>
        <v>32.700000000000003</v>
      </c>
      <c r="AA36" s="270">
        <f>VLOOKUP(Z36,'ASTM Vol. XI-XII'!L$10:M$860,2)</f>
        <v>7.1749999999999998</v>
      </c>
      <c r="AB36" s="268">
        <f>VLOOKUP(Z36,'ASTM Vol. XI-XII'!L$10:N$860,3)</f>
        <v>0.13936000000000001</v>
      </c>
      <c r="AC36" s="356"/>
      <c r="AD36" s="347">
        <f>INDEX('ASTM Vol. XI-XII'!P$10:P$860,(MATCH(AD34,'ASTM Vol. XI-XII'!P$10:P$860,1)+1))</f>
        <v>32.700000000000003</v>
      </c>
      <c r="AE36" s="270">
        <f>VLOOKUP(AD36,'ASTM Vol. XI-XII'!P$10:Q$860,2)</f>
        <v>3.5876999999999999</v>
      </c>
      <c r="AF36" s="268">
        <f>VLOOKUP(AD36,'ASTM Vol. XI-XII'!P$10:R$860,3)</f>
        <v>0.15068000000000001</v>
      </c>
      <c r="AG36" s="356"/>
      <c r="AH36" s="347">
        <f>INDEX('ASTM Vol. XI-XII'!T$10:T$860,(MATCH(AH34,'ASTM Vol. XI-XII'!T$10:T$860,1)+1))</f>
        <v>32.700000000000003</v>
      </c>
      <c r="AI36" s="349">
        <f>VLOOKUP(AH36,'ASTM Vol. XI-XII'!T$10:U$860,2)</f>
        <v>278.73000000000098</v>
      </c>
      <c r="AJ36" s="351">
        <f>VLOOKUP(AH36,'ASTM Vol. XI-XII'!T$10:V$860,3)</f>
        <v>6.6360000000000303</v>
      </c>
      <c r="AK36" s="356"/>
      <c r="AL36" s="347">
        <f>INDEX('ASTM Vol. XI-XII'!X$10:X$860,(MATCH(AL34,'ASTM Vol. XI-XII'!X$10:X$860,1)+1))</f>
        <v>32.700000000000003</v>
      </c>
      <c r="AM36" s="270">
        <f>VLOOKUP(AL36,'ASTM Vol. XI-XII'!X$10:Y$860,2)</f>
        <v>3.2033</v>
      </c>
      <c r="AN36" s="268">
        <f>VLOOKUP(AL36,'ASTM Vol. XI-XII'!X$10:Z$860,3)</f>
        <v>0.13453999999999999</v>
      </c>
      <c r="AO36" s="356"/>
      <c r="AP36" s="347">
        <f>INDEX('ASTM Vol. XI-XII'!AB$10:AB$860,(MATCH(AP34,'ASTM Vol. XI-XII'!AB$10:AB$860,1)+1))</f>
        <v>32.700000000000003</v>
      </c>
      <c r="AQ36" s="349">
        <f>VLOOKUP(AP36,'ASTM Vol. XI-XII'!AB$10:AC$860,2)</f>
        <v>312.17</v>
      </c>
      <c r="AR36" s="351">
        <f>VLOOKUP(AP36,'ASTM Vol. XI-XII'!AB$10:AD$860,3)</f>
        <v>7.4329999999999998</v>
      </c>
      <c r="AS36" s="356"/>
      <c r="AT36" s="347">
        <f>INDEX('ASTM Vol. XI-XII'!AF$10:AF$860,(MATCH(AT34,'ASTM Vol. XI-XII'!AF$10:AF$860,1)+1))</f>
        <v>32.700000000000003</v>
      </c>
      <c r="AU36" s="270">
        <f>VLOOKUP(AT36,'ASTM Vol. XI-XII'!AF$10:AG$860,2)</f>
        <v>3.2547000000000001</v>
      </c>
      <c r="AV36" s="268">
        <f>VLOOKUP(AT36,'ASTM Vol. XI-XII'!AF$10:AH$860,3)</f>
        <v>0.13669999999999999</v>
      </c>
      <c r="AW36" s="356"/>
      <c r="AX36" s="347">
        <f>INDEX('ASTM Vol. XI-XII'!AM$10:AM$860,(MATCH(AX34,'ASTM Vol. XI-XII'!AM$10:AM$860,1)+1))</f>
        <v>32.700000000000003</v>
      </c>
      <c r="AY36" s="270">
        <f>VLOOKUP(AX36,'ASTM Vol. XI-XII'!AM$10:AN$860,2)</f>
        <v>1.0546</v>
      </c>
      <c r="AZ36" s="270">
        <f>VLOOKUP(AX36,'ASTM Vol. XI-XII'!AM$10:AO$860,3)</f>
        <v>1.1812</v>
      </c>
      <c r="BA36" s="261"/>
      <c r="DH36" s="12"/>
      <c r="DI36" s="12"/>
      <c r="DJ36" s="12"/>
      <c r="DK36" s="171"/>
      <c r="DL36" s="171"/>
      <c r="DM36" s="171"/>
      <c r="DN36" s="171"/>
      <c r="DO36" s="171"/>
      <c r="DP36" s="171"/>
      <c r="DQ36" s="171"/>
      <c r="DR36" s="171"/>
      <c r="DS36" s="171"/>
    </row>
    <row r="37" spans="3:123" ht="13.25" customHeight="1">
      <c r="C37" s="327">
        <v>6</v>
      </c>
      <c r="D37" s="454" t="str">
        <f t="shared" si="10"/>
        <v>POUNDS LBS</v>
      </c>
      <c r="E37" s="457">
        <f t="shared" si="11"/>
        <v>284625159</v>
      </c>
      <c r="F37" s="457" t="str">
        <f>IF($E$16=F30,ROUND(F36*$I$12,0),"")</f>
        <v/>
      </c>
      <c r="G37" s="457">
        <f>IF($E$16=G30,ROUND(G36*$I$12,0),"")</f>
        <v>284625159</v>
      </c>
      <c r="H37" s="457" t="str">
        <f>IF($E$16=H30,ROUND(H36*$I$12,0),"")</f>
        <v/>
      </c>
      <c r="I37" s="457" t="str">
        <f>IF($E$16=I30,ROUND(I38*$M$47,3),"")</f>
        <v/>
      </c>
      <c r="J37" s="457" t="str">
        <f>IF($E$16=J30,ROUND(J38*$M$47,0),"")</f>
        <v/>
      </c>
      <c r="K37" s="457" t="str">
        <f>IF($E$16=K30,ROUND(K31,0),"")</f>
        <v/>
      </c>
      <c r="L37" s="457" t="str">
        <f>IF($E$16=L30,ROUND(L38*$M$47,0),"")</f>
        <v/>
      </c>
      <c r="M37" s="457" t="str">
        <f>IF($E$16=M30,ROUND(M36*$I$12,0),"")</f>
        <v/>
      </c>
      <c r="O37" s="12"/>
      <c r="P37" s="398"/>
      <c r="Q37" s="171"/>
      <c r="DH37" s="12"/>
      <c r="DI37" s="12"/>
      <c r="DJ37" s="12"/>
      <c r="DK37" s="171"/>
      <c r="DL37" s="171"/>
      <c r="DM37" s="171"/>
      <c r="DN37" s="171"/>
      <c r="DO37" s="171"/>
      <c r="DP37" s="171"/>
      <c r="DQ37" s="171"/>
      <c r="DR37" s="171"/>
      <c r="DS37" s="171"/>
    </row>
    <row r="38" spans="3:123" ht="13.25" customHeight="1">
      <c r="C38" s="327">
        <v>7</v>
      </c>
      <c r="D38" s="454" t="str">
        <f t="shared" si="10"/>
        <v>US GALLONS at 60°F</v>
      </c>
      <c r="E38" s="457">
        <f t="shared" si="11"/>
        <v>39643735</v>
      </c>
      <c r="F38" s="457" t="str">
        <f>IF($E$16=F30,ROUND(F37*$M$48,3),"")</f>
        <v/>
      </c>
      <c r="G38" s="457">
        <f>IF($E$16=G30,ROUND(G31/$M$45*1000,0),"")</f>
        <v>39643735</v>
      </c>
      <c r="H38" s="457" t="str">
        <f>IF($E$16=H30,ROUND(H31/$M$57*1000,0),"")</f>
        <v/>
      </c>
      <c r="I38" s="457" t="str">
        <f>IF($E$16=I30,ROUND(I32/$M$45,0),"")</f>
        <v/>
      </c>
      <c r="J38" s="457" t="str">
        <f>IF($E$16=J30,ROUND(J36*$M$55,0),"")</f>
        <v/>
      </c>
      <c r="K38" s="457" t="str">
        <f>IF($E$16=K30,ROUND(K37*$M$48,0),"")</f>
        <v/>
      </c>
      <c r="L38" s="457" t="str">
        <f>IF($E$16=L30,ROUND(L31,0),"")</f>
        <v/>
      </c>
      <c r="M38" s="457" t="str">
        <f>IF($E$16=M30,ROUND(M39*$I$9,0),"")</f>
        <v/>
      </c>
      <c r="O38" s="12"/>
      <c r="P38" s="398"/>
      <c r="Q38" s="171"/>
      <c r="DH38" s="12"/>
      <c r="DI38" s="12"/>
      <c r="DJ38" s="12"/>
      <c r="DK38" s="171"/>
      <c r="DL38" s="171"/>
      <c r="DM38" s="171"/>
      <c r="DN38" s="171"/>
      <c r="DO38" s="171"/>
      <c r="DP38" s="171"/>
      <c r="DQ38" s="171"/>
      <c r="DR38" s="171"/>
      <c r="DS38" s="171"/>
    </row>
    <row r="39" spans="3:123" ht="13.25" customHeight="1">
      <c r="C39" s="327">
        <v>8</v>
      </c>
      <c r="D39" s="454" t="str">
        <f t="shared" si="10"/>
        <v>US BARRELS at 60°F</v>
      </c>
      <c r="E39" s="457">
        <f t="shared" si="11"/>
        <v>943871</v>
      </c>
      <c r="F39" s="457" t="str">
        <f>IF($E$16=F30,ROUND(F33/$M$46,0),"")</f>
        <v/>
      </c>
      <c r="G39" s="457">
        <f>IF($E$16=G30,ROUND(G33/$M$46,0),"")</f>
        <v>943871</v>
      </c>
      <c r="H39" s="457" t="str">
        <f>IF($E$16=H30,ROUND(H31/$M$58,0),"")</f>
        <v/>
      </c>
      <c r="I39" s="457" t="str">
        <f>IF($E$16=I30,ROUND(I36*$M$56,0),"")</f>
        <v/>
      </c>
      <c r="J39" s="457" t="str">
        <f>IF($E$16=J30,ROUND(J36*$M$56,0),"")</f>
        <v/>
      </c>
      <c r="K39" s="457" t="str">
        <f>IF($E$16=K30,ROUND(K38/$I$9,0),"")</f>
        <v/>
      </c>
      <c r="L39" s="457" t="str">
        <f>IF($E$16=L30,ROUND(E31/$I$9,0),"")</f>
        <v/>
      </c>
      <c r="M39" s="457" t="str">
        <f>IF($E$16=M30,ROUND(M31,0),"")</f>
        <v/>
      </c>
      <c r="O39" s="12"/>
      <c r="P39" s="398"/>
      <c r="Q39" s="171"/>
      <c r="DH39" s="12"/>
      <c r="DI39" s="12"/>
      <c r="DJ39" s="12"/>
      <c r="DK39" s="171"/>
      <c r="DL39" s="171"/>
      <c r="DM39" s="171"/>
      <c r="DN39" s="171"/>
      <c r="DO39" s="171"/>
      <c r="DP39" s="171"/>
      <c r="DQ39" s="171"/>
      <c r="DR39" s="171"/>
      <c r="DS39" s="171"/>
    </row>
    <row r="40" spans="3:123" ht="13.25" customHeight="1">
      <c r="C40" s="464"/>
      <c r="D40" s="458"/>
      <c r="E40" s="484"/>
      <c r="F40" s="484"/>
      <c r="G40" s="485"/>
      <c r="H40" s="485"/>
      <c r="I40" s="485"/>
      <c r="J40" s="377"/>
      <c r="K40" s="486"/>
      <c r="L40" s="465"/>
      <c r="M40" s="484"/>
      <c r="N40" s="484"/>
      <c r="O40" s="484"/>
      <c r="P40" s="487"/>
      <c r="Q40" s="171"/>
      <c r="DH40" s="12"/>
      <c r="DI40" s="12"/>
      <c r="DJ40" s="12"/>
      <c r="DK40" s="171"/>
      <c r="DL40" s="171"/>
      <c r="DM40" s="171"/>
      <c r="DN40" s="171"/>
      <c r="DO40" s="171"/>
      <c r="DP40" s="171"/>
      <c r="DQ40" s="171"/>
      <c r="DR40" s="171"/>
      <c r="DS40" s="171"/>
    </row>
    <row r="41" spans="3:123" ht="13.25" customHeight="1">
      <c r="C41" s="275"/>
      <c r="D41" s="310"/>
      <c r="G41" s="310"/>
      <c r="H41" s="310"/>
      <c r="I41" s="310"/>
      <c r="J41" s="378"/>
      <c r="K41" s="414"/>
      <c r="L41" s="429" t="s">
        <v>136</v>
      </c>
      <c r="M41" s="513">
        <f>M8</f>
        <v>32.6</v>
      </c>
      <c r="N41" s="392" t="s">
        <v>166</v>
      </c>
      <c r="O41" s="6"/>
      <c r="P41" s="277"/>
      <c r="Q41" s="171"/>
      <c r="DH41" s="12"/>
      <c r="DI41" s="12"/>
      <c r="DJ41" s="12"/>
      <c r="DK41" s="171"/>
      <c r="DL41" s="171"/>
      <c r="DM41" s="171"/>
      <c r="DN41" s="171"/>
      <c r="DO41" s="171"/>
      <c r="DP41" s="171"/>
      <c r="DQ41" s="171"/>
      <c r="DR41" s="171"/>
      <c r="DS41" s="171"/>
    </row>
    <row r="42" spans="3:123" ht="13.25" customHeight="1">
      <c r="C42" s="275"/>
      <c r="D42" s="311"/>
      <c r="G42" s="311"/>
      <c r="H42" s="311"/>
      <c r="I42" s="311"/>
      <c r="J42" s="379"/>
      <c r="K42" s="415" t="s">
        <v>11</v>
      </c>
      <c r="L42" s="430" t="s">
        <v>132</v>
      </c>
      <c r="M42" s="290">
        <f>S35</f>
        <v>0.86229999999999996</v>
      </c>
      <c r="N42" s="289" t="s">
        <v>167</v>
      </c>
      <c r="O42" s="6"/>
      <c r="P42" s="277"/>
      <c r="Q42" s="171"/>
      <c r="DH42" s="12"/>
      <c r="DI42" s="12"/>
      <c r="DJ42" s="12"/>
      <c r="DK42" s="171"/>
      <c r="DL42" s="171"/>
      <c r="DM42" s="171"/>
      <c r="DN42" s="171"/>
      <c r="DO42" s="171"/>
      <c r="DP42" s="171"/>
      <c r="DQ42" s="171"/>
      <c r="DR42" s="171"/>
      <c r="DS42" s="171"/>
    </row>
    <row r="43" spans="3:123" ht="13.25" customHeight="1">
      <c r="C43" s="275"/>
      <c r="D43" s="311"/>
      <c r="G43" s="311"/>
      <c r="H43" s="311"/>
      <c r="I43" s="311"/>
      <c r="J43" s="379"/>
      <c r="K43" s="415" t="s">
        <v>11</v>
      </c>
      <c r="L43" s="430" t="s">
        <v>131</v>
      </c>
      <c r="M43" s="336">
        <f>T35</f>
        <v>861.8</v>
      </c>
      <c r="N43" s="393" t="s">
        <v>168</v>
      </c>
      <c r="O43" s="278"/>
      <c r="P43" s="279"/>
      <c r="Q43" s="171"/>
      <c r="DH43" s="12"/>
      <c r="DI43" s="12"/>
      <c r="DJ43" s="12"/>
      <c r="DK43" s="171"/>
      <c r="DL43" s="171"/>
      <c r="DM43" s="171"/>
      <c r="DN43" s="171"/>
      <c r="DO43" s="171"/>
      <c r="DP43" s="171"/>
      <c r="DQ43" s="171"/>
      <c r="DR43" s="171"/>
      <c r="DS43" s="171"/>
    </row>
    <row r="44" spans="3:123" ht="13.25" customHeight="1">
      <c r="C44" s="328"/>
      <c r="D44" s="317" t="s">
        <v>145</v>
      </c>
      <c r="E44" s="507" t="s">
        <v>160</v>
      </c>
      <c r="F44" s="507" t="s">
        <v>161</v>
      </c>
      <c r="G44" s="317" t="s">
        <v>160</v>
      </c>
      <c r="H44" s="317" t="s">
        <v>161</v>
      </c>
      <c r="I44" s="317"/>
      <c r="J44" s="380"/>
      <c r="K44" s="416"/>
      <c r="L44" s="431"/>
      <c r="M44" s="314"/>
      <c r="N44" s="314"/>
      <c r="O44" s="315"/>
      <c r="P44" s="316"/>
      <c r="Q44" s="171"/>
      <c r="DH44" s="171"/>
      <c r="DI44" s="171"/>
      <c r="DJ44" s="171"/>
      <c r="DK44" s="12"/>
      <c r="DL44" s="12"/>
      <c r="DM44" s="12"/>
      <c r="DN44" s="12"/>
      <c r="DO44" s="12"/>
      <c r="DP44" s="12"/>
      <c r="DQ44" s="12"/>
      <c r="DR44" s="12"/>
      <c r="DS44" s="12"/>
    </row>
    <row r="45" spans="3:123" ht="13.25" customHeight="1">
      <c r="C45" s="327"/>
      <c r="D45" s="319"/>
      <c r="E45" s="506"/>
      <c r="F45" s="498"/>
      <c r="G45" s="390"/>
      <c r="H45" s="412"/>
      <c r="I45" s="412"/>
      <c r="J45" s="381"/>
      <c r="K45" s="415" t="s">
        <v>4</v>
      </c>
      <c r="L45" s="432" t="s">
        <v>137</v>
      </c>
      <c r="M45" s="293">
        <f>W35</f>
        <v>3.7837000000000001</v>
      </c>
      <c r="N45" s="293" t="s">
        <v>25</v>
      </c>
      <c r="O45" s="423" t="s">
        <v>142</v>
      </c>
      <c r="P45" s="280"/>
      <c r="Q45" s="12"/>
      <c r="DH45" s="171"/>
      <c r="DI45" s="171"/>
      <c r="DJ45" s="171"/>
      <c r="DK45" s="12"/>
      <c r="DL45" s="12"/>
      <c r="DM45" s="12"/>
      <c r="DN45" s="12"/>
      <c r="DO45" s="12"/>
      <c r="DP45" s="12"/>
      <c r="DQ45" s="12"/>
      <c r="DR45" s="12"/>
      <c r="DS45" s="12"/>
    </row>
    <row r="46" spans="3:123" ht="13.25" customHeight="1">
      <c r="C46" s="327"/>
      <c r="D46" s="319"/>
      <c r="E46" s="499"/>
      <c r="F46" s="500"/>
      <c r="G46" s="390"/>
      <c r="H46" s="413"/>
      <c r="I46" s="413"/>
      <c r="J46" s="382"/>
      <c r="K46" s="415" t="s">
        <v>4</v>
      </c>
      <c r="L46" s="432" t="s">
        <v>138</v>
      </c>
      <c r="M46" s="294">
        <f>X35</f>
        <v>0.15892000000000001</v>
      </c>
      <c r="N46" s="294" t="s">
        <v>25</v>
      </c>
      <c r="O46" s="423" t="s">
        <v>143</v>
      </c>
      <c r="P46" s="280"/>
      <c r="Q46" s="12"/>
      <c r="DH46" s="171"/>
      <c r="DI46" s="171"/>
      <c r="DJ46" s="171"/>
      <c r="DK46" s="12"/>
      <c r="DL46" s="12"/>
      <c r="DM46" s="12"/>
      <c r="DN46" s="12"/>
      <c r="DO46" s="12"/>
      <c r="DP46" s="12"/>
      <c r="DQ46" s="12"/>
      <c r="DR46" s="12"/>
      <c r="DS46" s="12"/>
    </row>
    <row r="47" spans="3:123">
      <c r="C47" s="327"/>
      <c r="D47" s="319"/>
      <c r="E47" s="499"/>
      <c r="F47" s="500"/>
      <c r="G47" s="390"/>
      <c r="H47" s="412"/>
      <c r="I47" s="412"/>
      <c r="J47" s="381"/>
      <c r="K47" s="415" t="s">
        <v>101</v>
      </c>
      <c r="L47" s="429" t="s">
        <v>102</v>
      </c>
      <c r="M47" s="295">
        <f>AA35</f>
        <v>7.18</v>
      </c>
      <c r="N47" s="294" t="s">
        <v>25</v>
      </c>
      <c r="O47" s="423" t="s">
        <v>142</v>
      </c>
      <c r="P47" s="280"/>
      <c r="Q47" s="12"/>
    </row>
    <row r="48" spans="3:123">
      <c r="C48" s="327"/>
      <c r="D48" s="319"/>
      <c r="E48" s="499"/>
      <c r="F48" s="500"/>
      <c r="G48" s="390"/>
      <c r="H48" s="412"/>
      <c r="I48" s="412"/>
      <c r="J48" s="381"/>
      <c r="K48" s="415" t="s">
        <v>101</v>
      </c>
      <c r="L48" s="433" t="s">
        <v>139</v>
      </c>
      <c r="M48" s="296">
        <f>AB35</f>
        <v>0.13927999999999999</v>
      </c>
      <c r="N48" s="294" t="s">
        <v>25</v>
      </c>
      <c r="O48" s="424" t="s">
        <v>103</v>
      </c>
      <c r="P48" s="280"/>
    </row>
    <row r="49" spans="3:53">
      <c r="C49" s="327"/>
      <c r="D49" s="319"/>
      <c r="E49" s="499"/>
      <c r="F49" s="500"/>
      <c r="G49" s="390"/>
      <c r="H49" s="413"/>
      <c r="I49" s="413"/>
      <c r="J49" s="382"/>
      <c r="K49" s="415" t="s">
        <v>104</v>
      </c>
      <c r="L49" s="433" t="s">
        <v>23</v>
      </c>
      <c r="M49" s="295">
        <f>AE35</f>
        <v>3.5899000000000001</v>
      </c>
      <c r="N49" s="294" t="s">
        <v>25</v>
      </c>
      <c r="O49" s="423" t="s">
        <v>144</v>
      </c>
      <c r="P49" s="279"/>
    </row>
    <row r="50" spans="3:53">
      <c r="C50" s="327"/>
      <c r="D50" s="319"/>
      <c r="E50" s="499"/>
      <c r="F50" s="500"/>
      <c r="G50" s="390"/>
      <c r="H50" s="413"/>
      <c r="I50" s="413"/>
      <c r="J50" s="382"/>
      <c r="K50" s="415" t="s">
        <v>104</v>
      </c>
      <c r="L50" s="433" t="s">
        <v>23</v>
      </c>
      <c r="M50" s="296">
        <f>AF35</f>
        <v>0.15078</v>
      </c>
      <c r="N50" s="294" t="s">
        <v>25</v>
      </c>
      <c r="O50" s="423" t="s">
        <v>143</v>
      </c>
      <c r="P50" s="279"/>
    </row>
    <row r="51" spans="3:53">
      <c r="C51" s="327"/>
      <c r="D51" s="319"/>
      <c r="E51" s="499"/>
      <c r="F51" s="500"/>
      <c r="G51" s="390"/>
      <c r="H51" s="412"/>
      <c r="I51" s="412"/>
      <c r="J51" s="381"/>
      <c r="K51" s="415" t="s">
        <v>105</v>
      </c>
      <c r="L51" s="433" t="s">
        <v>139</v>
      </c>
      <c r="M51" s="297">
        <f>AI35</f>
        <v>278.56000000000199</v>
      </c>
      <c r="N51" s="294" t="s">
        <v>25</v>
      </c>
      <c r="O51" s="423" t="s">
        <v>106</v>
      </c>
      <c r="P51" s="279"/>
    </row>
    <row r="52" spans="3:53">
      <c r="C52" s="327"/>
      <c r="D52" s="319"/>
      <c r="E52" s="499"/>
      <c r="F52" s="500"/>
      <c r="G52" s="390"/>
      <c r="H52" s="412"/>
      <c r="I52" s="412"/>
      <c r="J52" s="381"/>
      <c r="K52" s="415" t="s">
        <v>105</v>
      </c>
      <c r="L52" s="433" t="s">
        <v>140</v>
      </c>
      <c r="M52" s="298">
        <f>AJ35</f>
        <v>6.6320000000000103</v>
      </c>
      <c r="N52" s="294" t="s">
        <v>25</v>
      </c>
      <c r="O52" s="423" t="s">
        <v>106</v>
      </c>
      <c r="P52" s="279"/>
    </row>
    <row r="53" spans="3:53">
      <c r="C53" s="327"/>
      <c r="D53" s="319"/>
      <c r="E53" s="499"/>
      <c r="F53" s="500"/>
      <c r="G53" s="390"/>
      <c r="H53" s="413"/>
      <c r="I53" s="413"/>
      <c r="J53" s="382"/>
      <c r="K53" s="415" t="s">
        <v>5</v>
      </c>
      <c r="L53" s="433" t="s">
        <v>14</v>
      </c>
      <c r="M53" s="295">
        <f>AM35</f>
        <v>3.2052999999999998</v>
      </c>
      <c r="N53" s="294" t="s">
        <v>25</v>
      </c>
      <c r="O53" s="423" t="s">
        <v>144</v>
      </c>
      <c r="P53" s="279"/>
    </row>
    <row r="54" spans="3:53">
      <c r="C54" s="327"/>
      <c r="D54" s="319"/>
      <c r="E54" s="499"/>
      <c r="F54" s="500"/>
      <c r="G54" s="390"/>
      <c r="H54" s="413"/>
      <c r="I54" s="413"/>
      <c r="J54" s="382"/>
      <c r="K54" s="415" t="s">
        <v>5</v>
      </c>
      <c r="L54" s="433" t="s">
        <v>14</v>
      </c>
      <c r="M54" s="296">
        <f>AN35</f>
        <v>0.13461999999999999</v>
      </c>
      <c r="N54" s="294" t="s">
        <v>25</v>
      </c>
      <c r="O54" s="423" t="s">
        <v>143</v>
      </c>
      <c r="P54" s="279"/>
    </row>
    <row r="55" spans="3:53">
      <c r="C55" s="327"/>
      <c r="D55" s="319"/>
      <c r="E55" s="499"/>
      <c r="F55" s="500"/>
      <c r="G55" s="390"/>
      <c r="H55" s="412"/>
      <c r="I55" s="412"/>
      <c r="J55" s="381"/>
      <c r="K55" s="415" t="s">
        <v>107</v>
      </c>
      <c r="L55" s="433" t="s">
        <v>139</v>
      </c>
      <c r="M55" s="297">
        <f>AQ35</f>
        <v>311.98</v>
      </c>
      <c r="N55" s="294" t="s">
        <v>25</v>
      </c>
      <c r="O55" s="423" t="s">
        <v>108</v>
      </c>
      <c r="P55" s="279"/>
    </row>
    <row r="56" spans="3:53">
      <c r="C56" s="327"/>
      <c r="D56" s="319"/>
      <c r="E56" s="499"/>
      <c r="F56" s="500"/>
      <c r="G56" s="390"/>
      <c r="H56" s="412"/>
      <c r="I56" s="412"/>
      <c r="J56" s="381"/>
      <c r="K56" s="415" t="s">
        <v>107</v>
      </c>
      <c r="L56" s="433" t="s">
        <v>140</v>
      </c>
      <c r="M56" s="298">
        <f>AR35</f>
        <v>7.4279999999999999</v>
      </c>
      <c r="N56" s="294" t="s">
        <v>25</v>
      </c>
      <c r="O56" s="423" t="s">
        <v>108</v>
      </c>
      <c r="P56" s="279"/>
    </row>
    <row r="57" spans="3:53">
      <c r="C57" s="327"/>
      <c r="D57" s="319"/>
      <c r="E57" s="499"/>
      <c r="F57" s="500"/>
      <c r="G57" s="390"/>
      <c r="H57" s="413"/>
      <c r="I57" s="413"/>
      <c r="J57" s="382"/>
      <c r="K57" s="415" t="s">
        <v>6</v>
      </c>
      <c r="L57" s="433" t="s">
        <v>15</v>
      </c>
      <c r="M57" s="298">
        <f>AU35</f>
        <v>3.2566999999999999</v>
      </c>
      <c r="N57" s="294" t="s">
        <v>25</v>
      </c>
      <c r="O57" s="423" t="s">
        <v>144</v>
      </c>
      <c r="P57" s="279"/>
    </row>
    <row r="58" spans="3:53">
      <c r="C58" s="327"/>
      <c r="D58" s="319"/>
      <c r="E58" s="499"/>
      <c r="F58" s="500"/>
      <c r="G58" s="390"/>
      <c r="H58" s="413"/>
      <c r="I58" s="413"/>
      <c r="J58" s="382"/>
      <c r="K58" s="415" t="s">
        <v>6</v>
      </c>
      <c r="L58" s="433" t="s">
        <v>15</v>
      </c>
      <c r="M58" s="299">
        <f>AV35</f>
        <v>0.13678000000000001</v>
      </c>
      <c r="N58" s="294" t="s">
        <v>25</v>
      </c>
      <c r="O58" s="423" t="s">
        <v>143</v>
      </c>
      <c r="P58" s="277"/>
    </row>
    <row r="59" spans="3:53">
      <c r="C59" s="327"/>
      <c r="D59" s="319"/>
      <c r="E59" s="499"/>
      <c r="F59" s="500"/>
      <c r="G59" s="390"/>
      <c r="H59" s="413"/>
      <c r="I59" s="413"/>
      <c r="J59" s="382"/>
      <c r="K59" s="415" t="s">
        <v>109</v>
      </c>
      <c r="L59" s="432" t="s">
        <v>138</v>
      </c>
      <c r="M59" s="299">
        <f>AY35</f>
        <v>1.054</v>
      </c>
      <c r="N59" s="294" t="s">
        <v>25</v>
      </c>
      <c r="O59" s="423" t="s">
        <v>106</v>
      </c>
      <c r="P59" s="277"/>
    </row>
    <row r="60" spans="3:53">
      <c r="C60" s="327"/>
      <c r="D60" s="319"/>
      <c r="E60" s="499"/>
      <c r="F60" s="500"/>
      <c r="G60" s="390"/>
      <c r="H60" s="413"/>
      <c r="I60" s="413"/>
      <c r="J60" s="382"/>
      <c r="K60" s="415" t="s">
        <v>109</v>
      </c>
      <c r="L60" s="432" t="s">
        <v>138</v>
      </c>
      <c r="M60" s="299">
        <f>AZ35</f>
        <v>1.1805000000000001</v>
      </c>
      <c r="N60" s="294" t="s">
        <v>25</v>
      </c>
      <c r="O60" s="423" t="s">
        <v>108</v>
      </c>
      <c r="P60" s="277"/>
    </row>
    <row r="61" spans="3:53">
      <c r="C61" s="276"/>
      <c r="D61" s="312"/>
      <c r="E61" s="504"/>
      <c r="F61" s="505"/>
      <c r="G61" s="391"/>
      <c r="H61" s="312"/>
      <c r="I61" s="312"/>
      <c r="J61" s="383"/>
      <c r="K61" s="417"/>
      <c r="L61" s="428"/>
      <c r="M61" s="281"/>
      <c r="N61" s="281"/>
      <c r="O61" s="281"/>
      <c r="P61" s="282"/>
    </row>
    <row r="62" spans="3:53" ht="15.75" customHeight="1">
      <c r="L62" s="6"/>
      <c r="M62" s="6"/>
      <c r="N62" s="6"/>
      <c r="O62" s="6"/>
      <c r="P62" s="6"/>
    </row>
    <row r="63" spans="3:53" ht="15">
      <c r="C63" s="3601" t="s">
        <v>149</v>
      </c>
      <c r="D63" s="3602"/>
      <c r="E63" s="3602"/>
      <c r="F63" s="3602"/>
      <c r="G63" s="3602"/>
      <c r="H63" s="3602"/>
      <c r="I63" s="3602"/>
      <c r="J63" s="3602"/>
      <c r="K63" s="3602"/>
      <c r="L63" s="3602"/>
      <c r="M63" s="3602"/>
      <c r="N63" s="3602"/>
      <c r="O63" s="3602"/>
      <c r="P63" s="3603"/>
      <c r="R63" s="262" t="s">
        <v>100</v>
      </c>
      <c r="S63" s="29"/>
      <c r="T63" s="29"/>
      <c r="U63" s="29"/>
      <c r="V63" s="29"/>
      <c r="W63" s="29"/>
      <c r="X63" s="29"/>
      <c r="Y63" s="29"/>
      <c r="Z63" s="29"/>
      <c r="AA63" s="29"/>
      <c r="AB63" s="29"/>
      <c r="AC63" s="165"/>
      <c r="AD63" s="166" t="s">
        <v>100</v>
      </c>
      <c r="AE63" s="29"/>
      <c r="AF63" s="166"/>
      <c r="AG63" s="29"/>
      <c r="AH63" s="29"/>
      <c r="AI63" s="29"/>
      <c r="AJ63" s="29"/>
      <c r="AK63" s="29"/>
      <c r="AL63" s="29"/>
      <c r="AM63" s="29"/>
      <c r="AN63" s="29"/>
      <c r="AO63" s="165"/>
      <c r="AP63" s="166" t="s">
        <v>100</v>
      </c>
      <c r="AQ63" s="166"/>
      <c r="AR63" s="166"/>
      <c r="AS63" s="29"/>
      <c r="AT63" s="29"/>
      <c r="AU63" s="29"/>
      <c r="AV63" s="29"/>
      <c r="AW63" s="29"/>
      <c r="AX63" s="29"/>
      <c r="AY63" s="29"/>
      <c r="AZ63" s="214"/>
    </row>
    <row r="64" spans="3:53" ht="13.15">
      <c r="C64" s="419"/>
      <c r="D64" s="284" t="s">
        <v>148</v>
      </c>
      <c r="E64" s="451" t="s">
        <v>183</v>
      </c>
      <c r="F64" s="480" t="s">
        <v>184</v>
      </c>
      <c r="G64" s="480" t="s">
        <v>184</v>
      </c>
      <c r="H64" s="480" t="s">
        <v>184</v>
      </c>
      <c r="I64" s="480" t="s">
        <v>184</v>
      </c>
      <c r="J64" s="480" t="s">
        <v>184</v>
      </c>
      <c r="K64" s="480" t="s">
        <v>184</v>
      </c>
      <c r="L64" s="480" t="s">
        <v>184</v>
      </c>
      <c r="M64" s="480" t="s">
        <v>184</v>
      </c>
      <c r="O64" s="441"/>
      <c r="P64" s="398"/>
      <c r="R64" s="253" t="str">
        <f>'ASTM Vol. XI-XII'!AQ5</f>
        <v>ASTM Table 21</v>
      </c>
      <c r="S64" s="254"/>
      <c r="T64" s="255"/>
      <c r="U64" s="251"/>
      <c r="V64" s="3549" t="str">
        <f>'ASTM Vol. XI-XII'!AU5</f>
        <v>ASTM Table 22</v>
      </c>
      <c r="W64" s="3550"/>
      <c r="X64" s="3551"/>
      <c r="Y64" s="264"/>
      <c r="Z64" s="3586" t="str">
        <f>'ASTM Vol. XI-XII'!AU5</f>
        <v>ASTM Table 22</v>
      </c>
      <c r="AA64" s="3587"/>
      <c r="AB64" s="3588"/>
      <c r="AC64" s="251"/>
      <c r="AD64" s="253" t="str">
        <f>'ASTM Vol. XI-XII'!AZ5</f>
        <v>ASTM Table 26</v>
      </c>
      <c r="AE64" s="254"/>
      <c r="AF64" s="255"/>
      <c r="AG64" s="251"/>
      <c r="AH64" s="253" t="str">
        <f>'ASTM Vol. XI-XII'!BD5</f>
        <v>ASTM Table 27</v>
      </c>
      <c r="AI64" s="254"/>
      <c r="AJ64" s="255"/>
      <c r="AK64" s="251"/>
      <c r="AL64" s="253" t="str">
        <f>'ASTM Vol. XI-XII'!BH5</f>
        <v>ASTM Table 28</v>
      </c>
      <c r="AM64" s="254"/>
      <c r="AN64" s="255"/>
      <c r="AO64" s="251"/>
      <c r="AP64" s="253" t="str">
        <f>'ASTM Vol. XI-XII'!BL5</f>
        <v>ASTM Table 29</v>
      </c>
      <c r="AQ64" s="254"/>
      <c r="AR64" s="255"/>
      <c r="AS64" s="251"/>
      <c r="AT64" s="253" t="str">
        <f>'ASTM Vol. XI-XII'!BP5</f>
        <v>ASTM Table 30</v>
      </c>
      <c r="AU64" s="254"/>
      <c r="AV64" s="255"/>
      <c r="AW64" s="251"/>
      <c r="AX64" s="253" t="str">
        <f>'ASTM Vol. XI-XII'!BT5</f>
        <v>ASTM Table 31</v>
      </c>
      <c r="AY64" s="254"/>
      <c r="AZ64" s="255"/>
      <c r="BA64" s="22"/>
    </row>
    <row r="65" spans="3:53">
      <c r="C65" s="275"/>
      <c r="E65" s="481" t="str">
        <f>$E$16</f>
        <v>CUBIC METERS at 15°C</v>
      </c>
      <c r="F65" s="477" t="str">
        <f>D67</f>
        <v>LITERS at 15°C</v>
      </c>
      <c r="G65" s="477" t="str">
        <f>D68</f>
        <v>CUBIC METERS at 15°C</v>
      </c>
      <c r="H65" s="477" t="str">
        <f>D69</f>
        <v>METRIC TONS (in AIR)</v>
      </c>
      <c r="I65" s="477" t="str">
        <f>D70</f>
        <v>METRIC TONS (in VAC)</v>
      </c>
      <c r="J65" s="477" t="str">
        <f>D71</f>
        <v>LONG TONS</v>
      </c>
      <c r="K65" s="477" t="str">
        <f>D72</f>
        <v>POUNDS LBS</v>
      </c>
      <c r="L65" s="477" t="str">
        <f>D73</f>
        <v>US GALLONS at 60°F</v>
      </c>
      <c r="M65" s="477" t="str">
        <f>D74</f>
        <v>US BARRELS at 60°F</v>
      </c>
      <c r="O65" s="426"/>
      <c r="P65" s="398"/>
      <c r="R65" s="229" t="str">
        <f>'ASTM Vol. XI-XII'!AQ6</f>
        <v>Relative</v>
      </c>
      <c r="S65" s="230" t="str">
        <f>'ASTM Vol. XI-XII'!AR6</f>
        <v>API</v>
      </c>
      <c r="T65" s="231" t="str">
        <f>'ASTM Vol. XI-XII'!AS6</f>
        <v>Density</v>
      </c>
      <c r="U65" s="252"/>
      <c r="V65" s="229" t="str">
        <f>'ASTM Vol. XI-XII'!AU6</f>
        <v>Relative</v>
      </c>
      <c r="W65" s="3552" t="str">
        <f>'ASTM Vol. XI-XII'!AV6</f>
        <v>Litres @15°C</v>
      </c>
      <c r="X65" s="3553"/>
      <c r="Y65" s="265"/>
      <c r="Z65" s="229" t="str">
        <f>'ASTM Vol. XI-XII'!AW6</f>
        <v>Relative</v>
      </c>
      <c r="AA65" s="3552" t="str">
        <f>'ASTM Vol. XI-XII'!AX6</f>
        <v>Cubic Mtrs @15°C</v>
      </c>
      <c r="AB65" s="3553"/>
      <c r="AC65" s="252"/>
      <c r="AD65" s="229" t="str">
        <f>'ASTM Vol. XI-XII'!AZ6</f>
        <v>Relative</v>
      </c>
      <c r="AE65" s="230" t="str">
        <f>'ASTM Vol. XI-XII'!BA6</f>
        <v>Pounds</v>
      </c>
      <c r="AF65" s="231" t="str">
        <f>'ASTM Vol. XI-XII'!BB6</f>
        <v>US Gallons</v>
      </c>
      <c r="AG65" s="252"/>
      <c r="AH65" s="229" t="str">
        <f>'ASTM Vol. XI-XII'!BD6</f>
        <v>Relative</v>
      </c>
      <c r="AI65" s="230" t="str">
        <f>'ASTM Vol. XI-XII'!BE6</f>
        <v>Short Tons</v>
      </c>
      <c r="AJ65" s="231" t="str">
        <f>'ASTM Vol. XI-XII'!BF6</f>
        <v>Short Tons</v>
      </c>
      <c r="AK65" s="252"/>
      <c r="AL65" s="229" t="str">
        <f>'ASTM Vol. XI-XII'!BH6</f>
        <v>Relative</v>
      </c>
      <c r="AM65" s="230" t="str">
        <f>'ASTM Vol. XI-XII'!BI6</f>
        <v>US Gallons</v>
      </c>
      <c r="AN65" s="231" t="str">
        <f>'ASTM Vol. XI-XII'!BJ6</f>
        <v>Barrels</v>
      </c>
      <c r="AO65" s="252"/>
      <c r="AP65" s="229" t="str">
        <f>'ASTM Vol. XI-XII'!BL6</f>
        <v>Relative</v>
      </c>
      <c r="AQ65" s="230" t="str">
        <f>'ASTM Vol. XI-XII'!BM6</f>
        <v>Long Tons</v>
      </c>
      <c r="AR65" s="231" t="str">
        <f>'ASTM Vol. XI-XII'!BN6</f>
        <v>Long Tons</v>
      </c>
      <c r="AS65" s="252"/>
      <c r="AT65" s="229" t="str">
        <f>'ASTM Vol. XI-XII'!BP6</f>
        <v>Relative</v>
      </c>
      <c r="AU65" s="230" t="str">
        <f>'ASTM Vol. XI-XII'!BQ6</f>
        <v>US Gallons</v>
      </c>
      <c r="AV65" s="231" t="str">
        <f>'ASTM Vol. XI-XII'!BR6</f>
        <v>Barrels</v>
      </c>
      <c r="AW65" s="252"/>
      <c r="AX65" s="229" t="str">
        <f>'ASTM Vol. XI-XII'!BT6</f>
        <v>Relative</v>
      </c>
      <c r="AY65" s="230" t="str">
        <f>'ASTM Vol. XI-XII'!BU6</f>
        <v>Cubic Mtrs</v>
      </c>
      <c r="AZ65" s="231" t="str">
        <f>'ASTM Vol. XI-XII'!BV6</f>
        <v>Cubic Mtrs</v>
      </c>
      <c r="BA65" s="232"/>
    </row>
    <row r="66" spans="3:53" ht="13.15">
      <c r="C66" s="276"/>
      <c r="D66" s="383"/>
      <c r="E66" s="482">
        <f>$E$17</f>
        <v>150000</v>
      </c>
      <c r="F66" s="478" t="str">
        <f>IF(F65=$E65,$E66,"")</f>
        <v/>
      </c>
      <c r="G66" s="479">
        <f t="shared" ref="G66:M66" si="12">IF(G65=$E65,$E66,"")</f>
        <v>150000</v>
      </c>
      <c r="H66" s="479" t="str">
        <f t="shared" si="12"/>
        <v/>
      </c>
      <c r="I66" s="479" t="str">
        <f t="shared" si="12"/>
        <v/>
      </c>
      <c r="J66" s="479" t="str">
        <f t="shared" si="12"/>
        <v/>
      </c>
      <c r="K66" s="478" t="str">
        <f t="shared" si="12"/>
        <v/>
      </c>
      <c r="L66" s="478" t="str">
        <f t="shared" si="12"/>
        <v/>
      </c>
      <c r="M66" s="478" t="str">
        <f t="shared" si="12"/>
        <v/>
      </c>
      <c r="N66" s="276"/>
      <c r="O66" s="428"/>
      <c r="P66" s="400"/>
      <c r="R66" s="180" t="str">
        <f>'ASTM Vol. XI-XII'!AQ7</f>
        <v>Density</v>
      </c>
      <c r="S66" s="181" t="str">
        <f>'ASTM Vol. XI-XII'!AR7</f>
        <v>Gravity</v>
      </c>
      <c r="T66" s="182"/>
      <c r="U66" s="186"/>
      <c r="V66" s="180" t="str">
        <f>'ASTM Vol. XI-XII'!AU7</f>
        <v>Density</v>
      </c>
      <c r="W66" s="3554" t="str">
        <f>'ASTM Vol. XI-XII'!AV7</f>
        <v>per</v>
      </c>
      <c r="X66" s="3555"/>
      <c r="Y66" s="266"/>
      <c r="Z66" s="180" t="str">
        <f>'ASTM Vol. XI-XII'!AW7</f>
        <v>Density</v>
      </c>
      <c r="AA66" s="3554" t="str">
        <f>'ASTM Vol. XI-XII'!AX7</f>
        <v>per</v>
      </c>
      <c r="AB66" s="3555"/>
      <c r="AC66" s="186"/>
      <c r="AD66" s="180" t="str">
        <f>'ASTM Vol. XI-XII'!AZ7</f>
        <v>Density</v>
      </c>
      <c r="AE66" s="181" t="str">
        <f>'ASTM Vol. XI-XII'!BA7</f>
        <v>per</v>
      </c>
      <c r="AF66" s="182" t="str">
        <f>'ASTM Vol. XI-XII'!BB7</f>
        <v>per</v>
      </c>
      <c r="AG66" s="186"/>
      <c r="AH66" s="180" t="str">
        <f>'ASTM Vol. XI-XII'!BD7</f>
        <v>Density</v>
      </c>
      <c r="AI66" s="181" t="str">
        <f>'ASTM Vol. XI-XII'!BE7</f>
        <v>per 1000</v>
      </c>
      <c r="AJ66" s="182" t="str">
        <f>'ASTM Vol. XI-XII'!BF7</f>
        <v>per</v>
      </c>
      <c r="AK66" s="186"/>
      <c r="AL66" s="180" t="str">
        <f>'ASTM Vol. XI-XII'!BH7</f>
        <v>Density</v>
      </c>
      <c r="AM66" s="181" t="str">
        <f>'ASTM Vol. XI-XII'!BI7</f>
        <v>per</v>
      </c>
      <c r="AN66" s="182" t="str">
        <f>'ASTM Vol. XI-XII'!BJ7</f>
        <v>per</v>
      </c>
      <c r="AO66" s="186"/>
      <c r="AP66" s="180" t="str">
        <f>'ASTM Vol. XI-XII'!BL7</f>
        <v>Density</v>
      </c>
      <c r="AQ66" s="181" t="str">
        <f>'ASTM Vol. XI-XII'!BM7</f>
        <v>per 1000</v>
      </c>
      <c r="AR66" s="182" t="str">
        <f>'ASTM Vol. XI-XII'!BN7</f>
        <v>per</v>
      </c>
      <c r="AS66" s="186"/>
      <c r="AT66" s="180" t="str">
        <f>'ASTM Vol. XI-XII'!BP7</f>
        <v>Density</v>
      </c>
      <c r="AU66" s="181" t="str">
        <f>'ASTM Vol. XI-XII'!BQ7</f>
        <v>per</v>
      </c>
      <c r="AV66" s="182" t="str">
        <f>'ASTM Vol. XI-XII'!BR7</f>
        <v>per</v>
      </c>
      <c r="AW66" s="186"/>
      <c r="AX66" s="180" t="str">
        <f>'ASTM Vol. XI-XII'!BT7</f>
        <v>Density</v>
      </c>
      <c r="AY66" s="181" t="str">
        <f>'ASTM Vol. XI-XII'!BU7</f>
        <v>per</v>
      </c>
      <c r="AZ66" s="182" t="str">
        <f>'ASTM Vol. XI-XII'!BV7</f>
        <v>per</v>
      </c>
      <c r="BA66" s="22"/>
    </row>
    <row r="67" spans="3:53">
      <c r="C67" s="327">
        <v>1</v>
      </c>
      <c r="D67" s="454" t="str">
        <f t="shared" ref="D67:D74" si="13">D18</f>
        <v>LITERS at 15°C</v>
      </c>
      <c r="E67" s="457">
        <f>MAX(F67:M67)</f>
        <v>150000000</v>
      </c>
      <c r="F67" s="457" t="str">
        <f>IF($E$16=F65,ROUND(F66,0),"")</f>
        <v/>
      </c>
      <c r="G67" s="457">
        <f>IF($E$16=G65,ROUND(G66*1000,0),"")</f>
        <v>150000000</v>
      </c>
      <c r="H67" s="457" t="str">
        <f>IF($E$16=H65,ROUND(H68*1000,0),"")</f>
        <v/>
      </c>
      <c r="I67" s="457" t="str">
        <f>IF($E$16=I65,ROUND(I68*1000,0),"")</f>
        <v/>
      </c>
      <c r="J67" s="457" t="str">
        <f>IF($E$16=J65,ROUND(J68*1000,0),"")</f>
        <v/>
      </c>
      <c r="K67" s="457" t="str">
        <f>IF($E$16=K65,ROUND(K68*1000,0),"")</f>
        <v/>
      </c>
      <c r="L67" s="457" t="str">
        <f>IF($E$16=L65,ROUND(L74*M81*1000,0),"")</f>
        <v/>
      </c>
      <c r="M67" s="457" t="str">
        <f>IF($E$16=M65,ROUND(M74*M81*1000,0),"")</f>
        <v/>
      </c>
      <c r="O67" s="12"/>
      <c r="P67" s="398"/>
      <c r="R67" s="233"/>
      <c r="S67" s="234"/>
      <c r="T67" s="235"/>
      <c r="U67" s="252"/>
      <c r="V67" s="233"/>
      <c r="W67" s="3554" t="str">
        <f>'ASTM Vol. XI-XII'!AV8</f>
        <v>US Gallon @60°F</v>
      </c>
      <c r="X67" s="3555"/>
      <c r="Y67" s="266"/>
      <c r="Z67" s="180"/>
      <c r="AA67" s="3554" t="str">
        <f>'ASTM Vol. XI-XII'!AX8</f>
        <v>Barrel @60°F</v>
      </c>
      <c r="AB67" s="3555"/>
      <c r="AC67" s="252"/>
      <c r="AD67" s="233"/>
      <c r="AE67" s="234" t="str">
        <f>'ASTM Vol. XI-XII'!BA8</f>
        <v>US Gallon</v>
      </c>
      <c r="AF67" s="235" t="str">
        <f>'ASTM Vol. XI-XII'!BB8</f>
        <v>Pound</v>
      </c>
      <c r="AG67" s="252"/>
      <c r="AH67" s="233"/>
      <c r="AI67" s="234" t="str">
        <f>'ASTM Vol. XI-XII'!BE8</f>
        <v>US Gallons</v>
      </c>
      <c r="AJ67" s="235" t="str">
        <f>'ASTM Vol. XI-XII'!BF8</f>
        <v>Barrel</v>
      </c>
      <c r="AK67" s="252"/>
      <c r="AL67" s="233"/>
      <c r="AM67" s="234" t="str">
        <f>'ASTM Vol. XI-XII'!BI8</f>
        <v>Short Ton</v>
      </c>
      <c r="AN67" s="235" t="str">
        <f>'ASTM Vol. XI-XII'!BJ8</f>
        <v>Short Ton</v>
      </c>
      <c r="AO67" s="252"/>
      <c r="AP67" s="233"/>
      <c r="AQ67" s="234" t="str">
        <f>'ASTM Vol. XI-XII'!BM8</f>
        <v>US Gallons</v>
      </c>
      <c r="AR67" s="235" t="str">
        <f>'ASTM Vol. XI-XII'!BN8</f>
        <v>Barrel</v>
      </c>
      <c r="AS67" s="252"/>
      <c r="AT67" s="233"/>
      <c r="AU67" s="234" t="str">
        <f>'ASTM Vol. XI-XII'!BQ8</f>
        <v>Long Ton</v>
      </c>
      <c r="AV67" s="235" t="str">
        <f>'ASTM Vol. XI-XII'!BR8</f>
        <v>Long Ton</v>
      </c>
      <c r="AW67" s="252"/>
      <c r="AX67" s="233"/>
      <c r="AY67" s="234" t="str">
        <f>'ASTM Vol. XI-XII'!BU8</f>
        <v>Short Ton</v>
      </c>
      <c r="AZ67" s="235" t="str">
        <f>'ASTM Vol. XI-XII'!BV8</f>
        <v xml:space="preserve">Long Ton </v>
      </c>
      <c r="BA67" s="232"/>
    </row>
    <row r="68" spans="3:53">
      <c r="C68" s="327">
        <v>2</v>
      </c>
      <c r="D68" s="454" t="str">
        <f t="shared" si="13"/>
        <v>CUBIC METERS at 15°C</v>
      </c>
      <c r="E68" s="456">
        <f t="shared" ref="E68" si="14">MAX(F68:M68)</f>
        <v>150000</v>
      </c>
      <c r="F68" s="456" t="str">
        <f>IF($E$16=F65,ROUND(F66/1000,3),"")</f>
        <v/>
      </c>
      <c r="G68" s="456">
        <f>IF($E$16=G65,ROUND(G66,3),"")</f>
        <v>150000</v>
      </c>
      <c r="H68" s="456" t="str">
        <f>IF($E$16=H65,ROUND(H69*$M$119,3),"")</f>
        <v/>
      </c>
      <c r="I68" s="456" t="str">
        <f>IF($E$16=I65,ROUND(I69*$M$119,3),"")</f>
        <v/>
      </c>
      <c r="J68" s="456" t="str">
        <f>IF($E$16=J65,ROUND(J69*$M$119,3),"")</f>
        <v/>
      </c>
      <c r="K68" s="456" t="str">
        <f>IF($E$16=K65,ROUND(K69*$M$119,3),"")</f>
        <v/>
      </c>
      <c r="L68" s="456" t="str">
        <f>IF($E$16=L65,ROUND(L74*M81,3),"")</f>
        <v/>
      </c>
      <c r="M68" s="456" t="str">
        <f>IF($E$16=M65,ROUND(M74*M81,3),"")</f>
        <v/>
      </c>
      <c r="O68" s="12"/>
      <c r="P68" s="398"/>
      <c r="R68" s="23" t="str">
        <f>'ASTM Vol. XI-XII'!AQ9</f>
        <v>( 60/60°F )</v>
      </c>
      <c r="S68" s="183" t="str">
        <f>'ASTM Vol. XI-XII'!AR9</f>
        <v>(60°F)</v>
      </c>
      <c r="T68" s="184" t="str">
        <f>'ASTM Vol. XI-XII'!AS9</f>
        <v>(15°C)</v>
      </c>
      <c r="U68" s="186"/>
      <c r="V68" s="23" t="str">
        <f>'ASTM Vol. XI-XII'!AU9</f>
        <v>( 60/60°F )</v>
      </c>
      <c r="W68" s="3584"/>
      <c r="X68" s="3585"/>
      <c r="Y68" s="267"/>
      <c r="Z68" s="23" t="str">
        <f>'ASTM Vol. XI-XII'!AW9</f>
        <v>( 60/60°F )</v>
      </c>
      <c r="AA68" s="3584"/>
      <c r="AB68" s="3585"/>
      <c r="AC68" s="186"/>
      <c r="AD68" s="23" t="str">
        <f>'ASTM Vol. XI-XII'!AZ9</f>
        <v>( 60/60°F )</v>
      </c>
      <c r="AE68" s="183"/>
      <c r="AF68" s="184"/>
      <c r="AG68" s="186"/>
      <c r="AH68" s="23" t="str">
        <f>'ASTM Vol. XI-XII'!BD9</f>
        <v>( 60/60°F )</v>
      </c>
      <c r="AI68" s="183" t="str">
        <f>'ASTM Vol. XI-XII'!BE9</f>
        <v>(60°F)</v>
      </c>
      <c r="AJ68" s="184" t="str">
        <f>'ASTM Vol. XI-XII'!BF9</f>
        <v>(60°F)</v>
      </c>
      <c r="AK68" s="186"/>
      <c r="AL68" s="23" t="str">
        <f>'ASTM Vol. XI-XII'!BH9</f>
        <v>( 60/60°F )</v>
      </c>
      <c r="AM68" s="183" t="str">
        <f>'ASTM Vol. XI-XII'!BI9</f>
        <v>(60°F)</v>
      </c>
      <c r="AN68" s="184" t="str">
        <f>'ASTM Vol. XI-XII'!BJ9</f>
        <v>(60°F)</v>
      </c>
      <c r="AO68" s="186"/>
      <c r="AP68" s="23" t="str">
        <f>'ASTM Vol. XI-XII'!BL9</f>
        <v>( 60/60°F )</v>
      </c>
      <c r="AQ68" s="183" t="str">
        <f>'ASTM Vol. XI-XII'!BM9</f>
        <v>(60°F)</v>
      </c>
      <c r="AR68" s="184" t="str">
        <f>'ASTM Vol. XI-XII'!BN9</f>
        <v>(60°F)</v>
      </c>
      <c r="AS68" s="186"/>
      <c r="AT68" s="23" t="str">
        <f>'ASTM Vol. XI-XII'!BP9</f>
        <v>( 60/60°F )</v>
      </c>
      <c r="AU68" s="183"/>
      <c r="AV68" s="184"/>
      <c r="AW68" s="186"/>
      <c r="AX68" s="23" t="str">
        <f>'ASTM Vol. XI-XII'!BT9</f>
        <v>( 60/60°F )</v>
      </c>
      <c r="AY68" s="183"/>
      <c r="AZ68" s="184"/>
      <c r="BA68" s="22"/>
    </row>
    <row r="69" spans="3:53">
      <c r="C69" s="327">
        <v>3</v>
      </c>
      <c r="D69" s="454" t="str">
        <f t="shared" si="13"/>
        <v>METRIC TONS (in AIR)</v>
      </c>
      <c r="E69" s="456">
        <f>MAX(F69:M69)</f>
        <v>129105</v>
      </c>
      <c r="F69" s="456" t="str">
        <f>IF($E$16=F65,ROUND(F68*$M$118/1000,3),"")</f>
        <v/>
      </c>
      <c r="G69" s="456">
        <f>IF($E$16=G65,ROUND(G68*$M$118/1000,3),"")</f>
        <v>129105</v>
      </c>
      <c r="H69" s="456" t="str">
        <f>IF($E$16=H65,ROUND(H66,3),"")</f>
        <v/>
      </c>
      <c r="I69" s="456" t="str">
        <f>IF($E$16=I65,ROUND(I70*$M$116,3),"")</f>
        <v/>
      </c>
      <c r="J69" s="456" t="str">
        <f>IF($E$16=J65,ROUND(J71*$I$11,3),"")</f>
        <v/>
      </c>
      <c r="K69" s="456" t="str">
        <f>IF($E$16=K65,ROUND(K71*$I$11,3),"")</f>
        <v/>
      </c>
      <c r="L69" s="456" t="str">
        <f>IF($E$16=L65,ROUND(L68*$M$118/1000,3),"")</f>
        <v/>
      </c>
      <c r="M69" s="456" t="str">
        <f>IF($E$16=M65,ROUND(M68/M119,3),"")</f>
        <v/>
      </c>
      <c r="O69" s="12"/>
      <c r="P69" s="398"/>
      <c r="R69" s="358">
        <f>VLOOKUP(R70,'ASTM Vol. XI-XII'!AQ$10:AQ$860,TRUE)</f>
        <v>0.86199999999999999</v>
      </c>
      <c r="S69" s="359">
        <f>VLOOKUP(R69,'ASTM Vol. XI-XII'!AQ$10:AR$860,2)</f>
        <v>32.65</v>
      </c>
      <c r="T69" s="360">
        <f>VLOOKUP(R69,'ASTM Vol. XI-XII'!AQ$10:AS$860,3)</f>
        <v>861.5</v>
      </c>
      <c r="U69" s="350"/>
      <c r="V69" s="358">
        <f>VLOOKUP(V70,'ASTM Vol. XI-XII'!AU$10:AU$860,TRUE)</f>
        <v>0.84499999999999997</v>
      </c>
      <c r="W69" s="3591">
        <f>VLOOKUP(V69,'ASTM Vol. XI-XII'!AU$10:AV$860,2)</f>
        <v>3.7837000000000001</v>
      </c>
      <c r="X69" s="3592"/>
      <c r="Y69" s="361"/>
      <c r="Z69" s="362">
        <f>VLOOKUP(Z70,'ASTM Vol. XI-XII'!AW$10:AW$860,TRUE)</f>
        <v>0.86</v>
      </c>
      <c r="AA69" s="3590">
        <f>VLOOKUP(Z69,'ASTM Vol. XI-XII'!AW$10:AX$860,2)</f>
        <v>0.15892000000000001</v>
      </c>
      <c r="AB69" s="3590"/>
      <c r="AC69" s="350"/>
      <c r="AD69" s="358">
        <f>VLOOKUP(AD70,'ASTM Vol. XI-XII'!AZ$10:AZ$860,TRUE)</f>
        <v>0.86199999999999999</v>
      </c>
      <c r="AE69" s="363">
        <f>VLOOKUP(AD69,'ASTM Vol. XI-XII'!AZ$10:BA$860,2)</f>
        <v>7.1775000000000002</v>
      </c>
      <c r="AF69" s="345">
        <f>VLOOKUP(AD69,'ASTM Vol. XI-XII'!AZ$10:BB$860,3)</f>
        <v>0.13932</v>
      </c>
      <c r="AG69" s="350"/>
      <c r="AH69" s="358">
        <f>VLOOKUP(AH70,'ASTM Vol. XI-XII'!BD$10:BD$860,TRUE)</f>
        <v>0.86199999999999999</v>
      </c>
      <c r="AI69" s="363">
        <f>VLOOKUP(AH69,'ASTM Vol. XI-XII'!BD$10:BE$860,2)</f>
        <v>3.5888</v>
      </c>
      <c r="AJ69" s="345">
        <f>VLOOKUP(AH69,'ASTM Vol. XI-XII'!BD$10:BF$860,3)</f>
        <v>0.15073</v>
      </c>
      <c r="AK69" s="350"/>
      <c r="AL69" s="358">
        <f>VLOOKUP(AL70,'ASTM Vol. XI-XII'!BH$10:BH$860,TRUE)</f>
        <v>0.86199999999999999</v>
      </c>
      <c r="AM69" s="359">
        <f>VLOOKUP(AL69,'ASTM Vol. XI-XII'!BH$10:BI$860,2)</f>
        <v>278.64999999999998</v>
      </c>
      <c r="AN69" s="364">
        <f>VLOOKUP(AL69,'ASTM Vol. XI-XII'!BH$10:BJ$860,3)</f>
        <v>6.6340000000000003</v>
      </c>
      <c r="AO69" s="350"/>
      <c r="AP69" s="358">
        <f>VLOOKUP(AP70,'ASTM Vol. XI-XII'!BL$10:BL$860,TRUE)</f>
        <v>0.86199999999999999</v>
      </c>
      <c r="AQ69" s="363">
        <f>VLOOKUP(AP69,'ASTM Vol. XI-XII'!BL$10:BM$860,2)</f>
        <v>3.2042000000000002</v>
      </c>
      <c r="AR69" s="345">
        <f>VLOOKUP(AP69,'ASTM Vol. XI-XII'!BL$10:BN$860,3)</f>
        <v>0.13458000000000001</v>
      </c>
      <c r="AS69" s="350"/>
      <c r="AT69" s="358">
        <f>VLOOKUP(AT70,'ASTM Vol. XI-XII'!BP$10:BP$860,TRUE)</f>
        <v>0.86199999999999999</v>
      </c>
      <c r="AU69" s="359">
        <f>VLOOKUP(AT69,'ASTM Vol. XI-XII'!BP$10:BQ$860,2)</f>
        <v>312.08999999999997</v>
      </c>
      <c r="AV69" s="364">
        <f>VLOOKUP(AT69,'ASTM Vol. XI-XII'!BP$10:BR$860,3)</f>
        <v>7.431</v>
      </c>
      <c r="AW69" s="350"/>
      <c r="AX69" s="358">
        <f>VLOOKUP(AX70,'ASTM Vol. XI-XII'!BT$10:BT$860,TRUE)</f>
        <v>0.86199999999999999</v>
      </c>
      <c r="AY69" s="363">
        <f>VLOOKUP(AX69,'ASTM Vol. XI-XII'!BT$10:BU$860,2)</f>
        <v>1.0543</v>
      </c>
      <c r="AZ69" s="363">
        <f>VLOOKUP(AX69,'ASTM Vol. XI-XII'!BT$10:BV$860,3)</f>
        <v>1.1808000000000001</v>
      </c>
      <c r="BA69" s="12"/>
    </row>
    <row r="70" spans="3:53" ht="13.15">
      <c r="C70" s="327">
        <v>4</v>
      </c>
      <c r="D70" s="454" t="str">
        <f t="shared" si="13"/>
        <v>METRIC TONS (in VAC)</v>
      </c>
      <c r="E70" s="456">
        <f t="shared" ref="E70:E74" si="15">MAX(F70:M70)</f>
        <v>129270</v>
      </c>
      <c r="F70" s="456" t="str">
        <f>IF($E$16=F65,ROUND(F68*$M$109,3),"")</f>
        <v/>
      </c>
      <c r="G70" s="456">
        <f>IF($E$16=G65,ROUND(G68*$M$109,3),"")</f>
        <v>129270</v>
      </c>
      <c r="H70" s="456" t="str">
        <f>IF($E$16=H65,ROUND(H68*$M$109,3),"")</f>
        <v/>
      </c>
      <c r="I70" s="456" t="str">
        <f>IF($E$16=I65,ROUND(I66,3),"")</f>
        <v/>
      </c>
      <c r="J70" s="456" t="str">
        <f>IF($E$16=J65,ROUND(J68*$M$109,3),"")</f>
        <v/>
      </c>
      <c r="K70" s="456" t="str">
        <f>IF($E$16=K65,ROUND(K68*$M$109,3),"")</f>
        <v/>
      </c>
      <c r="L70" s="456" t="str">
        <f>IF($E$16=L65,ROUND(L68*$M$109,3),"")</f>
        <v/>
      </c>
      <c r="M70" s="456" t="str">
        <f>IF($E$16=M65,ROUND(M68*$M$109,3),"")</f>
        <v/>
      </c>
      <c r="O70" s="12"/>
      <c r="P70" s="398"/>
      <c r="R70" s="348">
        <f>$M$76</f>
        <v>0.86229999999999996</v>
      </c>
      <c r="S70" s="365">
        <f>S69+((R70-R69)/(R71-R69))*(S71-S69)</f>
        <v>32.593000000000004</v>
      </c>
      <c r="T70" s="366">
        <f>T69+((R70-R69)/(R71-R69))*(T71-T69)</f>
        <v>861.8</v>
      </c>
      <c r="U70" s="350"/>
      <c r="V70" s="348">
        <f>$M$76</f>
        <v>0.86229999999999996</v>
      </c>
      <c r="W70" s="3593">
        <f>W69+((V70-V69)/(V71-V69))*(W71-W69)</f>
        <v>3.7837000000000001</v>
      </c>
      <c r="X70" s="3594"/>
      <c r="Y70" s="367"/>
      <c r="Z70" s="368">
        <f>$M$76</f>
        <v>0.86229999999999996</v>
      </c>
      <c r="AA70" s="3589">
        <f>AA69+((Z70-Z69)/(Z71-Z69))*(AA71-AA69)</f>
        <v>0.15892000000000001</v>
      </c>
      <c r="AB70" s="3589"/>
      <c r="AC70" s="350"/>
      <c r="AD70" s="348">
        <f>$M$76</f>
        <v>0.86229999999999996</v>
      </c>
      <c r="AE70" s="369">
        <f>AE69+((AD70-AD69)/(AD71-AD69))*(AE71-AE69)</f>
        <v>7.1800199999999998</v>
      </c>
      <c r="AF70" s="346">
        <f>AF69+((AD70-AD69)/(AD71-AD69))*(AF71-AF69)</f>
        <v>0.13927200000000001</v>
      </c>
      <c r="AG70" s="350"/>
      <c r="AH70" s="348">
        <f>$M$76</f>
        <v>0.86229999999999996</v>
      </c>
      <c r="AI70" s="369">
        <f>AI69+((AH70-AH69)/(AH71-AH69))*(AI71-AI69)</f>
        <v>3.5900300000000001</v>
      </c>
      <c r="AJ70" s="346">
        <f>AJ69+((AH70-AH69)/(AH71-AH69))*(AJ71-AJ69)</f>
        <v>0.150781</v>
      </c>
      <c r="AK70" s="350"/>
      <c r="AL70" s="348">
        <f>$M$76</f>
        <v>0.86229999999999996</v>
      </c>
      <c r="AM70" s="365">
        <f>AM69+((AL70-AL69)/(AL71-AL69))*(AM71-AM69)</f>
        <v>278.55099999999999</v>
      </c>
      <c r="AN70" s="370">
        <f>AN69+((AL70-AL69)/(AL71-AL69))*(AN71-AN69)</f>
        <v>6.6319000000000008</v>
      </c>
      <c r="AO70" s="350"/>
      <c r="AP70" s="348">
        <f>$M$76</f>
        <v>0.86229999999999996</v>
      </c>
      <c r="AQ70" s="369">
        <f>AQ69+((AP70-AP69)/(AP71-AP69))*(AQ71-AQ69)</f>
        <v>3.2053400000000001</v>
      </c>
      <c r="AR70" s="346">
        <f>AR69+((AP70-AP69)/(AP71-AP69))*(AR71-AR69)</f>
        <v>0.13462499999999999</v>
      </c>
      <c r="AS70" s="350"/>
      <c r="AT70" s="348">
        <f>$M$76</f>
        <v>0.86229999999999996</v>
      </c>
      <c r="AU70" s="365">
        <f>AU69+((AT70-AT69)/(AT71-AT69))*(AU71-AU69)</f>
        <v>311.97899999999998</v>
      </c>
      <c r="AV70" s="370">
        <f>AV69+((AT70-AT69)/(AT71-AT69))*(AV71-AV69)</f>
        <v>7.4283000000000001</v>
      </c>
      <c r="AW70" s="350"/>
      <c r="AX70" s="348">
        <f>$M$76</f>
        <v>0.86229999999999996</v>
      </c>
      <c r="AY70" s="369">
        <f>AY69+((AX70-AX69)/(AX71-AX69))*(AY71-AY69)</f>
        <v>1.0539400000000001</v>
      </c>
      <c r="AZ70" s="369">
        <f>AZ69+((AX70-AX69)/(AX71-AX69))*(AZ71-AZ69)</f>
        <v>1.1804100000000002</v>
      </c>
      <c r="BA70" s="12"/>
    </row>
    <row r="71" spans="3:53">
      <c r="C71" s="327">
        <v>5</v>
      </c>
      <c r="D71" s="454" t="str">
        <f t="shared" si="13"/>
        <v>LONG TONS</v>
      </c>
      <c r="E71" s="456">
        <f t="shared" si="15"/>
        <v>127065.916</v>
      </c>
      <c r="F71" s="456" t="str">
        <f>IF($E$16=F65,ROUND(F69*$I$10,3),"")</f>
        <v/>
      </c>
      <c r="G71" s="456">
        <f>IF($E$16=G65,ROUND(G69*$I$10,3),"")</f>
        <v>127065.916</v>
      </c>
      <c r="H71" s="456" t="str">
        <f>IF($E$16=H65,ROUND(H66*$I$10,3),"")</f>
        <v/>
      </c>
      <c r="I71" s="456" t="str">
        <f>IF($E$16=I65,ROUND(I69*$I$10,3),"")</f>
        <v/>
      </c>
      <c r="J71" s="456" t="str">
        <f>IF($E$16=J65,ROUND(J66,3),"")</f>
        <v/>
      </c>
      <c r="K71" s="456" t="str">
        <f>IF($E$16=K65,ROUND(K72/$I$12,3),"")</f>
        <v/>
      </c>
      <c r="L71" s="456" t="str">
        <f>IF($E$16=L65,ROUND(L69*$I$10,3),"")</f>
        <v/>
      </c>
      <c r="M71" s="456" t="str">
        <f>IF($E$16=M65,ROUND(M74*M89,3),"")</f>
        <v/>
      </c>
      <c r="O71" s="12"/>
      <c r="P71" s="398"/>
      <c r="R71" s="358">
        <f>INDEX('ASTM Vol. XI-XII'!AQ$10:AQ$860,(MATCH(R69,'ASTM Vol. XI-XII'!AQ$10:AQ$860,1)+1))</f>
        <v>0.86299999999999999</v>
      </c>
      <c r="S71" s="359">
        <f>VLOOKUP(R71,'ASTM Vol. XI-XII'!AQ$10:AR$860,2)</f>
        <v>32.46</v>
      </c>
      <c r="T71" s="360">
        <f>VLOOKUP(R71,'ASTM Vol. XI-XII'!AQ$10:AS$860,3)</f>
        <v>862.5</v>
      </c>
      <c r="U71" s="356"/>
      <c r="V71" s="358">
        <f>INDEX('ASTM Vol. XI-XII'!AU$10:AU$860,(MATCH(V69,'ASTM Vol. XI-XII'!AU$10:AU$860,1)+1))</f>
        <v>0.88300000000000023</v>
      </c>
      <c r="W71" s="3591">
        <f>VLOOKUP(V71,'ASTM Vol. XI-XII'!AU$10:AV$860,2)</f>
        <v>3.7837000000000001</v>
      </c>
      <c r="X71" s="3592"/>
      <c r="Y71" s="371"/>
      <c r="Z71" s="362">
        <f>INDEX('ASTM Vol. XI-XII'!AW$10:AW$860,(MATCH(Z69,'ASTM Vol. XI-XII'!AW$10:AW$860,1)+1))</f>
        <v>0.86400000000000021</v>
      </c>
      <c r="AA71" s="3590">
        <f>VLOOKUP(Z71,'ASTM Vol. XI-XII'!AW$10:AX$860,2)</f>
        <v>0.15892000000000001</v>
      </c>
      <c r="AB71" s="3590"/>
      <c r="AC71" s="356"/>
      <c r="AD71" s="358">
        <f>INDEX('ASTM Vol. XI-XII'!AZ$10:AZ$860,(MATCH(AD69,'ASTM Vol. XI-XII'!AZ$10:AZ$860,1)+1))</f>
        <v>0.86299999999999999</v>
      </c>
      <c r="AE71" s="363">
        <f>VLOOKUP(AD71,'ASTM Vol. XI-XII'!AZ$10:BA$860,2)</f>
        <v>7.1859000000000002</v>
      </c>
      <c r="AF71" s="345">
        <f>VLOOKUP(AD71,'ASTM Vol. XI-XII'!AZ$10:BB$860,3)</f>
        <v>0.13916000000000001</v>
      </c>
      <c r="AG71" s="356"/>
      <c r="AH71" s="358">
        <f>INDEX('ASTM Vol. XI-XII'!BD$10:BD$860,(MATCH(AH69,'ASTM Vol. XI-XII'!BD$10:BD$860,1)+1))</f>
        <v>0.86299999999999999</v>
      </c>
      <c r="AI71" s="363">
        <f>VLOOKUP(AH71,'ASTM Vol. XI-XII'!BD$10:BE$860,2)</f>
        <v>3.5929000000000002</v>
      </c>
      <c r="AJ71" s="345">
        <f>VLOOKUP(AH71,'ASTM Vol. XI-XII'!BD$10:BF$860,3)</f>
        <v>0.15090000000000001</v>
      </c>
      <c r="AK71" s="356"/>
      <c r="AL71" s="358">
        <f>INDEX('ASTM Vol. XI-XII'!BH$10:BH$860,(MATCH(AL69,'ASTM Vol. XI-XII'!BH$10:BH$860,1)+1))</f>
        <v>0.86299999999999999</v>
      </c>
      <c r="AM71" s="359">
        <f>VLOOKUP(AL71,'ASTM Vol. XI-XII'!BH$10:BI$860,2)</f>
        <v>278.32</v>
      </c>
      <c r="AN71" s="364">
        <f>VLOOKUP(AL71,'ASTM Vol. XI-XII'!BH$10:BJ$860,3)</f>
        <v>6.6269999999999998</v>
      </c>
      <c r="AO71" s="356"/>
      <c r="AP71" s="358">
        <f>INDEX('ASTM Vol. XI-XII'!BL$10:BL$860,(MATCH(AP69,'ASTM Vol. XI-XII'!BL$10:BL$860,1)+1))</f>
        <v>0.86299999999999999</v>
      </c>
      <c r="AQ71" s="363">
        <f>VLOOKUP(AP71,'ASTM Vol. XI-XII'!BL$10:BM$860,2)</f>
        <v>3.2080000000000002</v>
      </c>
      <c r="AR71" s="345">
        <f>VLOOKUP(AP71,'ASTM Vol. XI-XII'!BL$10:BN$860,3)</f>
        <v>0.13472999999999999</v>
      </c>
      <c r="AS71" s="356"/>
      <c r="AT71" s="358">
        <f>INDEX('ASTM Vol. XI-XII'!BP$10:BP$860,(MATCH(AT69,'ASTM Vol. XI-XII'!BP$10:BP$860,1)+1))</f>
        <v>0.86299999999999999</v>
      </c>
      <c r="AU71" s="359">
        <f>VLOOKUP(AT71,'ASTM Vol. XI-XII'!BP$10:BQ$860,2)</f>
        <v>311.72000000000003</v>
      </c>
      <c r="AV71" s="364">
        <f>VLOOKUP(AT71,'ASTM Vol. XI-XII'!BP$10:BR$860,3)</f>
        <v>7.4219999999999997</v>
      </c>
      <c r="AW71" s="356"/>
      <c r="AX71" s="358">
        <f>INDEX('ASTM Vol. XI-XII'!BT$10:BT$860,(MATCH(AX69,'ASTM Vol. XI-XII'!BT$10:BT$860,1)+1))</f>
        <v>0.86299999999999999</v>
      </c>
      <c r="AY71" s="363">
        <f>VLOOKUP(AX71,'ASTM Vol. XI-XII'!BT$10:BU$860,2)</f>
        <v>1.0530999999999999</v>
      </c>
      <c r="AZ71" s="363">
        <f>VLOOKUP(AX71,'ASTM Vol. XI-XII'!BT$10:BV$860,3)</f>
        <v>1.1795</v>
      </c>
      <c r="BA71" s="12"/>
    </row>
    <row r="72" spans="3:53">
      <c r="C72" s="327">
        <v>6</v>
      </c>
      <c r="D72" s="454" t="str">
        <f t="shared" si="13"/>
        <v>POUNDS LBS</v>
      </c>
      <c r="E72" s="457">
        <f t="shared" si="15"/>
        <v>284627652</v>
      </c>
      <c r="F72" s="457" t="str">
        <f>IF($E$16=F65,ROUND(F71*$I$12,0),"")</f>
        <v/>
      </c>
      <c r="G72" s="457">
        <f>IF($E$16=G65,ROUND(G71*$I$12,0),"")</f>
        <v>284627652</v>
      </c>
      <c r="H72" s="457" t="str">
        <f>IF($E$16=H65,ROUND(H71*$I$12,0),"")</f>
        <v/>
      </c>
      <c r="I72" s="457" t="str">
        <f>IF($E$16=I65,ROUND(I71*$I$12,0),"")</f>
        <v/>
      </c>
      <c r="J72" s="457" t="str">
        <f>IF($E$16=J65,ROUND(J71*$I$12,0),"")</f>
        <v/>
      </c>
      <c r="K72" s="457" t="str">
        <f>IF($E$16=K65,ROUND(K66,0),"")</f>
        <v/>
      </c>
      <c r="L72" s="457" t="str">
        <f>IF($E$16=L65,ROUND(L71*$I$12,0),"")</f>
        <v/>
      </c>
      <c r="M72" s="457" t="str">
        <f>IF($E$16=M65,ROUND(M69*1000*$I$13,0),"")</f>
        <v/>
      </c>
      <c r="O72" s="12"/>
      <c r="P72" s="398"/>
    </row>
    <row r="73" spans="3:53">
      <c r="C73" s="327">
        <v>7</v>
      </c>
      <c r="D73" s="454" t="str">
        <f t="shared" si="13"/>
        <v>US GALLONS at 60°F</v>
      </c>
      <c r="E73" s="457">
        <f t="shared" si="15"/>
        <v>39645900</v>
      </c>
      <c r="F73" s="457" t="str">
        <f>IF($E$16=F65,ROUND(F74*$I$9,0),"")</f>
        <v/>
      </c>
      <c r="G73" s="457">
        <f>IF($E$16=G65,ROUND(G74*$I$9,0),"")</f>
        <v>39645900</v>
      </c>
      <c r="H73" s="457" t="str">
        <f>IF($E$16=H65,ROUND(H74*$I$9,0),"")</f>
        <v/>
      </c>
      <c r="I73" s="457" t="str">
        <f>IF($E$16=I65,ROUND(I74*$I$9,0),"")</f>
        <v/>
      </c>
      <c r="J73" s="457" t="str">
        <f>IF($E$16=J65,ROUND(J74*$I$9,0),"")</f>
        <v/>
      </c>
      <c r="K73" s="457" t="str">
        <f>IF($E$16=K65,ROUND(K72*M83,0),"")</f>
        <v/>
      </c>
      <c r="L73" s="457" t="str">
        <f>IF($E$16=L65,ROUND(L66,0),"")</f>
        <v/>
      </c>
      <c r="M73" s="457" t="str">
        <f>IF($E$16=M65,ROUND(M74*$I$9,0),"")</f>
        <v/>
      </c>
      <c r="O73" s="12"/>
      <c r="P73" s="398"/>
    </row>
    <row r="74" spans="3:53">
      <c r="C74" s="327">
        <v>8</v>
      </c>
      <c r="D74" s="454" t="str">
        <f t="shared" si="13"/>
        <v>US BARRELS at 60°F</v>
      </c>
      <c r="E74" s="457">
        <f t="shared" si="15"/>
        <v>943950</v>
      </c>
      <c r="F74" s="457" t="str">
        <f>IF($E$16=F65,ROUND(F68*$M$115,0),"")</f>
        <v/>
      </c>
      <c r="G74" s="457">
        <f t="shared" ref="G74:I74" si="16">IF($E$16=G65,ROUND(G68*$M$115,0),"")</f>
        <v>943950</v>
      </c>
      <c r="H74" s="457" t="str">
        <f t="shared" si="16"/>
        <v/>
      </c>
      <c r="I74" s="457" t="str">
        <f t="shared" si="16"/>
        <v/>
      </c>
      <c r="J74" s="457" t="str">
        <f>IF($E$16=J65,ROUND(J71*M91,0),"")</f>
        <v/>
      </c>
      <c r="K74" s="457" t="str">
        <f>IF($E$16=K65,ROUND(K71*M91,0),"")</f>
        <v/>
      </c>
      <c r="L74" s="457" t="str">
        <f>IF($E$16=L65,ROUND(E66/$I$9,0),"")</f>
        <v/>
      </c>
      <c r="M74" s="457" t="str">
        <f>IF($E$16=M65,ROUND(M66,0),"")</f>
        <v/>
      </c>
      <c r="N74" s="312"/>
      <c r="O74" s="399"/>
      <c r="P74" s="400"/>
    </row>
    <row r="75" spans="3:53">
      <c r="C75" s="464"/>
      <c r="D75" s="458"/>
      <c r="E75" s="484"/>
      <c r="F75" s="484"/>
      <c r="G75" s="488"/>
      <c r="H75" s="488"/>
      <c r="I75" s="488"/>
      <c r="J75" s="384"/>
      <c r="K75" s="489"/>
      <c r="L75" s="465"/>
      <c r="M75" s="484"/>
      <c r="N75" s="484"/>
      <c r="O75" s="484"/>
      <c r="P75" s="487"/>
    </row>
    <row r="76" spans="3:53">
      <c r="C76" s="275"/>
      <c r="J76" s="274"/>
      <c r="K76" s="275"/>
      <c r="L76" s="430" t="s">
        <v>132</v>
      </c>
      <c r="M76" s="283">
        <f>M9</f>
        <v>0.86229999999999996</v>
      </c>
      <c r="N76" s="392" t="s">
        <v>167</v>
      </c>
      <c r="O76" s="6"/>
      <c r="P76" s="277"/>
    </row>
    <row r="77" spans="3:53">
      <c r="C77" s="275"/>
      <c r="D77" s="311"/>
      <c r="G77" s="311"/>
      <c r="H77" s="311"/>
      <c r="I77" s="311"/>
      <c r="J77" s="379"/>
      <c r="K77" s="415" t="s">
        <v>111</v>
      </c>
      <c r="L77" s="429" t="s">
        <v>136</v>
      </c>
      <c r="M77" s="301">
        <f>S70</f>
        <v>32.593000000000004</v>
      </c>
      <c r="N77" s="289" t="s">
        <v>166</v>
      </c>
      <c r="O77" s="6"/>
      <c r="P77" s="277"/>
    </row>
    <row r="78" spans="3:53">
      <c r="C78" s="275"/>
      <c r="D78" s="311"/>
      <c r="G78" s="311"/>
      <c r="H78" s="311"/>
      <c r="I78" s="311"/>
      <c r="J78" s="379"/>
      <c r="K78" s="415" t="s">
        <v>111</v>
      </c>
      <c r="L78" s="430" t="s">
        <v>131</v>
      </c>
      <c r="M78" s="318">
        <f>T70</f>
        <v>861.8</v>
      </c>
      <c r="N78" s="393" t="s">
        <v>168</v>
      </c>
      <c r="O78" s="6"/>
      <c r="P78" s="277"/>
    </row>
    <row r="79" spans="3:53" ht="13.15">
      <c r="C79" s="328"/>
      <c r="D79" s="317" t="s">
        <v>145</v>
      </c>
      <c r="E79" s="507" t="s">
        <v>160</v>
      </c>
      <c r="F79" s="507" t="s">
        <v>161</v>
      </c>
      <c r="G79" s="317" t="s">
        <v>160</v>
      </c>
      <c r="H79" s="317" t="s">
        <v>161</v>
      </c>
      <c r="I79" s="317"/>
      <c r="J79" s="380"/>
      <c r="K79" s="416"/>
      <c r="L79" s="431"/>
      <c r="M79" s="321"/>
      <c r="N79" s="321"/>
      <c r="O79" s="322"/>
      <c r="P79" s="323"/>
    </row>
    <row r="80" spans="3:53">
      <c r="C80" s="327"/>
      <c r="D80" s="319"/>
      <c r="E80" s="506"/>
      <c r="F80" s="498"/>
      <c r="G80" s="390"/>
      <c r="H80" s="412"/>
      <c r="I80" s="412"/>
      <c r="J80" s="381"/>
      <c r="K80" s="415" t="s">
        <v>112</v>
      </c>
      <c r="L80" s="430" t="s">
        <v>137</v>
      </c>
      <c r="M80" s="302">
        <f>W70</f>
        <v>3.7837000000000001</v>
      </c>
      <c r="N80" s="293" t="s">
        <v>25</v>
      </c>
      <c r="O80" s="423" t="s">
        <v>142</v>
      </c>
      <c r="P80" s="277"/>
    </row>
    <row r="81" spans="3:44">
      <c r="C81" s="327"/>
      <c r="D81" s="319"/>
      <c r="E81" s="499"/>
      <c r="F81" s="500"/>
      <c r="G81" s="390"/>
      <c r="H81" s="413"/>
      <c r="I81" s="413"/>
      <c r="J81" s="382"/>
      <c r="K81" s="415" t="s">
        <v>112</v>
      </c>
      <c r="L81" s="430" t="s">
        <v>138</v>
      </c>
      <c r="M81" s="303">
        <f>AA70</f>
        <v>0.15892000000000001</v>
      </c>
      <c r="N81" s="294" t="s">
        <v>25</v>
      </c>
      <c r="O81" s="423" t="s">
        <v>143</v>
      </c>
      <c r="P81" s="277"/>
    </row>
    <row r="82" spans="3:44">
      <c r="C82" s="327"/>
      <c r="D82" s="319"/>
      <c r="E82" s="499"/>
      <c r="F82" s="500"/>
      <c r="G82" s="390"/>
      <c r="H82" s="412"/>
      <c r="I82" s="412"/>
      <c r="J82" s="381"/>
      <c r="K82" s="415" t="s">
        <v>117</v>
      </c>
      <c r="L82" s="429" t="s">
        <v>102</v>
      </c>
      <c r="M82" s="302">
        <f>AE70</f>
        <v>7.1800199999999998</v>
      </c>
      <c r="N82" s="294" t="s">
        <v>25</v>
      </c>
      <c r="O82" s="423" t="s">
        <v>142</v>
      </c>
      <c r="P82" s="277"/>
    </row>
    <row r="83" spans="3:44">
      <c r="C83" s="327"/>
      <c r="D83" s="319"/>
      <c r="E83" s="499"/>
      <c r="F83" s="500"/>
      <c r="G83" s="390"/>
      <c r="H83" s="412"/>
      <c r="I83" s="412"/>
      <c r="J83" s="381"/>
      <c r="K83" s="415" t="s">
        <v>117</v>
      </c>
      <c r="L83" s="433" t="s">
        <v>139</v>
      </c>
      <c r="M83" s="303">
        <f>AF70</f>
        <v>0.13927200000000001</v>
      </c>
      <c r="N83" s="294" t="s">
        <v>25</v>
      </c>
      <c r="O83" s="424" t="s">
        <v>103</v>
      </c>
      <c r="P83" s="277"/>
    </row>
    <row r="84" spans="3:44">
      <c r="C84" s="327"/>
      <c r="D84" s="319"/>
      <c r="E84" s="499"/>
      <c r="F84" s="500"/>
      <c r="G84" s="390"/>
      <c r="H84" s="413"/>
      <c r="I84" s="413"/>
      <c r="J84" s="382"/>
      <c r="K84" s="415" t="s">
        <v>118</v>
      </c>
      <c r="L84" s="433" t="s">
        <v>23</v>
      </c>
      <c r="M84" s="302">
        <f>AI70</f>
        <v>3.5900300000000001</v>
      </c>
      <c r="N84" s="294" t="s">
        <v>25</v>
      </c>
      <c r="O84" s="423" t="s">
        <v>144</v>
      </c>
      <c r="P84" s="277"/>
    </row>
    <row r="85" spans="3:44">
      <c r="C85" s="327"/>
      <c r="D85" s="319"/>
      <c r="E85" s="499"/>
      <c r="F85" s="500"/>
      <c r="G85" s="390"/>
      <c r="H85" s="413"/>
      <c r="I85" s="413"/>
      <c r="J85" s="382"/>
      <c r="K85" s="415" t="s">
        <v>118</v>
      </c>
      <c r="L85" s="433" t="s">
        <v>23</v>
      </c>
      <c r="M85" s="303">
        <f>AJ70</f>
        <v>0.150781</v>
      </c>
      <c r="N85" s="294" t="s">
        <v>25</v>
      </c>
      <c r="O85" s="423" t="s">
        <v>143</v>
      </c>
      <c r="P85" s="277"/>
    </row>
    <row r="86" spans="3:44">
      <c r="C86" s="327"/>
      <c r="D86" s="319"/>
      <c r="E86" s="499"/>
      <c r="F86" s="500"/>
      <c r="G86" s="390"/>
      <c r="H86" s="412"/>
      <c r="I86" s="412"/>
      <c r="J86" s="381"/>
      <c r="K86" s="415" t="s">
        <v>119</v>
      </c>
      <c r="L86" s="433" t="s">
        <v>139</v>
      </c>
      <c r="M86" s="300">
        <f>AM70</f>
        <v>278.55099999999999</v>
      </c>
      <c r="N86" s="294" t="s">
        <v>25</v>
      </c>
      <c r="O86" s="423" t="s">
        <v>106</v>
      </c>
      <c r="P86" s="277"/>
    </row>
    <row r="87" spans="3:44">
      <c r="C87" s="327"/>
      <c r="D87" s="319"/>
      <c r="E87" s="499"/>
      <c r="F87" s="500"/>
      <c r="G87" s="390"/>
      <c r="H87" s="412"/>
      <c r="I87" s="412"/>
      <c r="J87" s="381"/>
      <c r="K87" s="415" t="s">
        <v>119</v>
      </c>
      <c r="L87" s="433" t="s">
        <v>140</v>
      </c>
      <c r="M87" s="305">
        <f>AN70</f>
        <v>6.6319000000000008</v>
      </c>
      <c r="N87" s="294" t="s">
        <v>25</v>
      </c>
      <c r="O87" s="423" t="s">
        <v>106</v>
      </c>
      <c r="P87" s="277"/>
    </row>
    <row r="88" spans="3:44">
      <c r="C88" s="327"/>
      <c r="D88" s="319"/>
      <c r="E88" s="499"/>
      <c r="F88" s="500"/>
      <c r="G88" s="390"/>
      <c r="H88" s="413"/>
      <c r="I88" s="413"/>
      <c r="J88" s="382"/>
      <c r="K88" s="415" t="s">
        <v>120</v>
      </c>
      <c r="L88" s="433" t="s">
        <v>14</v>
      </c>
      <c r="M88" s="302">
        <f>AQ70</f>
        <v>3.2053400000000001</v>
      </c>
      <c r="N88" s="294" t="s">
        <v>25</v>
      </c>
      <c r="O88" s="423" t="s">
        <v>144</v>
      </c>
      <c r="P88" s="277"/>
    </row>
    <row r="89" spans="3:44">
      <c r="C89" s="327"/>
      <c r="D89" s="319"/>
      <c r="E89" s="499"/>
      <c r="F89" s="500"/>
      <c r="G89" s="390"/>
      <c r="H89" s="413"/>
      <c r="I89" s="413"/>
      <c r="J89" s="382"/>
      <c r="K89" s="415" t="s">
        <v>120</v>
      </c>
      <c r="L89" s="433" t="s">
        <v>14</v>
      </c>
      <c r="M89" s="303">
        <f>AR70</f>
        <v>0.13462499999999999</v>
      </c>
      <c r="N89" s="294" t="s">
        <v>25</v>
      </c>
      <c r="O89" s="423" t="s">
        <v>143</v>
      </c>
      <c r="P89" s="277"/>
    </row>
    <row r="90" spans="3:44">
      <c r="C90" s="327"/>
      <c r="D90" s="319"/>
      <c r="E90" s="499"/>
      <c r="F90" s="500"/>
      <c r="G90" s="390"/>
      <c r="H90" s="412"/>
      <c r="I90" s="412"/>
      <c r="J90" s="381"/>
      <c r="K90" s="415" t="s">
        <v>121</v>
      </c>
      <c r="L90" s="433" t="s">
        <v>139</v>
      </c>
      <c r="M90" s="300">
        <f>AU70</f>
        <v>311.97899999999998</v>
      </c>
      <c r="N90" s="294" t="s">
        <v>25</v>
      </c>
      <c r="O90" s="423" t="s">
        <v>108</v>
      </c>
      <c r="P90" s="277"/>
    </row>
    <row r="91" spans="3:44">
      <c r="C91" s="327"/>
      <c r="D91" s="319"/>
      <c r="E91" s="499"/>
      <c r="F91" s="500"/>
      <c r="G91" s="390"/>
      <c r="H91" s="412"/>
      <c r="I91" s="412"/>
      <c r="J91" s="381"/>
      <c r="K91" s="415" t="s">
        <v>121</v>
      </c>
      <c r="L91" s="433" t="s">
        <v>140</v>
      </c>
      <c r="M91" s="305">
        <f>AV70</f>
        <v>7.4283000000000001</v>
      </c>
      <c r="N91" s="294" t="s">
        <v>25</v>
      </c>
      <c r="O91" s="423" t="s">
        <v>108</v>
      </c>
      <c r="P91" s="277"/>
    </row>
    <row r="92" spans="3:44">
      <c r="C92" s="327"/>
      <c r="D92" s="319"/>
      <c r="E92" s="499"/>
      <c r="F92" s="500"/>
      <c r="G92" s="390"/>
      <c r="H92" s="413"/>
      <c r="I92" s="413"/>
      <c r="J92" s="382"/>
      <c r="K92" s="415" t="s">
        <v>122</v>
      </c>
      <c r="L92" s="432" t="s">
        <v>138</v>
      </c>
      <c r="M92" s="302">
        <f>AY70</f>
        <v>1.0539400000000001</v>
      </c>
      <c r="N92" s="294" t="s">
        <v>25</v>
      </c>
      <c r="O92" s="423" t="s">
        <v>106</v>
      </c>
      <c r="P92" s="277"/>
    </row>
    <row r="93" spans="3:44">
      <c r="C93" s="327"/>
      <c r="D93" s="319"/>
      <c r="E93" s="499"/>
      <c r="F93" s="500"/>
      <c r="G93" s="390"/>
      <c r="H93" s="413"/>
      <c r="I93" s="413"/>
      <c r="J93" s="382"/>
      <c r="K93" s="415" t="s">
        <v>122</v>
      </c>
      <c r="L93" s="432" t="s">
        <v>138</v>
      </c>
      <c r="M93" s="302">
        <f>AZ70</f>
        <v>1.1804100000000002</v>
      </c>
      <c r="N93" s="294" t="s">
        <v>25</v>
      </c>
      <c r="O93" s="423" t="s">
        <v>108</v>
      </c>
      <c r="P93" s="277"/>
    </row>
    <row r="94" spans="3:44">
      <c r="C94" s="329"/>
      <c r="D94" s="312"/>
      <c r="E94" s="504"/>
      <c r="F94" s="505"/>
      <c r="G94" s="391"/>
      <c r="H94" s="312"/>
      <c r="I94" s="312"/>
      <c r="J94" s="383"/>
      <c r="K94" s="418"/>
      <c r="L94" s="434"/>
      <c r="M94" s="281"/>
      <c r="N94" s="281"/>
      <c r="O94" s="281"/>
      <c r="P94" s="282"/>
    </row>
    <row r="96" spans="3:44">
      <c r="C96" s="3657" t="s">
        <v>150</v>
      </c>
      <c r="D96" s="3658"/>
      <c r="E96" s="3658"/>
      <c r="F96" s="3658"/>
      <c r="G96" s="3658"/>
      <c r="H96" s="3658"/>
      <c r="I96" s="3658"/>
      <c r="J96" s="3658"/>
      <c r="K96" s="3658"/>
      <c r="L96" s="3658"/>
      <c r="M96" s="3658"/>
      <c r="N96" s="3658"/>
      <c r="O96" s="3658"/>
      <c r="P96" s="3659"/>
      <c r="R96" s="262" t="s">
        <v>100</v>
      </c>
      <c r="S96" s="29"/>
      <c r="T96" s="29"/>
      <c r="U96" s="29"/>
      <c r="V96" s="29"/>
      <c r="W96" s="29"/>
      <c r="X96" s="29"/>
      <c r="Y96" s="29"/>
      <c r="Z96" s="29"/>
      <c r="AA96" s="29"/>
      <c r="AB96" s="29"/>
      <c r="AC96" s="216"/>
      <c r="AD96" s="166" t="s">
        <v>100</v>
      </c>
      <c r="AE96" s="29"/>
      <c r="AF96" s="166"/>
      <c r="AG96" s="29"/>
      <c r="AH96" s="29"/>
      <c r="AI96" s="29"/>
      <c r="AJ96" s="29"/>
      <c r="AK96" s="29"/>
      <c r="AL96" s="29"/>
      <c r="AM96" s="29"/>
      <c r="AN96" s="29"/>
      <c r="AO96" s="273"/>
      <c r="AP96" s="164"/>
      <c r="AQ96" s="164"/>
      <c r="AR96" s="167"/>
    </row>
    <row r="97" spans="3:44" ht="13.15">
      <c r="C97" s="419"/>
      <c r="D97" s="284" t="s">
        <v>148</v>
      </c>
      <c r="E97" s="451" t="s">
        <v>183</v>
      </c>
      <c r="F97" s="480" t="s">
        <v>184</v>
      </c>
      <c r="G97" s="480" t="s">
        <v>184</v>
      </c>
      <c r="H97" s="480" t="s">
        <v>184</v>
      </c>
      <c r="I97" s="480" t="s">
        <v>184</v>
      </c>
      <c r="J97" s="480" t="s">
        <v>184</v>
      </c>
      <c r="K97" s="480" t="s">
        <v>184</v>
      </c>
      <c r="L97" s="480" t="s">
        <v>184</v>
      </c>
      <c r="M97" s="480" t="s">
        <v>184</v>
      </c>
      <c r="O97" s="441"/>
      <c r="P97" s="398"/>
      <c r="R97" s="253" t="s">
        <v>12</v>
      </c>
      <c r="S97" s="254"/>
      <c r="T97" s="255"/>
      <c r="U97" s="249"/>
      <c r="V97" s="253" t="s">
        <v>7</v>
      </c>
      <c r="W97" s="254"/>
      <c r="X97" s="255"/>
      <c r="Y97" s="258"/>
      <c r="Z97" s="3549" t="str">
        <f>'ASTM Vol. XI-XII'!CF5</f>
        <v>ASTM Table 56</v>
      </c>
      <c r="AA97" s="3550"/>
      <c r="AB97" s="3551"/>
      <c r="AC97" s="258"/>
      <c r="AD97" s="3549" t="str">
        <f>'ASTM Vol. XI-XII'!CI5</f>
        <v>ASTM Table 56</v>
      </c>
      <c r="AE97" s="3550"/>
      <c r="AF97" s="3551"/>
      <c r="AG97" s="258"/>
      <c r="AH97" s="253" t="s">
        <v>8</v>
      </c>
      <c r="AI97" s="254"/>
      <c r="AJ97" s="255"/>
      <c r="AK97" s="249"/>
      <c r="AL97" s="253" t="s">
        <v>9</v>
      </c>
      <c r="AM97" s="254"/>
      <c r="AN97" s="255"/>
      <c r="AO97" s="249"/>
      <c r="AP97" s="253" t="s">
        <v>10</v>
      </c>
      <c r="AQ97" s="254"/>
      <c r="AR97" s="255"/>
    </row>
    <row r="98" spans="3:44">
      <c r="C98" s="275"/>
      <c r="D98" s="681" t="s">
        <v>253</v>
      </c>
      <c r="E98" s="481" t="str">
        <f>$E$16</f>
        <v>CUBIC METERS at 15°C</v>
      </c>
      <c r="F98" s="477" t="str">
        <f>D100</f>
        <v>LITERS at 15°C</v>
      </c>
      <c r="G98" s="477" t="str">
        <f>D101</f>
        <v>CUBIC METERS at 15°C</v>
      </c>
      <c r="H98" s="477" t="str">
        <f>D102</f>
        <v>METRIC TONS (in AIR)</v>
      </c>
      <c r="I98" s="477" t="str">
        <f>D103</f>
        <v>METRIC TONS (in VAC)</v>
      </c>
      <c r="J98" s="477" t="str">
        <f>D104</f>
        <v>LONG TONS</v>
      </c>
      <c r="K98" s="477" t="str">
        <f>D105</f>
        <v>POUNDS LBS</v>
      </c>
      <c r="L98" s="477" t="str">
        <f>D106</f>
        <v>US GALLONS at 60°F</v>
      </c>
      <c r="M98" s="477" t="str">
        <f>D107</f>
        <v>US BARRELS at 60°F</v>
      </c>
      <c r="O98" s="426"/>
      <c r="P98" s="398"/>
      <c r="R98" s="229" t="s">
        <v>20</v>
      </c>
      <c r="S98" s="230" t="s">
        <v>19</v>
      </c>
      <c r="T98" s="231" t="s">
        <v>18</v>
      </c>
      <c r="U98" s="250"/>
      <c r="V98" s="229" t="s">
        <v>20</v>
      </c>
      <c r="W98" s="230" t="s">
        <v>13</v>
      </c>
      <c r="X98" s="231" t="s">
        <v>16</v>
      </c>
      <c r="Y98" s="259"/>
      <c r="Z98" s="229" t="str">
        <f>'ASTM Vol. XI-XII'!CF6</f>
        <v>DENSITY</v>
      </c>
      <c r="AA98" s="3552" t="str">
        <f>'ASTM Vol. XI-XII'!CG6</f>
        <v>Factor for Converting</v>
      </c>
      <c r="AB98" s="3553"/>
      <c r="AC98" s="259"/>
      <c r="AD98" s="229" t="str">
        <f>'ASTM Vol. XI-XII'!CI6</f>
        <v>DENSITY</v>
      </c>
      <c r="AE98" s="3552" t="str">
        <f>'ASTM Vol. XI-XII'!CJ6</f>
        <v>Factor for Converting</v>
      </c>
      <c r="AF98" s="3553"/>
      <c r="AG98" s="259"/>
      <c r="AH98" s="229" t="s">
        <v>20</v>
      </c>
      <c r="AI98" s="230" t="s">
        <v>17</v>
      </c>
      <c r="AJ98" s="231" t="s">
        <v>13</v>
      </c>
      <c r="AK98" s="250"/>
      <c r="AL98" s="229" t="s">
        <v>20</v>
      </c>
      <c r="AM98" s="230" t="s">
        <v>23</v>
      </c>
      <c r="AN98" s="231" t="s">
        <v>14</v>
      </c>
      <c r="AO98" s="250"/>
      <c r="AP98" s="229" t="s">
        <v>20</v>
      </c>
      <c r="AQ98" s="230" t="s">
        <v>24</v>
      </c>
      <c r="AR98" s="231" t="s">
        <v>16</v>
      </c>
    </row>
    <row r="99" spans="3:44" ht="13.15">
      <c r="C99" s="276"/>
      <c r="D99" s="383"/>
      <c r="E99" s="482">
        <f>$E$17</f>
        <v>150000</v>
      </c>
      <c r="F99" s="478" t="str">
        <f t="shared" ref="F99:M99" si="17">IF(F98=$E$98,$E$99,"")</f>
        <v/>
      </c>
      <c r="G99" s="479">
        <f t="shared" si="17"/>
        <v>150000</v>
      </c>
      <c r="H99" s="479" t="str">
        <f t="shared" si="17"/>
        <v/>
      </c>
      <c r="I99" s="479" t="str">
        <f t="shared" si="17"/>
        <v/>
      </c>
      <c r="J99" s="479" t="str">
        <f t="shared" si="17"/>
        <v/>
      </c>
      <c r="K99" s="478" t="str">
        <f t="shared" si="17"/>
        <v/>
      </c>
      <c r="L99" s="478" t="str">
        <f t="shared" si="17"/>
        <v/>
      </c>
      <c r="M99" s="478" t="str">
        <f t="shared" si="17"/>
        <v/>
      </c>
      <c r="N99" s="276"/>
      <c r="O99" s="428"/>
      <c r="P99" s="400"/>
      <c r="R99" s="180"/>
      <c r="S99" s="181" t="s">
        <v>20</v>
      </c>
      <c r="T99" s="182" t="s">
        <v>26</v>
      </c>
      <c r="U99" s="185"/>
      <c r="V99" s="180" t="s">
        <v>27</v>
      </c>
      <c r="W99" s="181" t="s">
        <v>25</v>
      </c>
      <c r="X99" s="182" t="s">
        <v>25</v>
      </c>
      <c r="Y99" s="260"/>
      <c r="Z99" s="180" t="str">
        <f>'ASTM Vol. XI-XII'!CF7</f>
        <v>(kg/L)</v>
      </c>
      <c r="AA99" s="3538" t="str">
        <f>'ASTM Vol. XI-XII'!CG7</f>
        <v>Weight in Vacuo</v>
      </c>
      <c r="AB99" s="3539"/>
      <c r="AC99" s="260"/>
      <c r="AD99" s="180" t="str">
        <f>'ASTM Vol. XI-XII'!CI7</f>
        <v>(kg/L)</v>
      </c>
      <c r="AE99" s="3554" t="str">
        <f>'ASTM Vol. XI-XII'!CJ7</f>
        <v>Weight in Air</v>
      </c>
      <c r="AF99" s="3555"/>
      <c r="AG99" s="260"/>
      <c r="AH99" s="180" t="s">
        <v>27</v>
      </c>
      <c r="AI99" s="181" t="s">
        <v>25</v>
      </c>
      <c r="AJ99" s="182" t="s">
        <v>25</v>
      </c>
      <c r="AK99" s="185"/>
      <c r="AL99" s="180"/>
      <c r="AM99" s="181" t="s">
        <v>25</v>
      </c>
      <c r="AN99" s="182" t="s">
        <v>25</v>
      </c>
      <c r="AO99" s="185"/>
      <c r="AP99" s="180" t="s">
        <v>27</v>
      </c>
      <c r="AQ99" s="181" t="s">
        <v>25</v>
      </c>
      <c r="AR99" s="182" t="s">
        <v>25</v>
      </c>
    </row>
    <row r="100" spans="3:44">
      <c r="C100" s="327">
        <v>1</v>
      </c>
      <c r="D100" s="454" t="str">
        <f t="shared" ref="D100:D107" si="18">D18</f>
        <v>LITERS at 15°C</v>
      </c>
      <c r="E100" s="457">
        <f>MAX(F100:M100)</f>
        <v>150000000</v>
      </c>
      <c r="F100" s="457" t="str">
        <f>IF($E$16=F98,ROUND(F99,0),"")</f>
        <v/>
      </c>
      <c r="G100" s="457">
        <f>IF($E$16=G98,ROUND(G99*1000,0),"")</f>
        <v>150000000</v>
      </c>
      <c r="H100" s="457" t="str">
        <f>IF($E$16=H98,ROUND(H101*1000,0),"")</f>
        <v/>
      </c>
      <c r="I100" s="457" t="str">
        <f>IF($E$16=I98,ROUND(I101*1000,0),"")</f>
        <v/>
      </c>
      <c r="J100" s="457" t="str">
        <f>IF($E$16=J98,ROUND(J101*1000,0),"")</f>
        <v/>
      </c>
      <c r="K100" s="457" t="str">
        <f>IF($E$16=K98,ROUND(K101*1000,0),"")</f>
        <v/>
      </c>
      <c r="L100" s="457" t="str">
        <f>IF($E$16=L98,ROUND(L107*M114*1000,0),"")</f>
        <v/>
      </c>
      <c r="M100" s="457" t="str">
        <f>IF($E$16=M98,ROUND(M107*M114*1000,0),"")</f>
        <v/>
      </c>
      <c r="O100" s="12"/>
      <c r="P100" s="398"/>
      <c r="R100" s="233"/>
      <c r="S100" s="234"/>
      <c r="T100" s="235"/>
      <c r="U100" s="250"/>
      <c r="V100" s="233" t="s">
        <v>27</v>
      </c>
      <c r="W100" s="234" t="s">
        <v>28</v>
      </c>
      <c r="X100" s="235" t="s">
        <v>22</v>
      </c>
      <c r="Y100" s="259"/>
      <c r="Z100" s="233"/>
      <c r="AA100" s="3536" t="str">
        <f>'ASTM Vol. XI-XII'!CG8</f>
        <v>to Weight in Air</v>
      </c>
      <c r="AB100" s="3537"/>
      <c r="AC100" s="259"/>
      <c r="AD100" s="233"/>
      <c r="AE100" s="3538" t="str">
        <f>'ASTM Vol. XI-XII'!CJ8</f>
        <v>to Weight in Vacuo</v>
      </c>
      <c r="AF100" s="3539"/>
      <c r="AG100" s="259"/>
      <c r="AH100" s="233" t="s">
        <v>27</v>
      </c>
      <c r="AI100" s="234" t="s">
        <v>22</v>
      </c>
      <c r="AJ100" s="235" t="s">
        <v>29</v>
      </c>
      <c r="AK100" s="250"/>
      <c r="AL100" s="233"/>
      <c r="AM100" s="234" t="s">
        <v>22</v>
      </c>
      <c r="AN100" s="235" t="s">
        <v>22</v>
      </c>
      <c r="AO100" s="250"/>
      <c r="AP100" s="233" t="s">
        <v>27</v>
      </c>
      <c r="AQ100" s="234" t="s">
        <v>29</v>
      </c>
      <c r="AR100" s="235" t="s">
        <v>29</v>
      </c>
    </row>
    <row r="101" spans="3:44">
      <c r="C101" s="327">
        <v>2</v>
      </c>
      <c r="D101" s="454" t="str">
        <f t="shared" si="18"/>
        <v>CUBIC METERS at 15°C</v>
      </c>
      <c r="E101" s="456">
        <f t="shared" ref="E101:E107" si="19">MAX(F101:M101)</f>
        <v>150000</v>
      </c>
      <c r="F101" s="456" t="str">
        <f>IF($E$16=F98,ROUND(F99/1000,3),"")</f>
        <v/>
      </c>
      <c r="G101" s="456">
        <f>IF($E$16=G98,ROUND(G99,3),"")</f>
        <v>150000</v>
      </c>
      <c r="H101" s="456" t="str">
        <f>IF($E$16=H98,ROUND(H102*$M$119,3),"")</f>
        <v/>
      </c>
      <c r="I101" s="456" t="str">
        <f>IF($E$16=I98,ROUND(I103/M109,3),"")</f>
        <v/>
      </c>
      <c r="J101" s="456" t="str">
        <f>IF($E$16=J98,ROUND(J102*$M$119,3),"")</f>
        <v/>
      </c>
      <c r="K101" s="456" t="str">
        <f>IF($E$16=K98,ROUND(K102*$M$119,3),"")</f>
        <v/>
      </c>
      <c r="L101" s="456" t="str">
        <f>IF($E$16=L98,ROUND(L107*M114,3),"")</f>
        <v/>
      </c>
      <c r="M101" s="456" t="str">
        <f>IF($E$16=M98,ROUND(M107*M114,3),"")</f>
        <v/>
      </c>
      <c r="O101" s="12"/>
      <c r="P101" s="398"/>
      <c r="R101" s="23" t="s">
        <v>34</v>
      </c>
      <c r="S101" s="183" t="s">
        <v>35</v>
      </c>
      <c r="T101" s="184" t="s">
        <v>32</v>
      </c>
      <c r="U101" s="185"/>
      <c r="V101" s="23" t="s">
        <v>34</v>
      </c>
      <c r="W101" s="183"/>
      <c r="X101" s="184"/>
      <c r="Y101" s="260"/>
      <c r="Z101" s="263" t="str">
        <f>'ASTM Vol. XI-XII'!CF9</f>
        <v>( 15°C )</v>
      </c>
      <c r="AA101" s="3540"/>
      <c r="AB101" s="3541"/>
      <c r="AC101" s="260"/>
      <c r="AD101" s="23" t="str">
        <f>'ASTM Vol. XI-XII'!CI9</f>
        <v>( 15°C )</v>
      </c>
      <c r="AE101" s="3584"/>
      <c r="AF101" s="3585"/>
      <c r="AG101" s="260"/>
      <c r="AH101" s="23" t="s">
        <v>34</v>
      </c>
      <c r="AI101" s="183" t="s">
        <v>34</v>
      </c>
      <c r="AJ101" s="184" t="s">
        <v>34</v>
      </c>
      <c r="AK101" s="185"/>
      <c r="AL101" s="23" t="s">
        <v>34</v>
      </c>
      <c r="AM101" s="183" t="s">
        <v>34</v>
      </c>
      <c r="AN101" s="184" t="s">
        <v>34</v>
      </c>
      <c r="AO101" s="185"/>
      <c r="AP101" s="23" t="s">
        <v>34</v>
      </c>
      <c r="AQ101" s="183" t="s">
        <v>34</v>
      </c>
      <c r="AR101" s="184" t="s">
        <v>34</v>
      </c>
    </row>
    <row r="102" spans="3:44">
      <c r="C102" s="327">
        <v>3</v>
      </c>
      <c r="D102" s="454" t="str">
        <f t="shared" si="18"/>
        <v>METRIC TONS (in AIR)</v>
      </c>
      <c r="E102" s="456">
        <f>MAX(F102:M102)</f>
        <v>129105</v>
      </c>
      <c r="F102" s="456" t="str">
        <f>IF($E$16=F98,ROUND(F101*$M$118/1000,3),"")</f>
        <v/>
      </c>
      <c r="G102" s="456">
        <f>IF($E$16=G98,ROUND(G101*$M$118/1000,3),"")</f>
        <v>129105</v>
      </c>
      <c r="H102" s="456" t="str">
        <f>IF($E$16=H98,ROUND(H99,3),"")</f>
        <v/>
      </c>
      <c r="I102" s="456" t="str">
        <f>IF($E$16=I98,ROUND(I101*$M$118/1000,3),"")</f>
        <v/>
      </c>
      <c r="J102" s="456" t="str">
        <f>IF($E$16=J98,ROUND(J99*I11,3),"")</f>
        <v/>
      </c>
      <c r="K102" s="456" t="str">
        <f>IF($E$16=K98,ROUND(E99/I13/1000,3),"")</f>
        <v/>
      </c>
      <c r="L102" s="456" t="str">
        <f>IF($E$16=L98,ROUND(L101*$M$118/1000,3),"")</f>
        <v/>
      </c>
      <c r="M102" s="456" t="str">
        <f>IF($E$16=M98,ROUND(M101*M118/1000,3),"")</f>
        <v/>
      </c>
      <c r="O102" s="12"/>
      <c r="P102" s="398"/>
      <c r="R102" s="347">
        <f>VLOOKUP(R103,'ASTM Vol. XI-XII'!BX$10:BX$860,TRUE)</f>
        <v>861</v>
      </c>
      <c r="S102" s="270">
        <f>VLOOKUP(R102,'ASTM Vol. XI-XII'!BX$10:BY$860,2)</f>
        <v>0.86150000000000004</v>
      </c>
      <c r="T102" s="349">
        <f>VLOOKUP(R102,'ASTM Vol. XI-XII'!BX$10:BZ$860,3)</f>
        <v>32.76</v>
      </c>
      <c r="U102" s="350"/>
      <c r="V102" s="347">
        <f>VLOOKUP(V103,'ASTM Vol. XI-XII'!CB$10:CB$860,TRUE)</f>
        <v>861</v>
      </c>
      <c r="W102" s="268">
        <f>VLOOKUP(V102,'ASTM Vol. XI-XII'!CB$10:CC$860,2)</f>
        <v>0.15892000000000001</v>
      </c>
      <c r="X102" s="351">
        <f>VLOOKUP(V102,'ASTM Vol. XI-XII'!CB$10:CD$860,3)</f>
        <v>6.2930000000000001</v>
      </c>
      <c r="Y102" s="352"/>
      <c r="Z102" s="374">
        <f>VLOOKUP(Z103,'ASTM Vol. XI-XII'!CF10:CF37,TRUE)</f>
        <v>0.84119999999999995</v>
      </c>
      <c r="AA102" s="3583">
        <f>VLOOKUP(Z102,'ASTM Vol. XI-XII'!CF$10:CG$860,2)</f>
        <v>0.99875000000000003</v>
      </c>
      <c r="AB102" s="3583"/>
      <c r="AC102" s="352"/>
      <c r="AD102" s="374">
        <f>VLOOKUP(AD103,'ASTM Vol. XI-XII'!CI$10:CI$860,TRUE)</f>
        <v>0.84219999999999995</v>
      </c>
      <c r="AE102" s="3583">
        <f>VLOOKUP(AD102,'ASTM Vol. XI-XII'!CI$10:CJ$860,2)</f>
        <v>1.00125</v>
      </c>
      <c r="AF102" s="3583"/>
      <c r="AG102" s="352"/>
      <c r="AH102" s="347">
        <f>VLOOKUP(AH103,'ASTM Vol. XI-XII'!CL$10:CL$860,TRUE)</f>
        <v>861</v>
      </c>
      <c r="AI102" s="344">
        <f>VLOOKUP(AH102,'ASTM Vol. XI-XII'!CL$10:CM$860,2)</f>
        <v>859.9</v>
      </c>
      <c r="AJ102" s="270">
        <f>VLOOKUP(AH102,'ASTM Vol. XI-XII'!CL$10:CN$860,3)</f>
        <v>1.1629</v>
      </c>
      <c r="AK102" s="350"/>
      <c r="AL102" s="347">
        <f>VLOOKUP(AL103,'ASTM Vol. XI-XII'!CP$10:CP$860,TRUE)</f>
        <v>861</v>
      </c>
      <c r="AM102" s="270">
        <f>VLOOKUP(AL102,'ASTM Vol. XI-XII'!CP$10:CQ$860,2)</f>
        <v>0.94789999999999996</v>
      </c>
      <c r="AN102" s="270">
        <f>VLOOKUP(AL102,'ASTM Vol. XI-XII'!CP$10:CR$860,3)</f>
        <v>0.84630000000000005</v>
      </c>
      <c r="AO102" s="350"/>
      <c r="AP102" s="347">
        <f>VLOOKUP(AP103,'ASTM Vol. XI-XII'!CT$10:CT$860,TRUE)</f>
        <v>861</v>
      </c>
      <c r="AQ102" s="349">
        <f>VLOOKUP(AP102,'ASTM Vol. XI-XII'!CT$10:CU$860,2)</f>
        <v>307.35000000000002</v>
      </c>
      <c r="AR102" s="351">
        <f>VLOOKUP(AP102,'ASTM Vol. XI-XII'!CT$10:CV$860,3)</f>
        <v>7.3179999999999996</v>
      </c>
    </row>
    <row r="103" spans="3:44" ht="13.15">
      <c r="C103" s="327">
        <v>4</v>
      </c>
      <c r="D103" s="454" t="str">
        <f t="shared" si="18"/>
        <v>METRIC TONS (in VAC)</v>
      </c>
      <c r="E103" s="456">
        <f t="shared" si="19"/>
        <v>129270</v>
      </c>
      <c r="F103" s="456" t="str">
        <f>IF($E$16=F98,ROUND(F101*$M$109,3),"")</f>
        <v/>
      </c>
      <c r="G103" s="456">
        <f>IF($E$16=G98,ROUND(G101*$M$109,3),"")</f>
        <v>129270</v>
      </c>
      <c r="H103" s="456" t="str">
        <f>IF($E$16=H98,ROUND(H101*$M$109,3),"")</f>
        <v/>
      </c>
      <c r="I103" s="456" t="str">
        <f>IF($E$16=I98,ROUND(I99,3),"")</f>
        <v/>
      </c>
      <c r="J103" s="456" t="str">
        <f>IF($E$16=J98,ROUND(J101*$M$109,3),"")</f>
        <v/>
      </c>
      <c r="K103" s="456" t="str">
        <f>IF($E$16=K98,ROUND(K101*$M$109,3),"")</f>
        <v/>
      </c>
      <c r="L103" s="456" t="str">
        <f>IF($E$16=L98,ROUND(L101*$M$109,3),"")</f>
        <v/>
      </c>
      <c r="M103" s="456" t="str">
        <f>IF($E$16=M98,ROUND(M101*$M$109,3),"")</f>
        <v/>
      </c>
      <c r="O103" s="12"/>
      <c r="P103" s="398"/>
      <c r="R103" s="353">
        <f>$M$110</f>
        <v>861.8</v>
      </c>
      <c r="S103" s="271">
        <f>ROUND(S102+((R103-R102)/(R104-R102))*(S104-S102),4)</f>
        <v>0.86229999999999996</v>
      </c>
      <c r="T103" s="354">
        <f>T102+((R103-R102)/(R104-R102))*(T104-T102)</f>
        <v>32.608000000000011</v>
      </c>
      <c r="U103" s="350"/>
      <c r="V103" s="353">
        <f>$M$110</f>
        <v>861.8</v>
      </c>
      <c r="W103" s="269">
        <f>W102+((V103-V102)/(V104-V102))*(W104-W102)</f>
        <v>0.15892000000000001</v>
      </c>
      <c r="X103" s="355">
        <f>X102+((V103-V102)/(V104-V102))*(X104-X102)</f>
        <v>6.2930000000000001</v>
      </c>
      <c r="Y103" s="352"/>
      <c r="Z103" s="348">
        <f>$M$109</f>
        <v>0.8617999999999999</v>
      </c>
      <c r="AA103" s="3582">
        <f>AA102+((Z103-Z102)/(Z104-Z102))*(AA104-AA102)</f>
        <v>0.99875000000000003</v>
      </c>
      <c r="AB103" s="3582"/>
      <c r="AC103" s="352"/>
      <c r="AD103" s="348">
        <f>$M$109</f>
        <v>0.8617999999999999</v>
      </c>
      <c r="AE103" s="3582">
        <f>AE102+((AD103-AD102)/(AD104-AD102))*(AE104-AE102)</f>
        <v>1.00125</v>
      </c>
      <c r="AF103" s="3582"/>
      <c r="AG103" s="352"/>
      <c r="AH103" s="353">
        <f>$M$110</f>
        <v>861.8</v>
      </c>
      <c r="AI103" s="343">
        <f>AI102+((AH103-AH102)/(AH104-AH102))*(AI104-AI102)</f>
        <v>860.69999999999993</v>
      </c>
      <c r="AJ103" s="271">
        <f>AJ102+((AH103-AH102)/(AH104-AH102))*(AJ104-AJ102)</f>
        <v>1.1618600000000001</v>
      </c>
      <c r="AK103" s="350"/>
      <c r="AL103" s="353">
        <f>$M$110</f>
        <v>861.8</v>
      </c>
      <c r="AM103" s="271">
        <f>AM102+((AL103-AL102)/(AL104-AL102))*(AM104-AM102)</f>
        <v>0.94877999999999996</v>
      </c>
      <c r="AN103" s="271">
        <f>AN102+((AL103-AL102)/(AL104-AL102))*(AN104-AN102)</f>
        <v>0.84709999999999996</v>
      </c>
      <c r="AO103" s="350"/>
      <c r="AP103" s="353">
        <f>$M$110</f>
        <v>861.8</v>
      </c>
      <c r="AQ103" s="354">
        <f>AQ102+((AP103-AP102)/(AP104-AP102))*(AQ104-AQ102)</f>
        <v>307.06200000000001</v>
      </c>
      <c r="AR103" s="355">
        <f>AR102+((AP103-AP102)/(AP104-AP102))*(AR104-AR102)</f>
        <v>7.3108000000000004</v>
      </c>
    </row>
    <row r="104" spans="3:44">
      <c r="C104" s="327">
        <v>5</v>
      </c>
      <c r="D104" s="454" t="str">
        <f t="shared" si="18"/>
        <v>LONG TONS</v>
      </c>
      <c r="E104" s="456">
        <f t="shared" si="19"/>
        <v>127065.916</v>
      </c>
      <c r="F104" s="456" t="str">
        <f>IF($E$16=F98,ROUND(F102*$I$10,3),"")</f>
        <v/>
      </c>
      <c r="G104" s="456">
        <f>IF($E$16=G98,ROUND(G102*$I$10,3),"")</f>
        <v>127065.916</v>
      </c>
      <c r="H104" s="456" t="str">
        <f>IF($E$16=H98,ROUND(H99*$I$10,3),"")</f>
        <v/>
      </c>
      <c r="I104" s="456" t="str">
        <f>IF($E$16=I98,ROUND(I102*$I$10,3),"")</f>
        <v/>
      </c>
      <c r="J104" s="456" t="str">
        <f>IF($E$16=J98,ROUND(J99,3),"")</f>
        <v/>
      </c>
      <c r="K104" s="456" t="str">
        <f>IF($E$16=K98,ROUND(K102*$I$10,3),"")</f>
        <v/>
      </c>
      <c r="L104" s="456" t="str">
        <f>IF($E$16=L98,ROUND(L102*$I$10,3),"")</f>
        <v/>
      </c>
      <c r="M104" s="456" t="str">
        <f>IF($E$16=M98,ROUND(M102*$I$10,3),"")</f>
        <v/>
      </c>
      <c r="O104" s="12"/>
      <c r="P104" s="398"/>
      <c r="R104" s="347">
        <f>INDEX('ASTM Vol. XI-XII'!BX$10:BX$860,(MATCH(R102,'ASTM Vol. XI-XII'!BX$10:BX$860,1)+1))</f>
        <v>862</v>
      </c>
      <c r="S104" s="270">
        <f>VLOOKUP(R104,'ASTM Vol. XI-XII'!BX$10:BY$860,2)</f>
        <v>0.86250000000000004</v>
      </c>
      <c r="T104" s="349">
        <f>VLOOKUP(R104,'ASTM Vol. XI-XII'!BX$10:BZ$860,3)</f>
        <v>32.57</v>
      </c>
      <c r="U104" s="356"/>
      <c r="V104" s="347">
        <f>INDEX('ASTM Vol. XI-XII'!CB$10:CB$860,(MATCH(V102,'ASTM Vol. XI-XII'!CB$10:CB$860,1)+1))</f>
        <v>862</v>
      </c>
      <c r="W104" s="268">
        <f>VLOOKUP(V104,'ASTM Vol. XI-XII'!CB$10:CC$860,2)</f>
        <v>0.15892000000000001</v>
      </c>
      <c r="X104" s="351">
        <f>VLOOKUP(V104,'ASTM Vol. XI-XII'!CB$10:CD$860,3)</f>
        <v>6.2930000000000001</v>
      </c>
      <c r="Y104" s="357"/>
      <c r="Z104" s="374">
        <f>INDEX('ASTM Vol. XI-XII'!CF$10:CF$860,(MATCH(Z102,'ASTM Vol. XI-XII'!CF$10:CF$860,1)+1))</f>
        <v>0.90339999999999998</v>
      </c>
      <c r="AA104" s="3583">
        <f>VLOOKUP(Z104,'ASTM Vol. XI-XII'!CF$10:CG$37,2)</f>
        <v>0.99875000000000003</v>
      </c>
      <c r="AB104" s="3583"/>
      <c r="AC104" s="357"/>
      <c r="AD104" s="374">
        <f>INDEX('ASTM Vol. XI-XII'!CI$10:CI$860,(MATCH(AD102,'ASTM Vol. XI-XII'!CI$10:CI$860,1)+1))</f>
        <v>0.90439999999999998</v>
      </c>
      <c r="AE104" s="3583">
        <f>VLOOKUP(AD104,'ASTM Vol. XI-XII'!CI$10:CJ$860,2)</f>
        <v>1.00125</v>
      </c>
      <c r="AF104" s="3583"/>
      <c r="AG104" s="357"/>
      <c r="AH104" s="347">
        <f>INDEX('ASTM Vol. XI-XII'!CL$10:CL$860,(MATCH(AH102,'ASTM Vol. XI-XII'!CL$10:CL$860,1)+1))</f>
        <v>862</v>
      </c>
      <c r="AI104" s="344">
        <f>VLOOKUP(AH104,'ASTM Vol. XI-XII'!CL$10:CM$860,2)</f>
        <v>860.9</v>
      </c>
      <c r="AJ104" s="270">
        <f>VLOOKUP(AH104,'ASTM Vol. XI-XII'!CL$10:CN$860,3)</f>
        <v>1.1616</v>
      </c>
      <c r="AK104" s="356"/>
      <c r="AL104" s="347">
        <f>INDEX('ASTM Vol. XI-XII'!CP$10:CP$860,(MATCH(AL102,'ASTM Vol. XI-XII'!CP$10:CP$860,1)+1))</f>
        <v>862</v>
      </c>
      <c r="AM104" s="270">
        <f>VLOOKUP(AL104,'ASTM Vol. XI-XII'!CP$10:CQ$860,2)</f>
        <v>0.94899999999999995</v>
      </c>
      <c r="AN104" s="270">
        <f>VLOOKUP(AL104,'ASTM Vol. XI-XII'!CP$10:CR$860,3)</f>
        <v>0.84730000000000005</v>
      </c>
      <c r="AO104" s="356"/>
      <c r="AP104" s="347">
        <f>INDEX('ASTM Vol. XI-XII'!CT$10:CT$860,(MATCH(AP102,'ASTM Vol. XI-XII'!CT$10:CT$860,1)+1))</f>
        <v>862</v>
      </c>
      <c r="AQ104" s="349">
        <f>VLOOKUP(AP104,'ASTM Vol. XI-XII'!CT$10:CU$860,2)</f>
        <v>306.99</v>
      </c>
      <c r="AR104" s="351">
        <f>VLOOKUP(AP104,'ASTM Vol. XI-XII'!CT$10:CV$860,3)</f>
        <v>7.3090000000000002</v>
      </c>
    </row>
    <row r="105" spans="3:44">
      <c r="C105" s="327">
        <v>6</v>
      </c>
      <c r="D105" s="454" t="str">
        <f t="shared" si="18"/>
        <v>POUNDS LBS</v>
      </c>
      <c r="E105" s="457">
        <f t="shared" si="19"/>
        <v>284627652</v>
      </c>
      <c r="F105" s="457" t="str">
        <f>IF($E$16=F98,ROUND(F104*$I$12,0),"")</f>
        <v/>
      </c>
      <c r="G105" s="457">
        <f>IF($E$16=G98,ROUND(G104*$I$12,0),"")</f>
        <v>284627652</v>
      </c>
      <c r="H105" s="457" t="str">
        <f>IF($E$16=H98,ROUND(H104*$I$12,0),"")</f>
        <v/>
      </c>
      <c r="I105" s="457" t="str">
        <f>IF($E$16=I98,ROUND(I104*$I$12,0),"")</f>
        <v/>
      </c>
      <c r="J105" s="457" t="str">
        <f>IF($E$16=J98,ROUND(J104*$I$12,0),"")</f>
        <v/>
      </c>
      <c r="K105" s="457" t="str">
        <f>IF($E$16=K98,ROUND(K99,0),"")</f>
        <v/>
      </c>
      <c r="L105" s="457" t="str">
        <f>IF($E$16=L98,ROUND(L104*$I$12,0),"")</f>
        <v/>
      </c>
      <c r="M105" s="457" t="str">
        <f>IF($E$16=M98,ROUND(M104*$I$12,0),"")</f>
        <v/>
      </c>
      <c r="O105" s="12"/>
      <c r="P105" s="398"/>
    </row>
    <row r="106" spans="3:44">
      <c r="C106" s="327">
        <v>7</v>
      </c>
      <c r="D106" s="454" t="str">
        <f t="shared" si="18"/>
        <v>US GALLONS at 60°F</v>
      </c>
      <c r="E106" s="457">
        <f t="shared" si="19"/>
        <v>39645900</v>
      </c>
      <c r="F106" s="457" t="str">
        <f t="shared" ref="F106:K106" si="20">IF($E$16=F98,ROUND(F107*$I$9,0),"")</f>
        <v/>
      </c>
      <c r="G106" s="457">
        <f t="shared" si="20"/>
        <v>39645900</v>
      </c>
      <c r="H106" s="457" t="str">
        <f t="shared" si="20"/>
        <v/>
      </c>
      <c r="I106" s="457" t="str">
        <f t="shared" si="20"/>
        <v/>
      </c>
      <c r="J106" s="457" t="str">
        <f t="shared" si="20"/>
        <v/>
      </c>
      <c r="K106" s="457" t="str">
        <f t="shared" si="20"/>
        <v/>
      </c>
      <c r="L106" s="457" t="str">
        <f>IF($E$16=L98,ROUND(L99,0),"")</f>
        <v/>
      </c>
      <c r="M106" s="457" t="str">
        <f>IF($E$16=M98,ROUND(M107*I9,0),"")</f>
        <v/>
      </c>
      <c r="O106" s="12"/>
      <c r="P106" s="398"/>
    </row>
    <row r="107" spans="3:44">
      <c r="C107" s="327">
        <v>8</v>
      </c>
      <c r="D107" s="454" t="str">
        <f t="shared" si="18"/>
        <v>US BARRELS at 60°F</v>
      </c>
      <c r="E107" s="457">
        <f t="shared" si="19"/>
        <v>943950</v>
      </c>
      <c r="F107" s="457" t="str">
        <f t="shared" ref="F107:K107" si="21">IF($E$16=F98,ROUND(F101*$M$115,0),"")</f>
        <v/>
      </c>
      <c r="G107" s="457">
        <f t="shared" si="21"/>
        <v>943950</v>
      </c>
      <c r="H107" s="457" t="str">
        <f t="shared" si="21"/>
        <v/>
      </c>
      <c r="I107" s="457" t="str">
        <f t="shared" si="21"/>
        <v/>
      </c>
      <c r="J107" s="457" t="str">
        <f t="shared" si="21"/>
        <v/>
      </c>
      <c r="K107" s="457" t="str">
        <f t="shared" si="21"/>
        <v/>
      </c>
      <c r="L107" s="457" t="str">
        <f>IF($E$16=L98,ROUND(E99/$I$9,0),"")</f>
        <v/>
      </c>
      <c r="M107" s="457" t="str">
        <f>IF($E$16=M98,ROUND(M99,0),"")</f>
        <v/>
      </c>
      <c r="N107" s="312"/>
      <c r="O107" s="399"/>
      <c r="P107" s="400"/>
    </row>
    <row r="108" spans="3:44">
      <c r="C108" s="464"/>
      <c r="D108" s="458"/>
      <c r="E108" s="458"/>
      <c r="F108" s="458"/>
      <c r="G108" s="459"/>
      <c r="H108" s="469"/>
      <c r="I108" s="469"/>
      <c r="J108" s="471"/>
      <c r="K108" s="464"/>
      <c r="L108" s="465"/>
      <c r="M108" s="466"/>
      <c r="N108" s="6"/>
      <c r="O108" s="6"/>
      <c r="P108" s="277"/>
    </row>
    <row r="109" spans="3:44">
      <c r="C109" s="275"/>
      <c r="G109" s="460"/>
      <c r="H109" s="470"/>
      <c r="I109" s="470"/>
      <c r="J109" s="274"/>
      <c r="K109" s="275"/>
      <c r="L109" s="435" t="s">
        <v>131</v>
      </c>
      <c r="M109" s="372">
        <f>M11</f>
        <v>0.8617999999999999</v>
      </c>
      <c r="N109" s="394" t="s">
        <v>168</v>
      </c>
      <c r="O109" s="6"/>
      <c r="P109" s="277"/>
    </row>
    <row r="110" spans="3:44">
      <c r="C110" s="275"/>
      <c r="D110" s="311"/>
      <c r="G110" s="461"/>
      <c r="H110" s="470"/>
      <c r="I110" s="470"/>
      <c r="J110" s="379"/>
      <c r="K110" s="415"/>
      <c r="L110" s="430" t="s">
        <v>131</v>
      </c>
      <c r="M110" s="411">
        <f>M10</f>
        <v>861.8</v>
      </c>
      <c r="N110" s="395" t="s">
        <v>168</v>
      </c>
      <c r="O110" s="6"/>
      <c r="P110" s="277"/>
    </row>
    <row r="111" spans="3:44">
      <c r="C111" s="275"/>
      <c r="D111" s="311"/>
      <c r="G111" s="461"/>
      <c r="H111" s="470"/>
      <c r="I111" s="470"/>
      <c r="J111" s="379"/>
      <c r="K111" s="415" t="s">
        <v>12</v>
      </c>
      <c r="L111" s="430" t="s">
        <v>132</v>
      </c>
      <c r="M111" s="289">
        <f>S103</f>
        <v>0.86229999999999996</v>
      </c>
      <c r="N111" s="392" t="s">
        <v>167</v>
      </c>
      <c r="O111" s="6"/>
      <c r="P111" s="277"/>
    </row>
    <row r="112" spans="3:44">
      <c r="C112" s="275"/>
      <c r="D112" s="311"/>
      <c r="G112" s="311"/>
      <c r="H112" s="311"/>
      <c r="I112" s="311"/>
      <c r="J112" s="379"/>
      <c r="K112" s="415" t="s">
        <v>12</v>
      </c>
      <c r="L112" s="429" t="s">
        <v>136</v>
      </c>
      <c r="M112" s="308">
        <f>T103</f>
        <v>32.608000000000011</v>
      </c>
      <c r="N112" s="289" t="s">
        <v>166</v>
      </c>
      <c r="O112" s="6"/>
      <c r="P112" s="277"/>
    </row>
    <row r="113" spans="3:16" ht="13.15">
      <c r="C113" s="328"/>
      <c r="D113" s="440" t="s">
        <v>145</v>
      </c>
      <c r="E113" s="507" t="s">
        <v>160</v>
      </c>
      <c r="F113" s="507" t="s">
        <v>161</v>
      </c>
      <c r="G113" s="317" t="s">
        <v>160</v>
      </c>
      <c r="H113" s="317" t="s">
        <v>161</v>
      </c>
      <c r="I113" s="317"/>
      <c r="J113" s="380"/>
      <c r="K113" s="416"/>
      <c r="L113" s="436"/>
      <c r="M113" s="325"/>
      <c r="N113" s="325"/>
      <c r="O113" s="322"/>
      <c r="P113" s="323"/>
    </row>
    <row r="114" spans="3:16">
      <c r="C114" s="327"/>
      <c r="D114" s="438"/>
      <c r="E114" s="497"/>
      <c r="F114" s="498"/>
      <c r="G114" s="390"/>
      <c r="H114" s="413"/>
      <c r="I114" s="413"/>
      <c r="J114" s="382"/>
      <c r="K114" s="415" t="s">
        <v>7</v>
      </c>
      <c r="L114" s="432" t="s">
        <v>138</v>
      </c>
      <c r="M114" s="299">
        <f>W103</f>
        <v>0.15892000000000001</v>
      </c>
      <c r="N114" s="293" t="s">
        <v>25</v>
      </c>
      <c r="O114" s="423" t="s">
        <v>143</v>
      </c>
      <c r="P114" s="277"/>
    </row>
    <row r="115" spans="3:16">
      <c r="C115" s="327"/>
      <c r="D115" s="438"/>
      <c r="E115" s="499"/>
      <c r="F115" s="500"/>
      <c r="G115" s="390"/>
      <c r="H115" s="412"/>
      <c r="I115" s="412"/>
      <c r="J115" s="381"/>
      <c r="K115" s="415" t="s">
        <v>7</v>
      </c>
      <c r="L115" s="433" t="s">
        <v>140</v>
      </c>
      <c r="M115" s="306">
        <f>X103</f>
        <v>6.2930000000000001</v>
      </c>
      <c r="N115" s="294" t="s">
        <v>25</v>
      </c>
      <c r="O115" s="425" t="s">
        <v>146</v>
      </c>
      <c r="P115" s="277"/>
    </row>
    <row r="116" spans="3:16">
      <c r="C116" s="327"/>
      <c r="D116" s="438"/>
      <c r="E116" s="501"/>
      <c r="F116" s="500"/>
      <c r="G116" s="390"/>
      <c r="H116" s="413"/>
      <c r="I116" s="413"/>
      <c r="J116" s="382"/>
      <c r="K116" s="415" t="s">
        <v>8</v>
      </c>
      <c r="L116" s="437" t="s">
        <v>159</v>
      </c>
      <c r="M116" s="299">
        <f>AA103</f>
        <v>0.99875000000000003</v>
      </c>
      <c r="N116" s="6"/>
      <c r="O116" s="426" t="s">
        <v>127</v>
      </c>
      <c r="P116" s="277"/>
    </row>
    <row r="117" spans="3:16">
      <c r="C117" s="327"/>
      <c r="D117" s="438"/>
      <c r="E117" s="502"/>
      <c r="F117" s="503"/>
      <c r="G117" s="390"/>
      <c r="H117" s="413"/>
      <c r="I117" s="413"/>
      <c r="J117" s="382"/>
      <c r="K117" s="415" t="s">
        <v>8</v>
      </c>
      <c r="L117" s="430" t="s">
        <v>126</v>
      </c>
      <c r="M117" s="299">
        <f>AE103</f>
        <v>1.00125</v>
      </c>
      <c r="N117" s="6"/>
      <c r="O117" s="427" t="s">
        <v>141</v>
      </c>
      <c r="P117" s="277"/>
    </row>
    <row r="118" spans="3:16">
      <c r="C118" s="327"/>
      <c r="D118" s="438"/>
      <c r="E118" s="499"/>
      <c r="F118" s="500"/>
      <c r="G118" s="390"/>
      <c r="H118" s="412"/>
      <c r="I118" s="412"/>
      <c r="J118" s="381"/>
      <c r="K118" s="415" t="s">
        <v>8</v>
      </c>
      <c r="L118" s="430" t="s">
        <v>17</v>
      </c>
      <c r="M118" s="307">
        <f>AI103</f>
        <v>860.69999999999993</v>
      </c>
      <c r="N118" s="294" t="s">
        <v>25</v>
      </c>
      <c r="O118" s="425" t="s">
        <v>146</v>
      </c>
      <c r="P118" s="277"/>
    </row>
    <row r="119" spans="3:16">
      <c r="C119" s="327"/>
      <c r="D119" s="438"/>
      <c r="E119" s="502"/>
      <c r="F119" s="500"/>
      <c r="G119" s="390"/>
      <c r="H119" s="413"/>
      <c r="I119" s="413"/>
      <c r="J119" s="382"/>
      <c r="K119" s="415" t="s">
        <v>8</v>
      </c>
      <c r="L119" s="432" t="s">
        <v>138</v>
      </c>
      <c r="M119" s="289">
        <f>AJ103</f>
        <v>1.1618600000000001</v>
      </c>
      <c r="N119" s="294" t="s">
        <v>25</v>
      </c>
      <c r="O119" s="426" t="s">
        <v>29</v>
      </c>
      <c r="P119" s="277"/>
    </row>
    <row r="120" spans="3:16">
      <c r="C120" s="327"/>
      <c r="D120" s="438"/>
      <c r="E120" s="499"/>
      <c r="F120" s="500"/>
      <c r="G120" s="390"/>
      <c r="H120" s="413"/>
      <c r="I120" s="413"/>
      <c r="J120" s="382"/>
      <c r="K120" s="415" t="s">
        <v>9</v>
      </c>
      <c r="L120" s="433" t="s">
        <v>23</v>
      </c>
      <c r="M120" s="289">
        <f>AM103</f>
        <v>0.94877999999999996</v>
      </c>
      <c r="N120" s="294" t="s">
        <v>25</v>
      </c>
      <c r="O120" s="425" t="s">
        <v>146</v>
      </c>
      <c r="P120" s="277"/>
    </row>
    <row r="121" spans="3:16">
      <c r="C121" s="327"/>
      <c r="D121" s="438"/>
      <c r="E121" s="499"/>
      <c r="F121" s="500"/>
      <c r="G121" s="390"/>
      <c r="H121" s="413"/>
      <c r="I121" s="413"/>
      <c r="J121" s="382"/>
      <c r="K121" s="415" t="s">
        <v>9</v>
      </c>
      <c r="L121" s="433" t="s">
        <v>14</v>
      </c>
      <c r="M121" s="289">
        <f>AN103</f>
        <v>0.84709999999999996</v>
      </c>
      <c r="N121" s="294" t="s">
        <v>25</v>
      </c>
      <c r="O121" s="425" t="s">
        <v>146</v>
      </c>
      <c r="P121" s="277"/>
    </row>
    <row r="122" spans="3:16">
      <c r="C122" s="327"/>
      <c r="D122" s="438"/>
      <c r="E122" s="502"/>
      <c r="F122" s="500"/>
      <c r="G122" s="390"/>
      <c r="H122" s="412"/>
      <c r="I122" s="412"/>
      <c r="J122" s="381"/>
      <c r="K122" s="415" t="s">
        <v>10</v>
      </c>
      <c r="L122" s="433" t="s">
        <v>139</v>
      </c>
      <c r="M122" s="308">
        <f>AQ103</f>
        <v>307.06200000000001</v>
      </c>
      <c r="N122" s="294" t="s">
        <v>25</v>
      </c>
      <c r="O122" s="426" t="s">
        <v>29</v>
      </c>
      <c r="P122" s="277"/>
    </row>
    <row r="123" spans="3:16">
      <c r="C123" s="327"/>
      <c r="D123" s="438"/>
      <c r="E123" s="502"/>
      <c r="F123" s="500"/>
      <c r="G123" s="390"/>
      <c r="H123" s="412"/>
      <c r="I123" s="412"/>
      <c r="J123" s="381"/>
      <c r="K123" s="415" t="s">
        <v>10</v>
      </c>
      <c r="L123" s="433" t="s">
        <v>140</v>
      </c>
      <c r="M123" s="306">
        <f>AR103</f>
        <v>7.3108000000000004</v>
      </c>
      <c r="N123" s="294" t="s">
        <v>25</v>
      </c>
      <c r="O123" s="426" t="s">
        <v>29</v>
      </c>
      <c r="P123" s="277"/>
    </row>
    <row r="124" spans="3:16">
      <c r="C124" s="276"/>
      <c r="D124" s="439"/>
      <c r="E124" s="504"/>
      <c r="F124" s="505"/>
      <c r="G124" s="391"/>
      <c r="H124" s="312"/>
      <c r="I124" s="312"/>
      <c r="J124" s="383"/>
      <c r="K124" s="276"/>
      <c r="L124" s="434"/>
      <c r="M124" s="281"/>
      <c r="N124" s="281"/>
      <c r="O124" s="428"/>
      <c r="P124" s="282"/>
    </row>
  </sheetData>
  <mergeCells count="44">
    <mergeCell ref="AA103:AB103"/>
    <mergeCell ref="AE103:AF103"/>
    <mergeCell ref="AA104:AB104"/>
    <mergeCell ref="AE104:AF104"/>
    <mergeCell ref="AA100:AB100"/>
    <mergeCell ref="AE100:AF100"/>
    <mergeCell ref="AA101:AB101"/>
    <mergeCell ref="AE101:AF101"/>
    <mergeCell ref="AA102:AB102"/>
    <mergeCell ref="AE102:AF102"/>
    <mergeCell ref="C96:P96"/>
    <mergeCell ref="Z97:AB97"/>
    <mergeCell ref="AD97:AF97"/>
    <mergeCell ref="AA99:AB99"/>
    <mergeCell ref="AE99:AF99"/>
    <mergeCell ref="AA98:AB98"/>
    <mergeCell ref="AE98:AF98"/>
    <mergeCell ref="W71:X71"/>
    <mergeCell ref="AA71:AB71"/>
    <mergeCell ref="W65:X65"/>
    <mergeCell ref="AA65:AB65"/>
    <mergeCell ref="W66:X66"/>
    <mergeCell ref="AA66:AB66"/>
    <mergeCell ref="W67:X67"/>
    <mergeCell ref="AA67:AB67"/>
    <mergeCell ref="W68:X68"/>
    <mergeCell ref="AA68:AB68"/>
    <mergeCell ref="W69:X69"/>
    <mergeCell ref="AA69:AB69"/>
    <mergeCell ref="W70:X70"/>
    <mergeCell ref="AA70:AB70"/>
    <mergeCell ref="CY2:DH3"/>
    <mergeCell ref="DI2:DR3"/>
    <mergeCell ref="C28:P28"/>
    <mergeCell ref="C63:P63"/>
    <mergeCell ref="V64:X64"/>
    <mergeCell ref="Z64:AB64"/>
    <mergeCell ref="R2:AB3"/>
    <mergeCell ref="AD2:AN3"/>
    <mergeCell ref="AP2:AZ3"/>
    <mergeCell ref="CK2:CR3"/>
    <mergeCell ref="E2:P3"/>
    <mergeCell ref="C2:C3"/>
    <mergeCell ref="C5:P5"/>
  </mergeCells>
  <hyperlinks>
    <hyperlink ref="D2" location="'Documents Manager'!A1" display="Documents Manager" xr:uid="{00000000-0004-0000-1400-000000000000}"/>
    <hyperlink ref="C2:C3" location="Home!A1" display="HOME" xr:uid="{00000000-0004-0000-1400-000001000000}"/>
    <hyperlink ref="D3" location="'ASTM Calc BL Outturn Compare'!A1" display="ASTM - BL Outturn Compare" xr:uid="{00000000-0004-0000-1400-000002000000}"/>
    <hyperlink ref="D29" location="'Guidelines - Saybolt Manual'!A260" display="BL FIGURES &amp; Outturn Compare" xr:uid="{00000000-0004-0000-1400-000003000000}"/>
    <hyperlink ref="D64" location="'Guidelines - Saybolt Manual'!A260" display="BL FIGURES &amp; Outturn Compare" xr:uid="{00000000-0004-0000-1400-000004000000}"/>
    <hyperlink ref="D97" location="'Guidelines - Saybolt Manual'!A260" display="BL FIGURES &amp; Outturn Compare" xr:uid="{00000000-0004-0000-1400-000005000000}"/>
    <hyperlink ref="D30" location="'Conversion Charts Barrel'!A1" display="Conversion Charts Barrel" xr:uid="{00000000-0004-0000-1400-000006000000}"/>
    <hyperlink ref="D98" location="'Conversion Charts Metric'!A1" display="Conversion Charts Metric" xr:uid="{00000000-0004-0000-1400-000007000000}"/>
  </hyperlinks>
  <pageMargins left="0.7" right="0.7" top="0.75" bottom="0.75" header="0.3" footer="0.3"/>
  <pageSetup paperSize="9" orientation="portrait" r:id="rId1"/>
  <ignoredErrors>
    <ignoredError sqref="H102:H104 K104 I101:K103 I105:K107 I104:J104 H36 I37 I33:I35 K37"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66</vt:i4>
      </vt:variant>
      <vt:variant>
        <vt:lpstr>Именованные диапазоны</vt:lpstr>
      </vt:variant>
      <vt:variant>
        <vt:i4>13</vt:i4>
      </vt:variant>
    </vt:vector>
  </HeadingPairs>
  <TitlesOfParts>
    <vt:vector size="79" baseType="lpstr">
      <vt:lpstr>Home</vt:lpstr>
      <vt:lpstr>Documents Manager</vt:lpstr>
      <vt:lpstr>ASTM Table Series</vt:lpstr>
      <vt:lpstr>Expl &amp; use 6AB, 24AB, 54AB  </vt:lpstr>
      <vt:lpstr>Expl &amp; use Vol. XI</vt:lpstr>
      <vt:lpstr>Expl &amp; use Vol. XII</vt:lpstr>
      <vt:lpstr>ASTM Vol. XI - Tab.1</vt:lpstr>
      <vt:lpstr>ASTM Vol. XI-XII</vt:lpstr>
      <vt:lpstr>ASTM Tables</vt:lpstr>
      <vt:lpstr>ASTM Converter (Tab.1)</vt:lpstr>
      <vt:lpstr>ASTM Converter (Tab.2)</vt:lpstr>
      <vt:lpstr>ASTM Converter API-RD-SG-Dens.</vt:lpstr>
      <vt:lpstr>ASTM Converter (API)</vt:lpstr>
      <vt:lpstr>ASTM Converter (R.Density)</vt:lpstr>
      <vt:lpstr>ASTM Converter (Density)</vt:lpstr>
      <vt:lpstr>ASTM Converter for Crude Oil</vt:lpstr>
      <vt:lpstr>ASTM Calculator V.W.</vt:lpstr>
      <vt:lpstr>ASTM Calculator Volume T.E.(1)</vt:lpstr>
      <vt:lpstr>ASTM Calculator Volume T.E.(2)</vt:lpstr>
      <vt:lpstr>ASTM Calculator Volume T.E.(3)</vt:lpstr>
      <vt:lpstr>ASTM CP min CARGO Check</vt:lpstr>
      <vt:lpstr>ASTM Calculator Blended Cargo</vt:lpstr>
      <vt:lpstr>ASTM Blended Cargo Prediction</vt:lpstr>
      <vt:lpstr>ASTM Shore Line Displacement</vt:lpstr>
      <vt:lpstr>ASTM Calc BL Outturn Compare</vt:lpstr>
      <vt:lpstr>Initial&amp;Max. Loading Rate</vt:lpstr>
      <vt:lpstr>One Tank Filling Rate</vt:lpstr>
      <vt:lpstr>ETC Cargo operation</vt:lpstr>
      <vt:lpstr>Average Gravity-Temp</vt:lpstr>
      <vt:lpstr>Volume Interpolation</vt:lpstr>
      <vt:lpstr>Cargo Lines Volume</vt:lpstr>
      <vt:lpstr>Wedge Volume Calculator</vt:lpstr>
      <vt:lpstr>Blended API</vt:lpstr>
      <vt:lpstr>Commingle-LOADING</vt:lpstr>
      <vt:lpstr>Commingle-LOADING-DISCHARGING</vt:lpstr>
      <vt:lpstr>Pipelines Capacities</vt:lpstr>
      <vt:lpstr>IG Pressure Change</vt:lpstr>
      <vt:lpstr>IG Pressure Change (2)</vt:lpstr>
      <vt:lpstr>Converter Pressure </vt:lpstr>
      <vt:lpstr>Guidelines - Definitions</vt:lpstr>
      <vt:lpstr>Guidelines - Procedure of Calc</vt:lpstr>
      <vt:lpstr>Guidelines - Saybolt Manual</vt:lpstr>
      <vt:lpstr>ASTM Formulas</vt:lpstr>
      <vt:lpstr>Which tables to use When</vt:lpstr>
      <vt:lpstr>Conversion Charts Metric</vt:lpstr>
      <vt:lpstr>Conversion Charts Barrel</vt:lpstr>
      <vt:lpstr>Conversion Charts Mass &amp; Weight</vt:lpstr>
      <vt:lpstr>Outturn Charts</vt:lpstr>
      <vt:lpstr>Guidelines - Bottom Lines</vt:lpstr>
      <vt:lpstr>Guidelines - ISGOTT-6 </vt:lpstr>
      <vt:lpstr>Guidelines - Wedge Forla (0)</vt:lpstr>
      <vt:lpstr>Guidelines - Wedge Forla (1)</vt:lpstr>
      <vt:lpstr>Guidelines - Wedge Forla (2)</vt:lpstr>
      <vt:lpstr>Guidelines - Wedge Formulas</vt:lpstr>
      <vt:lpstr>Guidelines - Commingling Calc</vt:lpstr>
      <vt:lpstr>Guidelines - SOLAS</vt:lpstr>
      <vt:lpstr>Guidelines - SOLAS compliance</vt:lpstr>
      <vt:lpstr>Guidelines - IG Pressure</vt:lpstr>
      <vt:lpstr>Source - Links</vt:lpstr>
      <vt:lpstr>Help</vt:lpstr>
      <vt:lpstr>Disclaimer</vt:lpstr>
      <vt:lpstr>Calc ASTM Tables </vt:lpstr>
      <vt:lpstr>Calc ASTM</vt:lpstr>
      <vt:lpstr>Calc ASTM V.W. Calculator</vt:lpstr>
      <vt:lpstr>Calc ASTM Volume Calculator</vt:lpstr>
      <vt:lpstr>Calc BL-Outturn Compare</vt:lpstr>
      <vt:lpstr>'ASTM Converter (Tab.1)'!Область_печати</vt:lpstr>
      <vt:lpstr>'ASTM Converter (Tab.2)'!Область_печати</vt:lpstr>
      <vt:lpstr>'ASTM Table Series'!Область_печати</vt:lpstr>
      <vt:lpstr>'ASTM Vol. XI - Tab.1'!Область_печати</vt:lpstr>
      <vt:lpstr>'Conversion Charts Barrel'!Область_печати</vt:lpstr>
      <vt:lpstr>'Conversion Charts Mass &amp; Weight'!Область_печати</vt:lpstr>
      <vt:lpstr>'Conversion Charts Metric'!Область_печати</vt:lpstr>
      <vt:lpstr>'Guidelines - Wedge Forla (0)'!Область_печати</vt:lpstr>
      <vt:lpstr>'Guidelines - Wedge Forla (1)'!Область_печати</vt:lpstr>
      <vt:lpstr>'Guidelines - Wedge Forla (2)'!Область_печати</vt:lpstr>
      <vt:lpstr>'Guidelines - Wedge Formulas'!Область_печати</vt:lpstr>
      <vt:lpstr>'Outturn Charts'!Область_печати</vt:lpstr>
      <vt:lpstr>'Which tables to use When'!Область_печати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Pavel</cp:lastModifiedBy>
  <cp:lastPrinted>2019-06-07T15:40:46Z</cp:lastPrinted>
  <dcterms:created xsi:type="dcterms:W3CDTF">2018-11-25T17:01:04Z</dcterms:created>
  <dcterms:modified xsi:type="dcterms:W3CDTF">2025-12-31T15:26:32Z</dcterms:modified>
</cp:coreProperties>
</file>